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drawing4.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5.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drawings/drawing6.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7.xml" ContentType="application/vnd.openxmlformats-officedocument.drawing+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drawings/drawing8.xml" ContentType="application/vnd.openxmlformats-officedocument.drawing+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9.xml" ContentType="application/vnd.openxmlformats-officedocument.drawing+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drawings/drawing10.xml" ContentType="application/vnd.openxmlformats-officedocument.drawing+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drawings/drawing11.xml" ContentType="application/vnd.openxmlformats-officedocument.drawing+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drawings/drawing12.xml" ContentType="application/vnd.openxmlformats-officedocument.drawing+xml"/>
  <Override PartName="/xl/drawings/drawing13.xml" ContentType="application/vnd.openxmlformats-officedocument.drawing+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drawings/drawing14.xml" ContentType="application/vnd.openxmlformats-officedocument.drawing+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drawings/drawing15.xml" ContentType="application/vnd.openxmlformats-officedocument.drawing+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drawings/drawing16.xml" ContentType="application/vnd.openxmlformats-officedocument.drawing+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drawings/drawing17.xml" ContentType="application/vnd.openxmlformats-officedocument.drawing+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drawings/drawing18.xml" ContentType="application/vnd.openxmlformats-officedocument.drawing+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drawings/drawing19.xml" ContentType="application/vnd.openxmlformats-officedocument.drawing+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drawings/drawing20.xml" ContentType="application/vnd.openxmlformats-officedocument.drawing+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drawings/drawing21.xml" ContentType="application/vnd.openxmlformats-officedocument.drawing+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drawings/drawing22.xml" ContentType="application/vnd.openxmlformats-officedocument.drawing+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drawings/drawing23.xml" ContentType="application/vnd.openxmlformats-officedocument.drawing+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drawings/drawing24.xml" ContentType="application/vnd.openxmlformats-officedocument.drawing+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drawings/drawing25.xml" ContentType="application/vnd.openxmlformats-officedocument.drawing+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drawings/drawing26.xml" ContentType="application/vnd.openxmlformats-officedocument.drawing+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drawings/drawing27.xml" ContentType="application/vnd.openxmlformats-officedocument.drawing+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drawings/drawing28.xml" ContentType="application/vnd.openxmlformats-officedocument.drawing+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drawings/drawing29.xml" ContentType="application/vnd.openxmlformats-officedocument.drawing+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drawings/drawing30.xml" ContentType="application/vnd.openxmlformats-officedocument.drawing+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drawings/drawing31.xml" ContentType="application/vnd.openxmlformats-officedocument.drawing+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drawings/drawing32.xml" ContentType="application/vnd.openxmlformats-officedocument.drawing+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drawings/drawing33.xml" ContentType="application/vnd.openxmlformats-officedocument.drawing+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drawings/drawing34.xml" ContentType="application/vnd.openxmlformats-officedocument.drawing+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drawings/drawing35.xml" ContentType="application/vnd.openxmlformats-officedocument.drawing+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drawings/drawing36.xml" ContentType="application/vnd.openxmlformats-officedocument.drawing+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drawings/drawing37.xml" ContentType="application/vnd.openxmlformats-officedocument.drawing+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drawings/drawing38.xml" ContentType="application/vnd.openxmlformats-officedocument.drawing+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drawings/drawing39.xml" ContentType="application/vnd.openxmlformats-officedocument.drawing+xml"/>
  <Override PartName="/xl/charts/chart108.xml" ContentType="application/vnd.openxmlformats-officedocument.drawingml.chart+xml"/>
  <Override PartName="/xl/charts/chart109.xml" ContentType="application/vnd.openxmlformats-officedocument.drawingml.chart+xml"/>
  <Override PartName="/xl/charts/chart110.xml" ContentType="application/vnd.openxmlformats-officedocument.drawingml.chart+xml"/>
  <Override PartName="/xl/drawings/drawing40.xml" ContentType="application/vnd.openxmlformats-officedocument.drawing+xml"/>
  <Override PartName="/xl/charts/chart111.xml" ContentType="application/vnd.openxmlformats-officedocument.drawingml.chart+xml"/>
  <Override PartName="/xl/charts/chart112.xml" ContentType="application/vnd.openxmlformats-officedocument.drawingml.chart+xml"/>
  <Override PartName="/xl/charts/chart113.xml" ContentType="application/vnd.openxmlformats-officedocument.drawingml.chart+xml"/>
  <Override PartName="/xl/drawings/drawing41.xml" ContentType="application/vnd.openxmlformats-officedocument.drawing+xml"/>
  <Override PartName="/xl/charts/chart114.xml" ContentType="application/vnd.openxmlformats-officedocument.drawingml.chart+xml"/>
  <Override PartName="/xl/charts/chart115.xml" ContentType="application/vnd.openxmlformats-officedocument.drawingml.chart+xml"/>
  <Override PartName="/xl/charts/chart116.xml" ContentType="application/vnd.openxmlformats-officedocument.drawingml.chart+xml"/>
  <Override PartName="/xl/drawings/drawing42.xml" ContentType="application/vnd.openxmlformats-officedocument.drawing+xml"/>
  <Override PartName="/xl/charts/chart117.xml" ContentType="application/vnd.openxmlformats-officedocument.drawingml.chart+xml"/>
  <Override PartName="/xl/charts/chart118.xml" ContentType="application/vnd.openxmlformats-officedocument.drawingml.chart+xml"/>
  <Override PartName="/xl/charts/chart119.xml" ContentType="application/vnd.openxmlformats-officedocument.drawingml.chart+xml"/>
  <Override PartName="/xl/drawings/drawing43.xml" ContentType="application/vnd.openxmlformats-officedocument.drawing+xml"/>
  <Override PartName="/xl/charts/chart120.xml" ContentType="application/vnd.openxmlformats-officedocument.drawingml.chart+xml"/>
  <Override PartName="/xl/charts/chart121.xml" ContentType="application/vnd.openxmlformats-officedocument.drawingml.chart+xml"/>
  <Override PartName="/xl/charts/chart122.xml" ContentType="application/vnd.openxmlformats-officedocument.drawingml.chart+xml"/>
  <Override PartName="/xl/drawings/drawing44.xml" ContentType="application/vnd.openxmlformats-officedocument.drawing+xml"/>
  <Override PartName="/xl/charts/chart123.xml" ContentType="application/vnd.openxmlformats-officedocument.drawingml.chart+xml"/>
  <Override PartName="/xl/charts/chart124.xml" ContentType="application/vnd.openxmlformats-officedocument.drawingml.chart+xml"/>
  <Override PartName="/xl/charts/chart125.xml" ContentType="application/vnd.openxmlformats-officedocument.drawingml.chart+xml"/>
  <Override PartName="/xl/drawings/drawing45.xml" ContentType="application/vnd.openxmlformats-officedocument.drawing+xml"/>
  <Override PartName="/xl/charts/chart126.xml" ContentType="application/vnd.openxmlformats-officedocument.drawingml.chart+xml"/>
  <Override PartName="/xl/charts/chart127.xml" ContentType="application/vnd.openxmlformats-officedocument.drawingml.chart+xml"/>
  <Override PartName="/xl/charts/chart128.xml" ContentType="application/vnd.openxmlformats-officedocument.drawingml.chart+xml"/>
  <Override PartName="/xl/drawings/drawing46.xml" ContentType="application/vnd.openxmlformats-officedocument.drawing+xml"/>
  <Override PartName="/xl/charts/chart129.xml" ContentType="application/vnd.openxmlformats-officedocument.drawingml.chart+xml"/>
  <Override PartName="/xl/charts/chart130.xml" ContentType="application/vnd.openxmlformats-officedocument.drawingml.chart+xml"/>
  <Override PartName="/xl/charts/chart131.xml" ContentType="application/vnd.openxmlformats-officedocument.drawingml.chart+xml"/>
  <Override PartName="/xl/charts/chart132.xml" ContentType="application/vnd.openxmlformats-officedocument.drawingml.chart+xml"/>
  <Override PartName="/xl/drawings/drawing47.xml" ContentType="application/vnd.openxmlformats-officedocument.drawing+xml"/>
  <Override PartName="/xl/charts/chart133.xml" ContentType="application/vnd.openxmlformats-officedocument.drawingml.chart+xml"/>
  <Override PartName="/xl/charts/chart134.xml" ContentType="application/vnd.openxmlformats-officedocument.drawingml.chart+xml"/>
  <Override PartName="/xl/charts/chart135.xml" ContentType="application/vnd.openxmlformats-officedocument.drawingml.chart+xml"/>
  <Override PartName="/xl/charts/chart136.xml" ContentType="application/vnd.openxmlformats-officedocument.drawingml.chart+xml"/>
  <Override PartName="/xl/drawings/drawing48.xml" ContentType="application/vnd.openxmlformats-officedocument.drawing+xml"/>
  <Override PartName="/xl/charts/chart137.xml" ContentType="application/vnd.openxmlformats-officedocument.drawingml.chart+xml"/>
  <Override PartName="/xl/charts/chart138.xml" ContentType="application/vnd.openxmlformats-officedocument.drawingml.chart+xml"/>
  <Override PartName="/xl/charts/chart139.xml" ContentType="application/vnd.openxmlformats-officedocument.drawingml.chart+xml"/>
  <Override PartName="/xl/charts/chart140.xml" ContentType="application/vnd.openxmlformats-officedocument.drawingml.chart+xml"/>
  <Override PartName="/xl/drawings/drawing49.xml" ContentType="application/vnd.openxmlformats-officedocument.drawing+xml"/>
  <Override PartName="/xl/charts/chart141.xml" ContentType="application/vnd.openxmlformats-officedocument.drawingml.chart+xml"/>
  <Override PartName="/xl/charts/chart142.xml" ContentType="application/vnd.openxmlformats-officedocument.drawingml.chart+xml"/>
  <Override PartName="/xl/charts/chart143.xml" ContentType="application/vnd.openxmlformats-officedocument.drawingml.chart+xml"/>
  <Override PartName="/xl/charts/chart144.xml" ContentType="application/vnd.openxmlformats-officedocument.drawingml.chart+xml"/>
  <Override PartName="/xl/drawings/drawing50.xml" ContentType="application/vnd.openxmlformats-officedocument.drawing+xml"/>
  <Override PartName="/xl/charts/chart145.xml" ContentType="application/vnd.openxmlformats-officedocument.drawingml.chart+xml"/>
  <Override PartName="/xl/charts/chart146.xml" ContentType="application/vnd.openxmlformats-officedocument.drawingml.chart+xml"/>
  <Override PartName="/xl/charts/chart147.xml" ContentType="application/vnd.openxmlformats-officedocument.drawingml.chart+xml"/>
  <Override PartName="/xl/charts/chart148.xml" ContentType="application/vnd.openxmlformats-officedocument.drawingml.chart+xml"/>
  <Override PartName="/xl/drawings/drawing51.xml" ContentType="application/vnd.openxmlformats-officedocument.drawing+xml"/>
  <Override PartName="/xl/charts/chart149.xml" ContentType="application/vnd.openxmlformats-officedocument.drawingml.chart+xml"/>
  <Override PartName="/xl/charts/chart150.xml" ContentType="application/vnd.openxmlformats-officedocument.drawingml.chart+xml"/>
  <Override PartName="/xl/charts/chart151.xml" ContentType="application/vnd.openxmlformats-officedocument.drawingml.chart+xml"/>
  <Override PartName="/xl/charts/chart152.xml" ContentType="application/vnd.openxmlformats-officedocument.drawingml.chart+xml"/>
  <Override PartName="/xl/drawings/drawing52.xml" ContentType="application/vnd.openxmlformats-officedocument.drawing+xml"/>
  <Override PartName="/xl/charts/chart153.xml" ContentType="application/vnd.openxmlformats-officedocument.drawingml.chart+xml"/>
  <Override PartName="/xl/charts/chart154.xml" ContentType="application/vnd.openxmlformats-officedocument.drawingml.chart+xml"/>
  <Override PartName="/xl/charts/chart155.xml" ContentType="application/vnd.openxmlformats-officedocument.drawingml.chart+xml"/>
  <Override PartName="/xl/charts/chart156.xml" ContentType="application/vnd.openxmlformats-officedocument.drawingml.chart+xml"/>
  <Override PartName="/xl/drawings/drawing53.xml" ContentType="application/vnd.openxmlformats-officedocument.drawing+xml"/>
  <Override PartName="/xl/charts/chart157.xml" ContentType="application/vnd.openxmlformats-officedocument.drawingml.chart+xml"/>
  <Override PartName="/xl/charts/chart158.xml" ContentType="application/vnd.openxmlformats-officedocument.drawingml.chart+xml"/>
  <Override PartName="/xl/charts/chart159.xml" ContentType="application/vnd.openxmlformats-officedocument.drawingml.chart+xml"/>
  <Override PartName="/xl/charts/chart160.xml" ContentType="application/vnd.openxmlformats-officedocument.drawingml.chart+xml"/>
  <Override PartName="/xl/drawings/drawing54.xml" ContentType="application/vnd.openxmlformats-officedocument.drawing+xml"/>
  <Override PartName="/xl/charts/chart161.xml" ContentType="application/vnd.openxmlformats-officedocument.drawingml.chart+xml"/>
  <Override PartName="/xl/charts/chart162.xml" ContentType="application/vnd.openxmlformats-officedocument.drawingml.chart+xml"/>
  <Override PartName="/xl/charts/chart163.xml" ContentType="application/vnd.openxmlformats-officedocument.drawingml.chart+xml"/>
  <Override PartName="/xl/charts/chart164.xml" ContentType="application/vnd.openxmlformats-officedocument.drawingml.chart+xml"/>
  <Override PartName="/xl/drawings/drawing55.xml" ContentType="application/vnd.openxmlformats-officedocument.drawing+xml"/>
  <Override PartName="/xl/charts/chart165.xml" ContentType="application/vnd.openxmlformats-officedocument.drawingml.chart+xml"/>
  <Override PartName="/xl/charts/chart166.xml" ContentType="application/vnd.openxmlformats-officedocument.drawingml.chart+xml"/>
  <Override PartName="/xl/charts/chart167.xml" ContentType="application/vnd.openxmlformats-officedocument.drawingml.chart+xml"/>
  <Override PartName="/xl/charts/chart168.xml" ContentType="application/vnd.openxmlformats-officedocument.drawingml.chart+xml"/>
  <Override PartName="/xl/drawings/drawing56.xml" ContentType="application/vnd.openxmlformats-officedocument.drawing+xml"/>
  <Override PartName="/xl/charts/chart169.xml" ContentType="application/vnd.openxmlformats-officedocument.drawingml.chart+xml"/>
  <Override PartName="/xl/charts/chart170.xml" ContentType="application/vnd.openxmlformats-officedocument.drawingml.chart+xml"/>
  <Override PartName="/xl/charts/chart171.xml" ContentType="application/vnd.openxmlformats-officedocument.drawingml.chart+xml"/>
  <Override PartName="/xl/charts/chart172.xml" ContentType="application/vnd.openxmlformats-officedocument.drawingml.chart+xml"/>
  <Override PartName="/xl/drawings/drawing57.xml" ContentType="application/vnd.openxmlformats-officedocument.drawing+xml"/>
  <Override PartName="/xl/charts/chart173.xml" ContentType="application/vnd.openxmlformats-officedocument.drawingml.chart+xml"/>
  <Override PartName="/xl/charts/chart174.xml" ContentType="application/vnd.openxmlformats-officedocument.drawingml.chart+xml"/>
  <Override PartName="/xl/charts/chart175.xml" ContentType="application/vnd.openxmlformats-officedocument.drawingml.chart+xml"/>
  <Override PartName="/xl/charts/chart176.xml" ContentType="application/vnd.openxmlformats-officedocument.drawingml.chart+xml"/>
  <Override PartName="/xl/drawings/drawing58.xml" ContentType="application/vnd.openxmlformats-officedocument.drawing+xml"/>
  <Override PartName="/xl/charts/chart177.xml" ContentType="application/vnd.openxmlformats-officedocument.drawingml.chart+xml"/>
  <Override PartName="/xl/charts/chart178.xml" ContentType="application/vnd.openxmlformats-officedocument.drawingml.chart+xml"/>
  <Override PartName="/xl/charts/chart179.xml" ContentType="application/vnd.openxmlformats-officedocument.drawingml.chart+xml"/>
  <Override PartName="/xl/charts/chart180.xml" ContentType="application/vnd.openxmlformats-officedocument.drawingml.chart+xml"/>
  <Override PartName="/xl/drawings/drawing59.xml" ContentType="application/vnd.openxmlformats-officedocument.drawing+xml"/>
  <Override PartName="/xl/charts/chart181.xml" ContentType="application/vnd.openxmlformats-officedocument.drawingml.chart+xml"/>
  <Override PartName="/xl/charts/chart182.xml" ContentType="application/vnd.openxmlformats-officedocument.drawingml.chart+xml"/>
  <Override PartName="/xl/charts/chart183.xml" ContentType="application/vnd.openxmlformats-officedocument.drawingml.chart+xml"/>
  <Override PartName="/xl/charts/chart184.xml" ContentType="application/vnd.openxmlformats-officedocument.drawingml.chart+xml"/>
  <Override PartName="/xl/drawings/drawing60.xml" ContentType="application/vnd.openxmlformats-officedocument.drawing+xml"/>
  <Override PartName="/xl/charts/chart185.xml" ContentType="application/vnd.openxmlformats-officedocument.drawingml.chart+xml"/>
  <Override PartName="/xl/charts/chart186.xml" ContentType="application/vnd.openxmlformats-officedocument.drawingml.chart+xml"/>
  <Override PartName="/xl/charts/chart187.xml" ContentType="application/vnd.openxmlformats-officedocument.drawingml.chart+xml"/>
  <Override PartName="/xl/charts/chart188.xml" ContentType="application/vnd.openxmlformats-officedocument.drawingml.chart+xml"/>
  <Override PartName="/xl/drawings/drawing61.xml" ContentType="application/vnd.openxmlformats-officedocument.drawing+xml"/>
  <Override PartName="/xl/charts/chart189.xml" ContentType="application/vnd.openxmlformats-officedocument.drawingml.chart+xml"/>
  <Override PartName="/xl/charts/chart190.xml" ContentType="application/vnd.openxmlformats-officedocument.drawingml.chart+xml"/>
  <Override PartName="/xl/charts/chart191.xml" ContentType="application/vnd.openxmlformats-officedocument.drawingml.chart+xml"/>
  <Override PartName="/xl/charts/chart192.xml" ContentType="application/vnd.openxmlformats-officedocument.drawingml.chart+xml"/>
  <Override PartName="/xl/drawings/drawing62.xml" ContentType="application/vnd.openxmlformats-officedocument.drawing+xml"/>
  <Override PartName="/xl/charts/chart193.xml" ContentType="application/vnd.openxmlformats-officedocument.drawingml.chart+xml"/>
  <Override PartName="/xl/charts/chart194.xml" ContentType="application/vnd.openxmlformats-officedocument.drawingml.chart+xml"/>
  <Override PartName="/xl/charts/chart195.xml" ContentType="application/vnd.openxmlformats-officedocument.drawingml.chart+xml"/>
  <Override PartName="/xl/charts/chart196.xml" ContentType="application/vnd.openxmlformats-officedocument.drawingml.chart+xml"/>
  <Override PartName="/xl/drawings/drawing63.xml" ContentType="application/vnd.openxmlformats-officedocument.drawing+xml"/>
  <Override PartName="/xl/charts/chart197.xml" ContentType="application/vnd.openxmlformats-officedocument.drawingml.chart+xml"/>
  <Override PartName="/xl/charts/chart198.xml" ContentType="application/vnd.openxmlformats-officedocument.drawingml.chart+xml"/>
  <Override PartName="/xl/charts/chart199.xml" ContentType="application/vnd.openxmlformats-officedocument.drawingml.chart+xml"/>
  <Override PartName="/xl/charts/chart200.xml" ContentType="application/vnd.openxmlformats-officedocument.drawingml.chart+xml"/>
  <Override PartName="/xl/drawings/drawing64.xml" ContentType="application/vnd.openxmlformats-officedocument.drawing+xml"/>
  <Override PartName="/xl/charts/chart201.xml" ContentType="application/vnd.openxmlformats-officedocument.drawingml.chart+xml"/>
  <Override PartName="/xl/charts/chart202.xml" ContentType="application/vnd.openxmlformats-officedocument.drawingml.chart+xml"/>
  <Override PartName="/xl/charts/chart203.xml" ContentType="application/vnd.openxmlformats-officedocument.drawingml.chart+xml"/>
  <Override PartName="/xl/charts/chart204.xml" ContentType="application/vnd.openxmlformats-officedocument.drawingml.chart+xml"/>
  <Override PartName="/xl/drawings/drawing65.xml" ContentType="application/vnd.openxmlformats-officedocument.drawing+xml"/>
  <Override PartName="/xl/charts/chart205.xml" ContentType="application/vnd.openxmlformats-officedocument.drawingml.chart+xml"/>
  <Override PartName="/xl/charts/chart206.xml" ContentType="application/vnd.openxmlformats-officedocument.drawingml.chart+xml"/>
  <Override PartName="/xl/charts/chart207.xml" ContentType="application/vnd.openxmlformats-officedocument.drawingml.chart+xml"/>
  <Override PartName="/xl/charts/chart208.xml" ContentType="application/vnd.openxmlformats-officedocument.drawingml.chart+xml"/>
  <Override PartName="/xl/drawings/drawing66.xml" ContentType="application/vnd.openxmlformats-officedocument.drawing+xml"/>
  <Override PartName="/xl/charts/chart209.xml" ContentType="application/vnd.openxmlformats-officedocument.drawingml.chart+xml"/>
  <Override PartName="/xl/charts/chart210.xml" ContentType="application/vnd.openxmlformats-officedocument.drawingml.chart+xml"/>
  <Override PartName="/xl/charts/chart211.xml" ContentType="application/vnd.openxmlformats-officedocument.drawingml.chart+xml"/>
  <Override PartName="/xl/charts/chart212.xml" ContentType="application/vnd.openxmlformats-officedocument.drawingml.chart+xml"/>
  <Override PartName="/xl/drawings/drawing67.xml" ContentType="application/vnd.openxmlformats-officedocument.drawing+xml"/>
  <Override PartName="/xl/charts/chart213.xml" ContentType="application/vnd.openxmlformats-officedocument.drawingml.chart+xml"/>
  <Override PartName="/xl/charts/chart214.xml" ContentType="application/vnd.openxmlformats-officedocument.drawingml.chart+xml"/>
  <Override PartName="/xl/charts/chart215.xml" ContentType="application/vnd.openxmlformats-officedocument.drawingml.chart+xml"/>
  <Override PartName="/xl/charts/chart216.xml" ContentType="application/vnd.openxmlformats-officedocument.drawingml.chart+xml"/>
  <Override PartName="/xl/drawings/drawing68.xml" ContentType="application/vnd.openxmlformats-officedocument.drawing+xml"/>
  <Override PartName="/xl/charts/chart217.xml" ContentType="application/vnd.openxmlformats-officedocument.drawingml.chart+xml"/>
  <Override PartName="/xl/charts/chart218.xml" ContentType="application/vnd.openxmlformats-officedocument.drawingml.chart+xml"/>
  <Override PartName="/xl/charts/chart219.xml" ContentType="application/vnd.openxmlformats-officedocument.drawingml.chart+xml"/>
  <Override PartName="/xl/charts/chart220.xml" ContentType="application/vnd.openxmlformats-officedocument.drawingml.chart+xml"/>
  <Override PartName="/xl/drawings/drawing69.xml" ContentType="application/vnd.openxmlformats-officedocument.drawing+xml"/>
  <Override PartName="/xl/charts/chart221.xml" ContentType="application/vnd.openxmlformats-officedocument.drawingml.chart+xml"/>
  <Override PartName="/xl/charts/chart222.xml" ContentType="application/vnd.openxmlformats-officedocument.drawingml.chart+xml"/>
  <Override PartName="/xl/charts/chart223.xml" ContentType="application/vnd.openxmlformats-officedocument.drawingml.chart+xml"/>
  <Override PartName="/xl/charts/chart224.xml" ContentType="application/vnd.openxmlformats-officedocument.drawingml.chart+xml"/>
  <Override PartName="/xl/drawings/drawing70.xml" ContentType="application/vnd.openxmlformats-officedocument.drawing+xml"/>
  <Override PartName="/xl/charts/chart225.xml" ContentType="application/vnd.openxmlformats-officedocument.drawingml.chart+xml"/>
  <Override PartName="/xl/charts/chart226.xml" ContentType="application/vnd.openxmlformats-officedocument.drawingml.chart+xml"/>
  <Override PartName="/xl/charts/chart227.xml" ContentType="application/vnd.openxmlformats-officedocument.drawingml.chart+xml"/>
  <Override PartName="/xl/drawings/drawing71.xml" ContentType="application/vnd.openxmlformats-officedocument.drawing+xml"/>
  <Override PartName="/xl/charts/chart228.xml" ContentType="application/vnd.openxmlformats-officedocument.drawingml.chart+xml"/>
  <Override PartName="/xl/charts/chart229.xml" ContentType="application/vnd.openxmlformats-officedocument.drawingml.chart+xml"/>
  <Override PartName="/xl/charts/chart230.xml" ContentType="application/vnd.openxmlformats-officedocument.drawingml.chart+xml"/>
  <Override PartName="/xl/drawings/drawing72.xml" ContentType="application/vnd.openxmlformats-officedocument.drawing+xml"/>
  <Override PartName="/xl/charts/chart231.xml" ContentType="application/vnd.openxmlformats-officedocument.drawingml.chart+xml"/>
  <Override PartName="/xl/charts/chart232.xml" ContentType="application/vnd.openxmlformats-officedocument.drawingml.chart+xml"/>
  <Override PartName="/xl/charts/chart233.xml" ContentType="application/vnd.openxmlformats-officedocument.drawingml.chart+xml"/>
  <Override PartName="/xl/drawings/drawing73.xml" ContentType="application/vnd.openxmlformats-officedocument.drawing+xml"/>
  <Override PartName="/xl/charts/chart234.xml" ContentType="application/vnd.openxmlformats-officedocument.drawingml.chart+xml"/>
  <Override PartName="/xl/charts/chart235.xml" ContentType="application/vnd.openxmlformats-officedocument.drawingml.chart+xml"/>
  <Override PartName="/xl/charts/chart236.xml" ContentType="application/vnd.openxmlformats-officedocument.drawingml.chart+xml"/>
  <Override PartName="/xl/drawings/drawing74.xml" ContentType="application/vnd.openxmlformats-officedocument.drawing+xml"/>
  <Override PartName="/xl/charts/chart237.xml" ContentType="application/vnd.openxmlformats-officedocument.drawingml.chart+xml"/>
  <Override PartName="/xl/charts/chart238.xml" ContentType="application/vnd.openxmlformats-officedocument.drawingml.chart+xml"/>
  <Override PartName="/xl/charts/chart239.xml" ContentType="application/vnd.openxmlformats-officedocument.drawingml.chart+xml"/>
  <Override PartName="/xl/drawings/drawing75.xml" ContentType="application/vnd.openxmlformats-officedocument.drawing+xml"/>
  <Override PartName="/xl/charts/chart240.xml" ContentType="application/vnd.openxmlformats-officedocument.drawingml.chart+xml"/>
  <Override PartName="/xl/charts/chart241.xml" ContentType="application/vnd.openxmlformats-officedocument.drawingml.chart+xml"/>
  <Override PartName="/xl/charts/chart242.xml" ContentType="application/vnd.openxmlformats-officedocument.drawingml.chart+xml"/>
  <Override PartName="/xl/drawings/drawing76.xml" ContentType="application/vnd.openxmlformats-officedocument.drawing+xml"/>
  <Override PartName="/xl/charts/chart243.xml" ContentType="application/vnd.openxmlformats-officedocument.drawingml.chart+xml"/>
  <Override PartName="/xl/charts/chart244.xml" ContentType="application/vnd.openxmlformats-officedocument.drawingml.chart+xml"/>
  <Override PartName="/xl/charts/chart245.xml" ContentType="application/vnd.openxmlformats-officedocument.drawingml.chart+xml"/>
  <Override PartName="/xl/drawings/drawing77.xml" ContentType="application/vnd.openxmlformats-officedocument.drawing+xml"/>
  <Override PartName="/xl/charts/chart246.xml" ContentType="application/vnd.openxmlformats-officedocument.drawingml.chart+xml"/>
  <Override PartName="/xl/charts/chart247.xml" ContentType="application/vnd.openxmlformats-officedocument.drawingml.chart+xml"/>
  <Override PartName="/xl/charts/chart248.xml" ContentType="application/vnd.openxmlformats-officedocument.drawingml.chart+xml"/>
  <Override PartName="/xl/drawings/drawing78.xml" ContentType="application/vnd.openxmlformats-officedocument.drawing+xml"/>
  <Override PartName="/xl/charts/chart249.xml" ContentType="application/vnd.openxmlformats-officedocument.drawingml.chart+xml"/>
  <Override PartName="/xl/charts/chart250.xml" ContentType="application/vnd.openxmlformats-officedocument.drawingml.chart+xml"/>
  <Override PartName="/xl/charts/chart251.xml" ContentType="application/vnd.openxmlformats-officedocument.drawingml.chart+xml"/>
  <Override PartName="/xl/drawings/drawing79.xml" ContentType="application/vnd.openxmlformats-officedocument.drawing+xml"/>
  <Override PartName="/xl/charts/chart252.xml" ContentType="application/vnd.openxmlformats-officedocument.drawingml.chart+xml"/>
  <Override PartName="/xl/charts/chart253.xml" ContentType="application/vnd.openxmlformats-officedocument.drawingml.chart+xml"/>
  <Override PartName="/xl/charts/chart254.xml" ContentType="application/vnd.openxmlformats-officedocument.drawingml.chart+xml"/>
  <Override PartName="/xl/drawings/drawing80.xml" ContentType="application/vnd.openxmlformats-officedocument.drawing+xml"/>
  <Override PartName="/xl/charts/chart255.xml" ContentType="application/vnd.openxmlformats-officedocument.drawingml.chart+xml"/>
  <Override PartName="/xl/charts/chart256.xml" ContentType="application/vnd.openxmlformats-officedocument.drawingml.chart+xml"/>
  <Override PartName="/xl/charts/chart257.xml" ContentType="application/vnd.openxmlformats-officedocument.drawingml.chart+xml"/>
  <Override PartName="/xl/drawings/drawing81.xml" ContentType="application/vnd.openxmlformats-officedocument.drawing+xml"/>
  <Override PartName="/xl/charts/chart258.xml" ContentType="application/vnd.openxmlformats-officedocument.drawingml.chart+xml"/>
  <Override PartName="/xl/charts/chart259.xml" ContentType="application/vnd.openxmlformats-officedocument.drawingml.chart+xml"/>
  <Override PartName="/xl/charts/chart260.xml" ContentType="application/vnd.openxmlformats-officedocument.drawingml.chart+xml"/>
  <Override PartName="/xl/drawings/drawing82.xml" ContentType="application/vnd.openxmlformats-officedocument.drawing+xml"/>
  <Override PartName="/xl/charts/chart261.xml" ContentType="application/vnd.openxmlformats-officedocument.drawingml.chart+xml"/>
  <Override PartName="/xl/charts/chart262.xml" ContentType="application/vnd.openxmlformats-officedocument.drawingml.chart+xml"/>
  <Override PartName="/xl/charts/chart263.xml" ContentType="application/vnd.openxmlformats-officedocument.drawingml.chart+xml"/>
  <Override PartName="/xl/drawings/drawing83.xml" ContentType="application/vnd.openxmlformats-officedocument.drawing+xml"/>
  <Override PartName="/xl/charts/chart264.xml" ContentType="application/vnd.openxmlformats-officedocument.drawingml.chart+xml"/>
  <Override PartName="/xl/charts/chart265.xml" ContentType="application/vnd.openxmlformats-officedocument.drawingml.chart+xml"/>
  <Override PartName="/xl/charts/chart266.xml" ContentType="application/vnd.openxmlformats-officedocument.drawingml.chart+xml"/>
  <Override PartName="/xl/charts/chart267.xml" ContentType="application/vnd.openxmlformats-officedocument.drawingml.chart+xml"/>
  <Override PartName="/xl/drawings/drawing84.xml" ContentType="application/vnd.openxmlformats-officedocument.drawing+xml"/>
  <Override PartName="/xl/charts/chart268.xml" ContentType="application/vnd.openxmlformats-officedocument.drawingml.chart+xml"/>
  <Override PartName="/xl/charts/chart269.xml" ContentType="application/vnd.openxmlformats-officedocument.drawingml.chart+xml"/>
  <Override PartName="/xl/charts/chart270.xml" ContentType="application/vnd.openxmlformats-officedocument.drawingml.chart+xml"/>
  <Override PartName="/xl/charts/chart271.xml" ContentType="application/vnd.openxmlformats-officedocument.drawingml.chart+xml"/>
  <Override PartName="/xl/drawings/drawing85.xml" ContentType="application/vnd.openxmlformats-officedocument.drawing+xml"/>
  <Override PartName="/xl/charts/chart272.xml" ContentType="application/vnd.openxmlformats-officedocument.drawingml.chart+xml"/>
  <Override PartName="/xl/charts/chart273.xml" ContentType="application/vnd.openxmlformats-officedocument.drawingml.chart+xml"/>
  <Override PartName="/xl/charts/chart274.xml" ContentType="application/vnd.openxmlformats-officedocument.drawingml.chart+xml"/>
  <Override PartName="/xl/charts/chart275.xml" ContentType="application/vnd.openxmlformats-officedocument.drawingml.chart+xml"/>
  <Override PartName="/xl/drawings/drawing86.xml" ContentType="application/vnd.openxmlformats-officedocument.drawing+xml"/>
  <Override PartName="/xl/charts/chart276.xml" ContentType="application/vnd.openxmlformats-officedocument.drawingml.chart+xml"/>
  <Override PartName="/xl/charts/chart277.xml" ContentType="application/vnd.openxmlformats-officedocument.drawingml.chart+xml"/>
  <Override PartName="/xl/charts/chart278.xml" ContentType="application/vnd.openxmlformats-officedocument.drawingml.chart+xml"/>
  <Override PartName="/xl/charts/chart279.xml" ContentType="application/vnd.openxmlformats-officedocument.drawingml.chart+xml"/>
  <Override PartName="/xl/drawings/drawing87.xml" ContentType="application/vnd.openxmlformats-officedocument.drawing+xml"/>
  <Override PartName="/xl/charts/chart280.xml" ContentType="application/vnd.openxmlformats-officedocument.drawingml.chart+xml"/>
  <Override PartName="/xl/charts/chart281.xml" ContentType="application/vnd.openxmlformats-officedocument.drawingml.chart+xml"/>
  <Override PartName="/xl/charts/chart282.xml" ContentType="application/vnd.openxmlformats-officedocument.drawingml.chart+xml"/>
  <Override PartName="/xl/charts/chart283.xml" ContentType="application/vnd.openxmlformats-officedocument.drawingml.chart+xml"/>
  <Override PartName="/xl/drawings/drawing88.xml" ContentType="application/vnd.openxmlformats-officedocument.drawing+xml"/>
  <Override PartName="/xl/charts/chart284.xml" ContentType="application/vnd.openxmlformats-officedocument.drawingml.chart+xml"/>
  <Override PartName="/xl/charts/chart285.xml" ContentType="application/vnd.openxmlformats-officedocument.drawingml.chart+xml"/>
  <Override PartName="/xl/charts/chart286.xml" ContentType="application/vnd.openxmlformats-officedocument.drawingml.chart+xml"/>
  <Override PartName="/xl/charts/chart287.xml" ContentType="application/vnd.openxmlformats-officedocument.drawingml.chart+xml"/>
  <Override PartName="/xl/drawings/drawing89.xml" ContentType="application/vnd.openxmlformats-officedocument.drawing+xml"/>
  <Override PartName="/xl/charts/chart288.xml" ContentType="application/vnd.openxmlformats-officedocument.drawingml.chart+xml"/>
  <Override PartName="/xl/charts/chart289.xml" ContentType="application/vnd.openxmlformats-officedocument.drawingml.chart+xml"/>
  <Override PartName="/xl/charts/chart290.xml" ContentType="application/vnd.openxmlformats-officedocument.drawingml.chart+xml"/>
  <Override PartName="/xl/charts/chart291.xml" ContentType="application/vnd.openxmlformats-officedocument.drawingml.chart+xml"/>
  <Override PartName="/xl/drawings/drawing90.xml" ContentType="application/vnd.openxmlformats-officedocument.drawing+xml"/>
  <Override PartName="/xl/charts/chart292.xml" ContentType="application/vnd.openxmlformats-officedocument.drawingml.chart+xml"/>
  <Override PartName="/xl/charts/chart293.xml" ContentType="application/vnd.openxmlformats-officedocument.drawingml.chart+xml"/>
  <Override PartName="/xl/charts/chart294.xml" ContentType="application/vnd.openxmlformats-officedocument.drawingml.chart+xml"/>
  <Override PartName="/xl/charts/chart295.xml" ContentType="application/vnd.openxmlformats-officedocument.drawingml.chart+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G:\CF\Resources\Asset Planning\Projections\2018\"/>
    </mc:Choice>
  </mc:AlternateContent>
  <bookViews>
    <workbookView xWindow="0" yWindow="3555" windowWidth="19275" windowHeight="7740" tabRatio="595" firstSheet="1" activeTab="1"/>
  </bookViews>
  <sheets>
    <sheet name="METHODOLOGY" sheetId="33" r:id="rId1"/>
    <sheet name="Projection_Summary" sheetId="217" r:id="rId2"/>
    <sheet name="Graphs" sheetId="326" r:id="rId3"/>
    <sheet name="Abbeyhill" sheetId="229" r:id="rId4"/>
    <sheet name="Balgreen" sheetId="230" r:id="rId5"/>
    <sheet name="Blackhall" sheetId="231" r:id="rId6"/>
    <sheet name="Bonaly" sheetId="232" r:id="rId7"/>
    <sheet name="Broomhouse" sheetId="233" r:id="rId8"/>
    <sheet name="Broughton" sheetId="234" r:id="rId9"/>
    <sheet name="Brunstane" sheetId="235" r:id="rId10"/>
    <sheet name="Bruntsfield" sheetId="236" r:id="rId11"/>
    <sheet name="Buckstone" sheetId="237" r:id="rId12"/>
    <sheet name="Bun Sgoil Taobh na Pairce" sheetId="238" r:id="rId13"/>
    <sheet name="Canal View" sheetId="239" r:id="rId14"/>
    <sheet name="Carrick Knowe" sheetId="240" r:id="rId15"/>
    <sheet name="Castleview" sheetId="241" r:id="rId16"/>
    <sheet name="Clermiston" sheetId="242" r:id="rId17"/>
    <sheet name="Clovenstone" sheetId="243" r:id="rId18"/>
    <sheet name="Colinton" sheetId="244" r:id="rId19"/>
    <sheet name="Corstorphine" sheetId="245" r:id="rId20"/>
    <sheet name="Craigentinny" sheetId="246" r:id="rId21"/>
    <sheet name="Craiglockhart" sheetId="247" r:id="rId22"/>
    <sheet name="Craigour Park" sheetId="248" r:id="rId23"/>
    <sheet name="Craigroyston" sheetId="249" r:id="rId24"/>
    <sheet name="Cramond" sheetId="250" r:id="rId25"/>
    <sheet name="Currie" sheetId="251" r:id="rId26"/>
    <sheet name="Dalmeny" sheetId="252" r:id="rId27"/>
    <sheet name="Dalry" sheetId="253" r:id="rId28"/>
    <sheet name="Davidsons Mains" sheetId="254" r:id="rId29"/>
    <sheet name="Dean Park" sheetId="255" r:id="rId30"/>
    <sheet name="Duddingston" sheetId="256" r:id="rId31"/>
    <sheet name="East Craigs" sheetId="257" r:id="rId32"/>
    <sheet name="Echline" sheetId="258" r:id="rId33"/>
    <sheet name="Ferryhill" sheetId="259" r:id="rId34"/>
    <sheet name="Flora Stevenson" sheetId="260" r:id="rId35"/>
    <sheet name="Forthview" sheetId="261" r:id="rId36"/>
    <sheet name="Fox Covert ND" sheetId="262" r:id="rId37"/>
    <sheet name="Fox Covert RC" sheetId="263" r:id="rId38"/>
    <sheet name="Gilmerton" sheetId="264" r:id="rId39"/>
    <sheet name="Gracemount" sheetId="265" r:id="rId40"/>
    <sheet name="Granton" sheetId="266" r:id="rId41"/>
    <sheet name="Gylemuir" sheetId="267" r:id="rId42"/>
    <sheet name="Hermitage Park" sheetId="268" r:id="rId43"/>
    <sheet name="Hillwood" sheetId="269" r:id="rId44"/>
    <sheet name="Holy Cross RC" sheetId="270" r:id="rId45"/>
    <sheet name="James Gillespies" sheetId="271" r:id="rId46"/>
    <sheet name="Juniper Green" sheetId="272" r:id="rId47"/>
    <sheet name="Kirkliston" sheetId="273" r:id="rId48"/>
    <sheet name="Leith" sheetId="274" r:id="rId49"/>
    <sheet name="Leith Walk" sheetId="275" r:id="rId50"/>
    <sheet name="Liberton" sheetId="276" r:id="rId51"/>
    <sheet name="Longstone" sheetId="277" r:id="rId52"/>
    <sheet name="Lorne" sheetId="278" r:id="rId53"/>
    <sheet name="Murrayburn" sheetId="279" r:id="rId54"/>
    <sheet name="Nether Currie" sheetId="280" r:id="rId55"/>
    <sheet name="Newcraighall" sheetId="281" r:id="rId56"/>
    <sheet name="Niddrie Mill" sheetId="282" r:id="rId57"/>
    <sheet name="Oxgangs" sheetId="283" r:id="rId58"/>
    <sheet name="Parsons Green" sheetId="284" r:id="rId59"/>
    <sheet name="Pentland" sheetId="285" r:id="rId60"/>
    <sheet name="Pirniehall" sheetId="286" r:id="rId61"/>
    <sheet name="Preston Street" sheetId="287" r:id="rId62"/>
    <sheet name="Prestonfield" sheetId="288" r:id="rId63"/>
    <sheet name="Queensferry" sheetId="289" r:id="rId64"/>
    <sheet name="Ratho" sheetId="290" r:id="rId65"/>
    <sheet name="Roseburn" sheetId="291" r:id="rId66"/>
    <sheet name="Royal Mile" sheetId="292" r:id="rId67"/>
    <sheet name="Sciennes" sheetId="293" r:id="rId68"/>
    <sheet name="Sighthill" sheetId="294" r:id="rId69"/>
    <sheet name="South Morningside" sheetId="295" r:id="rId70"/>
    <sheet name="St Catherines RC" sheetId="296" r:id="rId71"/>
    <sheet name="St Cuthberts RC" sheetId="297" r:id="rId72"/>
    <sheet name="St Davids RC" sheetId="298" r:id="rId73"/>
    <sheet name="St Francis RC" sheetId="299" r:id="rId74"/>
    <sheet name="St John Vianney" sheetId="300" r:id="rId75"/>
    <sheet name="St Johns RC" sheetId="301" r:id="rId76"/>
    <sheet name="St Josephs RC" sheetId="302" r:id="rId77"/>
    <sheet name="St Margarets RC" sheetId="303" r:id="rId78"/>
    <sheet name="St Marks RC" sheetId="304" r:id="rId79"/>
    <sheet name="St Marys Edin" sheetId="305" r:id="rId80"/>
    <sheet name="St Marys Leith" sheetId="306" r:id="rId81"/>
    <sheet name="St Ninians RC" sheetId="307" r:id="rId82"/>
    <sheet name="St Peters RC" sheetId="308" r:id="rId83"/>
    <sheet name="Stenhouse" sheetId="309" r:id="rId84"/>
    <sheet name="Stockbridge" sheetId="310" r:id="rId85"/>
    <sheet name="The Royal High" sheetId="311" r:id="rId86"/>
    <sheet name="Tollcross" sheetId="312" r:id="rId87"/>
    <sheet name="Towerbank" sheetId="313" r:id="rId88"/>
    <sheet name="Trinity" sheetId="314" r:id="rId89"/>
    <sheet name="Victoria" sheetId="315" r:id="rId90"/>
    <sheet name="Wardie" sheetId="316" r:id="rId91"/>
    <sheet name="Capacity" sheetId="219" r:id="rId92"/>
    <sheet name="Catchment Births" sheetId="25" r:id="rId93"/>
    <sheet name="Housing Generation" sheetId="35" r:id="rId94"/>
    <sheet name="Cumulative pupils per year" sheetId="323" r:id="rId95"/>
    <sheet name="P1 Registration 2016" sheetId="228" r:id="rId96"/>
    <sheet name="Birth Estimate and NRS Data" sheetId="317" r:id="rId97"/>
    <sheet name="Catchment Projections" sheetId="320" r:id="rId98"/>
    <sheet name="Rolls" sheetId="329" r:id="rId99"/>
    <sheet name="All P1 In Catchment" sheetId="327" r:id="rId100"/>
    <sheet name="P1 Retained" sheetId="328" r:id="rId101"/>
    <sheet name="Adhoc Projections" sheetId="321" r:id="rId102"/>
    <sheet name="Sheet2" sheetId="325" r:id="rId103"/>
  </sheets>
  <definedNames>
    <definedName name="All_Schools">#REF!</definedName>
    <definedName name="Balgreen_Primary_School">#REF!</definedName>
    <definedName name="_xlnm.Print_Area" localSheetId="3">Abbeyhill!$B$5:$J$161</definedName>
    <definedName name="_xlnm.Print_Area" localSheetId="4">Balgreen!$B$5:$J$161</definedName>
    <definedName name="_xlnm.Print_Area" localSheetId="5">Blackhall!$B$5:$J$161</definedName>
    <definedName name="_xlnm.Print_Area" localSheetId="6">Bonaly!$B$5:$J$161</definedName>
    <definedName name="_xlnm.Print_Area" localSheetId="7">Broomhouse!#REF!</definedName>
    <definedName name="_xlnm.Print_Area" localSheetId="8">Broughton!#REF!</definedName>
    <definedName name="_xlnm.Print_Area" localSheetId="9">Brunstane!#REF!</definedName>
    <definedName name="_xlnm.Print_Area" localSheetId="10">Bruntsfield!$B$5:$K$161</definedName>
    <definedName name="_xlnm.Print_Area" localSheetId="11">Buckstone!#REF!</definedName>
    <definedName name="_xlnm.Print_Area" localSheetId="13">'Canal View'!#REF!</definedName>
    <definedName name="_xlnm.Print_Area" localSheetId="14">'Carrick Knowe'!#REF!</definedName>
    <definedName name="_xlnm.Print_Area" localSheetId="15">Castleview!#REF!</definedName>
    <definedName name="_xlnm.Print_Area" localSheetId="16">Clermiston!#REF!</definedName>
    <definedName name="_xlnm.Print_Area" localSheetId="17">Clovenstone!#REF!</definedName>
    <definedName name="_xlnm.Print_Area" localSheetId="18">Colinton!#REF!</definedName>
    <definedName name="_xlnm.Print_Area" localSheetId="19">Corstorphine!#REF!</definedName>
    <definedName name="_xlnm.Print_Area" localSheetId="20">Craigentinny!#REF!</definedName>
    <definedName name="_xlnm.Print_Area" localSheetId="21">Craiglockhart!#REF!</definedName>
    <definedName name="_xlnm.Print_Area" localSheetId="22">'Craigour Park'!#REF!</definedName>
    <definedName name="_xlnm.Print_Area" localSheetId="23">Craigroyston!#REF!</definedName>
    <definedName name="_xlnm.Print_Area" localSheetId="24">Cramond!#REF!</definedName>
    <definedName name="_xlnm.Print_Area" localSheetId="25">Currie!#REF!</definedName>
    <definedName name="_xlnm.Print_Area" localSheetId="26">Dalmeny!#REF!</definedName>
    <definedName name="_xlnm.Print_Area" localSheetId="27">Dalry!$A$1:$J$161</definedName>
    <definedName name="_xlnm.Print_Area" localSheetId="28">'Davidsons Mains'!#REF!</definedName>
    <definedName name="_xlnm.Print_Area" localSheetId="29">'Dean Park'!#REF!</definedName>
    <definedName name="_xlnm.Print_Area" localSheetId="30">Duddingston!#REF!</definedName>
    <definedName name="_xlnm.Print_Area" localSheetId="31">'East Craigs'!#REF!</definedName>
    <definedName name="_xlnm.Print_Area" localSheetId="32">Echline!#REF!</definedName>
    <definedName name="_xlnm.Print_Area" localSheetId="33">Ferryhill!#REF!</definedName>
    <definedName name="_xlnm.Print_Area" localSheetId="34">'Flora Stevenson'!#REF!</definedName>
    <definedName name="_xlnm.Print_Area" localSheetId="35">Forthview!#REF!</definedName>
    <definedName name="_xlnm.Print_Area" localSheetId="36">'Fox Covert ND'!#REF!</definedName>
    <definedName name="_xlnm.Print_Area" localSheetId="37">'Fox Covert RC'!#REF!</definedName>
    <definedName name="_xlnm.Print_Area" localSheetId="38">Gilmerton!#REF!</definedName>
    <definedName name="_xlnm.Print_Area" localSheetId="39">Gracemount!#REF!</definedName>
    <definedName name="_xlnm.Print_Area" localSheetId="40">Granton!#REF!</definedName>
    <definedName name="_xlnm.Print_Area" localSheetId="41">Gylemuir!#REF!</definedName>
    <definedName name="_xlnm.Print_Area" localSheetId="42">'Hermitage Park'!#REF!</definedName>
    <definedName name="_xlnm.Print_Area" localSheetId="43">Hillwood!#REF!</definedName>
    <definedName name="_xlnm.Print_Area" localSheetId="44">'Holy Cross RC'!#REF!</definedName>
    <definedName name="_xlnm.Print_Area" localSheetId="45">'James Gillespies'!#REF!</definedName>
    <definedName name="_xlnm.Print_Area" localSheetId="46">'Juniper Green'!#REF!</definedName>
    <definedName name="_xlnm.Print_Area" localSheetId="47">Kirkliston!#REF!</definedName>
    <definedName name="_xlnm.Print_Area" localSheetId="48">Leith!#REF!</definedName>
    <definedName name="_xlnm.Print_Area" localSheetId="49">'Leith Walk'!#REF!</definedName>
    <definedName name="_xlnm.Print_Area" localSheetId="50">Liberton!#REF!</definedName>
    <definedName name="_xlnm.Print_Area" localSheetId="51">Longstone!#REF!</definedName>
    <definedName name="_xlnm.Print_Area" localSheetId="52">Lorne!#REF!</definedName>
    <definedName name="_xlnm.Print_Area" localSheetId="53">Murrayburn!#REF!</definedName>
    <definedName name="_xlnm.Print_Area" localSheetId="54">'Nether Currie'!#REF!</definedName>
    <definedName name="_xlnm.Print_Area" localSheetId="55">Newcraighall!#REF!</definedName>
    <definedName name="_xlnm.Print_Area" localSheetId="56">'Niddrie Mill'!#REF!</definedName>
    <definedName name="_xlnm.Print_Area" localSheetId="57">Oxgangs!#REF!</definedName>
    <definedName name="_xlnm.Print_Area" localSheetId="58">'Parsons Green'!#REF!</definedName>
    <definedName name="_xlnm.Print_Area" localSheetId="59">Pentland!#REF!</definedName>
    <definedName name="_xlnm.Print_Area" localSheetId="60">Pirniehall!#REF!</definedName>
    <definedName name="_xlnm.Print_Area" localSheetId="61">'Preston Street'!#REF!</definedName>
    <definedName name="_xlnm.Print_Area" localSheetId="62">Prestonfield!#REF!</definedName>
    <definedName name="_xlnm.Print_Area" localSheetId="1">Projection_Summary!$A$1:$S$94</definedName>
    <definedName name="_xlnm.Print_Area" localSheetId="63">Queensferry!#REF!</definedName>
    <definedName name="_xlnm.Print_Area" localSheetId="64">Ratho!#REF!</definedName>
    <definedName name="_xlnm.Print_Area" localSheetId="65">Roseburn!#REF!</definedName>
    <definedName name="_xlnm.Print_Area" localSheetId="66">'Royal Mile'!#REF!</definedName>
    <definedName name="_xlnm.Print_Area" localSheetId="67">Sciennes!#REF!</definedName>
    <definedName name="_xlnm.Print_Area" localSheetId="68">Sighthill!#REF!</definedName>
    <definedName name="_xlnm.Print_Area" localSheetId="69">'South Morningside'!#REF!</definedName>
    <definedName name="_xlnm.Print_Area" localSheetId="70">'St Catherines RC'!#REF!</definedName>
    <definedName name="_xlnm.Print_Area" localSheetId="71">'St Cuthberts RC'!#REF!</definedName>
    <definedName name="_xlnm.Print_Area" localSheetId="72">'St Davids RC'!#REF!</definedName>
    <definedName name="_xlnm.Print_Area" localSheetId="73">'St Francis RC'!#REF!</definedName>
    <definedName name="_xlnm.Print_Area" localSheetId="74">'St John Vianney'!#REF!</definedName>
    <definedName name="_xlnm.Print_Area" localSheetId="75">'St Johns RC'!#REF!</definedName>
    <definedName name="_xlnm.Print_Area" localSheetId="76">'St Josephs RC'!#REF!</definedName>
    <definedName name="_xlnm.Print_Area" localSheetId="77">'St Margarets RC'!#REF!</definedName>
    <definedName name="_xlnm.Print_Area" localSheetId="78">'St Marks RC'!#REF!</definedName>
    <definedName name="_xlnm.Print_Area" localSheetId="79">'St Marys Edin'!#REF!</definedName>
    <definedName name="_xlnm.Print_Area" localSheetId="80">'St Marys Leith'!#REF!</definedName>
    <definedName name="_xlnm.Print_Area" localSheetId="81">'St Ninians RC'!#REF!</definedName>
    <definedName name="_xlnm.Print_Area" localSheetId="82">'St Peters RC'!#REF!</definedName>
    <definedName name="_xlnm.Print_Area" localSheetId="83">Stenhouse!#REF!</definedName>
    <definedName name="_xlnm.Print_Area" localSheetId="84">Stockbridge!#REF!</definedName>
    <definedName name="_xlnm.Print_Area" localSheetId="85">'The Royal High'!#REF!</definedName>
    <definedName name="_xlnm.Print_Area" localSheetId="86">Tollcross!#REF!</definedName>
    <definedName name="_xlnm.Print_Area" localSheetId="87">Towerbank!#REF!</definedName>
    <definedName name="_xlnm.Print_Area" localSheetId="88">Trinity!#REF!</definedName>
    <definedName name="_xlnm.Print_Area" localSheetId="89">Victoria!#REF!</definedName>
    <definedName name="_xlnm.Print_Area" localSheetId="90">Wardie!#REF!</definedName>
  </definedNames>
  <calcPr calcId="152511"/>
</workbook>
</file>

<file path=xl/calcChain.xml><?xml version="1.0" encoding="utf-8"?>
<calcChain xmlns="http://schemas.openxmlformats.org/spreadsheetml/2006/main">
  <c r="B93" i="217" l="1"/>
  <c r="B92" i="217"/>
  <c r="B91" i="217"/>
  <c r="B90" i="217"/>
  <c r="B89" i="217"/>
  <c r="B88" i="217"/>
  <c r="B87" i="217"/>
  <c r="B86" i="217"/>
  <c r="B85" i="217"/>
  <c r="B84" i="217"/>
  <c r="B83" i="217"/>
  <c r="B82" i="217"/>
  <c r="B81" i="217"/>
  <c r="B61" i="217"/>
  <c r="B62" i="217"/>
  <c r="B63" i="217"/>
  <c r="B64" i="217"/>
  <c r="B65" i="217"/>
  <c r="B66" i="217"/>
  <c r="B67" i="217"/>
  <c r="B68" i="217"/>
  <c r="B69" i="217"/>
  <c r="B70" i="217"/>
  <c r="B71" i="217"/>
  <c r="B72" i="217"/>
  <c r="B73" i="217"/>
  <c r="B74" i="217"/>
  <c r="B75" i="217"/>
  <c r="B76" i="217"/>
  <c r="B77" i="217"/>
  <c r="B78" i="217"/>
  <c r="B79" i="217"/>
  <c r="B80" i="217"/>
  <c r="B40" i="217"/>
  <c r="B41" i="217"/>
  <c r="B42" i="217"/>
  <c r="B43" i="217"/>
  <c r="B44" i="217"/>
  <c r="B45" i="217"/>
  <c r="B46" i="217"/>
  <c r="B47" i="217"/>
  <c r="B48" i="217"/>
  <c r="B49" i="217"/>
  <c r="B50" i="217"/>
  <c r="B51" i="217"/>
  <c r="B52" i="217"/>
  <c r="B53" i="217"/>
  <c r="B54" i="217"/>
  <c r="B55" i="217"/>
  <c r="B56" i="217"/>
  <c r="B57" i="217"/>
  <c r="B58" i="217"/>
  <c r="B59" i="217"/>
  <c r="B60" i="217"/>
  <c r="B30" i="217"/>
  <c r="B31" i="217"/>
  <c r="B32" i="217"/>
  <c r="B33" i="217"/>
  <c r="B34" i="217"/>
  <c r="B35" i="217"/>
  <c r="B36" i="217"/>
  <c r="B37" i="217"/>
  <c r="B38" i="217"/>
  <c r="B39" i="217"/>
  <c r="B18" i="217"/>
  <c r="B19" i="217"/>
  <c r="B20" i="217"/>
  <c r="B21" i="217"/>
  <c r="B22" i="217"/>
  <c r="B23" i="217"/>
  <c r="B24" i="217"/>
  <c r="B25" i="217"/>
  <c r="B26" i="217"/>
  <c r="B27" i="217"/>
  <c r="B28" i="217"/>
  <c r="B29" i="217"/>
  <c r="B7" i="217"/>
  <c r="B8" i="217"/>
  <c r="B9" i="217"/>
  <c r="B10" i="217"/>
  <c r="B11" i="217"/>
  <c r="B12" i="217"/>
  <c r="B13" i="217"/>
  <c r="B14" i="217"/>
  <c r="B15" i="217"/>
  <c r="B16" i="217"/>
  <c r="B17" i="217"/>
  <c r="B6" i="217"/>
  <c r="J2" i="219"/>
  <c r="H64" i="309" l="1"/>
  <c r="H63" i="309"/>
  <c r="H62" i="309"/>
  <c r="H61" i="309"/>
  <c r="H60" i="309"/>
  <c r="H64" i="310"/>
  <c r="H63" i="310"/>
  <c r="H62" i="310"/>
  <c r="H61" i="310"/>
  <c r="H60" i="310"/>
  <c r="H64" i="311"/>
  <c r="H63" i="311"/>
  <c r="H62" i="311"/>
  <c r="H61" i="311"/>
  <c r="H60" i="311"/>
  <c r="H64" i="312"/>
  <c r="H63" i="312"/>
  <c r="H62" i="312"/>
  <c r="H61" i="312"/>
  <c r="H60" i="312"/>
  <c r="H64" i="313"/>
  <c r="H63" i="313"/>
  <c r="H62" i="313"/>
  <c r="H61" i="313"/>
  <c r="H60" i="313"/>
  <c r="H64" i="314"/>
  <c r="H63" i="314"/>
  <c r="H62" i="314"/>
  <c r="H61" i="314"/>
  <c r="H60" i="314"/>
  <c r="H64" i="315"/>
  <c r="H63" i="315"/>
  <c r="H62" i="315"/>
  <c r="H61" i="315"/>
  <c r="H60" i="315"/>
  <c r="H64" i="316"/>
  <c r="H63" i="316"/>
  <c r="H62" i="316"/>
  <c r="H61" i="316"/>
  <c r="H60" i="316"/>
  <c r="H64" i="308"/>
  <c r="H63" i="308"/>
  <c r="H62" i="308"/>
  <c r="H61" i="308"/>
  <c r="H60" i="308"/>
  <c r="H64" i="297"/>
  <c r="H63" i="297"/>
  <c r="H62" i="297"/>
  <c r="H61" i="297"/>
  <c r="H60" i="297"/>
  <c r="H64" i="298"/>
  <c r="H63" i="298"/>
  <c r="H62" i="298"/>
  <c r="H61" i="298"/>
  <c r="H60" i="298"/>
  <c r="H64" i="299"/>
  <c r="H63" i="299"/>
  <c r="H62" i="299"/>
  <c r="H61" i="299"/>
  <c r="H60" i="299"/>
  <c r="H64" i="300"/>
  <c r="H63" i="300"/>
  <c r="H62" i="300"/>
  <c r="H61" i="300"/>
  <c r="H60" i="300"/>
  <c r="H64" i="301"/>
  <c r="H63" i="301"/>
  <c r="H62" i="301"/>
  <c r="H61" i="301"/>
  <c r="H60" i="301"/>
  <c r="H64" i="302"/>
  <c r="H63" i="302"/>
  <c r="H62" i="302"/>
  <c r="H61" i="302"/>
  <c r="H60" i="302"/>
  <c r="H64" i="303"/>
  <c r="H63" i="303"/>
  <c r="H62" i="303"/>
  <c r="H61" i="303"/>
  <c r="H60" i="303"/>
  <c r="H64" i="304"/>
  <c r="H63" i="304"/>
  <c r="H62" i="304"/>
  <c r="H61" i="304"/>
  <c r="H60" i="304"/>
  <c r="H64" i="305"/>
  <c r="H63" i="305"/>
  <c r="H62" i="305"/>
  <c r="H61" i="305"/>
  <c r="H60" i="305"/>
  <c r="H64" i="306"/>
  <c r="H63" i="306"/>
  <c r="H62" i="306"/>
  <c r="H61" i="306"/>
  <c r="H60" i="306"/>
  <c r="H64" i="307"/>
  <c r="H63" i="307"/>
  <c r="H62" i="307"/>
  <c r="H61" i="307"/>
  <c r="H60" i="307"/>
  <c r="H64" i="296"/>
  <c r="H63" i="296"/>
  <c r="H62" i="296"/>
  <c r="H61" i="296"/>
  <c r="H60" i="296"/>
  <c r="H64" i="291"/>
  <c r="H63" i="291"/>
  <c r="H62" i="291"/>
  <c r="H61" i="291"/>
  <c r="H60" i="291"/>
  <c r="H64" i="292"/>
  <c r="H63" i="292"/>
  <c r="H62" i="292"/>
  <c r="H61" i="292"/>
  <c r="H60" i="292"/>
  <c r="H64" i="293"/>
  <c r="H63" i="293"/>
  <c r="H62" i="293"/>
  <c r="H61" i="293"/>
  <c r="H60" i="293"/>
  <c r="H64" i="294"/>
  <c r="H63" i="294"/>
  <c r="H62" i="294"/>
  <c r="H61" i="294"/>
  <c r="H60" i="294"/>
  <c r="H64" i="295"/>
  <c r="H63" i="295"/>
  <c r="H62" i="295"/>
  <c r="H61" i="295"/>
  <c r="H60" i="295"/>
  <c r="H64" i="290"/>
  <c r="H63" i="290"/>
  <c r="H62" i="290"/>
  <c r="H61" i="290"/>
  <c r="H60" i="290"/>
  <c r="H64" i="285"/>
  <c r="H63" i="285"/>
  <c r="H62" i="285"/>
  <c r="H61" i="285"/>
  <c r="H60" i="285"/>
  <c r="H64" i="286"/>
  <c r="H63" i="286"/>
  <c r="H62" i="286"/>
  <c r="H61" i="286"/>
  <c r="H60" i="286"/>
  <c r="H64" i="287"/>
  <c r="H63" i="287"/>
  <c r="H62" i="287"/>
  <c r="H61" i="287"/>
  <c r="H60" i="287"/>
  <c r="H64" i="288"/>
  <c r="H63" i="288"/>
  <c r="H62" i="288"/>
  <c r="H61" i="288"/>
  <c r="H60" i="288"/>
  <c r="H64" i="289"/>
  <c r="H63" i="289"/>
  <c r="H62" i="289"/>
  <c r="H61" i="289"/>
  <c r="H60" i="289"/>
  <c r="H64" i="284"/>
  <c r="H63" i="284"/>
  <c r="H62" i="284"/>
  <c r="H61" i="284"/>
  <c r="H60" i="284"/>
  <c r="H64" i="280"/>
  <c r="H63" i="280"/>
  <c r="H62" i="280"/>
  <c r="H61" i="280"/>
  <c r="H60" i="280"/>
  <c r="H64" i="281"/>
  <c r="H63" i="281"/>
  <c r="H62" i="281"/>
  <c r="H61" i="281"/>
  <c r="H60" i="281"/>
  <c r="H64" i="282"/>
  <c r="H63" i="282"/>
  <c r="H62" i="282"/>
  <c r="H61" i="282"/>
  <c r="H60" i="282"/>
  <c r="H64" i="283"/>
  <c r="H63" i="283"/>
  <c r="H62" i="283"/>
  <c r="H61" i="283"/>
  <c r="H60" i="283"/>
  <c r="H64" i="279"/>
  <c r="H63" i="279"/>
  <c r="H62" i="279"/>
  <c r="H61" i="279"/>
  <c r="H60" i="279"/>
  <c r="H64" i="273"/>
  <c r="H63" i="273"/>
  <c r="H62" i="273"/>
  <c r="H61" i="273"/>
  <c r="H60" i="273"/>
  <c r="H64" i="274"/>
  <c r="H63" i="274"/>
  <c r="H62" i="274"/>
  <c r="H61" i="274"/>
  <c r="H60" i="274"/>
  <c r="H64" i="275"/>
  <c r="H63" i="275"/>
  <c r="H62" i="275"/>
  <c r="H61" i="275"/>
  <c r="H60" i="275"/>
  <c r="H64" i="276"/>
  <c r="H63" i="276"/>
  <c r="H62" i="276"/>
  <c r="H61" i="276"/>
  <c r="H60" i="276"/>
  <c r="H64" i="277"/>
  <c r="H63" i="277"/>
  <c r="H62" i="277"/>
  <c r="H61" i="277"/>
  <c r="H60" i="277"/>
  <c r="H64" i="278"/>
  <c r="H63" i="278"/>
  <c r="H62" i="278"/>
  <c r="H61" i="278"/>
  <c r="H60" i="278"/>
  <c r="H64" i="272"/>
  <c r="H63" i="272"/>
  <c r="H62" i="272"/>
  <c r="H61" i="272"/>
  <c r="H60" i="272"/>
  <c r="H64" i="271"/>
  <c r="H63" i="271"/>
  <c r="H62" i="271"/>
  <c r="H61" i="271"/>
  <c r="H60" i="271"/>
  <c r="H64" i="265"/>
  <c r="H63" i="265"/>
  <c r="H62" i="265"/>
  <c r="H61" i="265"/>
  <c r="H60" i="265"/>
  <c r="H64" i="266"/>
  <c r="H63" i="266"/>
  <c r="H62" i="266"/>
  <c r="H61" i="266"/>
  <c r="H60" i="266"/>
  <c r="H64" i="267"/>
  <c r="H63" i="267"/>
  <c r="H62" i="267"/>
  <c r="H61" i="267"/>
  <c r="H60" i="267"/>
  <c r="H64" i="268"/>
  <c r="H63" i="268"/>
  <c r="H62" i="268"/>
  <c r="H61" i="268"/>
  <c r="H60" i="268"/>
  <c r="H64" i="269"/>
  <c r="H63" i="269"/>
  <c r="H62" i="269"/>
  <c r="H61" i="269"/>
  <c r="H60" i="269"/>
  <c r="H64" i="270"/>
  <c r="H63" i="270"/>
  <c r="H62" i="270"/>
  <c r="H61" i="270"/>
  <c r="H60" i="270"/>
  <c r="H64" i="264"/>
  <c r="H63" i="264"/>
  <c r="H62" i="264"/>
  <c r="H61" i="264"/>
  <c r="H60" i="264"/>
  <c r="H64" i="263"/>
  <c r="H63" i="263"/>
  <c r="H62" i="263"/>
  <c r="H61" i="263"/>
  <c r="H60" i="263"/>
  <c r="H64" i="258"/>
  <c r="H63" i="258"/>
  <c r="H62" i="258"/>
  <c r="H61" i="258"/>
  <c r="H60" i="258"/>
  <c r="H64" i="259"/>
  <c r="H63" i="259"/>
  <c r="H62" i="259"/>
  <c r="H61" i="259"/>
  <c r="H60" i="259"/>
  <c r="H64" i="260"/>
  <c r="H63" i="260"/>
  <c r="H62" i="260"/>
  <c r="H61" i="260"/>
  <c r="H60" i="260"/>
  <c r="H64" i="261"/>
  <c r="H63" i="261"/>
  <c r="H62" i="261"/>
  <c r="H61" i="261"/>
  <c r="H60" i="261"/>
  <c r="H64" i="262"/>
  <c r="H63" i="262"/>
  <c r="H62" i="262"/>
  <c r="H61" i="262"/>
  <c r="H60" i="262"/>
  <c r="H64" i="257"/>
  <c r="H63" i="257"/>
  <c r="H62" i="257"/>
  <c r="H61" i="257"/>
  <c r="H60" i="257"/>
  <c r="H64" i="251"/>
  <c r="H63" i="251"/>
  <c r="H62" i="251"/>
  <c r="H61" i="251"/>
  <c r="H60" i="251"/>
  <c r="H64" i="252"/>
  <c r="H63" i="252"/>
  <c r="H62" i="252"/>
  <c r="H61" i="252"/>
  <c r="H60" i="252"/>
  <c r="H64" i="253"/>
  <c r="H63" i="253"/>
  <c r="H62" i="253"/>
  <c r="H61" i="253"/>
  <c r="H60" i="253"/>
  <c r="H64" i="254"/>
  <c r="H63" i="254"/>
  <c r="H62" i="254"/>
  <c r="H61" i="254"/>
  <c r="H60" i="254"/>
  <c r="H64" i="255"/>
  <c r="H63" i="255"/>
  <c r="H62" i="255"/>
  <c r="H61" i="255"/>
  <c r="H60" i="255"/>
  <c r="H64" i="256"/>
  <c r="H63" i="256"/>
  <c r="H62" i="256"/>
  <c r="H61" i="256"/>
  <c r="H60" i="256"/>
  <c r="H64" i="250"/>
  <c r="H63" i="250"/>
  <c r="H62" i="250"/>
  <c r="H61" i="250"/>
  <c r="H60" i="250"/>
  <c r="H64" i="246"/>
  <c r="H63" i="246"/>
  <c r="H62" i="246"/>
  <c r="H61" i="246"/>
  <c r="H60" i="246"/>
  <c r="H64" i="247"/>
  <c r="H63" i="247"/>
  <c r="H62" i="247"/>
  <c r="H61" i="247"/>
  <c r="H60" i="247"/>
  <c r="H64" i="248"/>
  <c r="H63" i="248"/>
  <c r="H62" i="248"/>
  <c r="H61" i="248"/>
  <c r="H60" i="248"/>
  <c r="H64" i="249"/>
  <c r="H63" i="249"/>
  <c r="H62" i="249"/>
  <c r="H61" i="249"/>
  <c r="H60" i="249"/>
  <c r="H64" i="245"/>
  <c r="H63" i="245"/>
  <c r="H62" i="245"/>
  <c r="H61" i="245"/>
  <c r="H60" i="245"/>
  <c r="H64" i="241"/>
  <c r="H63" i="241"/>
  <c r="H62" i="241"/>
  <c r="H61" i="241"/>
  <c r="H60" i="241"/>
  <c r="H64" i="242"/>
  <c r="H63" i="242"/>
  <c r="H62" i="242"/>
  <c r="H61" i="242"/>
  <c r="H60" i="242"/>
  <c r="H64" i="243"/>
  <c r="H63" i="243"/>
  <c r="H62" i="243"/>
  <c r="H61" i="243"/>
  <c r="H60" i="243"/>
  <c r="H64" i="244"/>
  <c r="H63" i="244"/>
  <c r="H62" i="244"/>
  <c r="H61" i="244"/>
  <c r="H60" i="244"/>
  <c r="H64" i="240"/>
  <c r="H63" i="240"/>
  <c r="H62" i="240"/>
  <c r="H61" i="240"/>
  <c r="H60" i="240"/>
  <c r="H64" i="239"/>
  <c r="H63" i="239"/>
  <c r="H62" i="239"/>
  <c r="H61" i="239"/>
  <c r="H60" i="239"/>
  <c r="H64" i="237"/>
  <c r="H63" i="237"/>
  <c r="H62" i="237"/>
  <c r="H61" i="237"/>
  <c r="H60" i="237"/>
  <c r="H64" i="236"/>
  <c r="H63" i="236"/>
  <c r="H62" i="236"/>
  <c r="H61" i="236"/>
  <c r="H60" i="236"/>
  <c r="H64" i="235"/>
  <c r="H63" i="235"/>
  <c r="H62" i="235"/>
  <c r="H61" i="235"/>
  <c r="H60" i="235"/>
  <c r="H64" i="234"/>
  <c r="H63" i="234"/>
  <c r="H62" i="234"/>
  <c r="H61" i="234"/>
  <c r="H60" i="234"/>
  <c r="H64" i="233"/>
  <c r="H63" i="233"/>
  <c r="H62" i="233"/>
  <c r="H61" i="233"/>
  <c r="H60" i="233"/>
  <c r="H64" i="232"/>
  <c r="H63" i="232"/>
  <c r="H62" i="232"/>
  <c r="H61" i="232"/>
  <c r="H60" i="232"/>
  <c r="H64" i="231"/>
  <c r="H63" i="231"/>
  <c r="H62" i="231"/>
  <c r="H61" i="231"/>
  <c r="H60" i="231"/>
  <c r="H64" i="230"/>
  <c r="H63" i="230"/>
  <c r="H62" i="230"/>
  <c r="H61" i="230"/>
  <c r="H60" i="230"/>
  <c r="H64" i="229"/>
  <c r="H63" i="229"/>
  <c r="H62" i="229"/>
  <c r="H61" i="229"/>
  <c r="H60" i="229"/>
  <c r="H9" i="238" l="1"/>
  <c r="J9" i="238" s="1"/>
  <c r="I9" i="238"/>
  <c r="G23" i="238"/>
  <c r="F23" i="238"/>
  <c r="C23" i="238"/>
  <c r="G9" i="238"/>
  <c r="F9" i="238"/>
  <c r="F15" i="238"/>
  <c r="G15" i="238" s="1"/>
  <c r="F14" i="238"/>
  <c r="F13" i="238"/>
  <c r="G14" i="238" s="1"/>
  <c r="F12" i="238"/>
  <c r="G13" i="238" s="1"/>
  <c r="F11" i="238"/>
  <c r="G11" i="238" s="1"/>
  <c r="F10" i="238"/>
  <c r="K9" i="238" l="1"/>
  <c r="H14" i="238"/>
  <c r="H15" i="238"/>
  <c r="I15" i="238" s="1"/>
  <c r="G12" i="238"/>
  <c r="H13" i="238" s="1"/>
  <c r="I14" i="238" s="1"/>
  <c r="G10" i="238"/>
  <c r="H11" i="238" s="1"/>
  <c r="N9" i="238" l="1"/>
  <c r="L9" i="238"/>
  <c r="M9" i="238"/>
  <c r="I12" i="238"/>
  <c r="J13" i="238" s="1"/>
  <c r="H10" i="238"/>
  <c r="I10" i="238" s="1"/>
  <c r="J10" i="238" s="1"/>
  <c r="K10" i="238" s="1"/>
  <c r="L10" i="238" s="1"/>
  <c r="H12" i="238"/>
  <c r="I13" i="238" s="1"/>
  <c r="J15" i="238"/>
  <c r="J14" i="238"/>
  <c r="B136" i="316"/>
  <c r="B118" i="316"/>
  <c r="B100" i="316"/>
  <c r="B57" i="316"/>
  <c r="B46" i="316"/>
  <c r="J96" i="316"/>
  <c r="I96" i="316"/>
  <c r="H96" i="316"/>
  <c r="G96" i="316"/>
  <c r="F96" i="316"/>
  <c r="E96" i="316"/>
  <c r="D96" i="316"/>
  <c r="C96" i="316"/>
  <c r="J95" i="316"/>
  <c r="I95" i="316"/>
  <c r="H95" i="316"/>
  <c r="G95" i="316"/>
  <c r="F95" i="316"/>
  <c r="E95" i="316"/>
  <c r="D95" i="316"/>
  <c r="C95" i="316"/>
  <c r="J94" i="316"/>
  <c r="I94" i="316"/>
  <c r="H94" i="316"/>
  <c r="G94" i="316"/>
  <c r="F94" i="316"/>
  <c r="E94" i="316"/>
  <c r="D94" i="316"/>
  <c r="C94" i="316"/>
  <c r="J93" i="316"/>
  <c r="I93" i="316"/>
  <c r="H93" i="316"/>
  <c r="G93" i="316"/>
  <c r="F93" i="316"/>
  <c r="E93" i="316"/>
  <c r="D93" i="316"/>
  <c r="C93" i="316"/>
  <c r="J92" i="316"/>
  <c r="I92" i="316"/>
  <c r="H92" i="316"/>
  <c r="G92" i="316"/>
  <c r="F92" i="316"/>
  <c r="E92" i="316"/>
  <c r="D92" i="316"/>
  <c r="C92" i="316"/>
  <c r="J91" i="316"/>
  <c r="I91" i="316"/>
  <c r="H91" i="316"/>
  <c r="G91" i="316"/>
  <c r="F91" i="316"/>
  <c r="E91" i="316"/>
  <c r="D91" i="316"/>
  <c r="C91" i="316"/>
  <c r="B174" i="316"/>
  <c r="J193" i="316"/>
  <c r="I193" i="316"/>
  <c r="H193" i="316"/>
  <c r="G193" i="316"/>
  <c r="F193" i="316"/>
  <c r="E193" i="316"/>
  <c r="D193" i="316"/>
  <c r="C193" i="316"/>
  <c r="B136" i="315"/>
  <c r="B118" i="315"/>
  <c r="B100" i="315"/>
  <c r="B57" i="315"/>
  <c r="B46" i="315"/>
  <c r="J96" i="315"/>
  <c r="I96" i="315"/>
  <c r="H96" i="315"/>
  <c r="G96" i="315"/>
  <c r="F96" i="315"/>
  <c r="E96" i="315"/>
  <c r="D96" i="315"/>
  <c r="C96" i="315"/>
  <c r="J95" i="315"/>
  <c r="I95" i="315"/>
  <c r="H95" i="315"/>
  <c r="G95" i="315"/>
  <c r="F95" i="315"/>
  <c r="E95" i="315"/>
  <c r="D95" i="315"/>
  <c r="C95" i="315"/>
  <c r="J94" i="315"/>
  <c r="I94" i="315"/>
  <c r="H94" i="315"/>
  <c r="G94" i="315"/>
  <c r="F94" i="315"/>
  <c r="E94" i="315"/>
  <c r="D94" i="315"/>
  <c r="C94" i="315"/>
  <c r="J93" i="315"/>
  <c r="I93" i="315"/>
  <c r="H93" i="315"/>
  <c r="G93" i="315"/>
  <c r="F93" i="315"/>
  <c r="E93" i="315"/>
  <c r="D93" i="315"/>
  <c r="C93" i="315"/>
  <c r="J92" i="315"/>
  <c r="I92" i="315"/>
  <c r="H92" i="315"/>
  <c r="G92" i="315"/>
  <c r="F92" i="315"/>
  <c r="E92" i="315"/>
  <c r="D92" i="315"/>
  <c r="C92" i="315"/>
  <c r="J91" i="315"/>
  <c r="I91" i="315"/>
  <c r="H91" i="315"/>
  <c r="G91" i="315"/>
  <c r="F91" i="315"/>
  <c r="E91" i="315"/>
  <c r="D91" i="315"/>
  <c r="C91" i="315"/>
  <c r="B174" i="315"/>
  <c r="J193" i="315"/>
  <c r="I193" i="315"/>
  <c r="H193" i="315"/>
  <c r="G193" i="315"/>
  <c r="F193" i="315"/>
  <c r="E193" i="315"/>
  <c r="D193" i="315"/>
  <c r="C193" i="315"/>
  <c r="B136" i="314"/>
  <c r="B118" i="314"/>
  <c r="B100" i="314"/>
  <c r="B57" i="314"/>
  <c r="B46" i="314"/>
  <c r="J96" i="314"/>
  <c r="I96" i="314"/>
  <c r="H96" i="314"/>
  <c r="G96" i="314"/>
  <c r="F96" i="314"/>
  <c r="E96" i="314"/>
  <c r="D96" i="314"/>
  <c r="C96" i="314"/>
  <c r="J95" i="314"/>
  <c r="I95" i="314"/>
  <c r="H95" i="314"/>
  <c r="G95" i="314"/>
  <c r="F95" i="314"/>
  <c r="E95" i="314"/>
  <c r="D95" i="314"/>
  <c r="C95" i="314"/>
  <c r="J94" i="314"/>
  <c r="I94" i="314"/>
  <c r="H94" i="314"/>
  <c r="G94" i="314"/>
  <c r="F94" i="314"/>
  <c r="E94" i="314"/>
  <c r="D94" i="314"/>
  <c r="C94" i="314"/>
  <c r="J93" i="314"/>
  <c r="I93" i="314"/>
  <c r="H93" i="314"/>
  <c r="G93" i="314"/>
  <c r="F93" i="314"/>
  <c r="E93" i="314"/>
  <c r="D93" i="314"/>
  <c r="C93" i="314"/>
  <c r="J92" i="314"/>
  <c r="I92" i="314"/>
  <c r="H92" i="314"/>
  <c r="G92" i="314"/>
  <c r="F92" i="314"/>
  <c r="E92" i="314"/>
  <c r="D92" i="314"/>
  <c r="C92" i="314"/>
  <c r="J91" i="314"/>
  <c r="I91" i="314"/>
  <c r="H91" i="314"/>
  <c r="G91" i="314"/>
  <c r="F91" i="314"/>
  <c r="E91" i="314"/>
  <c r="D91" i="314"/>
  <c r="C91" i="314"/>
  <c r="B174" i="314"/>
  <c r="J193" i="314"/>
  <c r="I193" i="314"/>
  <c r="H193" i="314"/>
  <c r="G193" i="314"/>
  <c r="F193" i="314"/>
  <c r="E193" i="314"/>
  <c r="D193" i="314"/>
  <c r="C193" i="314"/>
  <c r="B136" i="313"/>
  <c r="B118" i="313"/>
  <c r="B100" i="313"/>
  <c r="B57" i="313"/>
  <c r="B46" i="313"/>
  <c r="J96" i="313"/>
  <c r="I96" i="313"/>
  <c r="H96" i="313"/>
  <c r="G96" i="313"/>
  <c r="F96" i="313"/>
  <c r="E96" i="313"/>
  <c r="D96" i="313"/>
  <c r="C96" i="313"/>
  <c r="J95" i="313"/>
  <c r="I95" i="313"/>
  <c r="H95" i="313"/>
  <c r="G95" i="313"/>
  <c r="F95" i="313"/>
  <c r="E95" i="313"/>
  <c r="D95" i="313"/>
  <c r="C95" i="313"/>
  <c r="J94" i="313"/>
  <c r="I94" i="313"/>
  <c r="H94" i="313"/>
  <c r="G94" i="313"/>
  <c r="F94" i="313"/>
  <c r="E94" i="313"/>
  <c r="D94" i="313"/>
  <c r="C94" i="313"/>
  <c r="J93" i="313"/>
  <c r="I93" i="313"/>
  <c r="H93" i="313"/>
  <c r="G93" i="313"/>
  <c r="F93" i="313"/>
  <c r="E93" i="313"/>
  <c r="D93" i="313"/>
  <c r="C93" i="313"/>
  <c r="J92" i="313"/>
  <c r="I92" i="313"/>
  <c r="H92" i="313"/>
  <c r="G92" i="313"/>
  <c r="F92" i="313"/>
  <c r="E92" i="313"/>
  <c r="D92" i="313"/>
  <c r="C92" i="313"/>
  <c r="J91" i="313"/>
  <c r="I91" i="313"/>
  <c r="H91" i="313"/>
  <c r="G91" i="313"/>
  <c r="F91" i="313"/>
  <c r="E91" i="313"/>
  <c r="D91" i="313"/>
  <c r="C91" i="313"/>
  <c r="B174" i="313"/>
  <c r="J193" i="313"/>
  <c r="I193" i="313"/>
  <c r="H193" i="313"/>
  <c r="G193" i="313"/>
  <c r="F193" i="313"/>
  <c r="E193" i="313"/>
  <c r="D193" i="313"/>
  <c r="C193" i="313"/>
  <c r="B136" i="312"/>
  <c r="B118" i="312"/>
  <c r="B100" i="312"/>
  <c r="B57" i="312"/>
  <c r="B46" i="312"/>
  <c r="J96" i="312"/>
  <c r="I96" i="312"/>
  <c r="H96" i="312"/>
  <c r="G96" i="312"/>
  <c r="F96" i="312"/>
  <c r="E96" i="312"/>
  <c r="D96" i="312"/>
  <c r="C96" i="312"/>
  <c r="J95" i="312"/>
  <c r="I95" i="312"/>
  <c r="H95" i="312"/>
  <c r="G95" i="312"/>
  <c r="F95" i="312"/>
  <c r="E95" i="312"/>
  <c r="D95" i="312"/>
  <c r="C95" i="312"/>
  <c r="J94" i="312"/>
  <c r="I94" i="312"/>
  <c r="H94" i="312"/>
  <c r="G94" i="312"/>
  <c r="F94" i="312"/>
  <c r="E94" i="312"/>
  <c r="D94" i="312"/>
  <c r="C94" i="312"/>
  <c r="J93" i="312"/>
  <c r="I93" i="312"/>
  <c r="H93" i="312"/>
  <c r="G93" i="312"/>
  <c r="F93" i="312"/>
  <c r="E93" i="312"/>
  <c r="D93" i="312"/>
  <c r="C93" i="312"/>
  <c r="J92" i="312"/>
  <c r="I92" i="312"/>
  <c r="H92" i="312"/>
  <c r="G92" i="312"/>
  <c r="F92" i="312"/>
  <c r="E92" i="312"/>
  <c r="D92" i="312"/>
  <c r="C92" i="312"/>
  <c r="J91" i="312"/>
  <c r="I91" i="312"/>
  <c r="H91" i="312"/>
  <c r="G91" i="312"/>
  <c r="F91" i="312"/>
  <c r="E91" i="312"/>
  <c r="D91" i="312"/>
  <c r="C91" i="312"/>
  <c r="B174" i="312"/>
  <c r="J193" i="312"/>
  <c r="I193" i="312"/>
  <c r="H193" i="312"/>
  <c r="G193" i="312"/>
  <c r="F193" i="312"/>
  <c r="E193" i="312"/>
  <c r="D193" i="312"/>
  <c r="C193" i="312"/>
  <c r="B136" i="311"/>
  <c r="B118" i="311"/>
  <c r="B100" i="311"/>
  <c r="B57" i="311"/>
  <c r="B46" i="311"/>
  <c r="J96" i="311"/>
  <c r="I96" i="311"/>
  <c r="H96" i="311"/>
  <c r="G96" i="311"/>
  <c r="F96" i="311"/>
  <c r="E96" i="311"/>
  <c r="D96" i="311"/>
  <c r="C96" i="311"/>
  <c r="J95" i="311"/>
  <c r="I95" i="311"/>
  <c r="H95" i="311"/>
  <c r="G95" i="311"/>
  <c r="F95" i="311"/>
  <c r="E95" i="311"/>
  <c r="D95" i="311"/>
  <c r="C95" i="311"/>
  <c r="J94" i="311"/>
  <c r="I94" i="311"/>
  <c r="H94" i="311"/>
  <c r="G94" i="311"/>
  <c r="F94" i="311"/>
  <c r="E94" i="311"/>
  <c r="D94" i="311"/>
  <c r="C94" i="311"/>
  <c r="J93" i="311"/>
  <c r="I93" i="311"/>
  <c r="H93" i="311"/>
  <c r="G93" i="311"/>
  <c r="F93" i="311"/>
  <c r="E93" i="311"/>
  <c r="D93" i="311"/>
  <c r="C93" i="311"/>
  <c r="J92" i="311"/>
  <c r="I92" i="311"/>
  <c r="H92" i="311"/>
  <c r="G92" i="311"/>
  <c r="F92" i="311"/>
  <c r="E92" i="311"/>
  <c r="D92" i="311"/>
  <c r="C92" i="311"/>
  <c r="J91" i="311"/>
  <c r="I91" i="311"/>
  <c r="H91" i="311"/>
  <c r="G91" i="311"/>
  <c r="F91" i="311"/>
  <c r="E91" i="311"/>
  <c r="D91" i="311"/>
  <c r="C91" i="311"/>
  <c r="B174" i="311"/>
  <c r="J193" i="311"/>
  <c r="I193" i="311"/>
  <c r="H193" i="311"/>
  <c r="G193" i="311"/>
  <c r="F193" i="311"/>
  <c r="E193" i="311"/>
  <c r="D193" i="311"/>
  <c r="C193" i="311"/>
  <c r="B136" i="310"/>
  <c r="B118" i="310"/>
  <c r="B100" i="310"/>
  <c r="B57" i="310"/>
  <c r="B46" i="310"/>
  <c r="J96" i="310"/>
  <c r="I96" i="310"/>
  <c r="H96" i="310"/>
  <c r="G96" i="310"/>
  <c r="F96" i="310"/>
  <c r="E96" i="310"/>
  <c r="D96" i="310"/>
  <c r="C96" i="310"/>
  <c r="J95" i="310"/>
  <c r="I95" i="310"/>
  <c r="H95" i="310"/>
  <c r="G95" i="310"/>
  <c r="F95" i="310"/>
  <c r="E95" i="310"/>
  <c r="D95" i="310"/>
  <c r="C95" i="310"/>
  <c r="J94" i="310"/>
  <c r="I94" i="310"/>
  <c r="H94" i="310"/>
  <c r="G94" i="310"/>
  <c r="F94" i="310"/>
  <c r="E94" i="310"/>
  <c r="D94" i="310"/>
  <c r="C94" i="310"/>
  <c r="J93" i="310"/>
  <c r="I93" i="310"/>
  <c r="H93" i="310"/>
  <c r="G93" i="310"/>
  <c r="F93" i="310"/>
  <c r="E93" i="310"/>
  <c r="D93" i="310"/>
  <c r="C93" i="310"/>
  <c r="J92" i="310"/>
  <c r="I92" i="310"/>
  <c r="H92" i="310"/>
  <c r="G92" i="310"/>
  <c r="F92" i="310"/>
  <c r="E92" i="310"/>
  <c r="D92" i="310"/>
  <c r="C92" i="310"/>
  <c r="J91" i="310"/>
  <c r="I91" i="310"/>
  <c r="H91" i="310"/>
  <c r="G91" i="310"/>
  <c r="F91" i="310"/>
  <c r="E91" i="310"/>
  <c r="D91" i="310"/>
  <c r="C91" i="310"/>
  <c r="B174" i="310"/>
  <c r="J193" i="310"/>
  <c r="I193" i="310"/>
  <c r="H193" i="310"/>
  <c r="G193" i="310"/>
  <c r="F193" i="310"/>
  <c r="E193" i="310"/>
  <c r="D193" i="310"/>
  <c r="C193" i="310"/>
  <c r="B136" i="309"/>
  <c r="B118" i="309"/>
  <c r="B100" i="309"/>
  <c r="B57" i="309"/>
  <c r="B46" i="309"/>
  <c r="J96" i="309"/>
  <c r="I96" i="309"/>
  <c r="H96" i="309"/>
  <c r="G96" i="309"/>
  <c r="F96" i="309"/>
  <c r="E96" i="309"/>
  <c r="D96" i="309"/>
  <c r="C96" i="309"/>
  <c r="J95" i="309"/>
  <c r="I95" i="309"/>
  <c r="H95" i="309"/>
  <c r="G95" i="309"/>
  <c r="F95" i="309"/>
  <c r="E95" i="309"/>
  <c r="D95" i="309"/>
  <c r="C95" i="309"/>
  <c r="J94" i="309"/>
  <c r="I94" i="309"/>
  <c r="H94" i="309"/>
  <c r="G94" i="309"/>
  <c r="F94" i="309"/>
  <c r="E94" i="309"/>
  <c r="D94" i="309"/>
  <c r="C94" i="309"/>
  <c r="J93" i="309"/>
  <c r="I93" i="309"/>
  <c r="H93" i="309"/>
  <c r="G93" i="309"/>
  <c r="F93" i="309"/>
  <c r="E93" i="309"/>
  <c r="D93" i="309"/>
  <c r="C93" i="309"/>
  <c r="J92" i="309"/>
  <c r="I92" i="309"/>
  <c r="H92" i="309"/>
  <c r="G92" i="309"/>
  <c r="F92" i="309"/>
  <c r="E92" i="309"/>
  <c r="D92" i="309"/>
  <c r="C92" i="309"/>
  <c r="J91" i="309"/>
  <c r="I91" i="309"/>
  <c r="H91" i="309"/>
  <c r="G91" i="309"/>
  <c r="F91" i="309"/>
  <c r="E91" i="309"/>
  <c r="D91" i="309"/>
  <c r="C91" i="309"/>
  <c r="B174" i="309"/>
  <c r="J193" i="309"/>
  <c r="I193" i="309"/>
  <c r="H193" i="309"/>
  <c r="G193" i="309"/>
  <c r="F193" i="309"/>
  <c r="E193" i="309"/>
  <c r="D193" i="309"/>
  <c r="C193" i="309"/>
  <c r="B136" i="308"/>
  <c r="B118" i="308"/>
  <c r="B100" i="308"/>
  <c r="B57" i="308"/>
  <c r="B46" i="308"/>
  <c r="J96" i="308"/>
  <c r="I96" i="308"/>
  <c r="H96" i="308"/>
  <c r="G96" i="308"/>
  <c r="F96" i="308"/>
  <c r="E96" i="308"/>
  <c r="D96" i="308"/>
  <c r="C96" i="308"/>
  <c r="J95" i="308"/>
  <c r="I95" i="308"/>
  <c r="H95" i="308"/>
  <c r="G95" i="308"/>
  <c r="F95" i="308"/>
  <c r="E95" i="308"/>
  <c r="D95" i="308"/>
  <c r="C95" i="308"/>
  <c r="J94" i="308"/>
  <c r="I94" i="308"/>
  <c r="H94" i="308"/>
  <c r="G94" i="308"/>
  <c r="F94" i="308"/>
  <c r="E94" i="308"/>
  <c r="D94" i="308"/>
  <c r="C94" i="308"/>
  <c r="J93" i="308"/>
  <c r="I93" i="308"/>
  <c r="H93" i="308"/>
  <c r="G93" i="308"/>
  <c r="F93" i="308"/>
  <c r="E93" i="308"/>
  <c r="D93" i="308"/>
  <c r="C93" i="308"/>
  <c r="J92" i="308"/>
  <c r="I92" i="308"/>
  <c r="H92" i="308"/>
  <c r="G92" i="308"/>
  <c r="F92" i="308"/>
  <c r="E92" i="308"/>
  <c r="D92" i="308"/>
  <c r="C92" i="308"/>
  <c r="J91" i="308"/>
  <c r="I91" i="308"/>
  <c r="H91" i="308"/>
  <c r="G91" i="308"/>
  <c r="F91" i="308"/>
  <c r="E91" i="308"/>
  <c r="D91" i="308"/>
  <c r="C91" i="308"/>
  <c r="B174" i="308"/>
  <c r="J193" i="308"/>
  <c r="I193" i="308"/>
  <c r="H193" i="308"/>
  <c r="G193" i="308"/>
  <c r="F193" i="308"/>
  <c r="E193" i="308"/>
  <c r="D193" i="308"/>
  <c r="C193" i="308"/>
  <c r="B136" i="307"/>
  <c r="B118" i="307"/>
  <c r="B100" i="307"/>
  <c r="B57" i="307"/>
  <c r="B46" i="307"/>
  <c r="J96" i="307"/>
  <c r="I96" i="307"/>
  <c r="H96" i="307"/>
  <c r="G96" i="307"/>
  <c r="F96" i="307"/>
  <c r="E96" i="307"/>
  <c r="D96" i="307"/>
  <c r="C96" i="307"/>
  <c r="J95" i="307"/>
  <c r="I95" i="307"/>
  <c r="H95" i="307"/>
  <c r="G95" i="307"/>
  <c r="F95" i="307"/>
  <c r="E95" i="307"/>
  <c r="D95" i="307"/>
  <c r="C95" i="307"/>
  <c r="J94" i="307"/>
  <c r="I94" i="307"/>
  <c r="H94" i="307"/>
  <c r="G94" i="307"/>
  <c r="F94" i="307"/>
  <c r="E94" i="307"/>
  <c r="D94" i="307"/>
  <c r="C94" i="307"/>
  <c r="J93" i="307"/>
  <c r="I93" i="307"/>
  <c r="H93" i="307"/>
  <c r="G93" i="307"/>
  <c r="F93" i="307"/>
  <c r="E93" i="307"/>
  <c r="D93" i="307"/>
  <c r="C93" i="307"/>
  <c r="J92" i="307"/>
  <c r="I92" i="307"/>
  <c r="H92" i="307"/>
  <c r="G92" i="307"/>
  <c r="F92" i="307"/>
  <c r="E92" i="307"/>
  <c r="D92" i="307"/>
  <c r="C92" i="307"/>
  <c r="J91" i="307"/>
  <c r="I91" i="307"/>
  <c r="H91" i="307"/>
  <c r="G91" i="307"/>
  <c r="F91" i="307"/>
  <c r="E91" i="307"/>
  <c r="D91" i="307"/>
  <c r="C91" i="307"/>
  <c r="B174" i="307"/>
  <c r="J193" i="307"/>
  <c r="I193" i="307"/>
  <c r="H193" i="307"/>
  <c r="G193" i="307"/>
  <c r="F193" i="307"/>
  <c r="E193" i="307"/>
  <c r="D193" i="307"/>
  <c r="C193" i="307"/>
  <c r="B136" i="306"/>
  <c r="B118" i="306"/>
  <c r="B100" i="306"/>
  <c r="B57" i="306"/>
  <c r="B46" i="306"/>
  <c r="J96" i="306"/>
  <c r="I96" i="306"/>
  <c r="H96" i="306"/>
  <c r="G96" i="306"/>
  <c r="F96" i="306"/>
  <c r="E96" i="306"/>
  <c r="D96" i="306"/>
  <c r="C96" i="306"/>
  <c r="J95" i="306"/>
  <c r="I95" i="306"/>
  <c r="H95" i="306"/>
  <c r="G95" i="306"/>
  <c r="F95" i="306"/>
  <c r="E95" i="306"/>
  <c r="D95" i="306"/>
  <c r="C95" i="306"/>
  <c r="J94" i="306"/>
  <c r="I94" i="306"/>
  <c r="H94" i="306"/>
  <c r="G94" i="306"/>
  <c r="F94" i="306"/>
  <c r="E94" i="306"/>
  <c r="D94" i="306"/>
  <c r="C94" i="306"/>
  <c r="J93" i="306"/>
  <c r="I93" i="306"/>
  <c r="H93" i="306"/>
  <c r="G93" i="306"/>
  <c r="F93" i="306"/>
  <c r="E93" i="306"/>
  <c r="D93" i="306"/>
  <c r="C93" i="306"/>
  <c r="J92" i="306"/>
  <c r="I92" i="306"/>
  <c r="H92" i="306"/>
  <c r="G92" i="306"/>
  <c r="F92" i="306"/>
  <c r="E92" i="306"/>
  <c r="D92" i="306"/>
  <c r="C92" i="306"/>
  <c r="J91" i="306"/>
  <c r="I91" i="306"/>
  <c r="H91" i="306"/>
  <c r="G91" i="306"/>
  <c r="F91" i="306"/>
  <c r="E91" i="306"/>
  <c r="D91" i="306"/>
  <c r="C91" i="306"/>
  <c r="B174" i="306"/>
  <c r="J193" i="306"/>
  <c r="I193" i="306"/>
  <c r="H193" i="306"/>
  <c r="G193" i="306"/>
  <c r="F193" i="306"/>
  <c r="E193" i="306"/>
  <c r="D193" i="306"/>
  <c r="C193" i="306"/>
  <c r="B136" i="305"/>
  <c r="B118" i="305"/>
  <c r="B100" i="305"/>
  <c r="B57" i="305"/>
  <c r="B46" i="305"/>
  <c r="J96" i="305"/>
  <c r="I96" i="305"/>
  <c r="H96" i="305"/>
  <c r="G96" i="305"/>
  <c r="F96" i="305"/>
  <c r="E96" i="305"/>
  <c r="D96" i="305"/>
  <c r="C96" i="305"/>
  <c r="J95" i="305"/>
  <c r="I95" i="305"/>
  <c r="H95" i="305"/>
  <c r="G95" i="305"/>
  <c r="F95" i="305"/>
  <c r="E95" i="305"/>
  <c r="D95" i="305"/>
  <c r="C95" i="305"/>
  <c r="J94" i="305"/>
  <c r="I94" i="305"/>
  <c r="H94" i="305"/>
  <c r="G94" i="305"/>
  <c r="F94" i="305"/>
  <c r="E94" i="305"/>
  <c r="D94" i="305"/>
  <c r="C94" i="305"/>
  <c r="J93" i="305"/>
  <c r="I93" i="305"/>
  <c r="H93" i="305"/>
  <c r="G93" i="305"/>
  <c r="F93" i="305"/>
  <c r="E93" i="305"/>
  <c r="D93" i="305"/>
  <c r="C93" i="305"/>
  <c r="J92" i="305"/>
  <c r="I92" i="305"/>
  <c r="H92" i="305"/>
  <c r="G92" i="305"/>
  <c r="F92" i="305"/>
  <c r="E92" i="305"/>
  <c r="D92" i="305"/>
  <c r="C92" i="305"/>
  <c r="J91" i="305"/>
  <c r="I91" i="305"/>
  <c r="H91" i="305"/>
  <c r="G91" i="305"/>
  <c r="F91" i="305"/>
  <c r="E91" i="305"/>
  <c r="D91" i="305"/>
  <c r="C91" i="305"/>
  <c r="B174" i="305"/>
  <c r="J193" i="305"/>
  <c r="I193" i="305"/>
  <c r="H193" i="305"/>
  <c r="G193" i="305"/>
  <c r="F193" i="305"/>
  <c r="E193" i="305"/>
  <c r="D193" i="305"/>
  <c r="C193" i="305"/>
  <c r="B136" i="304"/>
  <c r="B118" i="304"/>
  <c r="B100" i="304"/>
  <c r="B57" i="304"/>
  <c r="B46" i="304"/>
  <c r="J96" i="304"/>
  <c r="I96" i="304"/>
  <c r="H96" i="304"/>
  <c r="G96" i="304"/>
  <c r="F96" i="304"/>
  <c r="E96" i="304"/>
  <c r="D96" i="304"/>
  <c r="C96" i="304"/>
  <c r="J95" i="304"/>
  <c r="I95" i="304"/>
  <c r="H95" i="304"/>
  <c r="G95" i="304"/>
  <c r="F95" i="304"/>
  <c r="E95" i="304"/>
  <c r="D95" i="304"/>
  <c r="C95" i="304"/>
  <c r="J94" i="304"/>
  <c r="I94" i="304"/>
  <c r="H94" i="304"/>
  <c r="G94" i="304"/>
  <c r="F94" i="304"/>
  <c r="E94" i="304"/>
  <c r="D94" i="304"/>
  <c r="C94" i="304"/>
  <c r="J93" i="304"/>
  <c r="I93" i="304"/>
  <c r="H93" i="304"/>
  <c r="G93" i="304"/>
  <c r="F93" i="304"/>
  <c r="E93" i="304"/>
  <c r="D93" i="304"/>
  <c r="C93" i="304"/>
  <c r="J92" i="304"/>
  <c r="I92" i="304"/>
  <c r="H92" i="304"/>
  <c r="G92" i="304"/>
  <c r="F92" i="304"/>
  <c r="E92" i="304"/>
  <c r="D92" i="304"/>
  <c r="C92" i="304"/>
  <c r="J91" i="304"/>
  <c r="I91" i="304"/>
  <c r="H91" i="304"/>
  <c r="G91" i="304"/>
  <c r="F91" i="304"/>
  <c r="E91" i="304"/>
  <c r="D91" i="304"/>
  <c r="C91" i="304"/>
  <c r="B174" i="304"/>
  <c r="J193" i="304"/>
  <c r="I193" i="304"/>
  <c r="H193" i="304"/>
  <c r="G193" i="304"/>
  <c r="F193" i="304"/>
  <c r="E193" i="304"/>
  <c r="D193" i="304"/>
  <c r="C193" i="304"/>
  <c r="B136" i="303"/>
  <c r="B118" i="303"/>
  <c r="B100" i="303"/>
  <c r="B57" i="303"/>
  <c r="B46" i="303"/>
  <c r="J96" i="303"/>
  <c r="I96" i="303"/>
  <c r="H96" i="303"/>
  <c r="G96" i="303"/>
  <c r="F96" i="303"/>
  <c r="E96" i="303"/>
  <c r="D96" i="303"/>
  <c r="C96" i="303"/>
  <c r="J95" i="303"/>
  <c r="I95" i="303"/>
  <c r="H95" i="303"/>
  <c r="G95" i="303"/>
  <c r="F95" i="303"/>
  <c r="E95" i="303"/>
  <c r="D95" i="303"/>
  <c r="C95" i="303"/>
  <c r="J94" i="303"/>
  <c r="I94" i="303"/>
  <c r="H94" i="303"/>
  <c r="G94" i="303"/>
  <c r="F94" i="303"/>
  <c r="E94" i="303"/>
  <c r="D94" i="303"/>
  <c r="C94" i="303"/>
  <c r="J93" i="303"/>
  <c r="I93" i="303"/>
  <c r="H93" i="303"/>
  <c r="G93" i="303"/>
  <c r="F93" i="303"/>
  <c r="E93" i="303"/>
  <c r="D93" i="303"/>
  <c r="C93" i="303"/>
  <c r="J92" i="303"/>
  <c r="I92" i="303"/>
  <c r="H92" i="303"/>
  <c r="G92" i="303"/>
  <c r="F92" i="303"/>
  <c r="E92" i="303"/>
  <c r="D92" i="303"/>
  <c r="C92" i="303"/>
  <c r="J91" i="303"/>
  <c r="I91" i="303"/>
  <c r="H91" i="303"/>
  <c r="G91" i="303"/>
  <c r="F91" i="303"/>
  <c r="E91" i="303"/>
  <c r="D91" i="303"/>
  <c r="C91" i="303"/>
  <c r="B174" i="303"/>
  <c r="J193" i="303"/>
  <c r="I193" i="303"/>
  <c r="H193" i="303"/>
  <c r="G193" i="303"/>
  <c r="F193" i="303"/>
  <c r="E193" i="303"/>
  <c r="D193" i="303"/>
  <c r="C193" i="303"/>
  <c r="B136" i="302"/>
  <c r="B118" i="302"/>
  <c r="B100" i="302"/>
  <c r="B57" i="302"/>
  <c r="B46" i="302"/>
  <c r="J96" i="302"/>
  <c r="I96" i="302"/>
  <c r="H96" i="302"/>
  <c r="G96" i="302"/>
  <c r="F96" i="302"/>
  <c r="E96" i="302"/>
  <c r="D96" i="302"/>
  <c r="C96" i="302"/>
  <c r="J95" i="302"/>
  <c r="I95" i="302"/>
  <c r="H95" i="302"/>
  <c r="G95" i="302"/>
  <c r="F95" i="302"/>
  <c r="E95" i="302"/>
  <c r="D95" i="302"/>
  <c r="C95" i="302"/>
  <c r="J94" i="302"/>
  <c r="I94" i="302"/>
  <c r="H94" i="302"/>
  <c r="G94" i="302"/>
  <c r="F94" i="302"/>
  <c r="E94" i="302"/>
  <c r="D94" i="302"/>
  <c r="C94" i="302"/>
  <c r="J93" i="302"/>
  <c r="I93" i="302"/>
  <c r="H93" i="302"/>
  <c r="G93" i="302"/>
  <c r="F93" i="302"/>
  <c r="E93" i="302"/>
  <c r="D93" i="302"/>
  <c r="C93" i="302"/>
  <c r="J92" i="302"/>
  <c r="I92" i="302"/>
  <c r="H92" i="302"/>
  <c r="G92" i="302"/>
  <c r="F92" i="302"/>
  <c r="E92" i="302"/>
  <c r="D92" i="302"/>
  <c r="C92" i="302"/>
  <c r="J91" i="302"/>
  <c r="I91" i="302"/>
  <c r="H91" i="302"/>
  <c r="G91" i="302"/>
  <c r="F91" i="302"/>
  <c r="E91" i="302"/>
  <c r="D91" i="302"/>
  <c r="C91" i="302"/>
  <c r="B174" i="302"/>
  <c r="J193" i="302"/>
  <c r="I193" i="302"/>
  <c r="H193" i="302"/>
  <c r="G193" i="302"/>
  <c r="F193" i="302"/>
  <c r="E193" i="302"/>
  <c r="D193" i="302"/>
  <c r="C193" i="302"/>
  <c r="B136" i="301"/>
  <c r="B118" i="301"/>
  <c r="B100" i="301"/>
  <c r="B57" i="301"/>
  <c r="B46" i="301"/>
  <c r="J96" i="301"/>
  <c r="I96" i="301"/>
  <c r="H96" i="301"/>
  <c r="G96" i="301"/>
  <c r="F96" i="301"/>
  <c r="E96" i="301"/>
  <c r="D96" i="301"/>
  <c r="C96" i="301"/>
  <c r="J95" i="301"/>
  <c r="I95" i="301"/>
  <c r="H95" i="301"/>
  <c r="G95" i="301"/>
  <c r="F95" i="301"/>
  <c r="E95" i="301"/>
  <c r="D95" i="301"/>
  <c r="C95" i="301"/>
  <c r="J94" i="301"/>
  <c r="I94" i="301"/>
  <c r="H94" i="301"/>
  <c r="G94" i="301"/>
  <c r="F94" i="301"/>
  <c r="E94" i="301"/>
  <c r="D94" i="301"/>
  <c r="C94" i="301"/>
  <c r="J93" i="301"/>
  <c r="I93" i="301"/>
  <c r="H93" i="301"/>
  <c r="G93" i="301"/>
  <c r="F93" i="301"/>
  <c r="E93" i="301"/>
  <c r="D93" i="301"/>
  <c r="C93" i="301"/>
  <c r="J92" i="301"/>
  <c r="I92" i="301"/>
  <c r="H92" i="301"/>
  <c r="G92" i="301"/>
  <c r="F92" i="301"/>
  <c r="E92" i="301"/>
  <c r="D92" i="301"/>
  <c r="C92" i="301"/>
  <c r="J91" i="301"/>
  <c r="I91" i="301"/>
  <c r="H91" i="301"/>
  <c r="G91" i="301"/>
  <c r="F91" i="301"/>
  <c r="E91" i="301"/>
  <c r="D91" i="301"/>
  <c r="C91" i="301"/>
  <c r="B174" i="301"/>
  <c r="J193" i="301"/>
  <c r="I193" i="301"/>
  <c r="H193" i="301"/>
  <c r="G193" i="301"/>
  <c r="F193" i="301"/>
  <c r="E193" i="301"/>
  <c r="D193" i="301"/>
  <c r="C193" i="301"/>
  <c r="B136" i="300"/>
  <c r="B118" i="300"/>
  <c r="B100" i="300"/>
  <c r="B57" i="300"/>
  <c r="B46" i="300"/>
  <c r="J96" i="300"/>
  <c r="I96" i="300"/>
  <c r="H96" i="300"/>
  <c r="G96" i="300"/>
  <c r="F96" i="300"/>
  <c r="E96" i="300"/>
  <c r="D96" i="300"/>
  <c r="C96" i="300"/>
  <c r="J95" i="300"/>
  <c r="I95" i="300"/>
  <c r="H95" i="300"/>
  <c r="G95" i="300"/>
  <c r="F95" i="300"/>
  <c r="E95" i="300"/>
  <c r="D95" i="300"/>
  <c r="C95" i="300"/>
  <c r="J94" i="300"/>
  <c r="I94" i="300"/>
  <c r="H94" i="300"/>
  <c r="G94" i="300"/>
  <c r="F94" i="300"/>
  <c r="E94" i="300"/>
  <c r="D94" i="300"/>
  <c r="C94" i="300"/>
  <c r="J93" i="300"/>
  <c r="I93" i="300"/>
  <c r="H93" i="300"/>
  <c r="G93" i="300"/>
  <c r="F93" i="300"/>
  <c r="E93" i="300"/>
  <c r="D93" i="300"/>
  <c r="C93" i="300"/>
  <c r="J92" i="300"/>
  <c r="I92" i="300"/>
  <c r="H92" i="300"/>
  <c r="G92" i="300"/>
  <c r="F92" i="300"/>
  <c r="E92" i="300"/>
  <c r="D92" i="300"/>
  <c r="C92" i="300"/>
  <c r="J91" i="300"/>
  <c r="I91" i="300"/>
  <c r="H91" i="300"/>
  <c r="G91" i="300"/>
  <c r="F91" i="300"/>
  <c r="E91" i="300"/>
  <c r="D91" i="300"/>
  <c r="C91" i="300"/>
  <c r="B174" i="300"/>
  <c r="J193" i="300"/>
  <c r="I193" i="300"/>
  <c r="H193" i="300"/>
  <c r="G193" i="300"/>
  <c r="F193" i="300"/>
  <c r="E193" i="300"/>
  <c r="D193" i="300"/>
  <c r="C193" i="300"/>
  <c r="B136" i="299"/>
  <c r="B118" i="299"/>
  <c r="B100" i="299"/>
  <c r="B57" i="299"/>
  <c r="B46" i="299"/>
  <c r="J96" i="299"/>
  <c r="I96" i="299"/>
  <c r="H96" i="299"/>
  <c r="G96" i="299"/>
  <c r="F96" i="299"/>
  <c r="E96" i="299"/>
  <c r="D96" i="299"/>
  <c r="C96" i="299"/>
  <c r="J95" i="299"/>
  <c r="I95" i="299"/>
  <c r="H95" i="299"/>
  <c r="G95" i="299"/>
  <c r="F95" i="299"/>
  <c r="E95" i="299"/>
  <c r="D95" i="299"/>
  <c r="C95" i="299"/>
  <c r="J94" i="299"/>
  <c r="I94" i="299"/>
  <c r="H94" i="299"/>
  <c r="G94" i="299"/>
  <c r="F94" i="299"/>
  <c r="E94" i="299"/>
  <c r="D94" i="299"/>
  <c r="C94" i="299"/>
  <c r="J93" i="299"/>
  <c r="I93" i="299"/>
  <c r="H93" i="299"/>
  <c r="G93" i="299"/>
  <c r="F93" i="299"/>
  <c r="E93" i="299"/>
  <c r="D93" i="299"/>
  <c r="C93" i="299"/>
  <c r="J92" i="299"/>
  <c r="I92" i="299"/>
  <c r="H92" i="299"/>
  <c r="G92" i="299"/>
  <c r="F92" i="299"/>
  <c r="E92" i="299"/>
  <c r="D92" i="299"/>
  <c r="C92" i="299"/>
  <c r="J91" i="299"/>
  <c r="I91" i="299"/>
  <c r="H91" i="299"/>
  <c r="G91" i="299"/>
  <c r="F91" i="299"/>
  <c r="E91" i="299"/>
  <c r="D91" i="299"/>
  <c r="C91" i="299"/>
  <c r="B174" i="299"/>
  <c r="J193" i="299"/>
  <c r="I193" i="299"/>
  <c r="H193" i="299"/>
  <c r="G193" i="299"/>
  <c r="F193" i="299"/>
  <c r="E193" i="299"/>
  <c r="D193" i="299"/>
  <c r="C193" i="299"/>
  <c r="B136" i="298"/>
  <c r="B118" i="298"/>
  <c r="B100" i="298"/>
  <c r="B57" i="298"/>
  <c r="B46" i="298"/>
  <c r="J96" i="298"/>
  <c r="I96" i="298"/>
  <c r="H96" i="298"/>
  <c r="G96" i="298"/>
  <c r="F96" i="298"/>
  <c r="E96" i="298"/>
  <c r="D96" i="298"/>
  <c r="C96" i="298"/>
  <c r="J95" i="298"/>
  <c r="I95" i="298"/>
  <c r="H95" i="298"/>
  <c r="G95" i="298"/>
  <c r="F95" i="298"/>
  <c r="E95" i="298"/>
  <c r="D95" i="298"/>
  <c r="C95" i="298"/>
  <c r="J94" i="298"/>
  <c r="I94" i="298"/>
  <c r="H94" i="298"/>
  <c r="G94" i="298"/>
  <c r="F94" i="298"/>
  <c r="E94" i="298"/>
  <c r="D94" i="298"/>
  <c r="C94" i="298"/>
  <c r="J93" i="298"/>
  <c r="I93" i="298"/>
  <c r="H93" i="298"/>
  <c r="G93" i="298"/>
  <c r="F93" i="298"/>
  <c r="E93" i="298"/>
  <c r="D93" i="298"/>
  <c r="C93" i="298"/>
  <c r="J92" i="298"/>
  <c r="I92" i="298"/>
  <c r="H92" i="298"/>
  <c r="G92" i="298"/>
  <c r="F92" i="298"/>
  <c r="E92" i="298"/>
  <c r="D92" i="298"/>
  <c r="C92" i="298"/>
  <c r="J91" i="298"/>
  <c r="I91" i="298"/>
  <c r="H91" i="298"/>
  <c r="G91" i="298"/>
  <c r="F91" i="298"/>
  <c r="E91" i="298"/>
  <c r="D91" i="298"/>
  <c r="C91" i="298"/>
  <c r="B174" i="298"/>
  <c r="J193" i="298"/>
  <c r="I193" i="298"/>
  <c r="H193" i="298"/>
  <c r="G193" i="298"/>
  <c r="F193" i="298"/>
  <c r="E193" i="298"/>
  <c r="D193" i="298"/>
  <c r="C193" i="298"/>
  <c r="B136" i="297"/>
  <c r="B118" i="297"/>
  <c r="B100" i="297"/>
  <c r="B57" i="297"/>
  <c r="B46" i="297"/>
  <c r="J96" i="297"/>
  <c r="I96" i="297"/>
  <c r="H96" i="297"/>
  <c r="G96" i="297"/>
  <c r="F96" i="297"/>
  <c r="E96" i="297"/>
  <c r="D96" i="297"/>
  <c r="C96" i="297"/>
  <c r="J95" i="297"/>
  <c r="I95" i="297"/>
  <c r="H95" i="297"/>
  <c r="G95" i="297"/>
  <c r="F95" i="297"/>
  <c r="E95" i="297"/>
  <c r="D95" i="297"/>
  <c r="C95" i="297"/>
  <c r="J94" i="297"/>
  <c r="I94" i="297"/>
  <c r="H94" i="297"/>
  <c r="G94" i="297"/>
  <c r="F94" i="297"/>
  <c r="E94" i="297"/>
  <c r="D94" i="297"/>
  <c r="C94" i="297"/>
  <c r="J93" i="297"/>
  <c r="I93" i="297"/>
  <c r="H93" i="297"/>
  <c r="G93" i="297"/>
  <c r="F93" i="297"/>
  <c r="E93" i="297"/>
  <c r="D93" i="297"/>
  <c r="C93" i="297"/>
  <c r="J92" i="297"/>
  <c r="I92" i="297"/>
  <c r="H92" i="297"/>
  <c r="G92" i="297"/>
  <c r="F92" i="297"/>
  <c r="E92" i="297"/>
  <c r="D92" i="297"/>
  <c r="C92" i="297"/>
  <c r="J91" i="297"/>
  <c r="I91" i="297"/>
  <c r="H91" i="297"/>
  <c r="G91" i="297"/>
  <c r="F91" i="297"/>
  <c r="E91" i="297"/>
  <c r="D91" i="297"/>
  <c r="C91" i="297"/>
  <c r="B174" i="297"/>
  <c r="J193" i="297"/>
  <c r="I193" i="297"/>
  <c r="H193" i="297"/>
  <c r="G193" i="297"/>
  <c r="F193" i="297"/>
  <c r="E193" i="297"/>
  <c r="D193" i="297"/>
  <c r="C193" i="297"/>
  <c r="B136" i="296"/>
  <c r="B118" i="296"/>
  <c r="B100" i="296"/>
  <c r="B57" i="296"/>
  <c r="B46" i="296"/>
  <c r="J96" i="296"/>
  <c r="I96" i="296"/>
  <c r="H96" i="296"/>
  <c r="G96" i="296"/>
  <c r="F96" i="296"/>
  <c r="E96" i="296"/>
  <c r="D96" i="296"/>
  <c r="C96" i="296"/>
  <c r="J95" i="296"/>
  <c r="I95" i="296"/>
  <c r="H95" i="296"/>
  <c r="G95" i="296"/>
  <c r="F95" i="296"/>
  <c r="E95" i="296"/>
  <c r="D95" i="296"/>
  <c r="C95" i="296"/>
  <c r="J94" i="296"/>
  <c r="I94" i="296"/>
  <c r="H94" i="296"/>
  <c r="G94" i="296"/>
  <c r="F94" i="296"/>
  <c r="E94" i="296"/>
  <c r="D94" i="296"/>
  <c r="C94" i="296"/>
  <c r="J93" i="296"/>
  <c r="I93" i="296"/>
  <c r="H93" i="296"/>
  <c r="G93" i="296"/>
  <c r="F93" i="296"/>
  <c r="E93" i="296"/>
  <c r="D93" i="296"/>
  <c r="C93" i="296"/>
  <c r="J92" i="296"/>
  <c r="I92" i="296"/>
  <c r="H92" i="296"/>
  <c r="G92" i="296"/>
  <c r="F92" i="296"/>
  <c r="E92" i="296"/>
  <c r="D92" i="296"/>
  <c r="C92" i="296"/>
  <c r="J91" i="296"/>
  <c r="I91" i="296"/>
  <c r="H91" i="296"/>
  <c r="G91" i="296"/>
  <c r="F91" i="296"/>
  <c r="E91" i="296"/>
  <c r="D91" i="296"/>
  <c r="C91" i="296"/>
  <c r="B174" i="296"/>
  <c r="J193" i="296"/>
  <c r="I193" i="296"/>
  <c r="H193" i="296"/>
  <c r="G193" i="296"/>
  <c r="F193" i="296"/>
  <c r="E193" i="296"/>
  <c r="D193" i="296"/>
  <c r="C193" i="296"/>
  <c r="B136" i="295"/>
  <c r="B118" i="295"/>
  <c r="B100" i="295"/>
  <c r="B57" i="295"/>
  <c r="B46" i="295"/>
  <c r="J96" i="295"/>
  <c r="I96" i="295"/>
  <c r="H96" i="295"/>
  <c r="G96" i="295"/>
  <c r="F96" i="295"/>
  <c r="E96" i="295"/>
  <c r="D96" i="295"/>
  <c r="C96" i="295"/>
  <c r="J95" i="295"/>
  <c r="I95" i="295"/>
  <c r="H95" i="295"/>
  <c r="G95" i="295"/>
  <c r="F95" i="295"/>
  <c r="E95" i="295"/>
  <c r="D95" i="295"/>
  <c r="C95" i="295"/>
  <c r="J94" i="295"/>
  <c r="I94" i="295"/>
  <c r="H94" i="295"/>
  <c r="G94" i="295"/>
  <c r="F94" i="295"/>
  <c r="E94" i="295"/>
  <c r="D94" i="295"/>
  <c r="C94" i="295"/>
  <c r="J93" i="295"/>
  <c r="I93" i="295"/>
  <c r="H93" i="295"/>
  <c r="G93" i="295"/>
  <c r="F93" i="295"/>
  <c r="E93" i="295"/>
  <c r="D93" i="295"/>
  <c r="C93" i="295"/>
  <c r="J92" i="295"/>
  <c r="I92" i="295"/>
  <c r="H92" i="295"/>
  <c r="G92" i="295"/>
  <c r="F92" i="295"/>
  <c r="E92" i="295"/>
  <c r="D92" i="295"/>
  <c r="C92" i="295"/>
  <c r="J91" i="295"/>
  <c r="I91" i="295"/>
  <c r="H91" i="295"/>
  <c r="G91" i="295"/>
  <c r="F91" i="295"/>
  <c r="E91" i="295"/>
  <c r="D91" i="295"/>
  <c r="C91" i="295"/>
  <c r="B174" i="295"/>
  <c r="J193" i="295"/>
  <c r="I193" i="295"/>
  <c r="H193" i="295"/>
  <c r="G193" i="295"/>
  <c r="F193" i="295"/>
  <c r="E193" i="295"/>
  <c r="D193" i="295"/>
  <c r="C193" i="295"/>
  <c r="B136" i="294"/>
  <c r="B118" i="294"/>
  <c r="B100" i="294"/>
  <c r="B57" i="294"/>
  <c r="B46" i="294"/>
  <c r="J96" i="294"/>
  <c r="I96" i="294"/>
  <c r="H96" i="294"/>
  <c r="G96" i="294"/>
  <c r="F96" i="294"/>
  <c r="E96" i="294"/>
  <c r="D96" i="294"/>
  <c r="C96" i="294"/>
  <c r="J95" i="294"/>
  <c r="I95" i="294"/>
  <c r="H95" i="294"/>
  <c r="G95" i="294"/>
  <c r="F95" i="294"/>
  <c r="E95" i="294"/>
  <c r="D95" i="294"/>
  <c r="C95" i="294"/>
  <c r="J94" i="294"/>
  <c r="I94" i="294"/>
  <c r="H94" i="294"/>
  <c r="G94" i="294"/>
  <c r="F94" i="294"/>
  <c r="E94" i="294"/>
  <c r="D94" i="294"/>
  <c r="C94" i="294"/>
  <c r="J93" i="294"/>
  <c r="I93" i="294"/>
  <c r="H93" i="294"/>
  <c r="G93" i="294"/>
  <c r="F93" i="294"/>
  <c r="E93" i="294"/>
  <c r="D93" i="294"/>
  <c r="C93" i="294"/>
  <c r="J92" i="294"/>
  <c r="I92" i="294"/>
  <c r="H92" i="294"/>
  <c r="G92" i="294"/>
  <c r="F92" i="294"/>
  <c r="E92" i="294"/>
  <c r="D92" i="294"/>
  <c r="C92" i="294"/>
  <c r="J91" i="294"/>
  <c r="I91" i="294"/>
  <c r="H91" i="294"/>
  <c r="G91" i="294"/>
  <c r="F91" i="294"/>
  <c r="E91" i="294"/>
  <c r="D91" i="294"/>
  <c r="C91" i="294"/>
  <c r="B174" i="294"/>
  <c r="J193" i="294"/>
  <c r="I193" i="294"/>
  <c r="H193" i="294"/>
  <c r="G193" i="294"/>
  <c r="F193" i="294"/>
  <c r="E193" i="294"/>
  <c r="D193" i="294"/>
  <c r="C193" i="294"/>
  <c r="B136" i="293"/>
  <c r="B118" i="293"/>
  <c r="B100" i="293"/>
  <c r="B57" i="293"/>
  <c r="B46" i="293"/>
  <c r="J96" i="293"/>
  <c r="I96" i="293"/>
  <c r="H96" i="293"/>
  <c r="G96" i="293"/>
  <c r="F96" i="293"/>
  <c r="E96" i="293"/>
  <c r="D96" i="293"/>
  <c r="C96" i="293"/>
  <c r="J95" i="293"/>
  <c r="I95" i="293"/>
  <c r="H95" i="293"/>
  <c r="G95" i="293"/>
  <c r="F95" i="293"/>
  <c r="E95" i="293"/>
  <c r="D95" i="293"/>
  <c r="C95" i="293"/>
  <c r="J94" i="293"/>
  <c r="I94" i="293"/>
  <c r="H94" i="293"/>
  <c r="G94" i="293"/>
  <c r="F94" i="293"/>
  <c r="E94" i="293"/>
  <c r="D94" i="293"/>
  <c r="C94" i="293"/>
  <c r="J93" i="293"/>
  <c r="I93" i="293"/>
  <c r="H93" i="293"/>
  <c r="G93" i="293"/>
  <c r="F93" i="293"/>
  <c r="E93" i="293"/>
  <c r="D93" i="293"/>
  <c r="C93" i="293"/>
  <c r="J92" i="293"/>
  <c r="I92" i="293"/>
  <c r="H92" i="293"/>
  <c r="G92" i="293"/>
  <c r="F92" i="293"/>
  <c r="E92" i="293"/>
  <c r="D92" i="293"/>
  <c r="C92" i="293"/>
  <c r="J91" i="293"/>
  <c r="I91" i="293"/>
  <c r="H91" i="293"/>
  <c r="G91" i="293"/>
  <c r="F91" i="293"/>
  <c r="E91" i="293"/>
  <c r="D91" i="293"/>
  <c r="C91" i="293"/>
  <c r="B174" i="293"/>
  <c r="J193" i="293"/>
  <c r="I193" i="293"/>
  <c r="H193" i="293"/>
  <c r="G193" i="293"/>
  <c r="F193" i="293"/>
  <c r="E193" i="293"/>
  <c r="D193" i="293"/>
  <c r="C193" i="293"/>
  <c r="B136" i="292"/>
  <c r="B118" i="292"/>
  <c r="B100" i="292"/>
  <c r="B57" i="292"/>
  <c r="B46" i="292"/>
  <c r="J96" i="292"/>
  <c r="I96" i="292"/>
  <c r="H96" i="292"/>
  <c r="G96" i="292"/>
  <c r="F96" i="292"/>
  <c r="E96" i="292"/>
  <c r="D96" i="292"/>
  <c r="C96" i="292"/>
  <c r="J95" i="292"/>
  <c r="I95" i="292"/>
  <c r="H95" i="292"/>
  <c r="G95" i="292"/>
  <c r="F95" i="292"/>
  <c r="E95" i="292"/>
  <c r="D95" i="292"/>
  <c r="C95" i="292"/>
  <c r="J94" i="292"/>
  <c r="I94" i="292"/>
  <c r="H94" i="292"/>
  <c r="G94" i="292"/>
  <c r="F94" i="292"/>
  <c r="E94" i="292"/>
  <c r="D94" i="292"/>
  <c r="C94" i="292"/>
  <c r="J93" i="292"/>
  <c r="I93" i="292"/>
  <c r="H93" i="292"/>
  <c r="G93" i="292"/>
  <c r="F93" i="292"/>
  <c r="E93" i="292"/>
  <c r="D93" i="292"/>
  <c r="C93" i="292"/>
  <c r="J92" i="292"/>
  <c r="I92" i="292"/>
  <c r="H92" i="292"/>
  <c r="G92" i="292"/>
  <c r="F92" i="292"/>
  <c r="E92" i="292"/>
  <c r="D92" i="292"/>
  <c r="C92" i="292"/>
  <c r="J91" i="292"/>
  <c r="I91" i="292"/>
  <c r="H91" i="292"/>
  <c r="G91" i="292"/>
  <c r="F91" i="292"/>
  <c r="E91" i="292"/>
  <c r="D91" i="292"/>
  <c r="C91" i="292"/>
  <c r="B174" i="292"/>
  <c r="J193" i="292"/>
  <c r="I193" i="292"/>
  <c r="H193" i="292"/>
  <c r="G193" i="292"/>
  <c r="F193" i="292"/>
  <c r="E193" i="292"/>
  <c r="D193" i="292"/>
  <c r="C193" i="292"/>
  <c r="B136" i="291"/>
  <c r="B118" i="291"/>
  <c r="B100" i="291"/>
  <c r="B57" i="291"/>
  <c r="B46" i="291"/>
  <c r="J96" i="291"/>
  <c r="I96" i="291"/>
  <c r="H96" i="291"/>
  <c r="G96" i="291"/>
  <c r="F96" i="291"/>
  <c r="E96" i="291"/>
  <c r="D96" i="291"/>
  <c r="C96" i="291"/>
  <c r="J95" i="291"/>
  <c r="I95" i="291"/>
  <c r="H95" i="291"/>
  <c r="G95" i="291"/>
  <c r="F95" i="291"/>
  <c r="E95" i="291"/>
  <c r="D95" i="291"/>
  <c r="C95" i="291"/>
  <c r="J94" i="291"/>
  <c r="I94" i="291"/>
  <c r="H94" i="291"/>
  <c r="G94" i="291"/>
  <c r="F94" i="291"/>
  <c r="E94" i="291"/>
  <c r="D94" i="291"/>
  <c r="C94" i="291"/>
  <c r="J93" i="291"/>
  <c r="I93" i="291"/>
  <c r="H93" i="291"/>
  <c r="G93" i="291"/>
  <c r="F93" i="291"/>
  <c r="E93" i="291"/>
  <c r="D93" i="291"/>
  <c r="C93" i="291"/>
  <c r="J92" i="291"/>
  <c r="I92" i="291"/>
  <c r="H92" i="291"/>
  <c r="G92" i="291"/>
  <c r="F92" i="291"/>
  <c r="E92" i="291"/>
  <c r="D92" i="291"/>
  <c r="C92" i="291"/>
  <c r="J91" i="291"/>
  <c r="I91" i="291"/>
  <c r="H91" i="291"/>
  <c r="G91" i="291"/>
  <c r="F91" i="291"/>
  <c r="E91" i="291"/>
  <c r="D91" i="291"/>
  <c r="C91" i="291"/>
  <c r="B174" i="291"/>
  <c r="J193" i="291"/>
  <c r="I193" i="291"/>
  <c r="H193" i="291"/>
  <c r="G193" i="291"/>
  <c r="F193" i="291"/>
  <c r="E193" i="291"/>
  <c r="D193" i="291"/>
  <c r="C193" i="291"/>
  <c r="B136" i="290"/>
  <c r="B118" i="290"/>
  <c r="B100" i="290"/>
  <c r="B57" i="290"/>
  <c r="B46" i="290"/>
  <c r="J96" i="290"/>
  <c r="I96" i="290"/>
  <c r="H96" i="290"/>
  <c r="G96" i="290"/>
  <c r="F96" i="290"/>
  <c r="E96" i="290"/>
  <c r="D96" i="290"/>
  <c r="C96" i="290"/>
  <c r="J95" i="290"/>
  <c r="I95" i="290"/>
  <c r="H95" i="290"/>
  <c r="G95" i="290"/>
  <c r="F95" i="290"/>
  <c r="E95" i="290"/>
  <c r="D95" i="290"/>
  <c r="C95" i="290"/>
  <c r="J94" i="290"/>
  <c r="I94" i="290"/>
  <c r="H94" i="290"/>
  <c r="G94" i="290"/>
  <c r="F94" i="290"/>
  <c r="E94" i="290"/>
  <c r="D94" i="290"/>
  <c r="C94" i="290"/>
  <c r="J93" i="290"/>
  <c r="I93" i="290"/>
  <c r="H93" i="290"/>
  <c r="G93" i="290"/>
  <c r="F93" i="290"/>
  <c r="E93" i="290"/>
  <c r="D93" i="290"/>
  <c r="C93" i="290"/>
  <c r="J92" i="290"/>
  <c r="I92" i="290"/>
  <c r="H92" i="290"/>
  <c r="G92" i="290"/>
  <c r="F92" i="290"/>
  <c r="E92" i="290"/>
  <c r="D92" i="290"/>
  <c r="C92" i="290"/>
  <c r="J91" i="290"/>
  <c r="I91" i="290"/>
  <c r="H91" i="290"/>
  <c r="G91" i="290"/>
  <c r="F91" i="290"/>
  <c r="E91" i="290"/>
  <c r="D91" i="290"/>
  <c r="C91" i="290"/>
  <c r="B174" i="290"/>
  <c r="J193" i="290"/>
  <c r="I193" i="290"/>
  <c r="H193" i="290"/>
  <c r="G193" i="290"/>
  <c r="F193" i="290"/>
  <c r="E193" i="290"/>
  <c r="D193" i="290"/>
  <c r="C193" i="290"/>
  <c r="B136" i="289"/>
  <c r="B118" i="289"/>
  <c r="B100" i="289"/>
  <c r="B57" i="289"/>
  <c r="B46" i="289"/>
  <c r="J96" i="289"/>
  <c r="I96" i="289"/>
  <c r="H96" i="289"/>
  <c r="G96" i="289"/>
  <c r="F96" i="289"/>
  <c r="E96" i="289"/>
  <c r="D96" i="289"/>
  <c r="C96" i="289"/>
  <c r="J95" i="289"/>
  <c r="I95" i="289"/>
  <c r="H95" i="289"/>
  <c r="G95" i="289"/>
  <c r="F95" i="289"/>
  <c r="E95" i="289"/>
  <c r="D95" i="289"/>
  <c r="C95" i="289"/>
  <c r="J94" i="289"/>
  <c r="I94" i="289"/>
  <c r="H94" i="289"/>
  <c r="G94" i="289"/>
  <c r="F94" i="289"/>
  <c r="E94" i="289"/>
  <c r="D94" i="289"/>
  <c r="C94" i="289"/>
  <c r="J93" i="289"/>
  <c r="I93" i="289"/>
  <c r="H93" i="289"/>
  <c r="G93" i="289"/>
  <c r="F93" i="289"/>
  <c r="E93" i="289"/>
  <c r="D93" i="289"/>
  <c r="C93" i="289"/>
  <c r="J92" i="289"/>
  <c r="I92" i="289"/>
  <c r="H92" i="289"/>
  <c r="G92" i="289"/>
  <c r="F92" i="289"/>
  <c r="E92" i="289"/>
  <c r="D92" i="289"/>
  <c r="C92" i="289"/>
  <c r="J91" i="289"/>
  <c r="I91" i="289"/>
  <c r="H91" i="289"/>
  <c r="G91" i="289"/>
  <c r="F91" i="289"/>
  <c r="E91" i="289"/>
  <c r="D91" i="289"/>
  <c r="C91" i="289"/>
  <c r="B174" i="289"/>
  <c r="J193" i="289"/>
  <c r="I193" i="289"/>
  <c r="H193" i="289"/>
  <c r="G193" i="289"/>
  <c r="F193" i="289"/>
  <c r="E193" i="289"/>
  <c r="D193" i="289"/>
  <c r="C193" i="289"/>
  <c r="B136" i="288"/>
  <c r="B118" i="288"/>
  <c r="B100" i="288"/>
  <c r="B57" i="288"/>
  <c r="B46" i="288"/>
  <c r="J96" i="288"/>
  <c r="I96" i="288"/>
  <c r="H96" i="288"/>
  <c r="G96" i="288"/>
  <c r="F96" i="288"/>
  <c r="E96" i="288"/>
  <c r="D96" i="288"/>
  <c r="C96" i="288"/>
  <c r="J95" i="288"/>
  <c r="I95" i="288"/>
  <c r="H95" i="288"/>
  <c r="G95" i="288"/>
  <c r="F95" i="288"/>
  <c r="E95" i="288"/>
  <c r="D95" i="288"/>
  <c r="C95" i="288"/>
  <c r="J94" i="288"/>
  <c r="I94" i="288"/>
  <c r="H94" i="288"/>
  <c r="G94" i="288"/>
  <c r="F94" i="288"/>
  <c r="E94" i="288"/>
  <c r="D94" i="288"/>
  <c r="C94" i="288"/>
  <c r="J93" i="288"/>
  <c r="I93" i="288"/>
  <c r="H93" i="288"/>
  <c r="G93" i="288"/>
  <c r="F93" i="288"/>
  <c r="E93" i="288"/>
  <c r="D93" i="288"/>
  <c r="C93" i="288"/>
  <c r="J92" i="288"/>
  <c r="I92" i="288"/>
  <c r="H92" i="288"/>
  <c r="G92" i="288"/>
  <c r="F92" i="288"/>
  <c r="E92" i="288"/>
  <c r="D92" i="288"/>
  <c r="C92" i="288"/>
  <c r="J91" i="288"/>
  <c r="I91" i="288"/>
  <c r="H91" i="288"/>
  <c r="G91" i="288"/>
  <c r="F91" i="288"/>
  <c r="E91" i="288"/>
  <c r="D91" i="288"/>
  <c r="C91" i="288"/>
  <c r="B174" i="288"/>
  <c r="J193" i="288"/>
  <c r="I193" i="288"/>
  <c r="H193" i="288"/>
  <c r="G193" i="288"/>
  <c r="F193" i="288"/>
  <c r="E193" i="288"/>
  <c r="D193" i="288"/>
  <c r="C193" i="288"/>
  <c r="B136" i="287"/>
  <c r="B118" i="287"/>
  <c r="B100" i="287"/>
  <c r="B57" i="287"/>
  <c r="B46" i="287"/>
  <c r="J96" i="287"/>
  <c r="I96" i="287"/>
  <c r="H96" i="287"/>
  <c r="G96" i="287"/>
  <c r="F96" i="287"/>
  <c r="E96" i="287"/>
  <c r="D96" i="287"/>
  <c r="C96" i="287"/>
  <c r="J95" i="287"/>
  <c r="I95" i="287"/>
  <c r="H95" i="287"/>
  <c r="G95" i="287"/>
  <c r="F95" i="287"/>
  <c r="E95" i="287"/>
  <c r="D95" i="287"/>
  <c r="C95" i="287"/>
  <c r="J94" i="287"/>
  <c r="I94" i="287"/>
  <c r="H94" i="287"/>
  <c r="G94" i="287"/>
  <c r="F94" i="287"/>
  <c r="E94" i="287"/>
  <c r="D94" i="287"/>
  <c r="C94" i="287"/>
  <c r="J93" i="287"/>
  <c r="I93" i="287"/>
  <c r="H93" i="287"/>
  <c r="G93" i="287"/>
  <c r="F93" i="287"/>
  <c r="E93" i="287"/>
  <c r="D93" i="287"/>
  <c r="C93" i="287"/>
  <c r="J92" i="287"/>
  <c r="I92" i="287"/>
  <c r="H92" i="287"/>
  <c r="G92" i="287"/>
  <c r="F92" i="287"/>
  <c r="E92" i="287"/>
  <c r="D92" i="287"/>
  <c r="C92" i="287"/>
  <c r="J91" i="287"/>
  <c r="I91" i="287"/>
  <c r="H91" i="287"/>
  <c r="G91" i="287"/>
  <c r="F91" i="287"/>
  <c r="E91" i="287"/>
  <c r="D91" i="287"/>
  <c r="C91" i="287"/>
  <c r="B174" i="287"/>
  <c r="J193" i="287"/>
  <c r="I193" i="287"/>
  <c r="H193" i="287"/>
  <c r="G193" i="287"/>
  <c r="F193" i="287"/>
  <c r="E193" i="287"/>
  <c r="D193" i="287"/>
  <c r="C193" i="287"/>
  <c r="B136" i="286"/>
  <c r="B118" i="286"/>
  <c r="B100" i="286"/>
  <c r="B57" i="286"/>
  <c r="B46" i="286"/>
  <c r="J96" i="286"/>
  <c r="I96" i="286"/>
  <c r="H96" i="286"/>
  <c r="G96" i="286"/>
  <c r="F96" i="286"/>
  <c r="E96" i="286"/>
  <c r="D96" i="286"/>
  <c r="C96" i="286"/>
  <c r="J95" i="286"/>
  <c r="I95" i="286"/>
  <c r="H95" i="286"/>
  <c r="G95" i="286"/>
  <c r="F95" i="286"/>
  <c r="E95" i="286"/>
  <c r="D95" i="286"/>
  <c r="C95" i="286"/>
  <c r="J94" i="286"/>
  <c r="I94" i="286"/>
  <c r="H94" i="286"/>
  <c r="G94" i="286"/>
  <c r="F94" i="286"/>
  <c r="E94" i="286"/>
  <c r="D94" i="286"/>
  <c r="C94" i="286"/>
  <c r="J93" i="286"/>
  <c r="I93" i="286"/>
  <c r="H93" i="286"/>
  <c r="G93" i="286"/>
  <c r="F93" i="286"/>
  <c r="E93" i="286"/>
  <c r="D93" i="286"/>
  <c r="C93" i="286"/>
  <c r="J92" i="286"/>
  <c r="I92" i="286"/>
  <c r="H92" i="286"/>
  <c r="G92" i="286"/>
  <c r="F92" i="286"/>
  <c r="E92" i="286"/>
  <c r="D92" i="286"/>
  <c r="C92" i="286"/>
  <c r="J91" i="286"/>
  <c r="I91" i="286"/>
  <c r="H91" i="286"/>
  <c r="G91" i="286"/>
  <c r="F91" i="286"/>
  <c r="E91" i="286"/>
  <c r="D91" i="286"/>
  <c r="C91" i="286"/>
  <c r="B174" i="286"/>
  <c r="J193" i="286"/>
  <c r="I193" i="286"/>
  <c r="H193" i="286"/>
  <c r="G193" i="286"/>
  <c r="F193" i="286"/>
  <c r="E193" i="286"/>
  <c r="D193" i="286"/>
  <c r="C193" i="286"/>
  <c r="B136" i="285"/>
  <c r="B118" i="285"/>
  <c r="B100" i="285"/>
  <c r="B57" i="285"/>
  <c r="B46" i="285"/>
  <c r="J96" i="285"/>
  <c r="I96" i="285"/>
  <c r="H96" i="285"/>
  <c r="G96" i="285"/>
  <c r="F96" i="285"/>
  <c r="E96" i="285"/>
  <c r="D96" i="285"/>
  <c r="C96" i="285"/>
  <c r="J95" i="285"/>
  <c r="I95" i="285"/>
  <c r="H95" i="285"/>
  <c r="G95" i="285"/>
  <c r="F95" i="285"/>
  <c r="E95" i="285"/>
  <c r="D95" i="285"/>
  <c r="C95" i="285"/>
  <c r="J94" i="285"/>
  <c r="I94" i="285"/>
  <c r="H94" i="285"/>
  <c r="G94" i="285"/>
  <c r="F94" i="285"/>
  <c r="E94" i="285"/>
  <c r="D94" i="285"/>
  <c r="C94" i="285"/>
  <c r="J93" i="285"/>
  <c r="I93" i="285"/>
  <c r="H93" i="285"/>
  <c r="G93" i="285"/>
  <c r="F93" i="285"/>
  <c r="E93" i="285"/>
  <c r="D93" i="285"/>
  <c r="C93" i="285"/>
  <c r="J92" i="285"/>
  <c r="I92" i="285"/>
  <c r="H92" i="285"/>
  <c r="G92" i="285"/>
  <c r="F92" i="285"/>
  <c r="E92" i="285"/>
  <c r="D92" i="285"/>
  <c r="C92" i="285"/>
  <c r="J91" i="285"/>
  <c r="I91" i="285"/>
  <c r="H91" i="285"/>
  <c r="G91" i="285"/>
  <c r="F91" i="285"/>
  <c r="E91" i="285"/>
  <c r="D91" i="285"/>
  <c r="C91" i="285"/>
  <c r="B174" i="285"/>
  <c r="J193" i="285"/>
  <c r="I193" i="285"/>
  <c r="H193" i="285"/>
  <c r="G193" i="285"/>
  <c r="F193" i="285"/>
  <c r="E193" i="285"/>
  <c r="D193" i="285"/>
  <c r="C193" i="285"/>
  <c r="B136" i="284"/>
  <c r="B118" i="284"/>
  <c r="B100" i="284"/>
  <c r="B57" i="284"/>
  <c r="B46" i="284"/>
  <c r="J96" i="284"/>
  <c r="I96" i="284"/>
  <c r="H96" i="284"/>
  <c r="G96" i="284"/>
  <c r="F96" i="284"/>
  <c r="E96" i="284"/>
  <c r="D96" i="284"/>
  <c r="C96" i="284"/>
  <c r="J95" i="284"/>
  <c r="I95" i="284"/>
  <c r="H95" i="284"/>
  <c r="G95" i="284"/>
  <c r="F95" i="284"/>
  <c r="E95" i="284"/>
  <c r="D95" i="284"/>
  <c r="C95" i="284"/>
  <c r="J94" i="284"/>
  <c r="I94" i="284"/>
  <c r="H94" i="284"/>
  <c r="G94" i="284"/>
  <c r="F94" i="284"/>
  <c r="E94" i="284"/>
  <c r="D94" i="284"/>
  <c r="C94" i="284"/>
  <c r="J93" i="284"/>
  <c r="I93" i="284"/>
  <c r="H93" i="284"/>
  <c r="G93" i="284"/>
  <c r="F93" i="284"/>
  <c r="E93" i="284"/>
  <c r="D93" i="284"/>
  <c r="C93" i="284"/>
  <c r="J92" i="284"/>
  <c r="I92" i="284"/>
  <c r="H92" i="284"/>
  <c r="G92" i="284"/>
  <c r="F92" i="284"/>
  <c r="E92" i="284"/>
  <c r="D92" i="284"/>
  <c r="C92" i="284"/>
  <c r="J91" i="284"/>
  <c r="I91" i="284"/>
  <c r="H91" i="284"/>
  <c r="G91" i="284"/>
  <c r="F91" i="284"/>
  <c r="E91" i="284"/>
  <c r="D91" i="284"/>
  <c r="C91" i="284"/>
  <c r="B174" i="284"/>
  <c r="J193" i="284"/>
  <c r="I193" i="284"/>
  <c r="H193" i="284"/>
  <c r="G193" i="284"/>
  <c r="F193" i="284"/>
  <c r="E193" i="284"/>
  <c r="D193" i="284"/>
  <c r="C193" i="284"/>
  <c r="B136" i="283"/>
  <c r="B118" i="283"/>
  <c r="B100" i="283"/>
  <c r="B57" i="283"/>
  <c r="B46" i="283"/>
  <c r="J96" i="283"/>
  <c r="I96" i="283"/>
  <c r="H96" i="283"/>
  <c r="G96" i="283"/>
  <c r="F96" i="283"/>
  <c r="E96" i="283"/>
  <c r="D96" i="283"/>
  <c r="C96" i="283"/>
  <c r="J95" i="283"/>
  <c r="I95" i="283"/>
  <c r="H95" i="283"/>
  <c r="G95" i="283"/>
  <c r="F95" i="283"/>
  <c r="E95" i="283"/>
  <c r="D95" i="283"/>
  <c r="C95" i="283"/>
  <c r="J94" i="283"/>
  <c r="I94" i="283"/>
  <c r="H94" i="283"/>
  <c r="G94" i="283"/>
  <c r="F94" i="283"/>
  <c r="E94" i="283"/>
  <c r="D94" i="283"/>
  <c r="C94" i="283"/>
  <c r="J93" i="283"/>
  <c r="I93" i="283"/>
  <c r="H93" i="283"/>
  <c r="G93" i="283"/>
  <c r="F93" i="283"/>
  <c r="E93" i="283"/>
  <c r="D93" i="283"/>
  <c r="C93" i="283"/>
  <c r="J92" i="283"/>
  <c r="I92" i="283"/>
  <c r="H92" i="283"/>
  <c r="G92" i="283"/>
  <c r="F92" i="283"/>
  <c r="E92" i="283"/>
  <c r="D92" i="283"/>
  <c r="C92" i="283"/>
  <c r="J91" i="283"/>
  <c r="I91" i="283"/>
  <c r="H91" i="283"/>
  <c r="G91" i="283"/>
  <c r="F91" i="283"/>
  <c r="E91" i="283"/>
  <c r="D91" i="283"/>
  <c r="C91" i="283"/>
  <c r="B174" i="283"/>
  <c r="J193" i="283"/>
  <c r="I193" i="283"/>
  <c r="H193" i="283"/>
  <c r="G193" i="283"/>
  <c r="F193" i="283"/>
  <c r="E193" i="283"/>
  <c r="D193" i="283"/>
  <c r="C193" i="283"/>
  <c r="B136" i="282"/>
  <c r="B118" i="282"/>
  <c r="B100" i="282"/>
  <c r="B57" i="282"/>
  <c r="B46" i="282"/>
  <c r="J96" i="282"/>
  <c r="I96" i="282"/>
  <c r="H96" i="282"/>
  <c r="G96" i="282"/>
  <c r="F96" i="282"/>
  <c r="E96" i="282"/>
  <c r="D96" i="282"/>
  <c r="C96" i="282"/>
  <c r="J95" i="282"/>
  <c r="I95" i="282"/>
  <c r="H95" i="282"/>
  <c r="G95" i="282"/>
  <c r="F95" i="282"/>
  <c r="E95" i="282"/>
  <c r="D95" i="282"/>
  <c r="C95" i="282"/>
  <c r="J94" i="282"/>
  <c r="I94" i="282"/>
  <c r="H94" i="282"/>
  <c r="G94" i="282"/>
  <c r="F94" i="282"/>
  <c r="E94" i="282"/>
  <c r="D94" i="282"/>
  <c r="C94" i="282"/>
  <c r="J93" i="282"/>
  <c r="I93" i="282"/>
  <c r="H93" i="282"/>
  <c r="G93" i="282"/>
  <c r="F93" i="282"/>
  <c r="E93" i="282"/>
  <c r="D93" i="282"/>
  <c r="C93" i="282"/>
  <c r="J92" i="282"/>
  <c r="I92" i="282"/>
  <c r="H92" i="282"/>
  <c r="G92" i="282"/>
  <c r="F92" i="282"/>
  <c r="E92" i="282"/>
  <c r="D92" i="282"/>
  <c r="C92" i="282"/>
  <c r="J91" i="282"/>
  <c r="I91" i="282"/>
  <c r="H91" i="282"/>
  <c r="G91" i="282"/>
  <c r="F91" i="282"/>
  <c r="E91" i="282"/>
  <c r="D91" i="282"/>
  <c r="C91" i="282"/>
  <c r="B174" i="282"/>
  <c r="J193" i="282"/>
  <c r="I193" i="282"/>
  <c r="H193" i="282"/>
  <c r="G193" i="282"/>
  <c r="F193" i="282"/>
  <c r="E193" i="282"/>
  <c r="D193" i="282"/>
  <c r="C193" i="282"/>
  <c r="B136" i="281"/>
  <c r="B118" i="281"/>
  <c r="B100" i="281"/>
  <c r="B57" i="281"/>
  <c r="B46" i="281"/>
  <c r="J96" i="281"/>
  <c r="I96" i="281"/>
  <c r="H96" i="281"/>
  <c r="G96" i="281"/>
  <c r="F96" i="281"/>
  <c r="E96" i="281"/>
  <c r="D96" i="281"/>
  <c r="C96" i="281"/>
  <c r="J95" i="281"/>
  <c r="I95" i="281"/>
  <c r="H95" i="281"/>
  <c r="G95" i="281"/>
  <c r="F95" i="281"/>
  <c r="E95" i="281"/>
  <c r="D95" i="281"/>
  <c r="C95" i="281"/>
  <c r="J94" i="281"/>
  <c r="I94" i="281"/>
  <c r="H94" i="281"/>
  <c r="G94" i="281"/>
  <c r="F94" i="281"/>
  <c r="E94" i="281"/>
  <c r="D94" i="281"/>
  <c r="C94" i="281"/>
  <c r="J93" i="281"/>
  <c r="I93" i="281"/>
  <c r="H93" i="281"/>
  <c r="G93" i="281"/>
  <c r="F93" i="281"/>
  <c r="E93" i="281"/>
  <c r="D93" i="281"/>
  <c r="C93" i="281"/>
  <c r="J92" i="281"/>
  <c r="I92" i="281"/>
  <c r="H92" i="281"/>
  <c r="G92" i="281"/>
  <c r="F92" i="281"/>
  <c r="E92" i="281"/>
  <c r="D92" i="281"/>
  <c r="C92" i="281"/>
  <c r="J91" i="281"/>
  <c r="I91" i="281"/>
  <c r="H91" i="281"/>
  <c r="G91" i="281"/>
  <c r="F91" i="281"/>
  <c r="E91" i="281"/>
  <c r="D91" i="281"/>
  <c r="C91" i="281"/>
  <c r="B174" i="281"/>
  <c r="J193" i="281"/>
  <c r="I193" i="281"/>
  <c r="H193" i="281"/>
  <c r="G193" i="281"/>
  <c r="F193" i="281"/>
  <c r="E193" i="281"/>
  <c r="D193" i="281"/>
  <c r="C193" i="281"/>
  <c r="B136" i="280"/>
  <c r="B118" i="280"/>
  <c r="B100" i="280"/>
  <c r="B57" i="280"/>
  <c r="B46" i="280"/>
  <c r="J96" i="280"/>
  <c r="I96" i="280"/>
  <c r="H96" i="280"/>
  <c r="G96" i="280"/>
  <c r="F96" i="280"/>
  <c r="E96" i="280"/>
  <c r="D96" i="280"/>
  <c r="C96" i="280"/>
  <c r="J95" i="280"/>
  <c r="I95" i="280"/>
  <c r="H95" i="280"/>
  <c r="G95" i="280"/>
  <c r="F95" i="280"/>
  <c r="E95" i="280"/>
  <c r="D95" i="280"/>
  <c r="C95" i="280"/>
  <c r="J94" i="280"/>
  <c r="I94" i="280"/>
  <c r="H94" i="280"/>
  <c r="G94" i="280"/>
  <c r="F94" i="280"/>
  <c r="E94" i="280"/>
  <c r="D94" i="280"/>
  <c r="C94" i="280"/>
  <c r="J93" i="280"/>
  <c r="I93" i="280"/>
  <c r="H93" i="280"/>
  <c r="G93" i="280"/>
  <c r="F93" i="280"/>
  <c r="E93" i="280"/>
  <c r="D93" i="280"/>
  <c r="C93" i="280"/>
  <c r="J92" i="280"/>
  <c r="I92" i="280"/>
  <c r="H92" i="280"/>
  <c r="G92" i="280"/>
  <c r="F92" i="280"/>
  <c r="E92" i="280"/>
  <c r="D92" i="280"/>
  <c r="C92" i="280"/>
  <c r="J91" i="280"/>
  <c r="I91" i="280"/>
  <c r="H91" i="280"/>
  <c r="G91" i="280"/>
  <c r="F91" i="280"/>
  <c r="E91" i="280"/>
  <c r="D91" i="280"/>
  <c r="C91" i="280"/>
  <c r="B174" i="280"/>
  <c r="J193" i="280"/>
  <c r="I193" i="280"/>
  <c r="H193" i="280"/>
  <c r="G193" i="280"/>
  <c r="F193" i="280"/>
  <c r="E193" i="280"/>
  <c r="D193" i="280"/>
  <c r="C193" i="280"/>
  <c r="B136" i="279"/>
  <c r="B118" i="279"/>
  <c r="B100" i="279"/>
  <c r="B57" i="279"/>
  <c r="B46" i="279"/>
  <c r="J96" i="279"/>
  <c r="I96" i="279"/>
  <c r="H96" i="279"/>
  <c r="G96" i="279"/>
  <c r="F96" i="279"/>
  <c r="E96" i="279"/>
  <c r="D96" i="279"/>
  <c r="C96" i="279"/>
  <c r="J95" i="279"/>
  <c r="I95" i="279"/>
  <c r="H95" i="279"/>
  <c r="G95" i="279"/>
  <c r="F95" i="279"/>
  <c r="E95" i="279"/>
  <c r="D95" i="279"/>
  <c r="C95" i="279"/>
  <c r="J94" i="279"/>
  <c r="I94" i="279"/>
  <c r="H94" i="279"/>
  <c r="G94" i="279"/>
  <c r="F94" i="279"/>
  <c r="E94" i="279"/>
  <c r="D94" i="279"/>
  <c r="C94" i="279"/>
  <c r="J93" i="279"/>
  <c r="I93" i="279"/>
  <c r="H93" i="279"/>
  <c r="G93" i="279"/>
  <c r="F93" i="279"/>
  <c r="E93" i="279"/>
  <c r="D93" i="279"/>
  <c r="C93" i="279"/>
  <c r="J92" i="279"/>
  <c r="I92" i="279"/>
  <c r="H92" i="279"/>
  <c r="G92" i="279"/>
  <c r="F92" i="279"/>
  <c r="E92" i="279"/>
  <c r="D92" i="279"/>
  <c r="C92" i="279"/>
  <c r="J91" i="279"/>
  <c r="I91" i="279"/>
  <c r="H91" i="279"/>
  <c r="G91" i="279"/>
  <c r="F91" i="279"/>
  <c r="E91" i="279"/>
  <c r="D91" i="279"/>
  <c r="C91" i="279"/>
  <c r="B174" i="279"/>
  <c r="J193" i="279"/>
  <c r="I193" i="279"/>
  <c r="H193" i="279"/>
  <c r="G193" i="279"/>
  <c r="F193" i="279"/>
  <c r="E193" i="279"/>
  <c r="D193" i="279"/>
  <c r="C193" i="279"/>
  <c r="B136" i="278"/>
  <c r="B118" i="278"/>
  <c r="B100" i="278"/>
  <c r="B57" i="278"/>
  <c r="B46" i="278"/>
  <c r="J96" i="278"/>
  <c r="I96" i="278"/>
  <c r="H96" i="278"/>
  <c r="G96" i="278"/>
  <c r="F96" i="278"/>
  <c r="E96" i="278"/>
  <c r="D96" i="278"/>
  <c r="C96" i="278"/>
  <c r="J95" i="278"/>
  <c r="I95" i="278"/>
  <c r="H95" i="278"/>
  <c r="G95" i="278"/>
  <c r="F95" i="278"/>
  <c r="E95" i="278"/>
  <c r="D95" i="278"/>
  <c r="C95" i="278"/>
  <c r="J94" i="278"/>
  <c r="I94" i="278"/>
  <c r="H94" i="278"/>
  <c r="G94" i="278"/>
  <c r="F94" i="278"/>
  <c r="E94" i="278"/>
  <c r="D94" i="278"/>
  <c r="C94" i="278"/>
  <c r="J93" i="278"/>
  <c r="I93" i="278"/>
  <c r="H93" i="278"/>
  <c r="G93" i="278"/>
  <c r="F93" i="278"/>
  <c r="E93" i="278"/>
  <c r="D93" i="278"/>
  <c r="C93" i="278"/>
  <c r="J92" i="278"/>
  <c r="I92" i="278"/>
  <c r="H92" i="278"/>
  <c r="G92" i="278"/>
  <c r="F92" i="278"/>
  <c r="E92" i="278"/>
  <c r="D92" i="278"/>
  <c r="C92" i="278"/>
  <c r="J91" i="278"/>
  <c r="I91" i="278"/>
  <c r="H91" i="278"/>
  <c r="G91" i="278"/>
  <c r="F91" i="278"/>
  <c r="E91" i="278"/>
  <c r="D91" i="278"/>
  <c r="C91" i="278"/>
  <c r="B174" i="278"/>
  <c r="J193" i="278"/>
  <c r="I193" i="278"/>
  <c r="H193" i="278"/>
  <c r="G193" i="278"/>
  <c r="F193" i="278"/>
  <c r="E193" i="278"/>
  <c r="D193" i="278"/>
  <c r="C193" i="278"/>
  <c r="B136" i="277"/>
  <c r="B118" i="277"/>
  <c r="B100" i="277"/>
  <c r="B57" i="277"/>
  <c r="B46" i="277"/>
  <c r="J96" i="277"/>
  <c r="I96" i="277"/>
  <c r="H96" i="277"/>
  <c r="G96" i="277"/>
  <c r="F96" i="277"/>
  <c r="E96" i="277"/>
  <c r="D96" i="277"/>
  <c r="C96" i="277"/>
  <c r="J95" i="277"/>
  <c r="I95" i="277"/>
  <c r="H95" i="277"/>
  <c r="G95" i="277"/>
  <c r="F95" i="277"/>
  <c r="E95" i="277"/>
  <c r="D95" i="277"/>
  <c r="C95" i="277"/>
  <c r="J94" i="277"/>
  <c r="I94" i="277"/>
  <c r="H94" i="277"/>
  <c r="G94" i="277"/>
  <c r="F94" i="277"/>
  <c r="E94" i="277"/>
  <c r="D94" i="277"/>
  <c r="C94" i="277"/>
  <c r="J93" i="277"/>
  <c r="I93" i="277"/>
  <c r="H93" i="277"/>
  <c r="G93" i="277"/>
  <c r="F93" i="277"/>
  <c r="E93" i="277"/>
  <c r="D93" i="277"/>
  <c r="C93" i="277"/>
  <c r="J92" i="277"/>
  <c r="I92" i="277"/>
  <c r="H92" i="277"/>
  <c r="G92" i="277"/>
  <c r="F92" i="277"/>
  <c r="E92" i="277"/>
  <c r="D92" i="277"/>
  <c r="C92" i="277"/>
  <c r="J91" i="277"/>
  <c r="I91" i="277"/>
  <c r="H91" i="277"/>
  <c r="G91" i="277"/>
  <c r="F91" i="277"/>
  <c r="E91" i="277"/>
  <c r="D91" i="277"/>
  <c r="C91" i="277"/>
  <c r="B174" i="277"/>
  <c r="J193" i="277"/>
  <c r="I193" i="277"/>
  <c r="H193" i="277"/>
  <c r="G193" i="277"/>
  <c r="F193" i="277"/>
  <c r="E193" i="277"/>
  <c r="D193" i="277"/>
  <c r="C193" i="277"/>
  <c r="B136" i="276"/>
  <c r="B118" i="276"/>
  <c r="B100" i="276"/>
  <c r="B57" i="276"/>
  <c r="B46" i="276"/>
  <c r="J96" i="276"/>
  <c r="I96" i="276"/>
  <c r="H96" i="276"/>
  <c r="G96" i="276"/>
  <c r="F96" i="276"/>
  <c r="E96" i="276"/>
  <c r="D96" i="276"/>
  <c r="C96" i="276"/>
  <c r="J95" i="276"/>
  <c r="I95" i="276"/>
  <c r="H95" i="276"/>
  <c r="G95" i="276"/>
  <c r="F95" i="276"/>
  <c r="E95" i="276"/>
  <c r="D95" i="276"/>
  <c r="C95" i="276"/>
  <c r="J94" i="276"/>
  <c r="I94" i="276"/>
  <c r="H94" i="276"/>
  <c r="G94" i="276"/>
  <c r="F94" i="276"/>
  <c r="E94" i="276"/>
  <c r="D94" i="276"/>
  <c r="C94" i="276"/>
  <c r="J93" i="276"/>
  <c r="I93" i="276"/>
  <c r="H93" i="276"/>
  <c r="G93" i="276"/>
  <c r="F93" i="276"/>
  <c r="E93" i="276"/>
  <c r="D93" i="276"/>
  <c r="C93" i="276"/>
  <c r="J92" i="276"/>
  <c r="I92" i="276"/>
  <c r="H92" i="276"/>
  <c r="G92" i="276"/>
  <c r="F92" i="276"/>
  <c r="E92" i="276"/>
  <c r="D92" i="276"/>
  <c r="C92" i="276"/>
  <c r="J91" i="276"/>
  <c r="I91" i="276"/>
  <c r="H91" i="276"/>
  <c r="G91" i="276"/>
  <c r="F91" i="276"/>
  <c r="E91" i="276"/>
  <c r="D91" i="276"/>
  <c r="C91" i="276"/>
  <c r="B174" i="276"/>
  <c r="J193" i="276"/>
  <c r="I193" i="276"/>
  <c r="H193" i="276"/>
  <c r="G193" i="276"/>
  <c r="F193" i="276"/>
  <c r="E193" i="276"/>
  <c r="D193" i="276"/>
  <c r="C193" i="276"/>
  <c r="B136" i="275"/>
  <c r="B118" i="275"/>
  <c r="B100" i="275"/>
  <c r="B57" i="275"/>
  <c r="B46" i="275"/>
  <c r="J96" i="275"/>
  <c r="I96" i="275"/>
  <c r="H96" i="275"/>
  <c r="G96" i="275"/>
  <c r="F96" i="275"/>
  <c r="E96" i="275"/>
  <c r="D96" i="275"/>
  <c r="C96" i="275"/>
  <c r="J95" i="275"/>
  <c r="I95" i="275"/>
  <c r="H95" i="275"/>
  <c r="G95" i="275"/>
  <c r="F95" i="275"/>
  <c r="E95" i="275"/>
  <c r="D95" i="275"/>
  <c r="C95" i="275"/>
  <c r="J94" i="275"/>
  <c r="I94" i="275"/>
  <c r="H94" i="275"/>
  <c r="G94" i="275"/>
  <c r="F94" i="275"/>
  <c r="E94" i="275"/>
  <c r="D94" i="275"/>
  <c r="C94" i="275"/>
  <c r="J93" i="275"/>
  <c r="I93" i="275"/>
  <c r="H93" i="275"/>
  <c r="G93" i="275"/>
  <c r="F93" i="275"/>
  <c r="E93" i="275"/>
  <c r="D93" i="275"/>
  <c r="C93" i="275"/>
  <c r="J92" i="275"/>
  <c r="I92" i="275"/>
  <c r="H92" i="275"/>
  <c r="G92" i="275"/>
  <c r="F92" i="275"/>
  <c r="E92" i="275"/>
  <c r="D92" i="275"/>
  <c r="C92" i="275"/>
  <c r="J91" i="275"/>
  <c r="I91" i="275"/>
  <c r="H91" i="275"/>
  <c r="G91" i="275"/>
  <c r="F91" i="275"/>
  <c r="E91" i="275"/>
  <c r="D91" i="275"/>
  <c r="C91" i="275"/>
  <c r="B174" i="275"/>
  <c r="J193" i="275"/>
  <c r="I193" i="275"/>
  <c r="H193" i="275"/>
  <c r="G193" i="275"/>
  <c r="F193" i="275"/>
  <c r="E193" i="275"/>
  <c r="D193" i="275"/>
  <c r="C193" i="275"/>
  <c r="B136" i="274"/>
  <c r="B118" i="274"/>
  <c r="B100" i="274"/>
  <c r="B57" i="274"/>
  <c r="B46" i="274"/>
  <c r="J96" i="274"/>
  <c r="I96" i="274"/>
  <c r="H96" i="274"/>
  <c r="G96" i="274"/>
  <c r="F96" i="274"/>
  <c r="E96" i="274"/>
  <c r="D96" i="274"/>
  <c r="C96" i="274"/>
  <c r="J95" i="274"/>
  <c r="I95" i="274"/>
  <c r="H95" i="274"/>
  <c r="G95" i="274"/>
  <c r="F95" i="274"/>
  <c r="E95" i="274"/>
  <c r="D95" i="274"/>
  <c r="C95" i="274"/>
  <c r="J94" i="274"/>
  <c r="I94" i="274"/>
  <c r="H94" i="274"/>
  <c r="G94" i="274"/>
  <c r="F94" i="274"/>
  <c r="E94" i="274"/>
  <c r="D94" i="274"/>
  <c r="C94" i="274"/>
  <c r="J93" i="274"/>
  <c r="I93" i="274"/>
  <c r="H93" i="274"/>
  <c r="G93" i="274"/>
  <c r="F93" i="274"/>
  <c r="E93" i="274"/>
  <c r="D93" i="274"/>
  <c r="C93" i="274"/>
  <c r="J92" i="274"/>
  <c r="I92" i="274"/>
  <c r="H92" i="274"/>
  <c r="G92" i="274"/>
  <c r="F92" i="274"/>
  <c r="E92" i="274"/>
  <c r="D92" i="274"/>
  <c r="C92" i="274"/>
  <c r="J91" i="274"/>
  <c r="I91" i="274"/>
  <c r="H91" i="274"/>
  <c r="G91" i="274"/>
  <c r="F91" i="274"/>
  <c r="E91" i="274"/>
  <c r="D91" i="274"/>
  <c r="C91" i="274"/>
  <c r="B174" i="274"/>
  <c r="J193" i="274"/>
  <c r="I193" i="274"/>
  <c r="H193" i="274"/>
  <c r="G193" i="274"/>
  <c r="F193" i="274"/>
  <c r="E193" i="274"/>
  <c r="D193" i="274"/>
  <c r="C193" i="274"/>
  <c r="B136" i="273"/>
  <c r="B118" i="273"/>
  <c r="B100" i="273"/>
  <c r="B57" i="273"/>
  <c r="B46" i="273"/>
  <c r="J96" i="273"/>
  <c r="I96" i="273"/>
  <c r="H96" i="273"/>
  <c r="G96" i="273"/>
  <c r="F96" i="273"/>
  <c r="E96" i="273"/>
  <c r="D96" i="273"/>
  <c r="C96" i="273"/>
  <c r="J95" i="273"/>
  <c r="I95" i="273"/>
  <c r="H95" i="273"/>
  <c r="G95" i="273"/>
  <c r="F95" i="273"/>
  <c r="E95" i="273"/>
  <c r="D95" i="273"/>
  <c r="C95" i="273"/>
  <c r="J94" i="273"/>
  <c r="I94" i="273"/>
  <c r="H94" i="273"/>
  <c r="G94" i="273"/>
  <c r="F94" i="273"/>
  <c r="E94" i="273"/>
  <c r="D94" i="273"/>
  <c r="C94" i="273"/>
  <c r="J93" i="273"/>
  <c r="I93" i="273"/>
  <c r="H93" i="273"/>
  <c r="G93" i="273"/>
  <c r="F93" i="273"/>
  <c r="E93" i="273"/>
  <c r="D93" i="273"/>
  <c r="C93" i="273"/>
  <c r="J92" i="273"/>
  <c r="I92" i="273"/>
  <c r="H92" i="273"/>
  <c r="G92" i="273"/>
  <c r="F92" i="273"/>
  <c r="E92" i="273"/>
  <c r="D92" i="273"/>
  <c r="C92" i="273"/>
  <c r="J91" i="273"/>
  <c r="I91" i="273"/>
  <c r="H91" i="273"/>
  <c r="G91" i="273"/>
  <c r="F91" i="273"/>
  <c r="E91" i="273"/>
  <c r="D91" i="273"/>
  <c r="C91" i="273"/>
  <c r="B174" i="273"/>
  <c r="J193" i="273"/>
  <c r="I193" i="273"/>
  <c r="H193" i="273"/>
  <c r="G193" i="273"/>
  <c r="F193" i="273"/>
  <c r="E193" i="273"/>
  <c r="D193" i="273"/>
  <c r="C193" i="273"/>
  <c r="B136" i="272"/>
  <c r="B118" i="272"/>
  <c r="B100" i="272"/>
  <c r="B57" i="272"/>
  <c r="B46" i="272"/>
  <c r="J96" i="272"/>
  <c r="I96" i="272"/>
  <c r="H96" i="272"/>
  <c r="G96" i="272"/>
  <c r="F96" i="272"/>
  <c r="E96" i="272"/>
  <c r="D96" i="272"/>
  <c r="C96" i="272"/>
  <c r="J95" i="272"/>
  <c r="I95" i="272"/>
  <c r="H95" i="272"/>
  <c r="G95" i="272"/>
  <c r="F95" i="272"/>
  <c r="E95" i="272"/>
  <c r="D95" i="272"/>
  <c r="C95" i="272"/>
  <c r="J94" i="272"/>
  <c r="I94" i="272"/>
  <c r="H94" i="272"/>
  <c r="G94" i="272"/>
  <c r="F94" i="272"/>
  <c r="E94" i="272"/>
  <c r="D94" i="272"/>
  <c r="C94" i="272"/>
  <c r="J93" i="272"/>
  <c r="I93" i="272"/>
  <c r="H93" i="272"/>
  <c r="G93" i="272"/>
  <c r="F93" i="272"/>
  <c r="E93" i="272"/>
  <c r="D93" i="272"/>
  <c r="C93" i="272"/>
  <c r="J92" i="272"/>
  <c r="I92" i="272"/>
  <c r="H92" i="272"/>
  <c r="G92" i="272"/>
  <c r="F92" i="272"/>
  <c r="E92" i="272"/>
  <c r="D92" i="272"/>
  <c r="C92" i="272"/>
  <c r="J91" i="272"/>
  <c r="I91" i="272"/>
  <c r="H91" i="272"/>
  <c r="G91" i="272"/>
  <c r="F91" i="272"/>
  <c r="E91" i="272"/>
  <c r="D91" i="272"/>
  <c r="C91" i="272"/>
  <c r="B174" i="272"/>
  <c r="J193" i="272"/>
  <c r="I193" i="272"/>
  <c r="H193" i="272"/>
  <c r="G193" i="272"/>
  <c r="F193" i="272"/>
  <c r="E193" i="272"/>
  <c r="D193" i="272"/>
  <c r="C193" i="272"/>
  <c r="B136" i="271"/>
  <c r="B118" i="271"/>
  <c r="B100" i="271"/>
  <c r="B57" i="271"/>
  <c r="B46" i="271"/>
  <c r="J96" i="271"/>
  <c r="I96" i="271"/>
  <c r="H96" i="271"/>
  <c r="G96" i="271"/>
  <c r="F96" i="271"/>
  <c r="E96" i="271"/>
  <c r="D96" i="271"/>
  <c r="C96" i="271"/>
  <c r="J95" i="271"/>
  <c r="I95" i="271"/>
  <c r="H95" i="271"/>
  <c r="G95" i="271"/>
  <c r="F95" i="271"/>
  <c r="E95" i="271"/>
  <c r="D95" i="271"/>
  <c r="C95" i="271"/>
  <c r="J94" i="271"/>
  <c r="I94" i="271"/>
  <c r="H94" i="271"/>
  <c r="G94" i="271"/>
  <c r="F94" i="271"/>
  <c r="E94" i="271"/>
  <c r="D94" i="271"/>
  <c r="C94" i="271"/>
  <c r="J93" i="271"/>
  <c r="I93" i="271"/>
  <c r="H93" i="271"/>
  <c r="G93" i="271"/>
  <c r="F93" i="271"/>
  <c r="E93" i="271"/>
  <c r="D93" i="271"/>
  <c r="C93" i="271"/>
  <c r="J92" i="271"/>
  <c r="I92" i="271"/>
  <c r="H92" i="271"/>
  <c r="G92" i="271"/>
  <c r="F92" i="271"/>
  <c r="E92" i="271"/>
  <c r="D92" i="271"/>
  <c r="C92" i="271"/>
  <c r="J91" i="271"/>
  <c r="I91" i="271"/>
  <c r="H91" i="271"/>
  <c r="G91" i="271"/>
  <c r="F91" i="271"/>
  <c r="E91" i="271"/>
  <c r="D91" i="271"/>
  <c r="C91" i="271"/>
  <c r="B174" i="271"/>
  <c r="J193" i="271"/>
  <c r="I193" i="271"/>
  <c r="H193" i="271"/>
  <c r="G193" i="271"/>
  <c r="F193" i="271"/>
  <c r="E193" i="271"/>
  <c r="D193" i="271"/>
  <c r="C193" i="271"/>
  <c r="B136" i="270"/>
  <c r="B118" i="270"/>
  <c r="B100" i="270"/>
  <c r="B57" i="270"/>
  <c r="B46" i="270"/>
  <c r="J96" i="270"/>
  <c r="I96" i="270"/>
  <c r="H96" i="270"/>
  <c r="G96" i="270"/>
  <c r="F96" i="270"/>
  <c r="E96" i="270"/>
  <c r="D96" i="270"/>
  <c r="C96" i="270"/>
  <c r="J95" i="270"/>
  <c r="I95" i="270"/>
  <c r="H95" i="270"/>
  <c r="G95" i="270"/>
  <c r="F95" i="270"/>
  <c r="E95" i="270"/>
  <c r="D95" i="270"/>
  <c r="C95" i="270"/>
  <c r="J94" i="270"/>
  <c r="I94" i="270"/>
  <c r="H94" i="270"/>
  <c r="G94" i="270"/>
  <c r="F94" i="270"/>
  <c r="E94" i="270"/>
  <c r="D94" i="270"/>
  <c r="C94" i="270"/>
  <c r="J93" i="270"/>
  <c r="I93" i="270"/>
  <c r="H93" i="270"/>
  <c r="G93" i="270"/>
  <c r="F93" i="270"/>
  <c r="E93" i="270"/>
  <c r="D93" i="270"/>
  <c r="C93" i="270"/>
  <c r="J92" i="270"/>
  <c r="I92" i="270"/>
  <c r="H92" i="270"/>
  <c r="G92" i="270"/>
  <c r="F92" i="270"/>
  <c r="E92" i="270"/>
  <c r="D92" i="270"/>
  <c r="C92" i="270"/>
  <c r="J91" i="270"/>
  <c r="I91" i="270"/>
  <c r="H91" i="270"/>
  <c r="G91" i="270"/>
  <c r="F91" i="270"/>
  <c r="E91" i="270"/>
  <c r="D91" i="270"/>
  <c r="C91" i="270"/>
  <c r="B174" i="270"/>
  <c r="J193" i="270"/>
  <c r="I193" i="270"/>
  <c r="H193" i="270"/>
  <c r="G193" i="270"/>
  <c r="F193" i="270"/>
  <c r="E193" i="270"/>
  <c r="D193" i="270"/>
  <c r="C193" i="270"/>
  <c r="B136" i="269"/>
  <c r="B118" i="269"/>
  <c r="B100" i="269"/>
  <c r="B57" i="269"/>
  <c r="B46" i="269"/>
  <c r="J96" i="269"/>
  <c r="I96" i="269"/>
  <c r="H96" i="269"/>
  <c r="G96" i="269"/>
  <c r="F96" i="269"/>
  <c r="E96" i="269"/>
  <c r="D96" i="269"/>
  <c r="C96" i="269"/>
  <c r="J95" i="269"/>
  <c r="I95" i="269"/>
  <c r="H95" i="269"/>
  <c r="G95" i="269"/>
  <c r="F95" i="269"/>
  <c r="E95" i="269"/>
  <c r="D95" i="269"/>
  <c r="C95" i="269"/>
  <c r="J94" i="269"/>
  <c r="I94" i="269"/>
  <c r="H94" i="269"/>
  <c r="G94" i="269"/>
  <c r="F94" i="269"/>
  <c r="E94" i="269"/>
  <c r="D94" i="269"/>
  <c r="C94" i="269"/>
  <c r="J93" i="269"/>
  <c r="I93" i="269"/>
  <c r="H93" i="269"/>
  <c r="G93" i="269"/>
  <c r="F93" i="269"/>
  <c r="E93" i="269"/>
  <c r="D93" i="269"/>
  <c r="C93" i="269"/>
  <c r="J92" i="269"/>
  <c r="I92" i="269"/>
  <c r="H92" i="269"/>
  <c r="G92" i="269"/>
  <c r="F92" i="269"/>
  <c r="E92" i="269"/>
  <c r="D92" i="269"/>
  <c r="C92" i="269"/>
  <c r="J91" i="269"/>
  <c r="I91" i="269"/>
  <c r="H91" i="269"/>
  <c r="G91" i="269"/>
  <c r="F91" i="269"/>
  <c r="E91" i="269"/>
  <c r="D91" i="269"/>
  <c r="C91" i="269"/>
  <c r="B174" i="269"/>
  <c r="J193" i="269"/>
  <c r="I193" i="269"/>
  <c r="H193" i="269"/>
  <c r="G193" i="269"/>
  <c r="F193" i="269"/>
  <c r="E193" i="269"/>
  <c r="D193" i="269"/>
  <c r="C193" i="269"/>
  <c r="B136" i="268"/>
  <c r="B118" i="268"/>
  <c r="B100" i="268"/>
  <c r="B57" i="268"/>
  <c r="B46" i="268"/>
  <c r="J96" i="268"/>
  <c r="I96" i="268"/>
  <c r="H96" i="268"/>
  <c r="G96" i="268"/>
  <c r="F96" i="268"/>
  <c r="E96" i="268"/>
  <c r="D96" i="268"/>
  <c r="C96" i="268"/>
  <c r="J95" i="268"/>
  <c r="I95" i="268"/>
  <c r="H95" i="268"/>
  <c r="G95" i="268"/>
  <c r="F95" i="268"/>
  <c r="E95" i="268"/>
  <c r="D95" i="268"/>
  <c r="C95" i="268"/>
  <c r="J94" i="268"/>
  <c r="I94" i="268"/>
  <c r="H94" i="268"/>
  <c r="G94" i="268"/>
  <c r="F94" i="268"/>
  <c r="E94" i="268"/>
  <c r="D94" i="268"/>
  <c r="C94" i="268"/>
  <c r="J93" i="268"/>
  <c r="I93" i="268"/>
  <c r="H93" i="268"/>
  <c r="G93" i="268"/>
  <c r="F93" i="268"/>
  <c r="E93" i="268"/>
  <c r="D93" i="268"/>
  <c r="C93" i="268"/>
  <c r="J92" i="268"/>
  <c r="I92" i="268"/>
  <c r="H92" i="268"/>
  <c r="G92" i="268"/>
  <c r="F92" i="268"/>
  <c r="E92" i="268"/>
  <c r="D92" i="268"/>
  <c r="C92" i="268"/>
  <c r="J91" i="268"/>
  <c r="I91" i="268"/>
  <c r="H91" i="268"/>
  <c r="G91" i="268"/>
  <c r="F91" i="268"/>
  <c r="E91" i="268"/>
  <c r="D91" i="268"/>
  <c r="C91" i="268"/>
  <c r="B174" i="268"/>
  <c r="J193" i="268"/>
  <c r="I193" i="268"/>
  <c r="H193" i="268"/>
  <c r="G193" i="268"/>
  <c r="F193" i="268"/>
  <c r="E193" i="268"/>
  <c r="D193" i="268"/>
  <c r="C193" i="268"/>
  <c r="B136" i="267"/>
  <c r="B118" i="267"/>
  <c r="B100" i="267"/>
  <c r="B57" i="267"/>
  <c r="B46" i="267"/>
  <c r="J96" i="267"/>
  <c r="I96" i="267"/>
  <c r="H96" i="267"/>
  <c r="G96" i="267"/>
  <c r="F96" i="267"/>
  <c r="E96" i="267"/>
  <c r="D96" i="267"/>
  <c r="C96" i="267"/>
  <c r="J95" i="267"/>
  <c r="I95" i="267"/>
  <c r="H95" i="267"/>
  <c r="G95" i="267"/>
  <c r="F95" i="267"/>
  <c r="E95" i="267"/>
  <c r="D95" i="267"/>
  <c r="C95" i="267"/>
  <c r="J94" i="267"/>
  <c r="I94" i="267"/>
  <c r="H94" i="267"/>
  <c r="G94" i="267"/>
  <c r="F94" i="267"/>
  <c r="E94" i="267"/>
  <c r="D94" i="267"/>
  <c r="C94" i="267"/>
  <c r="J93" i="267"/>
  <c r="I93" i="267"/>
  <c r="H93" i="267"/>
  <c r="G93" i="267"/>
  <c r="F93" i="267"/>
  <c r="E93" i="267"/>
  <c r="D93" i="267"/>
  <c r="C93" i="267"/>
  <c r="J92" i="267"/>
  <c r="I92" i="267"/>
  <c r="H92" i="267"/>
  <c r="G92" i="267"/>
  <c r="F92" i="267"/>
  <c r="E92" i="267"/>
  <c r="D92" i="267"/>
  <c r="C92" i="267"/>
  <c r="J91" i="267"/>
  <c r="I91" i="267"/>
  <c r="H91" i="267"/>
  <c r="G91" i="267"/>
  <c r="F91" i="267"/>
  <c r="E91" i="267"/>
  <c r="D91" i="267"/>
  <c r="C91" i="267"/>
  <c r="B174" i="267"/>
  <c r="J193" i="267"/>
  <c r="I193" i="267"/>
  <c r="H193" i="267"/>
  <c r="G193" i="267"/>
  <c r="F193" i="267"/>
  <c r="E193" i="267"/>
  <c r="D193" i="267"/>
  <c r="C193" i="267"/>
  <c r="B136" i="266"/>
  <c r="B118" i="266"/>
  <c r="B100" i="266"/>
  <c r="B57" i="266"/>
  <c r="B46" i="266"/>
  <c r="J96" i="266"/>
  <c r="I96" i="266"/>
  <c r="H96" i="266"/>
  <c r="G96" i="266"/>
  <c r="F96" i="266"/>
  <c r="E96" i="266"/>
  <c r="D96" i="266"/>
  <c r="C96" i="266"/>
  <c r="J95" i="266"/>
  <c r="I95" i="266"/>
  <c r="H95" i="266"/>
  <c r="G95" i="266"/>
  <c r="F95" i="266"/>
  <c r="E95" i="266"/>
  <c r="D95" i="266"/>
  <c r="C95" i="266"/>
  <c r="J94" i="266"/>
  <c r="I94" i="266"/>
  <c r="H94" i="266"/>
  <c r="G94" i="266"/>
  <c r="F94" i="266"/>
  <c r="E94" i="266"/>
  <c r="D94" i="266"/>
  <c r="C94" i="266"/>
  <c r="J93" i="266"/>
  <c r="I93" i="266"/>
  <c r="H93" i="266"/>
  <c r="G93" i="266"/>
  <c r="F93" i="266"/>
  <c r="E93" i="266"/>
  <c r="D93" i="266"/>
  <c r="C93" i="266"/>
  <c r="J92" i="266"/>
  <c r="I92" i="266"/>
  <c r="H92" i="266"/>
  <c r="G92" i="266"/>
  <c r="F92" i="266"/>
  <c r="E92" i="266"/>
  <c r="D92" i="266"/>
  <c r="C92" i="266"/>
  <c r="J91" i="266"/>
  <c r="I91" i="266"/>
  <c r="H91" i="266"/>
  <c r="G91" i="266"/>
  <c r="F91" i="266"/>
  <c r="E91" i="266"/>
  <c r="D91" i="266"/>
  <c r="C91" i="266"/>
  <c r="B174" i="266"/>
  <c r="J193" i="266"/>
  <c r="I193" i="266"/>
  <c r="H193" i="266"/>
  <c r="G193" i="266"/>
  <c r="F193" i="266"/>
  <c r="E193" i="266"/>
  <c r="D193" i="266"/>
  <c r="C193" i="266"/>
  <c r="B136" i="265"/>
  <c r="B118" i="265"/>
  <c r="B100" i="265"/>
  <c r="B57" i="265"/>
  <c r="B46" i="265"/>
  <c r="J96" i="265"/>
  <c r="I96" i="265"/>
  <c r="H96" i="265"/>
  <c r="G96" i="265"/>
  <c r="F96" i="265"/>
  <c r="E96" i="265"/>
  <c r="D96" i="265"/>
  <c r="C96" i="265"/>
  <c r="J95" i="265"/>
  <c r="I95" i="265"/>
  <c r="H95" i="265"/>
  <c r="G95" i="265"/>
  <c r="F95" i="265"/>
  <c r="E95" i="265"/>
  <c r="D95" i="265"/>
  <c r="C95" i="265"/>
  <c r="J94" i="265"/>
  <c r="I94" i="265"/>
  <c r="H94" i="265"/>
  <c r="G94" i="265"/>
  <c r="F94" i="265"/>
  <c r="E94" i="265"/>
  <c r="D94" i="265"/>
  <c r="C94" i="265"/>
  <c r="J93" i="265"/>
  <c r="I93" i="265"/>
  <c r="H93" i="265"/>
  <c r="G93" i="265"/>
  <c r="F93" i="265"/>
  <c r="E93" i="265"/>
  <c r="D93" i="265"/>
  <c r="C93" i="265"/>
  <c r="J92" i="265"/>
  <c r="I92" i="265"/>
  <c r="H92" i="265"/>
  <c r="G92" i="265"/>
  <c r="F92" i="265"/>
  <c r="E92" i="265"/>
  <c r="D92" i="265"/>
  <c r="C92" i="265"/>
  <c r="J91" i="265"/>
  <c r="I91" i="265"/>
  <c r="H91" i="265"/>
  <c r="G91" i="265"/>
  <c r="F91" i="265"/>
  <c r="E91" i="265"/>
  <c r="D91" i="265"/>
  <c r="C91" i="265"/>
  <c r="B174" i="265"/>
  <c r="J193" i="265"/>
  <c r="I193" i="265"/>
  <c r="H193" i="265"/>
  <c r="G193" i="265"/>
  <c r="F193" i="265"/>
  <c r="E193" i="265"/>
  <c r="D193" i="265"/>
  <c r="C193" i="265"/>
  <c r="B136" i="264"/>
  <c r="B118" i="264"/>
  <c r="B100" i="264"/>
  <c r="B57" i="264"/>
  <c r="B46" i="264"/>
  <c r="J96" i="264"/>
  <c r="I96" i="264"/>
  <c r="H96" i="264"/>
  <c r="G96" i="264"/>
  <c r="F96" i="264"/>
  <c r="E96" i="264"/>
  <c r="D96" i="264"/>
  <c r="C96" i="264"/>
  <c r="J95" i="264"/>
  <c r="I95" i="264"/>
  <c r="H95" i="264"/>
  <c r="G95" i="264"/>
  <c r="F95" i="264"/>
  <c r="E95" i="264"/>
  <c r="D95" i="264"/>
  <c r="C95" i="264"/>
  <c r="J94" i="264"/>
  <c r="I94" i="264"/>
  <c r="H94" i="264"/>
  <c r="G94" i="264"/>
  <c r="F94" i="264"/>
  <c r="E94" i="264"/>
  <c r="D94" i="264"/>
  <c r="C94" i="264"/>
  <c r="J93" i="264"/>
  <c r="I93" i="264"/>
  <c r="H93" i="264"/>
  <c r="G93" i="264"/>
  <c r="F93" i="264"/>
  <c r="E93" i="264"/>
  <c r="D93" i="264"/>
  <c r="C93" i="264"/>
  <c r="J92" i="264"/>
  <c r="I92" i="264"/>
  <c r="H92" i="264"/>
  <c r="G92" i="264"/>
  <c r="F92" i="264"/>
  <c r="E92" i="264"/>
  <c r="D92" i="264"/>
  <c r="C92" i="264"/>
  <c r="J91" i="264"/>
  <c r="I91" i="264"/>
  <c r="H91" i="264"/>
  <c r="G91" i="264"/>
  <c r="F91" i="264"/>
  <c r="E91" i="264"/>
  <c r="D91" i="264"/>
  <c r="C91" i="264"/>
  <c r="B174" i="264"/>
  <c r="J193" i="264"/>
  <c r="I193" i="264"/>
  <c r="H193" i="264"/>
  <c r="G193" i="264"/>
  <c r="F193" i="264"/>
  <c r="E193" i="264"/>
  <c r="D193" i="264"/>
  <c r="C193" i="264"/>
  <c r="B136" i="263"/>
  <c r="B118" i="263"/>
  <c r="B100" i="263"/>
  <c r="B57" i="263"/>
  <c r="B46" i="263"/>
  <c r="J96" i="263"/>
  <c r="I96" i="263"/>
  <c r="H96" i="263"/>
  <c r="G96" i="263"/>
  <c r="F96" i="263"/>
  <c r="E96" i="263"/>
  <c r="D96" i="263"/>
  <c r="C96" i="263"/>
  <c r="J95" i="263"/>
  <c r="I95" i="263"/>
  <c r="H95" i="263"/>
  <c r="G95" i="263"/>
  <c r="F95" i="263"/>
  <c r="E95" i="263"/>
  <c r="D95" i="263"/>
  <c r="C95" i="263"/>
  <c r="J94" i="263"/>
  <c r="I94" i="263"/>
  <c r="H94" i="263"/>
  <c r="G94" i="263"/>
  <c r="F94" i="263"/>
  <c r="E94" i="263"/>
  <c r="D94" i="263"/>
  <c r="C94" i="263"/>
  <c r="J93" i="263"/>
  <c r="I93" i="263"/>
  <c r="H93" i="263"/>
  <c r="G93" i="263"/>
  <c r="F93" i="263"/>
  <c r="E93" i="263"/>
  <c r="D93" i="263"/>
  <c r="C93" i="263"/>
  <c r="J92" i="263"/>
  <c r="I92" i="263"/>
  <c r="H92" i="263"/>
  <c r="G92" i="263"/>
  <c r="F92" i="263"/>
  <c r="E92" i="263"/>
  <c r="D92" i="263"/>
  <c r="C92" i="263"/>
  <c r="J91" i="263"/>
  <c r="I91" i="263"/>
  <c r="H91" i="263"/>
  <c r="G91" i="263"/>
  <c r="F91" i="263"/>
  <c r="E91" i="263"/>
  <c r="D91" i="263"/>
  <c r="C91" i="263"/>
  <c r="B174" i="263"/>
  <c r="J193" i="263"/>
  <c r="I193" i="263"/>
  <c r="H193" i="263"/>
  <c r="G193" i="263"/>
  <c r="F193" i="263"/>
  <c r="E193" i="263"/>
  <c r="D193" i="263"/>
  <c r="C193" i="263"/>
  <c r="B136" i="262"/>
  <c r="B118" i="262"/>
  <c r="B100" i="262"/>
  <c r="B57" i="262"/>
  <c r="B46" i="262"/>
  <c r="J96" i="262"/>
  <c r="I96" i="262"/>
  <c r="H96" i="262"/>
  <c r="G96" i="262"/>
  <c r="F96" i="262"/>
  <c r="E96" i="262"/>
  <c r="D96" i="262"/>
  <c r="C96" i="262"/>
  <c r="J95" i="262"/>
  <c r="I95" i="262"/>
  <c r="H95" i="262"/>
  <c r="G95" i="262"/>
  <c r="F95" i="262"/>
  <c r="E95" i="262"/>
  <c r="D95" i="262"/>
  <c r="C95" i="262"/>
  <c r="J94" i="262"/>
  <c r="I94" i="262"/>
  <c r="H94" i="262"/>
  <c r="G94" i="262"/>
  <c r="F94" i="262"/>
  <c r="E94" i="262"/>
  <c r="D94" i="262"/>
  <c r="C94" i="262"/>
  <c r="J93" i="262"/>
  <c r="I93" i="262"/>
  <c r="H93" i="262"/>
  <c r="G93" i="262"/>
  <c r="F93" i="262"/>
  <c r="E93" i="262"/>
  <c r="D93" i="262"/>
  <c r="C93" i="262"/>
  <c r="J92" i="262"/>
  <c r="I92" i="262"/>
  <c r="H92" i="262"/>
  <c r="G92" i="262"/>
  <c r="F92" i="262"/>
  <c r="E92" i="262"/>
  <c r="D92" i="262"/>
  <c r="C92" i="262"/>
  <c r="J91" i="262"/>
  <c r="I91" i="262"/>
  <c r="H91" i="262"/>
  <c r="G91" i="262"/>
  <c r="F91" i="262"/>
  <c r="E91" i="262"/>
  <c r="D91" i="262"/>
  <c r="C91" i="262"/>
  <c r="B174" i="262"/>
  <c r="J193" i="262"/>
  <c r="I193" i="262"/>
  <c r="H193" i="262"/>
  <c r="G193" i="262"/>
  <c r="F193" i="262"/>
  <c r="E193" i="262"/>
  <c r="D193" i="262"/>
  <c r="C193" i="262"/>
  <c r="B136" i="261"/>
  <c r="B118" i="261"/>
  <c r="B100" i="261"/>
  <c r="B57" i="261"/>
  <c r="B46" i="261"/>
  <c r="J96" i="261"/>
  <c r="I96" i="261"/>
  <c r="H96" i="261"/>
  <c r="G96" i="261"/>
  <c r="F96" i="261"/>
  <c r="E96" i="261"/>
  <c r="D96" i="261"/>
  <c r="C96" i="261"/>
  <c r="J95" i="261"/>
  <c r="I95" i="261"/>
  <c r="H95" i="261"/>
  <c r="G95" i="261"/>
  <c r="F95" i="261"/>
  <c r="E95" i="261"/>
  <c r="D95" i="261"/>
  <c r="C95" i="261"/>
  <c r="J94" i="261"/>
  <c r="I94" i="261"/>
  <c r="H94" i="261"/>
  <c r="G94" i="261"/>
  <c r="F94" i="261"/>
  <c r="E94" i="261"/>
  <c r="D94" i="261"/>
  <c r="C94" i="261"/>
  <c r="J93" i="261"/>
  <c r="I93" i="261"/>
  <c r="H93" i="261"/>
  <c r="G93" i="261"/>
  <c r="F93" i="261"/>
  <c r="E93" i="261"/>
  <c r="D93" i="261"/>
  <c r="C93" i="261"/>
  <c r="J92" i="261"/>
  <c r="I92" i="261"/>
  <c r="H92" i="261"/>
  <c r="G92" i="261"/>
  <c r="F92" i="261"/>
  <c r="E92" i="261"/>
  <c r="D92" i="261"/>
  <c r="C92" i="261"/>
  <c r="J91" i="261"/>
  <c r="I91" i="261"/>
  <c r="H91" i="261"/>
  <c r="G91" i="261"/>
  <c r="F91" i="261"/>
  <c r="E91" i="261"/>
  <c r="D91" i="261"/>
  <c r="C91" i="261"/>
  <c r="B174" i="261"/>
  <c r="J193" i="261"/>
  <c r="I193" i="261"/>
  <c r="H193" i="261"/>
  <c r="G193" i="261"/>
  <c r="F193" i="261"/>
  <c r="E193" i="261"/>
  <c r="D193" i="261"/>
  <c r="C193" i="261"/>
  <c r="B136" i="260"/>
  <c r="B118" i="260"/>
  <c r="B100" i="260"/>
  <c r="B57" i="260"/>
  <c r="B46" i="260"/>
  <c r="J96" i="260"/>
  <c r="I96" i="260"/>
  <c r="H96" i="260"/>
  <c r="G96" i="260"/>
  <c r="F96" i="260"/>
  <c r="E96" i="260"/>
  <c r="D96" i="260"/>
  <c r="C96" i="260"/>
  <c r="J95" i="260"/>
  <c r="I95" i="260"/>
  <c r="H95" i="260"/>
  <c r="G95" i="260"/>
  <c r="F95" i="260"/>
  <c r="E95" i="260"/>
  <c r="D95" i="260"/>
  <c r="C95" i="260"/>
  <c r="J94" i="260"/>
  <c r="I94" i="260"/>
  <c r="H94" i="260"/>
  <c r="G94" i="260"/>
  <c r="F94" i="260"/>
  <c r="E94" i="260"/>
  <c r="D94" i="260"/>
  <c r="C94" i="260"/>
  <c r="J93" i="260"/>
  <c r="I93" i="260"/>
  <c r="H93" i="260"/>
  <c r="G93" i="260"/>
  <c r="F93" i="260"/>
  <c r="E93" i="260"/>
  <c r="D93" i="260"/>
  <c r="C93" i="260"/>
  <c r="J92" i="260"/>
  <c r="I92" i="260"/>
  <c r="H92" i="260"/>
  <c r="G92" i="260"/>
  <c r="F92" i="260"/>
  <c r="E92" i="260"/>
  <c r="D92" i="260"/>
  <c r="C92" i="260"/>
  <c r="J91" i="260"/>
  <c r="I91" i="260"/>
  <c r="H91" i="260"/>
  <c r="G91" i="260"/>
  <c r="F91" i="260"/>
  <c r="E91" i="260"/>
  <c r="D91" i="260"/>
  <c r="C91" i="260"/>
  <c r="B174" i="260"/>
  <c r="J193" i="260"/>
  <c r="I193" i="260"/>
  <c r="H193" i="260"/>
  <c r="G193" i="260"/>
  <c r="F193" i="260"/>
  <c r="E193" i="260"/>
  <c r="D193" i="260"/>
  <c r="C193" i="260"/>
  <c r="B136" i="259"/>
  <c r="B118" i="259"/>
  <c r="B100" i="259"/>
  <c r="B57" i="259"/>
  <c r="B46" i="259"/>
  <c r="J96" i="259"/>
  <c r="I96" i="259"/>
  <c r="H96" i="259"/>
  <c r="G96" i="259"/>
  <c r="F96" i="259"/>
  <c r="E96" i="259"/>
  <c r="D96" i="259"/>
  <c r="C96" i="259"/>
  <c r="J95" i="259"/>
  <c r="I95" i="259"/>
  <c r="H95" i="259"/>
  <c r="G95" i="259"/>
  <c r="F95" i="259"/>
  <c r="E95" i="259"/>
  <c r="D95" i="259"/>
  <c r="C95" i="259"/>
  <c r="J94" i="259"/>
  <c r="I94" i="259"/>
  <c r="H94" i="259"/>
  <c r="G94" i="259"/>
  <c r="F94" i="259"/>
  <c r="E94" i="259"/>
  <c r="D94" i="259"/>
  <c r="C94" i="259"/>
  <c r="J93" i="259"/>
  <c r="I93" i="259"/>
  <c r="H93" i="259"/>
  <c r="G93" i="259"/>
  <c r="F93" i="259"/>
  <c r="E93" i="259"/>
  <c r="D93" i="259"/>
  <c r="C93" i="259"/>
  <c r="J92" i="259"/>
  <c r="I92" i="259"/>
  <c r="H92" i="259"/>
  <c r="G92" i="259"/>
  <c r="F92" i="259"/>
  <c r="E92" i="259"/>
  <c r="D92" i="259"/>
  <c r="C92" i="259"/>
  <c r="J91" i="259"/>
  <c r="I91" i="259"/>
  <c r="H91" i="259"/>
  <c r="G91" i="259"/>
  <c r="F91" i="259"/>
  <c r="E91" i="259"/>
  <c r="D91" i="259"/>
  <c r="C91" i="259"/>
  <c r="B174" i="259"/>
  <c r="J193" i="259"/>
  <c r="I193" i="259"/>
  <c r="H193" i="259"/>
  <c r="G193" i="259"/>
  <c r="F193" i="259"/>
  <c r="E193" i="259"/>
  <c r="D193" i="259"/>
  <c r="C193" i="259"/>
  <c r="B136" i="258"/>
  <c r="B118" i="258"/>
  <c r="B100" i="258"/>
  <c r="B57" i="258"/>
  <c r="B46" i="258"/>
  <c r="J96" i="258"/>
  <c r="I96" i="258"/>
  <c r="H96" i="258"/>
  <c r="G96" i="258"/>
  <c r="F96" i="258"/>
  <c r="E96" i="258"/>
  <c r="D96" i="258"/>
  <c r="C96" i="258"/>
  <c r="J95" i="258"/>
  <c r="I95" i="258"/>
  <c r="H95" i="258"/>
  <c r="G95" i="258"/>
  <c r="F95" i="258"/>
  <c r="E95" i="258"/>
  <c r="D95" i="258"/>
  <c r="C95" i="258"/>
  <c r="J94" i="258"/>
  <c r="I94" i="258"/>
  <c r="H94" i="258"/>
  <c r="G94" i="258"/>
  <c r="F94" i="258"/>
  <c r="E94" i="258"/>
  <c r="D94" i="258"/>
  <c r="C94" i="258"/>
  <c r="J93" i="258"/>
  <c r="I93" i="258"/>
  <c r="H93" i="258"/>
  <c r="G93" i="258"/>
  <c r="F93" i="258"/>
  <c r="E93" i="258"/>
  <c r="D93" i="258"/>
  <c r="C93" i="258"/>
  <c r="J92" i="258"/>
  <c r="I92" i="258"/>
  <c r="H92" i="258"/>
  <c r="G92" i="258"/>
  <c r="F92" i="258"/>
  <c r="E92" i="258"/>
  <c r="D92" i="258"/>
  <c r="C92" i="258"/>
  <c r="J91" i="258"/>
  <c r="I91" i="258"/>
  <c r="H91" i="258"/>
  <c r="G91" i="258"/>
  <c r="F91" i="258"/>
  <c r="E91" i="258"/>
  <c r="D91" i="258"/>
  <c r="C91" i="258"/>
  <c r="B174" i="258"/>
  <c r="J193" i="258"/>
  <c r="I193" i="258"/>
  <c r="H193" i="258"/>
  <c r="G193" i="258"/>
  <c r="F193" i="258"/>
  <c r="E193" i="258"/>
  <c r="D193" i="258"/>
  <c r="C193" i="258"/>
  <c r="B136" i="257"/>
  <c r="B118" i="257"/>
  <c r="B100" i="257"/>
  <c r="B57" i="257"/>
  <c r="B46" i="257"/>
  <c r="J96" i="257"/>
  <c r="I96" i="257"/>
  <c r="H96" i="257"/>
  <c r="G96" i="257"/>
  <c r="F96" i="257"/>
  <c r="E96" i="257"/>
  <c r="D96" i="257"/>
  <c r="C96" i="257"/>
  <c r="J95" i="257"/>
  <c r="I95" i="257"/>
  <c r="H95" i="257"/>
  <c r="G95" i="257"/>
  <c r="F95" i="257"/>
  <c r="E95" i="257"/>
  <c r="D95" i="257"/>
  <c r="C95" i="257"/>
  <c r="J94" i="257"/>
  <c r="I94" i="257"/>
  <c r="H94" i="257"/>
  <c r="G94" i="257"/>
  <c r="F94" i="257"/>
  <c r="E94" i="257"/>
  <c r="D94" i="257"/>
  <c r="C94" i="257"/>
  <c r="J93" i="257"/>
  <c r="I93" i="257"/>
  <c r="H93" i="257"/>
  <c r="G93" i="257"/>
  <c r="F93" i="257"/>
  <c r="E93" i="257"/>
  <c r="D93" i="257"/>
  <c r="C93" i="257"/>
  <c r="J92" i="257"/>
  <c r="I92" i="257"/>
  <c r="H92" i="257"/>
  <c r="G92" i="257"/>
  <c r="F92" i="257"/>
  <c r="E92" i="257"/>
  <c r="D92" i="257"/>
  <c r="C92" i="257"/>
  <c r="J91" i="257"/>
  <c r="I91" i="257"/>
  <c r="H91" i="257"/>
  <c r="G91" i="257"/>
  <c r="F91" i="257"/>
  <c r="E91" i="257"/>
  <c r="D91" i="257"/>
  <c r="C91" i="257"/>
  <c r="B174" i="257"/>
  <c r="J193" i="257"/>
  <c r="I193" i="257"/>
  <c r="H193" i="257"/>
  <c r="G193" i="257"/>
  <c r="F193" i="257"/>
  <c r="E193" i="257"/>
  <c r="D193" i="257"/>
  <c r="C193" i="257"/>
  <c r="B136" i="256"/>
  <c r="B118" i="256"/>
  <c r="B100" i="256"/>
  <c r="B57" i="256"/>
  <c r="B46" i="256"/>
  <c r="J96" i="256"/>
  <c r="I96" i="256"/>
  <c r="H96" i="256"/>
  <c r="G96" i="256"/>
  <c r="F96" i="256"/>
  <c r="E96" i="256"/>
  <c r="D96" i="256"/>
  <c r="C96" i="256"/>
  <c r="J95" i="256"/>
  <c r="I95" i="256"/>
  <c r="H95" i="256"/>
  <c r="G95" i="256"/>
  <c r="F95" i="256"/>
  <c r="E95" i="256"/>
  <c r="D95" i="256"/>
  <c r="C95" i="256"/>
  <c r="J94" i="256"/>
  <c r="I94" i="256"/>
  <c r="H94" i="256"/>
  <c r="G94" i="256"/>
  <c r="F94" i="256"/>
  <c r="E94" i="256"/>
  <c r="D94" i="256"/>
  <c r="C94" i="256"/>
  <c r="J93" i="256"/>
  <c r="I93" i="256"/>
  <c r="H93" i="256"/>
  <c r="G93" i="256"/>
  <c r="F93" i="256"/>
  <c r="E93" i="256"/>
  <c r="D93" i="256"/>
  <c r="C93" i="256"/>
  <c r="J92" i="256"/>
  <c r="I92" i="256"/>
  <c r="H92" i="256"/>
  <c r="G92" i="256"/>
  <c r="F92" i="256"/>
  <c r="E92" i="256"/>
  <c r="D92" i="256"/>
  <c r="C92" i="256"/>
  <c r="J91" i="256"/>
  <c r="I91" i="256"/>
  <c r="H91" i="256"/>
  <c r="G91" i="256"/>
  <c r="F91" i="256"/>
  <c r="E91" i="256"/>
  <c r="D91" i="256"/>
  <c r="C91" i="256"/>
  <c r="B174" i="256"/>
  <c r="J193" i="256"/>
  <c r="I193" i="256"/>
  <c r="H193" i="256"/>
  <c r="G193" i="256"/>
  <c r="F193" i="256"/>
  <c r="E193" i="256"/>
  <c r="D193" i="256"/>
  <c r="C193" i="256"/>
  <c r="B136" i="255"/>
  <c r="B118" i="255"/>
  <c r="B100" i="255"/>
  <c r="B57" i="255"/>
  <c r="B46" i="255"/>
  <c r="J96" i="255"/>
  <c r="I96" i="255"/>
  <c r="H96" i="255"/>
  <c r="G96" i="255"/>
  <c r="F96" i="255"/>
  <c r="E96" i="255"/>
  <c r="D96" i="255"/>
  <c r="C96" i="255"/>
  <c r="J95" i="255"/>
  <c r="I95" i="255"/>
  <c r="H95" i="255"/>
  <c r="G95" i="255"/>
  <c r="F95" i="255"/>
  <c r="E95" i="255"/>
  <c r="D95" i="255"/>
  <c r="C95" i="255"/>
  <c r="J94" i="255"/>
  <c r="I94" i="255"/>
  <c r="H94" i="255"/>
  <c r="G94" i="255"/>
  <c r="F94" i="255"/>
  <c r="E94" i="255"/>
  <c r="D94" i="255"/>
  <c r="C94" i="255"/>
  <c r="J93" i="255"/>
  <c r="I93" i="255"/>
  <c r="H93" i="255"/>
  <c r="G93" i="255"/>
  <c r="F93" i="255"/>
  <c r="E93" i="255"/>
  <c r="D93" i="255"/>
  <c r="C93" i="255"/>
  <c r="J92" i="255"/>
  <c r="I92" i="255"/>
  <c r="H92" i="255"/>
  <c r="G92" i="255"/>
  <c r="F92" i="255"/>
  <c r="E92" i="255"/>
  <c r="D92" i="255"/>
  <c r="C92" i="255"/>
  <c r="J91" i="255"/>
  <c r="I91" i="255"/>
  <c r="H91" i="255"/>
  <c r="G91" i="255"/>
  <c r="F91" i="255"/>
  <c r="E91" i="255"/>
  <c r="D91" i="255"/>
  <c r="C91" i="255"/>
  <c r="B174" i="255"/>
  <c r="J193" i="255"/>
  <c r="I193" i="255"/>
  <c r="H193" i="255"/>
  <c r="G193" i="255"/>
  <c r="F193" i="255"/>
  <c r="E193" i="255"/>
  <c r="D193" i="255"/>
  <c r="C193" i="255"/>
  <c r="B136" i="254"/>
  <c r="B118" i="254"/>
  <c r="B100" i="254"/>
  <c r="B57" i="254"/>
  <c r="B46" i="254"/>
  <c r="J96" i="254"/>
  <c r="I96" i="254"/>
  <c r="H96" i="254"/>
  <c r="G96" i="254"/>
  <c r="F96" i="254"/>
  <c r="E96" i="254"/>
  <c r="D96" i="254"/>
  <c r="C96" i="254"/>
  <c r="J95" i="254"/>
  <c r="I95" i="254"/>
  <c r="H95" i="254"/>
  <c r="G95" i="254"/>
  <c r="F95" i="254"/>
  <c r="E95" i="254"/>
  <c r="D95" i="254"/>
  <c r="C95" i="254"/>
  <c r="J94" i="254"/>
  <c r="I94" i="254"/>
  <c r="H94" i="254"/>
  <c r="G94" i="254"/>
  <c r="F94" i="254"/>
  <c r="E94" i="254"/>
  <c r="D94" i="254"/>
  <c r="C94" i="254"/>
  <c r="J93" i="254"/>
  <c r="I93" i="254"/>
  <c r="H93" i="254"/>
  <c r="G93" i="254"/>
  <c r="F93" i="254"/>
  <c r="E93" i="254"/>
  <c r="D93" i="254"/>
  <c r="C93" i="254"/>
  <c r="J92" i="254"/>
  <c r="I92" i="254"/>
  <c r="H92" i="254"/>
  <c r="G92" i="254"/>
  <c r="F92" i="254"/>
  <c r="E92" i="254"/>
  <c r="D92" i="254"/>
  <c r="C92" i="254"/>
  <c r="J91" i="254"/>
  <c r="I91" i="254"/>
  <c r="H91" i="254"/>
  <c r="G91" i="254"/>
  <c r="F91" i="254"/>
  <c r="E91" i="254"/>
  <c r="D91" i="254"/>
  <c r="C91" i="254"/>
  <c r="B174" i="254"/>
  <c r="J193" i="254"/>
  <c r="I193" i="254"/>
  <c r="H193" i="254"/>
  <c r="G193" i="254"/>
  <c r="F193" i="254"/>
  <c r="E193" i="254"/>
  <c r="D193" i="254"/>
  <c r="C193" i="254"/>
  <c r="B136" i="253"/>
  <c r="B118" i="253"/>
  <c r="B100" i="253"/>
  <c r="B57" i="253"/>
  <c r="B46" i="253"/>
  <c r="J96" i="253"/>
  <c r="I96" i="253"/>
  <c r="H96" i="253"/>
  <c r="G96" i="253"/>
  <c r="F96" i="253"/>
  <c r="E96" i="253"/>
  <c r="D96" i="253"/>
  <c r="C96" i="253"/>
  <c r="J95" i="253"/>
  <c r="I95" i="253"/>
  <c r="H95" i="253"/>
  <c r="G95" i="253"/>
  <c r="F95" i="253"/>
  <c r="E95" i="253"/>
  <c r="D95" i="253"/>
  <c r="C95" i="253"/>
  <c r="J94" i="253"/>
  <c r="I94" i="253"/>
  <c r="H94" i="253"/>
  <c r="G94" i="253"/>
  <c r="F94" i="253"/>
  <c r="E94" i="253"/>
  <c r="D94" i="253"/>
  <c r="C94" i="253"/>
  <c r="J93" i="253"/>
  <c r="I93" i="253"/>
  <c r="H93" i="253"/>
  <c r="G93" i="253"/>
  <c r="F93" i="253"/>
  <c r="E93" i="253"/>
  <c r="D93" i="253"/>
  <c r="C93" i="253"/>
  <c r="J92" i="253"/>
  <c r="I92" i="253"/>
  <c r="H92" i="253"/>
  <c r="G92" i="253"/>
  <c r="F92" i="253"/>
  <c r="E92" i="253"/>
  <c r="D92" i="253"/>
  <c r="C92" i="253"/>
  <c r="J91" i="253"/>
  <c r="I91" i="253"/>
  <c r="H91" i="253"/>
  <c r="G91" i="253"/>
  <c r="F91" i="253"/>
  <c r="E91" i="253"/>
  <c r="D91" i="253"/>
  <c r="C91" i="253"/>
  <c r="B174" i="253"/>
  <c r="J193" i="253"/>
  <c r="I193" i="253"/>
  <c r="H193" i="253"/>
  <c r="G193" i="253"/>
  <c r="F193" i="253"/>
  <c r="E193" i="253"/>
  <c r="D193" i="253"/>
  <c r="C193" i="253"/>
  <c r="B136" i="252"/>
  <c r="B118" i="252"/>
  <c r="B100" i="252"/>
  <c r="B57" i="252"/>
  <c r="B46" i="252"/>
  <c r="J96" i="252"/>
  <c r="I96" i="252"/>
  <c r="H96" i="252"/>
  <c r="G96" i="252"/>
  <c r="F96" i="252"/>
  <c r="E96" i="252"/>
  <c r="D96" i="252"/>
  <c r="C96" i="252"/>
  <c r="J95" i="252"/>
  <c r="I95" i="252"/>
  <c r="H95" i="252"/>
  <c r="G95" i="252"/>
  <c r="F95" i="252"/>
  <c r="E95" i="252"/>
  <c r="D95" i="252"/>
  <c r="C95" i="252"/>
  <c r="J94" i="252"/>
  <c r="I94" i="252"/>
  <c r="H94" i="252"/>
  <c r="G94" i="252"/>
  <c r="F94" i="252"/>
  <c r="E94" i="252"/>
  <c r="D94" i="252"/>
  <c r="C94" i="252"/>
  <c r="J93" i="252"/>
  <c r="I93" i="252"/>
  <c r="H93" i="252"/>
  <c r="G93" i="252"/>
  <c r="F93" i="252"/>
  <c r="E93" i="252"/>
  <c r="D93" i="252"/>
  <c r="C93" i="252"/>
  <c r="J92" i="252"/>
  <c r="I92" i="252"/>
  <c r="H92" i="252"/>
  <c r="G92" i="252"/>
  <c r="F92" i="252"/>
  <c r="E92" i="252"/>
  <c r="D92" i="252"/>
  <c r="C92" i="252"/>
  <c r="J91" i="252"/>
  <c r="I91" i="252"/>
  <c r="H91" i="252"/>
  <c r="G91" i="252"/>
  <c r="F91" i="252"/>
  <c r="E91" i="252"/>
  <c r="D91" i="252"/>
  <c r="C91" i="252"/>
  <c r="B174" i="252"/>
  <c r="J193" i="252"/>
  <c r="I193" i="252"/>
  <c r="H193" i="252"/>
  <c r="G193" i="252"/>
  <c r="F193" i="252"/>
  <c r="E193" i="252"/>
  <c r="D193" i="252"/>
  <c r="C193" i="252"/>
  <c r="B136" i="251"/>
  <c r="B118" i="251"/>
  <c r="B100" i="251"/>
  <c r="B57" i="251"/>
  <c r="B46" i="251"/>
  <c r="J96" i="251"/>
  <c r="I96" i="251"/>
  <c r="H96" i="251"/>
  <c r="G96" i="251"/>
  <c r="F96" i="251"/>
  <c r="E96" i="251"/>
  <c r="D96" i="251"/>
  <c r="C96" i="251"/>
  <c r="J95" i="251"/>
  <c r="I95" i="251"/>
  <c r="H95" i="251"/>
  <c r="G95" i="251"/>
  <c r="F95" i="251"/>
  <c r="E95" i="251"/>
  <c r="D95" i="251"/>
  <c r="C95" i="251"/>
  <c r="J94" i="251"/>
  <c r="I94" i="251"/>
  <c r="H94" i="251"/>
  <c r="G94" i="251"/>
  <c r="F94" i="251"/>
  <c r="E94" i="251"/>
  <c r="D94" i="251"/>
  <c r="C94" i="251"/>
  <c r="J93" i="251"/>
  <c r="I93" i="251"/>
  <c r="H93" i="251"/>
  <c r="G93" i="251"/>
  <c r="F93" i="251"/>
  <c r="E93" i="251"/>
  <c r="D93" i="251"/>
  <c r="C93" i="251"/>
  <c r="J92" i="251"/>
  <c r="I92" i="251"/>
  <c r="H92" i="251"/>
  <c r="G92" i="251"/>
  <c r="F92" i="251"/>
  <c r="E92" i="251"/>
  <c r="D92" i="251"/>
  <c r="C92" i="251"/>
  <c r="J91" i="251"/>
  <c r="I91" i="251"/>
  <c r="H91" i="251"/>
  <c r="G91" i="251"/>
  <c r="F91" i="251"/>
  <c r="E91" i="251"/>
  <c r="D91" i="251"/>
  <c r="C91" i="251"/>
  <c r="B174" i="251"/>
  <c r="J193" i="251"/>
  <c r="I193" i="251"/>
  <c r="H193" i="251"/>
  <c r="G193" i="251"/>
  <c r="F193" i="251"/>
  <c r="E193" i="251"/>
  <c r="D193" i="251"/>
  <c r="C193" i="251"/>
  <c r="B136" i="250"/>
  <c r="B118" i="250"/>
  <c r="B100" i="250"/>
  <c r="B57" i="250"/>
  <c r="B46" i="250"/>
  <c r="J96" i="250"/>
  <c r="I96" i="250"/>
  <c r="H96" i="250"/>
  <c r="G96" i="250"/>
  <c r="F96" i="250"/>
  <c r="E96" i="250"/>
  <c r="D96" i="250"/>
  <c r="C96" i="250"/>
  <c r="J95" i="250"/>
  <c r="I95" i="250"/>
  <c r="H95" i="250"/>
  <c r="G95" i="250"/>
  <c r="F95" i="250"/>
  <c r="E95" i="250"/>
  <c r="D95" i="250"/>
  <c r="C95" i="250"/>
  <c r="J94" i="250"/>
  <c r="I94" i="250"/>
  <c r="H94" i="250"/>
  <c r="G94" i="250"/>
  <c r="F94" i="250"/>
  <c r="E94" i="250"/>
  <c r="D94" i="250"/>
  <c r="C94" i="250"/>
  <c r="J93" i="250"/>
  <c r="I93" i="250"/>
  <c r="H93" i="250"/>
  <c r="G93" i="250"/>
  <c r="F93" i="250"/>
  <c r="E93" i="250"/>
  <c r="D93" i="250"/>
  <c r="C93" i="250"/>
  <c r="J92" i="250"/>
  <c r="I92" i="250"/>
  <c r="H92" i="250"/>
  <c r="G92" i="250"/>
  <c r="F92" i="250"/>
  <c r="E92" i="250"/>
  <c r="D92" i="250"/>
  <c r="C92" i="250"/>
  <c r="J91" i="250"/>
  <c r="I91" i="250"/>
  <c r="H91" i="250"/>
  <c r="G91" i="250"/>
  <c r="F91" i="250"/>
  <c r="E91" i="250"/>
  <c r="D91" i="250"/>
  <c r="C91" i="250"/>
  <c r="B174" i="250"/>
  <c r="J193" i="250"/>
  <c r="I193" i="250"/>
  <c r="H193" i="250"/>
  <c r="G193" i="250"/>
  <c r="F193" i="250"/>
  <c r="E193" i="250"/>
  <c r="D193" i="250"/>
  <c r="C193" i="250"/>
  <c r="B136" i="249"/>
  <c r="B118" i="249"/>
  <c r="B100" i="249"/>
  <c r="B57" i="249"/>
  <c r="B46" i="249"/>
  <c r="J96" i="249"/>
  <c r="I96" i="249"/>
  <c r="H96" i="249"/>
  <c r="G96" i="249"/>
  <c r="F96" i="249"/>
  <c r="E96" i="249"/>
  <c r="D96" i="249"/>
  <c r="C96" i="249"/>
  <c r="J95" i="249"/>
  <c r="I95" i="249"/>
  <c r="H95" i="249"/>
  <c r="G95" i="249"/>
  <c r="F95" i="249"/>
  <c r="E95" i="249"/>
  <c r="D95" i="249"/>
  <c r="C95" i="249"/>
  <c r="J94" i="249"/>
  <c r="I94" i="249"/>
  <c r="H94" i="249"/>
  <c r="G94" i="249"/>
  <c r="F94" i="249"/>
  <c r="E94" i="249"/>
  <c r="D94" i="249"/>
  <c r="C94" i="249"/>
  <c r="J93" i="249"/>
  <c r="I93" i="249"/>
  <c r="H93" i="249"/>
  <c r="G93" i="249"/>
  <c r="F93" i="249"/>
  <c r="E93" i="249"/>
  <c r="D93" i="249"/>
  <c r="C93" i="249"/>
  <c r="J92" i="249"/>
  <c r="I92" i="249"/>
  <c r="H92" i="249"/>
  <c r="G92" i="249"/>
  <c r="F92" i="249"/>
  <c r="E92" i="249"/>
  <c r="D92" i="249"/>
  <c r="C92" i="249"/>
  <c r="J91" i="249"/>
  <c r="I91" i="249"/>
  <c r="H91" i="249"/>
  <c r="G91" i="249"/>
  <c r="F91" i="249"/>
  <c r="E91" i="249"/>
  <c r="D91" i="249"/>
  <c r="C91" i="249"/>
  <c r="B174" i="249"/>
  <c r="J193" i="249"/>
  <c r="I193" i="249"/>
  <c r="H193" i="249"/>
  <c r="G193" i="249"/>
  <c r="F193" i="249"/>
  <c r="E193" i="249"/>
  <c r="D193" i="249"/>
  <c r="C193" i="249"/>
  <c r="B136" i="248"/>
  <c r="B118" i="248"/>
  <c r="B100" i="248"/>
  <c r="B57" i="248"/>
  <c r="B46" i="248"/>
  <c r="J96" i="248"/>
  <c r="I96" i="248"/>
  <c r="H96" i="248"/>
  <c r="G96" i="248"/>
  <c r="F96" i="248"/>
  <c r="E96" i="248"/>
  <c r="D96" i="248"/>
  <c r="C96" i="248"/>
  <c r="J95" i="248"/>
  <c r="I95" i="248"/>
  <c r="H95" i="248"/>
  <c r="G95" i="248"/>
  <c r="F95" i="248"/>
  <c r="E95" i="248"/>
  <c r="D95" i="248"/>
  <c r="C95" i="248"/>
  <c r="J94" i="248"/>
  <c r="I94" i="248"/>
  <c r="H94" i="248"/>
  <c r="G94" i="248"/>
  <c r="F94" i="248"/>
  <c r="E94" i="248"/>
  <c r="D94" i="248"/>
  <c r="C94" i="248"/>
  <c r="J93" i="248"/>
  <c r="I93" i="248"/>
  <c r="H93" i="248"/>
  <c r="G93" i="248"/>
  <c r="F93" i="248"/>
  <c r="E93" i="248"/>
  <c r="D93" i="248"/>
  <c r="C93" i="248"/>
  <c r="J92" i="248"/>
  <c r="I92" i="248"/>
  <c r="H92" i="248"/>
  <c r="G92" i="248"/>
  <c r="F92" i="248"/>
  <c r="E92" i="248"/>
  <c r="D92" i="248"/>
  <c r="C92" i="248"/>
  <c r="J91" i="248"/>
  <c r="I91" i="248"/>
  <c r="H91" i="248"/>
  <c r="G91" i="248"/>
  <c r="F91" i="248"/>
  <c r="E91" i="248"/>
  <c r="D91" i="248"/>
  <c r="C91" i="248"/>
  <c r="B174" i="248"/>
  <c r="J193" i="248"/>
  <c r="I193" i="248"/>
  <c r="H193" i="248"/>
  <c r="G193" i="248"/>
  <c r="F193" i="248"/>
  <c r="E193" i="248"/>
  <c r="D193" i="248"/>
  <c r="C193" i="248"/>
  <c r="B136" i="247"/>
  <c r="B118" i="247"/>
  <c r="B100" i="247"/>
  <c r="B57" i="247"/>
  <c r="B46" i="247"/>
  <c r="J96" i="247"/>
  <c r="I96" i="247"/>
  <c r="H96" i="247"/>
  <c r="G96" i="247"/>
  <c r="F96" i="247"/>
  <c r="E96" i="247"/>
  <c r="D96" i="247"/>
  <c r="C96" i="247"/>
  <c r="J95" i="247"/>
  <c r="I95" i="247"/>
  <c r="H95" i="247"/>
  <c r="G95" i="247"/>
  <c r="F95" i="247"/>
  <c r="E95" i="247"/>
  <c r="D95" i="247"/>
  <c r="C95" i="247"/>
  <c r="J94" i="247"/>
  <c r="I94" i="247"/>
  <c r="H94" i="247"/>
  <c r="G94" i="247"/>
  <c r="F94" i="247"/>
  <c r="E94" i="247"/>
  <c r="D94" i="247"/>
  <c r="C94" i="247"/>
  <c r="J93" i="247"/>
  <c r="I93" i="247"/>
  <c r="H93" i="247"/>
  <c r="G93" i="247"/>
  <c r="F93" i="247"/>
  <c r="E93" i="247"/>
  <c r="D93" i="247"/>
  <c r="C93" i="247"/>
  <c r="J92" i="247"/>
  <c r="I92" i="247"/>
  <c r="H92" i="247"/>
  <c r="G92" i="247"/>
  <c r="F92" i="247"/>
  <c r="E92" i="247"/>
  <c r="D92" i="247"/>
  <c r="C92" i="247"/>
  <c r="J91" i="247"/>
  <c r="I91" i="247"/>
  <c r="H91" i="247"/>
  <c r="G91" i="247"/>
  <c r="F91" i="247"/>
  <c r="E91" i="247"/>
  <c r="D91" i="247"/>
  <c r="C91" i="247"/>
  <c r="B174" i="247"/>
  <c r="J193" i="247"/>
  <c r="I193" i="247"/>
  <c r="H193" i="247"/>
  <c r="G193" i="247"/>
  <c r="F193" i="247"/>
  <c r="E193" i="247"/>
  <c r="D193" i="247"/>
  <c r="C193" i="247"/>
  <c r="B136" i="246"/>
  <c r="B118" i="246"/>
  <c r="B100" i="246"/>
  <c r="B57" i="246"/>
  <c r="B46" i="246"/>
  <c r="J96" i="246"/>
  <c r="I96" i="246"/>
  <c r="H96" i="246"/>
  <c r="G96" i="246"/>
  <c r="F96" i="246"/>
  <c r="E96" i="246"/>
  <c r="D96" i="246"/>
  <c r="C96" i="246"/>
  <c r="J95" i="246"/>
  <c r="I95" i="246"/>
  <c r="H95" i="246"/>
  <c r="G95" i="246"/>
  <c r="F95" i="246"/>
  <c r="E95" i="246"/>
  <c r="D95" i="246"/>
  <c r="C95" i="246"/>
  <c r="J94" i="246"/>
  <c r="I94" i="246"/>
  <c r="H94" i="246"/>
  <c r="G94" i="246"/>
  <c r="F94" i="246"/>
  <c r="E94" i="246"/>
  <c r="D94" i="246"/>
  <c r="C94" i="246"/>
  <c r="J93" i="246"/>
  <c r="I93" i="246"/>
  <c r="H93" i="246"/>
  <c r="G93" i="246"/>
  <c r="F93" i="246"/>
  <c r="E93" i="246"/>
  <c r="D93" i="246"/>
  <c r="C93" i="246"/>
  <c r="J92" i="246"/>
  <c r="I92" i="246"/>
  <c r="H92" i="246"/>
  <c r="G92" i="246"/>
  <c r="F92" i="246"/>
  <c r="E92" i="246"/>
  <c r="D92" i="246"/>
  <c r="C92" i="246"/>
  <c r="J91" i="246"/>
  <c r="I91" i="246"/>
  <c r="H91" i="246"/>
  <c r="G91" i="246"/>
  <c r="F91" i="246"/>
  <c r="E91" i="246"/>
  <c r="D91" i="246"/>
  <c r="C91" i="246"/>
  <c r="B174" i="246"/>
  <c r="J193" i="246"/>
  <c r="I193" i="246"/>
  <c r="H193" i="246"/>
  <c r="G193" i="246"/>
  <c r="F193" i="246"/>
  <c r="E193" i="246"/>
  <c r="D193" i="246"/>
  <c r="C193" i="246"/>
  <c r="B136" i="245"/>
  <c r="B118" i="245"/>
  <c r="B100" i="245"/>
  <c r="B57" i="245"/>
  <c r="B46" i="245"/>
  <c r="J96" i="245"/>
  <c r="I96" i="245"/>
  <c r="H96" i="245"/>
  <c r="G96" i="245"/>
  <c r="F96" i="245"/>
  <c r="E96" i="245"/>
  <c r="D96" i="245"/>
  <c r="C96" i="245"/>
  <c r="J95" i="245"/>
  <c r="I95" i="245"/>
  <c r="H95" i="245"/>
  <c r="G95" i="245"/>
  <c r="F95" i="245"/>
  <c r="E95" i="245"/>
  <c r="D95" i="245"/>
  <c r="C95" i="245"/>
  <c r="J94" i="245"/>
  <c r="I94" i="245"/>
  <c r="H94" i="245"/>
  <c r="G94" i="245"/>
  <c r="F94" i="245"/>
  <c r="E94" i="245"/>
  <c r="D94" i="245"/>
  <c r="C94" i="245"/>
  <c r="J93" i="245"/>
  <c r="I93" i="245"/>
  <c r="H93" i="245"/>
  <c r="G93" i="245"/>
  <c r="F93" i="245"/>
  <c r="E93" i="245"/>
  <c r="D93" i="245"/>
  <c r="C93" i="245"/>
  <c r="J92" i="245"/>
  <c r="I92" i="245"/>
  <c r="H92" i="245"/>
  <c r="G92" i="245"/>
  <c r="F92" i="245"/>
  <c r="E92" i="245"/>
  <c r="D92" i="245"/>
  <c r="C92" i="245"/>
  <c r="J91" i="245"/>
  <c r="I91" i="245"/>
  <c r="H91" i="245"/>
  <c r="G91" i="245"/>
  <c r="F91" i="245"/>
  <c r="E91" i="245"/>
  <c r="D91" i="245"/>
  <c r="C91" i="245"/>
  <c r="B174" i="245"/>
  <c r="J193" i="245"/>
  <c r="I193" i="245"/>
  <c r="H193" i="245"/>
  <c r="G193" i="245"/>
  <c r="F193" i="245"/>
  <c r="E193" i="245"/>
  <c r="D193" i="245"/>
  <c r="C193" i="245"/>
  <c r="B136" i="244"/>
  <c r="B118" i="244"/>
  <c r="B100" i="244"/>
  <c r="B57" i="244"/>
  <c r="B46" i="244"/>
  <c r="J96" i="244"/>
  <c r="I96" i="244"/>
  <c r="H96" i="244"/>
  <c r="G96" i="244"/>
  <c r="F96" i="244"/>
  <c r="E96" i="244"/>
  <c r="D96" i="244"/>
  <c r="C96" i="244"/>
  <c r="J95" i="244"/>
  <c r="I95" i="244"/>
  <c r="H95" i="244"/>
  <c r="G95" i="244"/>
  <c r="F95" i="244"/>
  <c r="E95" i="244"/>
  <c r="D95" i="244"/>
  <c r="C95" i="244"/>
  <c r="J94" i="244"/>
  <c r="I94" i="244"/>
  <c r="H94" i="244"/>
  <c r="G94" i="244"/>
  <c r="F94" i="244"/>
  <c r="E94" i="244"/>
  <c r="D94" i="244"/>
  <c r="C94" i="244"/>
  <c r="J93" i="244"/>
  <c r="I93" i="244"/>
  <c r="H93" i="244"/>
  <c r="G93" i="244"/>
  <c r="F93" i="244"/>
  <c r="E93" i="244"/>
  <c r="D93" i="244"/>
  <c r="C93" i="244"/>
  <c r="J92" i="244"/>
  <c r="I92" i="244"/>
  <c r="H92" i="244"/>
  <c r="G92" i="244"/>
  <c r="F92" i="244"/>
  <c r="E92" i="244"/>
  <c r="D92" i="244"/>
  <c r="C92" i="244"/>
  <c r="J91" i="244"/>
  <c r="I91" i="244"/>
  <c r="H91" i="244"/>
  <c r="G91" i="244"/>
  <c r="F91" i="244"/>
  <c r="E91" i="244"/>
  <c r="D91" i="244"/>
  <c r="C91" i="244"/>
  <c r="B174" i="244"/>
  <c r="J193" i="244"/>
  <c r="I193" i="244"/>
  <c r="H193" i="244"/>
  <c r="G193" i="244"/>
  <c r="F193" i="244"/>
  <c r="E193" i="244"/>
  <c r="D193" i="244"/>
  <c r="C193" i="244"/>
  <c r="B136" i="243"/>
  <c r="B118" i="243"/>
  <c r="B100" i="243"/>
  <c r="B57" i="243"/>
  <c r="B46" i="243"/>
  <c r="J96" i="243"/>
  <c r="I96" i="243"/>
  <c r="H96" i="243"/>
  <c r="G96" i="243"/>
  <c r="F96" i="243"/>
  <c r="E96" i="243"/>
  <c r="D96" i="243"/>
  <c r="C96" i="243"/>
  <c r="J95" i="243"/>
  <c r="I95" i="243"/>
  <c r="H95" i="243"/>
  <c r="G95" i="243"/>
  <c r="F95" i="243"/>
  <c r="E95" i="243"/>
  <c r="D95" i="243"/>
  <c r="C95" i="243"/>
  <c r="J94" i="243"/>
  <c r="I94" i="243"/>
  <c r="H94" i="243"/>
  <c r="G94" i="243"/>
  <c r="F94" i="243"/>
  <c r="E94" i="243"/>
  <c r="D94" i="243"/>
  <c r="C94" i="243"/>
  <c r="J93" i="243"/>
  <c r="I93" i="243"/>
  <c r="H93" i="243"/>
  <c r="G93" i="243"/>
  <c r="F93" i="243"/>
  <c r="E93" i="243"/>
  <c r="D93" i="243"/>
  <c r="C93" i="243"/>
  <c r="J92" i="243"/>
  <c r="I92" i="243"/>
  <c r="H92" i="243"/>
  <c r="G92" i="243"/>
  <c r="F92" i="243"/>
  <c r="E92" i="243"/>
  <c r="D92" i="243"/>
  <c r="C92" i="243"/>
  <c r="J91" i="243"/>
  <c r="I91" i="243"/>
  <c r="H91" i="243"/>
  <c r="G91" i="243"/>
  <c r="F91" i="243"/>
  <c r="E91" i="243"/>
  <c r="D91" i="243"/>
  <c r="C91" i="243"/>
  <c r="B174" i="243"/>
  <c r="J193" i="243"/>
  <c r="I193" i="243"/>
  <c r="H193" i="243"/>
  <c r="G193" i="243"/>
  <c r="F193" i="243"/>
  <c r="E193" i="243"/>
  <c r="D193" i="243"/>
  <c r="C193" i="243"/>
  <c r="B136" i="242"/>
  <c r="B118" i="242"/>
  <c r="B100" i="242"/>
  <c r="B57" i="242"/>
  <c r="B46" i="242"/>
  <c r="J96" i="242"/>
  <c r="I96" i="242"/>
  <c r="H96" i="242"/>
  <c r="G96" i="242"/>
  <c r="F96" i="242"/>
  <c r="E96" i="242"/>
  <c r="D96" i="242"/>
  <c r="C96" i="242"/>
  <c r="J95" i="242"/>
  <c r="I95" i="242"/>
  <c r="H95" i="242"/>
  <c r="G95" i="242"/>
  <c r="F95" i="242"/>
  <c r="E95" i="242"/>
  <c r="D95" i="242"/>
  <c r="C95" i="242"/>
  <c r="J94" i="242"/>
  <c r="I94" i="242"/>
  <c r="H94" i="242"/>
  <c r="G94" i="242"/>
  <c r="F94" i="242"/>
  <c r="E94" i="242"/>
  <c r="D94" i="242"/>
  <c r="C94" i="242"/>
  <c r="J93" i="242"/>
  <c r="I93" i="242"/>
  <c r="H93" i="242"/>
  <c r="G93" i="242"/>
  <c r="F93" i="242"/>
  <c r="E93" i="242"/>
  <c r="D93" i="242"/>
  <c r="C93" i="242"/>
  <c r="J92" i="242"/>
  <c r="I92" i="242"/>
  <c r="H92" i="242"/>
  <c r="G92" i="242"/>
  <c r="F92" i="242"/>
  <c r="E92" i="242"/>
  <c r="D92" i="242"/>
  <c r="C92" i="242"/>
  <c r="J91" i="242"/>
  <c r="I91" i="242"/>
  <c r="H91" i="242"/>
  <c r="G91" i="242"/>
  <c r="F91" i="242"/>
  <c r="E91" i="242"/>
  <c r="D91" i="242"/>
  <c r="C91" i="242"/>
  <c r="B174" i="242"/>
  <c r="J193" i="242"/>
  <c r="I193" i="242"/>
  <c r="H193" i="242"/>
  <c r="G193" i="242"/>
  <c r="F193" i="242"/>
  <c r="E193" i="242"/>
  <c r="D193" i="242"/>
  <c r="C193" i="242"/>
  <c r="B136" i="241"/>
  <c r="B118" i="241"/>
  <c r="B100" i="241"/>
  <c r="B57" i="241"/>
  <c r="B46" i="241"/>
  <c r="J96" i="241"/>
  <c r="I96" i="241"/>
  <c r="H96" i="241"/>
  <c r="G96" i="241"/>
  <c r="F96" i="241"/>
  <c r="E96" i="241"/>
  <c r="D96" i="241"/>
  <c r="C96" i="241"/>
  <c r="J95" i="241"/>
  <c r="I95" i="241"/>
  <c r="H95" i="241"/>
  <c r="G95" i="241"/>
  <c r="F95" i="241"/>
  <c r="E95" i="241"/>
  <c r="D95" i="241"/>
  <c r="C95" i="241"/>
  <c r="J94" i="241"/>
  <c r="I94" i="241"/>
  <c r="H94" i="241"/>
  <c r="G94" i="241"/>
  <c r="F94" i="241"/>
  <c r="E94" i="241"/>
  <c r="D94" i="241"/>
  <c r="C94" i="241"/>
  <c r="J93" i="241"/>
  <c r="I93" i="241"/>
  <c r="H93" i="241"/>
  <c r="G93" i="241"/>
  <c r="F93" i="241"/>
  <c r="E93" i="241"/>
  <c r="D93" i="241"/>
  <c r="C93" i="241"/>
  <c r="J92" i="241"/>
  <c r="I92" i="241"/>
  <c r="H92" i="241"/>
  <c r="G92" i="241"/>
  <c r="F92" i="241"/>
  <c r="E92" i="241"/>
  <c r="D92" i="241"/>
  <c r="C92" i="241"/>
  <c r="J91" i="241"/>
  <c r="I91" i="241"/>
  <c r="H91" i="241"/>
  <c r="G91" i="241"/>
  <c r="F91" i="241"/>
  <c r="E91" i="241"/>
  <c r="D91" i="241"/>
  <c r="C91" i="241"/>
  <c r="B174" i="241"/>
  <c r="J193" i="241"/>
  <c r="I193" i="241"/>
  <c r="H193" i="241"/>
  <c r="G193" i="241"/>
  <c r="F193" i="241"/>
  <c r="E193" i="241"/>
  <c r="D193" i="241"/>
  <c r="C193" i="241"/>
  <c r="B136" i="240"/>
  <c r="B118" i="240"/>
  <c r="B100" i="240"/>
  <c r="B57" i="240"/>
  <c r="B46" i="240"/>
  <c r="J96" i="240"/>
  <c r="I96" i="240"/>
  <c r="H96" i="240"/>
  <c r="G96" i="240"/>
  <c r="F96" i="240"/>
  <c r="E96" i="240"/>
  <c r="D96" i="240"/>
  <c r="C96" i="240"/>
  <c r="J95" i="240"/>
  <c r="I95" i="240"/>
  <c r="H95" i="240"/>
  <c r="G95" i="240"/>
  <c r="F95" i="240"/>
  <c r="E95" i="240"/>
  <c r="D95" i="240"/>
  <c r="C95" i="240"/>
  <c r="J94" i="240"/>
  <c r="I94" i="240"/>
  <c r="H94" i="240"/>
  <c r="G94" i="240"/>
  <c r="F94" i="240"/>
  <c r="E94" i="240"/>
  <c r="D94" i="240"/>
  <c r="C94" i="240"/>
  <c r="J93" i="240"/>
  <c r="I93" i="240"/>
  <c r="H93" i="240"/>
  <c r="G93" i="240"/>
  <c r="F93" i="240"/>
  <c r="E93" i="240"/>
  <c r="D93" i="240"/>
  <c r="C93" i="240"/>
  <c r="J92" i="240"/>
  <c r="I92" i="240"/>
  <c r="H92" i="240"/>
  <c r="G92" i="240"/>
  <c r="F92" i="240"/>
  <c r="E92" i="240"/>
  <c r="D92" i="240"/>
  <c r="C92" i="240"/>
  <c r="J91" i="240"/>
  <c r="I91" i="240"/>
  <c r="H91" i="240"/>
  <c r="G91" i="240"/>
  <c r="F91" i="240"/>
  <c r="E91" i="240"/>
  <c r="D91" i="240"/>
  <c r="C91" i="240"/>
  <c r="B174" i="240"/>
  <c r="J193" i="240"/>
  <c r="I193" i="240"/>
  <c r="H193" i="240"/>
  <c r="G193" i="240"/>
  <c r="F193" i="240"/>
  <c r="E193" i="240"/>
  <c r="D193" i="240"/>
  <c r="C193" i="240"/>
  <c r="B136" i="239"/>
  <c r="B118" i="239"/>
  <c r="B100" i="239"/>
  <c r="B57" i="239"/>
  <c r="B46" i="239"/>
  <c r="J96" i="239"/>
  <c r="I96" i="239"/>
  <c r="H96" i="239"/>
  <c r="G96" i="239"/>
  <c r="F96" i="239"/>
  <c r="E96" i="239"/>
  <c r="D96" i="239"/>
  <c r="C96" i="239"/>
  <c r="J95" i="239"/>
  <c r="I95" i="239"/>
  <c r="H95" i="239"/>
  <c r="G95" i="239"/>
  <c r="F95" i="239"/>
  <c r="E95" i="239"/>
  <c r="D95" i="239"/>
  <c r="C95" i="239"/>
  <c r="J94" i="239"/>
  <c r="I94" i="239"/>
  <c r="H94" i="239"/>
  <c r="G94" i="239"/>
  <c r="F94" i="239"/>
  <c r="E94" i="239"/>
  <c r="D94" i="239"/>
  <c r="C94" i="239"/>
  <c r="J93" i="239"/>
  <c r="I93" i="239"/>
  <c r="H93" i="239"/>
  <c r="G93" i="239"/>
  <c r="F93" i="239"/>
  <c r="E93" i="239"/>
  <c r="D93" i="239"/>
  <c r="C93" i="239"/>
  <c r="J92" i="239"/>
  <c r="I92" i="239"/>
  <c r="H92" i="239"/>
  <c r="G92" i="239"/>
  <c r="F92" i="239"/>
  <c r="E92" i="239"/>
  <c r="D92" i="239"/>
  <c r="C92" i="239"/>
  <c r="J91" i="239"/>
  <c r="I91" i="239"/>
  <c r="H91" i="239"/>
  <c r="G91" i="239"/>
  <c r="F91" i="239"/>
  <c r="E91" i="239"/>
  <c r="D91" i="239"/>
  <c r="C91" i="239"/>
  <c r="B174" i="239"/>
  <c r="J193" i="239"/>
  <c r="I193" i="239"/>
  <c r="H193" i="239"/>
  <c r="G193" i="239"/>
  <c r="F193" i="239"/>
  <c r="E193" i="239"/>
  <c r="D193" i="239"/>
  <c r="C193" i="239"/>
  <c r="B136" i="237"/>
  <c r="B118" i="237"/>
  <c r="B100" i="237"/>
  <c r="B57" i="237"/>
  <c r="B46" i="237"/>
  <c r="J96" i="237"/>
  <c r="I96" i="237"/>
  <c r="H96" i="237"/>
  <c r="G96" i="237"/>
  <c r="F96" i="237"/>
  <c r="E96" i="237"/>
  <c r="D96" i="237"/>
  <c r="C96" i="237"/>
  <c r="J95" i="237"/>
  <c r="I95" i="237"/>
  <c r="H95" i="237"/>
  <c r="G95" i="237"/>
  <c r="F95" i="237"/>
  <c r="E95" i="237"/>
  <c r="D95" i="237"/>
  <c r="C95" i="237"/>
  <c r="J94" i="237"/>
  <c r="I94" i="237"/>
  <c r="H94" i="237"/>
  <c r="G94" i="237"/>
  <c r="F94" i="237"/>
  <c r="E94" i="237"/>
  <c r="D94" i="237"/>
  <c r="C94" i="237"/>
  <c r="J93" i="237"/>
  <c r="I93" i="237"/>
  <c r="H93" i="237"/>
  <c r="G93" i="237"/>
  <c r="F93" i="237"/>
  <c r="E93" i="237"/>
  <c r="D93" i="237"/>
  <c r="C93" i="237"/>
  <c r="J92" i="237"/>
  <c r="I92" i="237"/>
  <c r="H92" i="237"/>
  <c r="G92" i="237"/>
  <c r="F92" i="237"/>
  <c r="E92" i="237"/>
  <c r="D92" i="237"/>
  <c r="C92" i="237"/>
  <c r="J91" i="237"/>
  <c r="I91" i="237"/>
  <c r="H91" i="237"/>
  <c r="G91" i="237"/>
  <c r="F91" i="237"/>
  <c r="E91" i="237"/>
  <c r="D91" i="237"/>
  <c r="C91" i="237"/>
  <c r="B174" i="237"/>
  <c r="J193" i="237"/>
  <c r="I193" i="237"/>
  <c r="H193" i="237"/>
  <c r="G193" i="237"/>
  <c r="F193" i="237"/>
  <c r="E193" i="237"/>
  <c r="D193" i="237"/>
  <c r="C193" i="237"/>
  <c r="B136" i="236"/>
  <c r="B118" i="236"/>
  <c r="B100" i="236"/>
  <c r="B57" i="236"/>
  <c r="B46" i="236"/>
  <c r="J96" i="236"/>
  <c r="I96" i="236"/>
  <c r="H96" i="236"/>
  <c r="G96" i="236"/>
  <c r="F96" i="236"/>
  <c r="E96" i="236"/>
  <c r="D96" i="236"/>
  <c r="C96" i="236"/>
  <c r="J95" i="236"/>
  <c r="I95" i="236"/>
  <c r="H95" i="236"/>
  <c r="G95" i="236"/>
  <c r="F95" i="236"/>
  <c r="E95" i="236"/>
  <c r="D95" i="236"/>
  <c r="C95" i="236"/>
  <c r="J94" i="236"/>
  <c r="I94" i="236"/>
  <c r="H94" i="236"/>
  <c r="G94" i="236"/>
  <c r="F94" i="236"/>
  <c r="E94" i="236"/>
  <c r="D94" i="236"/>
  <c r="C94" i="236"/>
  <c r="J93" i="236"/>
  <c r="I93" i="236"/>
  <c r="H93" i="236"/>
  <c r="G93" i="236"/>
  <c r="F93" i="236"/>
  <c r="E93" i="236"/>
  <c r="D93" i="236"/>
  <c r="C93" i="236"/>
  <c r="J92" i="236"/>
  <c r="I92" i="236"/>
  <c r="H92" i="236"/>
  <c r="G92" i="236"/>
  <c r="F92" i="236"/>
  <c r="E92" i="236"/>
  <c r="D92" i="236"/>
  <c r="C92" i="236"/>
  <c r="J91" i="236"/>
  <c r="I91" i="236"/>
  <c r="H91" i="236"/>
  <c r="G91" i="236"/>
  <c r="F91" i="236"/>
  <c r="E91" i="236"/>
  <c r="D91" i="236"/>
  <c r="C91" i="236"/>
  <c r="B174" i="236"/>
  <c r="J193" i="236"/>
  <c r="I193" i="236"/>
  <c r="H193" i="236"/>
  <c r="G193" i="236"/>
  <c r="F193" i="236"/>
  <c r="E193" i="236"/>
  <c r="D193" i="236"/>
  <c r="C193" i="236"/>
  <c r="B136" i="235"/>
  <c r="B118" i="235"/>
  <c r="B100" i="235"/>
  <c r="B57" i="235"/>
  <c r="B46" i="235"/>
  <c r="J96" i="235"/>
  <c r="I96" i="235"/>
  <c r="H96" i="235"/>
  <c r="G96" i="235"/>
  <c r="F96" i="235"/>
  <c r="E96" i="235"/>
  <c r="D96" i="235"/>
  <c r="C96" i="235"/>
  <c r="J95" i="235"/>
  <c r="I95" i="235"/>
  <c r="H95" i="235"/>
  <c r="G95" i="235"/>
  <c r="F95" i="235"/>
  <c r="E95" i="235"/>
  <c r="D95" i="235"/>
  <c r="C95" i="235"/>
  <c r="J94" i="235"/>
  <c r="I94" i="235"/>
  <c r="H94" i="235"/>
  <c r="G94" i="235"/>
  <c r="F94" i="235"/>
  <c r="E94" i="235"/>
  <c r="D94" i="235"/>
  <c r="C94" i="235"/>
  <c r="J93" i="235"/>
  <c r="I93" i="235"/>
  <c r="H93" i="235"/>
  <c r="G93" i="235"/>
  <c r="F93" i="235"/>
  <c r="E93" i="235"/>
  <c r="D93" i="235"/>
  <c r="C93" i="235"/>
  <c r="J92" i="235"/>
  <c r="I92" i="235"/>
  <c r="H92" i="235"/>
  <c r="G92" i="235"/>
  <c r="F92" i="235"/>
  <c r="E92" i="235"/>
  <c r="D92" i="235"/>
  <c r="C92" i="235"/>
  <c r="J91" i="235"/>
  <c r="I91" i="235"/>
  <c r="H91" i="235"/>
  <c r="G91" i="235"/>
  <c r="F91" i="235"/>
  <c r="E91" i="235"/>
  <c r="D91" i="235"/>
  <c r="C91" i="235"/>
  <c r="B174" i="235"/>
  <c r="J193" i="235"/>
  <c r="I193" i="235"/>
  <c r="H193" i="235"/>
  <c r="G193" i="235"/>
  <c r="F193" i="235"/>
  <c r="E193" i="235"/>
  <c r="D193" i="235"/>
  <c r="C193" i="235"/>
  <c r="B136" i="234"/>
  <c r="B118" i="234"/>
  <c r="B100" i="234"/>
  <c r="B57" i="234"/>
  <c r="B46" i="234"/>
  <c r="J96" i="234"/>
  <c r="I96" i="234"/>
  <c r="H96" i="234"/>
  <c r="G96" i="234"/>
  <c r="F96" i="234"/>
  <c r="E96" i="234"/>
  <c r="D96" i="234"/>
  <c r="C96" i="234"/>
  <c r="J95" i="234"/>
  <c r="I95" i="234"/>
  <c r="H95" i="234"/>
  <c r="G95" i="234"/>
  <c r="F95" i="234"/>
  <c r="E95" i="234"/>
  <c r="D95" i="234"/>
  <c r="C95" i="234"/>
  <c r="J94" i="234"/>
  <c r="I94" i="234"/>
  <c r="H94" i="234"/>
  <c r="G94" i="234"/>
  <c r="F94" i="234"/>
  <c r="E94" i="234"/>
  <c r="D94" i="234"/>
  <c r="C94" i="234"/>
  <c r="J93" i="234"/>
  <c r="I93" i="234"/>
  <c r="H93" i="234"/>
  <c r="G93" i="234"/>
  <c r="F93" i="234"/>
  <c r="E93" i="234"/>
  <c r="D93" i="234"/>
  <c r="C93" i="234"/>
  <c r="J92" i="234"/>
  <c r="I92" i="234"/>
  <c r="H92" i="234"/>
  <c r="G92" i="234"/>
  <c r="F92" i="234"/>
  <c r="E92" i="234"/>
  <c r="D92" i="234"/>
  <c r="C92" i="234"/>
  <c r="J91" i="234"/>
  <c r="I91" i="234"/>
  <c r="H91" i="234"/>
  <c r="G91" i="234"/>
  <c r="F91" i="234"/>
  <c r="E91" i="234"/>
  <c r="D91" i="234"/>
  <c r="C91" i="234"/>
  <c r="B174" i="234"/>
  <c r="J193" i="234"/>
  <c r="I193" i="234"/>
  <c r="H193" i="234"/>
  <c r="G193" i="234"/>
  <c r="F193" i="234"/>
  <c r="E193" i="234"/>
  <c r="D193" i="234"/>
  <c r="C193" i="234"/>
  <c r="B136" i="233"/>
  <c r="B118" i="233"/>
  <c r="B100" i="233"/>
  <c r="B57" i="233"/>
  <c r="B46" i="233"/>
  <c r="J96" i="233"/>
  <c r="I96" i="233"/>
  <c r="H96" i="233"/>
  <c r="G96" i="233"/>
  <c r="F96" i="233"/>
  <c r="E96" i="233"/>
  <c r="D96" i="233"/>
  <c r="C96" i="233"/>
  <c r="J95" i="233"/>
  <c r="I95" i="233"/>
  <c r="H95" i="233"/>
  <c r="G95" i="233"/>
  <c r="F95" i="233"/>
  <c r="E95" i="233"/>
  <c r="D95" i="233"/>
  <c r="C95" i="233"/>
  <c r="J94" i="233"/>
  <c r="I94" i="233"/>
  <c r="H94" i="233"/>
  <c r="G94" i="233"/>
  <c r="F94" i="233"/>
  <c r="E94" i="233"/>
  <c r="D94" i="233"/>
  <c r="C94" i="233"/>
  <c r="J93" i="233"/>
  <c r="I93" i="233"/>
  <c r="H93" i="233"/>
  <c r="G93" i="233"/>
  <c r="F93" i="233"/>
  <c r="E93" i="233"/>
  <c r="D93" i="233"/>
  <c r="C93" i="233"/>
  <c r="J92" i="233"/>
  <c r="I92" i="233"/>
  <c r="H92" i="233"/>
  <c r="G92" i="233"/>
  <c r="F92" i="233"/>
  <c r="E92" i="233"/>
  <c r="D92" i="233"/>
  <c r="C92" i="233"/>
  <c r="J91" i="233"/>
  <c r="I91" i="233"/>
  <c r="H91" i="233"/>
  <c r="G91" i="233"/>
  <c r="F91" i="233"/>
  <c r="E91" i="233"/>
  <c r="D91" i="233"/>
  <c r="C91" i="233"/>
  <c r="B174" i="233"/>
  <c r="J193" i="233"/>
  <c r="I193" i="233"/>
  <c r="H193" i="233"/>
  <c r="G193" i="233"/>
  <c r="F193" i="233"/>
  <c r="E193" i="233"/>
  <c r="D193" i="233"/>
  <c r="C193" i="233"/>
  <c r="B136" i="232"/>
  <c r="B118" i="232"/>
  <c r="B100" i="232"/>
  <c r="B57" i="232"/>
  <c r="B46" i="232"/>
  <c r="J96" i="232"/>
  <c r="I96" i="232"/>
  <c r="H96" i="232"/>
  <c r="G96" i="232"/>
  <c r="F96" i="232"/>
  <c r="E96" i="232"/>
  <c r="D96" i="232"/>
  <c r="C96" i="232"/>
  <c r="J95" i="232"/>
  <c r="I95" i="232"/>
  <c r="H95" i="232"/>
  <c r="G95" i="232"/>
  <c r="F95" i="232"/>
  <c r="E95" i="232"/>
  <c r="D95" i="232"/>
  <c r="C95" i="232"/>
  <c r="J94" i="232"/>
  <c r="I94" i="232"/>
  <c r="H94" i="232"/>
  <c r="G94" i="232"/>
  <c r="F94" i="232"/>
  <c r="E94" i="232"/>
  <c r="D94" i="232"/>
  <c r="C94" i="232"/>
  <c r="J93" i="232"/>
  <c r="I93" i="232"/>
  <c r="H93" i="232"/>
  <c r="G93" i="232"/>
  <c r="F93" i="232"/>
  <c r="E93" i="232"/>
  <c r="D93" i="232"/>
  <c r="C93" i="232"/>
  <c r="J92" i="232"/>
  <c r="I92" i="232"/>
  <c r="H92" i="232"/>
  <c r="G92" i="232"/>
  <c r="F92" i="232"/>
  <c r="E92" i="232"/>
  <c r="D92" i="232"/>
  <c r="C92" i="232"/>
  <c r="J91" i="232"/>
  <c r="I91" i="232"/>
  <c r="H91" i="232"/>
  <c r="G91" i="232"/>
  <c r="F91" i="232"/>
  <c r="E91" i="232"/>
  <c r="D91" i="232"/>
  <c r="C91" i="232"/>
  <c r="B174" i="232"/>
  <c r="J193" i="232"/>
  <c r="I193" i="232"/>
  <c r="H193" i="232"/>
  <c r="G193" i="232"/>
  <c r="F193" i="232"/>
  <c r="E193" i="232"/>
  <c r="D193" i="232"/>
  <c r="C193" i="232"/>
  <c r="B136" i="231"/>
  <c r="B118" i="231"/>
  <c r="B100" i="231"/>
  <c r="B57" i="231"/>
  <c r="B46" i="231"/>
  <c r="J96" i="231"/>
  <c r="I96" i="231"/>
  <c r="H96" i="231"/>
  <c r="G96" i="231"/>
  <c r="F96" i="231"/>
  <c r="E96" i="231"/>
  <c r="D96" i="231"/>
  <c r="C96" i="231"/>
  <c r="J95" i="231"/>
  <c r="I95" i="231"/>
  <c r="H95" i="231"/>
  <c r="G95" i="231"/>
  <c r="F95" i="231"/>
  <c r="E95" i="231"/>
  <c r="D95" i="231"/>
  <c r="C95" i="231"/>
  <c r="J94" i="231"/>
  <c r="I94" i="231"/>
  <c r="H94" i="231"/>
  <c r="G94" i="231"/>
  <c r="F94" i="231"/>
  <c r="E94" i="231"/>
  <c r="D94" i="231"/>
  <c r="C94" i="231"/>
  <c r="J93" i="231"/>
  <c r="I93" i="231"/>
  <c r="H93" i="231"/>
  <c r="G93" i="231"/>
  <c r="F93" i="231"/>
  <c r="E93" i="231"/>
  <c r="D93" i="231"/>
  <c r="C93" i="231"/>
  <c r="J92" i="231"/>
  <c r="I92" i="231"/>
  <c r="H92" i="231"/>
  <c r="G92" i="231"/>
  <c r="F92" i="231"/>
  <c r="E92" i="231"/>
  <c r="D92" i="231"/>
  <c r="C92" i="231"/>
  <c r="J91" i="231"/>
  <c r="I91" i="231"/>
  <c r="H91" i="231"/>
  <c r="G91" i="231"/>
  <c r="F91" i="231"/>
  <c r="E91" i="231"/>
  <c r="D91" i="231"/>
  <c r="C91" i="231"/>
  <c r="B174" i="231"/>
  <c r="J193" i="231"/>
  <c r="I193" i="231"/>
  <c r="H193" i="231"/>
  <c r="G193" i="231"/>
  <c r="F193" i="231"/>
  <c r="E193" i="231"/>
  <c r="D193" i="231"/>
  <c r="C193" i="231"/>
  <c r="B136" i="230"/>
  <c r="B118" i="230"/>
  <c r="B100" i="230"/>
  <c r="B57" i="230"/>
  <c r="B46" i="230"/>
  <c r="J96" i="230"/>
  <c r="I96" i="230"/>
  <c r="H96" i="230"/>
  <c r="G96" i="230"/>
  <c r="F96" i="230"/>
  <c r="E96" i="230"/>
  <c r="D96" i="230"/>
  <c r="C96" i="230"/>
  <c r="J95" i="230"/>
  <c r="I95" i="230"/>
  <c r="H95" i="230"/>
  <c r="G95" i="230"/>
  <c r="F95" i="230"/>
  <c r="E95" i="230"/>
  <c r="D95" i="230"/>
  <c r="C95" i="230"/>
  <c r="J94" i="230"/>
  <c r="I94" i="230"/>
  <c r="H94" i="230"/>
  <c r="G94" i="230"/>
  <c r="F94" i="230"/>
  <c r="E94" i="230"/>
  <c r="D94" i="230"/>
  <c r="C94" i="230"/>
  <c r="J93" i="230"/>
  <c r="I93" i="230"/>
  <c r="H93" i="230"/>
  <c r="G93" i="230"/>
  <c r="F93" i="230"/>
  <c r="E93" i="230"/>
  <c r="D93" i="230"/>
  <c r="C93" i="230"/>
  <c r="J92" i="230"/>
  <c r="I92" i="230"/>
  <c r="H92" i="230"/>
  <c r="G92" i="230"/>
  <c r="F92" i="230"/>
  <c r="E92" i="230"/>
  <c r="D92" i="230"/>
  <c r="C92" i="230"/>
  <c r="J91" i="230"/>
  <c r="I91" i="230"/>
  <c r="H91" i="230"/>
  <c r="G91" i="230"/>
  <c r="F91" i="230"/>
  <c r="E91" i="230"/>
  <c r="D91" i="230"/>
  <c r="C91" i="230"/>
  <c r="B174" i="230"/>
  <c r="J193" i="230"/>
  <c r="I193" i="230"/>
  <c r="H193" i="230"/>
  <c r="G193" i="230"/>
  <c r="F193" i="230"/>
  <c r="E193" i="230"/>
  <c r="D193" i="230"/>
  <c r="C193" i="230"/>
  <c r="B136" i="229"/>
  <c r="B118" i="229"/>
  <c r="B100" i="229"/>
  <c r="B57" i="229"/>
  <c r="B46" i="229"/>
  <c r="J96" i="229"/>
  <c r="I96" i="229"/>
  <c r="H96" i="229"/>
  <c r="G96" i="229"/>
  <c r="F96" i="229"/>
  <c r="E96" i="229"/>
  <c r="D96" i="229"/>
  <c r="C96" i="229"/>
  <c r="J95" i="229"/>
  <c r="I95" i="229"/>
  <c r="H95" i="229"/>
  <c r="G95" i="229"/>
  <c r="F95" i="229"/>
  <c r="E95" i="229"/>
  <c r="D95" i="229"/>
  <c r="C95" i="229"/>
  <c r="J94" i="229"/>
  <c r="I94" i="229"/>
  <c r="H94" i="229"/>
  <c r="G94" i="229"/>
  <c r="F94" i="229"/>
  <c r="E94" i="229"/>
  <c r="D94" i="229"/>
  <c r="C94" i="229"/>
  <c r="J93" i="229"/>
  <c r="I93" i="229"/>
  <c r="H93" i="229"/>
  <c r="G93" i="229"/>
  <c r="F93" i="229"/>
  <c r="E93" i="229"/>
  <c r="D93" i="229"/>
  <c r="C93" i="229"/>
  <c r="J92" i="229"/>
  <c r="I92" i="229"/>
  <c r="H92" i="229"/>
  <c r="G92" i="229"/>
  <c r="F92" i="229"/>
  <c r="E92" i="229"/>
  <c r="D92" i="229"/>
  <c r="C92" i="229"/>
  <c r="J91" i="229"/>
  <c r="I91" i="229"/>
  <c r="H91" i="229"/>
  <c r="G91" i="229"/>
  <c r="F91" i="229"/>
  <c r="E91" i="229"/>
  <c r="D91" i="229"/>
  <c r="C91" i="229"/>
  <c r="B174" i="229"/>
  <c r="J193" i="229"/>
  <c r="I193" i="229"/>
  <c r="H193" i="229"/>
  <c r="G193" i="229"/>
  <c r="F193" i="229"/>
  <c r="E193" i="229"/>
  <c r="D193" i="229"/>
  <c r="C193" i="229"/>
  <c r="BZ90" i="320"/>
  <c r="BZ89" i="320"/>
  <c r="BZ88" i="320"/>
  <c r="BZ87" i="320"/>
  <c r="BZ86" i="320"/>
  <c r="BZ85" i="320"/>
  <c r="BZ84" i="320"/>
  <c r="BZ83" i="320"/>
  <c r="BZ82" i="320"/>
  <c r="BZ81" i="320"/>
  <c r="BZ80" i="320"/>
  <c r="BZ79" i="320"/>
  <c r="BZ78" i="320"/>
  <c r="BZ77" i="320"/>
  <c r="BZ76" i="320"/>
  <c r="BZ75" i="320"/>
  <c r="BZ74" i="320"/>
  <c r="BZ73" i="320"/>
  <c r="BZ72" i="320"/>
  <c r="BZ71" i="320"/>
  <c r="BZ70" i="320"/>
  <c r="BZ69" i="320"/>
  <c r="BZ68" i="320"/>
  <c r="BZ67" i="320"/>
  <c r="BZ66" i="320"/>
  <c r="BZ65" i="320"/>
  <c r="BZ64" i="320"/>
  <c r="BZ63" i="320"/>
  <c r="BZ62" i="320"/>
  <c r="BZ61" i="320"/>
  <c r="BZ60" i="320"/>
  <c r="BZ59" i="320"/>
  <c r="BZ58" i="320"/>
  <c r="BZ57" i="320"/>
  <c r="BZ56" i="320"/>
  <c r="BZ55" i="320"/>
  <c r="BZ54" i="320"/>
  <c r="BZ53" i="320"/>
  <c r="BZ52" i="320"/>
  <c r="BZ51" i="320"/>
  <c r="BZ50" i="320"/>
  <c r="BZ49" i="320"/>
  <c r="BZ48" i="320"/>
  <c r="BZ47" i="320"/>
  <c r="BZ46" i="320"/>
  <c r="BZ45" i="320"/>
  <c r="BZ44" i="320"/>
  <c r="BZ43" i="320"/>
  <c r="BZ42" i="320"/>
  <c r="BZ41" i="320"/>
  <c r="BZ40" i="320"/>
  <c r="BZ39" i="320"/>
  <c r="BZ38" i="320"/>
  <c r="BZ37" i="320"/>
  <c r="BZ36" i="320"/>
  <c r="BZ35" i="320"/>
  <c r="BZ34" i="320"/>
  <c r="BZ33" i="320"/>
  <c r="BZ32" i="320"/>
  <c r="BZ31" i="320"/>
  <c r="BZ30" i="320"/>
  <c r="BZ29" i="320"/>
  <c r="BZ28" i="320"/>
  <c r="BZ27" i="320"/>
  <c r="BZ26" i="320"/>
  <c r="BZ25" i="320"/>
  <c r="BZ24" i="320"/>
  <c r="BZ23" i="320"/>
  <c r="BZ22" i="320"/>
  <c r="BZ21" i="320"/>
  <c r="BZ20" i="320"/>
  <c r="BZ19" i="320"/>
  <c r="BZ18" i="320"/>
  <c r="BZ17" i="320"/>
  <c r="BZ16" i="320"/>
  <c r="BZ15" i="320"/>
  <c r="BZ14" i="320"/>
  <c r="BZ13" i="320"/>
  <c r="BZ12" i="320"/>
  <c r="BZ11" i="320"/>
  <c r="BZ10" i="320"/>
  <c r="BZ9" i="320"/>
  <c r="BZ8" i="320"/>
  <c r="BZ7" i="320"/>
  <c r="BZ6" i="320"/>
  <c r="BZ5" i="320"/>
  <c r="BZ4" i="320"/>
  <c r="BY90" i="320"/>
  <c r="BY89" i="320"/>
  <c r="BY88" i="320"/>
  <c r="BY87" i="320"/>
  <c r="BY86" i="320"/>
  <c r="BY85" i="320"/>
  <c r="BY84" i="320"/>
  <c r="BY83" i="320"/>
  <c r="BY82" i="320"/>
  <c r="BY81" i="320"/>
  <c r="BY80" i="320"/>
  <c r="BY79" i="320"/>
  <c r="BY78" i="320"/>
  <c r="BY77" i="320"/>
  <c r="BY76" i="320"/>
  <c r="BY75" i="320"/>
  <c r="BY74" i="320"/>
  <c r="BY73" i="320"/>
  <c r="BY72" i="320"/>
  <c r="BY71" i="320"/>
  <c r="BY70" i="320"/>
  <c r="BY69" i="320"/>
  <c r="BY68" i="320"/>
  <c r="BY67" i="320"/>
  <c r="BY66" i="320"/>
  <c r="BY65" i="320"/>
  <c r="BY64" i="320"/>
  <c r="BY63" i="320"/>
  <c r="BY62" i="320"/>
  <c r="BY61" i="320"/>
  <c r="BY60" i="320"/>
  <c r="BY59" i="320"/>
  <c r="BY58" i="320"/>
  <c r="BY57" i="320"/>
  <c r="BY56" i="320"/>
  <c r="BY55" i="320"/>
  <c r="BY54" i="320"/>
  <c r="BY53" i="320"/>
  <c r="BY52" i="320"/>
  <c r="BY51" i="320"/>
  <c r="BY50" i="320"/>
  <c r="BY49" i="320"/>
  <c r="BY48" i="320"/>
  <c r="BY47" i="320"/>
  <c r="BY46" i="320"/>
  <c r="BY45" i="320"/>
  <c r="BY44" i="320"/>
  <c r="BY43" i="320"/>
  <c r="BY42" i="320"/>
  <c r="BY41" i="320"/>
  <c r="BY40" i="320"/>
  <c r="BY39" i="320"/>
  <c r="BY38" i="320"/>
  <c r="BY37" i="320"/>
  <c r="BY36" i="320"/>
  <c r="BY35" i="320"/>
  <c r="BY34" i="320"/>
  <c r="BY33" i="320"/>
  <c r="BY32" i="320"/>
  <c r="BY31" i="320"/>
  <c r="BY30" i="320"/>
  <c r="BY29" i="320"/>
  <c r="BY28" i="320"/>
  <c r="BY27" i="320"/>
  <c r="BY26" i="320"/>
  <c r="BY25" i="320"/>
  <c r="BY24" i="320"/>
  <c r="BY23" i="320"/>
  <c r="BY22" i="320"/>
  <c r="BY21" i="320"/>
  <c r="BY20" i="320"/>
  <c r="BY19" i="320"/>
  <c r="BY18" i="320"/>
  <c r="BY17" i="320"/>
  <c r="BY16" i="320"/>
  <c r="BY15" i="320"/>
  <c r="BY14" i="320"/>
  <c r="BY13" i="320"/>
  <c r="BY12" i="320"/>
  <c r="BY11" i="320"/>
  <c r="BY10" i="320"/>
  <c r="BY9" i="320"/>
  <c r="BY8" i="320"/>
  <c r="BY7" i="320"/>
  <c r="BY6" i="320"/>
  <c r="BY5" i="320"/>
  <c r="BY4" i="320"/>
  <c r="BX90" i="320"/>
  <c r="BX89" i="320"/>
  <c r="BX88" i="320"/>
  <c r="BX87" i="320"/>
  <c r="BX86" i="320"/>
  <c r="BX85" i="320"/>
  <c r="BX84" i="320"/>
  <c r="BX83" i="320"/>
  <c r="BX82" i="320"/>
  <c r="BX81" i="320"/>
  <c r="BX80" i="320"/>
  <c r="BX79" i="320"/>
  <c r="BX78" i="320"/>
  <c r="BX77" i="320"/>
  <c r="BX76" i="320"/>
  <c r="BX75" i="320"/>
  <c r="BX74" i="320"/>
  <c r="BX73" i="320"/>
  <c r="BX72" i="320"/>
  <c r="BX71" i="320"/>
  <c r="BX70" i="320"/>
  <c r="BX69" i="320"/>
  <c r="BX68" i="320"/>
  <c r="BX67" i="320"/>
  <c r="BX66" i="320"/>
  <c r="BX65" i="320"/>
  <c r="BX64" i="320"/>
  <c r="BX63" i="320"/>
  <c r="BX62" i="320"/>
  <c r="BX61" i="320"/>
  <c r="BX60" i="320"/>
  <c r="BX59" i="320"/>
  <c r="BX58" i="320"/>
  <c r="BX57" i="320"/>
  <c r="BX56" i="320"/>
  <c r="BX55" i="320"/>
  <c r="BX54" i="320"/>
  <c r="BX53" i="320"/>
  <c r="BX52" i="320"/>
  <c r="BX51" i="320"/>
  <c r="BX50" i="320"/>
  <c r="BX49" i="320"/>
  <c r="BX48" i="320"/>
  <c r="BX47" i="320"/>
  <c r="BX46" i="320"/>
  <c r="BX45" i="320"/>
  <c r="BX44" i="320"/>
  <c r="BX43" i="320"/>
  <c r="BX42" i="320"/>
  <c r="BX41" i="320"/>
  <c r="BX40" i="320"/>
  <c r="BX39" i="320"/>
  <c r="BX38" i="320"/>
  <c r="BX37" i="320"/>
  <c r="BX36" i="320"/>
  <c r="BX35" i="320"/>
  <c r="BX34" i="320"/>
  <c r="BX33" i="320"/>
  <c r="BX32" i="320"/>
  <c r="BX31" i="320"/>
  <c r="BX30" i="320"/>
  <c r="BX29" i="320"/>
  <c r="BX28" i="320"/>
  <c r="BX27" i="320"/>
  <c r="BX26" i="320"/>
  <c r="BX25" i="320"/>
  <c r="BX24" i="320"/>
  <c r="BX23" i="320"/>
  <c r="BX22" i="320"/>
  <c r="BX21" i="320"/>
  <c r="BX20" i="320"/>
  <c r="BX19" i="320"/>
  <c r="BX18" i="320"/>
  <c r="BX17" i="320"/>
  <c r="BX16" i="320"/>
  <c r="BX15" i="320"/>
  <c r="BX14" i="320"/>
  <c r="BX13" i="320"/>
  <c r="BX12" i="320"/>
  <c r="BX11" i="320"/>
  <c r="BX10" i="320"/>
  <c r="BX9" i="320"/>
  <c r="BX8" i="320"/>
  <c r="BX7" i="320"/>
  <c r="BX6" i="320"/>
  <c r="BX5" i="320"/>
  <c r="BX4" i="320"/>
  <c r="BW90" i="320"/>
  <c r="BW89" i="320"/>
  <c r="BW88" i="320"/>
  <c r="BW87" i="320"/>
  <c r="BW86" i="320"/>
  <c r="BW85" i="320"/>
  <c r="BW84" i="320"/>
  <c r="BW83" i="320"/>
  <c r="BW82" i="320"/>
  <c r="BW81" i="320"/>
  <c r="BW80" i="320"/>
  <c r="BW79" i="320"/>
  <c r="BW78" i="320"/>
  <c r="BW77" i="320"/>
  <c r="BW76" i="320"/>
  <c r="BW75" i="320"/>
  <c r="BW74" i="320"/>
  <c r="BW73" i="320"/>
  <c r="BW72" i="320"/>
  <c r="BW71" i="320"/>
  <c r="BW70" i="320"/>
  <c r="BW69" i="320"/>
  <c r="BW68" i="320"/>
  <c r="BW67" i="320"/>
  <c r="BW66" i="320"/>
  <c r="BW65" i="320"/>
  <c r="BW64" i="320"/>
  <c r="BW63" i="320"/>
  <c r="BW62" i="320"/>
  <c r="BW61" i="320"/>
  <c r="BW60" i="320"/>
  <c r="BW59" i="320"/>
  <c r="BW58" i="320"/>
  <c r="BW57" i="320"/>
  <c r="BW56" i="320"/>
  <c r="BW55" i="320"/>
  <c r="BW54" i="320"/>
  <c r="BW53" i="320"/>
  <c r="BW52" i="320"/>
  <c r="BW51" i="320"/>
  <c r="BW50" i="320"/>
  <c r="BW49" i="320"/>
  <c r="BW48" i="320"/>
  <c r="BW47" i="320"/>
  <c r="BW46" i="320"/>
  <c r="BW45" i="320"/>
  <c r="BW44" i="320"/>
  <c r="BW43" i="320"/>
  <c r="BW42" i="320"/>
  <c r="BW41" i="320"/>
  <c r="BW40" i="320"/>
  <c r="BW39" i="320"/>
  <c r="BW38" i="320"/>
  <c r="BW37" i="320"/>
  <c r="BW36" i="320"/>
  <c r="BW35" i="320"/>
  <c r="BW34" i="320"/>
  <c r="BW33" i="320"/>
  <c r="BW32" i="320"/>
  <c r="BW31" i="320"/>
  <c r="BW30" i="320"/>
  <c r="BW29" i="320"/>
  <c r="BW28" i="320"/>
  <c r="BW27" i="320"/>
  <c r="BW26" i="320"/>
  <c r="BW25" i="320"/>
  <c r="BW24" i="320"/>
  <c r="BW23" i="320"/>
  <c r="BW22" i="320"/>
  <c r="BW21" i="320"/>
  <c r="BW20" i="320"/>
  <c r="BW19" i="320"/>
  <c r="BW18" i="320"/>
  <c r="BW17" i="320"/>
  <c r="BW16" i="320"/>
  <c r="BW15" i="320"/>
  <c r="BW14" i="320"/>
  <c r="BW13" i="320"/>
  <c r="BW12" i="320"/>
  <c r="BW11" i="320"/>
  <c r="BW10" i="320"/>
  <c r="BW9" i="320"/>
  <c r="BW8" i="320"/>
  <c r="BW7" i="320"/>
  <c r="BW6" i="320"/>
  <c r="BW5" i="320"/>
  <c r="BW4" i="320"/>
  <c r="BV90" i="320"/>
  <c r="BV89" i="320"/>
  <c r="BV88" i="320"/>
  <c r="BV87" i="320"/>
  <c r="BV86" i="320"/>
  <c r="BV85" i="320"/>
  <c r="BV84" i="320"/>
  <c r="BV83" i="320"/>
  <c r="BV82" i="320"/>
  <c r="BV81" i="320"/>
  <c r="BV80" i="320"/>
  <c r="BV79" i="320"/>
  <c r="BV78" i="320"/>
  <c r="BV77" i="320"/>
  <c r="BV76" i="320"/>
  <c r="BV75" i="320"/>
  <c r="BV74" i="320"/>
  <c r="BV73" i="320"/>
  <c r="BV72" i="320"/>
  <c r="BV71" i="320"/>
  <c r="BV70" i="320"/>
  <c r="BV69" i="320"/>
  <c r="BV68" i="320"/>
  <c r="BV67" i="320"/>
  <c r="BV66" i="320"/>
  <c r="BV65" i="320"/>
  <c r="BV64" i="320"/>
  <c r="BV63" i="320"/>
  <c r="BV62" i="320"/>
  <c r="BV61" i="320"/>
  <c r="BV60" i="320"/>
  <c r="BV59" i="320"/>
  <c r="BV58" i="320"/>
  <c r="BV57" i="320"/>
  <c r="BV56" i="320"/>
  <c r="BV55" i="320"/>
  <c r="BV54" i="320"/>
  <c r="BV53" i="320"/>
  <c r="BV52" i="320"/>
  <c r="BV51" i="320"/>
  <c r="BV50" i="320"/>
  <c r="BV49" i="320"/>
  <c r="BV48" i="320"/>
  <c r="BV47" i="320"/>
  <c r="BV46" i="320"/>
  <c r="BV45" i="320"/>
  <c r="BV44" i="320"/>
  <c r="BV43" i="320"/>
  <c r="BV42" i="320"/>
  <c r="BV41" i="320"/>
  <c r="BV40" i="320"/>
  <c r="BV39" i="320"/>
  <c r="BV38" i="320"/>
  <c r="BV37" i="320"/>
  <c r="BV36" i="320"/>
  <c r="BV35" i="320"/>
  <c r="BV34" i="320"/>
  <c r="BV33" i="320"/>
  <c r="BV32" i="320"/>
  <c r="BV31" i="320"/>
  <c r="BV30" i="320"/>
  <c r="BV29" i="320"/>
  <c r="BV28" i="320"/>
  <c r="BV27" i="320"/>
  <c r="BV26" i="320"/>
  <c r="BV25" i="320"/>
  <c r="BV24" i="320"/>
  <c r="BV23" i="320"/>
  <c r="BV22" i="320"/>
  <c r="BV21" i="320"/>
  <c r="BV20" i="320"/>
  <c r="BV19" i="320"/>
  <c r="BV18" i="320"/>
  <c r="BV17" i="320"/>
  <c r="BV16" i="320"/>
  <c r="BV15" i="320"/>
  <c r="BV14" i="320"/>
  <c r="BV13" i="320"/>
  <c r="BV12" i="320"/>
  <c r="BV11" i="320"/>
  <c r="BV10" i="320"/>
  <c r="BV9" i="320"/>
  <c r="BV8" i="320"/>
  <c r="BV7" i="320"/>
  <c r="BV6" i="320"/>
  <c r="BV5" i="320"/>
  <c r="BV4" i="320"/>
  <c r="AR90" i="320"/>
  <c r="AR89" i="320"/>
  <c r="AR88" i="320"/>
  <c r="AR87" i="320"/>
  <c r="AR86" i="320"/>
  <c r="AR85" i="320"/>
  <c r="AR84" i="320"/>
  <c r="AR83" i="320"/>
  <c r="AR82" i="320"/>
  <c r="AR81" i="320"/>
  <c r="AR80" i="320"/>
  <c r="AR79" i="320"/>
  <c r="AR78" i="320"/>
  <c r="AR77" i="320"/>
  <c r="AR76" i="320"/>
  <c r="AR75" i="320"/>
  <c r="AR74" i="320"/>
  <c r="AR73" i="320"/>
  <c r="AR72" i="320"/>
  <c r="AR71" i="320"/>
  <c r="AR70" i="320"/>
  <c r="AR69" i="320"/>
  <c r="AR68" i="320"/>
  <c r="AR67" i="320"/>
  <c r="AR66" i="320"/>
  <c r="AR65" i="320"/>
  <c r="AR64" i="320"/>
  <c r="AR63" i="320"/>
  <c r="AR62" i="320"/>
  <c r="AR61" i="320"/>
  <c r="AR60" i="320"/>
  <c r="AR59" i="320"/>
  <c r="AR58" i="320"/>
  <c r="AR57" i="320"/>
  <c r="AR56" i="320"/>
  <c r="AR55" i="320"/>
  <c r="AR54" i="320"/>
  <c r="AR53" i="320"/>
  <c r="AR52" i="320"/>
  <c r="AR51" i="320"/>
  <c r="AR50" i="320"/>
  <c r="AR49" i="320"/>
  <c r="AR48" i="320"/>
  <c r="AR47" i="320"/>
  <c r="AR46" i="320"/>
  <c r="AR45" i="320"/>
  <c r="AR44" i="320"/>
  <c r="AR43" i="320"/>
  <c r="AR42" i="320"/>
  <c r="AR41" i="320"/>
  <c r="AR40" i="320"/>
  <c r="AR39" i="320"/>
  <c r="AR38" i="320"/>
  <c r="AR37" i="320"/>
  <c r="AR36" i="320"/>
  <c r="AR35" i="320"/>
  <c r="AR34" i="320"/>
  <c r="AR33" i="320"/>
  <c r="AR32" i="320"/>
  <c r="AR31" i="320"/>
  <c r="AR30" i="320"/>
  <c r="AR29" i="320"/>
  <c r="AR28" i="320"/>
  <c r="AR27" i="320"/>
  <c r="AR26" i="320"/>
  <c r="AR25" i="320"/>
  <c r="AR24" i="320"/>
  <c r="AR23" i="320"/>
  <c r="AR22" i="320"/>
  <c r="AR21" i="320"/>
  <c r="AR20" i="320"/>
  <c r="AR19" i="320"/>
  <c r="AR18" i="320"/>
  <c r="AR17" i="320"/>
  <c r="AR16" i="320"/>
  <c r="AR15" i="320"/>
  <c r="AR14" i="320"/>
  <c r="AR13" i="320"/>
  <c r="AR12" i="320"/>
  <c r="AR11" i="320"/>
  <c r="AR10" i="320"/>
  <c r="AR9" i="320"/>
  <c r="AR8" i="320"/>
  <c r="AR7" i="320"/>
  <c r="AR6" i="320"/>
  <c r="AR5" i="320"/>
  <c r="AR4" i="320"/>
  <c r="AQ90" i="320"/>
  <c r="AQ89" i="320"/>
  <c r="AQ88" i="320"/>
  <c r="AQ87" i="320"/>
  <c r="AQ86" i="320"/>
  <c r="AQ85" i="320"/>
  <c r="AQ84" i="320"/>
  <c r="AQ83" i="320"/>
  <c r="AQ82" i="320"/>
  <c r="AQ81" i="320"/>
  <c r="AQ80" i="320"/>
  <c r="AQ79" i="320"/>
  <c r="AQ78" i="320"/>
  <c r="AQ77" i="320"/>
  <c r="AQ76" i="320"/>
  <c r="AQ75" i="320"/>
  <c r="AQ74" i="320"/>
  <c r="AQ73" i="320"/>
  <c r="AQ72" i="320"/>
  <c r="AQ71" i="320"/>
  <c r="AQ70" i="320"/>
  <c r="AQ69" i="320"/>
  <c r="AQ68" i="320"/>
  <c r="AQ67" i="320"/>
  <c r="AQ66" i="320"/>
  <c r="AQ65" i="320"/>
  <c r="AQ64" i="320"/>
  <c r="AQ63" i="320"/>
  <c r="AQ62" i="320"/>
  <c r="AQ61" i="320"/>
  <c r="AQ60" i="320"/>
  <c r="AQ59" i="320"/>
  <c r="AQ58" i="320"/>
  <c r="AQ57" i="320"/>
  <c r="AQ56" i="320"/>
  <c r="AQ55" i="320"/>
  <c r="AQ54" i="320"/>
  <c r="AQ53" i="320"/>
  <c r="AQ52" i="320"/>
  <c r="AQ51" i="320"/>
  <c r="AQ50" i="320"/>
  <c r="AQ49" i="320"/>
  <c r="AQ48" i="320"/>
  <c r="AQ47" i="320"/>
  <c r="AQ46" i="320"/>
  <c r="AQ45" i="320"/>
  <c r="AQ44" i="320"/>
  <c r="AQ43" i="320"/>
  <c r="AQ42" i="320"/>
  <c r="AQ41" i="320"/>
  <c r="AQ40" i="320"/>
  <c r="AQ39" i="320"/>
  <c r="AQ38" i="320"/>
  <c r="AQ37" i="320"/>
  <c r="AQ36" i="320"/>
  <c r="AQ35" i="320"/>
  <c r="AQ34" i="320"/>
  <c r="AQ33" i="320"/>
  <c r="AQ32" i="320"/>
  <c r="AQ31" i="320"/>
  <c r="AQ30" i="320"/>
  <c r="AQ29" i="320"/>
  <c r="AQ28" i="320"/>
  <c r="AQ27" i="320"/>
  <c r="AQ26" i="320"/>
  <c r="AQ25" i="320"/>
  <c r="AQ24" i="320"/>
  <c r="AQ23" i="320"/>
  <c r="AQ22" i="320"/>
  <c r="AQ21" i="320"/>
  <c r="AQ20" i="320"/>
  <c r="AQ19" i="320"/>
  <c r="AQ18" i="320"/>
  <c r="AQ17" i="320"/>
  <c r="AQ16" i="320"/>
  <c r="AQ15" i="320"/>
  <c r="AQ14" i="320"/>
  <c r="AQ13" i="320"/>
  <c r="AQ12" i="320"/>
  <c r="AQ11" i="320"/>
  <c r="AQ10" i="320"/>
  <c r="AQ9" i="320"/>
  <c r="AQ8" i="320"/>
  <c r="AQ7" i="320"/>
  <c r="AQ6" i="320"/>
  <c r="AQ5" i="320"/>
  <c r="AQ4" i="320"/>
  <c r="AP90" i="320"/>
  <c r="AP89" i="320"/>
  <c r="AP88" i="320"/>
  <c r="AP87" i="320"/>
  <c r="AP86" i="320"/>
  <c r="AP85" i="320"/>
  <c r="AP84" i="320"/>
  <c r="AP83" i="320"/>
  <c r="AP82" i="320"/>
  <c r="AP81" i="320"/>
  <c r="AP80" i="320"/>
  <c r="AP79" i="320"/>
  <c r="AP78" i="320"/>
  <c r="AP77" i="320"/>
  <c r="AP76" i="320"/>
  <c r="AP75" i="320"/>
  <c r="AP74" i="320"/>
  <c r="AP73" i="320"/>
  <c r="AP72" i="320"/>
  <c r="AP71" i="320"/>
  <c r="AP70" i="320"/>
  <c r="AP69" i="320"/>
  <c r="AP68" i="320"/>
  <c r="AP67" i="320"/>
  <c r="AP66" i="320"/>
  <c r="AP65" i="320"/>
  <c r="AP64" i="320"/>
  <c r="AP63" i="320"/>
  <c r="AP62" i="320"/>
  <c r="AP61" i="320"/>
  <c r="AP60" i="320"/>
  <c r="AP59" i="320"/>
  <c r="AP58" i="320"/>
  <c r="AP57" i="320"/>
  <c r="AP56" i="320"/>
  <c r="AP55" i="320"/>
  <c r="AP54" i="320"/>
  <c r="AP53" i="320"/>
  <c r="AP52" i="320"/>
  <c r="AP51" i="320"/>
  <c r="AP50" i="320"/>
  <c r="AP49" i="320"/>
  <c r="AP48" i="320"/>
  <c r="AP47" i="320"/>
  <c r="AP46" i="320"/>
  <c r="AP45" i="320"/>
  <c r="AP44" i="320"/>
  <c r="AP43" i="320"/>
  <c r="AP42" i="320"/>
  <c r="AP41" i="320"/>
  <c r="AP40" i="320"/>
  <c r="AP39" i="320"/>
  <c r="AP38" i="320"/>
  <c r="AP37" i="320"/>
  <c r="AP36" i="320"/>
  <c r="AP35" i="320"/>
  <c r="AP34" i="320"/>
  <c r="AP33" i="320"/>
  <c r="AP32" i="320"/>
  <c r="AP31" i="320"/>
  <c r="AP30" i="320"/>
  <c r="AP29" i="320"/>
  <c r="AP28" i="320"/>
  <c r="AP27" i="320"/>
  <c r="AP26" i="320"/>
  <c r="AP25" i="320"/>
  <c r="AP24" i="320"/>
  <c r="AP23" i="320"/>
  <c r="AP22" i="320"/>
  <c r="AP21" i="320"/>
  <c r="AP20" i="320"/>
  <c r="AP19" i="320"/>
  <c r="AP18" i="320"/>
  <c r="AP17" i="320"/>
  <c r="AP16" i="320"/>
  <c r="AP15" i="320"/>
  <c r="AP14" i="320"/>
  <c r="AP13" i="320"/>
  <c r="AP12" i="320"/>
  <c r="AP11" i="320"/>
  <c r="AP10" i="320"/>
  <c r="AP9" i="320"/>
  <c r="AP8" i="320"/>
  <c r="AP7" i="320"/>
  <c r="AP6" i="320"/>
  <c r="AP5" i="320"/>
  <c r="AP4" i="320"/>
  <c r="AO90" i="320"/>
  <c r="AO89" i="320"/>
  <c r="AO88" i="320"/>
  <c r="AO87" i="320"/>
  <c r="AO86" i="320"/>
  <c r="AO85" i="320"/>
  <c r="AO84" i="320"/>
  <c r="AO83" i="320"/>
  <c r="AO82" i="320"/>
  <c r="AO81" i="320"/>
  <c r="AO80" i="320"/>
  <c r="AO79" i="320"/>
  <c r="AO78" i="320"/>
  <c r="AO77" i="320"/>
  <c r="AO76" i="320"/>
  <c r="AO75" i="320"/>
  <c r="AO74" i="320"/>
  <c r="AO73" i="320"/>
  <c r="AO72" i="320"/>
  <c r="AO71" i="320"/>
  <c r="AO70" i="320"/>
  <c r="AO69" i="320"/>
  <c r="AO68" i="320"/>
  <c r="AO67" i="320"/>
  <c r="AO66" i="320"/>
  <c r="AO65" i="320"/>
  <c r="AO64" i="320"/>
  <c r="AO63" i="320"/>
  <c r="AO62" i="320"/>
  <c r="AO61" i="320"/>
  <c r="AO60" i="320"/>
  <c r="AO59" i="320"/>
  <c r="AO58" i="320"/>
  <c r="AO57" i="320"/>
  <c r="AO56" i="320"/>
  <c r="AO55" i="320"/>
  <c r="AO54" i="320"/>
  <c r="AO53" i="320"/>
  <c r="AO52" i="320"/>
  <c r="AO51" i="320"/>
  <c r="AO50" i="320"/>
  <c r="AO49" i="320"/>
  <c r="AO48" i="320"/>
  <c r="AO47" i="320"/>
  <c r="AO46" i="320"/>
  <c r="AO45" i="320"/>
  <c r="AO44" i="320"/>
  <c r="AO43" i="320"/>
  <c r="AO42" i="320"/>
  <c r="AO41" i="320"/>
  <c r="AO40" i="320"/>
  <c r="AO39" i="320"/>
  <c r="AO38" i="320"/>
  <c r="AO37" i="320"/>
  <c r="AO36" i="320"/>
  <c r="AO35" i="320"/>
  <c r="AO34" i="320"/>
  <c r="AO33" i="320"/>
  <c r="AO32" i="320"/>
  <c r="AO31" i="320"/>
  <c r="AO30" i="320"/>
  <c r="AO29" i="320"/>
  <c r="AO28" i="320"/>
  <c r="AO27" i="320"/>
  <c r="AO26" i="320"/>
  <c r="AO25" i="320"/>
  <c r="AO24" i="320"/>
  <c r="AO23" i="320"/>
  <c r="AO22" i="320"/>
  <c r="AO21" i="320"/>
  <c r="AO20" i="320"/>
  <c r="AO19" i="320"/>
  <c r="AO18" i="320"/>
  <c r="AO17" i="320"/>
  <c r="AO16" i="320"/>
  <c r="AO15" i="320"/>
  <c r="AO14" i="320"/>
  <c r="AO13" i="320"/>
  <c r="AO12" i="320"/>
  <c r="AO11" i="320"/>
  <c r="AO10" i="320"/>
  <c r="AO9" i="320"/>
  <c r="AO8" i="320"/>
  <c r="AO7" i="320"/>
  <c r="AO6" i="320"/>
  <c r="AO5" i="320"/>
  <c r="AO4" i="320"/>
  <c r="AN90" i="320"/>
  <c r="AN89" i="320"/>
  <c r="AN88" i="320"/>
  <c r="AN87" i="320"/>
  <c r="AN86" i="320"/>
  <c r="AN85" i="320"/>
  <c r="AN84" i="320"/>
  <c r="AN83" i="320"/>
  <c r="AN82" i="320"/>
  <c r="AN81" i="320"/>
  <c r="AN80" i="320"/>
  <c r="AN79" i="320"/>
  <c r="AN78" i="320"/>
  <c r="AN77" i="320"/>
  <c r="AN76" i="320"/>
  <c r="AN75" i="320"/>
  <c r="AN74" i="320"/>
  <c r="AN73" i="320"/>
  <c r="AN72" i="320"/>
  <c r="AN71" i="320"/>
  <c r="AN70" i="320"/>
  <c r="AN69" i="320"/>
  <c r="AN68" i="320"/>
  <c r="AN67" i="320"/>
  <c r="AN66" i="320"/>
  <c r="AN65" i="320"/>
  <c r="AN64" i="320"/>
  <c r="AN63" i="320"/>
  <c r="AN62" i="320"/>
  <c r="AN61" i="320"/>
  <c r="AN60" i="320"/>
  <c r="AN59" i="320"/>
  <c r="AN58" i="320"/>
  <c r="AN57" i="320"/>
  <c r="AN56" i="320"/>
  <c r="AN55" i="320"/>
  <c r="AN54" i="320"/>
  <c r="AN53" i="320"/>
  <c r="AN52" i="320"/>
  <c r="AN51" i="320"/>
  <c r="AN50" i="320"/>
  <c r="AN49" i="320"/>
  <c r="AN48" i="320"/>
  <c r="AN47" i="320"/>
  <c r="AN46" i="320"/>
  <c r="AN45" i="320"/>
  <c r="AN44" i="320"/>
  <c r="AN43" i="320"/>
  <c r="AN42" i="320"/>
  <c r="AN41" i="320"/>
  <c r="AN40" i="320"/>
  <c r="AN39" i="320"/>
  <c r="AN38" i="320"/>
  <c r="AN37" i="320"/>
  <c r="AN36" i="320"/>
  <c r="AN35" i="320"/>
  <c r="AN34" i="320"/>
  <c r="AN33" i="320"/>
  <c r="AN32" i="320"/>
  <c r="AN31" i="320"/>
  <c r="AN30" i="320"/>
  <c r="AN29" i="320"/>
  <c r="AN28" i="320"/>
  <c r="AN27" i="320"/>
  <c r="AN26" i="320"/>
  <c r="AN25" i="320"/>
  <c r="AN24" i="320"/>
  <c r="AN23" i="320"/>
  <c r="AN22" i="320"/>
  <c r="AN21" i="320"/>
  <c r="AN20" i="320"/>
  <c r="AN19" i="320"/>
  <c r="AN18" i="320"/>
  <c r="AN17" i="320"/>
  <c r="AN16" i="320"/>
  <c r="AN15" i="320"/>
  <c r="AN14" i="320"/>
  <c r="AN13" i="320"/>
  <c r="AN12" i="320"/>
  <c r="AN11" i="320"/>
  <c r="AN10" i="320"/>
  <c r="AN9" i="320"/>
  <c r="AN8" i="320"/>
  <c r="AN7" i="320"/>
  <c r="AN6" i="320"/>
  <c r="AN5" i="320"/>
  <c r="AN4" i="320"/>
  <c r="Y90" i="320"/>
  <c r="Y89" i="320"/>
  <c r="Y88" i="320"/>
  <c r="Y87" i="320"/>
  <c r="Y86" i="320"/>
  <c r="Y85" i="320"/>
  <c r="Y84" i="320"/>
  <c r="Y83" i="320"/>
  <c r="Y82" i="320"/>
  <c r="Y81" i="320"/>
  <c r="Y80" i="320"/>
  <c r="Y79" i="320"/>
  <c r="Y78" i="320"/>
  <c r="Y77" i="320"/>
  <c r="Y76" i="320"/>
  <c r="Y75" i="320"/>
  <c r="Y74" i="320"/>
  <c r="Y73" i="320"/>
  <c r="Y72" i="320"/>
  <c r="Y71" i="320"/>
  <c r="Y70" i="320"/>
  <c r="Y69" i="320"/>
  <c r="Y68" i="320"/>
  <c r="Y67" i="320"/>
  <c r="Y66" i="320"/>
  <c r="Y65" i="320"/>
  <c r="Y64" i="320"/>
  <c r="Y63" i="320"/>
  <c r="Y62" i="320"/>
  <c r="Y61" i="320"/>
  <c r="Y60" i="320"/>
  <c r="Y59" i="320"/>
  <c r="Y58" i="320"/>
  <c r="Y57" i="320"/>
  <c r="Y56" i="320"/>
  <c r="Y55" i="320"/>
  <c r="Y54" i="320"/>
  <c r="Y53" i="320"/>
  <c r="Y52" i="320"/>
  <c r="Y51" i="320"/>
  <c r="Y50" i="320"/>
  <c r="Y49" i="320"/>
  <c r="Y48" i="320"/>
  <c r="Y47" i="320"/>
  <c r="Y46" i="320"/>
  <c r="Y45" i="320"/>
  <c r="Y44" i="320"/>
  <c r="Y43" i="320"/>
  <c r="Y42" i="320"/>
  <c r="Y41" i="320"/>
  <c r="Y40" i="320"/>
  <c r="Y39" i="320"/>
  <c r="Y38" i="320"/>
  <c r="Y37" i="320"/>
  <c r="Y36" i="320"/>
  <c r="Y35" i="320"/>
  <c r="Y34" i="320"/>
  <c r="Y33" i="320"/>
  <c r="Y32" i="320"/>
  <c r="Y31" i="320"/>
  <c r="Y30" i="320"/>
  <c r="Y29" i="320"/>
  <c r="Y28" i="320"/>
  <c r="Y27" i="320"/>
  <c r="Y26" i="320"/>
  <c r="Y25" i="320"/>
  <c r="Y24" i="320"/>
  <c r="Y23" i="320"/>
  <c r="Y22" i="320"/>
  <c r="Y21" i="320"/>
  <c r="Y20" i="320"/>
  <c r="Y19" i="320"/>
  <c r="Y18" i="320"/>
  <c r="Y17" i="320"/>
  <c r="Y16" i="320"/>
  <c r="Y15" i="320"/>
  <c r="Y14" i="320"/>
  <c r="Y13" i="320"/>
  <c r="Y12" i="320"/>
  <c r="Y11" i="320"/>
  <c r="Y10" i="320"/>
  <c r="Y9" i="320"/>
  <c r="Y8" i="320"/>
  <c r="Y7" i="320"/>
  <c r="Y6" i="320"/>
  <c r="Y5" i="320"/>
  <c r="Y4" i="320"/>
  <c r="X90" i="320"/>
  <c r="X89" i="320"/>
  <c r="X88" i="320"/>
  <c r="X87" i="320"/>
  <c r="X86" i="320"/>
  <c r="X85" i="320"/>
  <c r="X84" i="320"/>
  <c r="X83" i="320"/>
  <c r="X82" i="320"/>
  <c r="X81" i="320"/>
  <c r="X80" i="320"/>
  <c r="X79" i="320"/>
  <c r="X78" i="320"/>
  <c r="X77" i="320"/>
  <c r="X76" i="320"/>
  <c r="X75" i="320"/>
  <c r="X74" i="320"/>
  <c r="X73" i="320"/>
  <c r="X72" i="320"/>
  <c r="X71" i="320"/>
  <c r="X70" i="320"/>
  <c r="X69" i="320"/>
  <c r="X68" i="320"/>
  <c r="X67" i="320"/>
  <c r="X66" i="320"/>
  <c r="X65" i="320"/>
  <c r="X64" i="320"/>
  <c r="X63" i="320"/>
  <c r="X62" i="320"/>
  <c r="X61" i="320"/>
  <c r="X60" i="320"/>
  <c r="X59" i="320"/>
  <c r="X58" i="320"/>
  <c r="X57" i="320"/>
  <c r="X56" i="320"/>
  <c r="X55" i="320"/>
  <c r="X54" i="320"/>
  <c r="X53" i="320"/>
  <c r="X52" i="320"/>
  <c r="X51" i="320"/>
  <c r="X50" i="320"/>
  <c r="X49" i="320"/>
  <c r="X48" i="320"/>
  <c r="X47" i="320"/>
  <c r="X46" i="320"/>
  <c r="X45" i="320"/>
  <c r="X44" i="320"/>
  <c r="X43" i="320"/>
  <c r="X42" i="320"/>
  <c r="X41" i="320"/>
  <c r="X40" i="320"/>
  <c r="X39" i="320"/>
  <c r="X38" i="320"/>
  <c r="X37" i="320"/>
  <c r="X36" i="320"/>
  <c r="X35" i="320"/>
  <c r="X34" i="320"/>
  <c r="X33" i="320"/>
  <c r="X32" i="320"/>
  <c r="X31" i="320"/>
  <c r="X30" i="320"/>
  <c r="X29" i="320"/>
  <c r="X28" i="320"/>
  <c r="X27" i="320"/>
  <c r="X26" i="320"/>
  <c r="X25" i="320"/>
  <c r="X24" i="320"/>
  <c r="X23" i="320"/>
  <c r="X22" i="320"/>
  <c r="X21" i="320"/>
  <c r="X20" i="320"/>
  <c r="X19" i="320"/>
  <c r="X18" i="320"/>
  <c r="X17" i="320"/>
  <c r="X16" i="320"/>
  <c r="X15" i="320"/>
  <c r="X14" i="320"/>
  <c r="X13" i="320"/>
  <c r="X12" i="320"/>
  <c r="X11" i="320"/>
  <c r="X10" i="320"/>
  <c r="X9" i="320"/>
  <c r="X8" i="320"/>
  <c r="X7" i="320"/>
  <c r="X6" i="320"/>
  <c r="X5" i="320"/>
  <c r="X4" i="320"/>
  <c r="W90" i="320"/>
  <c r="W89" i="320"/>
  <c r="W88" i="320"/>
  <c r="W87" i="320"/>
  <c r="W86" i="320"/>
  <c r="W85" i="320"/>
  <c r="W84" i="320"/>
  <c r="W83" i="320"/>
  <c r="W82" i="320"/>
  <c r="W81" i="320"/>
  <c r="W80" i="320"/>
  <c r="W79" i="320"/>
  <c r="W78" i="320"/>
  <c r="W77" i="320"/>
  <c r="W76" i="320"/>
  <c r="W75" i="320"/>
  <c r="W74" i="320"/>
  <c r="W73" i="320"/>
  <c r="W72" i="320"/>
  <c r="W71" i="320"/>
  <c r="W70" i="320"/>
  <c r="W69" i="320"/>
  <c r="W68" i="320"/>
  <c r="W67" i="320"/>
  <c r="W66" i="320"/>
  <c r="W65" i="320"/>
  <c r="W64" i="320"/>
  <c r="W63" i="320"/>
  <c r="W62" i="320"/>
  <c r="W61" i="320"/>
  <c r="W60" i="320"/>
  <c r="W59" i="320"/>
  <c r="W58" i="320"/>
  <c r="W57" i="320"/>
  <c r="W56" i="320"/>
  <c r="W55" i="320"/>
  <c r="W54" i="320"/>
  <c r="W53" i="320"/>
  <c r="W52" i="320"/>
  <c r="W51" i="320"/>
  <c r="W50" i="320"/>
  <c r="W49" i="320"/>
  <c r="W48" i="320"/>
  <c r="W47" i="320"/>
  <c r="W46" i="320"/>
  <c r="W45" i="320"/>
  <c r="W44" i="320"/>
  <c r="W43" i="320"/>
  <c r="W42" i="320"/>
  <c r="W41" i="320"/>
  <c r="W40" i="320"/>
  <c r="W39" i="320"/>
  <c r="W38" i="320"/>
  <c r="W37" i="320"/>
  <c r="W36" i="320"/>
  <c r="W35" i="320"/>
  <c r="W34" i="320"/>
  <c r="W33" i="320"/>
  <c r="W32" i="320"/>
  <c r="W31" i="320"/>
  <c r="W30" i="320"/>
  <c r="W29" i="320"/>
  <c r="W28" i="320"/>
  <c r="W27" i="320"/>
  <c r="W26" i="320"/>
  <c r="W25" i="320"/>
  <c r="W24" i="320"/>
  <c r="W23" i="320"/>
  <c r="W22" i="320"/>
  <c r="W21" i="320"/>
  <c r="W20" i="320"/>
  <c r="W19" i="320"/>
  <c r="W18" i="320"/>
  <c r="W17" i="320"/>
  <c r="W16" i="320"/>
  <c r="W15" i="320"/>
  <c r="W14" i="320"/>
  <c r="W13" i="320"/>
  <c r="W12" i="320"/>
  <c r="W11" i="320"/>
  <c r="W10" i="320"/>
  <c r="W9" i="320"/>
  <c r="W8" i="320"/>
  <c r="W7" i="320"/>
  <c r="W6" i="320"/>
  <c r="W5" i="320"/>
  <c r="W4" i="320"/>
  <c r="V90" i="320"/>
  <c r="V89" i="320"/>
  <c r="V88" i="320"/>
  <c r="V87" i="320"/>
  <c r="V86" i="320"/>
  <c r="V85" i="320"/>
  <c r="V84" i="320"/>
  <c r="V83" i="320"/>
  <c r="V82" i="320"/>
  <c r="V81" i="320"/>
  <c r="V80" i="320"/>
  <c r="V79" i="320"/>
  <c r="V78" i="320"/>
  <c r="V77" i="320"/>
  <c r="V76" i="320"/>
  <c r="V75" i="320"/>
  <c r="V74" i="320"/>
  <c r="V73" i="320"/>
  <c r="V72" i="320"/>
  <c r="V71" i="320"/>
  <c r="V70" i="320"/>
  <c r="V69" i="320"/>
  <c r="V68" i="320"/>
  <c r="V67" i="320"/>
  <c r="V66" i="320"/>
  <c r="V65" i="320"/>
  <c r="V64" i="320"/>
  <c r="V63" i="320"/>
  <c r="V62" i="320"/>
  <c r="V61" i="320"/>
  <c r="V60" i="320"/>
  <c r="V59" i="320"/>
  <c r="V58" i="320"/>
  <c r="V57" i="320"/>
  <c r="V56" i="320"/>
  <c r="V55" i="320"/>
  <c r="V54" i="320"/>
  <c r="V53" i="320"/>
  <c r="V52" i="320"/>
  <c r="V51" i="320"/>
  <c r="V50" i="320"/>
  <c r="V49" i="320"/>
  <c r="V48" i="320"/>
  <c r="V47" i="320"/>
  <c r="V46" i="320"/>
  <c r="V45" i="320"/>
  <c r="V44" i="320"/>
  <c r="V43" i="320"/>
  <c r="V42" i="320"/>
  <c r="V41" i="320"/>
  <c r="V40" i="320"/>
  <c r="V39" i="320"/>
  <c r="V38" i="320"/>
  <c r="V37" i="320"/>
  <c r="V36" i="320"/>
  <c r="V35" i="320"/>
  <c r="V34" i="320"/>
  <c r="V33" i="320"/>
  <c r="V32" i="320"/>
  <c r="V31" i="320"/>
  <c r="V30" i="320"/>
  <c r="V29" i="320"/>
  <c r="V28" i="320"/>
  <c r="V27" i="320"/>
  <c r="V26" i="320"/>
  <c r="V25" i="320"/>
  <c r="V24" i="320"/>
  <c r="V23" i="320"/>
  <c r="V22" i="320"/>
  <c r="V21" i="320"/>
  <c r="V20" i="320"/>
  <c r="V19" i="320"/>
  <c r="V18" i="320"/>
  <c r="V17" i="320"/>
  <c r="V16" i="320"/>
  <c r="V15" i="320"/>
  <c r="V14" i="320"/>
  <c r="V13" i="320"/>
  <c r="V12" i="320"/>
  <c r="V11" i="320"/>
  <c r="V10" i="320"/>
  <c r="V9" i="320"/>
  <c r="V8" i="320"/>
  <c r="V7" i="320"/>
  <c r="V6" i="320"/>
  <c r="V5" i="320"/>
  <c r="V4" i="320"/>
  <c r="U90" i="320"/>
  <c r="U89" i="320"/>
  <c r="U88" i="320"/>
  <c r="U87" i="320"/>
  <c r="U86" i="320"/>
  <c r="U85" i="320"/>
  <c r="U84" i="320"/>
  <c r="U83" i="320"/>
  <c r="U82" i="320"/>
  <c r="U81" i="320"/>
  <c r="U80" i="320"/>
  <c r="U79" i="320"/>
  <c r="U78" i="320"/>
  <c r="U77" i="320"/>
  <c r="U76" i="320"/>
  <c r="U75" i="320"/>
  <c r="U74" i="320"/>
  <c r="U73" i="320"/>
  <c r="U72" i="320"/>
  <c r="U71" i="320"/>
  <c r="U70" i="320"/>
  <c r="U69" i="320"/>
  <c r="U68" i="320"/>
  <c r="U67" i="320"/>
  <c r="U66" i="320"/>
  <c r="U65" i="320"/>
  <c r="U64" i="320"/>
  <c r="U63" i="320"/>
  <c r="U62" i="320"/>
  <c r="U61" i="320"/>
  <c r="U60" i="320"/>
  <c r="U59" i="320"/>
  <c r="U58" i="320"/>
  <c r="U57" i="320"/>
  <c r="U56" i="320"/>
  <c r="U55" i="320"/>
  <c r="U54" i="320"/>
  <c r="U53" i="320"/>
  <c r="U52" i="320"/>
  <c r="U51" i="320"/>
  <c r="U50" i="320"/>
  <c r="U49" i="320"/>
  <c r="U48" i="320"/>
  <c r="U47" i="320"/>
  <c r="U46" i="320"/>
  <c r="U45" i="320"/>
  <c r="U44" i="320"/>
  <c r="U43" i="320"/>
  <c r="U42" i="320"/>
  <c r="U41" i="320"/>
  <c r="U40" i="320"/>
  <c r="U39" i="320"/>
  <c r="U38" i="320"/>
  <c r="U37" i="320"/>
  <c r="U36" i="320"/>
  <c r="U35" i="320"/>
  <c r="U34" i="320"/>
  <c r="U33" i="320"/>
  <c r="U32" i="320"/>
  <c r="U31" i="320"/>
  <c r="U30" i="320"/>
  <c r="U29" i="320"/>
  <c r="U28" i="320"/>
  <c r="U27" i="320"/>
  <c r="U26" i="320"/>
  <c r="U25" i="320"/>
  <c r="U24" i="320"/>
  <c r="U23" i="320"/>
  <c r="U22" i="320"/>
  <c r="U21" i="320"/>
  <c r="U20" i="320"/>
  <c r="U19" i="320"/>
  <c r="U18" i="320"/>
  <c r="U17" i="320"/>
  <c r="U16" i="320"/>
  <c r="U15" i="320"/>
  <c r="U14" i="320"/>
  <c r="U13" i="320"/>
  <c r="U12" i="320"/>
  <c r="U11" i="320"/>
  <c r="U10" i="320"/>
  <c r="U9" i="320"/>
  <c r="U8" i="320"/>
  <c r="U7" i="320"/>
  <c r="U6" i="320"/>
  <c r="U5" i="320"/>
  <c r="U4" i="320"/>
  <c r="J90" i="320"/>
  <c r="J89" i="320"/>
  <c r="J88" i="320"/>
  <c r="J87" i="320"/>
  <c r="J86" i="320"/>
  <c r="J85" i="320"/>
  <c r="J84" i="320"/>
  <c r="J83" i="320"/>
  <c r="J82" i="320"/>
  <c r="J81" i="320"/>
  <c r="J80" i="320"/>
  <c r="J79" i="320"/>
  <c r="J78" i="320"/>
  <c r="J77" i="320"/>
  <c r="J76" i="320"/>
  <c r="J75" i="320"/>
  <c r="J74" i="320"/>
  <c r="J73" i="320"/>
  <c r="J72" i="320"/>
  <c r="J71" i="320"/>
  <c r="J70" i="320"/>
  <c r="J69" i="320"/>
  <c r="J68" i="320"/>
  <c r="J67" i="320"/>
  <c r="J66" i="320"/>
  <c r="J65" i="320"/>
  <c r="J64" i="320"/>
  <c r="J63" i="320"/>
  <c r="J62" i="320"/>
  <c r="J61" i="320"/>
  <c r="J60" i="320"/>
  <c r="J59" i="320"/>
  <c r="J58" i="320"/>
  <c r="J57" i="320"/>
  <c r="J56" i="320"/>
  <c r="J55" i="320"/>
  <c r="J54" i="320"/>
  <c r="J53" i="320"/>
  <c r="J52" i="320"/>
  <c r="J51" i="320"/>
  <c r="J50" i="320"/>
  <c r="J49" i="320"/>
  <c r="J48" i="320"/>
  <c r="J47" i="320"/>
  <c r="J46" i="320"/>
  <c r="J45" i="320"/>
  <c r="J44" i="320"/>
  <c r="J43" i="320"/>
  <c r="J42" i="320"/>
  <c r="J41" i="320"/>
  <c r="J40" i="320"/>
  <c r="J39" i="320"/>
  <c r="J38" i="320"/>
  <c r="J37" i="320"/>
  <c r="J36" i="320"/>
  <c r="J35" i="320"/>
  <c r="J34" i="320"/>
  <c r="J33" i="320"/>
  <c r="J32" i="320"/>
  <c r="J31" i="320"/>
  <c r="J30" i="320"/>
  <c r="J29" i="320"/>
  <c r="J28" i="320"/>
  <c r="J27" i="320"/>
  <c r="J26" i="320"/>
  <c r="J25" i="320"/>
  <c r="J24" i="320"/>
  <c r="J23" i="320"/>
  <c r="J22" i="320"/>
  <c r="J21" i="320"/>
  <c r="J20" i="320"/>
  <c r="J19" i="320"/>
  <c r="J18" i="320"/>
  <c r="J17" i="320"/>
  <c r="J16" i="320"/>
  <c r="J15" i="320"/>
  <c r="J14" i="320"/>
  <c r="J13" i="320"/>
  <c r="J12" i="320"/>
  <c r="J11" i="320"/>
  <c r="J10" i="320"/>
  <c r="J9" i="320"/>
  <c r="J8" i="320"/>
  <c r="J7" i="320"/>
  <c r="J6" i="320"/>
  <c r="J5" i="320"/>
  <c r="J4" i="320"/>
  <c r="I90" i="320"/>
  <c r="I89" i="320"/>
  <c r="I88" i="320"/>
  <c r="I87" i="320"/>
  <c r="I86" i="320"/>
  <c r="I85" i="320"/>
  <c r="I84" i="320"/>
  <c r="I83" i="320"/>
  <c r="I82" i="320"/>
  <c r="I81" i="320"/>
  <c r="I80" i="320"/>
  <c r="I79" i="320"/>
  <c r="I78" i="320"/>
  <c r="I77" i="320"/>
  <c r="I76" i="320"/>
  <c r="I75" i="320"/>
  <c r="I74" i="320"/>
  <c r="I73" i="320"/>
  <c r="I72" i="320"/>
  <c r="I71" i="320"/>
  <c r="I70" i="320"/>
  <c r="I69" i="320"/>
  <c r="I68" i="320"/>
  <c r="I67" i="320"/>
  <c r="I66" i="320"/>
  <c r="I65" i="320"/>
  <c r="I64" i="320"/>
  <c r="I63" i="320"/>
  <c r="I62" i="320"/>
  <c r="I61" i="320"/>
  <c r="I60" i="320"/>
  <c r="I59" i="320"/>
  <c r="I58" i="320"/>
  <c r="I57" i="320"/>
  <c r="I56" i="320"/>
  <c r="I55" i="320"/>
  <c r="I54" i="320"/>
  <c r="I53" i="320"/>
  <c r="I52" i="320"/>
  <c r="I51" i="320"/>
  <c r="I50" i="320"/>
  <c r="I49" i="320"/>
  <c r="I48" i="320"/>
  <c r="I47" i="320"/>
  <c r="I46" i="320"/>
  <c r="I45" i="320"/>
  <c r="I44" i="320"/>
  <c r="I43" i="320"/>
  <c r="I42" i="320"/>
  <c r="I41" i="320"/>
  <c r="I40" i="320"/>
  <c r="I39" i="320"/>
  <c r="I38" i="320"/>
  <c r="I37" i="320"/>
  <c r="I36" i="320"/>
  <c r="I35" i="320"/>
  <c r="I34" i="320"/>
  <c r="I33" i="320"/>
  <c r="I32" i="320"/>
  <c r="I31" i="320"/>
  <c r="I30" i="320"/>
  <c r="I29" i="320"/>
  <c r="I28" i="320"/>
  <c r="I27" i="320"/>
  <c r="I26" i="320"/>
  <c r="I25" i="320"/>
  <c r="I24" i="320"/>
  <c r="I23" i="320"/>
  <c r="I22" i="320"/>
  <c r="I21" i="320"/>
  <c r="I20" i="320"/>
  <c r="I19" i="320"/>
  <c r="I18" i="320"/>
  <c r="I17" i="320"/>
  <c r="I16" i="320"/>
  <c r="I15" i="320"/>
  <c r="I14" i="320"/>
  <c r="I13" i="320"/>
  <c r="I12" i="320"/>
  <c r="I11" i="320"/>
  <c r="I10" i="320"/>
  <c r="I9" i="320"/>
  <c r="I8" i="320"/>
  <c r="I7" i="320"/>
  <c r="I6" i="320"/>
  <c r="I5" i="320"/>
  <c r="I4" i="320"/>
  <c r="H90" i="320"/>
  <c r="H89" i="320"/>
  <c r="H88" i="320"/>
  <c r="H87" i="320"/>
  <c r="H86" i="320"/>
  <c r="H85" i="320"/>
  <c r="H84" i="320"/>
  <c r="H83" i="320"/>
  <c r="H82" i="320"/>
  <c r="H81" i="320"/>
  <c r="H80" i="320"/>
  <c r="H79" i="320"/>
  <c r="H78" i="320"/>
  <c r="H77" i="320"/>
  <c r="H76" i="320"/>
  <c r="H75" i="320"/>
  <c r="H74" i="320"/>
  <c r="H73" i="320"/>
  <c r="H72" i="320"/>
  <c r="H71" i="320"/>
  <c r="H70" i="320"/>
  <c r="H69" i="320"/>
  <c r="H68" i="320"/>
  <c r="H67" i="320"/>
  <c r="H66" i="320"/>
  <c r="H65" i="320"/>
  <c r="H64" i="320"/>
  <c r="H63" i="320"/>
  <c r="H62" i="320"/>
  <c r="H61" i="320"/>
  <c r="H60" i="320"/>
  <c r="H59" i="320"/>
  <c r="H58" i="320"/>
  <c r="H57" i="320"/>
  <c r="H56" i="320"/>
  <c r="H55" i="320"/>
  <c r="H54" i="320"/>
  <c r="H53" i="320"/>
  <c r="H52" i="320"/>
  <c r="H51" i="320"/>
  <c r="H50" i="320"/>
  <c r="H49" i="320"/>
  <c r="H48" i="320"/>
  <c r="H47" i="320"/>
  <c r="H46" i="320"/>
  <c r="H45" i="320"/>
  <c r="H44" i="320"/>
  <c r="H43" i="320"/>
  <c r="H42" i="320"/>
  <c r="H41" i="320"/>
  <c r="H40" i="320"/>
  <c r="H39" i="320"/>
  <c r="H38" i="320"/>
  <c r="H37" i="320"/>
  <c r="H36" i="320"/>
  <c r="H35" i="320"/>
  <c r="H34" i="320"/>
  <c r="H33" i="320"/>
  <c r="H32" i="320"/>
  <c r="H31" i="320"/>
  <c r="H30" i="320"/>
  <c r="H29" i="320"/>
  <c r="H28" i="320"/>
  <c r="H27" i="320"/>
  <c r="H26" i="320"/>
  <c r="H25" i="320"/>
  <c r="H24" i="320"/>
  <c r="H23" i="320"/>
  <c r="H22" i="320"/>
  <c r="H21" i="320"/>
  <c r="H20" i="320"/>
  <c r="H19" i="320"/>
  <c r="H18" i="320"/>
  <c r="H17" i="320"/>
  <c r="H16" i="320"/>
  <c r="H15" i="320"/>
  <c r="H14" i="320"/>
  <c r="H13" i="320"/>
  <c r="H12" i="320"/>
  <c r="H11" i="320"/>
  <c r="H10" i="320"/>
  <c r="H9" i="320"/>
  <c r="H8" i="320"/>
  <c r="H7" i="320"/>
  <c r="H6" i="320"/>
  <c r="H5" i="320"/>
  <c r="H4" i="320"/>
  <c r="G90" i="320"/>
  <c r="G89" i="320"/>
  <c r="G88" i="320"/>
  <c r="G87" i="320"/>
  <c r="G86" i="320"/>
  <c r="G85" i="320"/>
  <c r="G84" i="320"/>
  <c r="G83" i="320"/>
  <c r="G82" i="320"/>
  <c r="G81" i="320"/>
  <c r="G80" i="320"/>
  <c r="G79" i="320"/>
  <c r="G78" i="320"/>
  <c r="G77" i="320"/>
  <c r="G76" i="320"/>
  <c r="G75" i="320"/>
  <c r="G74" i="320"/>
  <c r="G73" i="320"/>
  <c r="G72" i="320"/>
  <c r="G71" i="320"/>
  <c r="G70" i="320"/>
  <c r="G69" i="320"/>
  <c r="G68" i="320"/>
  <c r="G67" i="320"/>
  <c r="G66" i="320"/>
  <c r="G65" i="320"/>
  <c r="G64" i="320"/>
  <c r="G63" i="320"/>
  <c r="G62" i="320"/>
  <c r="G61" i="320"/>
  <c r="G60" i="320"/>
  <c r="G59" i="320"/>
  <c r="G58" i="320"/>
  <c r="G57" i="320"/>
  <c r="G56" i="320"/>
  <c r="G55" i="320"/>
  <c r="G54" i="320"/>
  <c r="G53" i="320"/>
  <c r="G52" i="320"/>
  <c r="G51" i="320"/>
  <c r="G50" i="320"/>
  <c r="G49" i="320"/>
  <c r="G48" i="320"/>
  <c r="G47" i="320"/>
  <c r="G46" i="320"/>
  <c r="G45" i="320"/>
  <c r="G44" i="320"/>
  <c r="G43" i="320"/>
  <c r="G42" i="320"/>
  <c r="G41" i="320"/>
  <c r="G40" i="320"/>
  <c r="G39" i="320"/>
  <c r="G38" i="320"/>
  <c r="G37" i="320"/>
  <c r="G36" i="320"/>
  <c r="G35" i="320"/>
  <c r="G34" i="320"/>
  <c r="G33" i="320"/>
  <c r="G32" i="320"/>
  <c r="G31" i="320"/>
  <c r="G30" i="320"/>
  <c r="G29" i="320"/>
  <c r="G28" i="320"/>
  <c r="G27" i="320"/>
  <c r="G26" i="320"/>
  <c r="G25" i="320"/>
  <c r="G24" i="320"/>
  <c r="G23" i="320"/>
  <c r="G22" i="320"/>
  <c r="G21" i="320"/>
  <c r="G20" i="320"/>
  <c r="G19" i="320"/>
  <c r="G18" i="320"/>
  <c r="G17" i="320"/>
  <c r="G16" i="320"/>
  <c r="G15" i="320"/>
  <c r="G14" i="320"/>
  <c r="G13" i="320"/>
  <c r="G12" i="320"/>
  <c r="G11" i="320"/>
  <c r="G10" i="320"/>
  <c r="G9" i="320"/>
  <c r="G8" i="320"/>
  <c r="G7" i="320"/>
  <c r="G6" i="320"/>
  <c r="G5" i="320"/>
  <c r="G4" i="320"/>
  <c r="F90" i="320"/>
  <c r="F89" i="320"/>
  <c r="F88" i="320"/>
  <c r="F87" i="320"/>
  <c r="F86" i="320"/>
  <c r="F85" i="320"/>
  <c r="F84" i="320"/>
  <c r="F83" i="320"/>
  <c r="F82" i="320"/>
  <c r="F81" i="320"/>
  <c r="F80" i="320"/>
  <c r="F79" i="320"/>
  <c r="F78" i="320"/>
  <c r="F77" i="320"/>
  <c r="F76" i="320"/>
  <c r="F75" i="320"/>
  <c r="F74" i="320"/>
  <c r="F73" i="320"/>
  <c r="F72" i="320"/>
  <c r="F71" i="320"/>
  <c r="F70" i="320"/>
  <c r="F69" i="320"/>
  <c r="F68" i="320"/>
  <c r="F67" i="320"/>
  <c r="F66" i="320"/>
  <c r="F65" i="320"/>
  <c r="F64" i="320"/>
  <c r="F63" i="320"/>
  <c r="F62" i="320"/>
  <c r="F61" i="320"/>
  <c r="F60" i="320"/>
  <c r="F59" i="320"/>
  <c r="F58" i="320"/>
  <c r="F57" i="320"/>
  <c r="F56" i="320"/>
  <c r="F55" i="320"/>
  <c r="F54" i="320"/>
  <c r="F53" i="320"/>
  <c r="F52" i="320"/>
  <c r="F51" i="320"/>
  <c r="F50" i="320"/>
  <c r="F49" i="320"/>
  <c r="F48" i="320"/>
  <c r="F47" i="320"/>
  <c r="F46" i="320"/>
  <c r="F45" i="320"/>
  <c r="F44" i="320"/>
  <c r="F43" i="320"/>
  <c r="F42" i="320"/>
  <c r="F41" i="320"/>
  <c r="F40" i="320"/>
  <c r="F39" i="320"/>
  <c r="F38" i="320"/>
  <c r="F37" i="320"/>
  <c r="F36" i="320"/>
  <c r="F35" i="320"/>
  <c r="F34" i="320"/>
  <c r="F33" i="320"/>
  <c r="F32" i="320"/>
  <c r="F31" i="320"/>
  <c r="F30" i="320"/>
  <c r="F29" i="320"/>
  <c r="F28" i="320"/>
  <c r="F27" i="320"/>
  <c r="F26" i="320"/>
  <c r="F25" i="320"/>
  <c r="F24" i="320"/>
  <c r="F23" i="320"/>
  <c r="F22" i="320"/>
  <c r="F21" i="320"/>
  <c r="F20" i="320"/>
  <c r="F19" i="320"/>
  <c r="F18" i="320"/>
  <c r="F17" i="320"/>
  <c r="F16" i="320"/>
  <c r="F15" i="320"/>
  <c r="F14" i="320"/>
  <c r="F13" i="320"/>
  <c r="F12" i="320"/>
  <c r="F11" i="320"/>
  <c r="F10" i="320"/>
  <c r="F9" i="320"/>
  <c r="F8" i="320"/>
  <c r="F7" i="320"/>
  <c r="F6" i="320"/>
  <c r="F5" i="320"/>
  <c r="F4" i="320"/>
  <c r="E90" i="320"/>
  <c r="E89" i="320"/>
  <c r="E88" i="320"/>
  <c r="E87" i="320"/>
  <c r="E86" i="320"/>
  <c r="E85" i="320"/>
  <c r="E84" i="320"/>
  <c r="E83" i="320"/>
  <c r="E82" i="320"/>
  <c r="E81" i="320"/>
  <c r="E80" i="320"/>
  <c r="E79" i="320"/>
  <c r="E78" i="320"/>
  <c r="E77" i="320"/>
  <c r="E76" i="320"/>
  <c r="E75" i="320"/>
  <c r="E74" i="320"/>
  <c r="E73" i="320"/>
  <c r="E72" i="320"/>
  <c r="E71" i="320"/>
  <c r="E70" i="320"/>
  <c r="E69" i="320"/>
  <c r="E68" i="320"/>
  <c r="E67" i="320"/>
  <c r="E66" i="320"/>
  <c r="E65" i="320"/>
  <c r="E64" i="320"/>
  <c r="E63" i="320"/>
  <c r="E62" i="320"/>
  <c r="E61" i="320"/>
  <c r="E60" i="320"/>
  <c r="E59" i="320"/>
  <c r="E58" i="320"/>
  <c r="E57" i="320"/>
  <c r="E56" i="320"/>
  <c r="E55" i="320"/>
  <c r="E54" i="320"/>
  <c r="E53" i="320"/>
  <c r="E52" i="320"/>
  <c r="E51" i="320"/>
  <c r="E50" i="320"/>
  <c r="E49" i="320"/>
  <c r="E48" i="320"/>
  <c r="E47" i="320"/>
  <c r="E46" i="320"/>
  <c r="E45" i="320"/>
  <c r="E44" i="320"/>
  <c r="E43" i="320"/>
  <c r="E42" i="320"/>
  <c r="E41" i="320"/>
  <c r="E40" i="320"/>
  <c r="E39" i="320"/>
  <c r="E38" i="320"/>
  <c r="E37" i="320"/>
  <c r="E36" i="320"/>
  <c r="E35" i="320"/>
  <c r="E34" i="320"/>
  <c r="E33" i="320"/>
  <c r="E32" i="320"/>
  <c r="E31" i="320"/>
  <c r="E30" i="320"/>
  <c r="E29" i="320"/>
  <c r="E28" i="320"/>
  <c r="E27" i="320"/>
  <c r="E26" i="320"/>
  <c r="E25" i="320"/>
  <c r="E24" i="320"/>
  <c r="E23" i="320"/>
  <c r="E22" i="320"/>
  <c r="E21" i="320"/>
  <c r="E20" i="320"/>
  <c r="E19" i="320"/>
  <c r="E18" i="320"/>
  <c r="E17" i="320"/>
  <c r="E16" i="320"/>
  <c r="E15" i="320"/>
  <c r="E14" i="320"/>
  <c r="E13" i="320"/>
  <c r="E12" i="320"/>
  <c r="E11" i="320"/>
  <c r="E10" i="320"/>
  <c r="E9" i="320"/>
  <c r="E8" i="320"/>
  <c r="E7" i="320"/>
  <c r="E6" i="320"/>
  <c r="E5" i="320"/>
  <c r="E4" i="320"/>
  <c r="D90" i="320"/>
  <c r="D89" i="320"/>
  <c r="D88" i="320"/>
  <c r="D87" i="320"/>
  <c r="D86" i="320"/>
  <c r="D85" i="320"/>
  <c r="D84" i="320"/>
  <c r="D83" i="320"/>
  <c r="D82" i="320"/>
  <c r="D81" i="320"/>
  <c r="D80" i="320"/>
  <c r="D79" i="320"/>
  <c r="D78" i="320"/>
  <c r="D77" i="320"/>
  <c r="D76" i="320"/>
  <c r="D75" i="320"/>
  <c r="D74" i="320"/>
  <c r="D73" i="320"/>
  <c r="D72" i="320"/>
  <c r="D71" i="320"/>
  <c r="D70" i="320"/>
  <c r="D69" i="320"/>
  <c r="D68" i="320"/>
  <c r="D67" i="320"/>
  <c r="D66" i="320"/>
  <c r="D65" i="320"/>
  <c r="D64" i="320"/>
  <c r="D63" i="320"/>
  <c r="D62" i="320"/>
  <c r="D61" i="320"/>
  <c r="D60" i="320"/>
  <c r="D59" i="320"/>
  <c r="D58" i="320"/>
  <c r="D57" i="320"/>
  <c r="D56" i="320"/>
  <c r="D55" i="320"/>
  <c r="D54" i="320"/>
  <c r="D53" i="320"/>
  <c r="D52" i="320"/>
  <c r="D51" i="320"/>
  <c r="D50" i="320"/>
  <c r="D49" i="320"/>
  <c r="D48" i="320"/>
  <c r="D47" i="320"/>
  <c r="D46" i="320"/>
  <c r="D45" i="320"/>
  <c r="D44" i="320"/>
  <c r="D43" i="320"/>
  <c r="D42" i="320"/>
  <c r="D41" i="320"/>
  <c r="D40" i="320"/>
  <c r="D39" i="320"/>
  <c r="D38" i="320"/>
  <c r="D37" i="320"/>
  <c r="D36" i="320"/>
  <c r="D35" i="320"/>
  <c r="D34" i="320"/>
  <c r="D33" i="320"/>
  <c r="D32" i="320"/>
  <c r="D31" i="320"/>
  <c r="D30" i="320"/>
  <c r="D29" i="320"/>
  <c r="D28" i="320"/>
  <c r="D27" i="320"/>
  <c r="D26" i="320"/>
  <c r="D25" i="320"/>
  <c r="D24" i="320"/>
  <c r="D23" i="320"/>
  <c r="D22" i="320"/>
  <c r="D21" i="320"/>
  <c r="D20" i="320"/>
  <c r="D19" i="320"/>
  <c r="D18" i="320"/>
  <c r="D17" i="320"/>
  <c r="D16" i="320"/>
  <c r="D15" i="320"/>
  <c r="D14" i="320"/>
  <c r="D13" i="320"/>
  <c r="D12" i="320"/>
  <c r="D11" i="320"/>
  <c r="D10" i="320"/>
  <c r="D9" i="320"/>
  <c r="D8" i="320"/>
  <c r="D7" i="320"/>
  <c r="D6" i="320"/>
  <c r="D5" i="320"/>
  <c r="D4" i="320"/>
  <c r="C90" i="320"/>
  <c r="C89" i="320"/>
  <c r="C88" i="320"/>
  <c r="C87" i="320"/>
  <c r="C86" i="320"/>
  <c r="C85" i="320"/>
  <c r="C84" i="320"/>
  <c r="C83" i="320"/>
  <c r="C82" i="320"/>
  <c r="C81" i="320"/>
  <c r="C80" i="320"/>
  <c r="C79" i="320"/>
  <c r="C78" i="320"/>
  <c r="C77" i="320"/>
  <c r="C76" i="320"/>
  <c r="C75" i="320"/>
  <c r="C74" i="320"/>
  <c r="C73" i="320"/>
  <c r="C72" i="320"/>
  <c r="C71" i="320"/>
  <c r="C70" i="320"/>
  <c r="C69" i="320"/>
  <c r="C68" i="320"/>
  <c r="C67" i="320"/>
  <c r="C66" i="320"/>
  <c r="C65" i="320"/>
  <c r="C64" i="320"/>
  <c r="C63" i="320"/>
  <c r="C62" i="320"/>
  <c r="C61" i="320"/>
  <c r="C60" i="320"/>
  <c r="C59" i="320"/>
  <c r="C58" i="320"/>
  <c r="C57" i="320"/>
  <c r="C56" i="320"/>
  <c r="C55" i="320"/>
  <c r="C54" i="320"/>
  <c r="C53" i="320"/>
  <c r="C52" i="320"/>
  <c r="C51" i="320"/>
  <c r="C50" i="320"/>
  <c r="C49" i="320"/>
  <c r="C48" i="320"/>
  <c r="C47" i="320"/>
  <c r="C46" i="320"/>
  <c r="C45" i="320"/>
  <c r="C44" i="320"/>
  <c r="C43" i="320"/>
  <c r="C42" i="320"/>
  <c r="C41" i="320"/>
  <c r="C40" i="320"/>
  <c r="C39" i="320"/>
  <c r="C38" i="320"/>
  <c r="C37" i="320"/>
  <c r="C36" i="320"/>
  <c r="C35" i="320"/>
  <c r="C34" i="320"/>
  <c r="C33" i="320"/>
  <c r="C32" i="320"/>
  <c r="C31" i="320"/>
  <c r="C30" i="320"/>
  <c r="C29" i="320"/>
  <c r="C28" i="320"/>
  <c r="C27" i="320"/>
  <c r="C26" i="320"/>
  <c r="C25" i="320"/>
  <c r="C24" i="320"/>
  <c r="C23" i="320"/>
  <c r="C22" i="320"/>
  <c r="C21" i="320"/>
  <c r="C20" i="320"/>
  <c r="C19" i="320"/>
  <c r="C18" i="320"/>
  <c r="C17" i="320"/>
  <c r="C16" i="320"/>
  <c r="C15" i="320"/>
  <c r="C14" i="320"/>
  <c r="C13" i="320"/>
  <c r="C12" i="320"/>
  <c r="C11" i="320"/>
  <c r="C10" i="320"/>
  <c r="C9" i="320"/>
  <c r="C8" i="320"/>
  <c r="C7" i="320"/>
  <c r="C6" i="320"/>
  <c r="C5" i="320"/>
  <c r="C4" i="320"/>
  <c r="B90" i="320"/>
  <c r="B89" i="320"/>
  <c r="B88" i="320"/>
  <c r="B87" i="320"/>
  <c r="B86" i="320"/>
  <c r="B85" i="320"/>
  <c r="B84" i="320"/>
  <c r="B83" i="320"/>
  <c r="B82" i="320"/>
  <c r="B81" i="320"/>
  <c r="B80" i="320"/>
  <c r="B79" i="320"/>
  <c r="B78" i="320"/>
  <c r="B77" i="320"/>
  <c r="B76" i="320"/>
  <c r="B75" i="320"/>
  <c r="B74" i="320"/>
  <c r="B73" i="320"/>
  <c r="B72" i="320"/>
  <c r="B71" i="320"/>
  <c r="B70" i="320"/>
  <c r="B69" i="320"/>
  <c r="B68" i="320"/>
  <c r="B67" i="320"/>
  <c r="B66" i="320"/>
  <c r="B65" i="320"/>
  <c r="B64" i="320"/>
  <c r="B63" i="320"/>
  <c r="B62" i="320"/>
  <c r="B61" i="320"/>
  <c r="B60" i="320"/>
  <c r="B59" i="320"/>
  <c r="B58" i="320"/>
  <c r="B57" i="320"/>
  <c r="B56" i="320"/>
  <c r="B55" i="320"/>
  <c r="B54" i="320"/>
  <c r="B53" i="320"/>
  <c r="B52" i="320"/>
  <c r="B51" i="320"/>
  <c r="B50" i="320"/>
  <c r="B49" i="320"/>
  <c r="B48" i="320"/>
  <c r="B47" i="320"/>
  <c r="B46" i="320"/>
  <c r="B45" i="320"/>
  <c r="B44" i="320"/>
  <c r="B43" i="320"/>
  <c r="B42" i="320"/>
  <c r="B41" i="320"/>
  <c r="B40" i="320"/>
  <c r="B39" i="320"/>
  <c r="B38" i="320"/>
  <c r="B37" i="320"/>
  <c r="B36" i="320"/>
  <c r="B35" i="320"/>
  <c r="B34" i="320"/>
  <c r="B33" i="320"/>
  <c r="B32" i="320"/>
  <c r="B31" i="320"/>
  <c r="B30" i="320"/>
  <c r="B29" i="320"/>
  <c r="B28" i="320"/>
  <c r="B27" i="320"/>
  <c r="B26" i="320"/>
  <c r="B25" i="320"/>
  <c r="B24" i="320"/>
  <c r="B23" i="320"/>
  <c r="B22" i="320"/>
  <c r="B21" i="320"/>
  <c r="B20" i="320"/>
  <c r="B19" i="320"/>
  <c r="B18" i="320"/>
  <c r="B17" i="320"/>
  <c r="B16" i="320"/>
  <c r="B15" i="320"/>
  <c r="B14" i="320"/>
  <c r="B13" i="320"/>
  <c r="B12" i="320"/>
  <c r="B11" i="320"/>
  <c r="B10" i="320"/>
  <c r="B9" i="320"/>
  <c r="B8" i="320"/>
  <c r="B7" i="320"/>
  <c r="B6" i="320"/>
  <c r="B5" i="320"/>
  <c r="B4" i="320"/>
  <c r="O9" i="238" l="1"/>
  <c r="I11" i="238"/>
  <c r="J12" i="238" s="1"/>
  <c r="K13" i="238" s="1"/>
  <c r="M10" i="238"/>
  <c r="N10" i="238" s="1"/>
  <c r="O10" i="238" s="1"/>
  <c r="K15" i="238"/>
  <c r="K14" i="238"/>
  <c r="W91" i="25"/>
  <c r="P9" i="238" l="1"/>
  <c r="J11" i="238"/>
  <c r="L15" i="238"/>
  <c r="L14" i="238"/>
  <c r="P10" i="238"/>
  <c r="Q10" i="238" s="1"/>
  <c r="Q9" i="238" l="1"/>
  <c r="K12" i="238"/>
  <c r="L13" i="238" s="1"/>
  <c r="M14" i="238" s="1"/>
  <c r="K11" i="238"/>
  <c r="M15" i="238"/>
  <c r="B88" i="275"/>
  <c r="B88" i="276"/>
  <c r="B88" i="277"/>
  <c r="B88" i="278"/>
  <c r="B88" i="279"/>
  <c r="B88" i="280"/>
  <c r="B88" i="281"/>
  <c r="B88" i="282"/>
  <c r="B88" i="283"/>
  <c r="B88" i="284"/>
  <c r="B88" i="285"/>
  <c r="B88" i="286"/>
  <c r="B88" i="287"/>
  <c r="B88" i="288"/>
  <c r="B88" i="289"/>
  <c r="B88" i="290"/>
  <c r="B88" i="291"/>
  <c r="B88" i="292"/>
  <c r="B88" i="293"/>
  <c r="B88" i="294"/>
  <c r="B88" i="295"/>
  <c r="B88" i="296"/>
  <c r="B88" i="297"/>
  <c r="B88" i="298"/>
  <c r="B88" i="299"/>
  <c r="B88" i="300"/>
  <c r="B88" i="301"/>
  <c r="B88" i="302"/>
  <c r="B88" i="303"/>
  <c r="B88" i="304"/>
  <c r="B88" i="305"/>
  <c r="B88" i="306"/>
  <c r="B88" i="307"/>
  <c r="B88" i="308"/>
  <c r="B88" i="309"/>
  <c r="B88" i="310"/>
  <c r="B88" i="311"/>
  <c r="B88" i="312"/>
  <c r="B88" i="313"/>
  <c r="B88" i="314"/>
  <c r="B88" i="315"/>
  <c r="B88" i="316"/>
  <c r="B88" i="274"/>
  <c r="B88" i="273"/>
  <c r="B88" i="260"/>
  <c r="B88" i="261"/>
  <c r="B88" i="262"/>
  <c r="B88" i="263"/>
  <c r="B88" i="264"/>
  <c r="B88" i="265"/>
  <c r="B88" i="266"/>
  <c r="B88" i="267"/>
  <c r="B88" i="268"/>
  <c r="B88" i="269"/>
  <c r="B88" i="270"/>
  <c r="B88" i="271"/>
  <c r="B88" i="272"/>
  <c r="B88" i="259"/>
  <c r="B88" i="239"/>
  <c r="B88" i="240"/>
  <c r="B88" i="241"/>
  <c r="B88" i="242"/>
  <c r="B88" i="243"/>
  <c r="B88" i="244"/>
  <c r="B88" i="245"/>
  <c r="B88" i="246"/>
  <c r="B88" i="247"/>
  <c r="B88" i="248"/>
  <c r="B88" i="249"/>
  <c r="B88" i="250"/>
  <c r="B88" i="251"/>
  <c r="B88" i="252"/>
  <c r="B88" i="253"/>
  <c r="B88" i="254"/>
  <c r="B88" i="255"/>
  <c r="B88" i="256"/>
  <c r="B88" i="257"/>
  <c r="B88" i="258"/>
  <c r="B88" i="237"/>
  <c r="B88" i="233"/>
  <c r="B88" i="234"/>
  <c r="B88" i="235"/>
  <c r="B88" i="236"/>
  <c r="B88" i="232"/>
  <c r="B88" i="231"/>
  <c r="B88" i="230"/>
  <c r="B88" i="229"/>
  <c r="R9" i="238" l="1"/>
  <c r="L12" i="238"/>
  <c r="M13" i="238" s="1"/>
  <c r="L11" i="238"/>
  <c r="R10" i="238"/>
  <c r="N15" i="238"/>
  <c r="N14" i="238"/>
  <c r="S9" i="238" l="1"/>
  <c r="M12" i="238"/>
  <c r="N13" i="238" s="1"/>
  <c r="M11" i="238"/>
  <c r="S10" i="238"/>
  <c r="O15" i="238"/>
  <c r="O14" i="238"/>
  <c r="J192" i="316"/>
  <c r="I192" i="316"/>
  <c r="H192" i="316"/>
  <c r="G192" i="316"/>
  <c r="F192" i="316"/>
  <c r="E192" i="316"/>
  <c r="D192" i="316"/>
  <c r="C192" i="316"/>
  <c r="J192" i="315"/>
  <c r="I192" i="315"/>
  <c r="H192" i="315"/>
  <c r="G192" i="315"/>
  <c r="F192" i="315"/>
  <c r="E192" i="315"/>
  <c r="D192" i="315"/>
  <c r="C192" i="315"/>
  <c r="J192" i="314"/>
  <c r="I192" i="314"/>
  <c r="H192" i="314"/>
  <c r="G192" i="314"/>
  <c r="F192" i="314"/>
  <c r="E192" i="314"/>
  <c r="D192" i="314"/>
  <c r="C192" i="314"/>
  <c r="J192" i="313"/>
  <c r="I192" i="313"/>
  <c r="H192" i="313"/>
  <c r="G192" i="313"/>
  <c r="F192" i="313"/>
  <c r="E192" i="313"/>
  <c r="D192" i="313"/>
  <c r="C192" i="313"/>
  <c r="J192" i="312"/>
  <c r="I192" i="312"/>
  <c r="H192" i="312"/>
  <c r="G192" i="312"/>
  <c r="F192" i="312"/>
  <c r="E192" i="312"/>
  <c r="D192" i="312"/>
  <c r="C192" i="312"/>
  <c r="J192" i="311"/>
  <c r="I192" i="311"/>
  <c r="H192" i="311"/>
  <c r="G192" i="311"/>
  <c r="F192" i="311"/>
  <c r="E192" i="311"/>
  <c r="D192" i="311"/>
  <c r="C192" i="311"/>
  <c r="J192" i="310"/>
  <c r="I192" i="310"/>
  <c r="H192" i="310"/>
  <c r="G192" i="310"/>
  <c r="F192" i="310"/>
  <c r="E192" i="310"/>
  <c r="D192" i="310"/>
  <c r="C192" i="310"/>
  <c r="J192" i="309"/>
  <c r="I192" i="309"/>
  <c r="H192" i="309"/>
  <c r="G192" i="309"/>
  <c r="F192" i="309"/>
  <c r="E192" i="309"/>
  <c r="D192" i="309"/>
  <c r="C192" i="309"/>
  <c r="J192" i="308"/>
  <c r="I192" i="308"/>
  <c r="H192" i="308"/>
  <c r="G192" i="308"/>
  <c r="F192" i="308"/>
  <c r="E192" i="308"/>
  <c r="D192" i="308"/>
  <c r="C192" i="308"/>
  <c r="J192" i="307"/>
  <c r="I192" i="307"/>
  <c r="H192" i="307"/>
  <c r="G192" i="307"/>
  <c r="F192" i="307"/>
  <c r="E192" i="307"/>
  <c r="D192" i="307"/>
  <c r="C192" i="307"/>
  <c r="J192" i="306"/>
  <c r="I192" i="306"/>
  <c r="H192" i="306"/>
  <c r="G192" i="306"/>
  <c r="F192" i="306"/>
  <c r="E192" i="306"/>
  <c r="D192" i="306"/>
  <c r="C192" i="306"/>
  <c r="J192" i="305"/>
  <c r="I192" i="305"/>
  <c r="H192" i="305"/>
  <c r="G192" i="305"/>
  <c r="F192" i="305"/>
  <c r="E192" i="305"/>
  <c r="D192" i="305"/>
  <c r="C192" i="305"/>
  <c r="J192" i="304"/>
  <c r="I192" i="304"/>
  <c r="H192" i="304"/>
  <c r="G192" i="304"/>
  <c r="F192" i="304"/>
  <c r="E192" i="304"/>
  <c r="D192" i="304"/>
  <c r="C192" i="304"/>
  <c r="J192" i="303"/>
  <c r="I192" i="303"/>
  <c r="H192" i="303"/>
  <c r="G192" i="303"/>
  <c r="F192" i="303"/>
  <c r="E192" i="303"/>
  <c r="D192" i="303"/>
  <c r="C192" i="303"/>
  <c r="J192" i="302"/>
  <c r="I192" i="302"/>
  <c r="H192" i="302"/>
  <c r="G192" i="302"/>
  <c r="F192" i="302"/>
  <c r="E192" i="302"/>
  <c r="D192" i="302"/>
  <c r="C192" i="302"/>
  <c r="J192" i="301"/>
  <c r="I192" i="301"/>
  <c r="H192" i="301"/>
  <c r="G192" i="301"/>
  <c r="F192" i="301"/>
  <c r="E192" i="301"/>
  <c r="D192" i="301"/>
  <c r="C192" i="301"/>
  <c r="J192" i="300"/>
  <c r="I192" i="300"/>
  <c r="H192" i="300"/>
  <c r="G192" i="300"/>
  <c r="F192" i="300"/>
  <c r="E192" i="300"/>
  <c r="D192" i="300"/>
  <c r="C192" i="300"/>
  <c r="J192" i="299"/>
  <c r="I192" i="299"/>
  <c r="H192" i="299"/>
  <c r="G192" i="299"/>
  <c r="F192" i="299"/>
  <c r="E192" i="299"/>
  <c r="D192" i="299"/>
  <c r="C192" i="299"/>
  <c r="J192" i="298"/>
  <c r="I192" i="298"/>
  <c r="H192" i="298"/>
  <c r="G192" i="298"/>
  <c r="F192" i="298"/>
  <c r="E192" i="298"/>
  <c r="D192" i="298"/>
  <c r="C192" i="298"/>
  <c r="J192" i="297"/>
  <c r="I192" i="297"/>
  <c r="H192" i="297"/>
  <c r="G192" i="297"/>
  <c r="F192" i="297"/>
  <c r="E192" i="297"/>
  <c r="D192" i="297"/>
  <c r="C192" i="297"/>
  <c r="J192" i="296"/>
  <c r="I192" i="296"/>
  <c r="H192" i="296"/>
  <c r="G192" i="296"/>
  <c r="F192" i="296"/>
  <c r="E192" i="296"/>
  <c r="D192" i="296"/>
  <c r="C192" i="296"/>
  <c r="J192" i="295"/>
  <c r="I192" i="295"/>
  <c r="H192" i="295"/>
  <c r="G192" i="295"/>
  <c r="F192" i="295"/>
  <c r="E192" i="295"/>
  <c r="D192" i="295"/>
  <c r="C192" i="295"/>
  <c r="J192" i="294"/>
  <c r="I192" i="294"/>
  <c r="H192" i="294"/>
  <c r="G192" i="294"/>
  <c r="F192" i="294"/>
  <c r="E192" i="294"/>
  <c r="D192" i="294"/>
  <c r="C192" i="294"/>
  <c r="J192" i="293"/>
  <c r="I192" i="293"/>
  <c r="H192" i="293"/>
  <c r="G192" i="293"/>
  <c r="F192" i="293"/>
  <c r="E192" i="293"/>
  <c r="D192" i="293"/>
  <c r="C192" i="293"/>
  <c r="J192" i="292"/>
  <c r="I192" i="292"/>
  <c r="H192" i="292"/>
  <c r="G192" i="292"/>
  <c r="F192" i="292"/>
  <c r="E192" i="292"/>
  <c r="D192" i="292"/>
  <c r="C192" i="292"/>
  <c r="J192" i="291"/>
  <c r="I192" i="291"/>
  <c r="H192" i="291"/>
  <c r="G192" i="291"/>
  <c r="F192" i="291"/>
  <c r="E192" i="291"/>
  <c r="D192" i="291"/>
  <c r="C192" i="291"/>
  <c r="J192" i="290"/>
  <c r="I192" i="290"/>
  <c r="H192" i="290"/>
  <c r="G192" i="290"/>
  <c r="F192" i="290"/>
  <c r="E192" i="290"/>
  <c r="D192" i="290"/>
  <c r="C192" i="290"/>
  <c r="J192" i="289"/>
  <c r="I192" i="289"/>
  <c r="H192" i="289"/>
  <c r="G192" i="289"/>
  <c r="F192" i="289"/>
  <c r="E192" i="289"/>
  <c r="D192" i="289"/>
  <c r="C192" i="289"/>
  <c r="J192" i="288"/>
  <c r="I192" i="288"/>
  <c r="H192" i="288"/>
  <c r="G192" i="288"/>
  <c r="F192" i="288"/>
  <c r="E192" i="288"/>
  <c r="D192" i="288"/>
  <c r="C192" i="288"/>
  <c r="J192" i="287"/>
  <c r="I192" i="287"/>
  <c r="H192" i="287"/>
  <c r="G192" i="287"/>
  <c r="F192" i="287"/>
  <c r="E192" i="287"/>
  <c r="D192" i="287"/>
  <c r="C192" i="287"/>
  <c r="J192" i="286"/>
  <c r="I192" i="286"/>
  <c r="H192" i="286"/>
  <c r="G192" i="286"/>
  <c r="F192" i="286"/>
  <c r="E192" i="286"/>
  <c r="D192" i="286"/>
  <c r="C192" i="286"/>
  <c r="J192" i="285"/>
  <c r="I192" i="285"/>
  <c r="H192" i="285"/>
  <c r="G192" i="285"/>
  <c r="F192" i="285"/>
  <c r="E192" i="285"/>
  <c r="D192" i="285"/>
  <c r="C192" i="285"/>
  <c r="J192" i="284"/>
  <c r="I192" i="284"/>
  <c r="H192" i="284"/>
  <c r="G192" i="284"/>
  <c r="F192" i="284"/>
  <c r="E192" i="284"/>
  <c r="D192" i="284"/>
  <c r="C192" i="284"/>
  <c r="J192" i="283"/>
  <c r="I192" i="283"/>
  <c r="H192" i="283"/>
  <c r="G192" i="283"/>
  <c r="F192" i="283"/>
  <c r="E192" i="283"/>
  <c r="D192" i="283"/>
  <c r="C192" i="283"/>
  <c r="J192" i="282"/>
  <c r="I192" i="282"/>
  <c r="H192" i="282"/>
  <c r="G192" i="282"/>
  <c r="F192" i="282"/>
  <c r="E192" i="282"/>
  <c r="D192" i="282"/>
  <c r="C192" i="282"/>
  <c r="J192" i="281"/>
  <c r="I192" i="281"/>
  <c r="H192" i="281"/>
  <c r="G192" i="281"/>
  <c r="F192" i="281"/>
  <c r="E192" i="281"/>
  <c r="D192" i="281"/>
  <c r="C192" i="281"/>
  <c r="J192" i="280"/>
  <c r="I192" i="280"/>
  <c r="H192" i="280"/>
  <c r="G192" i="280"/>
  <c r="F192" i="280"/>
  <c r="E192" i="280"/>
  <c r="D192" i="280"/>
  <c r="C192" i="280"/>
  <c r="J192" i="279"/>
  <c r="I192" i="279"/>
  <c r="H192" i="279"/>
  <c r="G192" i="279"/>
  <c r="F192" i="279"/>
  <c r="E192" i="279"/>
  <c r="D192" i="279"/>
  <c r="C192" i="279"/>
  <c r="J192" i="278"/>
  <c r="I192" i="278"/>
  <c r="H192" i="278"/>
  <c r="G192" i="278"/>
  <c r="F192" i="278"/>
  <c r="E192" i="278"/>
  <c r="D192" i="278"/>
  <c r="C192" i="278"/>
  <c r="J192" i="277"/>
  <c r="I192" i="277"/>
  <c r="H192" i="277"/>
  <c r="G192" i="277"/>
  <c r="F192" i="277"/>
  <c r="E192" i="277"/>
  <c r="D192" i="277"/>
  <c r="C192" i="277"/>
  <c r="J192" i="276"/>
  <c r="I192" i="276"/>
  <c r="H192" i="276"/>
  <c r="G192" i="276"/>
  <c r="F192" i="276"/>
  <c r="E192" i="276"/>
  <c r="D192" i="276"/>
  <c r="C192" i="276"/>
  <c r="J192" i="275"/>
  <c r="I192" i="275"/>
  <c r="H192" i="275"/>
  <c r="G192" i="275"/>
  <c r="F192" i="275"/>
  <c r="E192" i="275"/>
  <c r="D192" i="275"/>
  <c r="C192" i="275"/>
  <c r="J192" i="274"/>
  <c r="I192" i="274"/>
  <c r="H192" i="274"/>
  <c r="G192" i="274"/>
  <c r="F192" i="274"/>
  <c r="E192" i="274"/>
  <c r="D192" i="274"/>
  <c r="C192" i="274"/>
  <c r="J192" i="273"/>
  <c r="I192" i="273"/>
  <c r="H192" i="273"/>
  <c r="G192" i="273"/>
  <c r="F192" i="273"/>
  <c r="E192" i="273"/>
  <c r="D192" i="273"/>
  <c r="C192" i="273"/>
  <c r="J192" i="272"/>
  <c r="I192" i="272"/>
  <c r="H192" i="272"/>
  <c r="G192" i="272"/>
  <c r="F192" i="272"/>
  <c r="E192" i="272"/>
  <c r="D192" i="272"/>
  <c r="C192" i="272"/>
  <c r="J192" i="271"/>
  <c r="I192" i="271"/>
  <c r="H192" i="271"/>
  <c r="G192" i="271"/>
  <c r="F192" i="271"/>
  <c r="E192" i="271"/>
  <c r="D192" i="271"/>
  <c r="C192" i="271"/>
  <c r="J192" i="270"/>
  <c r="I192" i="270"/>
  <c r="H192" i="270"/>
  <c r="G192" i="270"/>
  <c r="F192" i="270"/>
  <c r="E192" i="270"/>
  <c r="D192" i="270"/>
  <c r="C192" i="270"/>
  <c r="J192" i="269"/>
  <c r="I192" i="269"/>
  <c r="H192" i="269"/>
  <c r="G192" i="269"/>
  <c r="F192" i="269"/>
  <c r="E192" i="269"/>
  <c r="D192" i="269"/>
  <c r="C192" i="269"/>
  <c r="J192" i="268"/>
  <c r="I192" i="268"/>
  <c r="H192" i="268"/>
  <c r="G192" i="268"/>
  <c r="F192" i="268"/>
  <c r="E192" i="268"/>
  <c r="D192" i="268"/>
  <c r="C192" i="268"/>
  <c r="J192" i="267"/>
  <c r="I192" i="267"/>
  <c r="H192" i="267"/>
  <c r="G192" i="267"/>
  <c r="F192" i="267"/>
  <c r="E192" i="267"/>
  <c r="D192" i="267"/>
  <c r="C192" i="267"/>
  <c r="J192" i="266"/>
  <c r="I192" i="266"/>
  <c r="H192" i="266"/>
  <c r="G192" i="266"/>
  <c r="F192" i="266"/>
  <c r="E192" i="266"/>
  <c r="D192" i="266"/>
  <c r="C192" i="266"/>
  <c r="J192" i="265"/>
  <c r="I192" i="265"/>
  <c r="H192" i="265"/>
  <c r="G192" i="265"/>
  <c r="F192" i="265"/>
  <c r="E192" i="265"/>
  <c r="D192" i="265"/>
  <c r="C192" i="265"/>
  <c r="J192" i="264"/>
  <c r="I192" i="264"/>
  <c r="H192" i="264"/>
  <c r="G192" i="264"/>
  <c r="F192" i="264"/>
  <c r="E192" i="264"/>
  <c r="D192" i="264"/>
  <c r="C192" i="264"/>
  <c r="J192" i="263"/>
  <c r="I192" i="263"/>
  <c r="H192" i="263"/>
  <c r="G192" i="263"/>
  <c r="F192" i="263"/>
  <c r="E192" i="263"/>
  <c r="D192" i="263"/>
  <c r="C192" i="263"/>
  <c r="J192" i="262"/>
  <c r="I192" i="262"/>
  <c r="H192" i="262"/>
  <c r="G192" i="262"/>
  <c r="F192" i="262"/>
  <c r="E192" i="262"/>
  <c r="D192" i="262"/>
  <c r="C192" i="262"/>
  <c r="J192" i="261"/>
  <c r="I192" i="261"/>
  <c r="H192" i="261"/>
  <c r="G192" i="261"/>
  <c r="F192" i="261"/>
  <c r="E192" i="261"/>
  <c r="D192" i="261"/>
  <c r="C192" i="261"/>
  <c r="J192" i="260"/>
  <c r="I192" i="260"/>
  <c r="H192" i="260"/>
  <c r="G192" i="260"/>
  <c r="F192" i="260"/>
  <c r="E192" i="260"/>
  <c r="D192" i="260"/>
  <c r="C192" i="260"/>
  <c r="J192" i="259"/>
  <c r="I192" i="259"/>
  <c r="H192" i="259"/>
  <c r="G192" i="259"/>
  <c r="F192" i="259"/>
  <c r="E192" i="259"/>
  <c r="D192" i="259"/>
  <c r="C192" i="259"/>
  <c r="J192" i="258"/>
  <c r="I192" i="258"/>
  <c r="H192" i="258"/>
  <c r="G192" i="258"/>
  <c r="F192" i="258"/>
  <c r="E192" i="258"/>
  <c r="D192" i="258"/>
  <c r="C192" i="258"/>
  <c r="J192" i="257"/>
  <c r="I192" i="257"/>
  <c r="H192" i="257"/>
  <c r="G192" i="257"/>
  <c r="F192" i="257"/>
  <c r="E192" i="257"/>
  <c r="D192" i="257"/>
  <c r="C192" i="257"/>
  <c r="J192" i="256"/>
  <c r="I192" i="256"/>
  <c r="H192" i="256"/>
  <c r="G192" i="256"/>
  <c r="F192" i="256"/>
  <c r="E192" i="256"/>
  <c r="D192" i="256"/>
  <c r="C192" i="256"/>
  <c r="J192" i="255"/>
  <c r="I192" i="255"/>
  <c r="H192" i="255"/>
  <c r="G192" i="255"/>
  <c r="F192" i="255"/>
  <c r="E192" i="255"/>
  <c r="D192" i="255"/>
  <c r="C192" i="255"/>
  <c r="J192" i="254"/>
  <c r="I192" i="254"/>
  <c r="H192" i="254"/>
  <c r="G192" i="254"/>
  <c r="F192" i="254"/>
  <c r="E192" i="254"/>
  <c r="D192" i="254"/>
  <c r="C192" i="254"/>
  <c r="J192" i="253"/>
  <c r="I192" i="253"/>
  <c r="H192" i="253"/>
  <c r="G192" i="253"/>
  <c r="F192" i="253"/>
  <c r="E192" i="253"/>
  <c r="D192" i="253"/>
  <c r="C192" i="253"/>
  <c r="J192" i="252"/>
  <c r="I192" i="252"/>
  <c r="H192" i="252"/>
  <c r="G192" i="252"/>
  <c r="F192" i="252"/>
  <c r="E192" i="252"/>
  <c r="D192" i="252"/>
  <c r="C192" i="252"/>
  <c r="J192" i="251"/>
  <c r="I192" i="251"/>
  <c r="H192" i="251"/>
  <c r="G192" i="251"/>
  <c r="F192" i="251"/>
  <c r="E192" i="251"/>
  <c r="D192" i="251"/>
  <c r="C192" i="251"/>
  <c r="J192" i="250"/>
  <c r="I192" i="250"/>
  <c r="H192" i="250"/>
  <c r="G192" i="250"/>
  <c r="F192" i="250"/>
  <c r="E192" i="250"/>
  <c r="D192" i="250"/>
  <c r="C192" i="250"/>
  <c r="J192" i="249"/>
  <c r="I192" i="249"/>
  <c r="H192" i="249"/>
  <c r="G192" i="249"/>
  <c r="F192" i="249"/>
  <c r="E192" i="249"/>
  <c r="D192" i="249"/>
  <c r="C192" i="249"/>
  <c r="J192" i="248"/>
  <c r="I192" i="248"/>
  <c r="H192" i="248"/>
  <c r="G192" i="248"/>
  <c r="F192" i="248"/>
  <c r="E192" i="248"/>
  <c r="D192" i="248"/>
  <c r="C192" i="248"/>
  <c r="J192" i="247"/>
  <c r="I192" i="247"/>
  <c r="H192" i="247"/>
  <c r="G192" i="247"/>
  <c r="F192" i="247"/>
  <c r="E192" i="247"/>
  <c r="D192" i="247"/>
  <c r="C192" i="247"/>
  <c r="J192" i="246"/>
  <c r="I192" i="246"/>
  <c r="H192" i="246"/>
  <c r="G192" i="246"/>
  <c r="F192" i="246"/>
  <c r="E192" i="246"/>
  <c r="D192" i="246"/>
  <c r="C192" i="246"/>
  <c r="J192" i="245"/>
  <c r="I192" i="245"/>
  <c r="H192" i="245"/>
  <c r="G192" i="245"/>
  <c r="F192" i="245"/>
  <c r="E192" i="245"/>
  <c r="D192" i="245"/>
  <c r="C192" i="245"/>
  <c r="J192" i="244"/>
  <c r="I192" i="244"/>
  <c r="H192" i="244"/>
  <c r="G192" i="244"/>
  <c r="F192" i="244"/>
  <c r="E192" i="244"/>
  <c r="D192" i="244"/>
  <c r="C192" i="244"/>
  <c r="J192" i="243"/>
  <c r="I192" i="243"/>
  <c r="H192" i="243"/>
  <c r="G192" i="243"/>
  <c r="F192" i="243"/>
  <c r="E192" i="243"/>
  <c r="D192" i="243"/>
  <c r="C192" i="243"/>
  <c r="J192" i="242"/>
  <c r="I192" i="242"/>
  <c r="H192" i="242"/>
  <c r="G192" i="242"/>
  <c r="F192" i="242"/>
  <c r="E192" i="242"/>
  <c r="D192" i="242"/>
  <c r="C192" i="242"/>
  <c r="J192" i="241"/>
  <c r="I192" i="241"/>
  <c r="H192" i="241"/>
  <c r="G192" i="241"/>
  <c r="F192" i="241"/>
  <c r="E192" i="241"/>
  <c r="D192" i="241"/>
  <c r="C192" i="241"/>
  <c r="J192" i="240"/>
  <c r="I192" i="240"/>
  <c r="H192" i="240"/>
  <c r="G192" i="240"/>
  <c r="F192" i="240"/>
  <c r="E192" i="240"/>
  <c r="D192" i="240"/>
  <c r="C192" i="240"/>
  <c r="J192" i="239"/>
  <c r="I192" i="239"/>
  <c r="H192" i="239"/>
  <c r="G192" i="239"/>
  <c r="F192" i="239"/>
  <c r="E192" i="239"/>
  <c r="D192" i="239"/>
  <c r="C192" i="239"/>
  <c r="J192" i="237"/>
  <c r="I192" i="237"/>
  <c r="H192" i="237"/>
  <c r="G192" i="237"/>
  <c r="F192" i="237"/>
  <c r="E192" i="237"/>
  <c r="D192" i="237"/>
  <c r="C192" i="237"/>
  <c r="J192" i="236"/>
  <c r="I192" i="236"/>
  <c r="H192" i="236"/>
  <c r="G192" i="236"/>
  <c r="F192" i="236"/>
  <c r="E192" i="236"/>
  <c r="D192" i="236"/>
  <c r="C192" i="236"/>
  <c r="J192" i="235"/>
  <c r="I192" i="235"/>
  <c r="H192" i="235"/>
  <c r="G192" i="235"/>
  <c r="F192" i="235"/>
  <c r="E192" i="235"/>
  <c r="D192" i="235"/>
  <c r="C192" i="235"/>
  <c r="J192" i="234"/>
  <c r="I192" i="234"/>
  <c r="H192" i="234"/>
  <c r="G192" i="234"/>
  <c r="F192" i="234"/>
  <c r="E192" i="234"/>
  <c r="D192" i="234"/>
  <c r="C192" i="234"/>
  <c r="J192" i="233"/>
  <c r="I192" i="233"/>
  <c r="H192" i="233"/>
  <c r="G192" i="233"/>
  <c r="F192" i="233"/>
  <c r="E192" i="233"/>
  <c r="D192" i="233"/>
  <c r="C192" i="233"/>
  <c r="J192" i="232"/>
  <c r="I192" i="232"/>
  <c r="H192" i="232"/>
  <c r="G192" i="232"/>
  <c r="F192" i="232"/>
  <c r="E192" i="232"/>
  <c r="D192" i="232"/>
  <c r="C192" i="232"/>
  <c r="J192" i="231"/>
  <c r="I192" i="231"/>
  <c r="H192" i="231"/>
  <c r="G192" i="231"/>
  <c r="F192" i="231"/>
  <c r="E192" i="231"/>
  <c r="D192" i="231"/>
  <c r="C192" i="231"/>
  <c r="J192" i="230"/>
  <c r="I192" i="230"/>
  <c r="H192" i="230"/>
  <c r="G192" i="230"/>
  <c r="F192" i="230"/>
  <c r="E192" i="230"/>
  <c r="D192" i="230"/>
  <c r="C192" i="230"/>
  <c r="J192" i="229"/>
  <c r="I192" i="229"/>
  <c r="H192" i="229"/>
  <c r="G192" i="229"/>
  <c r="F192" i="229"/>
  <c r="E192" i="229"/>
  <c r="D192" i="229"/>
  <c r="C192" i="229"/>
  <c r="T9" i="238" l="1"/>
  <c r="N12" i="238"/>
  <c r="O13" i="238" s="1"/>
  <c r="N11" i="238"/>
  <c r="T10" i="238"/>
  <c r="U10" i="238" s="1"/>
  <c r="P15" i="238"/>
  <c r="P14" i="238"/>
  <c r="AC12" i="320"/>
  <c r="AB12" i="320"/>
  <c r="W9" i="238" l="1"/>
  <c r="U9" i="238"/>
  <c r="V9" i="238" s="1"/>
  <c r="O12" i="238"/>
  <c r="P13" i="238" s="1"/>
  <c r="Q14" i="238" s="1"/>
  <c r="O11" i="238"/>
  <c r="V10" i="238"/>
  <c r="Q15" i="238"/>
  <c r="AB47" i="320"/>
  <c r="Z47" i="320"/>
  <c r="AA47" i="320"/>
  <c r="AC47" i="320"/>
  <c r="Z12" i="320"/>
  <c r="Z10" i="320"/>
  <c r="AA12" i="320"/>
  <c r="C61" i="230"/>
  <c r="C61" i="231"/>
  <c r="C61" i="232"/>
  <c r="C61" i="233"/>
  <c r="C61" i="234"/>
  <c r="C61" i="235"/>
  <c r="C61" i="236"/>
  <c r="C61" i="237"/>
  <c r="C61" i="239"/>
  <c r="C61" i="240"/>
  <c r="C61" i="241"/>
  <c r="C61" i="242"/>
  <c r="C61" i="243"/>
  <c r="C61" i="244"/>
  <c r="C61" i="245"/>
  <c r="C61" i="246"/>
  <c r="C61" i="247"/>
  <c r="C61" i="248"/>
  <c r="C61" i="249"/>
  <c r="C61" i="250"/>
  <c r="C61" i="251"/>
  <c r="C61" i="252"/>
  <c r="C61" i="253"/>
  <c r="C61" i="254"/>
  <c r="C61" i="255"/>
  <c r="C61" i="256"/>
  <c r="C61" i="257"/>
  <c r="C61" i="258"/>
  <c r="C61" i="259"/>
  <c r="C61" i="260"/>
  <c r="C61" i="261"/>
  <c r="C61" i="262"/>
  <c r="C61" i="263"/>
  <c r="C61" i="264"/>
  <c r="C61" i="265"/>
  <c r="C61" i="266"/>
  <c r="C61" i="267"/>
  <c r="C61" i="268"/>
  <c r="C61" i="269"/>
  <c r="C61" i="270"/>
  <c r="C61" i="271"/>
  <c r="C61" i="272"/>
  <c r="C61" i="273"/>
  <c r="C61" i="274"/>
  <c r="C61" i="275"/>
  <c r="C61" i="276"/>
  <c r="C61" i="277"/>
  <c r="C61" i="278"/>
  <c r="C61" i="279"/>
  <c r="C61" i="280"/>
  <c r="C61" i="281"/>
  <c r="C61" i="282"/>
  <c r="C61" i="283"/>
  <c r="C61" i="284"/>
  <c r="C61" i="285"/>
  <c r="C61" i="286"/>
  <c r="C61" i="287"/>
  <c r="C61" i="288"/>
  <c r="C61" i="289"/>
  <c r="C61" i="290"/>
  <c r="C61" i="291"/>
  <c r="C61" i="292"/>
  <c r="C61" i="293"/>
  <c r="C61" i="294"/>
  <c r="C61" i="295"/>
  <c r="C61" i="296"/>
  <c r="C61" i="297"/>
  <c r="C61" i="298"/>
  <c r="C61" i="299"/>
  <c r="C61" i="300"/>
  <c r="C61" i="301"/>
  <c r="C61" i="302"/>
  <c r="C61" i="303"/>
  <c r="C61" i="304"/>
  <c r="C61" i="305"/>
  <c r="C61" i="306"/>
  <c r="C61" i="307"/>
  <c r="C61" i="308"/>
  <c r="C61" i="309"/>
  <c r="C61" i="310"/>
  <c r="C61" i="311"/>
  <c r="C61" i="312"/>
  <c r="C61" i="313"/>
  <c r="C61" i="314"/>
  <c r="C61" i="315"/>
  <c r="C61" i="316"/>
  <c r="D64" i="239"/>
  <c r="D64" i="255"/>
  <c r="P12" i="238" l="1"/>
  <c r="Q13" i="238" s="1"/>
  <c r="P11" i="238"/>
  <c r="R15" i="238"/>
  <c r="R14" i="238"/>
  <c r="W10" i="238"/>
  <c r="D64" i="316"/>
  <c r="D62" i="314"/>
  <c r="D63" i="313"/>
  <c r="D64" i="312"/>
  <c r="D61" i="311"/>
  <c r="D62" i="310"/>
  <c r="D64" i="308"/>
  <c r="D61" i="307"/>
  <c r="D62" i="306"/>
  <c r="D63" i="305"/>
  <c r="D64" i="304"/>
  <c r="D61" i="303"/>
  <c r="D62" i="302"/>
  <c r="D63" i="301"/>
  <c r="D64" i="300"/>
  <c r="D62" i="298"/>
  <c r="D63" i="297"/>
  <c r="D64" i="296"/>
  <c r="D61" i="295"/>
  <c r="D62" i="294"/>
  <c r="D63" i="293"/>
  <c r="D64" i="292"/>
  <c r="D61" i="291"/>
  <c r="D62" i="290"/>
  <c r="D63" i="289"/>
  <c r="D64" i="288"/>
  <c r="D61" i="287"/>
  <c r="D62" i="286"/>
  <c r="D63" i="285"/>
  <c r="D64" i="284"/>
  <c r="D61" i="283"/>
  <c r="D62" i="282"/>
  <c r="D63" i="281"/>
  <c r="D64" i="280"/>
  <c r="D61" i="279"/>
  <c r="D62" i="278"/>
  <c r="D63" i="277"/>
  <c r="D64" i="276"/>
  <c r="D61" i="275"/>
  <c r="D62" i="274"/>
  <c r="D63" i="273"/>
  <c r="D64" i="272"/>
  <c r="D61" i="271"/>
  <c r="D62" i="270"/>
  <c r="D63" i="269"/>
  <c r="D64" i="268"/>
  <c r="D61" i="267"/>
  <c r="D62" i="266"/>
  <c r="D63" i="265"/>
  <c r="D64" i="264"/>
  <c r="D61" i="263"/>
  <c r="D62" i="262"/>
  <c r="D63" i="261"/>
  <c r="D64" i="260"/>
  <c r="D61" i="259"/>
  <c r="D62" i="258"/>
  <c r="D63" i="257"/>
  <c r="D64" i="256"/>
  <c r="D61" i="255"/>
  <c r="D62" i="254"/>
  <c r="D63" i="253"/>
  <c r="D64" i="252"/>
  <c r="D61" i="251"/>
  <c r="D62" i="250"/>
  <c r="D63" i="249"/>
  <c r="D64" i="248"/>
  <c r="D61" i="247"/>
  <c r="D62" i="246"/>
  <c r="D64" i="244"/>
  <c r="D61" i="243"/>
  <c r="D62" i="242"/>
  <c r="D63" i="241"/>
  <c r="D64" i="240"/>
  <c r="D61" i="239"/>
  <c r="D62" i="237"/>
  <c r="D63" i="236"/>
  <c r="D64" i="235"/>
  <c r="D61" i="234"/>
  <c r="D62" i="233"/>
  <c r="D63" i="232"/>
  <c r="D64" i="231"/>
  <c r="D61" i="230"/>
  <c r="D62" i="316"/>
  <c r="D63" i="315"/>
  <c r="D64" i="314"/>
  <c r="D61" i="313"/>
  <c r="D62" i="312"/>
  <c r="D63" i="311"/>
  <c r="D64" i="310"/>
  <c r="D61" i="309"/>
  <c r="D62" i="308"/>
  <c r="D63" i="307"/>
  <c r="D64" i="306"/>
  <c r="D61" i="305"/>
  <c r="D62" i="304"/>
  <c r="D63" i="303"/>
  <c r="D64" i="302"/>
  <c r="D61" i="301"/>
  <c r="D62" i="300"/>
  <c r="D63" i="299"/>
  <c r="D64" i="298"/>
  <c r="D61" i="297"/>
  <c r="D62" i="296"/>
  <c r="D63" i="295"/>
  <c r="D64" i="294"/>
  <c r="D61" i="293"/>
  <c r="D62" i="292"/>
  <c r="D63" i="291"/>
  <c r="D64" i="290"/>
  <c r="D61" i="289"/>
  <c r="D62" i="288"/>
  <c r="D63" i="287"/>
  <c r="D64" i="286"/>
  <c r="D61" i="285"/>
  <c r="D62" i="284"/>
  <c r="D63" i="283"/>
  <c r="D64" i="282"/>
  <c r="D61" i="281"/>
  <c r="D62" i="280"/>
  <c r="D63" i="279"/>
  <c r="D64" i="278"/>
  <c r="D61" i="277"/>
  <c r="D62" i="276"/>
  <c r="D63" i="275"/>
  <c r="D64" i="274"/>
  <c r="D61" i="273"/>
  <c r="D62" i="272"/>
  <c r="D63" i="271"/>
  <c r="D64" i="270"/>
  <c r="D61" i="269"/>
  <c r="D62" i="268"/>
  <c r="D63" i="267"/>
  <c r="D64" i="266"/>
  <c r="D61" i="265"/>
  <c r="D62" i="264"/>
  <c r="D63" i="263"/>
  <c r="D64" i="262"/>
  <c r="D61" i="261"/>
  <c r="D62" i="260"/>
  <c r="D63" i="259"/>
  <c r="D64" i="258"/>
  <c r="D61" i="257"/>
  <c r="D62" i="256"/>
  <c r="D63" i="255"/>
  <c r="D64" i="254"/>
  <c r="D61" i="253"/>
  <c r="D62" i="252"/>
  <c r="D63" i="251"/>
  <c r="D64" i="250"/>
  <c r="D61" i="249"/>
  <c r="D62" i="248"/>
  <c r="D63" i="247"/>
  <c r="D64" i="246"/>
  <c r="D61" i="245"/>
  <c r="D62" i="244"/>
  <c r="D63" i="243"/>
  <c r="D64" i="242"/>
  <c r="D61" i="241"/>
  <c r="D62" i="240"/>
  <c r="D63" i="239"/>
  <c r="D64" i="237"/>
  <c r="D61" i="236"/>
  <c r="D62" i="235"/>
  <c r="D63" i="234"/>
  <c r="D64" i="233"/>
  <c r="D62" i="231"/>
  <c r="D63" i="230"/>
  <c r="D61" i="316"/>
  <c r="D62" i="315"/>
  <c r="D61" i="315"/>
  <c r="D63" i="314"/>
  <c r="D64" i="313"/>
  <c r="D61" i="312"/>
  <c r="D62" i="311"/>
  <c r="D63" i="310"/>
  <c r="D64" i="309"/>
  <c r="D61" i="308"/>
  <c r="D62" i="307"/>
  <c r="D63" i="306"/>
  <c r="D64" i="305"/>
  <c r="D61" i="304"/>
  <c r="D62" i="303"/>
  <c r="D63" i="302"/>
  <c r="D64" i="301"/>
  <c r="D61" i="300"/>
  <c r="D62" i="299"/>
  <c r="D61" i="299"/>
  <c r="D63" i="298"/>
  <c r="D64" i="297"/>
  <c r="D61" i="296"/>
  <c r="D62" i="295"/>
  <c r="D63" i="294"/>
  <c r="D64" i="293"/>
  <c r="D61" i="292"/>
  <c r="D62" i="291"/>
  <c r="D63" i="290"/>
  <c r="D64" i="289"/>
  <c r="D61" i="288"/>
  <c r="D62" i="287"/>
  <c r="D63" i="286"/>
  <c r="D64" i="285"/>
  <c r="D61" i="284"/>
  <c r="D62" i="283"/>
  <c r="D63" i="282"/>
  <c r="D64" i="281"/>
  <c r="D61" i="280"/>
  <c r="D62" i="279"/>
  <c r="D63" i="278"/>
  <c r="D64" i="277"/>
  <c r="D61" i="276"/>
  <c r="D62" i="275"/>
  <c r="D63" i="274"/>
  <c r="D64" i="273"/>
  <c r="D61" i="272"/>
  <c r="D63" i="309"/>
  <c r="D63" i="245"/>
  <c r="D62" i="245"/>
  <c r="D63" i="229"/>
  <c r="D63" i="316"/>
  <c r="D64" i="315"/>
  <c r="D61" i="314"/>
  <c r="D62" i="313"/>
  <c r="D63" i="312"/>
  <c r="D64" i="311"/>
  <c r="D61" i="310"/>
  <c r="D62" i="309"/>
  <c r="D63" i="308"/>
  <c r="D64" i="307"/>
  <c r="D61" i="306"/>
  <c r="D62" i="305"/>
  <c r="D63" i="304"/>
  <c r="D64" i="303"/>
  <c r="D61" i="302"/>
  <c r="D62" i="301"/>
  <c r="D63" i="300"/>
  <c r="D64" i="299"/>
  <c r="D61" i="298"/>
  <c r="D62" i="297"/>
  <c r="D63" i="296"/>
  <c r="D64" i="295"/>
  <c r="D61" i="294"/>
  <c r="D62" i="293"/>
  <c r="D63" i="292"/>
  <c r="D64" i="291"/>
  <c r="D61" i="290"/>
  <c r="D62" i="289"/>
  <c r="D63" i="288"/>
  <c r="D64" i="287"/>
  <c r="D61" i="286"/>
  <c r="D62" i="285"/>
  <c r="D63" i="284"/>
  <c r="D64" i="283"/>
  <c r="D61" i="282"/>
  <c r="D62" i="281"/>
  <c r="D63" i="280"/>
  <c r="D64" i="279"/>
  <c r="D61" i="278"/>
  <c r="D62" i="277"/>
  <c r="D63" i="276"/>
  <c r="D64" i="275"/>
  <c r="D61" i="274"/>
  <c r="D62" i="273"/>
  <c r="D63" i="272"/>
  <c r="D62" i="271"/>
  <c r="D63" i="270"/>
  <c r="D64" i="269"/>
  <c r="D61" i="268"/>
  <c r="D62" i="267"/>
  <c r="D63" i="266"/>
  <c r="D64" i="265"/>
  <c r="D61" i="264"/>
  <c r="D62" i="263"/>
  <c r="D63" i="262"/>
  <c r="D64" i="261"/>
  <c r="D61" i="260"/>
  <c r="D62" i="259"/>
  <c r="D63" i="258"/>
  <c r="D64" i="257"/>
  <c r="D61" i="256"/>
  <c r="D62" i="255"/>
  <c r="D63" i="254"/>
  <c r="D64" i="253"/>
  <c r="D61" i="252"/>
  <c r="D62" i="251"/>
  <c r="D63" i="250"/>
  <c r="D64" i="249"/>
  <c r="D61" i="248"/>
  <c r="D62" i="247"/>
  <c r="D63" i="246"/>
  <c r="D64" i="245"/>
  <c r="D61" i="244"/>
  <c r="D62" i="243"/>
  <c r="D63" i="242"/>
  <c r="D64" i="241"/>
  <c r="D61" i="240"/>
  <c r="D62" i="239"/>
  <c r="D63" i="237"/>
  <c r="D64" i="236"/>
  <c r="D61" i="235"/>
  <c r="D62" i="234"/>
  <c r="D63" i="233"/>
  <c r="D64" i="232"/>
  <c r="D61" i="231"/>
  <c r="D62" i="230"/>
  <c r="C62" i="316"/>
  <c r="C62" i="312"/>
  <c r="C62" i="308"/>
  <c r="C62" i="304"/>
  <c r="C62" i="300"/>
  <c r="C62" i="296"/>
  <c r="C62" i="292"/>
  <c r="C62" i="288"/>
  <c r="C62" i="284"/>
  <c r="C62" i="280"/>
  <c r="C62" i="276"/>
  <c r="C62" i="272"/>
  <c r="C62" i="268"/>
  <c r="C62" i="264"/>
  <c r="C62" i="260"/>
  <c r="C62" i="256"/>
  <c r="C62" i="252"/>
  <c r="C62" i="248"/>
  <c r="C62" i="244"/>
  <c r="C62" i="240"/>
  <c r="C62" i="235"/>
  <c r="D64" i="271"/>
  <c r="D61" i="270"/>
  <c r="D62" i="269"/>
  <c r="D63" i="268"/>
  <c r="D64" i="267"/>
  <c r="D61" i="266"/>
  <c r="D62" i="265"/>
  <c r="D63" i="264"/>
  <c r="D64" i="263"/>
  <c r="D61" i="262"/>
  <c r="D62" i="261"/>
  <c r="D63" i="260"/>
  <c r="D64" i="259"/>
  <c r="D61" i="258"/>
  <c r="D62" i="257"/>
  <c r="D63" i="256"/>
  <c r="D61" i="254"/>
  <c r="D62" i="253"/>
  <c r="D63" i="252"/>
  <c r="D64" i="251"/>
  <c r="D61" i="250"/>
  <c r="D62" i="249"/>
  <c r="D63" i="248"/>
  <c r="D64" i="247"/>
  <c r="D61" i="246"/>
  <c r="D63" i="244"/>
  <c r="D64" i="243"/>
  <c r="D61" i="242"/>
  <c r="D62" i="241"/>
  <c r="D63" i="240"/>
  <c r="D61" i="237"/>
  <c r="D62" i="236"/>
  <c r="D63" i="235"/>
  <c r="D64" i="234"/>
  <c r="D61" i="233"/>
  <c r="D62" i="232"/>
  <c r="D63" i="231"/>
  <c r="D64" i="230"/>
  <c r="D61" i="232"/>
  <c r="AO91" i="320"/>
  <c r="D62" i="229"/>
  <c r="D61" i="229"/>
  <c r="AN91" i="320"/>
  <c r="C61" i="229"/>
  <c r="D64" i="229"/>
  <c r="BZ91" i="320"/>
  <c r="BX91" i="320"/>
  <c r="BV91" i="320"/>
  <c r="BW91" i="320"/>
  <c r="BY91" i="320"/>
  <c r="C64" i="235"/>
  <c r="C64" i="231"/>
  <c r="C64" i="233"/>
  <c r="C64" i="237"/>
  <c r="C64" i="240"/>
  <c r="C64" i="242"/>
  <c r="C64" i="244"/>
  <c r="C64" i="246"/>
  <c r="C64" i="248"/>
  <c r="C64" i="250"/>
  <c r="C64" i="252"/>
  <c r="C64" i="254"/>
  <c r="C64" i="256"/>
  <c r="C64" i="258"/>
  <c r="C64" i="260"/>
  <c r="C64" i="262"/>
  <c r="C64" i="264"/>
  <c r="C64" i="266"/>
  <c r="C64" i="268"/>
  <c r="C64" i="270"/>
  <c r="C64" i="272"/>
  <c r="C64" i="274"/>
  <c r="C64" i="276"/>
  <c r="C64" i="278"/>
  <c r="C64" i="280"/>
  <c r="C64" i="282"/>
  <c r="C64" i="284"/>
  <c r="C64" i="286"/>
  <c r="C64" i="288"/>
  <c r="C64" i="290"/>
  <c r="C64" i="292"/>
  <c r="C64" i="294"/>
  <c r="C64" i="296"/>
  <c r="C64" i="298"/>
  <c r="C64" i="300"/>
  <c r="C64" i="302"/>
  <c r="C64" i="304"/>
  <c r="C64" i="306"/>
  <c r="C64" i="308"/>
  <c r="C64" i="310"/>
  <c r="C64" i="312"/>
  <c r="C64" i="314"/>
  <c r="C64" i="316"/>
  <c r="C62" i="229"/>
  <c r="C63" i="230"/>
  <c r="C63" i="232"/>
  <c r="C62" i="233"/>
  <c r="C63" i="234"/>
  <c r="C63" i="236"/>
  <c r="C63" i="239"/>
  <c r="C63" i="241"/>
  <c r="C62" i="242"/>
  <c r="C63" i="243"/>
  <c r="C63" i="245"/>
  <c r="C63" i="247"/>
  <c r="C63" i="249"/>
  <c r="C62" i="250"/>
  <c r="C63" i="251"/>
  <c r="C63" i="253"/>
  <c r="C63" i="255"/>
  <c r="C63" i="257"/>
  <c r="C62" i="258"/>
  <c r="C63" i="259"/>
  <c r="C63" i="261"/>
  <c r="C63" i="263"/>
  <c r="C63" i="265"/>
  <c r="C62" i="266"/>
  <c r="C63" i="267"/>
  <c r="C63" i="269"/>
  <c r="C63" i="271"/>
  <c r="C63" i="273"/>
  <c r="C62" i="274"/>
  <c r="C63" i="275"/>
  <c r="C63" i="277"/>
  <c r="C63" i="279"/>
  <c r="C63" i="281"/>
  <c r="C62" i="282"/>
  <c r="C63" i="283"/>
  <c r="C63" i="285"/>
  <c r="C63" i="287"/>
  <c r="C63" i="289"/>
  <c r="C62" i="290"/>
  <c r="C63" i="291"/>
  <c r="C63" i="293"/>
  <c r="C63" i="295"/>
  <c r="C63" i="297"/>
  <c r="C62" i="298"/>
  <c r="C63" i="299"/>
  <c r="C63" i="301"/>
  <c r="C63" i="303"/>
  <c r="C63" i="305"/>
  <c r="C62" i="306"/>
  <c r="C63" i="307"/>
  <c r="C63" i="309"/>
  <c r="C63" i="311"/>
  <c r="C63" i="313"/>
  <c r="C62" i="314"/>
  <c r="C63" i="315"/>
  <c r="Q11" i="238" l="1"/>
  <c r="Q12" i="238"/>
  <c r="R13" i="238" s="1"/>
  <c r="S14" i="238" s="1"/>
  <c r="S15" i="238"/>
  <c r="C62" i="230"/>
  <c r="C62" i="239"/>
  <c r="C62" i="247"/>
  <c r="C62" i="255"/>
  <c r="C62" i="263"/>
  <c r="C62" i="271"/>
  <c r="C62" i="279"/>
  <c r="C62" i="287"/>
  <c r="C62" i="295"/>
  <c r="C62" i="303"/>
  <c r="C62" i="311"/>
  <c r="C63" i="316"/>
  <c r="C63" i="312"/>
  <c r="C63" i="308"/>
  <c r="C63" i="304"/>
  <c r="C63" i="300"/>
  <c r="C63" i="296"/>
  <c r="C63" i="292"/>
  <c r="C63" i="288"/>
  <c r="C63" i="284"/>
  <c r="C63" i="280"/>
  <c r="C63" i="276"/>
  <c r="C63" i="272"/>
  <c r="C63" i="268"/>
  <c r="C63" i="264"/>
  <c r="C63" i="260"/>
  <c r="C63" i="256"/>
  <c r="C63" i="252"/>
  <c r="C63" i="248"/>
  <c r="C63" i="244"/>
  <c r="C63" i="240"/>
  <c r="C63" i="235"/>
  <c r="C63" i="231"/>
  <c r="C64" i="315"/>
  <c r="C64" i="311"/>
  <c r="C64" i="307"/>
  <c r="C64" i="303"/>
  <c r="C64" i="299"/>
  <c r="C64" i="295"/>
  <c r="C64" i="291"/>
  <c r="C64" i="287"/>
  <c r="C64" i="283"/>
  <c r="C64" i="279"/>
  <c r="C64" i="275"/>
  <c r="C64" i="271"/>
  <c r="C64" i="267"/>
  <c r="C64" i="263"/>
  <c r="C64" i="259"/>
  <c r="C64" i="255"/>
  <c r="C64" i="251"/>
  <c r="C64" i="247"/>
  <c r="C64" i="243"/>
  <c r="C64" i="239"/>
  <c r="C64" i="234"/>
  <c r="C64" i="230"/>
  <c r="C62" i="231"/>
  <c r="C62" i="232"/>
  <c r="C62" i="241"/>
  <c r="C62" i="249"/>
  <c r="C62" i="257"/>
  <c r="C62" i="265"/>
  <c r="C62" i="273"/>
  <c r="C62" i="281"/>
  <c r="C62" i="289"/>
  <c r="C62" i="297"/>
  <c r="C62" i="305"/>
  <c r="C62" i="313"/>
  <c r="C62" i="234"/>
  <c r="C62" i="243"/>
  <c r="C62" i="251"/>
  <c r="C62" i="259"/>
  <c r="C62" i="267"/>
  <c r="C62" i="275"/>
  <c r="C62" i="283"/>
  <c r="C62" i="291"/>
  <c r="C62" i="299"/>
  <c r="C62" i="307"/>
  <c r="C62" i="315"/>
  <c r="C63" i="314"/>
  <c r="C63" i="310"/>
  <c r="C63" i="306"/>
  <c r="C63" i="302"/>
  <c r="C63" i="298"/>
  <c r="C63" i="294"/>
  <c r="C63" i="290"/>
  <c r="C63" i="286"/>
  <c r="C63" i="282"/>
  <c r="C63" i="278"/>
  <c r="C63" i="274"/>
  <c r="C63" i="270"/>
  <c r="C63" i="266"/>
  <c r="C63" i="262"/>
  <c r="C63" i="258"/>
  <c r="C63" i="254"/>
  <c r="C63" i="250"/>
  <c r="C63" i="246"/>
  <c r="C63" i="242"/>
  <c r="C63" i="237"/>
  <c r="C63" i="233"/>
  <c r="C64" i="313"/>
  <c r="C64" i="309"/>
  <c r="C64" i="305"/>
  <c r="C64" i="301"/>
  <c r="C64" i="297"/>
  <c r="C64" i="293"/>
  <c r="C64" i="289"/>
  <c r="C64" i="285"/>
  <c r="C64" i="281"/>
  <c r="C64" i="277"/>
  <c r="C64" i="273"/>
  <c r="C64" i="269"/>
  <c r="C64" i="265"/>
  <c r="C64" i="261"/>
  <c r="C64" i="257"/>
  <c r="C64" i="253"/>
  <c r="C64" i="249"/>
  <c r="C64" i="245"/>
  <c r="C64" i="241"/>
  <c r="C64" i="236"/>
  <c r="C64" i="232"/>
  <c r="C62" i="236"/>
  <c r="C62" i="245"/>
  <c r="C62" i="253"/>
  <c r="C62" i="261"/>
  <c r="C62" i="269"/>
  <c r="C62" i="277"/>
  <c r="C62" i="285"/>
  <c r="C62" i="293"/>
  <c r="C62" i="301"/>
  <c r="C62" i="309"/>
  <c r="C62" i="237"/>
  <c r="C62" i="246"/>
  <c r="C62" i="254"/>
  <c r="C62" i="262"/>
  <c r="C62" i="270"/>
  <c r="C62" i="278"/>
  <c r="C62" i="286"/>
  <c r="C62" i="294"/>
  <c r="C62" i="302"/>
  <c r="C62" i="310"/>
  <c r="C63" i="229"/>
  <c r="C64" i="229"/>
  <c r="H44" i="317"/>
  <c r="I44" i="317"/>
  <c r="J44" i="317"/>
  <c r="K44" i="317"/>
  <c r="L44" i="317"/>
  <c r="M44" i="317"/>
  <c r="N44" i="317"/>
  <c r="O44" i="317"/>
  <c r="P44" i="317"/>
  <c r="Q44" i="317"/>
  <c r="R44" i="317"/>
  <c r="S44" i="317"/>
  <c r="T44" i="317"/>
  <c r="U44" i="317"/>
  <c r="V44" i="317"/>
  <c r="W44" i="317"/>
  <c r="X44" i="317"/>
  <c r="Y44" i="317"/>
  <c r="Z44" i="317"/>
  <c r="AA44" i="317"/>
  <c r="R12" i="238" l="1"/>
  <c r="S13" i="238" s="1"/>
  <c r="T14" i="238" s="1"/>
  <c r="R11" i="238"/>
  <c r="T15" i="238"/>
  <c r="Q3" i="35"/>
  <c r="S12" i="238" l="1"/>
  <c r="T13" i="238" s="1"/>
  <c r="U14" i="238" s="1"/>
  <c r="S11" i="238"/>
  <c r="R16" i="238"/>
  <c r="U15" i="238"/>
  <c r="V91" i="25"/>
  <c r="AA88" i="25"/>
  <c r="AB88" i="25"/>
  <c r="AC88" i="25"/>
  <c r="AD88" i="25"/>
  <c r="AE88" i="25"/>
  <c r="AF88" i="25"/>
  <c r="Q15" i="217" l="1"/>
  <c r="R23" i="238"/>
  <c r="T11" i="238"/>
  <c r="T12" i="238"/>
  <c r="U13" i="238" s="1"/>
  <c r="V14" i="238" s="1"/>
  <c r="S16" i="238"/>
  <c r="V15" i="238"/>
  <c r="G6" i="326"/>
  <c r="H6" i="326"/>
  <c r="I6" i="326"/>
  <c r="J6" i="326"/>
  <c r="K6" i="326"/>
  <c r="L6" i="326"/>
  <c r="M6" i="326"/>
  <c r="N6" i="326"/>
  <c r="O6" i="326"/>
  <c r="P6" i="326"/>
  <c r="Q6" i="326"/>
  <c r="R6" i="326"/>
  <c r="S6" i="326"/>
  <c r="T6" i="326"/>
  <c r="U6" i="326"/>
  <c r="V6" i="326"/>
  <c r="F6" i="326"/>
  <c r="R15" i="217" l="1"/>
  <c r="S23" i="238"/>
  <c r="U11" i="238"/>
  <c r="U12" i="238"/>
  <c r="V13" i="238" s="1"/>
  <c r="W14" i="238" s="1"/>
  <c r="T16" i="238"/>
  <c r="W15" i="238"/>
  <c r="J170" i="236"/>
  <c r="J170" i="237"/>
  <c r="J170" i="239"/>
  <c r="J170" i="240"/>
  <c r="J170" i="241"/>
  <c r="J170" i="242"/>
  <c r="J170" i="243"/>
  <c r="J170" i="244"/>
  <c r="J170" i="245"/>
  <c r="J170" i="246"/>
  <c r="J170" i="247"/>
  <c r="J170" i="248"/>
  <c r="J170" i="249"/>
  <c r="J170" i="250"/>
  <c r="J170" i="251"/>
  <c r="J170" i="252"/>
  <c r="J170" i="253"/>
  <c r="J170" i="254"/>
  <c r="J170" i="255"/>
  <c r="J170" i="256"/>
  <c r="J170" i="257"/>
  <c r="J170" i="258"/>
  <c r="J170" i="259"/>
  <c r="J170" i="260"/>
  <c r="J170" i="261"/>
  <c r="J170" i="262"/>
  <c r="J170" i="263"/>
  <c r="J170" i="264"/>
  <c r="J170" i="265"/>
  <c r="J170" i="266"/>
  <c r="J170" i="267"/>
  <c r="J170" i="268"/>
  <c r="J170" i="269"/>
  <c r="J170" i="270"/>
  <c r="J170" i="271"/>
  <c r="J170" i="272"/>
  <c r="J170" i="274"/>
  <c r="J170" i="275"/>
  <c r="J170" i="276"/>
  <c r="J170" i="277"/>
  <c r="J170" i="278"/>
  <c r="J170" i="279"/>
  <c r="J170" i="280"/>
  <c r="J170" i="281"/>
  <c r="J170" i="282"/>
  <c r="J170" i="283"/>
  <c r="J170" i="284"/>
  <c r="J170" i="285"/>
  <c r="J170" i="286"/>
  <c r="J170" i="287"/>
  <c r="J170" i="288"/>
  <c r="J170" i="289"/>
  <c r="J170" i="290"/>
  <c r="J170" i="291"/>
  <c r="J170" i="292"/>
  <c r="J170" i="293"/>
  <c r="J170" i="294"/>
  <c r="J170" i="295"/>
  <c r="J170" i="296"/>
  <c r="J170" i="297"/>
  <c r="J170" i="298"/>
  <c r="J170" i="299"/>
  <c r="J170" i="300"/>
  <c r="J170" i="301"/>
  <c r="J170" i="302"/>
  <c r="J170" i="303"/>
  <c r="J170" i="304"/>
  <c r="J170" i="305"/>
  <c r="J170" i="306"/>
  <c r="J170" i="307"/>
  <c r="J170" i="308"/>
  <c r="J170" i="309"/>
  <c r="J170" i="310"/>
  <c r="J170" i="311"/>
  <c r="J170" i="312"/>
  <c r="J170" i="313"/>
  <c r="J170" i="314"/>
  <c r="J170" i="315"/>
  <c r="J170" i="316"/>
  <c r="J170" i="235"/>
  <c r="J170" i="234"/>
  <c r="J170" i="233"/>
  <c r="J170" i="232"/>
  <c r="J170" i="231"/>
  <c r="J170" i="230"/>
  <c r="J170" i="229"/>
  <c r="U91" i="320"/>
  <c r="V91" i="320"/>
  <c r="B91" i="320"/>
  <c r="C91" i="320"/>
  <c r="V12" i="238" l="1"/>
  <c r="W13" i="238" s="1"/>
  <c r="V11" i="238"/>
  <c r="U16" i="238"/>
  <c r="J177" i="311"/>
  <c r="J178" i="311"/>
  <c r="J179" i="311"/>
  <c r="J180" i="311"/>
  <c r="J181" i="311"/>
  <c r="J182" i="311"/>
  <c r="J183" i="311"/>
  <c r="J184" i="311"/>
  <c r="J185" i="311"/>
  <c r="J186" i="311"/>
  <c r="J187" i="311"/>
  <c r="J188" i="311"/>
  <c r="J189" i="311"/>
  <c r="J190" i="311"/>
  <c r="J191" i="311"/>
  <c r="W11" i="238" l="1"/>
  <c r="W16" i="238" s="1"/>
  <c r="W12" i="238"/>
  <c r="V16" i="238"/>
  <c r="N169" i="273"/>
  <c r="M169" i="273"/>
  <c r="L169" i="273"/>
  <c r="K169" i="273"/>
  <c r="J169" i="273"/>
  <c r="I169" i="273"/>
  <c r="H169" i="273"/>
  <c r="G169" i="273"/>
  <c r="F169" i="273"/>
  <c r="E169" i="273"/>
  <c r="D169" i="273"/>
  <c r="C169" i="273"/>
  <c r="I63" i="273"/>
  <c r="J63" i="273" s="1"/>
  <c r="E64" i="273"/>
  <c r="N169" i="236" l="1"/>
  <c r="M169" i="236"/>
  <c r="L169" i="236"/>
  <c r="K169" i="236"/>
  <c r="J169" i="236"/>
  <c r="I169" i="236"/>
  <c r="H169" i="236"/>
  <c r="G169" i="236"/>
  <c r="F169" i="236"/>
  <c r="E169" i="236"/>
  <c r="D169" i="236"/>
  <c r="C169" i="236"/>
  <c r="N169" i="230"/>
  <c r="M169" i="230"/>
  <c r="L169" i="230"/>
  <c r="K169" i="230"/>
  <c r="J169" i="230"/>
  <c r="I169" i="230"/>
  <c r="H169" i="230"/>
  <c r="G169" i="230"/>
  <c r="F169" i="230"/>
  <c r="E169" i="230"/>
  <c r="D169" i="230"/>
  <c r="C169" i="230"/>
  <c r="N169" i="231"/>
  <c r="M169" i="231"/>
  <c r="L169" i="231"/>
  <c r="K169" i="231"/>
  <c r="J169" i="231"/>
  <c r="I169" i="231"/>
  <c r="H169" i="231"/>
  <c r="G169" i="231"/>
  <c r="F169" i="231"/>
  <c r="E169" i="231"/>
  <c r="D169" i="231"/>
  <c r="C169" i="231"/>
  <c r="N169" i="232"/>
  <c r="M169" i="232"/>
  <c r="L169" i="232"/>
  <c r="K169" i="232"/>
  <c r="J169" i="232"/>
  <c r="I169" i="232"/>
  <c r="H169" i="232"/>
  <c r="G169" i="232"/>
  <c r="F169" i="232"/>
  <c r="E169" i="232"/>
  <c r="D169" i="232"/>
  <c r="C169" i="232"/>
  <c r="N169" i="233"/>
  <c r="M169" i="233"/>
  <c r="L169" i="233"/>
  <c r="K169" i="233"/>
  <c r="J169" i="233"/>
  <c r="I169" i="233"/>
  <c r="H169" i="233"/>
  <c r="G169" i="233"/>
  <c r="F169" i="233"/>
  <c r="E169" i="233"/>
  <c r="D169" i="233"/>
  <c r="C169" i="233"/>
  <c r="N169" i="234"/>
  <c r="M169" i="234"/>
  <c r="L169" i="234"/>
  <c r="K169" i="234"/>
  <c r="J169" i="234"/>
  <c r="I169" i="234"/>
  <c r="H169" i="234"/>
  <c r="G169" i="234"/>
  <c r="F169" i="234"/>
  <c r="E169" i="234"/>
  <c r="D169" i="234"/>
  <c r="C169" i="234"/>
  <c r="N169" i="235"/>
  <c r="M169" i="235"/>
  <c r="L169" i="235"/>
  <c r="K169" i="235"/>
  <c r="J169" i="235"/>
  <c r="I169" i="235"/>
  <c r="H169" i="235"/>
  <c r="G169" i="235"/>
  <c r="F169" i="235"/>
  <c r="E169" i="235"/>
  <c r="D169" i="235"/>
  <c r="C169" i="235"/>
  <c r="N169" i="229"/>
  <c r="M169" i="229"/>
  <c r="L169" i="229"/>
  <c r="K169" i="229"/>
  <c r="J169" i="229"/>
  <c r="I169" i="229"/>
  <c r="H169" i="229"/>
  <c r="G169" i="229"/>
  <c r="F169" i="229"/>
  <c r="E169" i="229"/>
  <c r="D169" i="229"/>
  <c r="C169" i="229"/>
  <c r="N169" i="240"/>
  <c r="M169" i="240"/>
  <c r="L169" i="240"/>
  <c r="K169" i="240"/>
  <c r="J169" i="240"/>
  <c r="I169" i="240"/>
  <c r="H169" i="240"/>
  <c r="G169" i="240"/>
  <c r="F169" i="240"/>
  <c r="E169" i="240"/>
  <c r="D169" i="240"/>
  <c r="C169" i="240"/>
  <c r="N169" i="241"/>
  <c r="M169" i="241"/>
  <c r="L169" i="241"/>
  <c r="K169" i="241"/>
  <c r="J169" i="241"/>
  <c r="I169" i="241"/>
  <c r="H169" i="241"/>
  <c r="G169" i="241"/>
  <c r="F169" i="241"/>
  <c r="E169" i="241"/>
  <c r="D169" i="241"/>
  <c r="C169" i="241"/>
  <c r="N169" i="242"/>
  <c r="M169" i="242"/>
  <c r="L169" i="242"/>
  <c r="K169" i="242"/>
  <c r="J169" i="242"/>
  <c r="I169" i="242"/>
  <c r="H169" i="242"/>
  <c r="G169" i="242"/>
  <c r="F169" i="242"/>
  <c r="E169" i="242"/>
  <c r="D169" i="242"/>
  <c r="C169" i="242"/>
  <c r="N169" i="243"/>
  <c r="M169" i="243"/>
  <c r="L169" i="243"/>
  <c r="K169" i="243"/>
  <c r="J169" i="243"/>
  <c r="I169" i="243"/>
  <c r="H169" i="243"/>
  <c r="G169" i="243"/>
  <c r="F169" i="243"/>
  <c r="E169" i="243"/>
  <c r="D169" i="243"/>
  <c r="C169" i="243"/>
  <c r="N169" i="244"/>
  <c r="M169" i="244"/>
  <c r="L169" i="244"/>
  <c r="K169" i="244"/>
  <c r="J169" i="244"/>
  <c r="I169" i="244"/>
  <c r="H169" i="244"/>
  <c r="G169" i="244"/>
  <c r="F169" i="244"/>
  <c r="E169" i="244"/>
  <c r="D169" i="244"/>
  <c r="C169" i="244"/>
  <c r="N169" i="245"/>
  <c r="M169" i="245"/>
  <c r="L169" i="245"/>
  <c r="K169" i="245"/>
  <c r="J169" i="245"/>
  <c r="I169" i="245"/>
  <c r="H169" i="245"/>
  <c r="G169" i="245"/>
  <c r="F169" i="245"/>
  <c r="E169" i="245"/>
  <c r="D169" i="245"/>
  <c r="C169" i="245"/>
  <c r="N169" i="246"/>
  <c r="M169" i="246"/>
  <c r="L169" i="246"/>
  <c r="K169" i="246"/>
  <c r="J169" i="246"/>
  <c r="I169" i="246"/>
  <c r="H169" i="246"/>
  <c r="G169" i="246"/>
  <c r="F169" i="246"/>
  <c r="E169" i="246"/>
  <c r="D169" i="246"/>
  <c r="C169" i="246"/>
  <c r="N169" i="247"/>
  <c r="M169" i="247"/>
  <c r="L169" i="247"/>
  <c r="K169" i="247"/>
  <c r="J169" i="247"/>
  <c r="I169" i="247"/>
  <c r="H169" i="247"/>
  <c r="G169" i="247"/>
  <c r="F169" i="247"/>
  <c r="E169" i="247"/>
  <c r="D169" i="247"/>
  <c r="C169" i="247"/>
  <c r="N169" i="248"/>
  <c r="M169" i="248"/>
  <c r="L169" i="248"/>
  <c r="K169" i="248"/>
  <c r="J169" i="248"/>
  <c r="I169" i="248"/>
  <c r="H169" i="248"/>
  <c r="G169" i="248"/>
  <c r="F169" i="248"/>
  <c r="E169" i="248"/>
  <c r="D169" i="248"/>
  <c r="C169" i="248"/>
  <c r="N169" i="249"/>
  <c r="M169" i="249"/>
  <c r="L169" i="249"/>
  <c r="K169" i="249"/>
  <c r="J169" i="249"/>
  <c r="I169" i="249"/>
  <c r="H169" i="249"/>
  <c r="G169" i="249"/>
  <c r="F169" i="249"/>
  <c r="E169" i="249"/>
  <c r="D169" i="249"/>
  <c r="C169" i="249"/>
  <c r="N169" i="250"/>
  <c r="M169" i="250"/>
  <c r="L169" i="250"/>
  <c r="K169" i="250"/>
  <c r="J169" i="250"/>
  <c r="I169" i="250"/>
  <c r="H169" i="250"/>
  <c r="G169" i="250"/>
  <c r="F169" i="250"/>
  <c r="E169" i="250"/>
  <c r="D169" i="250"/>
  <c r="C169" i="250"/>
  <c r="N169" i="251"/>
  <c r="M169" i="251"/>
  <c r="L169" i="251"/>
  <c r="K169" i="251"/>
  <c r="J169" i="251"/>
  <c r="I169" i="251"/>
  <c r="H169" i="251"/>
  <c r="G169" i="251"/>
  <c r="F169" i="251"/>
  <c r="E169" i="251"/>
  <c r="D169" i="251"/>
  <c r="C169" i="251"/>
  <c r="N169" i="252"/>
  <c r="M169" i="252"/>
  <c r="L169" i="252"/>
  <c r="K169" i="252"/>
  <c r="J169" i="252"/>
  <c r="I169" i="252"/>
  <c r="H169" i="252"/>
  <c r="G169" i="252"/>
  <c r="F169" i="252"/>
  <c r="E169" i="252"/>
  <c r="D169" i="252"/>
  <c r="C169" i="252"/>
  <c r="N169" i="253"/>
  <c r="M169" i="253"/>
  <c r="L169" i="253"/>
  <c r="K169" i="253"/>
  <c r="J169" i="253"/>
  <c r="I169" i="253"/>
  <c r="H169" i="253"/>
  <c r="G169" i="253"/>
  <c r="F169" i="253"/>
  <c r="E169" i="253"/>
  <c r="D169" i="253"/>
  <c r="C169" i="253"/>
  <c r="N169" i="254"/>
  <c r="M169" i="254"/>
  <c r="L169" i="254"/>
  <c r="K169" i="254"/>
  <c r="J169" i="254"/>
  <c r="I169" i="254"/>
  <c r="H169" i="254"/>
  <c r="G169" i="254"/>
  <c r="F169" i="254"/>
  <c r="E169" i="254"/>
  <c r="D169" i="254"/>
  <c r="C169" i="254"/>
  <c r="N169" i="255"/>
  <c r="M169" i="255"/>
  <c r="L169" i="255"/>
  <c r="K169" i="255"/>
  <c r="J169" i="255"/>
  <c r="I169" i="255"/>
  <c r="H169" i="255"/>
  <c r="G169" i="255"/>
  <c r="F169" i="255"/>
  <c r="E169" i="255"/>
  <c r="D169" i="255"/>
  <c r="C169" i="255"/>
  <c r="N169" i="256"/>
  <c r="M169" i="256"/>
  <c r="L169" i="256"/>
  <c r="K169" i="256"/>
  <c r="J169" i="256"/>
  <c r="I169" i="256"/>
  <c r="H169" i="256"/>
  <c r="G169" i="256"/>
  <c r="F169" i="256"/>
  <c r="E169" i="256"/>
  <c r="D169" i="256"/>
  <c r="C169" i="256"/>
  <c r="N169" i="257"/>
  <c r="M169" i="257"/>
  <c r="L169" i="257"/>
  <c r="K169" i="257"/>
  <c r="J169" i="257"/>
  <c r="I169" i="257"/>
  <c r="H169" i="257"/>
  <c r="G169" i="257"/>
  <c r="F169" i="257"/>
  <c r="E169" i="257"/>
  <c r="D169" i="257"/>
  <c r="C169" i="257"/>
  <c r="N169" i="258"/>
  <c r="M169" i="258"/>
  <c r="L169" i="258"/>
  <c r="K169" i="258"/>
  <c r="J169" i="258"/>
  <c r="I169" i="258"/>
  <c r="H169" i="258"/>
  <c r="G169" i="258"/>
  <c r="F169" i="258"/>
  <c r="E169" i="258"/>
  <c r="D169" i="258"/>
  <c r="C169" i="258"/>
  <c r="N169" i="259"/>
  <c r="M169" i="259"/>
  <c r="L169" i="259"/>
  <c r="K169" i="259"/>
  <c r="J169" i="259"/>
  <c r="I169" i="259"/>
  <c r="H169" i="259"/>
  <c r="G169" i="259"/>
  <c r="F169" i="259"/>
  <c r="E169" i="259"/>
  <c r="D169" i="259"/>
  <c r="C169" i="259"/>
  <c r="N169" i="260"/>
  <c r="M169" i="260"/>
  <c r="L169" i="260"/>
  <c r="K169" i="260"/>
  <c r="J169" i="260"/>
  <c r="I169" i="260"/>
  <c r="H169" i="260"/>
  <c r="G169" i="260"/>
  <c r="F169" i="260"/>
  <c r="E169" i="260"/>
  <c r="D169" i="260"/>
  <c r="C169" i="260"/>
  <c r="N169" i="261"/>
  <c r="M169" i="261"/>
  <c r="L169" i="261"/>
  <c r="K169" i="261"/>
  <c r="J169" i="261"/>
  <c r="I169" i="261"/>
  <c r="H169" i="261"/>
  <c r="G169" i="261"/>
  <c r="F169" i="261"/>
  <c r="E169" i="261"/>
  <c r="D169" i="261"/>
  <c r="C169" i="261"/>
  <c r="N169" i="262"/>
  <c r="M169" i="262"/>
  <c r="L169" i="262"/>
  <c r="K169" i="262"/>
  <c r="J169" i="262"/>
  <c r="I169" i="262"/>
  <c r="H169" i="262"/>
  <c r="G169" i="262"/>
  <c r="F169" i="262"/>
  <c r="E169" i="262"/>
  <c r="D169" i="262"/>
  <c r="C169" i="262"/>
  <c r="N169" i="263"/>
  <c r="M169" i="263"/>
  <c r="L169" i="263"/>
  <c r="K169" i="263"/>
  <c r="J169" i="263"/>
  <c r="I169" i="263"/>
  <c r="H169" i="263"/>
  <c r="G169" i="263"/>
  <c r="F169" i="263"/>
  <c r="E169" i="263"/>
  <c r="D169" i="263"/>
  <c r="C169" i="263"/>
  <c r="N169" i="264"/>
  <c r="M169" i="264"/>
  <c r="L169" i="264"/>
  <c r="K169" i="264"/>
  <c r="J169" i="264"/>
  <c r="I169" i="264"/>
  <c r="H169" i="264"/>
  <c r="G169" i="264"/>
  <c r="F169" i="264"/>
  <c r="E169" i="264"/>
  <c r="D169" i="264"/>
  <c r="C169" i="264"/>
  <c r="N169" i="265"/>
  <c r="M169" i="265"/>
  <c r="L169" i="265"/>
  <c r="K169" i="265"/>
  <c r="J169" i="265"/>
  <c r="I169" i="265"/>
  <c r="H169" i="265"/>
  <c r="G169" i="265"/>
  <c r="F169" i="265"/>
  <c r="E169" i="265"/>
  <c r="D169" i="265"/>
  <c r="C169" i="265"/>
  <c r="N169" i="266"/>
  <c r="M169" i="266"/>
  <c r="L169" i="266"/>
  <c r="K169" i="266"/>
  <c r="J169" i="266"/>
  <c r="I169" i="266"/>
  <c r="H169" i="266"/>
  <c r="G169" i="266"/>
  <c r="F169" i="266"/>
  <c r="E169" i="266"/>
  <c r="D169" i="266"/>
  <c r="C169" i="266"/>
  <c r="N169" i="267"/>
  <c r="M169" i="267"/>
  <c r="L169" i="267"/>
  <c r="K169" i="267"/>
  <c r="J169" i="267"/>
  <c r="I169" i="267"/>
  <c r="H169" i="267"/>
  <c r="G169" i="267"/>
  <c r="F169" i="267"/>
  <c r="E169" i="267"/>
  <c r="D169" i="267"/>
  <c r="C169" i="267"/>
  <c r="N169" i="268"/>
  <c r="M169" i="268"/>
  <c r="L169" i="268"/>
  <c r="K169" i="268"/>
  <c r="J169" i="268"/>
  <c r="I169" i="268"/>
  <c r="H169" i="268"/>
  <c r="G169" i="268"/>
  <c r="F169" i="268"/>
  <c r="E169" i="268"/>
  <c r="D169" i="268"/>
  <c r="C169" i="268"/>
  <c r="N169" i="269"/>
  <c r="M169" i="269"/>
  <c r="L169" i="269"/>
  <c r="K169" i="269"/>
  <c r="J169" i="269"/>
  <c r="I169" i="269"/>
  <c r="H169" i="269"/>
  <c r="G169" i="269"/>
  <c r="F169" i="269"/>
  <c r="E169" i="269"/>
  <c r="D169" i="269"/>
  <c r="C169" i="269"/>
  <c r="N169" i="270"/>
  <c r="M169" i="270"/>
  <c r="L169" i="270"/>
  <c r="K169" i="270"/>
  <c r="J169" i="270"/>
  <c r="I169" i="270"/>
  <c r="H169" i="270"/>
  <c r="G169" i="270"/>
  <c r="F169" i="270"/>
  <c r="E169" i="270"/>
  <c r="D169" i="270"/>
  <c r="C169" i="270"/>
  <c r="N169" i="271"/>
  <c r="M169" i="271"/>
  <c r="L169" i="271"/>
  <c r="K169" i="271"/>
  <c r="J169" i="271"/>
  <c r="I169" i="271"/>
  <c r="H169" i="271"/>
  <c r="G169" i="271"/>
  <c r="F169" i="271"/>
  <c r="E169" i="271"/>
  <c r="D169" i="271"/>
  <c r="C169" i="271"/>
  <c r="N169" i="272"/>
  <c r="M169" i="272"/>
  <c r="L169" i="272"/>
  <c r="K169" i="272"/>
  <c r="J169" i="272"/>
  <c r="I169" i="272"/>
  <c r="H169" i="272"/>
  <c r="G169" i="272"/>
  <c r="F169" i="272"/>
  <c r="E169" i="272"/>
  <c r="D169" i="272"/>
  <c r="C169" i="272"/>
  <c r="N169" i="274"/>
  <c r="M169" i="274"/>
  <c r="L169" i="274"/>
  <c r="K169" i="274"/>
  <c r="J169" i="274"/>
  <c r="I169" i="274"/>
  <c r="H169" i="274"/>
  <c r="G169" i="274"/>
  <c r="F169" i="274"/>
  <c r="E169" i="274"/>
  <c r="D169" i="274"/>
  <c r="C169" i="274"/>
  <c r="N169" i="275"/>
  <c r="M169" i="275"/>
  <c r="L169" i="275"/>
  <c r="K169" i="275"/>
  <c r="J169" i="275"/>
  <c r="I169" i="275"/>
  <c r="H169" i="275"/>
  <c r="G169" i="275"/>
  <c r="F169" i="275"/>
  <c r="E169" i="275"/>
  <c r="D169" i="275"/>
  <c r="C169" i="275"/>
  <c r="N169" i="276"/>
  <c r="M169" i="276"/>
  <c r="L169" i="276"/>
  <c r="K169" i="276"/>
  <c r="J169" i="276"/>
  <c r="I169" i="276"/>
  <c r="H169" i="276"/>
  <c r="G169" i="276"/>
  <c r="F169" i="276"/>
  <c r="E169" i="276"/>
  <c r="D169" i="276"/>
  <c r="C169" i="276"/>
  <c r="N169" i="277"/>
  <c r="M169" i="277"/>
  <c r="L169" i="277"/>
  <c r="K169" i="277"/>
  <c r="J169" i="277"/>
  <c r="I169" i="277"/>
  <c r="H169" i="277"/>
  <c r="G169" i="277"/>
  <c r="F169" i="277"/>
  <c r="E169" i="277"/>
  <c r="D169" i="277"/>
  <c r="C169" i="277"/>
  <c r="N169" i="278"/>
  <c r="M169" i="278"/>
  <c r="L169" i="278"/>
  <c r="K169" i="278"/>
  <c r="J169" i="278"/>
  <c r="I169" i="278"/>
  <c r="H169" i="278"/>
  <c r="G169" i="278"/>
  <c r="F169" i="278"/>
  <c r="E169" i="278"/>
  <c r="D169" i="278"/>
  <c r="C169" i="278"/>
  <c r="N169" i="279"/>
  <c r="M169" i="279"/>
  <c r="L169" i="279"/>
  <c r="K169" i="279"/>
  <c r="J169" i="279"/>
  <c r="I169" i="279"/>
  <c r="H169" i="279"/>
  <c r="G169" i="279"/>
  <c r="F169" i="279"/>
  <c r="E169" i="279"/>
  <c r="D169" i="279"/>
  <c r="C169" i="279"/>
  <c r="N169" i="280"/>
  <c r="M169" i="280"/>
  <c r="L169" i="280"/>
  <c r="K169" i="280"/>
  <c r="J169" i="280"/>
  <c r="I169" i="280"/>
  <c r="H169" i="280"/>
  <c r="G169" i="280"/>
  <c r="F169" i="280"/>
  <c r="E169" i="280"/>
  <c r="D169" i="280"/>
  <c r="C169" i="280"/>
  <c r="N169" i="281"/>
  <c r="M169" i="281"/>
  <c r="L169" i="281"/>
  <c r="K169" i="281"/>
  <c r="J169" i="281"/>
  <c r="I169" i="281"/>
  <c r="H169" i="281"/>
  <c r="G169" i="281"/>
  <c r="F169" i="281"/>
  <c r="E169" i="281"/>
  <c r="D169" i="281"/>
  <c r="C169" i="281"/>
  <c r="N169" i="282"/>
  <c r="M169" i="282"/>
  <c r="L169" i="282"/>
  <c r="K169" i="282"/>
  <c r="J169" i="282"/>
  <c r="I169" i="282"/>
  <c r="H169" i="282"/>
  <c r="G169" i="282"/>
  <c r="F169" i="282"/>
  <c r="E169" i="282"/>
  <c r="D169" i="282"/>
  <c r="C169" i="282"/>
  <c r="N169" i="283"/>
  <c r="M169" i="283"/>
  <c r="L169" i="283"/>
  <c r="K169" i="283"/>
  <c r="J169" i="283"/>
  <c r="I169" i="283"/>
  <c r="H169" i="283"/>
  <c r="G169" i="283"/>
  <c r="F169" i="283"/>
  <c r="E169" i="283"/>
  <c r="D169" i="283"/>
  <c r="C169" i="283"/>
  <c r="N169" i="284"/>
  <c r="M169" i="284"/>
  <c r="L169" i="284"/>
  <c r="K169" i="284"/>
  <c r="J169" i="284"/>
  <c r="I169" i="284"/>
  <c r="H169" i="284"/>
  <c r="G169" i="284"/>
  <c r="F169" i="284"/>
  <c r="E169" i="284"/>
  <c r="D169" i="284"/>
  <c r="C169" i="284"/>
  <c r="N169" i="285"/>
  <c r="M169" i="285"/>
  <c r="L169" i="285"/>
  <c r="K169" i="285"/>
  <c r="J169" i="285"/>
  <c r="I169" i="285"/>
  <c r="H169" i="285"/>
  <c r="G169" i="285"/>
  <c r="F169" i="285"/>
  <c r="E169" i="285"/>
  <c r="D169" i="285"/>
  <c r="C169" i="285"/>
  <c r="N169" i="286"/>
  <c r="M169" i="286"/>
  <c r="L169" i="286"/>
  <c r="K169" i="286"/>
  <c r="J169" i="286"/>
  <c r="I169" i="286"/>
  <c r="H169" i="286"/>
  <c r="G169" i="286"/>
  <c r="F169" i="286"/>
  <c r="E169" i="286"/>
  <c r="D169" i="286"/>
  <c r="C169" i="286"/>
  <c r="N169" i="287"/>
  <c r="M169" i="287"/>
  <c r="L169" i="287"/>
  <c r="K169" i="287"/>
  <c r="J169" i="287"/>
  <c r="I169" i="287"/>
  <c r="H169" i="287"/>
  <c r="G169" i="287"/>
  <c r="F169" i="287"/>
  <c r="E169" i="287"/>
  <c r="D169" i="287"/>
  <c r="C169" i="287"/>
  <c r="N169" i="288"/>
  <c r="M169" i="288"/>
  <c r="L169" i="288"/>
  <c r="K169" i="288"/>
  <c r="J169" i="288"/>
  <c r="I169" i="288"/>
  <c r="H169" i="288"/>
  <c r="G169" i="288"/>
  <c r="F169" i="288"/>
  <c r="E169" i="288"/>
  <c r="D169" i="288"/>
  <c r="C169" i="288"/>
  <c r="N169" i="289"/>
  <c r="M169" i="289"/>
  <c r="L169" i="289"/>
  <c r="K169" i="289"/>
  <c r="J169" i="289"/>
  <c r="I169" i="289"/>
  <c r="H169" i="289"/>
  <c r="G169" i="289"/>
  <c r="F169" i="289"/>
  <c r="E169" i="289"/>
  <c r="D169" i="289"/>
  <c r="C169" i="289"/>
  <c r="N169" i="290"/>
  <c r="M169" i="290"/>
  <c r="L169" i="290"/>
  <c r="K169" i="290"/>
  <c r="J169" i="290"/>
  <c r="I169" i="290"/>
  <c r="H169" i="290"/>
  <c r="G169" i="290"/>
  <c r="F169" i="290"/>
  <c r="E169" i="290"/>
  <c r="D169" i="290"/>
  <c r="C169" i="290"/>
  <c r="N169" i="291"/>
  <c r="M169" i="291"/>
  <c r="L169" i="291"/>
  <c r="K169" i="291"/>
  <c r="J169" i="291"/>
  <c r="I169" i="291"/>
  <c r="H169" i="291"/>
  <c r="G169" i="291"/>
  <c r="F169" i="291"/>
  <c r="E169" i="291"/>
  <c r="D169" i="291"/>
  <c r="C169" i="291"/>
  <c r="N169" i="292"/>
  <c r="M169" i="292"/>
  <c r="L169" i="292"/>
  <c r="K169" i="292"/>
  <c r="J169" i="292"/>
  <c r="I169" i="292"/>
  <c r="H169" i="292"/>
  <c r="G169" i="292"/>
  <c r="F169" i="292"/>
  <c r="E169" i="292"/>
  <c r="D169" i="292"/>
  <c r="C169" i="292"/>
  <c r="N169" i="293"/>
  <c r="M169" i="293"/>
  <c r="L169" i="293"/>
  <c r="K169" i="293"/>
  <c r="J169" i="293"/>
  <c r="I169" i="293"/>
  <c r="H169" i="293"/>
  <c r="G169" i="293"/>
  <c r="F169" i="293"/>
  <c r="E169" i="293"/>
  <c r="D169" i="293"/>
  <c r="C169" i="293"/>
  <c r="N169" i="294"/>
  <c r="M169" i="294"/>
  <c r="L169" i="294"/>
  <c r="K169" i="294"/>
  <c r="J169" i="294"/>
  <c r="I169" i="294"/>
  <c r="H169" i="294"/>
  <c r="G169" i="294"/>
  <c r="F169" i="294"/>
  <c r="E169" i="294"/>
  <c r="D169" i="294"/>
  <c r="C169" i="294"/>
  <c r="N169" i="295"/>
  <c r="M169" i="295"/>
  <c r="L169" i="295"/>
  <c r="K169" i="295"/>
  <c r="J169" i="295"/>
  <c r="I169" i="295"/>
  <c r="H169" i="295"/>
  <c r="G169" i="295"/>
  <c r="F169" i="295"/>
  <c r="E169" i="295"/>
  <c r="D169" i="295"/>
  <c r="C169" i="295"/>
  <c r="N169" i="296"/>
  <c r="M169" i="296"/>
  <c r="L169" i="296"/>
  <c r="K169" i="296"/>
  <c r="J169" i="296"/>
  <c r="I169" i="296"/>
  <c r="H169" i="296"/>
  <c r="G169" i="296"/>
  <c r="F169" i="296"/>
  <c r="E169" i="296"/>
  <c r="D169" i="296"/>
  <c r="C169" i="296"/>
  <c r="N169" i="297"/>
  <c r="M169" i="297"/>
  <c r="L169" i="297"/>
  <c r="K169" i="297"/>
  <c r="J169" i="297"/>
  <c r="I169" i="297"/>
  <c r="H169" i="297"/>
  <c r="G169" i="297"/>
  <c r="F169" i="297"/>
  <c r="E169" i="297"/>
  <c r="D169" i="297"/>
  <c r="C169" i="297"/>
  <c r="N169" i="298"/>
  <c r="M169" i="298"/>
  <c r="L169" i="298"/>
  <c r="K169" i="298"/>
  <c r="J169" i="298"/>
  <c r="I169" i="298"/>
  <c r="H169" i="298"/>
  <c r="G169" i="298"/>
  <c r="F169" i="298"/>
  <c r="E169" i="298"/>
  <c r="D169" i="298"/>
  <c r="C169" i="298"/>
  <c r="N169" i="299"/>
  <c r="M169" i="299"/>
  <c r="L169" i="299"/>
  <c r="K169" i="299"/>
  <c r="J169" i="299"/>
  <c r="I169" i="299"/>
  <c r="H169" i="299"/>
  <c r="G169" i="299"/>
  <c r="F169" i="299"/>
  <c r="E169" i="299"/>
  <c r="D169" i="299"/>
  <c r="C169" i="299"/>
  <c r="N169" i="300"/>
  <c r="M169" i="300"/>
  <c r="L169" i="300"/>
  <c r="K169" i="300"/>
  <c r="J169" i="300"/>
  <c r="I169" i="300"/>
  <c r="H169" i="300"/>
  <c r="G169" i="300"/>
  <c r="F169" i="300"/>
  <c r="E169" i="300"/>
  <c r="D169" i="300"/>
  <c r="C169" i="300"/>
  <c r="N169" i="301"/>
  <c r="M169" i="301"/>
  <c r="L169" i="301"/>
  <c r="K169" i="301"/>
  <c r="J169" i="301"/>
  <c r="I169" i="301"/>
  <c r="H169" i="301"/>
  <c r="G169" i="301"/>
  <c r="F169" i="301"/>
  <c r="E169" i="301"/>
  <c r="D169" i="301"/>
  <c r="C169" i="301"/>
  <c r="N169" i="302"/>
  <c r="M169" i="302"/>
  <c r="L169" i="302"/>
  <c r="K169" i="302"/>
  <c r="J169" i="302"/>
  <c r="I169" i="302"/>
  <c r="H169" i="302"/>
  <c r="G169" i="302"/>
  <c r="F169" i="302"/>
  <c r="E169" i="302"/>
  <c r="D169" i="302"/>
  <c r="C169" i="302"/>
  <c r="N169" i="303"/>
  <c r="M169" i="303"/>
  <c r="L169" i="303"/>
  <c r="K169" i="303"/>
  <c r="J169" i="303"/>
  <c r="I169" i="303"/>
  <c r="H169" i="303"/>
  <c r="G169" i="303"/>
  <c r="F169" i="303"/>
  <c r="E169" i="303"/>
  <c r="D169" i="303"/>
  <c r="C169" i="303"/>
  <c r="N169" i="304"/>
  <c r="M169" i="304"/>
  <c r="L169" i="304"/>
  <c r="K169" i="304"/>
  <c r="J169" i="304"/>
  <c r="I169" i="304"/>
  <c r="H169" i="304"/>
  <c r="G169" i="304"/>
  <c r="F169" i="304"/>
  <c r="E169" i="304"/>
  <c r="D169" i="304"/>
  <c r="C169" i="304"/>
  <c r="N169" i="305"/>
  <c r="M169" i="305"/>
  <c r="L169" i="305"/>
  <c r="K169" i="305"/>
  <c r="J169" i="305"/>
  <c r="I169" i="305"/>
  <c r="H169" i="305"/>
  <c r="G169" i="305"/>
  <c r="F169" i="305"/>
  <c r="E169" i="305"/>
  <c r="D169" i="305"/>
  <c r="C169" i="305"/>
  <c r="N169" i="306"/>
  <c r="M169" i="306"/>
  <c r="L169" i="306"/>
  <c r="K169" i="306"/>
  <c r="J169" i="306"/>
  <c r="I169" i="306"/>
  <c r="H169" i="306"/>
  <c r="G169" i="306"/>
  <c r="F169" i="306"/>
  <c r="E169" i="306"/>
  <c r="D169" i="306"/>
  <c r="C169" i="306"/>
  <c r="N169" i="307"/>
  <c r="M169" i="307"/>
  <c r="L169" i="307"/>
  <c r="K169" i="307"/>
  <c r="J169" i="307"/>
  <c r="I169" i="307"/>
  <c r="H169" i="307"/>
  <c r="G169" i="307"/>
  <c r="F169" i="307"/>
  <c r="E169" i="307"/>
  <c r="D169" i="307"/>
  <c r="C169" i="307"/>
  <c r="N169" i="308"/>
  <c r="M169" i="308"/>
  <c r="L169" i="308"/>
  <c r="K169" i="308"/>
  <c r="J169" i="308"/>
  <c r="I169" i="308"/>
  <c r="H169" i="308"/>
  <c r="G169" i="308"/>
  <c r="F169" i="308"/>
  <c r="E169" i="308"/>
  <c r="D169" i="308"/>
  <c r="C169" i="308"/>
  <c r="N169" i="309"/>
  <c r="M169" i="309"/>
  <c r="L169" i="309"/>
  <c r="K169" i="309"/>
  <c r="J169" i="309"/>
  <c r="I169" i="309"/>
  <c r="H169" i="309"/>
  <c r="G169" i="309"/>
  <c r="F169" i="309"/>
  <c r="E169" i="309"/>
  <c r="D169" i="309"/>
  <c r="C169" i="309"/>
  <c r="N169" i="310"/>
  <c r="M169" i="310"/>
  <c r="L169" i="310"/>
  <c r="K169" i="310"/>
  <c r="J169" i="310"/>
  <c r="I169" i="310"/>
  <c r="H169" i="310"/>
  <c r="G169" i="310"/>
  <c r="F169" i="310"/>
  <c r="E169" i="310"/>
  <c r="D169" i="310"/>
  <c r="C169" i="310"/>
  <c r="N169" i="311"/>
  <c r="M169" i="311"/>
  <c r="L169" i="311"/>
  <c r="K169" i="311"/>
  <c r="J169" i="311"/>
  <c r="I169" i="311"/>
  <c r="H169" i="311"/>
  <c r="G169" i="311"/>
  <c r="F169" i="311"/>
  <c r="E169" i="311"/>
  <c r="D169" i="311"/>
  <c r="C169" i="311"/>
  <c r="N169" i="312"/>
  <c r="M169" i="312"/>
  <c r="L169" i="312"/>
  <c r="K169" i="312"/>
  <c r="J169" i="312"/>
  <c r="I169" i="312"/>
  <c r="H169" i="312"/>
  <c r="G169" i="312"/>
  <c r="F169" i="312"/>
  <c r="E169" i="312"/>
  <c r="D169" i="312"/>
  <c r="C169" i="312"/>
  <c r="N169" i="313"/>
  <c r="M169" i="313"/>
  <c r="L169" i="313"/>
  <c r="K169" i="313"/>
  <c r="J169" i="313"/>
  <c r="I169" i="313"/>
  <c r="H169" i="313"/>
  <c r="G169" i="313"/>
  <c r="F169" i="313"/>
  <c r="E169" i="313"/>
  <c r="D169" i="313"/>
  <c r="C169" i="313"/>
  <c r="N169" i="314"/>
  <c r="M169" i="314"/>
  <c r="L169" i="314"/>
  <c r="K169" i="314"/>
  <c r="J169" i="314"/>
  <c r="I169" i="314"/>
  <c r="H169" i="314"/>
  <c r="G169" i="314"/>
  <c r="F169" i="314"/>
  <c r="E169" i="314"/>
  <c r="D169" i="314"/>
  <c r="C169" i="314"/>
  <c r="N169" i="315"/>
  <c r="M169" i="315"/>
  <c r="L169" i="315"/>
  <c r="K169" i="315"/>
  <c r="J169" i="315"/>
  <c r="I169" i="315"/>
  <c r="H169" i="315"/>
  <c r="G169" i="315"/>
  <c r="F169" i="315"/>
  <c r="E169" i="315"/>
  <c r="D169" i="315"/>
  <c r="C169" i="315"/>
  <c r="N169" i="316"/>
  <c r="M169" i="316"/>
  <c r="L169" i="316"/>
  <c r="K169" i="316"/>
  <c r="J169" i="316"/>
  <c r="I169" i="316"/>
  <c r="H169" i="316"/>
  <c r="G169" i="316"/>
  <c r="F169" i="316"/>
  <c r="E169" i="316"/>
  <c r="D169" i="316"/>
  <c r="C169" i="316"/>
  <c r="N169" i="239"/>
  <c r="M169" i="239"/>
  <c r="L169" i="239"/>
  <c r="K169" i="239"/>
  <c r="J169" i="239"/>
  <c r="I169" i="239"/>
  <c r="H169" i="239"/>
  <c r="G169" i="239"/>
  <c r="F169" i="239"/>
  <c r="E169" i="239"/>
  <c r="D169" i="239"/>
  <c r="C169" i="239"/>
  <c r="N169" i="237"/>
  <c r="M169" i="237"/>
  <c r="L169" i="237"/>
  <c r="K169" i="237"/>
  <c r="J169" i="237"/>
  <c r="I169" i="237"/>
  <c r="H169" i="237"/>
  <c r="G169" i="237"/>
  <c r="F169" i="237"/>
  <c r="E169" i="237"/>
  <c r="D169" i="237"/>
  <c r="C169" i="237"/>
  <c r="D46" i="317"/>
  <c r="M46" i="317"/>
  <c r="L46" i="317"/>
  <c r="K46" i="317"/>
  <c r="J46" i="317"/>
  <c r="I46" i="317"/>
  <c r="H46" i="317"/>
  <c r="G44" i="317"/>
  <c r="G46" i="317" s="1"/>
  <c r="F44" i="317"/>
  <c r="F46" i="317" s="1"/>
  <c r="E44" i="317"/>
  <c r="E46" i="317" s="1"/>
  <c r="D44" i="317"/>
  <c r="C44" i="317"/>
  <c r="C46" i="317" s="1"/>
  <c r="I64" i="232"/>
  <c r="J64" i="232" s="1"/>
  <c r="I64" i="235"/>
  <c r="J64" i="235" s="1"/>
  <c r="I64" i="237"/>
  <c r="J64" i="237" s="1"/>
  <c r="I64" i="239"/>
  <c r="J64" i="239" s="1"/>
  <c r="I64" i="240"/>
  <c r="J64" i="240" s="1"/>
  <c r="I64" i="242"/>
  <c r="J64" i="242" s="1"/>
  <c r="I64" i="243"/>
  <c r="J64" i="243" s="1"/>
  <c r="I64" i="245"/>
  <c r="J64" i="245" s="1"/>
  <c r="I64" i="246"/>
  <c r="J64" i="246" s="1"/>
  <c r="I64" i="247"/>
  <c r="J64" i="247" s="1"/>
  <c r="I64" i="248"/>
  <c r="J64" i="248" s="1"/>
  <c r="I64" i="249"/>
  <c r="J64" i="249" s="1"/>
  <c r="I64" i="250"/>
  <c r="J64" i="250" s="1"/>
  <c r="I64" i="251"/>
  <c r="J64" i="251" s="1"/>
  <c r="I64" i="252"/>
  <c r="J64" i="252" s="1"/>
  <c r="I64" i="253"/>
  <c r="J64" i="253" s="1"/>
  <c r="I64" i="254"/>
  <c r="J64" i="254" s="1"/>
  <c r="I64" i="255"/>
  <c r="J64" i="255" s="1"/>
  <c r="I64" i="256"/>
  <c r="J64" i="256" s="1"/>
  <c r="I64" i="257"/>
  <c r="J64" i="257" s="1"/>
  <c r="I64" i="258"/>
  <c r="J64" i="258" s="1"/>
  <c r="I64" i="259"/>
  <c r="J64" i="259" s="1"/>
  <c r="I64" i="261"/>
  <c r="J64" i="261" s="1"/>
  <c r="I64" i="262"/>
  <c r="J64" i="262" s="1"/>
  <c r="I64" i="263"/>
  <c r="J64" i="263" s="1"/>
  <c r="I64" i="266"/>
  <c r="J64" i="266" s="1"/>
  <c r="I64" i="267"/>
  <c r="J64" i="267" s="1"/>
  <c r="I64" i="270"/>
  <c r="J64" i="270" s="1"/>
  <c r="I64" i="271"/>
  <c r="J64" i="271" s="1"/>
  <c r="I64" i="272"/>
  <c r="J64" i="272" s="1"/>
  <c r="I64" i="273"/>
  <c r="J64" i="273" s="1"/>
  <c r="I64" i="274"/>
  <c r="J64" i="274" s="1"/>
  <c r="I64" i="275"/>
  <c r="J64" i="275" s="1"/>
  <c r="I64" i="278"/>
  <c r="J64" i="278" s="1"/>
  <c r="I64" i="279"/>
  <c r="J64" i="279" s="1"/>
  <c r="I64" i="280"/>
  <c r="J64" i="280" s="1"/>
  <c r="I64" i="281"/>
  <c r="J64" i="281" s="1"/>
  <c r="I64" i="282"/>
  <c r="J64" i="282" s="1"/>
  <c r="I64" i="283"/>
  <c r="J64" i="283" s="1"/>
  <c r="I64" i="284"/>
  <c r="J64" i="284" s="1"/>
  <c r="I64" i="286"/>
  <c r="J64" i="286" s="1"/>
  <c r="I64" i="287"/>
  <c r="J64" i="287" s="1"/>
  <c r="I64" i="290"/>
  <c r="J64" i="290" s="1"/>
  <c r="I64" i="291"/>
  <c r="J64" i="291" s="1"/>
  <c r="I64" i="293"/>
  <c r="J64" i="293" s="1"/>
  <c r="I64" i="294"/>
  <c r="J64" i="294" s="1"/>
  <c r="I64" i="295"/>
  <c r="J64" i="295" s="1"/>
  <c r="I64" i="296"/>
  <c r="J64" i="296" s="1"/>
  <c r="I64" i="298"/>
  <c r="J64" i="298" s="1"/>
  <c r="I64" i="299"/>
  <c r="J64" i="299" s="1"/>
  <c r="I64" i="300"/>
  <c r="J64" i="300" s="1"/>
  <c r="I64" i="301"/>
  <c r="J64" i="301" s="1"/>
  <c r="I64" i="302"/>
  <c r="J64" i="302" s="1"/>
  <c r="I64" i="303"/>
  <c r="J64" i="303" s="1"/>
  <c r="I64" i="304"/>
  <c r="J64" i="304" s="1"/>
  <c r="I64" i="306"/>
  <c r="J64" i="306" s="1"/>
  <c r="I64" i="307"/>
  <c r="J64" i="307" s="1"/>
  <c r="I64" i="308"/>
  <c r="J64" i="308" s="1"/>
  <c r="I64" i="310"/>
  <c r="J64" i="310" s="1"/>
  <c r="I64" i="311"/>
  <c r="J64" i="311" s="1"/>
  <c r="I64" i="312"/>
  <c r="J64" i="312" s="1"/>
  <c r="I64" i="313"/>
  <c r="J64" i="313" s="1"/>
  <c r="I64" i="314"/>
  <c r="J64" i="314" s="1"/>
  <c r="I64" i="315"/>
  <c r="J64" i="315" s="1"/>
  <c r="I64" i="231"/>
  <c r="J64" i="231" s="1"/>
  <c r="I64" i="230"/>
  <c r="J64" i="230" s="1"/>
  <c r="I64" i="234"/>
  <c r="J64" i="234" s="1"/>
  <c r="I64" i="288" l="1"/>
  <c r="J64" i="288" s="1"/>
  <c r="I64" i="276"/>
  <c r="J64" i="276" s="1"/>
  <c r="I64" i="264"/>
  <c r="J64" i="264" s="1"/>
  <c r="I64" i="305"/>
  <c r="J64" i="305" s="1"/>
  <c r="I64" i="297"/>
  <c r="J64" i="297" s="1"/>
  <c r="I64" i="292"/>
  <c r="J64" i="292" s="1"/>
  <c r="I64" i="269"/>
  <c r="J64" i="269" s="1"/>
  <c r="I64" i="260"/>
  <c r="J64" i="260" s="1"/>
  <c r="I64" i="244"/>
  <c r="J64" i="244" s="1"/>
  <c r="I64" i="236"/>
  <c r="J64" i="236" s="1"/>
  <c r="I64" i="316"/>
  <c r="J64" i="316" s="1"/>
  <c r="I64" i="309"/>
  <c r="J64" i="309" s="1"/>
  <c r="I64" i="289"/>
  <c r="J64" i="289" s="1"/>
  <c r="I64" i="285"/>
  <c r="J64" i="285" s="1"/>
  <c r="I64" i="277"/>
  <c r="J64" i="277" s="1"/>
  <c r="I64" i="268"/>
  <c r="J64" i="268" s="1"/>
  <c r="I64" i="265"/>
  <c r="J64" i="265" s="1"/>
  <c r="I64" i="241"/>
  <c r="J64" i="241" s="1"/>
  <c r="I64" i="233"/>
  <c r="J64" i="233" s="1"/>
  <c r="I64" i="229"/>
  <c r="J64" i="229" s="1"/>
  <c r="B89" i="325"/>
  <c r="C95" i="35" l="1"/>
  <c r="D95" i="35"/>
  <c r="E95" i="35"/>
  <c r="F95" i="35"/>
  <c r="G95" i="35"/>
  <c r="H95" i="35"/>
  <c r="I95" i="35"/>
  <c r="B95" i="35"/>
  <c r="C90" i="323" l="1"/>
  <c r="C91" i="323" s="1"/>
  <c r="C92" i="323" s="1"/>
  <c r="D90" i="323"/>
  <c r="D91" i="323" s="1"/>
  <c r="D92" i="323" s="1"/>
  <c r="E90" i="323"/>
  <c r="E91" i="323" s="1"/>
  <c r="E92" i="323" s="1"/>
  <c r="F90" i="323"/>
  <c r="F91" i="323" s="1"/>
  <c r="F92" i="323" s="1"/>
  <c r="G90" i="323"/>
  <c r="G91" i="323" s="1"/>
  <c r="G92" i="323" s="1"/>
  <c r="H90" i="323"/>
  <c r="H91" i="323" s="1"/>
  <c r="H92" i="323" s="1"/>
  <c r="I90" i="323"/>
  <c r="I91" i="323" s="1"/>
  <c r="I92" i="323" s="1"/>
  <c r="J90" i="323"/>
  <c r="J91" i="323" s="1"/>
  <c r="J92" i="323" s="1"/>
  <c r="K90" i="323"/>
  <c r="K91" i="323" s="1"/>
  <c r="K92" i="323" s="1"/>
  <c r="L90" i="323"/>
  <c r="L91" i="323" s="1"/>
  <c r="L92" i="323" s="1"/>
  <c r="M90" i="323"/>
  <c r="M91" i="323" s="1"/>
  <c r="M92" i="323" s="1"/>
  <c r="N90" i="323"/>
  <c r="N91" i="323" s="1"/>
  <c r="N92" i="323" s="1"/>
  <c r="O90" i="323"/>
  <c r="O91" i="323" s="1"/>
  <c r="O92" i="323" s="1"/>
  <c r="P90" i="323"/>
  <c r="P91" i="323" s="1"/>
  <c r="P92" i="323" s="1"/>
  <c r="Q90" i="323"/>
  <c r="Q91" i="323" s="1"/>
  <c r="Q92" i="323" s="1"/>
  <c r="R90" i="323"/>
  <c r="R91" i="323" s="1"/>
  <c r="R92" i="323" s="1"/>
  <c r="S90" i="323"/>
  <c r="S91" i="323" s="1"/>
  <c r="S92" i="323" s="1"/>
  <c r="B90" i="323"/>
  <c r="B91" i="323" s="1"/>
  <c r="B92" i="323" s="1"/>
  <c r="M16" i="238" l="1"/>
  <c r="N16" i="238"/>
  <c r="O16" i="238"/>
  <c r="P16" i="238"/>
  <c r="Q16" i="238"/>
  <c r="O15" i="217" l="1"/>
  <c r="P23" i="238"/>
  <c r="N15" i="217"/>
  <c r="O23" i="238"/>
  <c r="M15" i="217"/>
  <c r="N23" i="238"/>
  <c r="P15" i="217"/>
  <c r="Q23" i="238"/>
  <c r="L15" i="217"/>
  <c r="M23" i="238"/>
  <c r="J132" i="273"/>
  <c r="J133" i="273"/>
  <c r="J130" i="273"/>
  <c r="J131" i="273"/>
  <c r="J134" i="273"/>
  <c r="M6" i="321" l="1"/>
  <c r="N6" i="321"/>
  <c r="O6" i="321"/>
  <c r="P6" i="321"/>
  <c r="DQ89" i="35"/>
  <c r="DI89" i="35"/>
  <c r="DA89" i="35"/>
  <c r="CS89" i="35"/>
  <c r="DQ4" i="35"/>
  <c r="DQ5" i="35"/>
  <c r="DQ6" i="35"/>
  <c r="DQ7" i="35"/>
  <c r="DQ8" i="35"/>
  <c r="DQ9" i="35"/>
  <c r="DQ10" i="35"/>
  <c r="DQ11" i="35"/>
  <c r="DQ12" i="35"/>
  <c r="DQ13" i="35"/>
  <c r="DQ14" i="35"/>
  <c r="DQ15" i="35"/>
  <c r="DQ16" i="35"/>
  <c r="DQ17" i="35"/>
  <c r="DQ18" i="35"/>
  <c r="DQ19" i="35"/>
  <c r="DQ20" i="35"/>
  <c r="DQ21" i="35"/>
  <c r="DQ22" i="35"/>
  <c r="DQ23" i="35"/>
  <c r="DQ24" i="35"/>
  <c r="DQ25" i="35"/>
  <c r="DQ26" i="35"/>
  <c r="DQ27" i="35"/>
  <c r="DQ28" i="35"/>
  <c r="DQ29" i="35"/>
  <c r="DQ30" i="35"/>
  <c r="DQ31" i="35"/>
  <c r="DQ32" i="35"/>
  <c r="DQ33" i="35"/>
  <c r="DQ34" i="35"/>
  <c r="DQ35" i="35"/>
  <c r="DQ36" i="35"/>
  <c r="DQ37" i="35"/>
  <c r="DQ38" i="35"/>
  <c r="DQ39" i="35"/>
  <c r="DQ40" i="35"/>
  <c r="DQ41" i="35"/>
  <c r="DQ42" i="35"/>
  <c r="DQ43" i="35"/>
  <c r="DQ44" i="35"/>
  <c r="DQ45" i="35"/>
  <c r="DQ46" i="35"/>
  <c r="DQ47" i="35"/>
  <c r="DQ48" i="35"/>
  <c r="DQ49" i="35"/>
  <c r="DQ50" i="35"/>
  <c r="DQ51" i="35"/>
  <c r="DQ52" i="35"/>
  <c r="DQ53" i="35"/>
  <c r="DQ54" i="35"/>
  <c r="DQ55" i="35"/>
  <c r="DQ56" i="35"/>
  <c r="DQ57" i="35"/>
  <c r="DQ58" i="35"/>
  <c r="DQ59" i="35"/>
  <c r="DQ60" i="35"/>
  <c r="DQ61" i="35"/>
  <c r="DQ62" i="35"/>
  <c r="DQ63" i="35"/>
  <c r="DQ64" i="35"/>
  <c r="DQ65" i="35"/>
  <c r="DQ66" i="35"/>
  <c r="DQ67" i="35"/>
  <c r="DQ68" i="35"/>
  <c r="DQ69" i="35"/>
  <c r="DQ70" i="35"/>
  <c r="DQ71" i="35"/>
  <c r="DQ72" i="35"/>
  <c r="DQ73" i="35"/>
  <c r="DQ74" i="35"/>
  <c r="DQ75" i="35"/>
  <c r="DQ76" i="35"/>
  <c r="DQ77" i="35"/>
  <c r="DQ78" i="35"/>
  <c r="DQ79" i="35"/>
  <c r="DQ80" i="35"/>
  <c r="DQ81" i="35"/>
  <c r="DQ82" i="35"/>
  <c r="DQ83" i="35"/>
  <c r="DQ84" i="35"/>
  <c r="DQ85" i="35"/>
  <c r="DQ86" i="35"/>
  <c r="DQ87" i="35"/>
  <c r="DQ88" i="35"/>
  <c r="DI4" i="35"/>
  <c r="DI5" i="35"/>
  <c r="DI6" i="35"/>
  <c r="DI7" i="35"/>
  <c r="DI8" i="35"/>
  <c r="DI9" i="35"/>
  <c r="DI10" i="35"/>
  <c r="DI11" i="35"/>
  <c r="DI12" i="35"/>
  <c r="DI13" i="35"/>
  <c r="DI14" i="35"/>
  <c r="DI15" i="35"/>
  <c r="DI16" i="35"/>
  <c r="DI17" i="35"/>
  <c r="DI18" i="35"/>
  <c r="DI19" i="35"/>
  <c r="DI20" i="35"/>
  <c r="DI21" i="35"/>
  <c r="DI22" i="35"/>
  <c r="DI23" i="35"/>
  <c r="DI24" i="35"/>
  <c r="DI25" i="35"/>
  <c r="DI26" i="35"/>
  <c r="DI27" i="35"/>
  <c r="DI28" i="35"/>
  <c r="DI29" i="35"/>
  <c r="DI30" i="35"/>
  <c r="DI31" i="35"/>
  <c r="DI32" i="35"/>
  <c r="DI33" i="35"/>
  <c r="DI34" i="35"/>
  <c r="DI35" i="35"/>
  <c r="DI36" i="35"/>
  <c r="DI37" i="35"/>
  <c r="DI38" i="35"/>
  <c r="DI39" i="35"/>
  <c r="DI40" i="35"/>
  <c r="DI41" i="35"/>
  <c r="DI42" i="35"/>
  <c r="DI43" i="35"/>
  <c r="DI44" i="35"/>
  <c r="DI45" i="35"/>
  <c r="DI46" i="35"/>
  <c r="DI47" i="35"/>
  <c r="DI48" i="35"/>
  <c r="DI49" i="35"/>
  <c r="DI50" i="35"/>
  <c r="DI51" i="35"/>
  <c r="DI52" i="35"/>
  <c r="DI53" i="35"/>
  <c r="DI54" i="35"/>
  <c r="DI55" i="35"/>
  <c r="DI56" i="35"/>
  <c r="DI57" i="35"/>
  <c r="DI58" i="35"/>
  <c r="DI59" i="35"/>
  <c r="DI60" i="35"/>
  <c r="DI61" i="35"/>
  <c r="DI62" i="35"/>
  <c r="DI63" i="35"/>
  <c r="DI64" i="35"/>
  <c r="DI65" i="35"/>
  <c r="DI66" i="35"/>
  <c r="DI67" i="35"/>
  <c r="DI68" i="35"/>
  <c r="DI69" i="35"/>
  <c r="DI70" i="35"/>
  <c r="DI71" i="35"/>
  <c r="DI72" i="35"/>
  <c r="DI73" i="35"/>
  <c r="DI74" i="35"/>
  <c r="DI75" i="35"/>
  <c r="DI76" i="35"/>
  <c r="DI77" i="35"/>
  <c r="DI78" i="35"/>
  <c r="DI79" i="35"/>
  <c r="DI80" i="35"/>
  <c r="DI81" i="35"/>
  <c r="DI82" i="35"/>
  <c r="DI83" i="35"/>
  <c r="DI84" i="35"/>
  <c r="DI85" i="35"/>
  <c r="DI86" i="35"/>
  <c r="DI87" i="35"/>
  <c r="DI88" i="35"/>
  <c r="DA4" i="35"/>
  <c r="DA5" i="35"/>
  <c r="DA6" i="35"/>
  <c r="DA7" i="35"/>
  <c r="DA8" i="35"/>
  <c r="DA9" i="35"/>
  <c r="DA10" i="35"/>
  <c r="DA11" i="35"/>
  <c r="DA12" i="35"/>
  <c r="DA13" i="35"/>
  <c r="DA14" i="35"/>
  <c r="DA15" i="35"/>
  <c r="DA16" i="35"/>
  <c r="DA17" i="35"/>
  <c r="DA18" i="35"/>
  <c r="DA19" i="35"/>
  <c r="DA20" i="35"/>
  <c r="DA21" i="35"/>
  <c r="DA22" i="35"/>
  <c r="DA23" i="35"/>
  <c r="DA24" i="35"/>
  <c r="DA25" i="35"/>
  <c r="DA26" i="35"/>
  <c r="DA27" i="35"/>
  <c r="DA28" i="35"/>
  <c r="DA29" i="35"/>
  <c r="DA30" i="35"/>
  <c r="DA31" i="35"/>
  <c r="DA32" i="35"/>
  <c r="DA33" i="35"/>
  <c r="DA34" i="35"/>
  <c r="DA35" i="35"/>
  <c r="DA36" i="35"/>
  <c r="DA37" i="35"/>
  <c r="DA38" i="35"/>
  <c r="DA39" i="35"/>
  <c r="DA40" i="35"/>
  <c r="DA41" i="35"/>
  <c r="DA42" i="35"/>
  <c r="DA43" i="35"/>
  <c r="DA44" i="35"/>
  <c r="DA45" i="35"/>
  <c r="DA46" i="35"/>
  <c r="DA47" i="35"/>
  <c r="DA48" i="35"/>
  <c r="DA49" i="35"/>
  <c r="DA50" i="35"/>
  <c r="DA51" i="35"/>
  <c r="DA52" i="35"/>
  <c r="DA53" i="35"/>
  <c r="DA54" i="35"/>
  <c r="DA55" i="35"/>
  <c r="DA56" i="35"/>
  <c r="DA57" i="35"/>
  <c r="DA58" i="35"/>
  <c r="DA59" i="35"/>
  <c r="DA60" i="35"/>
  <c r="DA61" i="35"/>
  <c r="DA62" i="35"/>
  <c r="DA63" i="35"/>
  <c r="DA64" i="35"/>
  <c r="DA65" i="35"/>
  <c r="DA66" i="35"/>
  <c r="DA67" i="35"/>
  <c r="DA68" i="35"/>
  <c r="DA69" i="35"/>
  <c r="DA70" i="35"/>
  <c r="DA71" i="35"/>
  <c r="DA72" i="35"/>
  <c r="DA73" i="35"/>
  <c r="DA74" i="35"/>
  <c r="DA75" i="35"/>
  <c r="DA76" i="35"/>
  <c r="DA77" i="35"/>
  <c r="DA78" i="35"/>
  <c r="DA79" i="35"/>
  <c r="DA80" i="35"/>
  <c r="DA81" i="35"/>
  <c r="DA82" i="35"/>
  <c r="DA83" i="35"/>
  <c r="DA84" i="35"/>
  <c r="DA85" i="35"/>
  <c r="DA86" i="35"/>
  <c r="DA87" i="35"/>
  <c r="DA88" i="35"/>
  <c r="CS4" i="35"/>
  <c r="CS5" i="35"/>
  <c r="CS6" i="35"/>
  <c r="CS7" i="35"/>
  <c r="CS8" i="35"/>
  <c r="CS9" i="35"/>
  <c r="CS10" i="35"/>
  <c r="CS11" i="35"/>
  <c r="CS12" i="35"/>
  <c r="CS13" i="35"/>
  <c r="CS14" i="35"/>
  <c r="CS15" i="35"/>
  <c r="CS16" i="35"/>
  <c r="CS17" i="35"/>
  <c r="CS18" i="35"/>
  <c r="CS19" i="35"/>
  <c r="CS20" i="35"/>
  <c r="CS21" i="35"/>
  <c r="CS22" i="35"/>
  <c r="CS23" i="35"/>
  <c r="CS24" i="35"/>
  <c r="CS25" i="35"/>
  <c r="CS26" i="35"/>
  <c r="CS27" i="35"/>
  <c r="CS28" i="35"/>
  <c r="CS29" i="35"/>
  <c r="CS30" i="35"/>
  <c r="CS31" i="35"/>
  <c r="CS32" i="35"/>
  <c r="CS33" i="35"/>
  <c r="CS34" i="35"/>
  <c r="CS35" i="35"/>
  <c r="CS36" i="35"/>
  <c r="CS37" i="35"/>
  <c r="CS38" i="35"/>
  <c r="CS39" i="35"/>
  <c r="CS40" i="35"/>
  <c r="CS41" i="35"/>
  <c r="CS42" i="35"/>
  <c r="CS43" i="35"/>
  <c r="CS44" i="35"/>
  <c r="CS45" i="35"/>
  <c r="CS46" i="35"/>
  <c r="CS47" i="35"/>
  <c r="CS48" i="35"/>
  <c r="CS49" i="35"/>
  <c r="CS50" i="35"/>
  <c r="CS51" i="35"/>
  <c r="CS52" i="35"/>
  <c r="CS53" i="35"/>
  <c r="CS54" i="35"/>
  <c r="CS55" i="35"/>
  <c r="CS56" i="35"/>
  <c r="CS57" i="35"/>
  <c r="CS58" i="35"/>
  <c r="CS59" i="35"/>
  <c r="CS60" i="35"/>
  <c r="CS61" i="35"/>
  <c r="CS62" i="35"/>
  <c r="CS63" i="35"/>
  <c r="CS64" i="35"/>
  <c r="CS65" i="35"/>
  <c r="CS66" i="35"/>
  <c r="CS67" i="35"/>
  <c r="CS68" i="35"/>
  <c r="CS69" i="35"/>
  <c r="CS70" i="35"/>
  <c r="CS71" i="35"/>
  <c r="CS72" i="35"/>
  <c r="CS73" i="35"/>
  <c r="CS74" i="35"/>
  <c r="CS75" i="35"/>
  <c r="CS76" i="35"/>
  <c r="CS77" i="35"/>
  <c r="CS78" i="35"/>
  <c r="CS79" i="35"/>
  <c r="CS80" i="35"/>
  <c r="CS81" i="35"/>
  <c r="CS82" i="35"/>
  <c r="CS83" i="35"/>
  <c r="CS84" i="35"/>
  <c r="CS85" i="35"/>
  <c r="CS86" i="35"/>
  <c r="CS87" i="35"/>
  <c r="CS88" i="35"/>
  <c r="DQ3" i="35"/>
  <c r="DI3" i="35"/>
  <c r="DA3" i="35"/>
  <c r="CS3" i="35"/>
  <c r="M11" i="317"/>
  <c r="M13" i="317" s="1"/>
  <c r="DQ95" i="35" l="1"/>
  <c r="DI95" i="35"/>
  <c r="CS95" i="35"/>
  <c r="DA95" i="35"/>
  <c r="Q43" i="35" l="1"/>
  <c r="Y43" i="35"/>
  <c r="AG43" i="35"/>
  <c r="AO43" i="35"/>
  <c r="AW43" i="35"/>
  <c r="BE43" i="35"/>
  <c r="BM43" i="35"/>
  <c r="BU43" i="35"/>
  <c r="CC43" i="35"/>
  <c r="CK43" i="35"/>
  <c r="Q36" i="35"/>
  <c r="Y36" i="35"/>
  <c r="AG36" i="35"/>
  <c r="AO36" i="35"/>
  <c r="AW36" i="35"/>
  <c r="BE36" i="35"/>
  <c r="BM36" i="35"/>
  <c r="BU36" i="35"/>
  <c r="CC36" i="35"/>
  <c r="CK36" i="35"/>
  <c r="AG69" i="35"/>
  <c r="AO69" i="35"/>
  <c r="AW69" i="35"/>
  <c r="BE69" i="35"/>
  <c r="BM69" i="35"/>
  <c r="BU69" i="35"/>
  <c r="CC69" i="35"/>
  <c r="CK69" i="35"/>
  <c r="AG70" i="35"/>
  <c r="AO70" i="35"/>
  <c r="AW70" i="35"/>
  <c r="BE70" i="35"/>
  <c r="AX70" i="35" s="1"/>
  <c r="I50" i="297" s="1"/>
  <c r="BM70" i="35"/>
  <c r="BU70" i="35"/>
  <c r="CC70" i="35"/>
  <c r="CK70" i="35"/>
  <c r="CD70" i="35" s="1"/>
  <c r="M50" i="297" s="1"/>
  <c r="AG71" i="35"/>
  <c r="AO71" i="35"/>
  <c r="AH71" i="35" s="1"/>
  <c r="G50" i="298" s="1"/>
  <c r="AW71" i="35"/>
  <c r="BE71" i="35"/>
  <c r="AX71" i="35" s="1"/>
  <c r="I50" i="298" s="1"/>
  <c r="BM71" i="35"/>
  <c r="BU71" i="35"/>
  <c r="CC71" i="35"/>
  <c r="BV71" i="35" s="1"/>
  <c r="L50" i="298" s="1"/>
  <c r="CK71" i="35"/>
  <c r="AG72" i="35"/>
  <c r="AO72" i="35"/>
  <c r="AW72" i="35"/>
  <c r="AP72" i="35" s="1"/>
  <c r="H50" i="299" s="1"/>
  <c r="BE72" i="35"/>
  <c r="AX72" i="35" s="1"/>
  <c r="I50" i="299" s="1"/>
  <c r="BM72" i="35"/>
  <c r="BU72" i="35"/>
  <c r="BN72" i="35" s="1"/>
  <c r="K50" i="299" s="1"/>
  <c r="CC72" i="35"/>
  <c r="CK72" i="35"/>
  <c r="CD72" i="35" s="1"/>
  <c r="M50" i="299" s="1"/>
  <c r="AG73" i="35"/>
  <c r="AO73" i="35"/>
  <c r="AH73" i="35" s="1"/>
  <c r="G50" i="300" s="1"/>
  <c r="AW73" i="35"/>
  <c r="BE73" i="35"/>
  <c r="AX73" i="35" s="1"/>
  <c r="I50" i="300" s="1"/>
  <c r="BM73" i="35"/>
  <c r="BU73" i="35"/>
  <c r="BN73" i="35" s="1"/>
  <c r="K50" i="300" s="1"/>
  <c r="CC73" i="35"/>
  <c r="CK73" i="35"/>
  <c r="CD73" i="35" s="1"/>
  <c r="M50" i="300" s="1"/>
  <c r="AG74" i="35"/>
  <c r="AO74" i="35"/>
  <c r="AH74" i="35" s="1"/>
  <c r="G50" i="301" s="1"/>
  <c r="AW74" i="35"/>
  <c r="BE74" i="35"/>
  <c r="AX74" i="35" s="1"/>
  <c r="I50" i="301" s="1"/>
  <c r="BM74" i="35"/>
  <c r="BU74" i="35"/>
  <c r="BN74" i="35" s="1"/>
  <c r="K50" i="301" s="1"/>
  <c r="CC74" i="35"/>
  <c r="CK74" i="35"/>
  <c r="CD74" i="35" s="1"/>
  <c r="M50" i="301" s="1"/>
  <c r="AG75" i="35"/>
  <c r="AO75" i="35"/>
  <c r="AH75" i="35" s="1"/>
  <c r="G50" i="302" s="1"/>
  <c r="AW75" i="35"/>
  <c r="BE75" i="35"/>
  <c r="AX75" i="35" s="1"/>
  <c r="I50" i="302" s="1"/>
  <c r="BM75" i="35"/>
  <c r="BU75" i="35"/>
  <c r="BN75" i="35" s="1"/>
  <c r="K50" i="302" s="1"/>
  <c r="CC75" i="35"/>
  <c r="CK75" i="35"/>
  <c r="CD75" i="35" s="1"/>
  <c r="M50" i="302" s="1"/>
  <c r="AG76" i="35"/>
  <c r="AO76" i="35"/>
  <c r="AH76" i="35" s="1"/>
  <c r="G50" i="303" s="1"/>
  <c r="AW76" i="35"/>
  <c r="BE76" i="35"/>
  <c r="AX76" i="35" s="1"/>
  <c r="BM76" i="35"/>
  <c r="BU76" i="35"/>
  <c r="BN76" i="35" s="1"/>
  <c r="K50" i="303" s="1"/>
  <c r="CC76" i="35"/>
  <c r="CK76" i="35"/>
  <c r="CD76" i="35" s="1"/>
  <c r="M50" i="303" s="1"/>
  <c r="AG77" i="35"/>
  <c r="AO77" i="35"/>
  <c r="AH77" i="35" s="1"/>
  <c r="G50" i="304" s="1"/>
  <c r="AW77" i="35"/>
  <c r="BE77" i="35"/>
  <c r="AX77" i="35" s="1"/>
  <c r="BM77" i="35"/>
  <c r="BU77" i="35"/>
  <c r="BN77" i="35" s="1"/>
  <c r="K50" i="304" s="1"/>
  <c r="CC77" i="35"/>
  <c r="CK77" i="35"/>
  <c r="CD77" i="35" s="1"/>
  <c r="AG78" i="35"/>
  <c r="AO78" i="35"/>
  <c r="AH78" i="35" s="1"/>
  <c r="G50" i="305" s="1"/>
  <c r="AW78" i="35"/>
  <c r="BE78" i="35"/>
  <c r="AX78" i="35" s="1"/>
  <c r="I50" i="305" s="1"/>
  <c r="BM78" i="35"/>
  <c r="BU78" i="35"/>
  <c r="BN78" i="35" s="1"/>
  <c r="K50" i="305" s="1"/>
  <c r="CC78" i="35"/>
  <c r="CK78" i="35"/>
  <c r="CD78" i="35" s="1"/>
  <c r="M50" i="305" s="1"/>
  <c r="AG79" i="35"/>
  <c r="AO79" i="35"/>
  <c r="AH79" i="35" s="1"/>
  <c r="G50" i="306" s="1"/>
  <c r="AW79" i="35"/>
  <c r="BE79" i="35"/>
  <c r="AX79" i="35" s="1"/>
  <c r="BM79" i="35"/>
  <c r="BU79" i="35"/>
  <c r="BN79" i="35" s="1"/>
  <c r="K50" i="306" s="1"/>
  <c r="CC79" i="35"/>
  <c r="CK79" i="35"/>
  <c r="CD79" i="35" s="1"/>
  <c r="M50" i="306" s="1"/>
  <c r="AG80" i="35"/>
  <c r="AO80" i="35"/>
  <c r="AH80" i="35" s="1"/>
  <c r="G50" i="307" s="1"/>
  <c r="AW80" i="35"/>
  <c r="BE80" i="35"/>
  <c r="AX80" i="35" s="1"/>
  <c r="I50" i="307" s="1"/>
  <c r="BM80" i="35"/>
  <c r="BU80" i="35"/>
  <c r="BN80" i="35" s="1"/>
  <c r="K50" i="307" s="1"/>
  <c r="CC80" i="35"/>
  <c r="CK80" i="35"/>
  <c r="CD80" i="35" s="1"/>
  <c r="M50" i="307" s="1"/>
  <c r="AG81" i="35"/>
  <c r="AO81" i="35"/>
  <c r="AH81" i="35" s="1"/>
  <c r="G50" i="308" s="1"/>
  <c r="AW81" i="35"/>
  <c r="BE81" i="35"/>
  <c r="AX81" i="35" s="1"/>
  <c r="BM81" i="35"/>
  <c r="BU81" i="35"/>
  <c r="BN81" i="35" s="1"/>
  <c r="K50" i="308" s="1"/>
  <c r="CC81" i="35"/>
  <c r="CK81" i="35"/>
  <c r="CD81" i="35" s="1"/>
  <c r="AO68" i="35"/>
  <c r="AW68" i="35"/>
  <c r="BE68" i="35"/>
  <c r="BM68" i="35"/>
  <c r="BU68" i="35"/>
  <c r="CC68" i="35"/>
  <c r="CK68" i="35"/>
  <c r="Y69" i="35"/>
  <c r="Y70" i="35"/>
  <c r="Y71" i="35"/>
  <c r="Y72" i="35"/>
  <c r="Y73" i="35"/>
  <c r="Y74" i="35"/>
  <c r="Y75" i="35"/>
  <c r="R75" i="35" s="1"/>
  <c r="E50" i="302" s="1"/>
  <c r="Y76" i="35"/>
  <c r="Y77" i="35"/>
  <c r="R77" i="35" s="1"/>
  <c r="E50" i="304" s="1"/>
  <c r="Y78" i="35"/>
  <c r="Y79" i="35"/>
  <c r="Y80" i="35"/>
  <c r="R80" i="35" s="1"/>
  <c r="E50" i="307" s="1"/>
  <c r="Y81" i="35"/>
  <c r="Y82" i="35"/>
  <c r="R82" i="35" s="1"/>
  <c r="E50" i="309" s="1"/>
  <c r="Q69" i="35"/>
  <c r="Q70" i="35"/>
  <c r="Q71" i="35"/>
  <c r="Q72" i="35"/>
  <c r="Q73" i="35"/>
  <c r="Q74" i="35"/>
  <c r="Q75" i="35"/>
  <c r="Q76" i="35"/>
  <c r="J76" i="35" s="1"/>
  <c r="D50" i="303" s="1"/>
  <c r="Q77" i="35"/>
  <c r="Q78" i="35"/>
  <c r="Q79" i="35"/>
  <c r="J79" i="35" s="1"/>
  <c r="D50" i="306" s="1"/>
  <c r="Q80" i="35"/>
  <c r="Q81" i="35"/>
  <c r="J81" i="35" s="1"/>
  <c r="D50" i="308" s="1"/>
  <c r="CE77" i="35" l="1"/>
  <c r="D130" i="304" s="1"/>
  <c r="M50" i="304"/>
  <c r="AY77" i="35"/>
  <c r="AZ77" i="35" s="1"/>
  <c r="BA77" i="35" s="1"/>
  <c r="I50" i="304"/>
  <c r="CE81" i="35"/>
  <c r="D130" i="308" s="1"/>
  <c r="M50" i="308"/>
  <c r="AY81" i="35"/>
  <c r="AZ81" i="35" s="1"/>
  <c r="I50" i="308"/>
  <c r="AY79" i="35"/>
  <c r="I50" i="306"/>
  <c r="AY76" i="35"/>
  <c r="AZ76" i="35" s="1"/>
  <c r="BA76" i="35" s="1"/>
  <c r="I50" i="303"/>
  <c r="BO77" i="35"/>
  <c r="BP77" i="35" s="1"/>
  <c r="BQ77" i="35" s="1"/>
  <c r="BO79" i="35"/>
  <c r="BP79" i="35" s="1"/>
  <c r="BQ79" i="35" s="1"/>
  <c r="BO73" i="35"/>
  <c r="BP73" i="35" s="1"/>
  <c r="BO75" i="35"/>
  <c r="BP75" i="35" s="1"/>
  <c r="AI80" i="35"/>
  <c r="AI78" i="35"/>
  <c r="AJ78" i="35" s="1"/>
  <c r="AI76" i="35"/>
  <c r="AI74" i="35"/>
  <c r="AJ74" i="35" s="1"/>
  <c r="AK74" i="35" s="1"/>
  <c r="AI71" i="35"/>
  <c r="AJ71" i="35" s="1"/>
  <c r="AK71" i="35" s="1"/>
  <c r="BO80" i="35"/>
  <c r="BP80" i="35" s="1"/>
  <c r="BO78" i="35"/>
  <c r="BP78" i="35" s="1"/>
  <c r="BO76" i="35"/>
  <c r="BP76" i="35" s="1"/>
  <c r="BQ76" i="35" s="1"/>
  <c r="BO74" i="35"/>
  <c r="BP74" i="35" s="1"/>
  <c r="BQ74" i="35" s="1"/>
  <c r="BO72" i="35"/>
  <c r="BP72" i="35" s="1"/>
  <c r="AI81" i="35"/>
  <c r="AJ81" i="35" s="1"/>
  <c r="AI79" i="35"/>
  <c r="AI77" i="35"/>
  <c r="AJ77" i="35" s="1"/>
  <c r="AK77" i="35" s="1"/>
  <c r="AI75" i="35"/>
  <c r="AJ75" i="35" s="1"/>
  <c r="AI73" i="35"/>
  <c r="AJ73" i="35" s="1"/>
  <c r="CD43" i="35"/>
  <c r="M50" i="270" s="1"/>
  <c r="BV43" i="35"/>
  <c r="L50" i="270" s="1"/>
  <c r="BN43" i="35"/>
  <c r="K50" i="270" s="1"/>
  <c r="BF43" i="35"/>
  <c r="J50" i="270" s="1"/>
  <c r="AX43" i="35"/>
  <c r="I50" i="270" s="1"/>
  <c r="AP43" i="35"/>
  <c r="H50" i="270" s="1"/>
  <c r="AH43" i="35"/>
  <c r="G50" i="270" s="1"/>
  <c r="Z43" i="35"/>
  <c r="F50" i="270" s="1"/>
  <c r="R43" i="35"/>
  <c r="E50" i="270" s="1"/>
  <c r="J43" i="35"/>
  <c r="D50" i="270" s="1"/>
  <c r="CD36" i="35"/>
  <c r="M50" i="263" s="1"/>
  <c r="BV36" i="35"/>
  <c r="L50" i="263" s="1"/>
  <c r="BN36" i="35"/>
  <c r="K50" i="263" s="1"/>
  <c r="BF36" i="35"/>
  <c r="J50" i="263" s="1"/>
  <c r="AX36" i="35"/>
  <c r="I50" i="263" s="1"/>
  <c r="AP36" i="35"/>
  <c r="H50" i="263" s="1"/>
  <c r="AH36" i="35"/>
  <c r="G50" i="263" s="1"/>
  <c r="Z36" i="35"/>
  <c r="F50" i="263" s="1"/>
  <c r="R36" i="35"/>
  <c r="E50" i="263" s="1"/>
  <c r="J36" i="35"/>
  <c r="D50" i="263" s="1"/>
  <c r="CE80" i="35"/>
  <c r="D130" i="307" s="1"/>
  <c r="AY80" i="35"/>
  <c r="CE79" i="35"/>
  <c r="CE78" i="35"/>
  <c r="AY78" i="35"/>
  <c r="CE76" i="35"/>
  <c r="CE75" i="35"/>
  <c r="AY75" i="35"/>
  <c r="AZ75" i="35" s="1"/>
  <c r="BA75" i="35" s="1"/>
  <c r="CE74" i="35"/>
  <c r="D130" i="301" s="1"/>
  <c r="AY74" i="35"/>
  <c r="CE73" i="35"/>
  <c r="AY73" i="35"/>
  <c r="AZ73" i="35" s="1"/>
  <c r="BA73" i="35" s="1"/>
  <c r="CE72" i="35"/>
  <c r="D130" i="299" s="1"/>
  <c r="AY72" i="35"/>
  <c r="AZ72" i="35" s="1"/>
  <c r="AY71" i="35"/>
  <c r="CE70" i="35"/>
  <c r="AY70" i="35"/>
  <c r="BO81" i="35"/>
  <c r="AQ72" i="35"/>
  <c r="BW71" i="35"/>
  <c r="BV81" i="35"/>
  <c r="L50" i="308" s="1"/>
  <c r="BF81" i="35"/>
  <c r="J50" i="308" s="1"/>
  <c r="AP81" i="35"/>
  <c r="H50" i="308" s="1"/>
  <c r="Z81" i="35"/>
  <c r="F50" i="308" s="1"/>
  <c r="BV80" i="35"/>
  <c r="L50" i="307" s="1"/>
  <c r="BF80" i="35"/>
  <c r="J50" i="307" s="1"/>
  <c r="AP80" i="35"/>
  <c r="H50" i="307" s="1"/>
  <c r="Z80" i="35"/>
  <c r="F50" i="307" s="1"/>
  <c r="BV79" i="35"/>
  <c r="L50" i="306" s="1"/>
  <c r="BF79" i="35"/>
  <c r="J50" i="306" s="1"/>
  <c r="AP79" i="35"/>
  <c r="H50" i="306" s="1"/>
  <c r="Z79" i="35"/>
  <c r="F50" i="306" s="1"/>
  <c r="BV78" i="35"/>
  <c r="L50" i="305" s="1"/>
  <c r="BF78" i="35"/>
  <c r="J50" i="305" s="1"/>
  <c r="AP78" i="35"/>
  <c r="H50" i="305" s="1"/>
  <c r="Z78" i="35"/>
  <c r="F50" i="305" s="1"/>
  <c r="BV77" i="35"/>
  <c r="L50" i="304" s="1"/>
  <c r="BF77" i="35"/>
  <c r="J50" i="304" s="1"/>
  <c r="AP77" i="35"/>
  <c r="H50" i="304" s="1"/>
  <c r="Z77" i="35"/>
  <c r="F50" i="304" s="1"/>
  <c r="BV76" i="35"/>
  <c r="L50" i="303" s="1"/>
  <c r="BF76" i="35"/>
  <c r="J50" i="303" s="1"/>
  <c r="AP76" i="35"/>
  <c r="H50" i="303" s="1"/>
  <c r="Z76" i="35"/>
  <c r="F50" i="303" s="1"/>
  <c r="BV75" i="35"/>
  <c r="L50" i="302" s="1"/>
  <c r="BF75" i="35"/>
  <c r="J50" i="302" s="1"/>
  <c r="AP75" i="35"/>
  <c r="H50" i="302" s="1"/>
  <c r="Z75" i="35"/>
  <c r="F50" i="302" s="1"/>
  <c r="BV74" i="35"/>
  <c r="L50" i="301" s="1"/>
  <c r="BF74" i="35"/>
  <c r="J50" i="301" s="1"/>
  <c r="AP74" i="35"/>
  <c r="H50" i="301" s="1"/>
  <c r="Z74" i="35"/>
  <c r="F50" i="301" s="1"/>
  <c r="BV73" i="35"/>
  <c r="L50" i="300" s="1"/>
  <c r="BF73" i="35"/>
  <c r="J50" i="300" s="1"/>
  <c r="AP73" i="35"/>
  <c r="H50" i="300" s="1"/>
  <c r="Z73" i="35"/>
  <c r="F50" i="300" s="1"/>
  <c r="BV72" i="35"/>
  <c r="L50" i="299" s="1"/>
  <c r="BF72" i="35"/>
  <c r="J50" i="299" s="1"/>
  <c r="AH72" i="35"/>
  <c r="G50" i="299" s="1"/>
  <c r="Z72" i="35"/>
  <c r="F50" i="299" s="1"/>
  <c r="CD71" i="35"/>
  <c r="M50" i="298" s="1"/>
  <c r="BN71" i="35"/>
  <c r="K50" i="298" s="1"/>
  <c r="BF71" i="35"/>
  <c r="J50" i="298" s="1"/>
  <c r="AP71" i="35"/>
  <c r="H50" i="298" s="1"/>
  <c r="Z71" i="35"/>
  <c r="F50" i="298" s="1"/>
  <c r="BV70" i="35"/>
  <c r="L50" i="297" s="1"/>
  <c r="BN70" i="35"/>
  <c r="K50" i="297" s="1"/>
  <c r="BF70" i="35"/>
  <c r="J50" i="297" s="1"/>
  <c r="AP70" i="35"/>
  <c r="H50" i="297" s="1"/>
  <c r="AH70" i="35"/>
  <c r="G50" i="297" s="1"/>
  <c r="Z70" i="35"/>
  <c r="F50" i="297" s="1"/>
  <c r="CD69" i="35"/>
  <c r="M50" i="296" s="1"/>
  <c r="BV69" i="35"/>
  <c r="L50" i="296" s="1"/>
  <c r="BN69" i="35"/>
  <c r="K50" i="296" s="1"/>
  <c r="BF69" i="35"/>
  <c r="J50" i="296" s="1"/>
  <c r="AX69" i="35"/>
  <c r="I50" i="296" s="1"/>
  <c r="AP69" i="35"/>
  <c r="H50" i="296" s="1"/>
  <c r="AH69" i="35"/>
  <c r="G50" i="296" s="1"/>
  <c r="Z69" i="35"/>
  <c r="F50" i="296" s="1"/>
  <c r="CD68" i="35"/>
  <c r="M50" i="295" s="1"/>
  <c r="BV68" i="35"/>
  <c r="L50" i="295" s="1"/>
  <c r="BN68" i="35"/>
  <c r="K50" i="295" s="1"/>
  <c r="BF68" i="35"/>
  <c r="J50" i="295" s="1"/>
  <c r="AX68" i="35"/>
  <c r="I50" i="295" s="1"/>
  <c r="AP68" i="35"/>
  <c r="H50" i="295" s="1"/>
  <c r="AH68" i="35"/>
  <c r="G50" i="295" s="1"/>
  <c r="S82" i="35"/>
  <c r="T82" i="35" s="1"/>
  <c r="S75" i="35"/>
  <c r="S77" i="35"/>
  <c r="S80" i="35"/>
  <c r="R81" i="35"/>
  <c r="E50" i="308" s="1"/>
  <c r="R79" i="35"/>
  <c r="E50" i="306" s="1"/>
  <c r="R78" i="35"/>
  <c r="E50" i="305" s="1"/>
  <c r="R76" i="35"/>
  <c r="E50" i="303" s="1"/>
  <c r="R74" i="35"/>
  <c r="E50" i="301" s="1"/>
  <c r="R73" i="35"/>
  <c r="E50" i="300" s="1"/>
  <c r="R72" i="35"/>
  <c r="E50" i="299" s="1"/>
  <c r="R71" i="35"/>
  <c r="E50" i="298" s="1"/>
  <c r="R70" i="35"/>
  <c r="E50" i="297" s="1"/>
  <c r="R69" i="35"/>
  <c r="E50" i="296" s="1"/>
  <c r="K79" i="35"/>
  <c r="L79" i="35" s="1"/>
  <c r="K81" i="35"/>
  <c r="L81" i="35" s="1"/>
  <c r="M81" i="35" s="1"/>
  <c r="N81" i="35" s="1"/>
  <c r="K76" i="35"/>
  <c r="J80" i="35"/>
  <c r="D50" i="307" s="1"/>
  <c r="J78" i="35"/>
  <c r="D50" i="305" s="1"/>
  <c r="J77" i="35"/>
  <c r="D50" i="304" s="1"/>
  <c r="J75" i="35"/>
  <c r="D50" i="302" s="1"/>
  <c r="J74" i="35"/>
  <c r="D50" i="301" s="1"/>
  <c r="J73" i="35"/>
  <c r="D50" i="300" s="1"/>
  <c r="J72" i="35"/>
  <c r="D50" i="299" s="1"/>
  <c r="J71" i="35"/>
  <c r="D50" i="298" s="1"/>
  <c r="J70" i="35"/>
  <c r="D50" i="297" s="1"/>
  <c r="J69" i="35"/>
  <c r="D50" i="296" s="1"/>
  <c r="BA81" i="35" l="1"/>
  <c r="BB81" i="35" s="1"/>
  <c r="CF81" i="35"/>
  <c r="E130" i="308" s="1"/>
  <c r="AZ79" i="35"/>
  <c r="BA79" i="35" s="1"/>
  <c r="BB79" i="35" s="1"/>
  <c r="BC79" i="35" s="1"/>
  <c r="BD79" i="35" s="1"/>
  <c r="CF76" i="35"/>
  <c r="D130" i="303"/>
  <c r="CF70" i="35"/>
  <c r="D130" i="297"/>
  <c r="CF78" i="35"/>
  <c r="E130" i="305" s="1"/>
  <c r="D130" i="305"/>
  <c r="AJ79" i="35"/>
  <c r="AK79" i="35" s="1"/>
  <c r="AL79" i="35" s="1"/>
  <c r="AM79" i="35" s="1"/>
  <c r="AN79" i="35" s="1"/>
  <c r="CF73" i="35"/>
  <c r="E130" i="300" s="1"/>
  <c r="D130" i="300"/>
  <c r="CF75" i="35"/>
  <c r="E130" i="302" s="1"/>
  <c r="D130" i="302"/>
  <c r="CF79" i="35"/>
  <c r="E130" i="306" s="1"/>
  <c r="D130" i="306"/>
  <c r="CF77" i="35"/>
  <c r="DJ80" i="35"/>
  <c r="DJ81" i="35"/>
  <c r="DB79" i="35"/>
  <c r="DB69" i="35"/>
  <c r="DB71" i="35"/>
  <c r="DB73" i="35"/>
  <c r="DB75" i="35"/>
  <c r="DB77" i="35"/>
  <c r="CT43" i="35"/>
  <c r="DB81" i="35"/>
  <c r="CT79" i="35"/>
  <c r="CT36" i="35"/>
  <c r="CT70" i="35"/>
  <c r="CT72" i="35"/>
  <c r="CT74" i="35"/>
  <c r="CT76" i="35"/>
  <c r="DB43" i="35"/>
  <c r="CL80" i="35"/>
  <c r="CL81" i="35"/>
  <c r="DJ78" i="35"/>
  <c r="DJ79" i="35"/>
  <c r="DJ36" i="35"/>
  <c r="DJ69" i="35"/>
  <c r="DJ70" i="35"/>
  <c r="DJ71" i="35"/>
  <c r="DJ72" i="35"/>
  <c r="DJ73" i="35"/>
  <c r="DJ74" i="35"/>
  <c r="DJ75" i="35"/>
  <c r="DJ76" i="35"/>
  <c r="DJ77" i="35"/>
  <c r="AK78" i="35"/>
  <c r="AL78" i="35" s="1"/>
  <c r="AM78" i="35" s="1"/>
  <c r="DJ43" i="35"/>
  <c r="DB78" i="35"/>
  <c r="DB36" i="35"/>
  <c r="DB70" i="35"/>
  <c r="DB72" i="35"/>
  <c r="DB74" i="35"/>
  <c r="DB76" i="35"/>
  <c r="DB80" i="35"/>
  <c r="CT78" i="35"/>
  <c r="CT69" i="35"/>
  <c r="CT71" i="35"/>
  <c r="CT73" i="35"/>
  <c r="CT75" i="35"/>
  <c r="CT77" i="35"/>
  <c r="CL43" i="35"/>
  <c r="CT80" i="35"/>
  <c r="CT81" i="35"/>
  <c r="CL78" i="35"/>
  <c r="CL79" i="35"/>
  <c r="CL36" i="35"/>
  <c r="CL69" i="35"/>
  <c r="CL70" i="35"/>
  <c r="CL71" i="35"/>
  <c r="CL72" i="35"/>
  <c r="CL73" i="35"/>
  <c r="CL74" i="35"/>
  <c r="CL75" i="35"/>
  <c r="CL76" i="35"/>
  <c r="CL77" i="35"/>
  <c r="AK75" i="35"/>
  <c r="AL75" i="35" s="1"/>
  <c r="AM75" i="35" s="1"/>
  <c r="AN75" i="35" s="1"/>
  <c r="BB77" i="35"/>
  <c r="BC77" i="35" s="1"/>
  <c r="BD77" i="35" s="1"/>
  <c r="AK73" i="35"/>
  <c r="AL73" i="35" s="1"/>
  <c r="AK81" i="35"/>
  <c r="AL81" i="35" s="1"/>
  <c r="T75" i="35"/>
  <c r="AJ76" i="35"/>
  <c r="AK76" i="35" s="1"/>
  <c r="AJ80" i="35"/>
  <c r="AK80" i="35" s="1"/>
  <c r="BA72" i="35"/>
  <c r="BB72" i="35" s="1"/>
  <c r="BC72" i="35" s="1"/>
  <c r="AZ74" i="35"/>
  <c r="BA74" i="35" s="1"/>
  <c r="AZ80" i="35"/>
  <c r="BW43" i="35"/>
  <c r="BX43" i="35" s="1"/>
  <c r="BY43" i="35" s="1"/>
  <c r="K43" i="35"/>
  <c r="AA43" i="35"/>
  <c r="AB43" i="35" s="1"/>
  <c r="AQ43" i="35"/>
  <c r="AR43" i="35" s="1"/>
  <c r="BG43" i="35"/>
  <c r="BH43" i="35" s="1"/>
  <c r="S43" i="35"/>
  <c r="AI43" i="35"/>
  <c r="AY43" i="35"/>
  <c r="BO43" i="35"/>
  <c r="CE43" i="35"/>
  <c r="K36" i="35"/>
  <c r="L36" i="35" s="1"/>
  <c r="M36" i="35" s="1"/>
  <c r="BW36" i="35"/>
  <c r="BX36" i="35" s="1"/>
  <c r="AA36" i="35"/>
  <c r="AQ36" i="35"/>
  <c r="AR36" i="35" s="1"/>
  <c r="AS36" i="35" s="1"/>
  <c r="BG36" i="35"/>
  <c r="BH36" i="35" s="1"/>
  <c r="S36" i="35"/>
  <c r="T36" i="35" s="1"/>
  <c r="AI36" i="35"/>
  <c r="AJ36" i="35" s="1"/>
  <c r="AY36" i="35"/>
  <c r="AZ36" i="35" s="1"/>
  <c r="BO36" i="35"/>
  <c r="CE36" i="35"/>
  <c r="D130" i="263" s="1"/>
  <c r="BR77" i="35"/>
  <c r="BR79" i="35"/>
  <c r="BS79" i="35" s="1"/>
  <c r="BT79" i="35" s="1"/>
  <c r="BR74" i="35"/>
  <c r="BR76" i="35"/>
  <c r="BG70" i="35"/>
  <c r="BH70" i="35" s="1"/>
  <c r="AA72" i="35"/>
  <c r="AB72" i="35" s="1"/>
  <c r="AA75" i="35"/>
  <c r="AB75" i="35" s="1"/>
  <c r="AA78" i="35"/>
  <c r="AB78" i="35" s="1"/>
  <c r="AA80" i="35"/>
  <c r="AB80" i="35" s="1"/>
  <c r="AA81" i="35"/>
  <c r="AB81" i="35" s="1"/>
  <c r="AC81" i="35" s="1"/>
  <c r="AD81" i="35" s="1"/>
  <c r="AI69" i="35"/>
  <c r="AJ69" i="35" s="1"/>
  <c r="BO69" i="35"/>
  <c r="BP69" i="35" s="1"/>
  <c r="BQ69" i="35" s="1"/>
  <c r="AI70" i="35"/>
  <c r="AJ70" i="35" s="1"/>
  <c r="BO71" i="35"/>
  <c r="BP71" i="35" s="1"/>
  <c r="BQ71" i="35" s="1"/>
  <c r="AQ74" i="35"/>
  <c r="AR74" i="35" s="1"/>
  <c r="AQ76" i="35"/>
  <c r="AR76" i="35" s="1"/>
  <c r="AQ77" i="35"/>
  <c r="AR77" i="35" s="1"/>
  <c r="AQ80" i="35"/>
  <c r="AR80" i="35" s="1"/>
  <c r="BO70" i="35"/>
  <c r="BP70" i="35" s="1"/>
  <c r="AQ71" i="35"/>
  <c r="AR71" i="35" s="1"/>
  <c r="CE71" i="35"/>
  <c r="AI72" i="35"/>
  <c r="AJ72" i="35" s="1"/>
  <c r="BG72" i="35"/>
  <c r="BH72" i="35" s="1"/>
  <c r="BG73" i="35"/>
  <c r="BH73" i="35" s="1"/>
  <c r="BG74" i="35"/>
  <c r="BH74" i="35" s="1"/>
  <c r="BG75" i="35"/>
  <c r="BH75" i="35" s="1"/>
  <c r="BG76" i="35"/>
  <c r="BH76" i="35" s="1"/>
  <c r="BG77" i="35"/>
  <c r="BH77" i="35" s="1"/>
  <c r="BG78" i="35"/>
  <c r="BH78" i="35" s="1"/>
  <c r="BG79" i="35"/>
  <c r="BH79" i="35" s="1"/>
  <c r="BG80" i="35"/>
  <c r="BH80" i="35" s="1"/>
  <c r="BG81" i="35"/>
  <c r="AR72" i="35"/>
  <c r="AL74" i="35"/>
  <c r="AM74" i="35" s="1"/>
  <c r="AL77" i="35"/>
  <c r="BQ72" i="35"/>
  <c r="BQ73" i="35"/>
  <c r="BQ75" i="35"/>
  <c r="BQ78" i="35"/>
  <c r="BQ80" i="35"/>
  <c r="AZ70" i="35"/>
  <c r="AZ71" i="35"/>
  <c r="CF72" i="35"/>
  <c r="CF74" i="35"/>
  <c r="E130" i="301" s="1"/>
  <c r="AZ78" i="35"/>
  <c r="BA78" i="35" s="1"/>
  <c r="BB78" i="35" s="1"/>
  <c r="CF80" i="35"/>
  <c r="E130" i="307" s="1"/>
  <c r="BW70" i="35"/>
  <c r="AA73" i="35"/>
  <c r="AA74" i="35"/>
  <c r="AA76" i="35"/>
  <c r="AA77" i="35"/>
  <c r="AA79" i="35"/>
  <c r="AY69" i="35"/>
  <c r="CE69" i="35"/>
  <c r="D130" i="296" s="1"/>
  <c r="AA71" i="35"/>
  <c r="AQ73" i="35"/>
  <c r="AQ75" i="35"/>
  <c r="AQ78" i="35"/>
  <c r="AQ79" i="35"/>
  <c r="AQ81" i="35"/>
  <c r="AA69" i="35"/>
  <c r="AQ69" i="35"/>
  <c r="BG69" i="35"/>
  <c r="BW69" i="35"/>
  <c r="AA70" i="35"/>
  <c r="AQ70" i="35"/>
  <c r="BG71" i="35"/>
  <c r="BW72" i="35"/>
  <c r="BW73" i="35"/>
  <c r="BW74" i="35"/>
  <c r="BW75" i="35"/>
  <c r="BW76" i="35"/>
  <c r="BW77" i="35"/>
  <c r="BW78" i="35"/>
  <c r="BW79" i="35"/>
  <c r="BW80" i="35"/>
  <c r="BW81" i="35"/>
  <c r="BX81" i="35" s="1"/>
  <c r="AL71" i="35"/>
  <c r="BB73" i="35"/>
  <c r="BC73" i="35" s="1"/>
  <c r="BB75" i="35"/>
  <c r="BB76" i="35"/>
  <c r="BC76" i="35" s="1"/>
  <c r="BP81" i="35"/>
  <c r="BQ81" i="35" s="1"/>
  <c r="BX71" i="35"/>
  <c r="AI68" i="35"/>
  <c r="AJ68" i="35" s="1"/>
  <c r="AK68" i="35" s="1"/>
  <c r="BO68" i="35"/>
  <c r="BP68" i="35" s="1"/>
  <c r="CE68" i="35"/>
  <c r="AQ68" i="35"/>
  <c r="AR68" i="35" s="1"/>
  <c r="BG68" i="35"/>
  <c r="BH68" i="35" s="1"/>
  <c r="BW68" i="35"/>
  <c r="BX68" i="35" s="1"/>
  <c r="AY68" i="35"/>
  <c r="AZ68" i="35" s="1"/>
  <c r="S69" i="35"/>
  <c r="T69" i="35" s="1"/>
  <c r="S73" i="35"/>
  <c r="S78" i="35"/>
  <c r="S76" i="35"/>
  <c r="S81" i="35"/>
  <c r="T80" i="35"/>
  <c r="U80" i="35" s="1"/>
  <c r="T77" i="35"/>
  <c r="U77" i="35" s="1"/>
  <c r="S71" i="35"/>
  <c r="T71" i="35" s="1"/>
  <c r="S70" i="35"/>
  <c r="S72" i="35"/>
  <c r="S74" i="35"/>
  <c r="S79" i="35"/>
  <c r="U82" i="35"/>
  <c r="O81" i="35"/>
  <c r="P81" i="35" s="1"/>
  <c r="K70" i="35"/>
  <c r="K74" i="35"/>
  <c r="K78" i="35"/>
  <c r="K77" i="35"/>
  <c r="M79" i="35"/>
  <c r="L76" i="35"/>
  <c r="K72" i="35"/>
  <c r="K69" i="35"/>
  <c r="L69" i="35" s="1"/>
  <c r="K71" i="35"/>
  <c r="L71" i="35" s="1"/>
  <c r="M71" i="35" s="1"/>
  <c r="K73" i="35"/>
  <c r="L73" i="35" s="1"/>
  <c r="K75" i="35"/>
  <c r="L75" i="35" s="1"/>
  <c r="K80" i="35"/>
  <c r="L80" i="35" s="1"/>
  <c r="BC81" i="35" l="1"/>
  <c r="BD81" i="35" s="1"/>
  <c r="CG75" i="35"/>
  <c r="CH75" i="35" s="1"/>
  <c r="CG78" i="35"/>
  <c r="F130" i="305" s="1"/>
  <c r="CG81" i="35"/>
  <c r="F130" i="308" s="1"/>
  <c r="CG79" i="35"/>
  <c r="F130" i="306" s="1"/>
  <c r="CM71" i="35"/>
  <c r="D131" i="298" s="1"/>
  <c r="N50" i="298"/>
  <c r="CU80" i="35"/>
  <c r="D132" i="307" s="1"/>
  <c r="O50" i="307"/>
  <c r="CU73" i="35"/>
  <c r="D132" i="300" s="1"/>
  <c r="O50" i="300"/>
  <c r="DC80" i="35"/>
  <c r="D133" i="307" s="1"/>
  <c r="P50" i="307"/>
  <c r="DC70" i="35"/>
  <c r="D133" i="297" s="1"/>
  <c r="P50" i="297"/>
  <c r="DK75" i="35"/>
  <c r="D134" i="302" s="1"/>
  <c r="Q50" i="302"/>
  <c r="DK36" i="35"/>
  <c r="D134" i="263" s="1"/>
  <c r="Q50" i="263"/>
  <c r="CU72" i="35"/>
  <c r="D132" i="299" s="1"/>
  <c r="O50" i="299"/>
  <c r="DC73" i="35"/>
  <c r="D133" i="300" s="1"/>
  <c r="P50" i="300"/>
  <c r="CG77" i="35"/>
  <c r="E130" i="304"/>
  <c r="CG70" i="35"/>
  <c r="F130" i="297" s="1"/>
  <c r="E130" i="297"/>
  <c r="CM72" i="35"/>
  <c r="D131" i="299" s="1"/>
  <c r="N50" i="299"/>
  <c r="O50" i="308"/>
  <c r="CU78" i="35"/>
  <c r="D132" i="305" s="1"/>
  <c r="O50" i="305"/>
  <c r="DK43" i="35"/>
  <c r="D134" i="270" s="1"/>
  <c r="Q50" i="270"/>
  <c r="Q50" i="300"/>
  <c r="CM81" i="35"/>
  <c r="D131" i="308" s="1"/>
  <c r="N50" i="308"/>
  <c r="CU79" i="35"/>
  <c r="D132" i="306" s="1"/>
  <c r="O50" i="306"/>
  <c r="DC75" i="35"/>
  <c r="D133" i="302" s="1"/>
  <c r="P50" i="302"/>
  <c r="CF68" i="35"/>
  <c r="E130" i="295" s="1"/>
  <c r="D130" i="295"/>
  <c r="CG72" i="35"/>
  <c r="F130" i="299" s="1"/>
  <c r="E130" i="299"/>
  <c r="CF71" i="35"/>
  <c r="E130" i="298" s="1"/>
  <c r="D130" i="298"/>
  <c r="N50" i="301"/>
  <c r="N50" i="297"/>
  <c r="N50" i="305"/>
  <c r="N50" i="270"/>
  <c r="CU71" i="35"/>
  <c r="D132" i="298" s="1"/>
  <c r="O50" i="298"/>
  <c r="DC76" i="35"/>
  <c r="D133" i="303" s="1"/>
  <c r="P50" i="303"/>
  <c r="P50" i="263"/>
  <c r="DK77" i="35"/>
  <c r="D134" i="304" s="1"/>
  <c r="Q50" i="304"/>
  <c r="Q50" i="301"/>
  <c r="DK71" i="35"/>
  <c r="D134" i="298" s="1"/>
  <c r="Q50" i="298"/>
  <c r="DK79" i="35"/>
  <c r="D134" i="306" s="1"/>
  <c r="Q50" i="306"/>
  <c r="DC43" i="35"/>
  <c r="D133" i="270" s="1"/>
  <c r="P50" i="270"/>
  <c r="CU70" i="35"/>
  <c r="D132" i="297" s="1"/>
  <c r="O50" i="297"/>
  <c r="CU43" i="35"/>
  <c r="D132" i="270" s="1"/>
  <c r="O50" i="270"/>
  <c r="DC71" i="35"/>
  <c r="D133" i="298" s="1"/>
  <c r="P50" i="298"/>
  <c r="DK80" i="35"/>
  <c r="D134" i="307" s="1"/>
  <c r="Q50" i="307"/>
  <c r="CG74" i="35"/>
  <c r="F130" i="301" s="1"/>
  <c r="CM75" i="35"/>
  <c r="D131" i="302" s="1"/>
  <c r="N50" i="302"/>
  <c r="CM79" i="35"/>
  <c r="D131" i="306" s="1"/>
  <c r="N50" i="306"/>
  <c r="DK72" i="35"/>
  <c r="D134" i="299" s="1"/>
  <c r="Q50" i="299"/>
  <c r="CM80" i="35"/>
  <c r="D131" i="307" s="1"/>
  <c r="N50" i="307"/>
  <c r="DC81" i="35"/>
  <c r="D133" i="308" s="1"/>
  <c r="P50" i="308"/>
  <c r="DK81" i="35"/>
  <c r="D134" i="308" s="1"/>
  <c r="Q50" i="308"/>
  <c r="CM76" i="35"/>
  <c r="D131" i="303" s="1"/>
  <c r="N50" i="303"/>
  <c r="N50" i="263"/>
  <c r="CU75" i="35"/>
  <c r="D132" i="302" s="1"/>
  <c r="O50" i="302"/>
  <c r="DC72" i="35"/>
  <c r="D133" i="299" s="1"/>
  <c r="P50" i="299"/>
  <c r="Q50" i="303"/>
  <c r="DK69" i="35"/>
  <c r="D134" i="296" s="1"/>
  <c r="Q50" i="296"/>
  <c r="CU74" i="35"/>
  <c r="D132" i="301" s="1"/>
  <c r="O50" i="301"/>
  <c r="DC79" i="35"/>
  <c r="D133" i="306" s="1"/>
  <c r="P50" i="306"/>
  <c r="CF43" i="35"/>
  <c r="E130" i="270" s="1"/>
  <c r="D130" i="270"/>
  <c r="CM77" i="35"/>
  <c r="D131" i="304" s="1"/>
  <c r="N50" i="304"/>
  <c r="CM73" i="35"/>
  <c r="D131" i="300" s="1"/>
  <c r="N50" i="300"/>
  <c r="CM69" i="35"/>
  <c r="D131" i="296" s="1"/>
  <c r="N50" i="296"/>
  <c r="O50" i="304"/>
  <c r="O50" i="296"/>
  <c r="P50" i="301"/>
  <c r="P50" i="305"/>
  <c r="Q50" i="297"/>
  <c r="Q50" i="305"/>
  <c r="O50" i="303"/>
  <c r="O50" i="263"/>
  <c r="P50" i="304"/>
  <c r="P50" i="296"/>
  <c r="CG76" i="35"/>
  <c r="E130" i="303"/>
  <c r="CG73" i="35"/>
  <c r="F130" i="300" s="1"/>
  <c r="CF36" i="35"/>
  <c r="E130" i="263" s="1"/>
  <c r="CU81" i="35"/>
  <c r="D132" i="308" s="1"/>
  <c r="DK76" i="35"/>
  <c r="D134" i="303" s="1"/>
  <c r="DK73" i="35"/>
  <c r="D134" i="300" s="1"/>
  <c r="CM74" i="35"/>
  <c r="D131" i="301" s="1"/>
  <c r="CM70" i="35"/>
  <c r="D131" i="297" s="1"/>
  <c r="CM78" i="35"/>
  <c r="D131" i="305" s="1"/>
  <c r="CU77" i="35"/>
  <c r="D132" i="304" s="1"/>
  <c r="CU69" i="35"/>
  <c r="D132" i="296" s="1"/>
  <c r="DC74" i="35"/>
  <c r="D133" i="301" s="1"/>
  <c r="DC36" i="35"/>
  <c r="D133" i="263" s="1"/>
  <c r="DC78" i="35"/>
  <c r="D133" i="305" s="1"/>
  <c r="DK74" i="35"/>
  <c r="D134" i="301" s="1"/>
  <c r="DK70" i="35"/>
  <c r="D134" i="297" s="1"/>
  <c r="DK78" i="35"/>
  <c r="D134" i="305" s="1"/>
  <c r="CU76" i="35"/>
  <c r="D132" i="303" s="1"/>
  <c r="DC77" i="35"/>
  <c r="D133" i="304" s="1"/>
  <c r="DC69" i="35"/>
  <c r="D133" i="296" s="1"/>
  <c r="CM43" i="35"/>
  <c r="CM36" i="35"/>
  <c r="CU36" i="35"/>
  <c r="D132" i="263" s="1"/>
  <c r="AL80" i="35"/>
  <c r="AM80" i="35" s="1"/>
  <c r="AL76" i="35"/>
  <c r="AM76" i="35" s="1"/>
  <c r="U75" i="35"/>
  <c r="V75" i="35" s="1"/>
  <c r="W75" i="35" s="1"/>
  <c r="X75" i="35" s="1"/>
  <c r="BQ68" i="35"/>
  <c r="BR68" i="35" s="1"/>
  <c r="BS68" i="35" s="1"/>
  <c r="BT68" i="35" s="1"/>
  <c r="BB74" i="35"/>
  <c r="BC74" i="35" s="1"/>
  <c r="BD74" i="35" s="1"/>
  <c r="AS76" i="35"/>
  <c r="AT76" i="35" s="1"/>
  <c r="AN74" i="35"/>
  <c r="BA80" i="35"/>
  <c r="BZ43" i="35"/>
  <c r="CA43" i="35" s="1"/>
  <c r="BI43" i="35"/>
  <c r="BJ43" i="35" s="1"/>
  <c r="L43" i="35"/>
  <c r="AC43" i="35"/>
  <c r="AD43" i="35" s="1"/>
  <c r="AS43" i="35"/>
  <c r="BP43" i="35"/>
  <c r="AZ43" i="35"/>
  <c r="BA43" i="35" s="1"/>
  <c r="AJ43" i="35"/>
  <c r="AK43" i="35" s="1"/>
  <c r="T43" i="35"/>
  <c r="BI36" i="35"/>
  <c r="BJ36" i="35" s="1"/>
  <c r="BK36" i="35" s="1"/>
  <c r="BA36" i="35"/>
  <c r="BB36" i="35" s="1"/>
  <c r="AT36" i="35"/>
  <c r="AU36" i="35" s="1"/>
  <c r="BP36" i="35"/>
  <c r="BQ36" i="35" s="1"/>
  <c r="AB36" i="35"/>
  <c r="BY36" i="35"/>
  <c r="U36" i="35"/>
  <c r="AK36" i="35"/>
  <c r="AL36" i="35" s="1"/>
  <c r="AM36" i="35" s="1"/>
  <c r="N36" i="35"/>
  <c r="O36" i="35" s="1"/>
  <c r="BX80" i="35"/>
  <c r="BY80" i="35" s="1"/>
  <c r="BX72" i="35"/>
  <c r="AR73" i="35"/>
  <c r="AS73" i="35" s="1"/>
  <c r="BR73" i="35"/>
  <c r="BS73" i="35" s="1"/>
  <c r="AC80" i="35"/>
  <c r="AC75" i="35"/>
  <c r="AD75" i="35" s="1"/>
  <c r="BS74" i="35"/>
  <c r="BT74" i="35" s="1"/>
  <c r="BX77" i="35"/>
  <c r="BY77" i="35" s="1"/>
  <c r="BX73" i="35"/>
  <c r="BY73" i="35" s="1"/>
  <c r="BZ73" i="35" s="1"/>
  <c r="CA73" i="35" s="1"/>
  <c r="AR70" i="35"/>
  <c r="AR75" i="35"/>
  <c r="AS75" i="35" s="1"/>
  <c r="BY71" i="35"/>
  <c r="BZ71" i="35" s="1"/>
  <c r="BX78" i="35"/>
  <c r="BY78" i="35" s="1"/>
  <c r="BX74" i="35"/>
  <c r="BY74" i="35" s="1"/>
  <c r="BX69" i="35"/>
  <c r="BY69" i="35" s="1"/>
  <c r="BZ69" i="35" s="1"/>
  <c r="AR78" i="35"/>
  <c r="CG80" i="35"/>
  <c r="F130" i="307" s="1"/>
  <c r="BA71" i="35"/>
  <c r="BB71" i="35" s="1"/>
  <c r="AM81" i="35"/>
  <c r="AN81" i="35" s="1"/>
  <c r="AM77" i="35"/>
  <c r="AN77" i="35" s="1"/>
  <c r="AM73" i="35"/>
  <c r="AN73" i="35" s="1"/>
  <c r="BH81" i="35"/>
  <c r="BI81" i="35" s="1"/>
  <c r="BJ81" i="35" s="1"/>
  <c r="BK81" i="35" s="1"/>
  <c r="AK72" i="35"/>
  <c r="AL72" i="35" s="1"/>
  <c r="AS71" i="35"/>
  <c r="AS80" i="35"/>
  <c r="AT80" i="35" s="1"/>
  <c r="AE81" i="35"/>
  <c r="AF81" i="35" s="1"/>
  <c r="AC78" i="35"/>
  <c r="AD78" i="35" s="1"/>
  <c r="AC72" i="35"/>
  <c r="AD72" i="35" s="1"/>
  <c r="BY81" i="35"/>
  <c r="BZ81" i="35" s="1"/>
  <c r="CA81" i="35" s="1"/>
  <c r="CB81" i="35" s="1"/>
  <c r="BQ70" i="35"/>
  <c r="BD73" i="35"/>
  <c r="BX76" i="35"/>
  <c r="BY76" i="35" s="1"/>
  <c r="AR81" i="35"/>
  <c r="AS81" i="35" s="1"/>
  <c r="AK69" i="35"/>
  <c r="AL69" i="35" s="1"/>
  <c r="BR81" i="35"/>
  <c r="BC75" i="35"/>
  <c r="BD75" i="35" s="1"/>
  <c r="BS76" i="35"/>
  <c r="BT76" i="35" s="1"/>
  <c r="AM71" i="35"/>
  <c r="AN71" i="35" s="1"/>
  <c r="BX79" i="35"/>
  <c r="BX75" i="35"/>
  <c r="BY75" i="35" s="1"/>
  <c r="AR69" i="35"/>
  <c r="AS69" i="35" s="1"/>
  <c r="AR79" i="35"/>
  <c r="AS79" i="35" s="1"/>
  <c r="BX70" i="35"/>
  <c r="BY70" i="35" s="1"/>
  <c r="BI70" i="35"/>
  <c r="BR75" i="35"/>
  <c r="AS72" i="35"/>
  <c r="AT72" i="35" s="1"/>
  <c r="BR78" i="35"/>
  <c r="BS78" i="35" s="1"/>
  <c r="AS77" i="35"/>
  <c r="AT77" i="35" s="1"/>
  <c r="AU77" i="35" s="1"/>
  <c r="AV77" i="35" s="1"/>
  <c r="BA70" i="35"/>
  <c r="BB70" i="35" s="1"/>
  <c r="BC70" i="35" s="1"/>
  <c r="BR80" i="35"/>
  <c r="BS80" i="35" s="1"/>
  <c r="BR72" i="35"/>
  <c r="BS72" i="35" s="1"/>
  <c r="BI80" i="35"/>
  <c r="BJ80" i="35" s="1"/>
  <c r="BI79" i="35"/>
  <c r="BI78" i="35"/>
  <c r="BJ78" i="35" s="1"/>
  <c r="BK78" i="35" s="1"/>
  <c r="BI77" i="35"/>
  <c r="BJ77" i="35" s="1"/>
  <c r="BK77" i="35" s="1"/>
  <c r="BI76" i="35"/>
  <c r="BJ76" i="35" s="1"/>
  <c r="BI75" i="35"/>
  <c r="BI74" i="35"/>
  <c r="BJ74" i="35" s="1"/>
  <c r="BI73" i="35"/>
  <c r="BJ73" i="35" s="1"/>
  <c r="BK73" i="35" s="1"/>
  <c r="BI72" i="35"/>
  <c r="BJ72" i="35" s="1"/>
  <c r="AK70" i="35"/>
  <c r="BH71" i="35"/>
  <c r="AB70" i="35"/>
  <c r="AC70" i="35" s="1"/>
  <c r="BH69" i="35"/>
  <c r="BI69" i="35" s="1"/>
  <c r="BJ69" i="35" s="1"/>
  <c r="AB69" i="35"/>
  <c r="AB71" i="35"/>
  <c r="CF69" i="35"/>
  <c r="E130" i="296" s="1"/>
  <c r="AZ69" i="35"/>
  <c r="AB79" i="35"/>
  <c r="AB77" i="35"/>
  <c r="AB76" i="35"/>
  <c r="AC76" i="35" s="1"/>
  <c r="AB74" i="35"/>
  <c r="AB73" i="35"/>
  <c r="BD76" i="35"/>
  <c r="AN78" i="35"/>
  <c r="BS77" i="35"/>
  <c r="BT77" i="35" s="1"/>
  <c r="BC78" i="35"/>
  <c r="BD78" i="35" s="1"/>
  <c r="AS74" i="35"/>
  <c r="AT74" i="35" s="1"/>
  <c r="AU74" i="35" s="1"/>
  <c r="BD72" i="35"/>
  <c r="BR71" i="35"/>
  <c r="BR69" i="35"/>
  <c r="BY68" i="35"/>
  <c r="AS68" i="35"/>
  <c r="AL68" i="35"/>
  <c r="AM68" i="35" s="1"/>
  <c r="BI68" i="35"/>
  <c r="BJ68" i="35" s="1"/>
  <c r="BK68" i="35" s="1"/>
  <c r="BA68" i="35"/>
  <c r="BB68" i="35" s="1"/>
  <c r="U69" i="35"/>
  <c r="U71" i="35"/>
  <c r="V77" i="35"/>
  <c r="W77" i="35" s="1"/>
  <c r="V82" i="35"/>
  <c r="T81" i="35"/>
  <c r="T76" i="35"/>
  <c r="T78" i="35"/>
  <c r="T73" i="35"/>
  <c r="T79" i="35"/>
  <c r="T74" i="35"/>
  <c r="T72" i="35"/>
  <c r="U72" i="35" s="1"/>
  <c r="V72" i="35" s="1"/>
  <c r="T70" i="35"/>
  <c r="V80" i="35"/>
  <c r="W80" i="35" s="1"/>
  <c r="L72" i="35"/>
  <c r="M80" i="35"/>
  <c r="M73" i="35"/>
  <c r="N73" i="35" s="1"/>
  <c r="N79" i="35"/>
  <c r="O79" i="35" s="1"/>
  <c r="L77" i="35"/>
  <c r="L78" i="35"/>
  <c r="M78" i="35" s="1"/>
  <c r="L74" i="35"/>
  <c r="M74" i="35" s="1"/>
  <c r="N74" i="35" s="1"/>
  <c r="L70" i="35"/>
  <c r="M75" i="35"/>
  <c r="M69" i="35"/>
  <c r="N69" i="35" s="1"/>
  <c r="N71" i="35"/>
  <c r="O71" i="35" s="1"/>
  <c r="P71" i="35" s="1"/>
  <c r="M76" i="35"/>
  <c r="CN77" i="35" l="1"/>
  <c r="E131" i="304" s="1"/>
  <c r="CH78" i="35"/>
  <c r="G130" i="305" s="1"/>
  <c r="F130" i="302"/>
  <c r="CN76" i="35"/>
  <c r="E131" i="303" s="1"/>
  <c r="CV43" i="35"/>
  <c r="E132" i="270" s="1"/>
  <c r="CV81" i="35"/>
  <c r="E132" i="308" s="1"/>
  <c r="CV75" i="35"/>
  <c r="E132" i="302" s="1"/>
  <c r="CN79" i="35"/>
  <c r="E131" i="306" s="1"/>
  <c r="DL81" i="35"/>
  <c r="E134" i="308" s="1"/>
  <c r="DL69" i="35"/>
  <c r="E134" i="296" s="1"/>
  <c r="DL76" i="35"/>
  <c r="E134" i="303" s="1"/>
  <c r="CG71" i="35"/>
  <c r="F130" i="298" s="1"/>
  <c r="CN75" i="35"/>
  <c r="E131" i="302" s="1"/>
  <c r="DL36" i="35"/>
  <c r="DM36" i="35" s="1"/>
  <c r="DD81" i="35"/>
  <c r="E133" i="308" s="1"/>
  <c r="DD43" i="35"/>
  <c r="E133" i="270" s="1"/>
  <c r="BZ75" i="35"/>
  <c r="CA75" i="35" s="1"/>
  <c r="CB75" i="35" s="1"/>
  <c r="CG43" i="35"/>
  <c r="F130" i="270" s="1"/>
  <c r="CV73" i="35"/>
  <c r="E132" i="300" s="1"/>
  <c r="DL80" i="35"/>
  <c r="E134" i="307" s="1"/>
  <c r="DD76" i="35"/>
  <c r="E133" i="303" s="1"/>
  <c r="DD75" i="35"/>
  <c r="E133" i="302" s="1"/>
  <c r="DL79" i="35"/>
  <c r="E134" i="306" s="1"/>
  <c r="DL75" i="35"/>
  <c r="E134" i="302" s="1"/>
  <c r="CV80" i="35"/>
  <c r="E132" i="307" s="1"/>
  <c r="CV71" i="35"/>
  <c r="E132" i="298" s="1"/>
  <c r="CV79" i="35"/>
  <c r="E132" i="306" s="1"/>
  <c r="CN72" i="35"/>
  <c r="E131" i="299" s="1"/>
  <c r="DL43" i="35"/>
  <c r="E134" i="270" s="1"/>
  <c r="CH72" i="35"/>
  <c r="CI72" i="35" s="1"/>
  <c r="H130" i="299" s="1"/>
  <c r="DL72" i="35"/>
  <c r="E134" i="299" s="1"/>
  <c r="DL77" i="35"/>
  <c r="E134" i="304" s="1"/>
  <c r="DD71" i="35"/>
  <c r="E133" i="298" s="1"/>
  <c r="CV74" i="35"/>
  <c r="CW74" i="35" s="1"/>
  <c r="CH73" i="35"/>
  <c r="G130" i="300" s="1"/>
  <c r="CH79" i="35"/>
  <c r="DD80" i="35"/>
  <c r="E133" i="307" s="1"/>
  <c r="CN71" i="35"/>
  <c r="E131" i="298" s="1"/>
  <c r="CN69" i="35"/>
  <c r="E131" i="296" s="1"/>
  <c r="CH81" i="35"/>
  <c r="G130" i="308" s="1"/>
  <c r="DL73" i="35"/>
  <c r="E134" i="300" s="1"/>
  <c r="DD79" i="35"/>
  <c r="E133" i="306" s="1"/>
  <c r="DD72" i="35"/>
  <c r="DE72" i="35" s="1"/>
  <c r="F133" i="299" s="1"/>
  <c r="CN43" i="35"/>
  <c r="E131" i="270" s="1"/>
  <c r="D131" i="270"/>
  <c r="CI75" i="35"/>
  <c r="H130" i="302" s="1"/>
  <c r="G130" i="302"/>
  <c r="CH77" i="35"/>
  <c r="G130" i="304" s="1"/>
  <c r="F130" i="304"/>
  <c r="CG36" i="35"/>
  <c r="F130" i="263" s="1"/>
  <c r="DD73" i="35"/>
  <c r="E133" i="300" s="1"/>
  <c r="CN80" i="35"/>
  <c r="E131" i="307" s="1"/>
  <c r="DL71" i="35"/>
  <c r="CG68" i="35"/>
  <c r="BT72" i="35"/>
  <c r="AN76" i="35"/>
  <c r="CN81" i="35"/>
  <c r="CV70" i="35"/>
  <c r="E132" i="297" s="1"/>
  <c r="CN36" i="35"/>
  <c r="E131" i="263" s="1"/>
  <c r="D131" i="263"/>
  <c r="F130" i="303"/>
  <c r="CH76" i="35"/>
  <c r="CH74" i="35"/>
  <c r="G130" i="301" s="1"/>
  <c r="CV72" i="35"/>
  <c r="E132" i="299" s="1"/>
  <c r="DD70" i="35"/>
  <c r="E133" i="297" s="1"/>
  <c r="CV78" i="35"/>
  <c r="CN73" i="35"/>
  <c r="E131" i="300" s="1"/>
  <c r="CH70" i="35"/>
  <c r="CV36" i="35"/>
  <c r="DD77" i="35"/>
  <c r="E133" i="304" s="1"/>
  <c r="CV77" i="35"/>
  <c r="E132" i="304" s="1"/>
  <c r="CN70" i="35"/>
  <c r="DD69" i="35"/>
  <c r="E133" i="296" s="1"/>
  <c r="DD36" i="35"/>
  <c r="E133" i="263" s="1"/>
  <c r="CV69" i="35"/>
  <c r="E132" i="296" s="1"/>
  <c r="DL74" i="35"/>
  <c r="E134" i="301" s="1"/>
  <c r="DD74" i="35"/>
  <c r="E133" i="301" s="1"/>
  <c r="DL78" i="35"/>
  <c r="E134" i="305" s="1"/>
  <c r="CV76" i="35"/>
  <c r="E132" i="303" s="1"/>
  <c r="DL70" i="35"/>
  <c r="E134" i="297" s="1"/>
  <c r="DD78" i="35"/>
  <c r="E133" i="305" s="1"/>
  <c r="CN78" i="35"/>
  <c r="E131" i="305" s="1"/>
  <c r="CN74" i="35"/>
  <c r="E131" i="301" s="1"/>
  <c r="BT78" i="35"/>
  <c r="BY72" i="35"/>
  <c r="AU76" i="35"/>
  <c r="AV76" i="35" s="1"/>
  <c r="AN80" i="35"/>
  <c r="BB80" i="35"/>
  <c r="BC80" i="35" s="1"/>
  <c r="N78" i="35"/>
  <c r="O78" i="35" s="1"/>
  <c r="V69" i="35"/>
  <c r="W69" i="35" s="1"/>
  <c r="BS75" i="35"/>
  <c r="BT75" i="35" s="1"/>
  <c r="BK74" i="35"/>
  <c r="BL74" i="35" s="1"/>
  <c r="BT80" i="35"/>
  <c r="BZ80" i="35"/>
  <c r="CA80" i="35" s="1"/>
  <c r="CB80" i="35" s="1"/>
  <c r="BR36" i="35"/>
  <c r="BS36" i="35" s="1"/>
  <c r="BC36" i="35"/>
  <c r="BD36" i="35" s="1"/>
  <c r="BB43" i="35"/>
  <c r="BC43" i="35" s="1"/>
  <c r="BK72" i="35"/>
  <c r="BL72" i="35" s="1"/>
  <c r="BR70" i="35"/>
  <c r="BS70" i="35" s="1"/>
  <c r="BT70" i="35" s="1"/>
  <c r="BZ70" i="35"/>
  <c r="CA70" i="35" s="1"/>
  <c r="CB70" i="35" s="1"/>
  <c r="AT81" i="35"/>
  <c r="AU81" i="35" s="1"/>
  <c r="AV81" i="35" s="1"/>
  <c r="BS71" i="35"/>
  <c r="BT71" i="35" s="1"/>
  <c r="AV36" i="35"/>
  <c r="AL43" i="35"/>
  <c r="AM43" i="35" s="1"/>
  <c r="AE43" i="35"/>
  <c r="AF43" i="35" s="1"/>
  <c r="BK80" i="35"/>
  <c r="BL80" i="35" s="1"/>
  <c r="X77" i="35"/>
  <c r="BL68" i="35"/>
  <c r="AT71" i="35"/>
  <c r="AU71" i="35" s="1"/>
  <c r="AV71" i="35" s="1"/>
  <c r="AM69" i="35"/>
  <c r="AN69" i="35" s="1"/>
  <c r="AM72" i="35"/>
  <c r="AN72" i="35" s="1"/>
  <c r="AN36" i="35"/>
  <c r="AC36" i="35"/>
  <c r="AD36" i="35" s="1"/>
  <c r="BK43" i="35"/>
  <c r="BL43" i="35" s="1"/>
  <c r="CB43" i="35"/>
  <c r="U43" i="35"/>
  <c r="AT43" i="35"/>
  <c r="AU43" i="35" s="1"/>
  <c r="AV43" i="35" s="1"/>
  <c r="BQ43" i="35"/>
  <c r="BR43" i="35" s="1"/>
  <c r="M43" i="35"/>
  <c r="N43" i="35" s="1"/>
  <c r="BZ36" i="35"/>
  <c r="CA36" i="35" s="1"/>
  <c r="P36" i="35"/>
  <c r="BL36" i="35"/>
  <c r="V36" i="35"/>
  <c r="W36" i="35" s="1"/>
  <c r="AT69" i="35"/>
  <c r="AU69" i="35" s="1"/>
  <c r="AV69" i="35" s="1"/>
  <c r="AV74" i="35"/>
  <c r="BZ74" i="35"/>
  <c r="CA74" i="35" s="1"/>
  <c r="BK76" i="35"/>
  <c r="BL76" i="35" s="1"/>
  <c r="CA69" i="35"/>
  <c r="CB69" i="35" s="1"/>
  <c r="BL77" i="35"/>
  <c r="BL81" i="35"/>
  <c r="BZ78" i="35"/>
  <c r="CA78" i="35" s="1"/>
  <c r="CB78" i="35" s="1"/>
  <c r="AS70" i="35"/>
  <c r="AT70" i="35" s="1"/>
  <c r="CB73" i="35"/>
  <c r="BJ70" i="35"/>
  <c r="AD80" i="35"/>
  <c r="AE80" i="35" s="1"/>
  <c r="AF80" i="35" s="1"/>
  <c r="BL78" i="35"/>
  <c r="AU80" i="35"/>
  <c r="AV80" i="35" s="1"/>
  <c r="AC73" i="35"/>
  <c r="AD73" i="35" s="1"/>
  <c r="AD70" i="35"/>
  <c r="AE70" i="35" s="1"/>
  <c r="BK69" i="35"/>
  <c r="BL69" i="35" s="1"/>
  <c r="AC74" i="35"/>
  <c r="BA69" i="35"/>
  <c r="AL70" i="35"/>
  <c r="AM70" i="35" s="1"/>
  <c r="AN70" i="35" s="1"/>
  <c r="AT79" i="35"/>
  <c r="AU79" i="35" s="1"/>
  <c r="BY79" i="35"/>
  <c r="BZ79" i="35" s="1"/>
  <c r="BS81" i="35"/>
  <c r="BT81" i="35" s="1"/>
  <c r="AE78" i="35"/>
  <c r="AF78" i="35" s="1"/>
  <c r="BS69" i="35"/>
  <c r="BT69" i="35" s="1"/>
  <c r="AS78" i="35"/>
  <c r="AT78" i="35" s="1"/>
  <c r="AT75" i="35"/>
  <c r="AU75" i="35" s="1"/>
  <c r="AV75" i="35" s="1"/>
  <c r="BT73" i="35"/>
  <c r="AT73" i="35"/>
  <c r="AU73" i="35" s="1"/>
  <c r="AC79" i="35"/>
  <c r="AC71" i="35"/>
  <c r="AD71" i="35" s="1"/>
  <c r="AE71" i="35" s="1"/>
  <c r="AD76" i="35"/>
  <c r="AE76" i="35" s="1"/>
  <c r="CH80" i="35"/>
  <c r="BI71" i="35"/>
  <c r="BJ71" i="35" s="1"/>
  <c r="BZ76" i="35"/>
  <c r="CA76" i="35" s="1"/>
  <c r="BL73" i="35"/>
  <c r="CA71" i="35"/>
  <c r="CB71" i="35" s="1"/>
  <c r="AE75" i="35"/>
  <c r="AF75" i="35" s="1"/>
  <c r="AC69" i="35"/>
  <c r="AD69" i="35" s="1"/>
  <c r="BJ75" i="35"/>
  <c r="BK75" i="35" s="1"/>
  <c r="BJ79" i="35"/>
  <c r="BK79" i="35" s="1"/>
  <c r="BD70" i="35"/>
  <c r="AU72" i="35"/>
  <c r="AV72" i="35" s="1"/>
  <c r="CG69" i="35"/>
  <c r="F130" i="296" s="1"/>
  <c r="AC77" i="35"/>
  <c r="AD77" i="35" s="1"/>
  <c r="AE77" i="35" s="1"/>
  <c r="AE72" i="35"/>
  <c r="AF72" i="35" s="1"/>
  <c r="BC71" i="35"/>
  <c r="BD71" i="35" s="1"/>
  <c r="BZ77" i="35"/>
  <c r="CA77" i="35" s="1"/>
  <c r="CB77" i="35" s="1"/>
  <c r="AT68" i="35"/>
  <c r="AU68" i="35" s="1"/>
  <c r="AV68" i="35" s="1"/>
  <c r="BZ68" i="35"/>
  <c r="CA68" i="35" s="1"/>
  <c r="BC68" i="35"/>
  <c r="BD68" i="35" s="1"/>
  <c r="AN68" i="35"/>
  <c r="W72" i="35"/>
  <c r="X72" i="35" s="1"/>
  <c r="V71" i="35"/>
  <c r="W71" i="35" s="1"/>
  <c r="X71" i="35" s="1"/>
  <c r="X80" i="35"/>
  <c r="U76" i="35"/>
  <c r="U73" i="35"/>
  <c r="V73" i="35" s="1"/>
  <c r="U74" i="35"/>
  <c r="V74" i="35" s="1"/>
  <c r="W82" i="35"/>
  <c r="X82" i="35" s="1"/>
  <c r="U78" i="35"/>
  <c r="U70" i="35"/>
  <c r="V70" i="35" s="1"/>
  <c r="U81" i="35"/>
  <c r="U79" i="35"/>
  <c r="O73" i="35"/>
  <c r="P73" i="35" s="1"/>
  <c r="M72" i="35"/>
  <c r="N72" i="35" s="1"/>
  <c r="O72" i="35" s="1"/>
  <c r="P72" i="35" s="1"/>
  <c r="M70" i="35"/>
  <c r="N70" i="35" s="1"/>
  <c r="N75" i="35"/>
  <c r="O75" i="35" s="1"/>
  <c r="P79" i="35"/>
  <c r="N80" i="35"/>
  <c r="O74" i="35"/>
  <c r="P74" i="35" s="1"/>
  <c r="M77" i="35"/>
  <c r="N77" i="35" s="1"/>
  <c r="O69" i="35"/>
  <c r="P69" i="35" s="1"/>
  <c r="N76" i="35"/>
  <c r="O76" i="35" s="1"/>
  <c r="CO77" i="35" l="1"/>
  <c r="F131" i="304" s="1"/>
  <c r="CW43" i="35"/>
  <c r="F132" i="270" s="1"/>
  <c r="CI78" i="35"/>
  <c r="CJ78" i="35" s="1"/>
  <c r="I130" i="305" s="1"/>
  <c r="CO79" i="35"/>
  <c r="F131" i="306" s="1"/>
  <c r="DM70" i="35"/>
  <c r="DN70" i="35" s="1"/>
  <c r="CO76" i="35"/>
  <c r="F131" i="303" s="1"/>
  <c r="DM69" i="35"/>
  <c r="F134" i="296" s="1"/>
  <c r="DM81" i="35"/>
  <c r="DN81" i="35" s="1"/>
  <c r="CW81" i="35"/>
  <c r="F132" i="308" s="1"/>
  <c r="CW75" i="35"/>
  <c r="F132" i="302" s="1"/>
  <c r="CW80" i="35"/>
  <c r="CW70" i="35"/>
  <c r="CX70" i="35" s="1"/>
  <c r="G132" i="297" s="1"/>
  <c r="CI81" i="35"/>
  <c r="H130" i="308" s="1"/>
  <c r="CO75" i="35"/>
  <c r="F131" i="302" s="1"/>
  <c r="DE76" i="35"/>
  <c r="F133" i="303" s="1"/>
  <c r="CH43" i="35"/>
  <c r="G130" i="270" s="1"/>
  <c r="E132" i="301"/>
  <c r="G130" i="299"/>
  <c r="DM43" i="35"/>
  <c r="F134" i="270" s="1"/>
  <c r="DE71" i="35"/>
  <c r="F133" i="298" s="1"/>
  <c r="DM77" i="35"/>
  <c r="F134" i="304" s="1"/>
  <c r="DE43" i="35"/>
  <c r="F133" i="270" s="1"/>
  <c r="P78" i="35"/>
  <c r="CW72" i="35"/>
  <c r="F132" i="299" s="1"/>
  <c r="DM75" i="35"/>
  <c r="DN75" i="35" s="1"/>
  <c r="DM72" i="35"/>
  <c r="F134" i="299" s="1"/>
  <c r="DM76" i="35"/>
  <c r="F134" i="303" s="1"/>
  <c r="CW79" i="35"/>
  <c r="F132" i="306" s="1"/>
  <c r="CH71" i="35"/>
  <c r="G130" i="298" s="1"/>
  <c r="CW73" i="35"/>
  <c r="F132" i="300" s="1"/>
  <c r="DM80" i="35"/>
  <c r="F134" i="307" s="1"/>
  <c r="DE80" i="35"/>
  <c r="F133" i="307" s="1"/>
  <c r="DM73" i="35"/>
  <c r="F134" i="300" s="1"/>
  <c r="DE75" i="35"/>
  <c r="F133" i="302" s="1"/>
  <c r="E134" i="263"/>
  <c r="DE81" i="35"/>
  <c r="F133" i="308" s="1"/>
  <c r="CW71" i="35"/>
  <c r="F132" i="298" s="1"/>
  <c r="CH36" i="35"/>
  <c r="G130" i="263" s="1"/>
  <c r="DM79" i="35"/>
  <c r="DN79" i="35" s="1"/>
  <c r="G134" i="306" s="1"/>
  <c r="CO36" i="35"/>
  <c r="F131" i="263" s="1"/>
  <c r="CO72" i="35"/>
  <c r="CP72" i="35" s="1"/>
  <c r="G131" i="299" s="1"/>
  <c r="CI73" i="35"/>
  <c r="H130" i="300" s="1"/>
  <c r="E133" i="299"/>
  <c r="G130" i="306"/>
  <c r="CI79" i="35"/>
  <c r="CO71" i="35"/>
  <c r="F131" i="298" s="1"/>
  <c r="DE79" i="35"/>
  <c r="F133" i="306" s="1"/>
  <c r="CJ72" i="35"/>
  <c r="I130" i="299" s="1"/>
  <c r="CO80" i="35"/>
  <c r="F131" i="307" s="1"/>
  <c r="CO69" i="35"/>
  <c r="CP69" i="35" s="1"/>
  <c r="G131" i="296" s="1"/>
  <c r="DE69" i="35"/>
  <c r="F133" i="296" s="1"/>
  <c r="DE73" i="35"/>
  <c r="F133" i="300" s="1"/>
  <c r="CW36" i="35"/>
  <c r="F132" i="263" s="1"/>
  <c r="E132" i="263"/>
  <c r="CW78" i="35"/>
  <c r="CX78" i="35" s="1"/>
  <c r="G132" i="305" s="1"/>
  <c r="E132" i="305"/>
  <c r="E131" i="308"/>
  <c r="CO81" i="35"/>
  <c r="CX74" i="35"/>
  <c r="F132" i="301"/>
  <c r="G130" i="303"/>
  <c r="CI76" i="35"/>
  <c r="CI70" i="35"/>
  <c r="G130" i="297"/>
  <c r="DM71" i="35"/>
  <c r="F134" i="298" s="1"/>
  <c r="E134" i="298"/>
  <c r="DN36" i="35"/>
  <c r="F134" i="263"/>
  <c r="CI80" i="35"/>
  <c r="G130" i="307"/>
  <c r="CO70" i="35"/>
  <c r="F131" i="297" s="1"/>
  <c r="E131" i="297"/>
  <c r="CH68" i="35"/>
  <c r="F130" i="295"/>
  <c r="CO43" i="35"/>
  <c r="DF72" i="35"/>
  <c r="CJ75" i="35"/>
  <c r="I130" i="302" s="1"/>
  <c r="J130" i="302" s="1"/>
  <c r="CI77" i="35"/>
  <c r="CI74" i="35"/>
  <c r="DE70" i="35"/>
  <c r="CO73" i="35"/>
  <c r="F131" i="300" s="1"/>
  <c r="DM74" i="35"/>
  <c r="DE77" i="35"/>
  <c r="CW69" i="35"/>
  <c r="DE78" i="35"/>
  <c r="DE74" i="35"/>
  <c r="CO74" i="35"/>
  <c r="CW76" i="35"/>
  <c r="F132" i="303" s="1"/>
  <c r="DM78" i="35"/>
  <c r="F134" i="305" s="1"/>
  <c r="DE36" i="35"/>
  <c r="BZ72" i="35"/>
  <c r="CA72" i="35" s="1"/>
  <c r="CB72" i="35" s="1"/>
  <c r="CW77" i="35"/>
  <c r="CO78" i="35"/>
  <c r="BT36" i="35"/>
  <c r="BD80" i="35"/>
  <c r="CA79" i="35"/>
  <c r="CB79" i="35" s="1"/>
  <c r="X69" i="35"/>
  <c r="CB76" i="35"/>
  <c r="AV73" i="35"/>
  <c r="X36" i="35"/>
  <c r="CB36" i="35"/>
  <c r="BD43" i="35"/>
  <c r="AN43" i="35"/>
  <c r="BK70" i="35"/>
  <c r="BL70" i="35" s="1"/>
  <c r="CB74" i="35"/>
  <c r="AE36" i="35"/>
  <c r="AF36" i="35" s="1"/>
  <c r="W73" i="35"/>
  <c r="X73" i="35" s="1"/>
  <c r="AU70" i="35"/>
  <c r="AV70" i="35" s="1"/>
  <c r="AF70" i="35"/>
  <c r="AU78" i="35"/>
  <c r="AV78" i="35" s="1"/>
  <c r="O43" i="35"/>
  <c r="P43" i="35" s="1"/>
  <c r="BS43" i="35"/>
  <c r="BT43" i="35" s="1"/>
  <c r="V43" i="35"/>
  <c r="W43" i="35" s="1"/>
  <c r="X43" i="35" s="1"/>
  <c r="BB69" i="35"/>
  <c r="BL75" i="35"/>
  <c r="AE73" i="35"/>
  <c r="AF73" i="35" s="1"/>
  <c r="AF77" i="35"/>
  <c r="BK71" i="35"/>
  <c r="BL71" i="35" s="1"/>
  <c r="BL79" i="35"/>
  <c r="AE69" i="35"/>
  <c r="AF69" i="35" s="1"/>
  <c r="AV79" i="35"/>
  <c r="AF76" i="35"/>
  <c r="AD79" i="35"/>
  <c r="AD74" i="35"/>
  <c r="AE74" i="35" s="1"/>
  <c r="AF74" i="35" s="1"/>
  <c r="CH69" i="35"/>
  <c r="AF71" i="35"/>
  <c r="CB68" i="35"/>
  <c r="V81" i="35"/>
  <c r="W81" i="35" s="1"/>
  <c r="X81" i="35" s="1"/>
  <c r="V76" i="35"/>
  <c r="W76" i="35" s="1"/>
  <c r="W74" i="35"/>
  <c r="X74" i="35" s="1"/>
  <c r="V79" i="35"/>
  <c r="W79" i="35" s="1"/>
  <c r="W70" i="35"/>
  <c r="X70" i="35" s="1"/>
  <c r="V78" i="35"/>
  <c r="W78" i="35" s="1"/>
  <c r="X78" i="35" s="1"/>
  <c r="O70" i="35"/>
  <c r="P70" i="35" s="1"/>
  <c r="O80" i="35"/>
  <c r="P80" i="35" s="1"/>
  <c r="P75" i="35"/>
  <c r="P76" i="35"/>
  <c r="O77" i="35"/>
  <c r="P77" i="35" s="1"/>
  <c r="CX43" i="35" l="1"/>
  <c r="CY43" i="35" s="1"/>
  <c r="CP77" i="35"/>
  <c r="G131" i="304" s="1"/>
  <c r="H130" i="305"/>
  <c r="J130" i="305" s="1"/>
  <c r="DN69" i="35"/>
  <c r="G134" i="296" s="1"/>
  <c r="F134" i="302"/>
  <c r="J130" i="299"/>
  <c r="CP76" i="35"/>
  <c r="G131" i="303" s="1"/>
  <c r="CX72" i="35"/>
  <c r="G132" i="299" s="1"/>
  <c r="CJ81" i="35"/>
  <c r="I130" i="308" s="1"/>
  <c r="J130" i="308" s="1"/>
  <c r="F134" i="297"/>
  <c r="CP79" i="35"/>
  <c r="G131" i="306" s="1"/>
  <c r="F134" i="308"/>
  <c r="CI71" i="35"/>
  <c r="H130" i="298" s="1"/>
  <c r="DF81" i="35"/>
  <c r="G133" i="308" s="1"/>
  <c r="CX81" i="35"/>
  <c r="CY81" i="35" s="1"/>
  <c r="DF43" i="35"/>
  <c r="G133" i="270" s="1"/>
  <c r="F132" i="297"/>
  <c r="CX75" i="35"/>
  <c r="G132" i="302" s="1"/>
  <c r="F131" i="296"/>
  <c r="DF71" i="35"/>
  <c r="DF76" i="35"/>
  <c r="G133" i="303" s="1"/>
  <c r="CP80" i="35"/>
  <c r="G131" i="307" s="1"/>
  <c r="F132" i="307"/>
  <c r="CX80" i="35"/>
  <c r="G132" i="307" s="1"/>
  <c r="CP75" i="35"/>
  <c r="G131" i="302" s="1"/>
  <c r="CI43" i="35"/>
  <c r="H130" i="270" s="1"/>
  <c r="DN72" i="35"/>
  <c r="G134" i="299" s="1"/>
  <c r="DF80" i="35"/>
  <c r="G133" i="307" s="1"/>
  <c r="DN43" i="35"/>
  <c r="DO43" i="35" s="1"/>
  <c r="CX73" i="35"/>
  <c r="G132" i="300" s="1"/>
  <c r="F131" i="299"/>
  <c r="DN77" i="35"/>
  <c r="G134" i="304" s="1"/>
  <c r="DN76" i="35"/>
  <c r="G134" i="303" s="1"/>
  <c r="G134" i="302"/>
  <c r="DO75" i="35"/>
  <c r="H134" i="302" s="1"/>
  <c r="CQ69" i="35"/>
  <c r="H131" i="296" s="1"/>
  <c r="DN73" i="35"/>
  <c r="G134" i="300" s="1"/>
  <c r="DF75" i="35"/>
  <c r="G133" i="302" s="1"/>
  <c r="CP36" i="35"/>
  <c r="G131" i="263" s="1"/>
  <c r="CX79" i="35"/>
  <c r="G132" i="306" s="1"/>
  <c r="DN80" i="35"/>
  <c r="G134" i="307" s="1"/>
  <c r="CP70" i="35"/>
  <c r="G131" i="297" s="1"/>
  <c r="F134" i="306"/>
  <c r="DF79" i="35"/>
  <c r="DG79" i="35" s="1"/>
  <c r="H133" i="306" s="1"/>
  <c r="CX71" i="35"/>
  <c r="G132" i="298" s="1"/>
  <c r="CI36" i="35"/>
  <c r="H130" i="263" s="1"/>
  <c r="CJ73" i="35"/>
  <c r="I130" i="300" s="1"/>
  <c r="J130" i="300" s="1"/>
  <c r="CQ72" i="35"/>
  <c r="H131" i="299" s="1"/>
  <c r="CX36" i="35"/>
  <c r="CY36" i="35" s="1"/>
  <c r="H132" i="263" s="1"/>
  <c r="H130" i="306"/>
  <c r="CJ79" i="35"/>
  <c r="I130" i="306" s="1"/>
  <c r="DF69" i="35"/>
  <c r="G133" i="296" s="1"/>
  <c r="CP71" i="35"/>
  <c r="CQ71" i="35" s="1"/>
  <c r="CP73" i="35"/>
  <c r="DF73" i="35"/>
  <c r="G133" i="300" s="1"/>
  <c r="DF74" i="35"/>
  <c r="F133" i="301"/>
  <c r="CJ74" i="35"/>
  <c r="I130" i="301" s="1"/>
  <c r="H130" i="301"/>
  <c r="CJ77" i="35"/>
  <c r="I130" i="304" s="1"/>
  <c r="H130" i="304"/>
  <c r="CJ76" i="35"/>
  <c r="I130" i="303" s="1"/>
  <c r="H130" i="303"/>
  <c r="CP78" i="35"/>
  <c r="G131" i="305" s="1"/>
  <c r="F131" i="305"/>
  <c r="DF70" i="35"/>
  <c r="DG70" i="35" s="1"/>
  <c r="H133" i="297" s="1"/>
  <c r="F133" i="297"/>
  <c r="CJ70" i="35"/>
  <c r="I130" i="297" s="1"/>
  <c r="H130" i="297"/>
  <c r="G132" i="301"/>
  <c r="CY74" i="35"/>
  <c r="DO81" i="35"/>
  <c r="H134" i="308" s="1"/>
  <c r="G134" i="308"/>
  <c r="CI69" i="35"/>
  <c r="H130" i="296" s="1"/>
  <c r="G130" i="296"/>
  <c r="CX69" i="35"/>
  <c r="G132" i="296" s="1"/>
  <c r="F132" i="296"/>
  <c r="DF78" i="35"/>
  <c r="G133" i="305" s="1"/>
  <c r="F133" i="305"/>
  <c r="G134" i="263"/>
  <c r="DO36" i="35"/>
  <c r="H134" i="263" s="1"/>
  <c r="F132" i="305"/>
  <c r="CY78" i="35"/>
  <c r="H132" i="305" s="1"/>
  <c r="DN71" i="35"/>
  <c r="G134" i="298" s="1"/>
  <c r="CY70" i="35"/>
  <c r="CX77" i="35"/>
  <c r="G132" i="304" s="1"/>
  <c r="F132" i="304"/>
  <c r="DF36" i="35"/>
  <c r="F133" i="263"/>
  <c r="F131" i="308"/>
  <c r="CP74" i="35"/>
  <c r="G131" i="301" s="1"/>
  <c r="F131" i="301"/>
  <c r="DF77" i="35"/>
  <c r="G133" i="304" s="1"/>
  <c r="F133" i="304"/>
  <c r="DN74" i="35"/>
  <c r="G134" i="301" s="1"/>
  <c r="F134" i="301"/>
  <c r="CP43" i="35"/>
  <c r="F131" i="270"/>
  <c r="G130" i="295"/>
  <c r="CI68" i="35"/>
  <c r="CJ80" i="35"/>
  <c r="I130" i="307" s="1"/>
  <c r="H130" i="307"/>
  <c r="DO70" i="35"/>
  <c r="H134" i="297" s="1"/>
  <c r="G134" i="297"/>
  <c r="DG72" i="35"/>
  <c r="G133" i="299"/>
  <c r="DO79" i="35"/>
  <c r="CP81" i="35"/>
  <c r="G131" i="308" s="1"/>
  <c r="DN78" i="35"/>
  <c r="CX76" i="35"/>
  <c r="BC69" i="35"/>
  <c r="BD69" i="35" s="1"/>
  <c r="AE79" i="35"/>
  <c r="AF79" i="35" s="1"/>
  <c r="X76" i="35"/>
  <c r="X79" i="35"/>
  <c r="G132" i="270" l="1"/>
  <c r="CQ77" i="35"/>
  <c r="CR77" i="35" s="1"/>
  <c r="I131" i="304" s="1"/>
  <c r="DO69" i="35"/>
  <c r="H134" i="296" s="1"/>
  <c r="CY72" i="35"/>
  <c r="CZ72" i="35" s="1"/>
  <c r="I132" i="299" s="1"/>
  <c r="DG76" i="35"/>
  <c r="H133" i="303" s="1"/>
  <c r="CY75" i="35"/>
  <c r="CZ75" i="35" s="1"/>
  <c r="I132" i="302" s="1"/>
  <c r="CJ71" i="35"/>
  <c r="I130" i="298" s="1"/>
  <c r="J130" i="298" s="1"/>
  <c r="CQ76" i="35"/>
  <c r="H131" i="303" s="1"/>
  <c r="G132" i="308"/>
  <c r="DG81" i="35"/>
  <c r="H133" i="308" s="1"/>
  <c r="CY73" i="35"/>
  <c r="H132" i="300" s="1"/>
  <c r="CQ79" i="35"/>
  <c r="CR79" i="35" s="1"/>
  <c r="I131" i="306" s="1"/>
  <c r="DP75" i="35"/>
  <c r="I134" i="302" s="1"/>
  <c r="J134" i="302" s="1"/>
  <c r="DG80" i="35"/>
  <c r="H133" i="307" s="1"/>
  <c r="DG43" i="35"/>
  <c r="DH43" i="35" s="1"/>
  <c r="I133" i="270" s="1"/>
  <c r="CQ75" i="35"/>
  <c r="H131" i="302" s="1"/>
  <c r="CQ80" i="35"/>
  <c r="H131" i="307" s="1"/>
  <c r="DG71" i="35"/>
  <c r="G133" i="298"/>
  <c r="CY80" i="35"/>
  <c r="H132" i="307" s="1"/>
  <c r="CQ70" i="35"/>
  <c r="CR70" i="35" s="1"/>
  <c r="I131" i="297" s="1"/>
  <c r="DO77" i="35"/>
  <c r="DP77" i="35" s="1"/>
  <c r="I134" i="304" s="1"/>
  <c r="CJ43" i="35"/>
  <c r="I130" i="270" s="1"/>
  <c r="J130" i="270" s="1"/>
  <c r="DO72" i="35"/>
  <c r="DP72" i="35" s="1"/>
  <c r="I134" i="299" s="1"/>
  <c r="G133" i="306"/>
  <c r="DO76" i="35"/>
  <c r="H134" i="303" s="1"/>
  <c r="G134" i="270"/>
  <c r="CR69" i="35"/>
  <c r="I131" i="296" s="1"/>
  <c r="J131" i="296" s="1"/>
  <c r="CR72" i="35"/>
  <c r="I131" i="299" s="1"/>
  <c r="J131" i="299" s="1"/>
  <c r="DO71" i="35"/>
  <c r="DP71" i="35" s="1"/>
  <c r="I134" i="298" s="1"/>
  <c r="CQ36" i="35"/>
  <c r="H131" i="263" s="1"/>
  <c r="DG73" i="35"/>
  <c r="H133" i="300" s="1"/>
  <c r="DO73" i="35"/>
  <c r="H134" i="300" s="1"/>
  <c r="CQ78" i="35"/>
  <c r="H131" i="305" s="1"/>
  <c r="DP36" i="35"/>
  <c r="I134" i="263" s="1"/>
  <c r="J134" i="263" s="1"/>
  <c r="DO80" i="35"/>
  <c r="DP80" i="35" s="1"/>
  <c r="I134" i="307" s="1"/>
  <c r="DG75" i="35"/>
  <c r="H133" i="302" s="1"/>
  <c r="DH79" i="35"/>
  <c r="I133" i="306" s="1"/>
  <c r="CY71" i="35"/>
  <c r="H132" i="298" s="1"/>
  <c r="CJ36" i="35"/>
  <c r="I130" i="263" s="1"/>
  <c r="J130" i="263" s="1"/>
  <c r="CY77" i="35"/>
  <c r="H132" i="304" s="1"/>
  <c r="CZ78" i="35"/>
  <c r="I132" i="305" s="1"/>
  <c r="J132" i="305" s="1"/>
  <c r="G132" i="263"/>
  <c r="CY79" i="35"/>
  <c r="H132" i="306" s="1"/>
  <c r="CJ69" i="35"/>
  <c r="I130" i="296" s="1"/>
  <c r="J130" i="296" s="1"/>
  <c r="CQ74" i="35"/>
  <c r="H131" i="301" s="1"/>
  <c r="CY69" i="35"/>
  <c r="CZ69" i="35" s="1"/>
  <c r="I132" i="296" s="1"/>
  <c r="G131" i="298"/>
  <c r="J130" i="306"/>
  <c r="G131" i="300"/>
  <c r="CQ73" i="35"/>
  <c r="H131" i="300" s="1"/>
  <c r="CZ36" i="35"/>
  <c r="I132" i="263" s="1"/>
  <c r="DG78" i="35"/>
  <c r="H133" i="305" s="1"/>
  <c r="DG77" i="35"/>
  <c r="DH77" i="35" s="1"/>
  <c r="I133" i="304" s="1"/>
  <c r="DG69" i="35"/>
  <c r="H133" i="296" s="1"/>
  <c r="J130" i="307"/>
  <c r="CQ81" i="35"/>
  <c r="CR81" i="35" s="1"/>
  <c r="I131" i="308" s="1"/>
  <c r="J130" i="304"/>
  <c r="DO74" i="35"/>
  <c r="H134" i="301" s="1"/>
  <c r="J130" i="297"/>
  <c r="DG36" i="35"/>
  <c r="H133" i="263" s="1"/>
  <c r="G133" i="263"/>
  <c r="CY76" i="35"/>
  <c r="H132" i="303" s="1"/>
  <c r="G132" i="303"/>
  <c r="DP79" i="35"/>
  <c r="I134" i="306" s="1"/>
  <c r="H134" i="306"/>
  <c r="CJ68" i="35"/>
  <c r="I130" i="295" s="1"/>
  <c r="H130" i="295"/>
  <c r="CZ81" i="35"/>
  <c r="I132" i="308" s="1"/>
  <c r="H132" i="308"/>
  <c r="H131" i="298"/>
  <c r="CR71" i="35"/>
  <c r="I131" i="298" s="1"/>
  <c r="G133" i="297"/>
  <c r="DH70" i="35"/>
  <c r="I133" i="297" s="1"/>
  <c r="DP43" i="35"/>
  <c r="I134" i="270" s="1"/>
  <c r="H134" i="270"/>
  <c r="DG74" i="35"/>
  <c r="G133" i="301"/>
  <c r="DP70" i="35"/>
  <c r="I134" i="297" s="1"/>
  <c r="J134" i="297" s="1"/>
  <c r="J130" i="303"/>
  <c r="J130" i="301"/>
  <c r="DO78" i="35"/>
  <c r="H134" i="305" s="1"/>
  <c r="G134" i="305"/>
  <c r="H133" i="299"/>
  <c r="DH72" i="35"/>
  <c r="I133" i="299" s="1"/>
  <c r="CQ43" i="35"/>
  <c r="G131" i="270"/>
  <c r="CZ70" i="35"/>
  <c r="I132" i="297" s="1"/>
  <c r="H132" i="297"/>
  <c r="CZ43" i="35"/>
  <c r="I132" i="270" s="1"/>
  <c r="H132" i="270"/>
  <c r="CZ74" i="35"/>
  <c r="I132" i="301" s="1"/>
  <c r="H132" i="301"/>
  <c r="DP81" i="35"/>
  <c r="I134" i="308" s="1"/>
  <c r="J134" i="308" s="1"/>
  <c r="CK89" i="35"/>
  <c r="CC89" i="35"/>
  <c r="BU89" i="35"/>
  <c r="BM89" i="35"/>
  <c r="BE89" i="35"/>
  <c r="AW89" i="35"/>
  <c r="AO89" i="35"/>
  <c r="AG89" i="35"/>
  <c r="Y89" i="35"/>
  <c r="Q89" i="35"/>
  <c r="Q5" i="35"/>
  <c r="J5" i="35" s="1"/>
  <c r="D50" i="231" s="1"/>
  <c r="Y5" i="35"/>
  <c r="R5" i="35" s="1"/>
  <c r="AG5" i="35"/>
  <c r="AO5" i="35"/>
  <c r="AH5" i="35" s="1"/>
  <c r="AW5" i="35"/>
  <c r="AP5" i="35" s="1"/>
  <c r="BE5" i="35"/>
  <c r="AX5" i="35" s="1"/>
  <c r="BM5" i="35"/>
  <c r="BF5" i="35" s="1"/>
  <c r="BU5" i="35"/>
  <c r="BN5" i="35" s="1"/>
  <c r="CC5" i="35"/>
  <c r="BV5" i="35" s="1"/>
  <c r="CK5" i="35"/>
  <c r="CD5" i="35" s="1"/>
  <c r="H131" i="304" l="1"/>
  <c r="J131" i="304" s="1"/>
  <c r="H132" i="299"/>
  <c r="J132" i="299" s="1"/>
  <c r="DP69" i="35"/>
  <c r="I134" i="296" s="1"/>
  <c r="J134" i="296" s="1"/>
  <c r="CZ73" i="35"/>
  <c r="I132" i="300" s="1"/>
  <c r="J132" i="300" s="1"/>
  <c r="DH76" i="35"/>
  <c r="I133" i="303" s="1"/>
  <c r="J133" i="303" s="1"/>
  <c r="H132" i="302"/>
  <c r="J132" i="302" s="1"/>
  <c r="CR76" i="35"/>
  <c r="I131" i="303" s="1"/>
  <c r="J131" i="303" s="1"/>
  <c r="H131" i="306"/>
  <c r="J131" i="306" s="1"/>
  <c r="H133" i="270"/>
  <c r="J133" i="270" s="1"/>
  <c r="CZ77" i="35"/>
  <c r="I132" i="304" s="1"/>
  <c r="J132" i="304" s="1"/>
  <c r="DP73" i="35"/>
  <c r="I134" i="300" s="1"/>
  <c r="J134" i="300" s="1"/>
  <c r="DH81" i="35"/>
  <c r="I133" i="308" s="1"/>
  <c r="J133" i="308" s="1"/>
  <c r="CR80" i="35"/>
  <c r="I131" i="307" s="1"/>
  <c r="J131" i="307" s="1"/>
  <c r="DH80" i="35"/>
  <c r="I133" i="307" s="1"/>
  <c r="J133" i="307" s="1"/>
  <c r="DP76" i="35"/>
  <c r="I134" i="303" s="1"/>
  <c r="J134" i="303" s="1"/>
  <c r="H134" i="304"/>
  <c r="J134" i="304" s="1"/>
  <c r="H133" i="298"/>
  <c r="DH71" i="35"/>
  <c r="I133" i="298" s="1"/>
  <c r="CR75" i="35"/>
  <c r="I131" i="302" s="1"/>
  <c r="J131" i="302" s="1"/>
  <c r="CR78" i="35"/>
  <c r="I131" i="305" s="1"/>
  <c r="H131" i="297"/>
  <c r="J131" i="297" s="1"/>
  <c r="CZ80" i="35"/>
  <c r="I132" i="307" s="1"/>
  <c r="J132" i="307" s="1"/>
  <c r="H131" i="308"/>
  <c r="J131" i="308" s="1"/>
  <c r="CR36" i="35"/>
  <c r="I131" i="263" s="1"/>
  <c r="J131" i="263" s="1"/>
  <c r="H134" i="299"/>
  <c r="J134" i="299" s="1"/>
  <c r="J133" i="306"/>
  <c r="H134" i="307"/>
  <c r="J134" i="307" s="1"/>
  <c r="CZ71" i="35"/>
  <c r="I132" i="298" s="1"/>
  <c r="J132" i="298" s="1"/>
  <c r="H134" i="298"/>
  <c r="J134" i="298" s="1"/>
  <c r="H133" i="304"/>
  <c r="J133" i="304" s="1"/>
  <c r="DH73" i="35"/>
  <c r="I133" i="300" s="1"/>
  <c r="J133" i="300" s="1"/>
  <c r="DH69" i="35"/>
  <c r="I133" i="296" s="1"/>
  <c r="J133" i="296" s="1"/>
  <c r="J134" i="270"/>
  <c r="CR74" i="35"/>
  <c r="I131" i="301" s="1"/>
  <c r="J131" i="301" s="1"/>
  <c r="DH75" i="35"/>
  <c r="I133" i="302" s="1"/>
  <c r="J133" i="302" s="1"/>
  <c r="J131" i="305"/>
  <c r="J132" i="270"/>
  <c r="J132" i="263"/>
  <c r="CZ79" i="35"/>
  <c r="I132" i="306" s="1"/>
  <c r="J132" i="306" s="1"/>
  <c r="J133" i="297"/>
  <c r="J130" i="295"/>
  <c r="J132" i="308"/>
  <c r="H132" i="296"/>
  <c r="J132" i="296" s="1"/>
  <c r="CR73" i="35"/>
  <c r="I131" i="300" s="1"/>
  <c r="J131" i="300" s="1"/>
  <c r="DH78" i="35"/>
  <c r="I133" i="305" s="1"/>
  <c r="J133" i="305" s="1"/>
  <c r="J134" i="306"/>
  <c r="J132" i="301"/>
  <c r="J132" i="297"/>
  <c r="J133" i="299"/>
  <c r="CZ76" i="35"/>
  <c r="I132" i="303" s="1"/>
  <c r="J132" i="303" s="1"/>
  <c r="DP74" i="35"/>
  <c r="I134" i="301" s="1"/>
  <c r="J134" i="301" s="1"/>
  <c r="J131" i="298"/>
  <c r="BO5" i="35"/>
  <c r="BP5" i="35" s="1"/>
  <c r="BQ5" i="35" s="1"/>
  <c r="K50" i="231"/>
  <c r="BW5" i="35"/>
  <c r="BX5" i="35" s="1"/>
  <c r="L50" i="231"/>
  <c r="AQ5" i="35"/>
  <c r="AR5" i="35" s="1"/>
  <c r="AS5" i="35" s="1"/>
  <c r="H50" i="231"/>
  <c r="BG5" i="35"/>
  <c r="BH5" i="35" s="1"/>
  <c r="J50" i="231"/>
  <c r="DP78" i="35"/>
  <c r="I134" i="305" s="1"/>
  <c r="J134" i="305" s="1"/>
  <c r="DH36" i="35"/>
  <c r="I133" i="263" s="1"/>
  <c r="J133" i="263" s="1"/>
  <c r="AI5" i="35"/>
  <c r="AJ5" i="35" s="1"/>
  <c r="G50" i="231"/>
  <c r="CR43" i="35"/>
  <c r="I131" i="270" s="1"/>
  <c r="H131" i="270"/>
  <c r="DH74" i="35"/>
  <c r="I133" i="301" s="1"/>
  <c r="H133" i="301"/>
  <c r="CE5" i="35"/>
  <c r="D130" i="231" s="1"/>
  <c r="M50" i="231"/>
  <c r="AY5" i="35"/>
  <c r="AZ5" i="35" s="1"/>
  <c r="I50" i="231"/>
  <c r="S5" i="35"/>
  <c r="T5" i="35" s="1"/>
  <c r="U5" i="35" s="1"/>
  <c r="E50" i="231"/>
  <c r="Z5" i="35"/>
  <c r="K5" i="35"/>
  <c r="L5" i="35" s="1"/>
  <c r="M5" i="35" s="1"/>
  <c r="J133" i="298" l="1"/>
  <c r="J133" i="301"/>
  <c r="CF5" i="35"/>
  <c r="E130" i="231" s="1"/>
  <c r="J131" i="270"/>
  <c r="AA5" i="35"/>
  <c r="AB5" i="35" s="1"/>
  <c r="AC5" i="35" s="1"/>
  <c r="F50" i="231"/>
  <c r="CT89" i="35"/>
  <c r="CL89" i="35"/>
  <c r="CL5" i="35"/>
  <c r="DJ89" i="35"/>
  <c r="DJ5" i="35"/>
  <c r="DB89" i="35"/>
  <c r="DB5" i="35"/>
  <c r="CT5" i="35"/>
  <c r="BI5" i="35"/>
  <c r="BJ5" i="35" s="1"/>
  <c r="BK5" i="35" s="1"/>
  <c r="BL5" i="35" s="1"/>
  <c r="BY5" i="35"/>
  <c r="V5" i="35"/>
  <c r="BA5" i="35"/>
  <c r="AK5" i="35"/>
  <c r="BR5" i="35"/>
  <c r="BS5" i="35" s="1"/>
  <c r="N5" i="35"/>
  <c r="AT5" i="35"/>
  <c r="AU5" i="35" s="1"/>
  <c r="CG5" i="35" l="1"/>
  <c r="F130" i="231" s="1"/>
  <c r="O50" i="231"/>
  <c r="Q50" i="231"/>
  <c r="O50" i="316"/>
  <c r="DC89" i="35"/>
  <c r="D133" i="316" s="1"/>
  <c r="P50" i="316"/>
  <c r="CM89" i="35"/>
  <c r="D131" i="316" s="1"/>
  <c r="N50" i="316"/>
  <c r="P50" i="231"/>
  <c r="N50" i="231"/>
  <c r="DK89" i="35"/>
  <c r="D134" i="316" s="1"/>
  <c r="Q50" i="316"/>
  <c r="AD5" i="35"/>
  <c r="AE5" i="35" s="1"/>
  <c r="DK5" i="35"/>
  <c r="D134" i="231" s="1"/>
  <c r="DC5" i="35"/>
  <c r="D133" i="231" s="1"/>
  <c r="CM5" i="35"/>
  <c r="CU89" i="35"/>
  <c r="D132" i="316" s="1"/>
  <c r="CU5" i="35"/>
  <c r="O5" i="35"/>
  <c r="P5" i="35" s="1"/>
  <c r="BZ5" i="35"/>
  <c r="CA5" i="35" s="1"/>
  <c r="AL5" i="35"/>
  <c r="AM5" i="35" s="1"/>
  <c r="AV5" i="35"/>
  <c r="BB5" i="35"/>
  <c r="BC5" i="35" s="1"/>
  <c r="BD5" i="35" s="1"/>
  <c r="BT5" i="35"/>
  <c r="W5" i="35"/>
  <c r="X5" i="35" s="1"/>
  <c r="DD89" i="35" l="1"/>
  <c r="E133" i="316" s="1"/>
  <c r="CH5" i="35"/>
  <c r="G130" i="231" s="1"/>
  <c r="AF5" i="35"/>
  <c r="CN89" i="35"/>
  <c r="E131" i="316" s="1"/>
  <c r="CV5" i="35"/>
  <c r="D132" i="231"/>
  <c r="CN5" i="35"/>
  <c r="E131" i="231" s="1"/>
  <c r="D131" i="231"/>
  <c r="DD5" i="35"/>
  <c r="DL89" i="35"/>
  <c r="CV89" i="35"/>
  <c r="CW89" i="35" s="1"/>
  <c r="F132" i="316" s="1"/>
  <c r="DL5" i="35"/>
  <c r="E134" i="231" s="1"/>
  <c r="AN5" i="35"/>
  <c r="CB5" i="35"/>
  <c r="DE89" i="35" l="1"/>
  <c r="DF89" i="35" s="1"/>
  <c r="G133" i="316" s="1"/>
  <c r="CO89" i="35"/>
  <c r="F131" i="316" s="1"/>
  <c r="CO5" i="35"/>
  <c r="F131" i="231" s="1"/>
  <c r="CI5" i="35"/>
  <c r="H130" i="231" s="1"/>
  <c r="DM89" i="35"/>
  <c r="E134" i="316"/>
  <c r="CW5" i="35"/>
  <c r="E132" i="231"/>
  <c r="CX89" i="35"/>
  <c r="G132" i="316" s="1"/>
  <c r="E132" i="316"/>
  <c r="DM5" i="35"/>
  <c r="DE5" i="35"/>
  <c r="F133" i="231" s="1"/>
  <c r="E133" i="231"/>
  <c r="CK16" i="35"/>
  <c r="CD16" i="35" s="1"/>
  <c r="M50" i="243" s="1"/>
  <c r="CK17" i="35"/>
  <c r="CK29" i="35"/>
  <c r="CK32" i="35"/>
  <c r="CD32" i="35" s="1"/>
  <c r="M50" i="259" s="1"/>
  <c r="CK49" i="35"/>
  <c r="CK52" i="35"/>
  <c r="CD52" i="35" s="1"/>
  <c r="M50" i="279" s="1"/>
  <c r="CK53" i="35"/>
  <c r="CD53" i="35" s="1"/>
  <c r="M50" i="280" s="1"/>
  <c r="CK57" i="35"/>
  <c r="CD57" i="35" s="1"/>
  <c r="M50" i="284" s="1"/>
  <c r="CK60" i="35"/>
  <c r="CD60" i="35" s="1"/>
  <c r="M50" i="287" s="1"/>
  <c r="CK82" i="35"/>
  <c r="CD82" i="35" s="1"/>
  <c r="M50" i="309" s="1"/>
  <c r="CD89" i="35"/>
  <c r="M50" i="316" s="1"/>
  <c r="CC16" i="35"/>
  <c r="BV16" i="35" s="1"/>
  <c r="L50" i="243" s="1"/>
  <c r="CC17" i="35"/>
  <c r="BV17" i="35" s="1"/>
  <c r="L50" i="244" s="1"/>
  <c r="CC29" i="35"/>
  <c r="BV29" i="35" s="1"/>
  <c r="L50" i="256" s="1"/>
  <c r="CC32" i="35"/>
  <c r="BV32" i="35" s="1"/>
  <c r="L50" i="259" s="1"/>
  <c r="CC49" i="35"/>
  <c r="BV49" i="35" s="1"/>
  <c r="L50" i="276" s="1"/>
  <c r="CC52" i="35"/>
  <c r="CC53" i="35"/>
  <c r="BV53" i="35" s="1"/>
  <c r="L50" i="280" s="1"/>
  <c r="CC57" i="35"/>
  <c r="BV57" i="35" s="1"/>
  <c r="L50" i="284" s="1"/>
  <c r="CC60" i="35"/>
  <c r="CC82" i="35"/>
  <c r="BV89" i="35"/>
  <c r="L50" i="316" s="1"/>
  <c r="BU16" i="35"/>
  <c r="BU17" i="35"/>
  <c r="BN17" i="35" s="1"/>
  <c r="K50" i="244" s="1"/>
  <c r="BU29" i="35"/>
  <c r="BN29" i="35" s="1"/>
  <c r="K50" i="256" s="1"/>
  <c r="BU32" i="35"/>
  <c r="BU49" i="35"/>
  <c r="BN49" i="35" s="1"/>
  <c r="K50" i="276" s="1"/>
  <c r="BU52" i="35"/>
  <c r="BU53" i="35"/>
  <c r="BN53" i="35" s="1"/>
  <c r="K50" i="280" s="1"/>
  <c r="BU57" i="35"/>
  <c r="BN57" i="35" s="1"/>
  <c r="K50" i="284" s="1"/>
  <c r="BU60" i="35"/>
  <c r="BN60" i="35" s="1"/>
  <c r="K50" i="287" s="1"/>
  <c r="BU82" i="35"/>
  <c r="BN82" i="35" s="1"/>
  <c r="K50" i="309" s="1"/>
  <c r="BN89" i="35"/>
  <c r="K50" i="316" s="1"/>
  <c r="BM16" i="35"/>
  <c r="BF16" i="35" s="1"/>
  <c r="J50" i="243" s="1"/>
  <c r="BM17" i="35"/>
  <c r="BF17" i="35" s="1"/>
  <c r="J50" i="244" s="1"/>
  <c r="BM29" i="35"/>
  <c r="BF29" i="35" s="1"/>
  <c r="J50" i="256" s="1"/>
  <c r="BM32" i="35"/>
  <c r="BF32" i="35" s="1"/>
  <c r="J50" i="259" s="1"/>
  <c r="BM49" i="35"/>
  <c r="BF49" i="35" s="1"/>
  <c r="J50" i="276" s="1"/>
  <c r="BM52" i="35"/>
  <c r="BF52" i="35" s="1"/>
  <c r="J50" i="279" s="1"/>
  <c r="BM53" i="35"/>
  <c r="BF53" i="35" s="1"/>
  <c r="J50" i="280" s="1"/>
  <c r="BM57" i="35"/>
  <c r="BF57" i="35" s="1"/>
  <c r="J50" i="284" s="1"/>
  <c r="BM60" i="35"/>
  <c r="BF60" i="35" s="1"/>
  <c r="J50" i="287" s="1"/>
  <c r="BM82" i="35"/>
  <c r="BF89" i="35"/>
  <c r="J50" i="316" s="1"/>
  <c r="BE16" i="35"/>
  <c r="BE17" i="35"/>
  <c r="AX17" i="35" s="1"/>
  <c r="I50" i="244" s="1"/>
  <c r="BE29" i="35"/>
  <c r="AX29" i="35" s="1"/>
  <c r="I50" i="256" s="1"/>
  <c r="BE32" i="35"/>
  <c r="BE49" i="35"/>
  <c r="AX49" i="35" s="1"/>
  <c r="I50" i="276" s="1"/>
  <c r="BE52" i="35"/>
  <c r="BE53" i="35"/>
  <c r="AX53" i="35" s="1"/>
  <c r="I50" i="280" s="1"/>
  <c r="BE57" i="35"/>
  <c r="AX57" i="35" s="1"/>
  <c r="I50" i="284" s="1"/>
  <c r="BE60" i="35"/>
  <c r="BE82" i="35"/>
  <c r="AX82" i="35" s="1"/>
  <c r="I50" i="309" s="1"/>
  <c r="AX89" i="35"/>
  <c r="I50" i="316" s="1"/>
  <c r="AW16" i="35"/>
  <c r="AP16" i="35" s="1"/>
  <c r="H50" i="243" s="1"/>
  <c r="AW17" i="35"/>
  <c r="AP17" i="35" s="1"/>
  <c r="H50" i="244" s="1"/>
  <c r="AW29" i="35"/>
  <c r="AP29" i="35" s="1"/>
  <c r="H50" i="256" s="1"/>
  <c r="AW32" i="35"/>
  <c r="AP32" i="35" s="1"/>
  <c r="H50" i="259" s="1"/>
  <c r="AW49" i="35"/>
  <c r="AP49" i="35" s="1"/>
  <c r="H50" i="276" s="1"/>
  <c r="AW52" i="35"/>
  <c r="AW53" i="35"/>
  <c r="AP53" i="35" s="1"/>
  <c r="H50" i="280" s="1"/>
  <c r="AW57" i="35"/>
  <c r="AP57" i="35" s="1"/>
  <c r="H50" i="284" s="1"/>
  <c r="AW60" i="35"/>
  <c r="AW82" i="35"/>
  <c r="AP89" i="35"/>
  <c r="H50" i="316" s="1"/>
  <c r="AO16" i="35"/>
  <c r="AO17" i="35"/>
  <c r="AH17" i="35" s="1"/>
  <c r="G50" i="244" s="1"/>
  <c r="AO29" i="35"/>
  <c r="AH29" i="35" s="1"/>
  <c r="G50" i="256" s="1"/>
  <c r="AO32" i="35"/>
  <c r="AO49" i="35"/>
  <c r="AH49" i="35" s="1"/>
  <c r="G50" i="276" s="1"/>
  <c r="AO52" i="35"/>
  <c r="AO53" i="35"/>
  <c r="AH53" i="35" s="1"/>
  <c r="G50" i="280" s="1"/>
  <c r="AO57" i="35"/>
  <c r="AH57" i="35" s="1"/>
  <c r="G50" i="284" s="1"/>
  <c r="AO60" i="35"/>
  <c r="AO82" i="35"/>
  <c r="AH82" i="35" s="1"/>
  <c r="AH89" i="35"/>
  <c r="G50" i="316" s="1"/>
  <c r="AG16" i="35"/>
  <c r="AG17" i="35"/>
  <c r="AG29" i="35"/>
  <c r="AG32" i="35"/>
  <c r="AG49" i="35"/>
  <c r="AG52" i="35"/>
  <c r="AG53" i="35"/>
  <c r="AG57" i="35"/>
  <c r="AG60" i="35"/>
  <c r="AG82" i="35"/>
  <c r="Z89" i="35"/>
  <c r="F50" i="316" s="1"/>
  <c r="Y16" i="35"/>
  <c r="Y17" i="35"/>
  <c r="R17" i="35" s="1"/>
  <c r="E50" i="244" s="1"/>
  <c r="Y29" i="35"/>
  <c r="R29" i="35" s="1"/>
  <c r="E50" i="256" s="1"/>
  <c r="Y32" i="35"/>
  <c r="R32" i="35" s="1"/>
  <c r="E50" i="259" s="1"/>
  <c r="Y49" i="35"/>
  <c r="R49" i="35" s="1"/>
  <c r="E50" i="276" s="1"/>
  <c r="Y52" i="35"/>
  <c r="Y53" i="35"/>
  <c r="R53" i="35" s="1"/>
  <c r="E50" i="280" s="1"/>
  <c r="Y57" i="35"/>
  <c r="R57" i="35" s="1"/>
  <c r="E50" i="284" s="1"/>
  <c r="Y60" i="35"/>
  <c r="R89" i="35"/>
  <c r="E50" i="316" s="1"/>
  <c r="Q16" i="35"/>
  <c r="J16" i="35" s="1"/>
  <c r="D50" i="243" s="1"/>
  <c r="Q17" i="35"/>
  <c r="J17" i="35" s="1"/>
  <c r="Q29" i="35"/>
  <c r="Q32" i="35"/>
  <c r="J32" i="35" s="1"/>
  <c r="D50" i="259" s="1"/>
  <c r="Q49" i="35"/>
  <c r="J49" i="35" s="1"/>
  <c r="Q52" i="35"/>
  <c r="J52" i="35" s="1"/>
  <c r="Q53" i="35"/>
  <c r="J53" i="35" s="1"/>
  <c r="Q57" i="35"/>
  <c r="J57" i="35" s="1"/>
  <c r="Q60" i="35"/>
  <c r="J60" i="35" s="1"/>
  <c r="Q82" i="35"/>
  <c r="J82" i="35" s="1"/>
  <c r="D50" i="309" s="1"/>
  <c r="J89" i="35"/>
  <c r="Q86" i="35"/>
  <c r="J86" i="35" s="1"/>
  <c r="D50" i="313" s="1"/>
  <c r="Q85" i="35"/>
  <c r="J85" i="35" s="1"/>
  <c r="Q83" i="35"/>
  <c r="Q68" i="35"/>
  <c r="J68" i="35" s="1"/>
  <c r="Q67" i="35"/>
  <c r="Q65" i="35"/>
  <c r="J65" i="35" s="1"/>
  <c r="Q64" i="35"/>
  <c r="J64" i="35" s="1"/>
  <c r="Q61" i="35"/>
  <c r="J61" i="35" s="1"/>
  <c r="Q59" i="35"/>
  <c r="AG56" i="35"/>
  <c r="Y54" i="35"/>
  <c r="R54" i="35" s="1"/>
  <c r="E50" i="281" s="1"/>
  <c r="Q51" i="35"/>
  <c r="Q48" i="35"/>
  <c r="J48" i="35" s="1"/>
  <c r="Q47" i="35"/>
  <c r="Q46" i="35"/>
  <c r="J46" i="35" s="1"/>
  <c r="Q44" i="35"/>
  <c r="J44" i="35" s="1"/>
  <c r="D50" i="271" s="1"/>
  <c r="Q42" i="35"/>
  <c r="J42" i="35" s="1"/>
  <c r="AG40" i="35"/>
  <c r="Q39" i="35"/>
  <c r="AG35" i="35"/>
  <c r="Q33" i="35"/>
  <c r="Q31" i="35"/>
  <c r="J31" i="35" s="1"/>
  <c r="Q28" i="35"/>
  <c r="J28" i="35" s="1"/>
  <c r="Q26" i="35"/>
  <c r="J26" i="35" s="1"/>
  <c r="Q24" i="35"/>
  <c r="J24" i="35" s="1"/>
  <c r="Q23" i="35"/>
  <c r="J23" i="35" s="1"/>
  <c r="D50" i="250" s="1"/>
  <c r="AG19" i="35"/>
  <c r="Q21" i="35"/>
  <c r="J21" i="35" s="1"/>
  <c r="Q20" i="35"/>
  <c r="AG15" i="35"/>
  <c r="Q13" i="35"/>
  <c r="Q12" i="35"/>
  <c r="J12" i="35" s="1"/>
  <c r="Y9" i="35"/>
  <c r="R9" i="35" s="1"/>
  <c r="E50" i="235" s="1"/>
  <c r="Q10" i="35"/>
  <c r="J10" i="35" s="1"/>
  <c r="D50" i="236" s="1"/>
  <c r="AG7" i="35"/>
  <c r="Q4" i="35"/>
  <c r="J4" i="35" s="1"/>
  <c r="CP89" i="35" l="1"/>
  <c r="G131" i="316" s="1"/>
  <c r="F133" i="316"/>
  <c r="CP5" i="35"/>
  <c r="CQ5" i="35" s="1"/>
  <c r="CJ5" i="35"/>
  <c r="I130" i="231" s="1"/>
  <c r="J130" i="231" s="1"/>
  <c r="DF5" i="35"/>
  <c r="G133" i="231" s="1"/>
  <c r="CY89" i="35"/>
  <c r="H132" i="316" s="1"/>
  <c r="K48" i="35"/>
  <c r="L48" i="35" s="1"/>
  <c r="M48" i="35" s="1"/>
  <c r="D50" i="275"/>
  <c r="K57" i="35"/>
  <c r="L57" i="35" s="1"/>
  <c r="D50" i="284"/>
  <c r="DN89" i="35"/>
  <c r="G134" i="316" s="1"/>
  <c r="F134" i="316"/>
  <c r="K31" i="35"/>
  <c r="L31" i="35" s="1"/>
  <c r="M31" i="35" s="1"/>
  <c r="D50" i="258"/>
  <c r="K65" i="35"/>
  <c r="L65" i="35" s="1"/>
  <c r="M65" i="35" s="1"/>
  <c r="D50" i="292"/>
  <c r="K60" i="35"/>
  <c r="L60" i="35" s="1"/>
  <c r="D50" i="287"/>
  <c r="K28" i="35"/>
  <c r="L28" i="35" s="1"/>
  <c r="D50" i="255"/>
  <c r="K46" i="35"/>
  <c r="L46" i="35" s="1"/>
  <c r="M46" i="35" s="1"/>
  <c r="D50" i="273"/>
  <c r="K64" i="35"/>
  <c r="L64" i="35" s="1"/>
  <c r="M64" i="35" s="1"/>
  <c r="D50" i="291"/>
  <c r="K52" i="35"/>
  <c r="L52" i="35" s="1"/>
  <c r="M52" i="35" s="1"/>
  <c r="D50" i="279"/>
  <c r="K17" i="35"/>
  <c r="L17" i="35" s="1"/>
  <c r="D50" i="244"/>
  <c r="AI82" i="35"/>
  <c r="AJ82" i="35" s="1"/>
  <c r="G50" i="309"/>
  <c r="DN5" i="35"/>
  <c r="F134" i="231"/>
  <c r="DG89" i="35"/>
  <c r="K24" i="35"/>
  <c r="L24" i="35" s="1"/>
  <c r="D50" i="251"/>
  <c r="K42" i="35"/>
  <c r="L42" i="35" s="1"/>
  <c r="D50" i="269"/>
  <c r="F132" i="231"/>
  <c r="CX5" i="35"/>
  <c r="K85" i="35"/>
  <c r="L85" i="35" s="1"/>
  <c r="M85" i="35" s="1"/>
  <c r="D50" i="312"/>
  <c r="K49" i="35"/>
  <c r="L49" i="35" s="1"/>
  <c r="M49" i="35" s="1"/>
  <c r="D50" i="276"/>
  <c r="K4" i="35"/>
  <c r="L4" i="35" s="1"/>
  <c r="M4" i="35" s="1"/>
  <c r="N4" i="35" s="1"/>
  <c r="D50" i="230"/>
  <c r="K12" i="35"/>
  <c r="L12" i="35" s="1"/>
  <c r="D50" i="239"/>
  <c r="K21" i="35"/>
  <c r="L21" i="35" s="1"/>
  <c r="D50" i="248"/>
  <c r="K26" i="35"/>
  <c r="L26" i="35" s="1"/>
  <c r="M26" i="35" s="1"/>
  <c r="N26" i="35" s="1"/>
  <c r="D50" i="253"/>
  <c r="K61" i="35"/>
  <c r="L61" i="35" s="1"/>
  <c r="D50" i="288"/>
  <c r="K68" i="35"/>
  <c r="L68" i="35" s="1"/>
  <c r="D50" i="295"/>
  <c r="K89" i="35"/>
  <c r="L89" i="35" s="1"/>
  <c r="D50" i="316"/>
  <c r="K53" i="35"/>
  <c r="L53" i="35" s="1"/>
  <c r="M53" i="35" s="1"/>
  <c r="D50" i="280"/>
  <c r="Z52" i="35"/>
  <c r="Z17" i="35"/>
  <c r="F50" i="244" s="1"/>
  <c r="Z53" i="35"/>
  <c r="F50" i="280" s="1"/>
  <c r="Z29" i="35"/>
  <c r="F50" i="256" s="1"/>
  <c r="Z49" i="35"/>
  <c r="Z15" i="35"/>
  <c r="F50" i="242" s="1"/>
  <c r="Z82" i="35"/>
  <c r="F50" i="309" s="1"/>
  <c r="Z57" i="35"/>
  <c r="F50" i="284" s="1"/>
  <c r="Y24" i="35"/>
  <c r="R24" i="35" s="1"/>
  <c r="Y33" i="35"/>
  <c r="R33" i="35" s="1"/>
  <c r="E50" i="260" s="1"/>
  <c r="AW15" i="35"/>
  <c r="AG9" i="35"/>
  <c r="AO19" i="35"/>
  <c r="AH19" i="35" s="1"/>
  <c r="Y21" i="35"/>
  <c r="R21" i="35" s="1"/>
  <c r="E50" i="248" s="1"/>
  <c r="AO7" i="35"/>
  <c r="AH7" i="35" s="1"/>
  <c r="AG12" i="35"/>
  <c r="AG23" i="35"/>
  <c r="Y28" i="35"/>
  <c r="R28" i="35" s="1"/>
  <c r="E50" i="255" s="1"/>
  <c r="AG67" i="35"/>
  <c r="AG59" i="35"/>
  <c r="Q18" i="35"/>
  <c r="J18" i="35" s="1"/>
  <c r="Q38" i="35"/>
  <c r="J38" i="35" s="1"/>
  <c r="D50" i="265" s="1"/>
  <c r="Q54" i="35"/>
  <c r="J54" i="35" s="1"/>
  <c r="D50" i="281" s="1"/>
  <c r="Y15" i="35"/>
  <c r="R15" i="35" s="1"/>
  <c r="E50" i="242" s="1"/>
  <c r="Q63" i="35"/>
  <c r="J63" i="35" s="1"/>
  <c r="D50" i="290" s="1"/>
  <c r="Y44" i="35"/>
  <c r="R44" i="35" s="1"/>
  <c r="Y65" i="35"/>
  <c r="R65" i="35" s="1"/>
  <c r="E50" i="292" s="1"/>
  <c r="Y86" i="35"/>
  <c r="R86" i="35" s="1"/>
  <c r="E50" i="313" s="1"/>
  <c r="Q50" i="35"/>
  <c r="J50" i="35" s="1"/>
  <c r="D50" i="277" s="1"/>
  <c r="BO82" i="35"/>
  <c r="BP82" i="35" s="1"/>
  <c r="Y34" i="35"/>
  <c r="R34" i="35" s="1"/>
  <c r="E50" i="261" s="1"/>
  <c r="Q30" i="35"/>
  <c r="J30" i="35" s="1"/>
  <c r="Y56" i="35"/>
  <c r="R56" i="35" s="1"/>
  <c r="E50" i="283" s="1"/>
  <c r="Q7" i="35"/>
  <c r="J7" i="35" s="1"/>
  <c r="D50" i="233" s="1"/>
  <c r="Q84" i="35"/>
  <c r="J84" i="35" s="1"/>
  <c r="Q66" i="35"/>
  <c r="J66" i="35" s="1"/>
  <c r="D50" i="293" s="1"/>
  <c r="Q58" i="35"/>
  <c r="J58" i="35" s="1"/>
  <c r="D50" i="285" s="1"/>
  <c r="Q34" i="35"/>
  <c r="J34" i="35" s="1"/>
  <c r="Q11" i="35"/>
  <c r="J11" i="35" s="1"/>
  <c r="AQ32" i="35"/>
  <c r="AR32" i="35" s="1"/>
  <c r="CE82" i="35"/>
  <c r="Q62" i="35"/>
  <c r="J62" i="35" s="1"/>
  <c r="D50" i="289" s="1"/>
  <c r="Y39" i="35"/>
  <c r="R39" i="35" s="1"/>
  <c r="E50" i="266" s="1"/>
  <c r="AG51" i="35"/>
  <c r="Y85" i="35"/>
  <c r="R85" i="35" s="1"/>
  <c r="E50" i="312" s="1"/>
  <c r="K16" i="35"/>
  <c r="L16" i="35" s="1"/>
  <c r="Y63" i="35"/>
  <c r="R63" i="35" s="1"/>
  <c r="E50" i="290" s="1"/>
  <c r="AQ16" i="35"/>
  <c r="AR16" i="35" s="1"/>
  <c r="R16" i="35"/>
  <c r="E50" i="243" s="1"/>
  <c r="Z60" i="35"/>
  <c r="AH52" i="35"/>
  <c r="J3" i="35"/>
  <c r="D50" i="229" s="1"/>
  <c r="J47" i="35"/>
  <c r="Y55" i="35"/>
  <c r="Y87" i="35"/>
  <c r="J13" i="35"/>
  <c r="Y14" i="35"/>
  <c r="J39" i="35"/>
  <c r="J51" i="35"/>
  <c r="J83" i="35"/>
  <c r="J20" i="35"/>
  <c r="Y27" i="35"/>
  <c r="J33" i="35"/>
  <c r="J59" i="35"/>
  <c r="Z35" i="35"/>
  <c r="Y37" i="35"/>
  <c r="R37" i="35" s="1"/>
  <c r="E50" i="264" s="1"/>
  <c r="Z40" i="35"/>
  <c r="R60" i="35"/>
  <c r="E50" i="287" s="1"/>
  <c r="Y38" i="35"/>
  <c r="Y45" i="35"/>
  <c r="R45" i="35" s="1"/>
  <c r="E50" i="272" s="1"/>
  <c r="S32" i="35"/>
  <c r="Y6" i="35"/>
  <c r="Y8" i="35"/>
  <c r="Z7" i="35"/>
  <c r="Y41" i="35"/>
  <c r="R41" i="35" s="1"/>
  <c r="E50" i="268" s="1"/>
  <c r="Y50" i="35"/>
  <c r="Y58" i="35"/>
  <c r="AG84" i="35"/>
  <c r="J29" i="35"/>
  <c r="AH60" i="35"/>
  <c r="G50" i="287" s="1"/>
  <c r="Q22" i="35"/>
  <c r="J22" i="35" s="1"/>
  <c r="Q14" i="35"/>
  <c r="J14" i="35" s="1"/>
  <c r="Y40" i="35"/>
  <c r="Q87" i="35"/>
  <c r="Q55" i="35"/>
  <c r="Q35" i="35"/>
  <c r="J35" i="35" s="1"/>
  <c r="Q27" i="35"/>
  <c r="Q19" i="35"/>
  <c r="J19" i="35" s="1"/>
  <c r="D50" i="246" s="1"/>
  <c r="Q45" i="35"/>
  <c r="Q41" i="35"/>
  <c r="Q37" i="35"/>
  <c r="Q25" i="35"/>
  <c r="Q9" i="35"/>
  <c r="J9" i="35" s="1"/>
  <c r="Y84" i="35"/>
  <c r="Y19" i="35"/>
  <c r="Y22" i="35"/>
  <c r="Y25" i="35"/>
  <c r="AX52" i="35"/>
  <c r="I50" i="279" s="1"/>
  <c r="Y18" i="35"/>
  <c r="Z19" i="35"/>
  <c r="F50" i="246" s="1"/>
  <c r="Y30" i="35"/>
  <c r="Y66" i="35"/>
  <c r="J67" i="35"/>
  <c r="AH16" i="35"/>
  <c r="Y11" i="35"/>
  <c r="Z56" i="35"/>
  <c r="F50" i="283" s="1"/>
  <c r="Y62" i="35"/>
  <c r="AG63" i="35"/>
  <c r="Y88" i="35"/>
  <c r="AX16" i="35"/>
  <c r="I50" i="243" s="1"/>
  <c r="BN52" i="35"/>
  <c r="BN32" i="35"/>
  <c r="K50" i="259" s="1"/>
  <c r="BV82" i="35"/>
  <c r="L50" i="309" s="1"/>
  <c r="K23" i="35"/>
  <c r="L23" i="35" s="1"/>
  <c r="M23" i="35" s="1"/>
  <c r="Q15" i="35"/>
  <c r="J15" i="35" s="1"/>
  <c r="S54" i="35"/>
  <c r="T54" i="35" s="1"/>
  <c r="Q6" i="35"/>
  <c r="J6" i="35" s="1"/>
  <c r="Q88" i="35"/>
  <c r="J88" i="35" s="1"/>
  <c r="Q56" i="35"/>
  <c r="Q40" i="35"/>
  <c r="Q8" i="35"/>
  <c r="J8" i="35" s="1"/>
  <c r="Y35" i="35"/>
  <c r="Y7" i="35"/>
  <c r="BO60" i="35"/>
  <c r="BP60" i="35" s="1"/>
  <c r="R52" i="35"/>
  <c r="E50" i="279" s="1"/>
  <c r="AH32" i="35"/>
  <c r="AP82" i="35"/>
  <c r="AX60" i="35"/>
  <c r="I50" i="287" s="1"/>
  <c r="BN16" i="35"/>
  <c r="K50" i="243" s="1"/>
  <c r="AX32" i="35"/>
  <c r="I50" i="259" s="1"/>
  <c r="BF82" i="35"/>
  <c r="CD29" i="35"/>
  <c r="M50" i="256" s="1"/>
  <c r="Z16" i="35"/>
  <c r="F50" i="243" s="1"/>
  <c r="Z32" i="35"/>
  <c r="F50" i="259" s="1"/>
  <c r="AP52" i="35"/>
  <c r="H50" i="279" s="1"/>
  <c r="AP60" i="35"/>
  <c r="H50" i="287" s="1"/>
  <c r="CD17" i="35"/>
  <c r="CD49" i="35"/>
  <c r="CE53" i="35"/>
  <c r="BG60" i="35"/>
  <c r="BG52" i="35"/>
  <c r="BH52" i="35" s="1"/>
  <c r="BV60" i="35"/>
  <c r="BV52" i="35"/>
  <c r="L50" i="279" s="1"/>
  <c r="BW32" i="35"/>
  <c r="BX32" i="35" s="1"/>
  <c r="BY32" i="35" s="1"/>
  <c r="BW16" i="35"/>
  <c r="BX16" i="35" s="1"/>
  <c r="AY82" i="35"/>
  <c r="AZ82" i="35" s="1"/>
  <c r="BA82" i="35" s="1"/>
  <c r="CE57" i="35"/>
  <c r="CE89" i="35"/>
  <c r="CE16" i="35"/>
  <c r="CE32" i="35"/>
  <c r="D130" i="259" s="1"/>
  <c r="CE52" i="35"/>
  <c r="D130" i="279" s="1"/>
  <c r="CE60" i="35"/>
  <c r="D130" i="287" s="1"/>
  <c r="BW17" i="35"/>
  <c r="BX17" i="35" s="1"/>
  <c r="BW29" i="35"/>
  <c r="BX29" i="35" s="1"/>
  <c r="BW49" i="35"/>
  <c r="BW53" i="35"/>
  <c r="BX53" i="35" s="1"/>
  <c r="BW57" i="35"/>
  <c r="BX57" i="35" s="1"/>
  <c r="BW89" i="35"/>
  <c r="BX89" i="35" s="1"/>
  <c r="BO17" i="35"/>
  <c r="BP17" i="35" s="1"/>
  <c r="BO29" i="35"/>
  <c r="BP29" i="35" s="1"/>
  <c r="BO49" i="35"/>
  <c r="BP49" i="35" s="1"/>
  <c r="BO53" i="35"/>
  <c r="BP53" i="35" s="1"/>
  <c r="BO57" i="35"/>
  <c r="BO89" i="35"/>
  <c r="BG17" i="35"/>
  <c r="BH17" i="35" s="1"/>
  <c r="BG29" i="35"/>
  <c r="BG49" i="35"/>
  <c r="BH49" i="35" s="1"/>
  <c r="BG53" i="35"/>
  <c r="BG57" i="35"/>
  <c r="BG89" i="35"/>
  <c r="BH89" i="35" s="1"/>
  <c r="BG16" i="35"/>
  <c r="BG32" i="35"/>
  <c r="AY17" i="35"/>
  <c r="AZ17" i="35" s="1"/>
  <c r="AY29" i="35"/>
  <c r="AZ29" i="35" s="1"/>
  <c r="AY49" i="35"/>
  <c r="AZ49" i="35" s="1"/>
  <c r="AY53" i="35"/>
  <c r="AZ53" i="35" s="1"/>
  <c r="AY57" i="35"/>
  <c r="AY89" i="35"/>
  <c r="AZ89" i="35" s="1"/>
  <c r="AQ17" i="35"/>
  <c r="AR17" i="35" s="1"/>
  <c r="AS17" i="35" s="1"/>
  <c r="AT17" i="35" s="1"/>
  <c r="AQ29" i="35"/>
  <c r="AR29" i="35" s="1"/>
  <c r="AQ49" i="35"/>
  <c r="AR49" i="35" s="1"/>
  <c r="AQ53" i="35"/>
  <c r="AQ57" i="35"/>
  <c r="AQ89" i="35"/>
  <c r="AI17" i="35"/>
  <c r="AJ17" i="35" s="1"/>
  <c r="AI29" i="35"/>
  <c r="AJ29" i="35" s="1"/>
  <c r="AI49" i="35"/>
  <c r="AJ49" i="35" s="1"/>
  <c r="AI53" i="35"/>
  <c r="AI57" i="35"/>
  <c r="AI89" i="35"/>
  <c r="AA89" i="35"/>
  <c r="S9" i="35"/>
  <c r="S17" i="35"/>
  <c r="S29" i="35"/>
  <c r="S49" i="35"/>
  <c r="T49" i="35" s="1"/>
  <c r="S53" i="35"/>
  <c r="T53" i="35" s="1"/>
  <c r="U53" i="35" s="1"/>
  <c r="V53" i="35" s="1"/>
  <c r="S57" i="35"/>
  <c r="T57" i="35" s="1"/>
  <c r="U57" i="35" s="1"/>
  <c r="S89" i="35"/>
  <c r="T89" i="35" s="1"/>
  <c r="K86" i="35"/>
  <c r="L86" i="35" s="1"/>
  <c r="K82" i="35"/>
  <c r="K44" i="35"/>
  <c r="L44" i="35" s="1"/>
  <c r="M44" i="35" s="1"/>
  <c r="K32" i="35"/>
  <c r="L32" i="35" s="1"/>
  <c r="K10" i="35"/>
  <c r="CQ89" i="35" l="1"/>
  <c r="H131" i="316" s="1"/>
  <c r="Q95" i="35"/>
  <c r="AA15" i="35"/>
  <c r="AB15" i="35" s="1"/>
  <c r="AC15" i="35" s="1"/>
  <c r="R25" i="35"/>
  <c r="S25" i="35" s="1"/>
  <c r="G131" i="231"/>
  <c r="DG5" i="35"/>
  <c r="DH5" i="35" s="1"/>
  <c r="I133" i="231" s="1"/>
  <c r="CZ89" i="35"/>
  <c r="I132" i="316" s="1"/>
  <c r="J132" i="316" s="1"/>
  <c r="AA29" i="35"/>
  <c r="AB29" i="35" s="1"/>
  <c r="AA53" i="35"/>
  <c r="AB53" i="35" s="1"/>
  <c r="AC53" i="35" s="1"/>
  <c r="AA57" i="35"/>
  <c r="AB57" i="35" s="1"/>
  <c r="AC57" i="35" s="1"/>
  <c r="AD57" i="35" s="1"/>
  <c r="AE57" i="35" s="1"/>
  <c r="AA82" i="35"/>
  <c r="AB82" i="35" s="1"/>
  <c r="DO89" i="35"/>
  <c r="H134" i="316" s="1"/>
  <c r="CF53" i="35"/>
  <c r="D130" i="280"/>
  <c r="AI16" i="35"/>
  <c r="AJ16" i="35" s="1"/>
  <c r="G50" i="243"/>
  <c r="AA35" i="35"/>
  <c r="AB35" i="35" s="1"/>
  <c r="AC35" i="35" s="1"/>
  <c r="F50" i="262"/>
  <c r="K20" i="35"/>
  <c r="L20" i="35" s="1"/>
  <c r="M20" i="35" s="1"/>
  <c r="N20" i="35" s="1"/>
  <c r="O20" i="35" s="1"/>
  <c r="P20" i="35" s="1"/>
  <c r="D50" i="247"/>
  <c r="K47" i="35"/>
  <c r="L47" i="35" s="1"/>
  <c r="M47" i="35" s="1"/>
  <c r="D50" i="274"/>
  <c r="K18" i="35"/>
  <c r="L18" i="35" s="1"/>
  <c r="M18" i="35" s="1"/>
  <c r="D50" i="245"/>
  <c r="AI19" i="35"/>
  <c r="AJ19" i="35" s="1"/>
  <c r="G50" i="246"/>
  <c r="DH89" i="35"/>
  <c r="I133" i="316" s="1"/>
  <c r="H133" i="316"/>
  <c r="CF89" i="35"/>
  <c r="D130" i="316"/>
  <c r="K8" i="35"/>
  <c r="L8" i="35" s="1"/>
  <c r="M8" i="35" s="1"/>
  <c r="D50" i="234"/>
  <c r="K9" i="35"/>
  <c r="L9" i="35" s="1"/>
  <c r="M9" i="35" s="1"/>
  <c r="D50" i="235"/>
  <c r="K22" i="35"/>
  <c r="L22" i="35" s="1"/>
  <c r="D50" i="249"/>
  <c r="K39" i="35"/>
  <c r="L39" i="35" s="1"/>
  <c r="D50" i="266"/>
  <c r="AA60" i="35"/>
  <c r="AB60" i="35" s="1"/>
  <c r="AC60" i="35" s="1"/>
  <c r="F50" i="287"/>
  <c r="K34" i="35"/>
  <c r="L34" i="35" s="1"/>
  <c r="M34" i="35" s="1"/>
  <c r="N34" i="35" s="1"/>
  <c r="O34" i="35" s="1"/>
  <c r="D50" i="261"/>
  <c r="CF16" i="35"/>
  <c r="E130" i="243" s="1"/>
  <c r="D130" i="243"/>
  <c r="CE17" i="35"/>
  <c r="M50" i="244"/>
  <c r="K35" i="35"/>
  <c r="L35" i="35" s="1"/>
  <c r="M35" i="35" s="1"/>
  <c r="D50" i="262"/>
  <c r="K14" i="35"/>
  <c r="L14" i="35" s="1"/>
  <c r="M14" i="35" s="1"/>
  <c r="D50" i="241"/>
  <c r="AA7" i="35"/>
  <c r="AB7" i="35" s="1"/>
  <c r="F50" i="233"/>
  <c r="AA40" i="35"/>
  <c r="AB40" i="35" s="1"/>
  <c r="AC40" i="35" s="1"/>
  <c r="F50" i="267"/>
  <c r="K33" i="35"/>
  <c r="L33" i="35" s="1"/>
  <c r="D50" i="260"/>
  <c r="K51" i="35"/>
  <c r="L51" i="35" s="1"/>
  <c r="M51" i="35" s="1"/>
  <c r="D50" i="278"/>
  <c r="AI52" i="35"/>
  <c r="AJ52" i="35" s="1"/>
  <c r="G50" i="279"/>
  <c r="K11" i="35"/>
  <c r="L11" i="35" s="1"/>
  <c r="M11" i="35" s="1"/>
  <c r="D50" i="237"/>
  <c r="K84" i="35"/>
  <c r="L84" i="35" s="1"/>
  <c r="M84" i="35" s="1"/>
  <c r="D50" i="311"/>
  <c r="AI7" i="35"/>
  <c r="AJ7" i="35" s="1"/>
  <c r="AK7" i="35" s="1"/>
  <c r="AL7" i="35" s="1"/>
  <c r="G50" i="233"/>
  <c r="CY5" i="35"/>
  <c r="H132" i="231" s="1"/>
  <c r="G132" i="231"/>
  <c r="AA17" i="35"/>
  <c r="AB17" i="35" s="1"/>
  <c r="CF57" i="35"/>
  <c r="E130" i="284" s="1"/>
  <c r="D130" i="284"/>
  <c r="BG82" i="35"/>
  <c r="BH82" i="35" s="1"/>
  <c r="BI82" i="35" s="1"/>
  <c r="J50" i="309"/>
  <c r="AQ82" i="35"/>
  <c r="AR82" i="35" s="1"/>
  <c r="H50" i="309"/>
  <c r="CF82" i="35"/>
  <c r="D130" i="309"/>
  <c r="S24" i="35"/>
  <c r="T24" i="35" s="1"/>
  <c r="U24" i="35" s="1"/>
  <c r="E50" i="251"/>
  <c r="G134" i="231"/>
  <c r="DO5" i="35"/>
  <c r="H134" i="231" s="1"/>
  <c r="K6" i="35"/>
  <c r="L6" i="35" s="1"/>
  <c r="M6" i="35" s="1"/>
  <c r="D50" i="232"/>
  <c r="S44" i="35"/>
  <c r="T44" i="35" s="1"/>
  <c r="U44" i="35" s="1"/>
  <c r="E50" i="271"/>
  <c r="K88" i="35"/>
  <c r="L88" i="35" s="1"/>
  <c r="M88" i="35" s="1"/>
  <c r="D50" i="315"/>
  <c r="BW60" i="35"/>
  <c r="BX60" i="35" s="1"/>
  <c r="BY60" i="35" s="1"/>
  <c r="L50" i="287"/>
  <c r="CE49" i="35"/>
  <c r="D130" i="276" s="1"/>
  <c r="M50" i="276"/>
  <c r="AI32" i="35"/>
  <c r="AJ32" i="35" s="1"/>
  <c r="AK32" i="35" s="1"/>
  <c r="AL32" i="35" s="1"/>
  <c r="G50" i="259"/>
  <c r="K15" i="35"/>
  <c r="L15" i="35" s="1"/>
  <c r="M15" i="35" s="1"/>
  <c r="D50" i="242"/>
  <c r="BO52" i="35"/>
  <c r="BP52" i="35" s="1"/>
  <c r="BQ52" i="35" s="1"/>
  <c r="BR52" i="35" s="1"/>
  <c r="K50" i="279"/>
  <c r="K67" i="35"/>
  <c r="L67" i="35" s="1"/>
  <c r="M67" i="35" s="1"/>
  <c r="D50" i="294"/>
  <c r="K29" i="35"/>
  <c r="L29" i="35" s="1"/>
  <c r="D50" i="256"/>
  <c r="K59" i="35"/>
  <c r="L59" i="35" s="1"/>
  <c r="D50" i="286"/>
  <c r="K83" i="35"/>
  <c r="L83" i="35" s="1"/>
  <c r="D50" i="310"/>
  <c r="K13" i="35"/>
  <c r="L13" i="35" s="1"/>
  <c r="M13" i="35" s="1"/>
  <c r="D50" i="240"/>
  <c r="K3" i="35"/>
  <c r="L3" i="35" s="1"/>
  <c r="K30" i="35"/>
  <c r="L30" i="35" s="1"/>
  <c r="M30" i="35" s="1"/>
  <c r="N30" i="35" s="1"/>
  <c r="D50" i="257"/>
  <c r="AA49" i="35"/>
  <c r="AB49" i="35" s="1"/>
  <c r="AC49" i="35" s="1"/>
  <c r="F50" i="276"/>
  <c r="AA52" i="35"/>
  <c r="AB52" i="35" s="1"/>
  <c r="F50" i="279"/>
  <c r="CR5" i="35"/>
  <c r="I131" i="231" s="1"/>
  <c r="H131" i="231"/>
  <c r="Z9" i="35"/>
  <c r="DJ57" i="35"/>
  <c r="DB7" i="35"/>
  <c r="CT40" i="35"/>
  <c r="CT15" i="35"/>
  <c r="DB49" i="35"/>
  <c r="DJ29" i="35"/>
  <c r="CT19" i="35"/>
  <c r="DB52" i="35"/>
  <c r="DB32" i="35"/>
  <c r="CT57" i="35"/>
  <c r="CT35" i="35"/>
  <c r="CT7" i="35"/>
  <c r="CT82" i="35"/>
  <c r="CL40" i="35"/>
  <c r="CL15" i="35"/>
  <c r="DJ16" i="35"/>
  <c r="DJ49" i="35"/>
  <c r="DB60" i="35"/>
  <c r="DB29" i="35"/>
  <c r="DB53" i="35"/>
  <c r="CL19" i="35"/>
  <c r="CL17" i="35"/>
  <c r="DJ52" i="35"/>
  <c r="DK52" i="35" s="1"/>
  <c r="D134" i="279" s="1"/>
  <c r="CT56" i="35"/>
  <c r="CT32" i="35"/>
  <c r="CU32" i="35" s="1"/>
  <c r="D132" i="259" s="1"/>
  <c r="CL57" i="35"/>
  <c r="CL35" i="35"/>
  <c r="CL7" i="35"/>
  <c r="CL82" i="35"/>
  <c r="DJ40" i="35"/>
  <c r="DJ15" i="35"/>
  <c r="DB16" i="35"/>
  <c r="CT49" i="35"/>
  <c r="CT60" i="35"/>
  <c r="CT29" i="35"/>
  <c r="CL53" i="35"/>
  <c r="DJ19" i="35"/>
  <c r="DJ17" i="35"/>
  <c r="CT52" i="35"/>
  <c r="DB56" i="35"/>
  <c r="DJ32" i="35"/>
  <c r="DB35" i="35"/>
  <c r="DC35" i="35" s="1"/>
  <c r="D133" i="262" s="1"/>
  <c r="DB82" i="35"/>
  <c r="CL16" i="35"/>
  <c r="DJ60" i="35"/>
  <c r="CT53" i="35"/>
  <c r="CU53" i="35" s="1"/>
  <c r="D132" i="280" s="1"/>
  <c r="CT17" i="35"/>
  <c r="DJ56" i="35"/>
  <c r="CL32" i="35"/>
  <c r="DB57" i="35"/>
  <c r="DJ35" i="35"/>
  <c r="DJ7" i="35"/>
  <c r="DJ82" i="35"/>
  <c r="DB40" i="35"/>
  <c r="DC40" i="35" s="1"/>
  <c r="D133" i="267" s="1"/>
  <c r="DB15" i="35"/>
  <c r="CT16" i="35"/>
  <c r="CL49" i="35"/>
  <c r="CL60" i="35"/>
  <c r="CL29" i="35"/>
  <c r="DJ53" i="35"/>
  <c r="DB19" i="35"/>
  <c r="DC19" i="35" s="1"/>
  <c r="D133" i="246" s="1"/>
  <c r="DB17" i="35"/>
  <c r="CL52" i="35"/>
  <c r="CL56" i="35"/>
  <c r="AG20" i="35"/>
  <c r="AO15" i="35"/>
  <c r="AH15" i="35" s="1"/>
  <c r="G50" i="242" s="1"/>
  <c r="Y20" i="35"/>
  <c r="R20" i="35" s="1"/>
  <c r="S33" i="35"/>
  <c r="T33" i="35" s="1"/>
  <c r="Y42" i="35"/>
  <c r="R42" i="35" s="1"/>
  <c r="Y12" i="35"/>
  <c r="R12" i="35" s="1"/>
  <c r="E50" i="239" s="1"/>
  <c r="S21" i="35"/>
  <c r="T21" i="35" s="1"/>
  <c r="AO9" i="35"/>
  <c r="AH9" i="35" s="1"/>
  <c r="G50" i="235" s="1"/>
  <c r="BE15" i="35"/>
  <c r="AO56" i="35"/>
  <c r="AH56" i="35" s="1"/>
  <c r="S37" i="35"/>
  <c r="T37" i="35" s="1"/>
  <c r="AO21" i="35"/>
  <c r="S34" i="35"/>
  <c r="T34" i="35" s="1"/>
  <c r="U34" i="35" s="1"/>
  <c r="V34" i="35" s="1"/>
  <c r="AO67" i="35"/>
  <c r="Y67" i="35"/>
  <c r="R67" i="35" s="1"/>
  <c r="E50" i="294" s="1"/>
  <c r="Y46" i="35"/>
  <c r="R46" i="35" s="1"/>
  <c r="E50" i="273" s="1"/>
  <c r="S86" i="35"/>
  <c r="T86" i="35" s="1"/>
  <c r="U86" i="35" s="1"/>
  <c r="V86" i="35" s="1"/>
  <c r="AG65" i="35"/>
  <c r="Y23" i="35"/>
  <c r="R23" i="35" s="1"/>
  <c r="E50" i="250" s="1"/>
  <c r="Y4" i="35"/>
  <c r="R4" i="35" s="1"/>
  <c r="E50" i="230" s="1"/>
  <c r="Y59" i="35"/>
  <c r="R59" i="35" s="1"/>
  <c r="AW56" i="35"/>
  <c r="AP56" i="35" s="1"/>
  <c r="K54" i="35"/>
  <c r="L54" i="35" s="1"/>
  <c r="S65" i="35"/>
  <c r="T65" i="35" s="1"/>
  <c r="K50" i="35"/>
  <c r="L50" i="35" s="1"/>
  <c r="M50" i="35" s="1"/>
  <c r="Y31" i="35"/>
  <c r="R31" i="35" s="1"/>
  <c r="E50" i="258" s="1"/>
  <c r="K38" i="35"/>
  <c r="L38" i="35" s="1"/>
  <c r="M38" i="35" s="1"/>
  <c r="T9" i="35"/>
  <c r="U9" i="35" s="1"/>
  <c r="V9" i="35" s="1"/>
  <c r="W9" i="35" s="1"/>
  <c r="BY57" i="35"/>
  <c r="BZ57" i="35" s="1"/>
  <c r="K19" i="35"/>
  <c r="L19" i="35" s="1"/>
  <c r="S63" i="35"/>
  <c r="T63" i="35" s="1"/>
  <c r="U63" i="35" s="1"/>
  <c r="S39" i="35"/>
  <c r="T39" i="35" s="1"/>
  <c r="M16" i="35"/>
  <c r="N16" i="35" s="1"/>
  <c r="AG34" i="35"/>
  <c r="Y13" i="35"/>
  <c r="S52" i="35"/>
  <c r="T52" i="35" s="1"/>
  <c r="AY16" i="35"/>
  <c r="AZ16" i="35" s="1"/>
  <c r="K7" i="35"/>
  <c r="L7" i="35" s="1"/>
  <c r="M7" i="35" s="1"/>
  <c r="S60" i="35"/>
  <c r="K62" i="35"/>
  <c r="L62" i="35" s="1"/>
  <c r="M62" i="35" s="1"/>
  <c r="N62" i="35" s="1"/>
  <c r="AA19" i="35"/>
  <c r="AB19" i="35" s="1"/>
  <c r="AY52" i="35"/>
  <c r="Y51" i="35"/>
  <c r="R51" i="35" s="1"/>
  <c r="E50" i="278" s="1"/>
  <c r="AG85" i="35"/>
  <c r="Y61" i="35"/>
  <c r="S16" i="35"/>
  <c r="T16" i="35" s="1"/>
  <c r="K66" i="35"/>
  <c r="L66" i="35" s="1"/>
  <c r="M66" i="35" s="1"/>
  <c r="AG39" i="35"/>
  <c r="K58" i="35"/>
  <c r="L58" i="35" s="1"/>
  <c r="M86" i="35"/>
  <c r="N86" i="35" s="1"/>
  <c r="J56" i="35"/>
  <c r="BO32" i="35"/>
  <c r="BP32" i="35" s="1"/>
  <c r="M68" i="35"/>
  <c r="N68" i="35" s="1"/>
  <c r="BW82" i="35"/>
  <c r="BX49" i="35"/>
  <c r="BY49" i="35" s="1"/>
  <c r="BW52" i="35"/>
  <c r="BX52" i="35" s="1"/>
  <c r="BY52" i="35" s="1"/>
  <c r="BI52" i="35"/>
  <c r="BJ52" i="35" s="1"/>
  <c r="S15" i="35"/>
  <c r="T15" i="35" s="1"/>
  <c r="V57" i="35"/>
  <c r="CF32" i="35"/>
  <c r="M57" i="35"/>
  <c r="N57" i="35" s="1"/>
  <c r="O57" i="35" s="1"/>
  <c r="K63" i="35"/>
  <c r="M21" i="35"/>
  <c r="N21" i="35" s="1"/>
  <c r="O21" i="35" s="1"/>
  <c r="P21" i="35" s="1"/>
  <c r="T17" i="35"/>
  <c r="AZ57" i="35"/>
  <c r="AQ60" i="35"/>
  <c r="AR60" i="35" s="1"/>
  <c r="AS16" i="35"/>
  <c r="BO16" i="35"/>
  <c r="AY60" i="35"/>
  <c r="AG88" i="35"/>
  <c r="Z59" i="35"/>
  <c r="AG31" i="35"/>
  <c r="AG25" i="35"/>
  <c r="Y10" i="35"/>
  <c r="AI60" i="35"/>
  <c r="Z12" i="35"/>
  <c r="F50" i="239" s="1"/>
  <c r="R87" i="35"/>
  <c r="J40" i="35"/>
  <c r="Z63" i="35"/>
  <c r="AG11" i="35"/>
  <c r="S56" i="35"/>
  <c r="T56" i="35" s="1"/>
  <c r="AG30" i="35"/>
  <c r="R19" i="35"/>
  <c r="E50" i="246" s="1"/>
  <c r="J55" i="35"/>
  <c r="Z51" i="35"/>
  <c r="F50" i="278" s="1"/>
  <c r="AG37" i="35"/>
  <c r="AG14" i="35"/>
  <c r="AG55" i="35"/>
  <c r="AA16" i="35"/>
  <c r="R35" i="35"/>
  <c r="R11" i="35"/>
  <c r="R30" i="35"/>
  <c r="J41" i="35"/>
  <c r="Y68" i="35"/>
  <c r="Y48" i="35"/>
  <c r="AO84" i="35"/>
  <c r="AG50" i="35"/>
  <c r="AG6" i="35"/>
  <c r="R38" i="35"/>
  <c r="AG42" i="35"/>
  <c r="R27" i="35"/>
  <c r="E50" i="254" s="1"/>
  <c r="R55" i="35"/>
  <c r="BA89" i="35"/>
  <c r="BB89" i="35" s="1"/>
  <c r="BC89" i="35" s="1"/>
  <c r="BD89" i="35" s="1"/>
  <c r="BA53" i="35"/>
  <c r="BB53" i="35" s="1"/>
  <c r="BC53" i="35" s="1"/>
  <c r="BQ53" i="35"/>
  <c r="BR53" i="35" s="1"/>
  <c r="BS53" i="35" s="1"/>
  <c r="BT53" i="35" s="1"/>
  <c r="BY29" i="35"/>
  <c r="BZ29" i="35" s="1"/>
  <c r="CA29" i="35" s="1"/>
  <c r="CB29" i="35" s="1"/>
  <c r="S28" i="35"/>
  <c r="T28" i="35" s="1"/>
  <c r="N46" i="35"/>
  <c r="O46" i="35" s="1"/>
  <c r="P46" i="35" s="1"/>
  <c r="N52" i="35"/>
  <c r="U89" i="35"/>
  <c r="V89" i="35" s="1"/>
  <c r="S41" i="35"/>
  <c r="AR53" i="35"/>
  <c r="AU17" i="35"/>
  <c r="AV17" i="35" s="1"/>
  <c r="BQ49" i="35"/>
  <c r="BR49" i="35" s="1"/>
  <c r="BS49" i="35" s="1"/>
  <c r="BT49" i="35" s="1"/>
  <c r="BH60" i="35"/>
  <c r="CE29" i="35"/>
  <c r="AS32" i="35"/>
  <c r="BQ60" i="35"/>
  <c r="BR60" i="35" s="1"/>
  <c r="AY32" i="35"/>
  <c r="AZ32" i="35" s="1"/>
  <c r="AO63" i="35"/>
  <c r="R66" i="35"/>
  <c r="AG18" i="35"/>
  <c r="R22" i="35"/>
  <c r="AP15" i="35"/>
  <c r="H50" i="242" s="1"/>
  <c r="J25" i="35"/>
  <c r="Y64" i="35"/>
  <c r="AG33" i="35"/>
  <c r="R40" i="35"/>
  <c r="AG58" i="35"/>
  <c r="AG41" i="35"/>
  <c r="AG8" i="35"/>
  <c r="Z23" i="35"/>
  <c r="F50" i="250" s="1"/>
  <c r="R14" i="35"/>
  <c r="E50" i="241" s="1"/>
  <c r="R88" i="35"/>
  <c r="E50" i="315" s="1"/>
  <c r="AG46" i="35"/>
  <c r="R18" i="35"/>
  <c r="J45" i="35"/>
  <c r="Y47" i="35"/>
  <c r="AO35" i="35"/>
  <c r="R58" i="35"/>
  <c r="E50" i="285" s="1"/>
  <c r="R8" i="35"/>
  <c r="BE56" i="35"/>
  <c r="AG38" i="35"/>
  <c r="AQ52" i="35"/>
  <c r="AR52" i="35" s="1"/>
  <c r="AA32" i="35"/>
  <c r="R7" i="35"/>
  <c r="Z67" i="35"/>
  <c r="F50" i="294" s="1"/>
  <c r="R62" i="35"/>
  <c r="AO20" i="35"/>
  <c r="AG66" i="35"/>
  <c r="AG22" i="35"/>
  <c r="R84" i="35"/>
  <c r="J37" i="35"/>
  <c r="Y83" i="35"/>
  <c r="AG54" i="35"/>
  <c r="AO40" i="35"/>
  <c r="Y26" i="35"/>
  <c r="Y3" i="35"/>
  <c r="J27" i="35"/>
  <c r="D50" i="254" s="1"/>
  <c r="J87" i="35"/>
  <c r="D50" i="314" s="1"/>
  <c r="Z84" i="35"/>
  <c r="R50" i="35"/>
  <c r="R6" i="35"/>
  <c r="AG45" i="35"/>
  <c r="AG27" i="35"/>
  <c r="AG87" i="35"/>
  <c r="N64" i="35"/>
  <c r="O64" i="35" s="1"/>
  <c r="S45" i="35"/>
  <c r="T45" i="35" s="1"/>
  <c r="U45" i="35" s="1"/>
  <c r="V45" i="35" s="1"/>
  <c r="S85" i="35"/>
  <c r="T85" i="35" s="1"/>
  <c r="BA29" i="35"/>
  <c r="BI49" i="35"/>
  <c r="BJ49" i="35" s="1"/>
  <c r="BY89" i="35"/>
  <c r="BZ89" i="35" s="1"/>
  <c r="CA89" i="35" s="1"/>
  <c r="CB89" i="35" s="1"/>
  <c r="AA56" i="35"/>
  <c r="BZ32" i="35"/>
  <c r="T32" i="35"/>
  <c r="BY16" i="35"/>
  <c r="BZ16" i="35" s="1"/>
  <c r="CF52" i="35"/>
  <c r="E130" i="279" s="1"/>
  <c r="CF60" i="35"/>
  <c r="BY53" i="35"/>
  <c r="BY17" i="35"/>
  <c r="BQ82" i="35"/>
  <c r="BR82" i="35" s="1"/>
  <c r="BS82" i="35" s="1"/>
  <c r="BQ29" i="35"/>
  <c r="BP89" i="35"/>
  <c r="BQ89" i="35" s="1"/>
  <c r="BP57" i="35"/>
  <c r="BQ17" i="35"/>
  <c r="BR17" i="35" s="1"/>
  <c r="BH16" i="35"/>
  <c r="BI17" i="35"/>
  <c r="BH53" i="35"/>
  <c r="BH32" i="35"/>
  <c r="BI32" i="35" s="1"/>
  <c r="BI89" i="35"/>
  <c r="BJ89" i="35" s="1"/>
  <c r="BH57" i="35"/>
  <c r="BI57" i="35" s="1"/>
  <c r="BH29" i="35"/>
  <c r="BI29" i="35" s="1"/>
  <c r="BB82" i="35"/>
  <c r="BC82" i="35" s="1"/>
  <c r="BD82" i="35" s="1"/>
  <c r="BA17" i="35"/>
  <c r="BB17" i="35" s="1"/>
  <c r="BA49" i="35"/>
  <c r="BB49" i="35" s="1"/>
  <c r="AS29" i="35"/>
  <c r="AT29" i="35" s="1"/>
  <c r="AU29" i="35" s="1"/>
  <c r="AV29" i="35" s="1"/>
  <c r="AS49" i="35"/>
  <c r="AR89" i="35"/>
  <c r="AS89" i="35" s="1"/>
  <c r="AR57" i="35"/>
  <c r="AK49" i="35"/>
  <c r="AK17" i="35"/>
  <c r="AL17" i="35" s="1"/>
  <c r="AM17" i="35" s="1"/>
  <c r="AJ53" i="35"/>
  <c r="AK82" i="35"/>
  <c r="AL82" i="35" s="1"/>
  <c r="AJ89" i="35"/>
  <c r="AJ57" i="35"/>
  <c r="AK29" i="35"/>
  <c r="AL29" i="35" s="1"/>
  <c r="AB89" i="35"/>
  <c r="AC89" i="35" s="1"/>
  <c r="T29" i="35"/>
  <c r="U29" i="35" s="1"/>
  <c r="W53" i="35"/>
  <c r="X53" i="35" s="1"/>
  <c r="U49" i="35"/>
  <c r="V49" i="35" s="1"/>
  <c r="U54" i="35"/>
  <c r="V54" i="35" s="1"/>
  <c r="N53" i="35"/>
  <c r="O53" i="35" s="1"/>
  <c r="P53" i="35" s="1"/>
  <c r="N49" i="35"/>
  <c r="O49" i="35" s="1"/>
  <c r="N65" i="35"/>
  <c r="N85" i="35"/>
  <c r="O85" i="35" s="1"/>
  <c r="P85" i="35" s="1"/>
  <c r="M61" i="35"/>
  <c r="M89" i="35"/>
  <c r="N89" i="35" s="1"/>
  <c r="O89" i="35" s="1"/>
  <c r="M60" i="35"/>
  <c r="N60" i="35" s="1"/>
  <c r="L82" i="35"/>
  <c r="N48" i="35"/>
  <c r="O48" i="35" s="1"/>
  <c r="P48" i="35" s="1"/>
  <c r="M42" i="35"/>
  <c r="N42" i="35" s="1"/>
  <c r="N44" i="35"/>
  <c r="O44" i="35" s="1"/>
  <c r="P44" i="35" s="1"/>
  <c r="N31" i="35"/>
  <c r="M32" i="35"/>
  <c r="N32" i="35" s="1"/>
  <c r="M28" i="35"/>
  <c r="O26" i="35"/>
  <c r="P26" i="35" s="1"/>
  <c r="N23" i="35"/>
  <c r="O23" i="35" s="1"/>
  <c r="M24" i="35"/>
  <c r="M17" i="35"/>
  <c r="N17" i="35" s="1"/>
  <c r="M12" i="35"/>
  <c r="L10" i="35"/>
  <c r="O4" i="35"/>
  <c r="P4" i="35" s="1"/>
  <c r="CR89" i="35" l="1"/>
  <c r="I131" i="316" s="1"/>
  <c r="J131" i="316" s="1"/>
  <c r="DP89" i="35"/>
  <c r="I134" i="316" s="1"/>
  <c r="J134" i="316" s="1"/>
  <c r="AD15" i="35"/>
  <c r="AE15" i="35" s="1"/>
  <c r="E50" i="252"/>
  <c r="R95" i="35"/>
  <c r="D50" i="252"/>
  <c r="J95" i="35"/>
  <c r="Y95" i="35"/>
  <c r="AK52" i="35"/>
  <c r="AL52" i="35" s="1"/>
  <c r="CG57" i="35"/>
  <c r="F130" i="284" s="1"/>
  <c r="CG16" i="35"/>
  <c r="CH16" i="35" s="1"/>
  <c r="AC82" i="35"/>
  <c r="AD82" i="35" s="1"/>
  <c r="AE82" i="35" s="1"/>
  <c r="CF49" i="35"/>
  <c r="CG49" i="35" s="1"/>
  <c r="H133" i="231"/>
  <c r="J133" i="231" s="1"/>
  <c r="J133" i="316"/>
  <c r="AC29" i="35"/>
  <c r="AD29" i="35" s="1"/>
  <c r="AD49" i="35"/>
  <c r="AE49" i="35" s="1"/>
  <c r="AF49" i="35" s="1"/>
  <c r="J131" i="231"/>
  <c r="DP5" i="35"/>
  <c r="I134" i="231" s="1"/>
  <c r="J134" i="231" s="1"/>
  <c r="M33" i="35"/>
  <c r="N33" i="35" s="1"/>
  <c r="O33" i="35" s="1"/>
  <c r="BJ82" i="35"/>
  <c r="BK82" i="35" s="1"/>
  <c r="BL82" i="35" s="1"/>
  <c r="M83" i="35"/>
  <c r="N83" i="35" s="1"/>
  <c r="O83" i="35" s="1"/>
  <c r="P83" i="35" s="1"/>
  <c r="AC17" i="35"/>
  <c r="AD17" i="35" s="1"/>
  <c r="AE17" i="35" s="1"/>
  <c r="AF17" i="35" s="1"/>
  <c r="AD53" i="35"/>
  <c r="AE53" i="35" s="1"/>
  <c r="CZ5" i="35"/>
  <c r="I132" i="231" s="1"/>
  <c r="J132" i="231" s="1"/>
  <c r="S6" i="35"/>
  <c r="T6" i="35" s="1"/>
  <c r="U6" i="35" s="1"/>
  <c r="E50" i="232"/>
  <c r="CF29" i="35"/>
  <c r="E130" i="256" s="1"/>
  <c r="D130" i="256"/>
  <c r="K41" i="35"/>
  <c r="L41" i="35" s="1"/>
  <c r="M41" i="35" s="1"/>
  <c r="D50" i="268"/>
  <c r="K40" i="35"/>
  <c r="L40" i="35" s="1"/>
  <c r="M40" i="35" s="1"/>
  <c r="D50" i="267"/>
  <c r="S42" i="35"/>
  <c r="T42" i="35" s="1"/>
  <c r="E50" i="269"/>
  <c r="O50" i="287"/>
  <c r="N50" i="284"/>
  <c r="Q50" i="243"/>
  <c r="S18" i="35"/>
  <c r="T18" i="35" s="1"/>
  <c r="E50" i="245"/>
  <c r="S55" i="35"/>
  <c r="T55" i="35" s="1"/>
  <c r="E50" i="282"/>
  <c r="AI56" i="35"/>
  <c r="AJ56" i="35" s="1"/>
  <c r="G50" i="283"/>
  <c r="N50" i="279"/>
  <c r="DK53" i="35"/>
  <c r="D134" i="280" s="1"/>
  <c r="Q50" i="280"/>
  <c r="O50" i="243"/>
  <c r="DK82" i="35"/>
  <c r="D134" i="309" s="1"/>
  <c r="Q50" i="309"/>
  <c r="CM32" i="35"/>
  <c r="D131" i="259" s="1"/>
  <c r="N50" i="259"/>
  <c r="P50" i="262"/>
  <c r="O50" i="256"/>
  <c r="CU56" i="35"/>
  <c r="D132" i="283" s="1"/>
  <c r="O50" i="283"/>
  <c r="CF17" i="35"/>
  <c r="D130" i="244"/>
  <c r="CG53" i="35"/>
  <c r="E130" i="280"/>
  <c r="K37" i="35"/>
  <c r="L37" i="35" s="1"/>
  <c r="M37" i="35" s="1"/>
  <c r="D50" i="264"/>
  <c r="CG60" i="35"/>
  <c r="F130" i="287" s="1"/>
  <c r="E130" i="287"/>
  <c r="S50" i="35"/>
  <c r="T50" i="35" s="1"/>
  <c r="E50" i="277"/>
  <c r="S7" i="35"/>
  <c r="T7" i="35" s="1"/>
  <c r="E50" i="233"/>
  <c r="S30" i="35"/>
  <c r="T30" i="35" s="1"/>
  <c r="U30" i="35" s="1"/>
  <c r="V30" i="35" s="1"/>
  <c r="E50" i="257"/>
  <c r="S87" i="35"/>
  <c r="T87" i="35" s="1"/>
  <c r="E50" i="314"/>
  <c r="K56" i="35"/>
  <c r="L56" i="35" s="1"/>
  <c r="D50" i="283"/>
  <c r="P50" i="246"/>
  <c r="CM60" i="35"/>
  <c r="D131" i="287" s="1"/>
  <c r="N50" i="287"/>
  <c r="P50" i="267"/>
  <c r="Q50" i="262"/>
  <c r="O50" i="244"/>
  <c r="CM16" i="35"/>
  <c r="D131" i="243" s="1"/>
  <c r="N50" i="243"/>
  <c r="DK32" i="35"/>
  <c r="D134" i="259" s="1"/>
  <c r="Q50" i="259"/>
  <c r="DK19" i="35"/>
  <c r="D134" i="246" s="1"/>
  <c r="Q50" i="246"/>
  <c r="O50" i="276"/>
  <c r="CM82" i="35"/>
  <c r="D131" i="309" s="1"/>
  <c r="N50" i="309"/>
  <c r="P50" i="256"/>
  <c r="CM15" i="35"/>
  <c r="D131" i="242" s="1"/>
  <c r="N50" i="242"/>
  <c r="O50" i="262"/>
  <c r="O50" i="246"/>
  <c r="O50" i="267"/>
  <c r="N67" i="35"/>
  <c r="O67" i="35" s="1"/>
  <c r="P67" i="35" s="1"/>
  <c r="M59" i="35"/>
  <c r="N59" i="35" s="1"/>
  <c r="O59" i="35" s="1"/>
  <c r="P59" i="35" s="1"/>
  <c r="AS82" i="35"/>
  <c r="AT82" i="35" s="1"/>
  <c r="AU82" i="35" s="1"/>
  <c r="AD35" i="35"/>
  <c r="AE35" i="35" s="1"/>
  <c r="AF35" i="35" s="1"/>
  <c r="S22" i="35"/>
  <c r="T22" i="35" s="1"/>
  <c r="E50" i="249"/>
  <c r="CG32" i="35"/>
  <c r="F130" i="259" s="1"/>
  <c r="E130" i="259"/>
  <c r="P50" i="244"/>
  <c r="N50" i="256"/>
  <c r="P50" i="242"/>
  <c r="Q50" i="233"/>
  <c r="DK56" i="35"/>
  <c r="D134" i="283" s="1"/>
  <c r="Q50" i="283"/>
  <c r="DK60" i="35"/>
  <c r="D134" i="287" s="1"/>
  <c r="Q50" i="287"/>
  <c r="Q50" i="244"/>
  <c r="Q50" i="267"/>
  <c r="Q50" i="279"/>
  <c r="P50" i="280"/>
  <c r="O50" i="233"/>
  <c r="DC52" i="35"/>
  <c r="D133" i="279" s="1"/>
  <c r="P50" i="279"/>
  <c r="O50" i="242"/>
  <c r="AA9" i="35"/>
  <c r="AB9" i="35" s="1"/>
  <c r="F50" i="235"/>
  <c r="S84" i="35"/>
  <c r="T84" i="35" s="1"/>
  <c r="E50" i="311"/>
  <c r="S62" i="35"/>
  <c r="T62" i="35" s="1"/>
  <c r="U62" i="35" s="1"/>
  <c r="E50" i="289"/>
  <c r="S40" i="35"/>
  <c r="T40" i="35" s="1"/>
  <c r="U40" i="35" s="1"/>
  <c r="V40" i="35" s="1"/>
  <c r="W40" i="35" s="1"/>
  <c r="E50" i="267"/>
  <c r="S35" i="35"/>
  <c r="T35" i="35" s="1"/>
  <c r="U35" i="35" s="1"/>
  <c r="E50" i="262"/>
  <c r="AA63" i="35"/>
  <c r="AB63" i="35" s="1"/>
  <c r="F50" i="290"/>
  <c r="AA59" i="35"/>
  <c r="AB59" i="35" s="1"/>
  <c r="AC59" i="35" s="1"/>
  <c r="F50" i="286"/>
  <c r="S59" i="35"/>
  <c r="T59" i="35" s="1"/>
  <c r="E50" i="286"/>
  <c r="CU52" i="35"/>
  <c r="D132" i="279" s="1"/>
  <c r="O50" i="279"/>
  <c r="Q50" i="242"/>
  <c r="N50" i="262"/>
  <c r="CM19" i="35"/>
  <c r="D131" i="246" s="1"/>
  <c r="N50" i="246"/>
  <c r="Q50" i="276"/>
  <c r="CU82" i="35"/>
  <c r="D132" i="309" s="1"/>
  <c r="O50" i="309"/>
  <c r="DC32" i="35"/>
  <c r="D133" i="259" s="1"/>
  <c r="P50" i="259"/>
  <c r="P50" i="276"/>
  <c r="Q50" i="284"/>
  <c r="CG89" i="35"/>
  <c r="F130" i="316" s="1"/>
  <c r="E130" i="316"/>
  <c r="AA84" i="35"/>
  <c r="AB84" i="35" s="1"/>
  <c r="F50" i="311"/>
  <c r="S8" i="35"/>
  <c r="T8" i="35" s="1"/>
  <c r="U8" i="35" s="1"/>
  <c r="E50" i="234"/>
  <c r="K45" i="35"/>
  <c r="L45" i="35" s="1"/>
  <c r="M45" i="35" s="1"/>
  <c r="D50" i="272"/>
  <c r="S66" i="35"/>
  <c r="T66" i="35" s="1"/>
  <c r="U66" i="35" s="1"/>
  <c r="E50" i="293"/>
  <c r="S38" i="35"/>
  <c r="T38" i="35" s="1"/>
  <c r="U38" i="35" s="1"/>
  <c r="E50" i="265"/>
  <c r="S11" i="35"/>
  <c r="T11" i="35" s="1"/>
  <c r="U11" i="35" s="1"/>
  <c r="E50" i="237"/>
  <c r="K55" i="35"/>
  <c r="L55" i="35" s="1"/>
  <c r="D50" i="282"/>
  <c r="AQ56" i="35"/>
  <c r="AR56" i="35" s="1"/>
  <c r="AS56" i="35" s="1"/>
  <c r="H50" i="283"/>
  <c r="S20" i="35"/>
  <c r="T20" i="35" s="1"/>
  <c r="U20" i="35" s="1"/>
  <c r="E50" i="247"/>
  <c r="CM56" i="35"/>
  <c r="D131" i="283" s="1"/>
  <c r="N50" i="283"/>
  <c r="CM49" i="35"/>
  <c r="D131" i="276" s="1"/>
  <c r="N50" i="276"/>
  <c r="P50" i="284"/>
  <c r="O50" i="280"/>
  <c r="P50" i="309"/>
  <c r="DC56" i="35"/>
  <c r="D133" i="283" s="1"/>
  <c r="P50" i="283"/>
  <c r="CM53" i="35"/>
  <c r="D131" i="280" s="1"/>
  <c r="N50" i="280"/>
  <c r="P50" i="243"/>
  <c r="CM7" i="35"/>
  <c r="N50" i="233"/>
  <c r="O50" i="259"/>
  <c r="N50" i="244"/>
  <c r="DC60" i="35"/>
  <c r="D133" i="287" s="1"/>
  <c r="P50" i="287"/>
  <c r="CM40" i="35"/>
  <c r="D131" i="267" s="1"/>
  <c r="N50" i="267"/>
  <c r="CU57" i="35"/>
  <c r="D132" i="284" s="1"/>
  <c r="O50" i="284"/>
  <c r="DK29" i="35"/>
  <c r="D134" i="256" s="1"/>
  <c r="Q50" i="256"/>
  <c r="P50" i="233"/>
  <c r="CG82" i="35"/>
  <c r="E130" i="309"/>
  <c r="CV53" i="35"/>
  <c r="DC16" i="35"/>
  <c r="DC53" i="35"/>
  <c r="D133" i="280" s="1"/>
  <c r="CV32" i="35"/>
  <c r="CL67" i="35"/>
  <c r="CL12" i="35"/>
  <c r="CL23" i="35"/>
  <c r="CL9" i="35"/>
  <c r="DJ67" i="35"/>
  <c r="DJ12" i="35"/>
  <c r="DJ63" i="35"/>
  <c r="DB59" i="35"/>
  <c r="Z20" i="35"/>
  <c r="F50" i="247" s="1"/>
  <c r="DB67" i="35"/>
  <c r="DB84" i="35"/>
  <c r="DB12" i="35"/>
  <c r="CT51" i="35"/>
  <c r="DB23" i="35"/>
  <c r="DB63" i="35"/>
  <c r="DB9" i="35"/>
  <c r="CT59" i="35"/>
  <c r="CM29" i="35"/>
  <c r="DC15" i="35"/>
  <c r="DD35" i="35"/>
  <c r="DC29" i="35"/>
  <c r="CU35" i="35"/>
  <c r="D132" i="262" s="1"/>
  <c r="CU19" i="35"/>
  <c r="D132" i="246" s="1"/>
  <c r="CU40" i="35"/>
  <c r="D132" i="267" s="1"/>
  <c r="DC17" i="35"/>
  <c r="DD19" i="35"/>
  <c r="E133" i="246" s="1"/>
  <c r="CU16" i="35"/>
  <c r="DK7" i="35"/>
  <c r="DC82" i="35"/>
  <c r="D133" i="309" s="1"/>
  <c r="DK17" i="35"/>
  <c r="D134" i="244" s="1"/>
  <c r="CU49" i="35"/>
  <c r="D132" i="276" s="1"/>
  <c r="DK40" i="35"/>
  <c r="CM17" i="35"/>
  <c r="D131" i="244" s="1"/>
  <c r="DK49" i="35"/>
  <c r="D134" i="276" s="1"/>
  <c r="DK16" i="35"/>
  <c r="D134" i="243" s="1"/>
  <c r="CU7" i="35"/>
  <c r="DC49" i="35"/>
  <c r="CU15" i="35"/>
  <c r="DC7" i="35"/>
  <c r="D133" i="233" s="1"/>
  <c r="DK57" i="35"/>
  <c r="D134" i="284" s="1"/>
  <c r="CL84" i="35"/>
  <c r="CL51" i="35"/>
  <c r="CL63" i="35"/>
  <c r="DJ59" i="35"/>
  <c r="DJ84" i="35"/>
  <c r="DK84" i="35" s="1"/>
  <c r="D134" i="311" s="1"/>
  <c r="DJ51" i="35"/>
  <c r="DJ23" i="35"/>
  <c r="DK23" i="35" s="1"/>
  <c r="DJ9" i="35"/>
  <c r="CT67" i="35"/>
  <c r="CT84" i="35"/>
  <c r="CT12" i="35"/>
  <c r="DB51" i="35"/>
  <c r="CT23" i="35"/>
  <c r="CT63" i="35"/>
  <c r="CT9" i="35"/>
  <c r="CL59" i="35"/>
  <c r="CM52" i="35"/>
  <c r="D131" i="279" s="1"/>
  <c r="DD40" i="35"/>
  <c r="E133" i="267" s="1"/>
  <c r="DK35" i="35"/>
  <c r="DC57" i="35"/>
  <c r="CU60" i="35"/>
  <c r="D132" i="287" s="1"/>
  <c r="CM57" i="35"/>
  <c r="D131" i="284" s="1"/>
  <c r="CU17" i="35"/>
  <c r="D132" i="244" s="1"/>
  <c r="CU29" i="35"/>
  <c r="D132" i="256" s="1"/>
  <c r="DK15" i="35"/>
  <c r="D134" i="242" s="1"/>
  <c r="CM35" i="35"/>
  <c r="D131" i="262" s="1"/>
  <c r="DL52" i="35"/>
  <c r="AG62" i="35"/>
  <c r="AG95" i="35" s="1"/>
  <c r="AO62" i="35"/>
  <c r="AO12" i="35"/>
  <c r="AH12" i="35" s="1"/>
  <c r="BM15" i="35"/>
  <c r="AG28" i="35"/>
  <c r="AG24" i="35"/>
  <c r="AG86" i="35"/>
  <c r="U33" i="35"/>
  <c r="V33" i="35" s="1"/>
  <c r="AO23" i="35"/>
  <c r="AH23" i="35" s="1"/>
  <c r="G50" i="250" s="1"/>
  <c r="AW19" i="35"/>
  <c r="AP19" i="35" s="1"/>
  <c r="U21" i="35"/>
  <c r="V21" i="35" s="1"/>
  <c r="AG21" i="35"/>
  <c r="N35" i="35"/>
  <c r="O35" i="35" s="1"/>
  <c r="U37" i="35"/>
  <c r="V37" i="35" s="1"/>
  <c r="N18" i="35"/>
  <c r="O18" i="35" s="1"/>
  <c r="P18" i="35" s="1"/>
  <c r="M54" i="35"/>
  <c r="N54" i="35" s="1"/>
  <c r="N11" i="35"/>
  <c r="O11" i="35" s="1"/>
  <c r="P11" i="35" s="1"/>
  <c r="W86" i="35"/>
  <c r="X86" i="35" s="1"/>
  <c r="AO59" i="35"/>
  <c r="AH59" i="35" s="1"/>
  <c r="S4" i="35"/>
  <c r="T4" i="35" s="1"/>
  <c r="AO65" i="35"/>
  <c r="AW7" i="35"/>
  <c r="AP7" i="35" s="1"/>
  <c r="N15" i="35"/>
  <c r="O15" i="35" s="1"/>
  <c r="U39" i="35"/>
  <c r="V39" i="35" s="1"/>
  <c r="W39" i="35" s="1"/>
  <c r="AG44" i="35"/>
  <c r="AG4" i="35"/>
  <c r="N51" i="35"/>
  <c r="O51" i="35" s="1"/>
  <c r="P51" i="35" s="1"/>
  <c r="AD60" i="35"/>
  <c r="AE60" i="35" s="1"/>
  <c r="AF60" i="35" s="1"/>
  <c r="N50" i="35"/>
  <c r="O50" i="35" s="1"/>
  <c r="P50" i="35" s="1"/>
  <c r="U65" i="35"/>
  <c r="V65" i="35" s="1"/>
  <c r="AM7" i="35"/>
  <c r="AN7" i="35" s="1"/>
  <c r="V44" i="35"/>
  <c r="W44" i="35" s="1"/>
  <c r="X44" i="35" s="1"/>
  <c r="BK49" i="35"/>
  <c r="BL49" i="35" s="1"/>
  <c r="N9" i="35"/>
  <c r="O9" i="35" s="1"/>
  <c r="P9" i="35" s="1"/>
  <c r="M19" i="35"/>
  <c r="N19" i="35" s="1"/>
  <c r="S31" i="35"/>
  <c r="T31" i="35" s="1"/>
  <c r="U31" i="35" s="1"/>
  <c r="N6" i="35"/>
  <c r="O6" i="35" s="1"/>
  <c r="V63" i="35"/>
  <c r="W63" i="35" s="1"/>
  <c r="X63" i="35" s="1"/>
  <c r="N38" i="35"/>
  <c r="O38" i="35" s="1"/>
  <c r="P38" i="35" s="1"/>
  <c r="P64" i="35"/>
  <c r="BS52" i="35"/>
  <c r="BT52" i="35" s="1"/>
  <c r="N13" i="35"/>
  <c r="O13" i="35" s="1"/>
  <c r="P13" i="35" s="1"/>
  <c r="O16" i="35"/>
  <c r="P16" i="35" s="1"/>
  <c r="U85" i="35"/>
  <c r="V85" i="35" s="1"/>
  <c r="U52" i="35"/>
  <c r="V52" i="35" s="1"/>
  <c r="AK16" i="35"/>
  <c r="AL16" i="35" s="1"/>
  <c r="AM16" i="35" s="1"/>
  <c r="CA57" i="35"/>
  <c r="CB57" i="35" s="1"/>
  <c r="T60" i="35"/>
  <c r="U60" i="35" s="1"/>
  <c r="V60" i="35" s="1"/>
  <c r="W60" i="35" s="1"/>
  <c r="X60" i="35" s="1"/>
  <c r="O68" i="35"/>
  <c r="P68" i="35" s="1"/>
  <c r="AC19" i="35"/>
  <c r="AD19" i="35" s="1"/>
  <c r="AE19" i="35" s="1"/>
  <c r="AF19" i="35" s="1"/>
  <c r="BA16" i="35"/>
  <c r="AG61" i="35"/>
  <c r="R13" i="35"/>
  <c r="AG13" i="35"/>
  <c r="AO28" i="35"/>
  <c r="AH28" i="35" s="1"/>
  <c r="G50" i="255" s="1"/>
  <c r="Z34" i="35"/>
  <c r="M29" i="35"/>
  <c r="N29" i="35" s="1"/>
  <c r="O29" i="35" s="1"/>
  <c r="P29" i="35" s="1"/>
  <c r="U16" i="35"/>
  <c r="AO51" i="35"/>
  <c r="AH51" i="35" s="1"/>
  <c r="AZ52" i="35"/>
  <c r="BA52" i="35" s="1"/>
  <c r="AI9" i="35"/>
  <c r="AJ9" i="35" s="1"/>
  <c r="AK9" i="35" s="1"/>
  <c r="O52" i="35"/>
  <c r="P52" i="35" s="1"/>
  <c r="N66" i="35"/>
  <c r="O66" i="35" s="1"/>
  <c r="CA32" i="35"/>
  <c r="CB32" i="35" s="1"/>
  <c r="S67" i="35"/>
  <c r="T67" i="35" s="1"/>
  <c r="U67" i="35" s="1"/>
  <c r="U15" i="35"/>
  <c r="V15" i="35" s="1"/>
  <c r="W15" i="35" s="1"/>
  <c r="BK52" i="35"/>
  <c r="BL52" i="35" s="1"/>
  <c r="R61" i="35"/>
  <c r="E50" i="288" s="1"/>
  <c r="AO34" i="35"/>
  <c r="AH34" i="35" s="1"/>
  <c r="G50" i="261" s="1"/>
  <c r="M58" i="35"/>
  <c r="N58" i="35" s="1"/>
  <c r="BS60" i="35"/>
  <c r="BT60" i="35" s="1"/>
  <c r="AS60" i="35"/>
  <c r="AT60" i="35" s="1"/>
  <c r="R26" i="35"/>
  <c r="AA51" i="35"/>
  <c r="AB51" i="35" s="1"/>
  <c r="AC51" i="35" s="1"/>
  <c r="Z38" i="35"/>
  <c r="K25" i="35"/>
  <c r="K95" i="35" s="1"/>
  <c r="AW63" i="35"/>
  <c r="S12" i="35"/>
  <c r="T12" i="35" s="1"/>
  <c r="BX82" i="35"/>
  <c r="BY82" i="35" s="1"/>
  <c r="BZ82" i="35" s="1"/>
  <c r="CA82" i="35" s="1"/>
  <c r="BB29" i="35"/>
  <c r="BC29" i="35" s="1"/>
  <c r="N47" i="35"/>
  <c r="O47" i="35" s="1"/>
  <c r="K27" i="35"/>
  <c r="L27" i="35" s="1"/>
  <c r="M27" i="35" s="1"/>
  <c r="S58" i="35"/>
  <c r="S88" i="35"/>
  <c r="T88" i="35" s="1"/>
  <c r="Z41" i="35"/>
  <c r="Z42" i="35"/>
  <c r="F50" i="269" s="1"/>
  <c r="AB16" i="35"/>
  <c r="AC16" i="35" s="1"/>
  <c r="Z30" i="35"/>
  <c r="F50" i="257" s="1"/>
  <c r="AA12" i="35"/>
  <c r="AZ60" i="35"/>
  <c r="BA60" i="35" s="1"/>
  <c r="U17" i="35"/>
  <c r="W57" i="35"/>
  <c r="X57" i="35" s="1"/>
  <c r="M39" i="35"/>
  <c r="N39" i="35" s="1"/>
  <c r="O39" i="35" s="1"/>
  <c r="U28" i="35"/>
  <c r="V28" i="35" s="1"/>
  <c r="Z27" i="35"/>
  <c r="Z54" i="35"/>
  <c r="F50" i="281" s="1"/>
  <c r="AW51" i="35"/>
  <c r="AQ15" i="35"/>
  <c r="AR15" i="35" s="1"/>
  <c r="AK19" i="35"/>
  <c r="AL19" i="35" s="1"/>
  <c r="Z50" i="35"/>
  <c r="S23" i="35"/>
  <c r="Z11" i="35"/>
  <c r="F50" i="237" s="1"/>
  <c r="AO25" i="35"/>
  <c r="L63" i="35"/>
  <c r="M63" i="35" s="1"/>
  <c r="BZ52" i="35"/>
  <c r="O32" i="35"/>
  <c r="P32" i="35" s="1"/>
  <c r="AA67" i="35"/>
  <c r="Z33" i="35"/>
  <c r="AO18" i="35"/>
  <c r="N14" i="35"/>
  <c r="O14" i="35" s="1"/>
  <c r="P14" i="35" s="1"/>
  <c r="Z22" i="35"/>
  <c r="F50" i="249" s="1"/>
  <c r="AS52" i="35"/>
  <c r="AT52" i="35" s="1"/>
  <c r="AU52" i="35" s="1"/>
  <c r="S51" i="35"/>
  <c r="AW35" i="35"/>
  <c r="AA23" i="35"/>
  <c r="AB23" i="35" s="1"/>
  <c r="AC7" i="35"/>
  <c r="AD7" i="35" s="1"/>
  <c r="AE7" i="35" s="1"/>
  <c r="AS53" i="35"/>
  <c r="AT53" i="35" s="1"/>
  <c r="AU53" i="35" s="1"/>
  <c r="M3" i="35"/>
  <c r="V24" i="35"/>
  <c r="W24" i="35" s="1"/>
  <c r="AO24" i="35"/>
  <c r="AG48" i="35"/>
  <c r="AO55" i="35"/>
  <c r="Z37" i="35"/>
  <c r="S19" i="35"/>
  <c r="AJ60" i="35"/>
  <c r="BP16" i="35"/>
  <c r="BQ16" i="35" s="1"/>
  <c r="AT16" i="35"/>
  <c r="AU16" i="35" s="1"/>
  <c r="AM32" i="35"/>
  <c r="AN32" i="35" s="1"/>
  <c r="P57" i="35"/>
  <c r="AO45" i="35"/>
  <c r="AG3" i="35"/>
  <c r="AH40" i="35"/>
  <c r="AO66" i="35"/>
  <c r="AW20" i="35"/>
  <c r="BM56" i="35"/>
  <c r="AH35" i="35"/>
  <c r="AO8" i="35"/>
  <c r="AO58" i="35"/>
  <c r="AG64" i="35"/>
  <c r="Z18" i="35"/>
  <c r="BA32" i="35"/>
  <c r="BB32" i="35" s="1"/>
  <c r="BC32" i="35" s="1"/>
  <c r="BD32" i="35" s="1"/>
  <c r="T41" i="35"/>
  <c r="U41" i="35" s="1"/>
  <c r="AO6" i="35"/>
  <c r="AW84" i="35"/>
  <c r="R48" i="35"/>
  <c r="Z14" i="35"/>
  <c r="F50" i="241" s="1"/>
  <c r="AG10" i="35"/>
  <c r="AO86" i="35"/>
  <c r="AO88" i="35"/>
  <c r="U32" i="35"/>
  <c r="V32" i="35" s="1"/>
  <c r="AO27" i="35"/>
  <c r="AW23" i="35"/>
  <c r="AG26" i="35"/>
  <c r="AO54" i="35"/>
  <c r="AO22" i="35"/>
  <c r="AW59" i="35"/>
  <c r="AO38" i="35"/>
  <c r="AG47" i="35"/>
  <c r="AH21" i="35"/>
  <c r="Z46" i="35"/>
  <c r="AO41" i="35"/>
  <c r="AO33" i="35"/>
  <c r="M22" i="35"/>
  <c r="N22" i="35" s="1"/>
  <c r="AO42" i="35"/>
  <c r="AO50" i="35"/>
  <c r="Z39" i="35"/>
  <c r="F50" i="266" s="1"/>
  <c r="R68" i="35"/>
  <c r="E50" i="295" s="1"/>
  <c r="Z55" i="35"/>
  <c r="F50" i="282" s="1"/>
  <c r="AO37" i="35"/>
  <c r="AO30" i="35"/>
  <c r="AO11" i="35"/>
  <c r="AO44" i="35"/>
  <c r="Z31" i="35"/>
  <c r="AC52" i="35"/>
  <c r="P23" i="35"/>
  <c r="AM82" i="35"/>
  <c r="AN82" i="35" s="1"/>
  <c r="AM29" i="35"/>
  <c r="AN29" i="35" s="1"/>
  <c r="AS57" i="35"/>
  <c r="AT57" i="35" s="1"/>
  <c r="AU57" i="35" s="1"/>
  <c r="CA16" i="35"/>
  <c r="CB16" i="35" s="1"/>
  <c r="AD40" i="35"/>
  <c r="BZ60" i="35"/>
  <c r="CA60" i="35" s="1"/>
  <c r="CB60" i="35" s="1"/>
  <c r="Z87" i="35"/>
  <c r="F50" i="314" s="1"/>
  <c r="R83" i="35"/>
  <c r="Z65" i="35"/>
  <c r="AH63" i="35"/>
  <c r="G50" i="290" s="1"/>
  <c r="Z25" i="35"/>
  <c r="AO87" i="35"/>
  <c r="AW12" i="35"/>
  <c r="Z45" i="35"/>
  <c r="F50" i="272" s="1"/>
  <c r="R3" i="35"/>
  <c r="E50" i="229" s="1"/>
  <c r="AW40" i="35"/>
  <c r="AG83" i="35"/>
  <c r="AX15" i="35"/>
  <c r="I50" i="242" s="1"/>
  <c r="Z66" i="35"/>
  <c r="AH20" i="35"/>
  <c r="G50" i="247" s="1"/>
  <c r="AX56" i="35"/>
  <c r="I50" i="283" s="1"/>
  <c r="BE19" i="35"/>
  <c r="R47" i="35"/>
  <c r="AW21" i="35"/>
  <c r="AO46" i="35"/>
  <c r="Z85" i="35"/>
  <c r="F50" i="312" s="1"/>
  <c r="Z8" i="35"/>
  <c r="Z58" i="35"/>
  <c r="F50" i="285" s="1"/>
  <c r="R64" i="35"/>
  <c r="T25" i="35"/>
  <c r="Z6" i="35"/>
  <c r="F50" i="232" s="1"/>
  <c r="AH84" i="35"/>
  <c r="AO39" i="35"/>
  <c r="AG68" i="35"/>
  <c r="AH67" i="35"/>
  <c r="G50" i="294" s="1"/>
  <c r="AO14" i="35"/>
  <c r="U56" i="35"/>
  <c r="V56" i="35" s="1"/>
  <c r="R10" i="35"/>
  <c r="AO31" i="35"/>
  <c r="Z88" i="35"/>
  <c r="F50" i="315" s="1"/>
  <c r="K87" i="35"/>
  <c r="AB32" i="35"/>
  <c r="S14" i="35"/>
  <c r="AT32" i="35"/>
  <c r="AU32" i="35" s="1"/>
  <c r="AV32" i="35" s="1"/>
  <c r="AB56" i="35"/>
  <c r="S27" i="35"/>
  <c r="S46" i="35"/>
  <c r="AI15" i="35"/>
  <c r="BI60" i="35"/>
  <c r="BA57" i="35"/>
  <c r="BB57" i="35" s="1"/>
  <c r="BC57" i="35" s="1"/>
  <c r="BZ49" i="35"/>
  <c r="CA49" i="35" s="1"/>
  <c r="CB49" i="35" s="1"/>
  <c r="BQ32" i="35"/>
  <c r="CG52" i="35"/>
  <c r="F130" i="279" s="1"/>
  <c r="BZ17" i="35"/>
  <c r="CA17" i="35" s="1"/>
  <c r="BZ53" i="35"/>
  <c r="CA53" i="35" s="1"/>
  <c r="CB53" i="35" s="1"/>
  <c r="BT82" i="35"/>
  <c r="BQ57" i="35"/>
  <c r="BR57" i="35" s="1"/>
  <c r="BR29" i="35"/>
  <c r="BS29" i="35" s="1"/>
  <c r="BS17" i="35"/>
  <c r="BT17" i="35" s="1"/>
  <c r="BR89" i="35"/>
  <c r="BJ57" i="35"/>
  <c r="BK57" i="35" s="1"/>
  <c r="BL57" i="35" s="1"/>
  <c r="BJ32" i="35"/>
  <c r="BK32" i="35" s="1"/>
  <c r="BK89" i="35"/>
  <c r="BL89" i="35" s="1"/>
  <c r="BI53" i="35"/>
  <c r="BJ53" i="35" s="1"/>
  <c r="BK53" i="35" s="1"/>
  <c r="BI16" i="35"/>
  <c r="BJ16" i="35" s="1"/>
  <c r="BJ29" i="35"/>
  <c r="BJ17" i="35"/>
  <c r="BK17" i="35" s="1"/>
  <c r="BC17" i="35"/>
  <c r="BD17" i="35" s="1"/>
  <c r="BC49" i="35"/>
  <c r="BD49" i="35" s="1"/>
  <c r="BD53" i="35"/>
  <c r="AT49" i="35"/>
  <c r="AU49" i="35" s="1"/>
  <c r="AT89" i="35"/>
  <c r="AK89" i="35"/>
  <c r="AL89" i="35" s="1"/>
  <c r="AL49" i="35"/>
  <c r="AM49" i="35" s="1"/>
  <c r="AK53" i="35"/>
  <c r="AN17" i="35"/>
  <c r="AK57" i="35"/>
  <c r="AL57" i="35" s="1"/>
  <c r="AF57" i="35"/>
  <c r="AD89" i="35"/>
  <c r="AE89" i="35" s="1"/>
  <c r="V29" i="35"/>
  <c r="W49" i="35"/>
  <c r="X49" i="35" s="1"/>
  <c r="W54" i="35"/>
  <c r="X54" i="35" s="1"/>
  <c r="W89" i="35"/>
  <c r="X89" i="35" s="1"/>
  <c r="W45" i="35"/>
  <c r="X45" i="35" s="1"/>
  <c r="W34" i="35"/>
  <c r="X34" i="35" s="1"/>
  <c r="X9" i="35"/>
  <c r="M82" i="35"/>
  <c r="N82" i="35" s="1"/>
  <c r="O62" i="35"/>
  <c r="P62" i="35" s="1"/>
  <c r="O60" i="35"/>
  <c r="P60" i="35" s="1"/>
  <c r="N84" i="35"/>
  <c r="O84" i="35" s="1"/>
  <c r="O65" i="35"/>
  <c r="P65" i="35" s="1"/>
  <c r="P49" i="35"/>
  <c r="P89" i="35"/>
  <c r="N61" i="35"/>
  <c r="N88" i="35"/>
  <c r="O88" i="35" s="1"/>
  <c r="O86" i="35"/>
  <c r="P86" i="35" s="1"/>
  <c r="O42" i="35"/>
  <c r="P42" i="35" s="1"/>
  <c r="P34" i="35"/>
  <c r="O30" i="35"/>
  <c r="P30" i="35" s="1"/>
  <c r="O31" i="35"/>
  <c r="P31" i="35" s="1"/>
  <c r="N28" i="35"/>
  <c r="O28" i="35" s="1"/>
  <c r="P28" i="35" s="1"/>
  <c r="N24" i="35"/>
  <c r="O17" i="35"/>
  <c r="P17" i="35" s="1"/>
  <c r="N12" i="35"/>
  <c r="N7" i="35"/>
  <c r="N8" i="35"/>
  <c r="O8" i="35" s="1"/>
  <c r="M10" i="35"/>
  <c r="AF15" i="35" l="1"/>
  <c r="S95" i="35"/>
  <c r="U25" i="35"/>
  <c r="V25" i="35" s="1"/>
  <c r="AO95" i="35"/>
  <c r="F130" i="243"/>
  <c r="DL82" i="35"/>
  <c r="DM82" i="35" s="1"/>
  <c r="CH57" i="35"/>
  <c r="G130" i="284" s="1"/>
  <c r="CN60" i="35"/>
  <c r="E131" i="287" s="1"/>
  <c r="CN82" i="35"/>
  <c r="E131" i="309" s="1"/>
  <c r="U55" i="35"/>
  <c r="V55" i="35" s="1"/>
  <c r="W55" i="35" s="1"/>
  <c r="X55" i="35" s="1"/>
  <c r="AM52" i="35"/>
  <c r="AN52" i="35" s="1"/>
  <c r="CN32" i="35"/>
  <c r="E131" i="259" s="1"/>
  <c r="E130" i="276"/>
  <c r="AC63" i="35"/>
  <c r="AD63" i="35" s="1"/>
  <c r="AE63" i="35" s="1"/>
  <c r="AF63" i="35" s="1"/>
  <c r="U87" i="35"/>
  <c r="V87" i="35" s="1"/>
  <c r="W87" i="35" s="1"/>
  <c r="DL60" i="35"/>
  <c r="E134" i="287" s="1"/>
  <c r="DL56" i="35"/>
  <c r="E134" i="283" s="1"/>
  <c r="DL53" i="35"/>
  <c r="E134" i="280" s="1"/>
  <c r="DD52" i="35"/>
  <c r="DE52" i="35" s="1"/>
  <c r="F133" i="279" s="1"/>
  <c r="U7" i="35"/>
  <c r="V7" i="35" s="1"/>
  <c r="W7" i="35" s="1"/>
  <c r="DD32" i="35"/>
  <c r="E133" i="259" s="1"/>
  <c r="DL19" i="35"/>
  <c r="E134" i="246" s="1"/>
  <c r="CG29" i="35"/>
  <c r="F130" i="256" s="1"/>
  <c r="CN49" i="35"/>
  <c r="E131" i="276" s="1"/>
  <c r="DL29" i="35"/>
  <c r="E134" i="256" s="1"/>
  <c r="AE29" i="35"/>
  <c r="AF29" i="35" s="1"/>
  <c r="CN53" i="35"/>
  <c r="E131" i="280" s="1"/>
  <c r="DD7" i="35"/>
  <c r="E133" i="233" s="1"/>
  <c r="CV82" i="35"/>
  <c r="CW82" i="35" s="1"/>
  <c r="F132" i="309" s="1"/>
  <c r="DD56" i="35"/>
  <c r="E133" i="283" s="1"/>
  <c r="CV52" i="35"/>
  <c r="CW52" i="35" s="1"/>
  <c r="F132" i="279" s="1"/>
  <c r="CN56" i="35"/>
  <c r="E131" i="283" s="1"/>
  <c r="DL32" i="35"/>
  <c r="DM32" i="35" s="1"/>
  <c r="AA20" i="35"/>
  <c r="AB20" i="35" s="1"/>
  <c r="AC20" i="35" s="1"/>
  <c r="DL49" i="35"/>
  <c r="DM49" i="35" s="1"/>
  <c r="F134" i="276" s="1"/>
  <c r="DD53" i="35"/>
  <c r="E133" i="280" s="1"/>
  <c r="CV57" i="35"/>
  <c r="E132" i="284" s="1"/>
  <c r="AF53" i="35"/>
  <c r="U59" i="35"/>
  <c r="V59" i="35" s="1"/>
  <c r="CH32" i="35"/>
  <c r="G130" i="259" s="1"/>
  <c r="CH60" i="35"/>
  <c r="G130" i="287" s="1"/>
  <c r="CN40" i="35"/>
  <c r="E131" i="267" s="1"/>
  <c r="CV49" i="35"/>
  <c r="E132" i="276" s="1"/>
  <c r="CV56" i="35"/>
  <c r="E132" i="283" s="1"/>
  <c r="CV60" i="35"/>
  <c r="CW60" i="35" s="1"/>
  <c r="AA25" i="35"/>
  <c r="F50" i="252"/>
  <c r="AI21" i="35"/>
  <c r="AJ21" i="35" s="1"/>
  <c r="G50" i="248"/>
  <c r="AA18" i="35"/>
  <c r="AB18" i="35" s="1"/>
  <c r="AC18" i="35" s="1"/>
  <c r="F50" i="245"/>
  <c r="AI35" i="35"/>
  <c r="AJ35" i="35" s="1"/>
  <c r="G50" i="262"/>
  <c r="AI40" i="35"/>
  <c r="AJ40" i="35" s="1"/>
  <c r="G50" i="267"/>
  <c r="CM51" i="35"/>
  <c r="D131" i="278" s="1"/>
  <c r="N50" i="278"/>
  <c r="CV15" i="35"/>
  <c r="E132" i="242" s="1"/>
  <c r="D132" i="242"/>
  <c r="CW53" i="35"/>
  <c r="E132" i="280"/>
  <c r="CI16" i="35"/>
  <c r="G130" i="243"/>
  <c r="S83" i="35"/>
  <c r="T83" i="35" s="1"/>
  <c r="E50" i="310"/>
  <c r="S48" i="35"/>
  <c r="T48" i="35" s="1"/>
  <c r="U48" i="35" s="1"/>
  <c r="V48" i="35" s="1"/>
  <c r="E50" i="275"/>
  <c r="AA41" i="35"/>
  <c r="AB41" i="35" s="1"/>
  <c r="F50" i="268"/>
  <c r="AA38" i="35"/>
  <c r="AB38" i="35" s="1"/>
  <c r="F50" i="265"/>
  <c r="S13" i="35"/>
  <c r="T13" i="35" s="1"/>
  <c r="U13" i="35" s="1"/>
  <c r="E50" i="240"/>
  <c r="DD57" i="35"/>
  <c r="E133" i="284" s="1"/>
  <c r="D133" i="284"/>
  <c r="O50" i="250"/>
  <c r="DC63" i="35"/>
  <c r="D133" i="290" s="1"/>
  <c r="P50" i="290"/>
  <c r="P50" i="286"/>
  <c r="DD16" i="35"/>
  <c r="E133" i="243" s="1"/>
  <c r="D133" i="243"/>
  <c r="F130" i="280"/>
  <c r="CH53" i="35"/>
  <c r="S10" i="35"/>
  <c r="T10" i="35" s="1"/>
  <c r="U10" i="35" s="1"/>
  <c r="E50" i="236"/>
  <c r="AA65" i="35"/>
  <c r="AB65" i="35" s="1"/>
  <c r="AC65" i="35" s="1"/>
  <c r="F50" i="292"/>
  <c r="AA37" i="35"/>
  <c r="AB37" i="35" s="1"/>
  <c r="F50" i="264"/>
  <c r="AA33" i="35"/>
  <c r="AB33" i="35" s="1"/>
  <c r="AC33" i="35" s="1"/>
  <c r="AD33" i="35" s="1"/>
  <c r="F50" i="260"/>
  <c r="AA50" i="35"/>
  <c r="AB50" i="35" s="1"/>
  <c r="AC50" i="35" s="1"/>
  <c r="F50" i="277"/>
  <c r="AQ7" i="35"/>
  <c r="AR7" i="35" s="1"/>
  <c r="AS7" i="35" s="1"/>
  <c r="AT7" i="35" s="1"/>
  <c r="AU7" i="35" s="1"/>
  <c r="H50" i="233"/>
  <c r="AQ19" i="35"/>
  <c r="AR19" i="35" s="1"/>
  <c r="AS19" i="35" s="1"/>
  <c r="AT19" i="35" s="1"/>
  <c r="AU19" i="35" s="1"/>
  <c r="H50" i="246"/>
  <c r="AI12" i="35"/>
  <c r="AJ12" i="35" s="1"/>
  <c r="AK12" i="35" s="1"/>
  <c r="G50" i="239"/>
  <c r="DM52" i="35"/>
  <c r="F134" i="279" s="1"/>
  <c r="E134" i="279"/>
  <c r="CU63" i="35"/>
  <c r="D132" i="290" s="1"/>
  <c r="O50" i="290"/>
  <c r="CU84" i="35"/>
  <c r="D132" i="311" s="1"/>
  <c r="O50" i="311"/>
  <c r="DL23" i="35"/>
  <c r="E134" i="250" s="1"/>
  <c r="D134" i="250"/>
  <c r="Q50" i="286"/>
  <c r="DD15" i="35"/>
  <c r="E133" i="242" s="1"/>
  <c r="D133" i="242"/>
  <c r="P50" i="235"/>
  <c r="P50" i="239"/>
  <c r="DK67" i="35"/>
  <c r="D134" i="294" s="1"/>
  <c r="Q50" i="294"/>
  <c r="CM67" i="35"/>
  <c r="D131" i="294" s="1"/>
  <c r="N50" i="294"/>
  <c r="CN7" i="35"/>
  <c r="D131" i="233"/>
  <c r="CN17" i="35"/>
  <c r="E131" i="244" s="1"/>
  <c r="CN19" i="35"/>
  <c r="DC59" i="35"/>
  <c r="D133" i="286" s="1"/>
  <c r="CH89" i="35"/>
  <c r="AA34" i="35"/>
  <c r="AB34" i="35" s="1"/>
  <c r="AC34" i="35" s="1"/>
  <c r="F50" i="261"/>
  <c r="DL35" i="35"/>
  <c r="E134" i="262" s="1"/>
  <c r="D134" i="262"/>
  <c r="N50" i="286"/>
  <c r="DC51" i="35"/>
  <c r="P50" i="278"/>
  <c r="DK9" i="35"/>
  <c r="Q50" i="235"/>
  <c r="DL7" i="35"/>
  <c r="E134" i="233" s="1"/>
  <c r="D134" i="233"/>
  <c r="DE35" i="35"/>
  <c r="F133" i="262" s="1"/>
  <c r="E133" i="262"/>
  <c r="P50" i="250"/>
  <c r="P50" i="294"/>
  <c r="DK63" i="35"/>
  <c r="D134" i="290" s="1"/>
  <c r="Q50" i="290"/>
  <c r="N50" i="250"/>
  <c r="AA8" i="35"/>
  <c r="AB8" i="35" s="1"/>
  <c r="F50" i="234"/>
  <c r="S47" i="35"/>
  <c r="T47" i="35" s="1"/>
  <c r="U47" i="35" s="1"/>
  <c r="V47" i="35" s="1"/>
  <c r="E50" i="274"/>
  <c r="AA66" i="35"/>
  <c r="AB66" i="35" s="1"/>
  <c r="AC66" i="35" s="1"/>
  <c r="AD66" i="35" s="1"/>
  <c r="F50" i="293"/>
  <c r="AA27" i="35"/>
  <c r="AB27" i="35" s="1"/>
  <c r="AC27" i="35" s="1"/>
  <c r="F50" i="254"/>
  <c r="CU67" i="35"/>
  <c r="D132" i="294" s="1"/>
  <c r="O50" i="294"/>
  <c r="DK51" i="35"/>
  <c r="D134" i="278" s="1"/>
  <c r="Q50" i="278"/>
  <c r="N50" i="290"/>
  <c r="CV7" i="35"/>
  <c r="E132" i="233" s="1"/>
  <c r="D132" i="233"/>
  <c r="DD29" i="35"/>
  <c r="E133" i="256" s="1"/>
  <c r="D133" i="256"/>
  <c r="CN29" i="35"/>
  <c r="E131" i="256" s="1"/>
  <c r="D131" i="256"/>
  <c r="DC84" i="35"/>
  <c r="D133" i="311" s="1"/>
  <c r="P50" i="311"/>
  <c r="N50" i="235"/>
  <c r="CW32" i="35"/>
  <c r="E132" i="259"/>
  <c r="F130" i="309"/>
  <c r="CH82" i="35"/>
  <c r="CH49" i="35"/>
  <c r="F130" i="276"/>
  <c r="AI84" i="35"/>
  <c r="AJ84" i="35" s="1"/>
  <c r="AK84" i="35" s="1"/>
  <c r="AL84" i="35" s="1"/>
  <c r="G50" i="311"/>
  <c r="S64" i="35"/>
  <c r="T64" i="35" s="1"/>
  <c r="E50" i="291"/>
  <c r="AA31" i="35"/>
  <c r="AB31" i="35" s="1"/>
  <c r="AC31" i="35" s="1"/>
  <c r="F50" i="258"/>
  <c r="S26" i="35"/>
  <c r="T26" i="35" s="1"/>
  <c r="U26" i="35" s="1"/>
  <c r="V26" i="35" s="1"/>
  <c r="E50" i="253"/>
  <c r="AI51" i="35"/>
  <c r="AJ51" i="35" s="1"/>
  <c r="G50" i="278"/>
  <c r="AI59" i="35"/>
  <c r="AJ59" i="35" s="1"/>
  <c r="G50" i="286"/>
  <c r="O50" i="235"/>
  <c r="O50" i="239"/>
  <c r="Q50" i="250"/>
  <c r="Q50" i="311"/>
  <c r="CM84" i="35"/>
  <c r="D131" i="311" s="1"/>
  <c r="N50" i="311"/>
  <c r="DD49" i="35"/>
  <c r="E133" i="276" s="1"/>
  <c r="D133" i="276"/>
  <c r="DL40" i="35"/>
  <c r="E134" i="267" s="1"/>
  <c r="D134" i="267"/>
  <c r="CV16" i="35"/>
  <c r="E132" i="243" s="1"/>
  <c r="D132" i="243"/>
  <c r="DD17" i="35"/>
  <c r="E133" i="244" s="1"/>
  <c r="D133" i="244"/>
  <c r="CU59" i="35"/>
  <c r="D132" i="286" s="1"/>
  <c r="O50" i="286"/>
  <c r="CU51" i="35"/>
  <c r="D132" i="278" s="1"/>
  <c r="O50" i="278"/>
  <c r="Q50" i="239"/>
  <c r="N50" i="239"/>
  <c r="CG17" i="35"/>
  <c r="E130" i="244"/>
  <c r="CN16" i="35"/>
  <c r="E131" i="243" s="1"/>
  <c r="AC9" i="35"/>
  <c r="AD9" i="35" s="1"/>
  <c r="CN15" i="35"/>
  <c r="E131" i="242" s="1"/>
  <c r="DD60" i="35"/>
  <c r="DL57" i="35"/>
  <c r="DC12" i="35"/>
  <c r="CV19" i="35"/>
  <c r="E132" i="246" s="1"/>
  <c r="CN52" i="35"/>
  <c r="CM12" i="35"/>
  <c r="D131" i="239" s="1"/>
  <c r="Z62" i="35"/>
  <c r="F50" i="289" s="1"/>
  <c r="CV17" i="35"/>
  <c r="CT39" i="35"/>
  <c r="CT30" i="35"/>
  <c r="DB50" i="35"/>
  <c r="CT8" i="35"/>
  <c r="CT38" i="35"/>
  <c r="CL54" i="35"/>
  <c r="CT31" i="35"/>
  <c r="CL55" i="35"/>
  <c r="DJ20" i="35"/>
  <c r="DB25" i="35"/>
  <c r="DB18" i="35"/>
  <c r="DB66" i="35"/>
  <c r="DB65" i="35"/>
  <c r="DB11" i="35"/>
  <c r="DB14" i="35"/>
  <c r="CT45" i="35"/>
  <c r="Z44" i="35"/>
  <c r="CL88" i="35"/>
  <c r="CL37" i="35"/>
  <c r="CL33" i="35"/>
  <c r="DB46" i="35"/>
  <c r="CL22" i="35"/>
  <c r="CL31" i="35"/>
  <c r="CL27" i="35"/>
  <c r="DB20" i="35"/>
  <c r="CT25" i="35"/>
  <c r="CT18" i="35"/>
  <c r="CT66" i="35"/>
  <c r="CT65" i="35"/>
  <c r="CT11" i="35"/>
  <c r="CT14" i="35"/>
  <c r="DB45" i="35"/>
  <c r="DB39" i="35"/>
  <c r="DB88" i="35"/>
  <c r="DB30" i="35"/>
  <c r="DB37" i="35"/>
  <c r="DC37" i="35" s="1"/>
  <c r="D133" i="264" s="1"/>
  <c r="CT50" i="35"/>
  <c r="DB33" i="35"/>
  <c r="DB8" i="35"/>
  <c r="CT46" i="35"/>
  <c r="DB38" i="35"/>
  <c r="DB22" i="35"/>
  <c r="CT54" i="35"/>
  <c r="DB31" i="35"/>
  <c r="CT55" i="35"/>
  <c r="DB27" i="35"/>
  <c r="DC27" i="35" s="1"/>
  <c r="CL20" i="35"/>
  <c r="DJ34" i="35"/>
  <c r="DJ25" i="35"/>
  <c r="DJ42" i="35"/>
  <c r="DJ18" i="35"/>
  <c r="DJ41" i="35"/>
  <c r="DK41" i="35" s="1"/>
  <c r="DJ66" i="35"/>
  <c r="DJ87" i="35"/>
  <c r="DJ65" i="35"/>
  <c r="DJ85" i="35"/>
  <c r="DJ11" i="35"/>
  <c r="DJ58" i="35"/>
  <c r="DJ14" i="35"/>
  <c r="DJ6" i="35"/>
  <c r="DJ45" i="35"/>
  <c r="DK45" i="35" s="1"/>
  <c r="D134" i="272" s="1"/>
  <c r="DD82" i="35"/>
  <c r="E133" i="309" s="1"/>
  <c r="CU12" i="35"/>
  <c r="DL16" i="35"/>
  <c r="E134" i="243" s="1"/>
  <c r="CM63" i="35"/>
  <c r="D131" i="290" s="1"/>
  <c r="CN57" i="35"/>
  <c r="E131" i="284" s="1"/>
  <c r="DL17" i="35"/>
  <c r="DC9" i="35"/>
  <c r="D133" i="235" s="1"/>
  <c r="DC67" i="35"/>
  <c r="D133" i="294" s="1"/>
  <c r="DK12" i="35"/>
  <c r="D134" i="239" s="1"/>
  <c r="CM23" i="35"/>
  <c r="D131" i="250" s="1"/>
  <c r="DE19" i="35"/>
  <c r="Z21" i="35"/>
  <c r="Z28" i="35"/>
  <c r="CV29" i="35"/>
  <c r="CT88" i="35"/>
  <c r="CT37" i="35"/>
  <c r="CU37" i="35" s="1"/>
  <c r="CT33" i="35"/>
  <c r="CL46" i="35"/>
  <c r="CT22" i="35"/>
  <c r="CU22" i="35" s="1"/>
  <c r="CT27" i="35"/>
  <c r="DB34" i="35"/>
  <c r="CT42" i="35"/>
  <c r="DB41" i="35"/>
  <c r="DB87" i="35"/>
  <c r="DB85" i="35"/>
  <c r="DB58" i="35"/>
  <c r="DB6" i="35"/>
  <c r="Z24" i="35"/>
  <c r="CN35" i="35"/>
  <c r="CL39" i="35"/>
  <c r="CL30" i="35"/>
  <c r="CM30" i="35" s="1"/>
  <c r="D131" i="257" s="1"/>
  <c r="CL50" i="35"/>
  <c r="CM50" i="35" s="1"/>
  <c r="D131" i="277" s="1"/>
  <c r="CL8" i="35"/>
  <c r="CL38" i="35"/>
  <c r="DB54" i="35"/>
  <c r="DB55" i="35"/>
  <c r="CT34" i="35"/>
  <c r="CL42" i="35"/>
  <c r="CT41" i="35"/>
  <c r="CT87" i="35"/>
  <c r="CT85" i="35"/>
  <c r="CT58" i="35"/>
  <c r="CT6" i="35"/>
  <c r="Z86" i="35"/>
  <c r="DL15" i="35"/>
  <c r="DJ39" i="35"/>
  <c r="DJ88" i="35"/>
  <c r="DJ30" i="35"/>
  <c r="DJ37" i="35"/>
  <c r="DJ50" i="35"/>
  <c r="DJ33" i="35"/>
  <c r="DJ8" i="35"/>
  <c r="DJ46" i="35"/>
  <c r="DJ38" i="35"/>
  <c r="DJ22" i="35"/>
  <c r="DJ54" i="35"/>
  <c r="DJ31" i="35"/>
  <c r="DJ55" i="35"/>
  <c r="DK55" i="35" s="1"/>
  <c r="D134" i="282" s="1"/>
  <c r="DJ27" i="35"/>
  <c r="CT20" i="35"/>
  <c r="CL34" i="35"/>
  <c r="CL25" i="35"/>
  <c r="DB42" i="35"/>
  <c r="CL18" i="35"/>
  <c r="CL41" i="35"/>
  <c r="CL66" i="35"/>
  <c r="CL87" i="35"/>
  <c r="CL65" i="35"/>
  <c r="CL85" i="35"/>
  <c r="CL11" i="35"/>
  <c r="CL58" i="35"/>
  <c r="CL14" i="35"/>
  <c r="CL6" i="35"/>
  <c r="CL45" i="35"/>
  <c r="CM59" i="35"/>
  <c r="CV35" i="35"/>
  <c r="DK59" i="35"/>
  <c r="CM9" i="35"/>
  <c r="DE40" i="35"/>
  <c r="CU9" i="35"/>
  <c r="D132" i="235" s="1"/>
  <c r="CU23" i="35"/>
  <c r="D132" i="250" s="1"/>
  <c r="DL84" i="35"/>
  <c r="E134" i="311" s="1"/>
  <c r="CV40" i="35"/>
  <c r="E132" i="267" s="1"/>
  <c r="DC23" i="35"/>
  <c r="D133" i="250" s="1"/>
  <c r="BU15" i="35"/>
  <c r="AO85" i="35"/>
  <c r="AH85" i="35" s="1"/>
  <c r="G50" i="312" s="1"/>
  <c r="W21" i="35"/>
  <c r="X21" i="35" s="1"/>
  <c r="W37" i="35"/>
  <c r="X37" i="35" s="1"/>
  <c r="AW9" i="35"/>
  <c r="AP9" i="35" s="1"/>
  <c r="H50" i="235" s="1"/>
  <c r="AW67" i="35"/>
  <c r="AP67" i="35" s="1"/>
  <c r="P35" i="35"/>
  <c r="W65" i="35"/>
  <c r="X65" i="35" s="1"/>
  <c r="O54" i="35"/>
  <c r="P54" i="35" s="1"/>
  <c r="W85" i="35"/>
  <c r="X85" i="35" s="1"/>
  <c r="AI28" i="35"/>
  <c r="AJ28" i="35" s="1"/>
  <c r="X39" i="35"/>
  <c r="P15" i="35"/>
  <c r="AI34" i="35"/>
  <c r="AJ34" i="35" s="1"/>
  <c r="BE7" i="35"/>
  <c r="AX7" i="35" s="1"/>
  <c r="U4" i="35"/>
  <c r="V4" i="35" s="1"/>
  <c r="Z4" i="35"/>
  <c r="F50" i="230" s="1"/>
  <c r="AO4" i="35"/>
  <c r="N45" i="35"/>
  <c r="O45" i="35" s="1"/>
  <c r="P45" i="35" s="1"/>
  <c r="O19" i="35"/>
  <c r="P19" i="35" s="1"/>
  <c r="AD16" i="35"/>
  <c r="AE16" i="35" s="1"/>
  <c r="AV57" i="35"/>
  <c r="V31" i="35"/>
  <c r="W31" i="35" s="1"/>
  <c r="P6" i="35"/>
  <c r="AU60" i="35"/>
  <c r="AV60" i="35" s="1"/>
  <c r="X24" i="35"/>
  <c r="BB16" i="35"/>
  <c r="BC16" i="35" s="1"/>
  <c r="BD16" i="35" s="1"/>
  <c r="AV53" i="35"/>
  <c r="P66" i="35"/>
  <c r="AN16" i="35"/>
  <c r="W52" i="35"/>
  <c r="X52" i="35" s="1"/>
  <c r="V16" i="35"/>
  <c r="W16" i="35" s="1"/>
  <c r="X16" i="35" s="1"/>
  <c r="Z61" i="35"/>
  <c r="AO61" i="35"/>
  <c r="AH61" i="35" s="1"/>
  <c r="AW28" i="35"/>
  <c r="N41" i="35"/>
  <c r="O41" i="35" s="1"/>
  <c r="AA42" i="35"/>
  <c r="AB42" i="35" s="1"/>
  <c r="S61" i="35"/>
  <c r="T61" i="35" s="1"/>
  <c r="U61" i="35" s="1"/>
  <c r="V61" i="35" s="1"/>
  <c r="W61" i="35" s="1"/>
  <c r="N40" i="35"/>
  <c r="O40" i="35" s="1"/>
  <c r="P40" i="35" s="1"/>
  <c r="AL9" i="35"/>
  <c r="AM9" i="35" s="1"/>
  <c r="AN9" i="35" s="1"/>
  <c r="V11" i="35"/>
  <c r="W11" i="35" s="1"/>
  <c r="X11" i="35" s="1"/>
  <c r="AV16" i="35"/>
  <c r="N63" i="35"/>
  <c r="O63" i="35" s="1"/>
  <c r="P63" i="35" s="1"/>
  <c r="V6" i="35"/>
  <c r="W6" i="35" s="1"/>
  <c r="BB52" i="35"/>
  <c r="AO13" i="35"/>
  <c r="Z13" i="35"/>
  <c r="F50" i="240" s="1"/>
  <c r="AW34" i="35"/>
  <c r="AP34" i="35" s="1"/>
  <c r="H50" i="261" s="1"/>
  <c r="BR32" i="35"/>
  <c r="BS32" i="35" s="1"/>
  <c r="AA87" i="35"/>
  <c r="U88" i="35"/>
  <c r="V88" i="35" s="1"/>
  <c r="O7" i="35"/>
  <c r="P7" i="35" s="1"/>
  <c r="AE40" i="35"/>
  <c r="AF40" i="35" s="1"/>
  <c r="T46" i="35"/>
  <c r="T95" i="35" s="1"/>
  <c r="V66" i="35"/>
  <c r="W66" i="35" s="1"/>
  <c r="X66" i="35" s="1"/>
  <c r="W32" i="35"/>
  <c r="X32" i="35" s="1"/>
  <c r="W28" i="35"/>
  <c r="X28" i="35" s="1"/>
  <c r="AD51" i="35"/>
  <c r="AS15" i="35"/>
  <c r="AT15" i="35" s="1"/>
  <c r="AU15" i="35" s="1"/>
  <c r="V35" i="35"/>
  <c r="W35" i="35" s="1"/>
  <c r="X35" i="35" s="1"/>
  <c r="AM19" i="35"/>
  <c r="AN19" i="35" s="1"/>
  <c r="AH46" i="35"/>
  <c r="AX19" i="35"/>
  <c r="AD52" i="35"/>
  <c r="AE52" i="35" s="1"/>
  <c r="AF52" i="35" s="1"/>
  <c r="AH30" i="35"/>
  <c r="AW41" i="35"/>
  <c r="BE59" i="35"/>
  <c r="AW54" i="35"/>
  <c r="BE23" i="35"/>
  <c r="AW27" i="35"/>
  <c r="AW86" i="35"/>
  <c r="AW6" i="35"/>
  <c r="AO64" i="35"/>
  <c r="AW8" i="35"/>
  <c r="Z3" i="35"/>
  <c r="F50" i="229" s="1"/>
  <c r="AW55" i="35"/>
  <c r="AW24" i="35"/>
  <c r="BE35" i="35"/>
  <c r="BE63" i="35"/>
  <c r="AW14" i="35"/>
  <c r="AW39" i="35"/>
  <c r="BE21" i="35"/>
  <c r="AO83" i="35"/>
  <c r="M56" i="35"/>
  <c r="AH41" i="35"/>
  <c r="AO47" i="35"/>
  <c r="AW38" i="35"/>
  <c r="AH54" i="35"/>
  <c r="AH86" i="35"/>
  <c r="AH6" i="35"/>
  <c r="AH8" i="35"/>
  <c r="BE20" i="35"/>
  <c r="AH55" i="35"/>
  <c r="AP35" i="35"/>
  <c r="AP51" i="35"/>
  <c r="AP63" i="35"/>
  <c r="H50" i="290" s="1"/>
  <c r="AC84" i="35"/>
  <c r="AH31" i="35"/>
  <c r="AH14" i="35"/>
  <c r="AH39" i="35"/>
  <c r="G50" i="266" s="1"/>
  <c r="AP21" i="35"/>
  <c r="BE40" i="35"/>
  <c r="BE12" i="35"/>
  <c r="BE67" i="35"/>
  <c r="AH11" i="35"/>
  <c r="G50" i="237" s="1"/>
  <c r="AH62" i="35"/>
  <c r="AW50" i="35"/>
  <c r="AW33" i="35"/>
  <c r="Z47" i="35"/>
  <c r="AH38" i="35"/>
  <c r="AW22" i="35"/>
  <c r="AO26" i="35"/>
  <c r="AH88" i="35"/>
  <c r="G50" i="315" s="1"/>
  <c r="AO10" i="35"/>
  <c r="BE84" i="35"/>
  <c r="AW58" i="35"/>
  <c r="BU56" i="35"/>
  <c r="AP20" i="35"/>
  <c r="BF15" i="35"/>
  <c r="AH45" i="35"/>
  <c r="Z48" i="35"/>
  <c r="F50" i="275" s="1"/>
  <c r="AW65" i="35"/>
  <c r="AW25" i="35"/>
  <c r="V20" i="35"/>
  <c r="W20" i="35" s="1"/>
  <c r="X20" i="35" s="1"/>
  <c r="BJ60" i="35"/>
  <c r="BK60" i="35" s="1"/>
  <c r="BL60" i="35" s="1"/>
  <c r="CB82" i="35"/>
  <c r="AA58" i="35"/>
  <c r="AB58" i="35" s="1"/>
  <c r="AY56" i="35"/>
  <c r="U50" i="35"/>
  <c r="V50" i="35" s="1"/>
  <c r="AA45" i="35"/>
  <c r="AB45" i="35" s="1"/>
  <c r="S68" i="35"/>
  <c r="T68" i="35" s="1"/>
  <c r="BB60" i="35"/>
  <c r="BC60" i="35" s="1"/>
  <c r="BD60" i="35" s="1"/>
  <c r="T58" i="35"/>
  <c r="U58" i="35" s="1"/>
  <c r="V58" i="35" s="1"/>
  <c r="W58" i="35" s="1"/>
  <c r="X58" i="35" s="1"/>
  <c r="AD59" i="35"/>
  <c r="AE59" i="35" s="1"/>
  <c r="P8" i="35"/>
  <c r="W30" i="35"/>
  <c r="X30" i="35" s="1"/>
  <c r="AF82" i="35"/>
  <c r="BL32" i="35"/>
  <c r="CA52" i="35"/>
  <c r="CB52" i="35" s="1"/>
  <c r="BD57" i="35"/>
  <c r="U18" i="35"/>
  <c r="V18" i="35" s="1"/>
  <c r="AA6" i="35"/>
  <c r="AA85" i="35"/>
  <c r="AB85" i="35" s="1"/>
  <c r="AY15" i="35"/>
  <c r="AZ15" i="35" s="1"/>
  <c r="AI63" i="35"/>
  <c r="AJ63" i="35" s="1"/>
  <c r="L87" i="35"/>
  <c r="M55" i="35"/>
  <c r="N55" i="35" s="1"/>
  <c r="AA39" i="35"/>
  <c r="AB39" i="35" s="1"/>
  <c r="AA46" i="35"/>
  <c r="AB46" i="35" s="1"/>
  <c r="AC46" i="35" s="1"/>
  <c r="AA14" i="35"/>
  <c r="BR16" i="35"/>
  <c r="T19" i="35"/>
  <c r="AF7" i="35"/>
  <c r="AV52" i="35"/>
  <c r="AA22" i="35"/>
  <c r="AB67" i="35"/>
  <c r="T23" i="35"/>
  <c r="U23" i="35" s="1"/>
  <c r="V23" i="35" s="1"/>
  <c r="X15" i="35"/>
  <c r="AJ15" i="35"/>
  <c r="T14" i="35"/>
  <c r="V17" i="35"/>
  <c r="W17" i="35" s="1"/>
  <c r="AB12" i="35"/>
  <c r="AC12" i="35" s="1"/>
  <c r="AD12" i="35" s="1"/>
  <c r="AE12" i="35" s="1"/>
  <c r="AA30" i="35"/>
  <c r="X40" i="35"/>
  <c r="P47" i="35"/>
  <c r="L25" i="35"/>
  <c r="L95" i="35" s="1"/>
  <c r="AI23" i="35"/>
  <c r="AJ23" i="35" s="1"/>
  <c r="U22" i="35"/>
  <c r="V22" i="35" s="1"/>
  <c r="Z68" i="35"/>
  <c r="Z83" i="35"/>
  <c r="AW87" i="35"/>
  <c r="AH44" i="35"/>
  <c r="AH37" i="35"/>
  <c r="AW42" i="35"/>
  <c r="AH66" i="35"/>
  <c r="G50" i="293" s="1"/>
  <c r="AH18" i="35"/>
  <c r="BE51" i="35"/>
  <c r="AC56" i="35"/>
  <c r="AD56" i="35" s="1"/>
  <c r="U42" i="35"/>
  <c r="V42" i="35" s="1"/>
  <c r="AH87" i="35"/>
  <c r="AW11" i="35"/>
  <c r="AH42" i="35"/>
  <c r="AP59" i="35"/>
  <c r="H50" i="286" s="1"/>
  <c r="AP23" i="35"/>
  <c r="H50" i="250" s="1"/>
  <c r="AH27" i="35"/>
  <c r="Z64" i="35"/>
  <c r="AW45" i="35"/>
  <c r="AH24" i="35"/>
  <c r="AW31" i="35"/>
  <c r="AW46" i="35"/>
  <c r="BM19" i="35"/>
  <c r="AP40" i="35"/>
  <c r="AP12" i="35"/>
  <c r="H50" i="239" s="1"/>
  <c r="AW44" i="35"/>
  <c r="AW30" i="35"/>
  <c r="AW37" i="35"/>
  <c r="AW62" i="35"/>
  <c r="AH50" i="35"/>
  <c r="O22" i="35"/>
  <c r="P22" i="35" s="1"/>
  <c r="AH33" i="35"/>
  <c r="G50" i="260" s="1"/>
  <c r="AH22" i="35"/>
  <c r="Z26" i="35"/>
  <c r="AW88" i="35"/>
  <c r="Z10" i="35"/>
  <c r="AP84" i="35"/>
  <c r="V41" i="35"/>
  <c r="W41" i="35" s="1"/>
  <c r="AH58" i="35"/>
  <c r="AW85" i="35"/>
  <c r="BF56" i="35"/>
  <c r="AW66" i="35"/>
  <c r="AO3" i="35"/>
  <c r="AO48" i="35"/>
  <c r="AH65" i="35"/>
  <c r="G50" i="292" s="1"/>
  <c r="AW18" i="35"/>
  <c r="AH25" i="35"/>
  <c r="P88" i="35"/>
  <c r="AF89" i="35"/>
  <c r="AA55" i="35"/>
  <c r="AC32" i="35"/>
  <c r="AD32" i="35" s="1"/>
  <c r="AE32" i="35" s="1"/>
  <c r="V38" i="35"/>
  <c r="W38" i="35" s="1"/>
  <c r="AK60" i="35"/>
  <c r="AL60" i="35" s="1"/>
  <c r="N3" i="35"/>
  <c r="AC23" i="35"/>
  <c r="AD23" i="35" s="1"/>
  <c r="AA11" i="35"/>
  <c r="AB11" i="35" s="1"/>
  <c r="AA54" i="35"/>
  <c r="AB54" i="35" s="1"/>
  <c r="AM89" i="35"/>
  <c r="AN89" i="35" s="1"/>
  <c r="AA88" i="35"/>
  <c r="W56" i="35"/>
  <c r="X56" i="35" s="1"/>
  <c r="AI67" i="35"/>
  <c r="AJ67" i="35" s="1"/>
  <c r="AT56" i="35"/>
  <c r="AU56" i="35" s="1"/>
  <c r="AV56" i="35" s="1"/>
  <c r="AI20" i="35"/>
  <c r="AJ20" i="35" s="1"/>
  <c r="S3" i="35"/>
  <c r="T27" i="35"/>
  <c r="V67" i="35"/>
  <c r="W67" i="35" s="1"/>
  <c r="X67" i="35" s="1"/>
  <c r="V62" i="35"/>
  <c r="W62" i="35" s="1"/>
  <c r="X62" i="35" s="1"/>
  <c r="V8" i="35"/>
  <c r="W8" i="35" s="1"/>
  <c r="T51" i="35"/>
  <c r="U51" i="35" s="1"/>
  <c r="U84" i="35"/>
  <c r="N37" i="35"/>
  <c r="O37" i="35" s="1"/>
  <c r="P39" i="35"/>
  <c r="N27" i="35"/>
  <c r="O27" i="35" s="1"/>
  <c r="BD29" i="35"/>
  <c r="U12" i="35"/>
  <c r="V12" i="35" s="1"/>
  <c r="AK56" i="35"/>
  <c r="AL56" i="35" s="1"/>
  <c r="CH52" i="35"/>
  <c r="G130" i="279" s="1"/>
  <c r="CB17" i="35"/>
  <c r="BS89" i="35"/>
  <c r="BT89" i="35" s="1"/>
  <c r="BT29" i="35"/>
  <c r="BS57" i="35"/>
  <c r="BT57" i="35" s="1"/>
  <c r="BL53" i="35"/>
  <c r="BK16" i="35"/>
  <c r="BL16" i="35" s="1"/>
  <c r="BL17" i="35"/>
  <c r="BK29" i="35"/>
  <c r="BL29" i="35" s="1"/>
  <c r="AV82" i="35"/>
  <c r="AU89" i="35"/>
  <c r="AV89" i="35" s="1"/>
  <c r="AV49" i="35"/>
  <c r="AL53" i="35"/>
  <c r="AM53" i="35" s="1"/>
  <c r="AN53" i="35" s="1"/>
  <c r="AM57" i="35"/>
  <c r="AN57" i="35" s="1"/>
  <c r="AN49" i="35"/>
  <c r="W33" i="35"/>
  <c r="X33" i="35" s="1"/>
  <c r="W29" i="35"/>
  <c r="X29" i="35" s="1"/>
  <c r="O82" i="35"/>
  <c r="P82" i="35" s="1"/>
  <c r="O58" i="35"/>
  <c r="P58" i="35" s="1"/>
  <c r="O61" i="35"/>
  <c r="P61" i="35" s="1"/>
  <c r="P84" i="35"/>
  <c r="P33" i="35"/>
  <c r="O24" i="35"/>
  <c r="P24" i="35" s="1"/>
  <c r="O12" i="35"/>
  <c r="P12" i="35" s="1"/>
  <c r="N10" i="35"/>
  <c r="O10" i="35" s="1"/>
  <c r="P10" i="35" s="1"/>
  <c r="W25" i="35" l="1"/>
  <c r="AW95" i="35"/>
  <c r="Z95" i="35"/>
  <c r="AB25" i="35"/>
  <c r="AH95" i="35"/>
  <c r="E134" i="309"/>
  <c r="DE56" i="35"/>
  <c r="F133" i="283" s="1"/>
  <c r="CH29" i="35"/>
  <c r="G130" i="256" s="1"/>
  <c r="CI57" i="35"/>
  <c r="H130" i="284" s="1"/>
  <c r="E132" i="279"/>
  <c r="DF52" i="35"/>
  <c r="G133" i="279" s="1"/>
  <c r="CW16" i="35"/>
  <c r="F132" i="243" s="1"/>
  <c r="CO53" i="35"/>
  <c r="F131" i="280" s="1"/>
  <c r="CO82" i="35"/>
  <c r="F131" i="309" s="1"/>
  <c r="CX52" i="35"/>
  <c r="G132" i="279" s="1"/>
  <c r="DE49" i="35"/>
  <c r="F133" i="276" s="1"/>
  <c r="CO60" i="35"/>
  <c r="F131" i="287" s="1"/>
  <c r="DE7" i="35"/>
  <c r="F133" i="233" s="1"/>
  <c r="CO16" i="35"/>
  <c r="F131" i="243" s="1"/>
  <c r="CN84" i="35"/>
  <c r="E131" i="311" s="1"/>
  <c r="X7" i="35"/>
  <c r="DE32" i="35"/>
  <c r="F133" i="259" s="1"/>
  <c r="CO49" i="35"/>
  <c r="F131" i="276" s="1"/>
  <c r="DM60" i="35"/>
  <c r="F134" i="287" s="1"/>
  <c r="CO32" i="35"/>
  <c r="CP32" i="35" s="1"/>
  <c r="G131" i="259" s="1"/>
  <c r="DD84" i="35"/>
  <c r="E133" i="311" s="1"/>
  <c r="E133" i="279"/>
  <c r="CO40" i="35"/>
  <c r="F131" i="267" s="1"/>
  <c r="DM53" i="35"/>
  <c r="F134" i="280" s="1"/>
  <c r="DE15" i="35"/>
  <c r="F133" i="242" s="1"/>
  <c r="CO17" i="35"/>
  <c r="F131" i="244" s="1"/>
  <c r="CW15" i="35"/>
  <c r="CX15" i="35" s="1"/>
  <c r="DE53" i="35"/>
  <c r="F133" i="280" s="1"/>
  <c r="DM19" i="35"/>
  <c r="F134" i="246" s="1"/>
  <c r="U83" i="35"/>
  <c r="V83" i="35" s="1"/>
  <c r="CW56" i="35"/>
  <c r="F132" i="283" s="1"/>
  <c r="DM56" i="35"/>
  <c r="F134" i="283" s="1"/>
  <c r="DE29" i="35"/>
  <c r="F133" i="256" s="1"/>
  <c r="CI32" i="35"/>
  <c r="CJ32" i="35" s="1"/>
  <c r="I130" i="259" s="1"/>
  <c r="DL67" i="35"/>
  <c r="E134" i="294" s="1"/>
  <c r="CV84" i="35"/>
  <c r="CW84" i="35" s="1"/>
  <c r="F132" i="311" s="1"/>
  <c r="E134" i="259"/>
  <c r="E132" i="287"/>
  <c r="F134" i="259"/>
  <c r="DN32" i="35"/>
  <c r="G134" i="259" s="1"/>
  <c r="AE9" i="35"/>
  <c r="AF9" i="35" s="1"/>
  <c r="AC41" i="35"/>
  <c r="AD41" i="35" s="1"/>
  <c r="AE41" i="35" s="1"/>
  <c r="AF41" i="35" s="1"/>
  <c r="W59" i="35"/>
  <c r="X59" i="35" s="1"/>
  <c r="DM29" i="35"/>
  <c r="DN29" i="35" s="1"/>
  <c r="G134" i="256" s="1"/>
  <c r="CX82" i="35"/>
  <c r="G132" i="309" s="1"/>
  <c r="DE16" i="35"/>
  <c r="F133" i="243" s="1"/>
  <c r="E134" i="276"/>
  <c r="E132" i="309"/>
  <c r="AD65" i="35"/>
  <c r="AE65" i="35" s="1"/>
  <c r="AF65" i="35" s="1"/>
  <c r="DE57" i="35"/>
  <c r="F133" i="284" s="1"/>
  <c r="CV59" i="35"/>
  <c r="CW59" i="35" s="1"/>
  <c r="AA62" i="35"/>
  <c r="AB62" i="35" s="1"/>
  <c r="AC62" i="35" s="1"/>
  <c r="CO56" i="35"/>
  <c r="F131" i="283" s="1"/>
  <c r="CW19" i="35"/>
  <c r="F132" i="246" s="1"/>
  <c r="DM23" i="35"/>
  <c r="F134" i="250" s="1"/>
  <c r="CW49" i="35"/>
  <c r="F132" i="276" s="1"/>
  <c r="F132" i="287"/>
  <c r="CX60" i="35"/>
  <c r="G132" i="287" s="1"/>
  <c r="DL51" i="35"/>
  <c r="E134" i="278" s="1"/>
  <c r="CN67" i="35"/>
  <c r="E131" i="294" s="1"/>
  <c r="DD59" i="35"/>
  <c r="E133" i="286" s="1"/>
  <c r="CO29" i="35"/>
  <c r="F131" i="256" s="1"/>
  <c r="CN51" i="35"/>
  <c r="E131" i="278" s="1"/>
  <c r="CV51" i="35"/>
  <c r="E132" i="278" s="1"/>
  <c r="DN52" i="35"/>
  <c r="G134" i="279" s="1"/>
  <c r="DM40" i="35"/>
  <c r="DN40" i="35" s="1"/>
  <c r="CI60" i="35"/>
  <c r="H130" i="287" s="1"/>
  <c r="CW57" i="35"/>
  <c r="DL63" i="35"/>
  <c r="E134" i="290" s="1"/>
  <c r="DL41" i="35"/>
  <c r="E134" i="268" s="1"/>
  <c r="D134" i="268"/>
  <c r="DD27" i="35"/>
  <c r="E133" i="254" s="1"/>
  <c r="D133" i="254"/>
  <c r="AA10" i="35"/>
  <c r="AB10" i="35" s="1"/>
  <c r="F50" i="236"/>
  <c r="AA47" i="35"/>
  <c r="AB47" i="35" s="1"/>
  <c r="F50" i="274"/>
  <c r="AA61" i="35"/>
  <c r="AB61" i="35" s="1"/>
  <c r="AC61" i="35" s="1"/>
  <c r="AD61" i="35" s="1"/>
  <c r="F50" i="288"/>
  <c r="AQ67" i="35"/>
  <c r="AR67" i="35" s="1"/>
  <c r="AS67" i="35" s="1"/>
  <c r="H50" i="294"/>
  <c r="DF40" i="35"/>
  <c r="G133" i="267" s="1"/>
  <c r="F133" i="267"/>
  <c r="CN9" i="35"/>
  <c r="E131" i="235" s="1"/>
  <c r="D131" i="235"/>
  <c r="O50" i="285"/>
  <c r="N50" i="269"/>
  <c r="N50" i="265"/>
  <c r="AA24" i="35"/>
  <c r="AB24" i="35" s="1"/>
  <c r="F50" i="251"/>
  <c r="O50" i="254"/>
  <c r="CW29" i="35"/>
  <c r="F132" i="256" s="1"/>
  <c r="E132" i="256"/>
  <c r="CU65" i="35"/>
  <c r="D132" i="292" s="1"/>
  <c r="O50" i="292"/>
  <c r="DC20" i="35"/>
  <c r="P50" i="247"/>
  <c r="AA44" i="35"/>
  <c r="AB44" i="35" s="1"/>
  <c r="F50" i="271"/>
  <c r="DC65" i="35"/>
  <c r="D133" i="292" s="1"/>
  <c r="P50" i="292"/>
  <c r="Q50" i="247"/>
  <c r="CU38" i="35"/>
  <c r="O50" i="265"/>
  <c r="O50" i="266"/>
  <c r="CO52" i="35"/>
  <c r="E131" i="279"/>
  <c r="AQ84" i="35"/>
  <c r="AR84" i="35" s="1"/>
  <c r="H50" i="311"/>
  <c r="AI22" i="35"/>
  <c r="AJ22" i="35" s="1"/>
  <c r="AK22" i="35" s="1"/>
  <c r="AL22" i="35" s="1"/>
  <c r="AM22" i="35" s="1"/>
  <c r="AN22" i="35" s="1"/>
  <c r="G50" i="249"/>
  <c r="AI50" i="35"/>
  <c r="AJ50" i="35" s="1"/>
  <c r="AK50" i="35" s="1"/>
  <c r="AL50" i="35" s="1"/>
  <c r="G50" i="277"/>
  <c r="AA64" i="35"/>
  <c r="AB64" i="35" s="1"/>
  <c r="F50" i="291"/>
  <c r="AI42" i="35"/>
  <c r="AJ42" i="35" s="1"/>
  <c r="AK42" i="35" s="1"/>
  <c r="AL42" i="35" s="1"/>
  <c r="AM42" i="35" s="1"/>
  <c r="AN42" i="35" s="1"/>
  <c r="G50" i="269"/>
  <c r="AI38" i="35"/>
  <c r="AJ38" i="35" s="1"/>
  <c r="AK38" i="35" s="1"/>
  <c r="G50" i="265"/>
  <c r="AI62" i="35"/>
  <c r="AJ62" i="35" s="1"/>
  <c r="AK62" i="35" s="1"/>
  <c r="G50" i="289"/>
  <c r="AI61" i="35"/>
  <c r="AJ61" i="35" s="1"/>
  <c r="AK61" i="35" s="1"/>
  <c r="AL61" i="35" s="1"/>
  <c r="G50" i="288"/>
  <c r="Q50" i="277"/>
  <c r="Q50" i="266"/>
  <c r="CU6" i="35"/>
  <c r="O50" i="232"/>
  <c r="CU41" i="35"/>
  <c r="O50" i="268"/>
  <c r="DC54" i="35"/>
  <c r="D133" i="281" s="1"/>
  <c r="P50" i="281"/>
  <c r="CV12" i="35"/>
  <c r="E132" i="239" s="1"/>
  <c r="D132" i="239"/>
  <c r="Q50" i="245"/>
  <c r="AA26" i="35"/>
  <c r="AB26" i="35" s="1"/>
  <c r="F50" i="253"/>
  <c r="BG15" i="35"/>
  <c r="BH15" i="35" s="1"/>
  <c r="J50" i="242"/>
  <c r="AI14" i="35"/>
  <c r="AJ14" i="35" s="1"/>
  <c r="G50" i="241"/>
  <c r="AQ51" i="35"/>
  <c r="AR51" i="35" s="1"/>
  <c r="AS51" i="35" s="1"/>
  <c r="AT51" i="35" s="1"/>
  <c r="AU51" i="35" s="1"/>
  <c r="H50" i="278"/>
  <c r="AI8" i="35"/>
  <c r="AJ8" i="35" s="1"/>
  <c r="G50" i="234"/>
  <c r="N50" i="232"/>
  <c r="CM11" i="35"/>
  <c r="N50" i="237"/>
  <c r="CM66" i="35"/>
  <c r="D131" i="293" s="1"/>
  <c r="N50" i="293"/>
  <c r="CM25" i="35"/>
  <c r="N50" i="252"/>
  <c r="Q50" i="282"/>
  <c r="Q50" i="249"/>
  <c r="Q50" i="260"/>
  <c r="Q50" i="315"/>
  <c r="AA86" i="35"/>
  <c r="F50" i="313"/>
  <c r="O50" i="314"/>
  <c r="P50" i="282"/>
  <c r="N50" i="277"/>
  <c r="N50" i="266"/>
  <c r="DC58" i="35"/>
  <c r="P50" i="285"/>
  <c r="CU42" i="35"/>
  <c r="D132" i="269" s="1"/>
  <c r="O50" i="269"/>
  <c r="CV22" i="35"/>
  <c r="E132" i="249" s="1"/>
  <c r="D132" i="249"/>
  <c r="CV37" i="35"/>
  <c r="E132" i="264" s="1"/>
  <c r="D132" i="264"/>
  <c r="AA21" i="35"/>
  <c r="F50" i="248"/>
  <c r="DK14" i="35"/>
  <c r="Q50" i="241"/>
  <c r="DK65" i="35"/>
  <c r="D134" i="292" s="1"/>
  <c r="Q50" i="292"/>
  <c r="Q50" i="261"/>
  <c r="P50" i="249"/>
  <c r="P50" i="260"/>
  <c r="P50" i="257"/>
  <c r="O50" i="241"/>
  <c r="O50" i="245"/>
  <c r="N50" i="258"/>
  <c r="N50" i="264"/>
  <c r="P50" i="241"/>
  <c r="P50" i="245"/>
  <c r="O50" i="258"/>
  <c r="P50" i="277"/>
  <c r="CI49" i="35"/>
  <c r="G130" i="276"/>
  <c r="E131" i="233"/>
  <c r="CO7" i="35"/>
  <c r="DM35" i="35"/>
  <c r="DE17" i="35"/>
  <c r="CV67" i="35"/>
  <c r="E132" i="294" s="1"/>
  <c r="CV63" i="35"/>
  <c r="E132" i="290" s="1"/>
  <c r="DD63" i="35"/>
  <c r="E133" i="290" s="1"/>
  <c r="DF35" i="35"/>
  <c r="DM7" i="35"/>
  <c r="CN12" i="35"/>
  <c r="CO15" i="35"/>
  <c r="F131" i="242" s="1"/>
  <c r="AI27" i="35"/>
  <c r="AJ27" i="35" s="1"/>
  <c r="G50" i="254"/>
  <c r="AI37" i="35"/>
  <c r="AJ37" i="35" s="1"/>
  <c r="AK37" i="35" s="1"/>
  <c r="G50" i="264"/>
  <c r="AA68" i="35"/>
  <c r="AB68" i="35" s="1"/>
  <c r="F50" i="295"/>
  <c r="AQ21" i="35"/>
  <c r="AR21" i="35" s="1"/>
  <c r="H50" i="248"/>
  <c r="AI55" i="35"/>
  <c r="AJ55" i="35" s="1"/>
  <c r="G50" i="282"/>
  <c r="AI86" i="35"/>
  <c r="AJ86" i="35" s="1"/>
  <c r="G50" i="313"/>
  <c r="AI41" i="35"/>
  <c r="AJ41" i="35" s="1"/>
  <c r="AK41" i="35" s="1"/>
  <c r="AL41" i="35" s="1"/>
  <c r="AM41" i="35" s="1"/>
  <c r="AN41" i="35" s="1"/>
  <c r="G50" i="268"/>
  <c r="AI30" i="35"/>
  <c r="AJ30" i="35" s="1"/>
  <c r="AK30" i="35" s="1"/>
  <c r="G50" i="257"/>
  <c r="AI46" i="35"/>
  <c r="AJ46" i="35" s="1"/>
  <c r="AK46" i="35" s="1"/>
  <c r="CN59" i="35"/>
  <c r="E131" i="286" s="1"/>
  <c r="D131" i="286"/>
  <c r="N50" i="241"/>
  <c r="CM65" i="35"/>
  <c r="D131" i="292" s="1"/>
  <c r="N50" i="292"/>
  <c r="N50" i="245"/>
  <c r="O50" i="247"/>
  <c r="Q50" i="258"/>
  <c r="DK37" i="35"/>
  <c r="Q50" i="264"/>
  <c r="DC87" i="35"/>
  <c r="D133" i="314" s="1"/>
  <c r="P50" i="314"/>
  <c r="O50" i="260"/>
  <c r="DK11" i="35"/>
  <c r="D134" i="237" s="1"/>
  <c r="Q50" i="237"/>
  <c r="Q50" i="293"/>
  <c r="DK42" i="35"/>
  <c r="D134" i="269" s="1"/>
  <c r="Q50" i="269"/>
  <c r="P50" i="258"/>
  <c r="CU46" i="35"/>
  <c r="CV46" i="35" s="1"/>
  <c r="DC39" i="35"/>
  <c r="P50" i="266"/>
  <c r="CX32" i="35"/>
  <c r="G132" i="259" s="1"/>
  <c r="F132" i="259"/>
  <c r="DD51" i="35"/>
  <c r="D133" i="278"/>
  <c r="BG56" i="35"/>
  <c r="BH56" i="35" s="1"/>
  <c r="J50" i="283"/>
  <c r="AA83" i="35"/>
  <c r="AB83" i="35" s="1"/>
  <c r="AC83" i="35" s="1"/>
  <c r="AD83" i="35" s="1"/>
  <c r="F50" i="310"/>
  <c r="AQ20" i="35"/>
  <c r="AR20" i="35" s="1"/>
  <c r="AS20" i="35" s="1"/>
  <c r="H50" i="247"/>
  <c r="AI31" i="35"/>
  <c r="AJ31" i="35" s="1"/>
  <c r="AK31" i="35" s="1"/>
  <c r="G50" i="258"/>
  <c r="AQ35" i="35"/>
  <c r="AR35" i="35" s="1"/>
  <c r="AS35" i="35" s="1"/>
  <c r="H50" i="262"/>
  <c r="AI6" i="35"/>
  <c r="AJ6" i="35" s="1"/>
  <c r="AK6" i="35" s="1"/>
  <c r="G50" i="232"/>
  <c r="AY19" i="35"/>
  <c r="AZ19" i="35" s="1"/>
  <c r="BA19" i="35" s="1"/>
  <c r="I50" i="246"/>
  <c r="DL59" i="35"/>
  <c r="E134" i="286" s="1"/>
  <c r="D134" i="286"/>
  <c r="CW35" i="35"/>
  <c r="F132" i="262" s="1"/>
  <c r="E132" i="262"/>
  <c r="CM85" i="35"/>
  <c r="D131" i="312" s="1"/>
  <c r="N50" i="312"/>
  <c r="N50" i="268"/>
  <c r="N50" i="261"/>
  <c r="DK38" i="35"/>
  <c r="Q50" i="265"/>
  <c r="CO35" i="35"/>
  <c r="F131" i="262" s="1"/>
  <c r="E131" i="262"/>
  <c r="P50" i="312"/>
  <c r="P50" i="261"/>
  <c r="CM46" i="35"/>
  <c r="CN46" i="35" s="1"/>
  <c r="CO46" i="35" s="1"/>
  <c r="CU88" i="35"/>
  <c r="D132" i="315" s="1"/>
  <c r="O50" i="315"/>
  <c r="Q50" i="272"/>
  <c r="DK58" i="35"/>
  <c r="D134" i="285" s="1"/>
  <c r="Q50" i="285"/>
  <c r="DK87" i="35"/>
  <c r="D134" i="314" s="1"/>
  <c r="Q50" i="314"/>
  <c r="CM20" i="35"/>
  <c r="N50" i="247"/>
  <c r="O50" i="282"/>
  <c r="P50" i="265"/>
  <c r="O50" i="277"/>
  <c r="DC88" i="35"/>
  <c r="D133" i="315" s="1"/>
  <c r="P50" i="315"/>
  <c r="O50" i="237"/>
  <c r="O50" i="252"/>
  <c r="N50" i="249"/>
  <c r="CM88" i="35"/>
  <c r="D131" i="315" s="1"/>
  <c r="N50" i="315"/>
  <c r="P50" i="237"/>
  <c r="DC25" i="35"/>
  <c r="P50" i="252"/>
  <c r="N50" i="281"/>
  <c r="CU30" i="35"/>
  <c r="O50" i="257"/>
  <c r="DE60" i="35"/>
  <c r="E133" i="287"/>
  <c r="DN82" i="35"/>
  <c r="F134" i="309"/>
  <c r="CI89" i="35"/>
  <c r="G130" i="316"/>
  <c r="CJ16" i="35"/>
  <c r="I130" i="243" s="1"/>
  <c r="H130" i="243"/>
  <c r="CX53" i="35"/>
  <c r="G132" i="280" s="1"/>
  <c r="F132" i="280"/>
  <c r="AI25" i="35"/>
  <c r="G50" i="252"/>
  <c r="AI58" i="35"/>
  <c r="AJ58" i="35" s="1"/>
  <c r="G50" i="285"/>
  <c r="AQ40" i="35"/>
  <c r="AR40" i="35" s="1"/>
  <c r="AS40" i="35" s="1"/>
  <c r="H50" i="267"/>
  <c r="AI24" i="35"/>
  <c r="AJ24" i="35" s="1"/>
  <c r="G50" i="251"/>
  <c r="AI87" i="35"/>
  <c r="G50" i="314"/>
  <c r="AI18" i="35"/>
  <c r="AJ18" i="35" s="1"/>
  <c r="AK18" i="35" s="1"/>
  <c r="G50" i="245"/>
  <c r="AI44" i="35"/>
  <c r="AJ44" i="35" s="1"/>
  <c r="AK44" i="35" s="1"/>
  <c r="G50" i="271"/>
  <c r="AI45" i="35"/>
  <c r="AJ45" i="35" s="1"/>
  <c r="AK45" i="35" s="1"/>
  <c r="AL45" i="35" s="1"/>
  <c r="G50" i="272"/>
  <c r="AI54" i="35"/>
  <c r="AJ54" i="35" s="1"/>
  <c r="AK54" i="35" s="1"/>
  <c r="AL54" i="35" s="1"/>
  <c r="AM54" i="35" s="1"/>
  <c r="AN54" i="35" s="1"/>
  <c r="G50" i="281"/>
  <c r="AY7" i="35"/>
  <c r="AZ7" i="35" s="1"/>
  <c r="I50" i="233"/>
  <c r="N50" i="272"/>
  <c r="N50" i="285"/>
  <c r="N50" i="314"/>
  <c r="P50" i="269"/>
  <c r="Q50" i="254"/>
  <c r="DK54" i="35"/>
  <c r="D134" i="281" s="1"/>
  <c r="Q50" i="281"/>
  <c r="Q50" i="234"/>
  <c r="Q50" i="257"/>
  <c r="DM15" i="35"/>
  <c r="F134" i="242" s="1"/>
  <c r="E134" i="242"/>
  <c r="CU85" i="35"/>
  <c r="D132" i="312" s="1"/>
  <c r="O50" i="312"/>
  <c r="O50" i="261"/>
  <c r="N50" i="234"/>
  <c r="N50" i="257"/>
  <c r="P50" i="232"/>
  <c r="P50" i="268"/>
  <c r="O50" i="249"/>
  <c r="O50" i="264"/>
  <c r="AA28" i="35"/>
  <c r="AB28" i="35" s="1"/>
  <c r="AC28" i="35" s="1"/>
  <c r="F50" i="255"/>
  <c r="DF19" i="35"/>
  <c r="G133" i="246" s="1"/>
  <c r="F133" i="246"/>
  <c r="DM17" i="35"/>
  <c r="F134" i="244" s="1"/>
  <c r="E134" i="244"/>
  <c r="DK6" i="35"/>
  <c r="Q50" i="232"/>
  <c r="DK85" i="35"/>
  <c r="D134" i="312" s="1"/>
  <c r="Q50" i="312"/>
  <c r="Q50" i="268"/>
  <c r="Q50" i="252"/>
  <c r="P50" i="254"/>
  <c r="CU54" i="35"/>
  <c r="D132" i="281" s="1"/>
  <c r="O50" i="281"/>
  <c r="DC8" i="35"/>
  <c r="D133" i="234" s="1"/>
  <c r="P50" i="234"/>
  <c r="P50" i="264"/>
  <c r="DC45" i="35"/>
  <c r="D133" i="272" s="1"/>
  <c r="P50" i="272"/>
  <c r="CU66" i="35"/>
  <c r="D132" i="293" s="1"/>
  <c r="O50" i="293"/>
  <c r="N50" i="254"/>
  <c r="N50" i="260"/>
  <c r="CU45" i="35"/>
  <c r="D132" i="272" s="1"/>
  <c r="O50" i="272"/>
  <c r="DC66" i="35"/>
  <c r="D133" i="293" s="1"/>
  <c r="P50" i="293"/>
  <c r="CM55" i="35"/>
  <c r="D131" i="282" s="1"/>
  <c r="N50" i="282"/>
  <c r="O50" i="234"/>
  <c r="CW17" i="35"/>
  <c r="F132" i="244" s="1"/>
  <c r="E132" i="244"/>
  <c r="DD12" i="35"/>
  <c r="E133" i="239" s="1"/>
  <c r="D133" i="239"/>
  <c r="DM57" i="35"/>
  <c r="F134" i="284" s="1"/>
  <c r="E134" i="284"/>
  <c r="F130" i="244"/>
  <c r="CH17" i="35"/>
  <c r="CI82" i="35"/>
  <c r="G130" i="309"/>
  <c r="DL9" i="35"/>
  <c r="D134" i="235"/>
  <c r="CO19" i="35"/>
  <c r="E131" i="246"/>
  <c r="G130" i="280"/>
  <c r="CI53" i="35"/>
  <c r="CM14" i="35"/>
  <c r="D131" i="241" s="1"/>
  <c r="AL12" i="35"/>
  <c r="AM12" i="35" s="1"/>
  <c r="AN12" i="35" s="1"/>
  <c r="CW7" i="35"/>
  <c r="DE82" i="35"/>
  <c r="DN49" i="35"/>
  <c r="G134" i="276" s="1"/>
  <c r="DL55" i="35"/>
  <c r="DK50" i="35"/>
  <c r="D134" i="277" s="1"/>
  <c r="CN50" i="35"/>
  <c r="DM16" i="35"/>
  <c r="F134" i="243" s="1"/>
  <c r="DK8" i="35"/>
  <c r="D134" i="234" s="1"/>
  <c r="DK30" i="35"/>
  <c r="D134" i="257" s="1"/>
  <c r="DC42" i="35"/>
  <c r="DD37" i="35"/>
  <c r="E133" i="264" s="1"/>
  <c r="DC50" i="35"/>
  <c r="CU34" i="35"/>
  <c r="D132" i="261" s="1"/>
  <c r="CU20" i="35"/>
  <c r="CU58" i="35"/>
  <c r="D132" i="285" s="1"/>
  <c r="CM33" i="35"/>
  <c r="CN30" i="35"/>
  <c r="DM84" i="35"/>
  <c r="F134" i="311" s="1"/>
  <c r="DJ86" i="35"/>
  <c r="DB4" i="35"/>
  <c r="DB13" i="35"/>
  <c r="CL24" i="35"/>
  <c r="DJ26" i="35"/>
  <c r="DK26" i="35" s="1"/>
  <c r="D134" i="253" s="1"/>
  <c r="DJ68" i="35"/>
  <c r="DB28" i="35"/>
  <c r="CT21" i="35"/>
  <c r="CL61" i="35"/>
  <c r="CL3" i="35"/>
  <c r="CL64" i="35"/>
  <c r="CL10" i="35"/>
  <c r="CL47" i="35"/>
  <c r="CM47" i="35" s="1"/>
  <c r="D131" i="274" s="1"/>
  <c r="CL83" i="35"/>
  <c r="DB44" i="35"/>
  <c r="DB62" i="35"/>
  <c r="DB95" i="35" s="1"/>
  <c r="CL48" i="35"/>
  <c r="DB86" i="35"/>
  <c r="CT4" i="35"/>
  <c r="CT13" i="35"/>
  <c r="DJ24" i="35"/>
  <c r="DB26" i="35"/>
  <c r="DB68" i="35"/>
  <c r="CT28" i="35"/>
  <c r="CL21" i="35"/>
  <c r="DJ61" i="35"/>
  <c r="DD67" i="35"/>
  <c r="E133" i="294" s="1"/>
  <c r="CO57" i="35"/>
  <c r="DJ3" i="35"/>
  <c r="DJ64" i="35"/>
  <c r="DJ10" i="35"/>
  <c r="DJ47" i="35"/>
  <c r="DJ83" i="35"/>
  <c r="CL44" i="35"/>
  <c r="CT62" i="35"/>
  <c r="CT95" i="35" s="1"/>
  <c r="DB48" i="35"/>
  <c r="CT86" i="35"/>
  <c r="CL4" i="35"/>
  <c r="CL13" i="35"/>
  <c r="DB24" i="35"/>
  <c r="CT26" i="35"/>
  <c r="CT68" i="35"/>
  <c r="CL28" i="35"/>
  <c r="DJ21" i="35"/>
  <c r="DB61" i="35"/>
  <c r="DB3" i="35"/>
  <c r="DB64" i="35"/>
  <c r="DB10" i="35"/>
  <c r="CT47" i="35"/>
  <c r="DB83" i="35"/>
  <c r="DJ44" i="35"/>
  <c r="DK44" i="35" s="1"/>
  <c r="D134" i="271" s="1"/>
  <c r="CL62" i="35"/>
  <c r="CL95" i="35" s="1"/>
  <c r="DJ48" i="35"/>
  <c r="CW40" i="35"/>
  <c r="F132" i="267" s="1"/>
  <c r="CL86" i="35"/>
  <c r="DJ4" i="35"/>
  <c r="DJ13" i="35"/>
  <c r="CT24" i="35"/>
  <c r="CL26" i="35"/>
  <c r="CL68" i="35"/>
  <c r="DJ28" i="35"/>
  <c r="DB21" i="35"/>
  <c r="CT61" i="35"/>
  <c r="CN63" i="35"/>
  <c r="E131" i="290" s="1"/>
  <c r="CT3" i="35"/>
  <c r="CT64" i="35"/>
  <c r="CT10" i="35"/>
  <c r="DB47" i="35"/>
  <c r="DC47" i="35" s="1"/>
  <c r="D133" i="274" s="1"/>
  <c r="CT83" i="35"/>
  <c r="CT44" i="35"/>
  <c r="DJ62" i="35"/>
  <c r="DJ95" i="35" s="1"/>
  <c r="CT48" i="35"/>
  <c r="CM45" i="35"/>
  <c r="D131" i="272" s="1"/>
  <c r="CM58" i="35"/>
  <c r="DK27" i="35"/>
  <c r="CM38" i="35"/>
  <c r="D131" i="265" s="1"/>
  <c r="CM39" i="35"/>
  <c r="D131" i="266" s="1"/>
  <c r="DL12" i="35"/>
  <c r="DD9" i="35"/>
  <c r="CV23" i="35"/>
  <c r="E132" i="250" s="1"/>
  <c r="DK25" i="35"/>
  <c r="DC30" i="35"/>
  <c r="D133" i="257" s="1"/>
  <c r="CU18" i="35"/>
  <c r="D132" i="245" s="1"/>
  <c r="CM37" i="35"/>
  <c r="DC14" i="35"/>
  <c r="CU31" i="35"/>
  <c r="CM54" i="35"/>
  <c r="D131" i="281" s="1"/>
  <c r="DD23" i="35"/>
  <c r="CM87" i="35"/>
  <c r="CM18" i="35"/>
  <c r="DK46" i="35"/>
  <c r="DL46" i="35" s="1"/>
  <c r="DK88" i="35"/>
  <c r="D134" i="315" s="1"/>
  <c r="DK39" i="35"/>
  <c r="D134" i="266" s="1"/>
  <c r="CU87" i="35"/>
  <c r="D132" i="314" s="1"/>
  <c r="CM42" i="35"/>
  <c r="D131" i="269" s="1"/>
  <c r="DC55" i="35"/>
  <c r="D133" i="282" s="1"/>
  <c r="CM8" i="35"/>
  <c r="DC85" i="35"/>
  <c r="D133" i="312" s="1"/>
  <c r="CU27" i="35"/>
  <c r="DK66" i="35"/>
  <c r="DK34" i="35"/>
  <c r="CU55" i="35"/>
  <c r="D132" i="282" s="1"/>
  <c r="DC31" i="35"/>
  <c r="DC22" i="35"/>
  <c r="D133" i="249" s="1"/>
  <c r="DC33" i="35"/>
  <c r="D133" i="260" s="1"/>
  <c r="CU50" i="35"/>
  <c r="CU11" i="35"/>
  <c r="D132" i="237" s="1"/>
  <c r="CU25" i="35"/>
  <c r="CM27" i="35"/>
  <c r="D131" i="254" s="1"/>
  <c r="CM22" i="35"/>
  <c r="DC46" i="35"/>
  <c r="DD46" i="35" s="1"/>
  <c r="DC11" i="35"/>
  <c r="D133" i="237" s="1"/>
  <c r="CU8" i="35"/>
  <c r="D132" i="234" s="1"/>
  <c r="CM6" i="35"/>
  <c r="CM41" i="35"/>
  <c r="CM34" i="35"/>
  <c r="D131" i="261" s="1"/>
  <c r="DK31" i="35"/>
  <c r="DK22" i="35"/>
  <c r="D134" i="249" s="1"/>
  <c r="DK33" i="35"/>
  <c r="D134" i="260" s="1"/>
  <c r="DC6" i="35"/>
  <c r="DC41" i="35"/>
  <c r="D133" i="268" s="1"/>
  <c r="DC34" i="35"/>
  <c r="D133" i="261" s="1"/>
  <c r="CU33" i="35"/>
  <c r="D132" i="260" s="1"/>
  <c r="CV9" i="35"/>
  <c r="E132" i="235" s="1"/>
  <c r="DL45" i="35"/>
  <c r="DK18" i="35"/>
  <c r="D134" i="245" s="1"/>
  <c r="DC38" i="35"/>
  <c r="D133" i="265" s="1"/>
  <c r="CU14" i="35"/>
  <c r="D132" i="241" s="1"/>
  <c r="CM31" i="35"/>
  <c r="D131" i="258" s="1"/>
  <c r="DC18" i="35"/>
  <c r="D133" i="245" s="1"/>
  <c r="DK20" i="35"/>
  <c r="CU39" i="35"/>
  <c r="D132" i="266" s="1"/>
  <c r="CN23" i="35"/>
  <c r="E131" i="250" s="1"/>
  <c r="AQ9" i="35"/>
  <c r="AR9" i="35" s="1"/>
  <c r="BE9" i="35"/>
  <c r="AX9" i="35" s="1"/>
  <c r="AV7" i="35"/>
  <c r="AF16" i="35"/>
  <c r="BM7" i="35"/>
  <c r="W4" i="35"/>
  <c r="X4" i="35" s="1"/>
  <c r="AK34" i="35"/>
  <c r="AL34" i="35" s="1"/>
  <c r="AW4" i="35"/>
  <c r="AH4" i="35"/>
  <c r="G50" i="230" s="1"/>
  <c r="AA4" i="35"/>
  <c r="AB4" i="35" s="1"/>
  <c r="X31" i="35"/>
  <c r="AC39" i="35"/>
  <c r="AD39" i="35" s="1"/>
  <c r="AQ34" i="35"/>
  <c r="AR34" i="35" s="1"/>
  <c r="AS34" i="35" s="1"/>
  <c r="AT34" i="35" s="1"/>
  <c r="AU34" i="35" s="1"/>
  <c r="W88" i="35"/>
  <c r="X88" i="35" s="1"/>
  <c r="X6" i="35"/>
  <c r="W47" i="35"/>
  <c r="X47" i="35" s="1"/>
  <c r="O55" i="35"/>
  <c r="P55" i="35" s="1"/>
  <c r="AD34" i="35"/>
  <c r="AE34" i="35" s="1"/>
  <c r="AF34" i="35" s="1"/>
  <c r="U46" i="35"/>
  <c r="V46" i="35" s="1"/>
  <c r="W46" i="35" s="1"/>
  <c r="X46" i="35" s="1"/>
  <c r="V13" i="35"/>
  <c r="W13" i="35" s="1"/>
  <c r="X13" i="35" s="1"/>
  <c r="W12" i="35"/>
  <c r="X12" i="35" s="1"/>
  <c r="AE23" i="35"/>
  <c r="AF23" i="35" s="1"/>
  <c r="P41" i="35"/>
  <c r="BT32" i="35"/>
  <c r="AF59" i="35"/>
  <c r="BE34" i="35"/>
  <c r="AX34" i="35" s="1"/>
  <c r="AW13" i="35"/>
  <c r="AW61" i="35"/>
  <c r="AI66" i="35"/>
  <c r="AJ66" i="35" s="1"/>
  <c r="X61" i="35"/>
  <c r="AB6" i="35"/>
  <c r="AC6" i="35" s="1"/>
  <c r="AD6" i="35" s="1"/>
  <c r="AE6" i="35" s="1"/>
  <c r="AF6" i="35" s="1"/>
  <c r="AI33" i="35"/>
  <c r="AJ33" i="35" s="1"/>
  <c r="AK67" i="35"/>
  <c r="AL67" i="35" s="1"/>
  <c r="AC42" i="35"/>
  <c r="BA15" i="35"/>
  <c r="AC58" i="35"/>
  <c r="AD58" i="35" s="1"/>
  <c r="AE58" i="35" s="1"/>
  <c r="AF58" i="35" s="1"/>
  <c r="AK51" i="35"/>
  <c r="AL51" i="35" s="1"/>
  <c r="AM51" i="35" s="1"/>
  <c r="AN51" i="35" s="1"/>
  <c r="AB87" i="35"/>
  <c r="AC87" i="35" s="1"/>
  <c r="AD87" i="35" s="1"/>
  <c r="AD27" i="35"/>
  <c r="AE27" i="35" s="1"/>
  <c r="AF27" i="35" s="1"/>
  <c r="AP28" i="35"/>
  <c r="BC52" i="35"/>
  <c r="BD52" i="35" s="1"/>
  <c r="BE28" i="35"/>
  <c r="AH13" i="35"/>
  <c r="AV15" i="35"/>
  <c r="AA13" i="35"/>
  <c r="AC8" i="35"/>
  <c r="AD8" i="35" s="1"/>
  <c r="AM60" i="35"/>
  <c r="AN60" i="35" s="1"/>
  <c r="AK23" i="35"/>
  <c r="AL23" i="35" s="1"/>
  <c r="AM23" i="35" s="1"/>
  <c r="AN23" i="35" s="1"/>
  <c r="AM56" i="35"/>
  <c r="AN56" i="35" s="1"/>
  <c r="AI85" i="35"/>
  <c r="AE33" i="35"/>
  <c r="AF33" i="35" s="1"/>
  <c r="AC11" i="35"/>
  <c r="AD11" i="35" s="1"/>
  <c r="AC45" i="35"/>
  <c r="AD31" i="35"/>
  <c r="AE31" i="35" s="1"/>
  <c r="AF31" i="35" s="1"/>
  <c r="W48" i="35"/>
  <c r="X48" i="35" s="1"/>
  <c r="AC85" i="35"/>
  <c r="AD85" i="35" s="1"/>
  <c r="AP18" i="35"/>
  <c r="BE85" i="35"/>
  <c r="BE62" i="35"/>
  <c r="BE42" i="35"/>
  <c r="BE65" i="35"/>
  <c r="BN56" i="35"/>
  <c r="AP33" i="35"/>
  <c r="AX20" i="35"/>
  <c r="AW47" i="35"/>
  <c r="AW83" i="35"/>
  <c r="BE39" i="35"/>
  <c r="BE14" i="35"/>
  <c r="AP55" i="35"/>
  <c r="H50" i="282" s="1"/>
  <c r="AW64" i="35"/>
  <c r="BM59" i="35"/>
  <c r="AP85" i="35"/>
  <c r="BE88" i="35"/>
  <c r="AP30" i="35"/>
  <c r="BE31" i="35"/>
  <c r="BE45" i="35"/>
  <c r="BE11" i="35"/>
  <c r="AP42" i="35"/>
  <c r="BE58" i="35"/>
  <c r="BM40" i="35"/>
  <c r="BM20" i="35"/>
  <c r="AH47" i="35"/>
  <c r="G50" i="274" s="1"/>
  <c r="AH83" i="35"/>
  <c r="AP39" i="35"/>
  <c r="AP14" i="35"/>
  <c r="H50" i="241" s="1"/>
  <c r="BE24" i="35"/>
  <c r="AH64" i="35"/>
  <c r="AP86" i="35"/>
  <c r="AX23" i="35"/>
  <c r="AX59" i="35"/>
  <c r="AW48" i="35"/>
  <c r="BE66" i="35"/>
  <c r="AP88" i="35"/>
  <c r="H50" i="315" s="1"/>
  <c r="BE37" i="35"/>
  <c r="BE44" i="35"/>
  <c r="AP46" i="35"/>
  <c r="AP31" i="35"/>
  <c r="H50" i="258" s="1"/>
  <c r="AP45" i="35"/>
  <c r="H50" i="272" s="1"/>
  <c r="AP11" i="35"/>
  <c r="H50" i="237" s="1"/>
  <c r="BE87" i="35"/>
  <c r="BE25" i="35"/>
  <c r="AP58" i="35"/>
  <c r="AH10" i="35"/>
  <c r="G50" i="236" s="1"/>
  <c r="AH26" i="35"/>
  <c r="G50" i="253" s="1"/>
  <c r="AP50" i="35"/>
  <c r="AX67" i="35"/>
  <c r="I50" i="294" s="1"/>
  <c r="AX40" i="35"/>
  <c r="AD84" i="35"/>
  <c r="AE84" i="35" s="1"/>
  <c r="CC15" i="35"/>
  <c r="BE38" i="35"/>
  <c r="BM21" i="35"/>
  <c r="AP24" i="35"/>
  <c r="BE8" i="35"/>
  <c r="BE6" i="35"/>
  <c r="BE27" i="35"/>
  <c r="AP54" i="35"/>
  <c r="BE41" i="35"/>
  <c r="T3" i="35"/>
  <c r="U3" i="35" s="1"/>
  <c r="X17" i="35"/>
  <c r="AK21" i="35"/>
  <c r="AQ59" i="35"/>
  <c r="W42" i="35"/>
  <c r="X42" i="35" s="1"/>
  <c r="W22" i="35"/>
  <c r="X22" i="35" s="1"/>
  <c r="AA48" i="35"/>
  <c r="AB48" i="35" s="1"/>
  <c r="AQ63" i="35"/>
  <c r="AR63" i="35" s="1"/>
  <c r="N56" i="35"/>
  <c r="O56" i="35" s="1"/>
  <c r="AA3" i="35"/>
  <c r="AB3" i="35" s="1"/>
  <c r="AC3" i="35" s="1"/>
  <c r="AD3" i="35" s="1"/>
  <c r="AK35" i="35"/>
  <c r="AL35" i="35" s="1"/>
  <c r="AV19" i="35"/>
  <c r="AD18" i="35"/>
  <c r="AE18" i="35" s="1"/>
  <c r="AF18" i="35" s="1"/>
  <c r="AE66" i="35"/>
  <c r="AF66" i="35" s="1"/>
  <c r="AE51" i="35"/>
  <c r="AF51" i="35" s="1"/>
  <c r="P27" i="35"/>
  <c r="O3" i="35"/>
  <c r="P3" i="35" s="1"/>
  <c r="AB14" i="35"/>
  <c r="P37" i="35"/>
  <c r="AC67" i="35"/>
  <c r="AD67" i="35" s="1"/>
  <c r="AF32" i="35"/>
  <c r="X38" i="35"/>
  <c r="AI65" i="35"/>
  <c r="AJ65" i="35" s="1"/>
  <c r="X41" i="35"/>
  <c r="AQ23" i="35"/>
  <c r="AR23" i="35" s="1"/>
  <c r="AE56" i="35"/>
  <c r="AF56" i="35" s="1"/>
  <c r="AD20" i="35"/>
  <c r="V84" i="35"/>
  <c r="W84" i="35" s="1"/>
  <c r="AK20" i="35"/>
  <c r="AL20" i="35" s="1"/>
  <c r="AB88" i="35"/>
  <c r="W50" i="35"/>
  <c r="X50" i="35" s="1"/>
  <c r="AK15" i="35"/>
  <c r="AL15" i="35" s="1"/>
  <c r="AM15" i="35" s="1"/>
  <c r="AN15" i="35" s="1"/>
  <c r="AI88" i="35"/>
  <c r="AJ88" i="35" s="1"/>
  <c r="AI11" i="35"/>
  <c r="AJ11" i="35" s="1"/>
  <c r="AI39" i="35"/>
  <c r="AD46" i="35"/>
  <c r="V10" i="35"/>
  <c r="W10" i="35" s="1"/>
  <c r="X10" i="35" s="1"/>
  <c r="AC38" i="35"/>
  <c r="V51" i="35"/>
  <c r="W51" i="35" s="1"/>
  <c r="X51" i="35" s="1"/>
  <c r="W23" i="35"/>
  <c r="X23" i="35" s="1"/>
  <c r="AB30" i="35"/>
  <c r="AC30" i="35" s="1"/>
  <c r="AD30" i="35" s="1"/>
  <c r="AD50" i="35"/>
  <c r="U64" i="35"/>
  <c r="V64" i="35" s="1"/>
  <c r="AM84" i="35"/>
  <c r="AN84" i="35" s="1"/>
  <c r="AH3" i="35"/>
  <c r="G50" i="229" s="1"/>
  <c r="BE30" i="35"/>
  <c r="BF19" i="35"/>
  <c r="J50" i="246" s="1"/>
  <c r="BM51" i="35"/>
  <c r="M25" i="35"/>
  <c r="AB22" i="35"/>
  <c r="BS16" i="35"/>
  <c r="BT16" i="35" s="1"/>
  <c r="M87" i="35"/>
  <c r="AX84" i="35"/>
  <c r="I50" i="311" s="1"/>
  <c r="AP22" i="35"/>
  <c r="AX12" i="35"/>
  <c r="I50" i="239" s="1"/>
  <c r="AX63" i="35"/>
  <c r="AX35" i="35"/>
  <c r="I50" i="262" s="1"/>
  <c r="BE86" i="35"/>
  <c r="BM23" i="35"/>
  <c r="AW3" i="35"/>
  <c r="AP62" i="35"/>
  <c r="H50" i="289" s="1"/>
  <c r="BE46" i="35"/>
  <c r="AX51" i="35"/>
  <c r="I50" i="278" s="1"/>
  <c r="AP65" i="35"/>
  <c r="AW10" i="35"/>
  <c r="AW26" i="35"/>
  <c r="BE50" i="35"/>
  <c r="BM67" i="35"/>
  <c r="BE18" i="35"/>
  <c r="AH48" i="35"/>
  <c r="G50" i="275" s="1"/>
  <c r="AP66" i="35"/>
  <c r="H50" i="293" s="1"/>
  <c r="AP37" i="35"/>
  <c r="AP44" i="35"/>
  <c r="H50" i="271" s="1"/>
  <c r="BU19" i="35"/>
  <c r="AP87" i="35"/>
  <c r="AC37" i="35"/>
  <c r="AD37" i="35" s="1"/>
  <c r="AE37" i="35" s="1"/>
  <c r="AF37" i="35" s="1"/>
  <c r="AP25" i="35"/>
  <c r="CC56" i="35"/>
  <c r="BM84" i="35"/>
  <c r="BE22" i="35"/>
  <c r="BE33" i="35"/>
  <c r="BM12" i="35"/>
  <c r="BN15" i="35"/>
  <c r="K50" i="242" s="1"/>
  <c r="AP38" i="35"/>
  <c r="AX21" i="35"/>
  <c r="I50" i="248" s="1"/>
  <c r="BM63" i="35"/>
  <c r="BM35" i="35"/>
  <c r="BE55" i="35"/>
  <c r="AP8" i="35"/>
  <c r="AP6" i="35"/>
  <c r="AP27" i="35"/>
  <c r="H50" i="254" s="1"/>
  <c r="BE54" i="35"/>
  <c r="AP41" i="35"/>
  <c r="H50" i="268" s="1"/>
  <c r="U27" i="35"/>
  <c r="AB55" i="35"/>
  <c r="AC55" i="35" s="1"/>
  <c r="AK59" i="35"/>
  <c r="AL59" i="35" s="1"/>
  <c r="W18" i="35"/>
  <c r="X18" i="35" s="1"/>
  <c r="AC54" i="35"/>
  <c r="AD54" i="35" s="1"/>
  <c r="AZ56" i="35"/>
  <c r="X8" i="35"/>
  <c r="U68" i="35"/>
  <c r="V68" i="35" s="1"/>
  <c r="AQ12" i="35"/>
  <c r="AF12" i="35"/>
  <c r="AK63" i="35"/>
  <c r="AK28" i="35"/>
  <c r="AL28" i="35" s="1"/>
  <c r="AM28" i="35" s="1"/>
  <c r="AN28" i="35" s="1"/>
  <c r="X87" i="35"/>
  <c r="U19" i="35"/>
  <c r="U14" i="35"/>
  <c r="V14" i="35" s="1"/>
  <c r="AK40" i="35"/>
  <c r="AL40" i="35" s="1"/>
  <c r="W26" i="35"/>
  <c r="X26" i="35" s="1"/>
  <c r="CI52" i="35"/>
  <c r="AJ87" i="35" l="1"/>
  <c r="AK87" i="35" s="1"/>
  <c r="AL87" i="35" s="1"/>
  <c r="AM87" i="35" s="1"/>
  <c r="AN87" i="35" s="1"/>
  <c r="D124" i="314"/>
  <c r="D132" i="252"/>
  <c r="AJ25" i="35"/>
  <c r="AJ95" i="35" s="1"/>
  <c r="AI95" i="35"/>
  <c r="AC25" i="35"/>
  <c r="AB95" i="35"/>
  <c r="U95" i="35"/>
  <c r="V95" i="35"/>
  <c r="BE95" i="35"/>
  <c r="X25" i="35"/>
  <c r="X95" i="35" s="1"/>
  <c r="W95" i="35"/>
  <c r="D134" i="252"/>
  <c r="N25" i="35"/>
  <c r="N95" i="35" s="1"/>
  <c r="M95" i="35"/>
  <c r="AP95" i="35"/>
  <c r="AA95" i="35"/>
  <c r="DF56" i="35"/>
  <c r="G133" i="283" s="1"/>
  <c r="DF7" i="35"/>
  <c r="G133" i="233" s="1"/>
  <c r="CP56" i="35"/>
  <c r="G131" i="283" s="1"/>
  <c r="CP82" i="35"/>
  <c r="G131" i="309" s="1"/>
  <c r="CJ57" i="35"/>
  <c r="I130" i="284" s="1"/>
  <c r="J130" i="284" s="1"/>
  <c r="CX16" i="35"/>
  <c r="CY16" i="35" s="1"/>
  <c r="H132" i="243" s="1"/>
  <c r="CI29" i="35"/>
  <c r="CJ29" i="35" s="1"/>
  <c r="I130" i="256" s="1"/>
  <c r="CP17" i="35"/>
  <c r="G131" i="244" s="1"/>
  <c r="CY52" i="35"/>
  <c r="H132" i="279" s="1"/>
  <c r="CP53" i="35"/>
  <c r="G131" i="280" s="1"/>
  <c r="DF32" i="35"/>
  <c r="G133" i="259" s="1"/>
  <c r="CP49" i="35"/>
  <c r="CQ49" i="35" s="1"/>
  <c r="CP16" i="35"/>
  <c r="G131" i="243" s="1"/>
  <c r="F134" i="267"/>
  <c r="CP29" i="35"/>
  <c r="G131" i="256" s="1"/>
  <c r="DF57" i="35"/>
  <c r="G133" i="284" s="1"/>
  <c r="F132" i="242"/>
  <c r="CP60" i="35"/>
  <c r="G131" i="287" s="1"/>
  <c r="DG52" i="35"/>
  <c r="DH52" i="35" s="1"/>
  <c r="I133" i="279" s="1"/>
  <c r="DN60" i="35"/>
  <c r="G134" i="287" s="1"/>
  <c r="CN55" i="35"/>
  <c r="CO55" i="35" s="1"/>
  <c r="F131" i="282" s="1"/>
  <c r="DM51" i="35"/>
  <c r="F134" i="278" s="1"/>
  <c r="CV54" i="35"/>
  <c r="E132" i="281" s="1"/>
  <c r="CP40" i="35"/>
  <c r="G131" i="267" s="1"/>
  <c r="F131" i="259"/>
  <c r="H130" i="259"/>
  <c r="J130" i="259" s="1"/>
  <c r="DF49" i="35"/>
  <c r="DG49" i="35" s="1"/>
  <c r="H133" i="276" s="1"/>
  <c r="CX56" i="35"/>
  <c r="G132" i="283" s="1"/>
  <c r="E132" i="286"/>
  <c r="CN66" i="35"/>
  <c r="E131" i="293" s="1"/>
  <c r="F134" i="256"/>
  <c r="CO51" i="35"/>
  <c r="F131" i="278" s="1"/>
  <c r="DN56" i="35"/>
  <c r="G134" i="283" s="1"/>
  <c r="DF53" i="35"/>
  <c r="G133" i="280" s="1"/>
  <c r="DN53" i="35"/>
  <c r="G134" i="280" s="1"/>
  <c r="CO84" i="35"/>
  <c r="CP84" i="35" s="1"/>
  <c r="G131" i="311" s="1"/>
  <c r="CW63" i="35"/>
  <c r="F132" i="290" s="1"/>
  <c r="DO49" i="35"/>
  <c r="H134" i="276" s="1"/>
  <c r="DL58" i="35"/>
  <c r="E134" i="285" s="1"/>
  <c r="CY60" i="35"/>
  <c r="H132" i="287" s="1"/>
  <c r="E132" i="311"/>
  <c r="CO67" i="35"/>
  <c r="F131" i="294" s="1"/>
  <c r="DE84" i="35"/>
  <c r="F133" i="311" s="1"/>
  <c r="CP35" i="35"/>
  <c r="G131" i="262" s="1"/>
  <c r="DN23" i="35"/>
  <c r="G134" i="250" s="1"/>
  <c r="CX19" i="35"/>
  <c r="CY19" i="35" s="1"/>
  <c r="CY32" i="35"/>
  <c r="H132" i="259" s="1"/>
  <c r="DF16" i="35"/>
  <c r="G133" i="243" s="1"/>
  <c r="DN19" i="35"/>
  <c r="G134" i="246" s="1"/>
  <c r="W83" i="35"/>
  <c r="X83" i="35" s="1"/>
  <c r="DM63" i="35"/>
  <c r="F134" i="290" s="1"/>
  <c r="CX84" i="35"/>
  <c r="CY84" i="35" s="1"/>
  <c r="H132" i="311" s="1"/>
  <c r="DF15" i="35"/>
  <c r="DG15" i="35" s="1"/>
  <c r="H133" i="242" s="1"/>
  <c r="DO32" i="35"/>
  <c r="DM67" i="35"/>
  <c r="F134" i="294" s="1"/>
  <c r="AD62" i="35"/>
  <c r="AE62" i="35" s="1"/>
  <c r="AF62" i="35" s="1"/>
  <c r="DF29" i="35"/>
  <c r="G133" i="256" s="1"/>
  <c r="CW37" i="35"/>
  <c r="F132" i="264" s="1"/>
  <c r="CV8" i="35"/>
  <c r="E132" i="234" s="1"/>
  <c r="DO29" i="35"/>
  <c r="H134" i="256" s="1"/>
  <c r="DD66" i="35"/>
  <c r="E133" i="293" s="1"/>
  <c r="DE27" i="35"/>
  <c r="F133" i="254" s="1"/>
  <c r="CQ32" i="35"/>
  <c r="H131" i="259" s="1"/>
  <c r="DL11" i="35"/>
  <c r="DM11" i="35" s="1"/>
  <c r="F134" i="237" s="1"/>
  <c r="DN57" i="35"/>
  <c r="AC24" i="35"/>
  <c r="AD24" i="35" s="1"/>
  <c r="AE24" i="35" s="1"/>
  <c r="CX29" i="35"/>
  <c r="G132" i="256" s="1"/>
  <c r="CX49" i="35"/>
  <c r="AD28" i="35"/>
  <c r="AE28" i="35" s="1"/>
  <c r="DL65" i="35"/>
  <c r="E134" i="292" s="1"/>
  <c r="CV88" i="35"/>
  <c r="E132" i="315" s="1"/>
  <c r="CN85" i="35"/>
  <c r="E131" i="312" s="1"/>
  <c r="CX17" i="35"/>
  <c r="G132" i="244" s="1"/>
  <c r="CO9" i="35"/>
  <c r="F131" i="235" s="1"/>
  <c r="CY82" i="35"/>
  <c r="H132" i="309" s="1"/>
  <c r="DL85" i="35"/>
  <c r="E134" i="312" s="1"/>
  <c r="AC10" i="35"/>
  <c r="AD10" i="35" s="1"/>
  <c r="AE10" i="35" s="1"/>
  <c r="DD54" i="35"/>
  <c r="E133" i="281" s="1"/>
  <c r="DN15" i="35"/>
  <c r="G134" i="242" s="1"/>
  <c r="CV66" i="35"/>
  <c r="E132" i="293" s="1"/>
  <c r="DL25" i="35"/>
  <c r="CX35" i="35"/>
  <c r="G132" i="262" s="1"/>
  <c r="DD8" i="35"/>
  <c r="DE8" i="35" s="1"/>
  <c r="DE12" i="35"/>
  <c r="DF12" i="35" s="1"/>
  <c r="DL50" i="35"/>
  <c r="DM50" i="35" s="1"/>
  <c r="F134" i="277" s="1"/>
  <c r="CW51" i="35"/>
  <c r="F132" i="278" s="1"/>
  <c r="DO52" i="35"/>
  <c r="H134" i="279" s="1"/>
  <c r="DE59" i="35"/>
  <c r="F133" i="286" s="1"/>
  <c r="F132" i="284"/>
  <c r="CX57" i="35"/>
  <c r="DD45" i="35"/>
  <c r="E133" i="272" s="1"/>
  <c r="CW12" i="35"/>
  <c r="F132" i="239" s="1"/>
  <c r="J130" i="243"/>
  <c r="CJ60" i="35"/>
  <c r="I130" i="287" s="1"/>
  <c r="J130" i="287" s="1"/>
  <c r="CJ52" i="35"/>
  <c r="I130" i="279" s="1"/>
  <c r="H130" i="279"/>
  <c r="AQ58" i="35"/>
  <c r="AR58" i="35" s="1"/>
  <c r="H50" i="285"/>
  <c r="AY59" i="35"/>
  <c r="AZ59" i="35" s="1"/>
  <c r="BA59" i="35" s="1"/>
  <c r="I50" i="286"/>
  <c r="AQ42" i="35"/>
  <c r="AR42" i="35" s="1"/>
  <c r="H50" i="269"/>
  <c r="AQ30" i="35"/>
  <c r="AR30" i="35" s="1"/>
  <c r="AS30" i="35" s="1"/>
  <c r="H50" i="257"/>
  <c r="DL66" i="35"/>
  <c r="D134" i="293"/>
  <c r="O50" i="275"/>
  <c r="CU83" i="35"/>
  <c r="D132" i="310" s="1"/>
  <c r="O50" i="310"/>
  <c r="CU64" i="35"/>
  <c r="D132" i="291" s="1"/>
  <c r="O50" i="291"/>
  <c r="P50" i="248"/>
  <c r="O50" i="251"/>
  <c r="P50" i="291"/>
  <c r="P50" i="288"/>
  <c r="O50" i="253"/>
  <c r="CU86" i="35"/>
  <c r="D132" i="313" s="1"/>
  <c r="O50" i="313"/>
  <c r="CU62" i="35"/>
  <c r="D132" i="289" s="1"/>
  <c r="O50" i="289"/>
  <c r="DK10" i="35"/>
  <c r="Q50" i="236"/>
  <c r="DC68" i="35"/>
  <c r="D133" i="295" s="1"/>
  <c r="P50" i="295"/>
  <c r="DC44" i="35"/>
  <c r="D133" i="271" s="1"/>
  <c r="P50" i="271"/>
  <c r="N50" i="288"/>
  <c r="CJ82" i="35"/>
  <c r="I130" i="309" s="1"/>
  <c r="H130" i="309"/>
  <c r="H130" i="316"/>
  <c r="CJ89" i="35"/>
  <c r="I130" i="316" s="1"/>
  <c r="G134" i="309"/>
  <c r="CX59" i="35"/>
  <c r="F132" i="286"/>
  <c r="DL38" i="35"/>
  <c r="E134" i="265" s="1"/>
  <c r="D134" i="265"/>
  <c r="DD39" i="35"/>
  <c r="E133" i="266" s="1"/>
  <c r="D133" i="266"/>
  <c r="AB21" i="35"/>
  <c r="AC21" i="35" s="1"/>
  <c r="AD21" i="35" s="1"/>
  <c r="AE21" i="35" s="1"/>
  <c r="AF21" i="35" s="1"/>
  <c r="AB86" i="35"/>
  <c r="AC86" i="35" s="1"/>
  <c r="AD86" i="35" s="1"/>
  <c r="AE86" i="35" s="1"/>
  <c r="CV6" i="35"/>
  <c r="E132" i="232" s="1"/>
  <c r="D132" i="232"/>
  <c r="AY40" i="35"/>
  <c r="AZ40" i="35" s="1"/>
  <c r="BA40" i="35" s="1"/>
  <c r="I50" i="267"/>
  <c r="O50" i="236"/>
  <c r="CU61" i="35"/>
  <c r="D132" i="288" s="1"/>
  <c r="O50" i="288"/>
  <c r="CM86" i="35"/>
  <c r="D131" i="313" s="1"/>
  <c r="N50" i="313"/>
  <c r="P50" i="236"/>
  <c r="CU68" i="35"/>
  <c r="D132" i="295" s="1"/>
  <c r="O50" i="295"/>
  <c r="N50" i="230"/>
  <c r="DC48" i="35"/>
  <c r="D133" i="275" s="1"/>
  <c r="P50" i="275"/>
  <c r="DK47" i="35"/>
  <c r="D134" i="274" s="1"/>
  <c r="Q50" i="274"/>
  <c r="CP57" i="35"/>
  <c r="G131" i="284" s="1"/>
  <c r="F131" i="284"/>
  <c r="O50" i="255"/>
  <c r="O50" i="240"/>
  <c r="DC62" i="35"/>
  <c r="D133" i="289" s="1"/>
  <c r="P50" i="289"/>
  <c r="DF82" i="35"/>
  <c r="G133" i="309" s="1"/>
  <c r="F133" i="309"/>
  <c r="CY15" i="35"/>
  <c r="G132" i="242"/>
  <c r="DN35" i="35"/>
  <c r="F134" i="262"/>
  <c r="AQ38" i="35"/>
  <c r="AR38" i="35" s="1"/>
  <c r="AS38" i="35" s="1"/>
  <c r="H50" i="265"/>
  <c r="AQ37" i="35"/>
  <c r="AR37" i="35" s="1"/>
  <c r="AS37" i="35" s="1"/>
  <c r="H50" i="264"/>
  <c r="AQ65" i="35"/>
  <c r="AR65" i="35" s="1"/>
  <c r="H50" i="292"/>
  <c r="AQ54" i="35"/>
  <c r="AR54" i="35" s="1"/>
  <c r="AS54" i="35" s="1"/>
  <c r="AT54" i="35" s="1"/>
  <c r="H50" i="281"/>
  <c r="AQ24" i="35"/>
  <c r="AR24" i="35" s="1"/>
  <c r="H50" i="251"/>
  <c r="AQ86" i="35"/>
  <c r="AR86" i="35" s="1"/>
  <c r="AS86" i="35" s="1"/>
  <c r="AT86" i="35" s="1"/>
  <c r="H50" i="313"/>
  <c r="AQ39" i="35"/>
  <c r="AR39" i="35" s="1"/>
  <c r="H50" i="266"/>
  <c r="AQ85" i="35"/>
  <c r="AR85" i="35" s="1"/>
  <c r="AS85" i="35" s="1"/>
  <c r="H50" i="312"/>
  <c r="AQ18" i="35"/>
  <c r="AR18" i="35" s="1"/>
  <c r="AS18" i="35" s="1"/>
  <c r="H50" i="245"/>
  <c r="AI13" i="35"/>
  <c r="AJ13" i="35" s="1"/>
  <c r="AK13" i="35" s="1"/>
  <c r="AL13" i="35" s="1"/>
  <c r="G50" i="240"/>
  <c r="AY34" i="35"/>
  <c r="AZ34" i="35" s="1"/>
  <c r="BA34" i="35" s="1"/>
  <c r="I50" i="261"/>
  <c r="CN6" i="35"/>
  <c r="E131" i="232" s="1"/>
  <c r="D131" i="232"/>
  <c r="CV50" i="35"/>
  <c r="E132" i="277" s="1"/>
  <c r="D132" i="277"/>
  <c r="DD31" i="35"/>
  <c r="D133" i="258"/>
  <c r="CN18" i="35"/>
  <c r="E131" i="245" s="1"/>
  <c r="D131" i="245"/>
  <c r="DL27" i="35"/>
  <c r="E134" i="254" s="1"/>
  <c r="D134" i="254"/>
  <c r="DK62" i="35"/>
  <c r="D134" i="289" s="1"/>
  <c r="Q50" i="289"/>
  <c r="CM68" i="35"/>
  <c r="D131" i="295" s="1"/>
  <c r="N50" i="295"/>
  <c r="Q50" i="230"/>
  <c r="CM62" i="35"/>
  <c r="D131" i="289" s="1"/>
  <c r="N50" i="289"/>
  <c r="O50" i="274"/>
  <c r="N50" i="255"/>
  <c r="N50" i="240"/>
  <c r="DK83" i="35"/>
  <c r="D134" i="310" s="1"/>
  <c r="Q50" i="310"/>
  <c r="Q50" i="229"/>
  <c r="CM21" i="35"/>
  <c r="N50" i="248"/>
  <c r="Q50" i="251"/>
  <c r="N50" i="275"/>
  <c r="N50" i="274"/>
  <c r="N50" i="229"/>
  <c r="P50" i="255"/>
  <c r="N50" i="251"/>
  <c r="CO30" i="35"/>
  <c r="F131" i="257" s="1"/>
  <c r="E131" i="257"/>
  <c r="DD50" i="35"/>
  <c r="D133" i="277"/>
  <c r="DD42" i="35"/>
  <c r="D133" i="269"/>
  <c r="CO50" i="35"/>
  <c r="E131" i="277"/>
  <c r="DM55" i="35"/>
  <c r="E134" i="282"/>
  <c r="F131" i="246"/>
  <c r="CP19" i="35"/>
  <c r="E134" i="235"/>
  <c r="DM9" i="35"/>
  <c r="CI17" i="35"/>
  <c r="G130" i="244"/>
  <c r="DL6" i="35"/>
  <c r="D134" i="232"/>
  <c r="DF60" i="35"/>
  <c r="G133" i="287" s="1"/>
  <c r="F133" i="287"/>
  <c r="DD25" i="35"/>
  <c r="D133" i="252"/>
  <c r="DG35" i="35"/>
  <c r="G133" i="262"/>
  <c r="CJ49" i="35"/>
  <c r="I130" i="276" s="1"/>
  <c r="H130" i="276"/>
  <c r="DD58" i="35"/>
  <c r="D133" i="285"/>
  <c r="DO40" i="35"/>
  <c r="G134" i="267"/>
  <c r="CY53" i="35"/>
  <c r="AS84" i="35"/>
  <c r="AT84" i="35" s="1"/>
  <c r="CN54" i="35"/>
  <c r="E131" i="281" s="1"/>
  <c r="CV45" i="35"/>
  <c r="E132" i="272" s="1"/>
  <c r="DM41" i="35"/>
  <c r="CO59" i="35"/>
  <c r="DL54" i="35"/>
  <c r="E134" i="281" s="1"/>
  <c r="DN17" i="35"/>
  <c r="CM61" i="35"/>
  <c r="D131" i="288" s="1"/>
  <c r="CP15" i="35"/>
  <c r="G131" i="242" s="1"/>
  <c r="AK27" i="35"/>
  <c r="AL27" i="35" s="1"/>
  <c r="AM27" i="35" s="1"/>
  <c r="AN27" i="35" s="1"/>
  <c r="BA7" i="35"/>
  <c r="BB7" i="35" s="1"/>
  <c r="BC7" i="35" s="1"/>
  <c r="DM59" i="35"/>
  <c r="F134" i="286" s="1"/>
  <c r="DD85" i="35"/>
  <c r="E133" i="312" s="1"/>
  <c r="DE67" i="35"/>
  <c r="DL42" i="35"/>
  <c r="CV42" i="35"/>
  <c r="E132" i="269" s="1"/>
  <c r="DD65" i="35"/>
  <c r="CV65" i="35"/>
  <c r="E132" i="292" s="1"/>
  <c r="DE37" i="35"/>
  <c r="DG19" i="35"/>
  <c r="DC61" i="35"/>
  <c r="D133" i="288" s="1"/>
  <c r="DN16" i="35"/>
  <c r="DO82" i="35"/>
  <c r="H134" i="309" s="1"/>
  <c r="AQ6" i="35"/>
  <c r="AR6" i="35" s="1"/>
  <c r="H50" i="232"/>
  <c r="AQ33" i="35"/>
  <c r="AR33" i="35" s="1"/>
  <c r="AS33" i="35" s="1"/>
  <c r="AT33" i="35" s="1"/>
  <c r="AU33" i="35" s="1"/>
  <c r="H50" i="260"/>
  <c r="DL20" i="35"/>
  <c r="E134" i="247" s="1"/>
  <c r="D134" i="247"/>
  <c r="DM45" i="35"/>
  <c r="F134" i="272" s="1"/>
  <c r="E134" i="272"/>
  <c r="CN8" i="35"/>
  <c r="E131" i="234" s="1"/>
  <c r="D131" i="234"/>
  <c r="CN87" i="35"/>
  <c r="D131" i="314"/>
  <c r="CN37" i="35"/>
  <c r="E131" i="264" s="1"/>
  <c r="D131" i="264"/>
  <c r="DE9" i="35"/>
  <c r="F133" i="235" s="1"/>
  <c r="E133" i="235"/>
  <c r="CN58" i="35"/>
  <c r="E131" i="285" s="1"/>
  <c r="D131" i="285"/>
  <c r="O50" i="230"/>
  <c r="CM10" i="35"/>
  <c r="N50" i="236"/>
  <c r="P50" i="230"/>
  <c r="CO12" i="35"/>
  <c r="F131" i="239" s="1"/>
  <c r="E131" i="239"/>
  <c r="DL14" i="35"/>
  <c r="E134" i="241" s="1"/>
  <c r="D134" i="241"/>
  <c r="CP52" i="35"/>
  <c r="G131" i="279" s="1"/>
  <c r="F131" i="279"/>
  <c r="AQ87" i="35"/>
  <c r="AR87" i="35" s="1"/>
  <c r="AS87" i="35" s="1"/>
  <c r="H50" i="314"/>
  <c r="AY63" i="35"/>
  <c r="AZ63" i="35" s="1"/>
  <c r="BA63" i="35" s="1"/>
  <c r="BB63" i="35" s="1"/>
  <c r="I50" i="290"/>
  <c r="AI64" i="35"/>
  <c r="AJ64" i="35" s="1"/>
  <c r="G50" i="291"/>
  <c r="AI83" i="35"/>
  <c r="AJ83" i="35" s="1"/>
  <c r="AK83" i="35" s="1"/>
  <c r="G50" i="310"/>
  <c r="AY20" i="35"/>
  <c r="AZ20" i="35" s="1"/>
  <c r="BA20" i="35" s="1"/>
  <c r="I50" i="247"/>
  <c r="DD6" i="35"/>
  <c r="E133" i="232" s="1"/>
  <c r="D133" i="232"/>
  <c r="DL31" i="35"/>
  <c r="E134" i="258" s="1"/>
  <c r="D134" i="258"/>
  <c r="DE23" i="35"/>
  <c r="F133" i="250" s="1"/>
  <c r="E133" i="250"/>
  <c r="DD14" i="35"/>
  <c r="E133" i="241" s="1"/>
  <c r="D133" i="241"/>
  <c r="O50" i="271"/>
  <c r="CM26" i="35"/>
  <c r="N50" i="253"/>
  <c r="Q50" i="271"/>
  <c r="DK68" i="35"/>
  <c r="D134" i="295" s="1"/>
  <c r="Q50" i="295"/>
  <c r="P50" i="240"/>
  <c r="E133" i="278"/>
  <c r="DE51" i="35"/>
  <c r="CP7" i="35"/>
  <c r="G131" i="233" s="1"/>
  <c r="F131" i="233"/>
  <c r="CN25" i="35"/>
  <c r="D131" i="252"/>
  <c r="CV38" i="35"/>
  <c r="E132" i="265" s="1"/>
  <c r="D132" i="265"/>
  <c r="AQ8" i="35"/>
  <c r="AR8" i="35" s="1"/>
  <c r="H50" i="234"/>
  <c r="AQ25" i="35"/>
  <c r="H50" i="252"/>
  <c r="AQ22" i="35"/>
  <c r="AR22" i="35" s="1"/>
  <c r="AS22" i="35" s="1"/>
  <c r="AT22" i="35" s="1"/>
  <c r="H50" i="249"/>
  <c r="AQ50" i="35"/>
  <c r="AR50" i="35" s="1"/>
  <c r="AS50" i="35" s="1"/>
  <c r="H50" i="277"/>
  <c r="AY23" i="35"/>
  <c r="AZ23" i="35" s="1"/>
  <c r="BA23" i="35" s="1"/>
  <c r="I50" i="250"/>
  <c r="BO56" i="35"/>
  <c r="BP56" i="35" s="1"/>
  <c r="BQ56" i="35" s="1"/>
  <c r="K50" i="283"/>
  <c r="AQ28" i="35"/>
  <c r="AR28" i="35" s="1"/>
  <c r="H50" i="255"/>
  <c r="AY9" i="35"/>
  <c r="AZ9" i="35" s="1"/>
  <c r="BA9" i="35" s="1"/>
  <c r="BB9" i="35" s="1"/>
  <c r="I50" i="235"/>
  <c r="CN41" i="35"/>
  <c r="E131" i="268" s="1"/>
  <c r="D131" i="268"/>
  <c r="CN22" i="35"/>
  <c r="E131" i="249" s="1"/>
  <c r="D131" i="249"/>
  <c r="DL34" i="35"/>
  <c r="D134" i="261"/>
  <c r="CV27" i="35"/>
  <c r="E132" i="254" s="1"/>
  <c r="D132" i="254"/>
  <c r="CV31" i="35"/>
  <c r="E132" i="258" s="1"/>
  <c r="D132" i="258"/>
  <c r="DM12" i="35"/>
  <c r="F134" i="239" s="1"/>
  <c r="E134" i="239"/>
  <c r="P50" i="274"/>
  <c r="O50" i="229"/>
  <c r="Q50" i="255"/>
  <c r="DK13" i="35"/>
  <c r="D134" i="240" s="1"/>
  <c r="Q50" i="240"/>
  <c r="Q50" i="275"/>
  <c r="DC83" i="35"/>
  <c r="D133" i="310" s="1"/>
  <c r="P50" i="310"/>
  <c r="P50" i="229"/>
  <c r="Q50" i="248"/>
  <c r="DC24" i="35"/>
  <c r="D133" i="251" s="1"/>
  <c r="P50" i="251"/>
  <c r="CM44" i="35"/>
  <c r="N50" i="271"/>
  <c r="DK64" i="35"/>
  <c r="D134" i="291" s="1"/>
  <c r="Q50" i="291"/>
  <c r="Q50" i="288"/>
  <c r="P50" i="253"/>
  <c r="P50" i="313"/>
  <c r="N50" i="310"/>
  <c r="CM64" i="35"/>
  <c r="D131" i="291" s="1"/>
  <c r="N50" i="291"/>
  <c r="O50" i="248"/>
  <c r="Q50" i="253"/>
  <c r="DK86" i="35"/>
  <c r="D134" i="313" s="1"/>
  <c r="Q50" i="313"/>
  <c r="CN33" i="35"/>
  <c r="E131" i="260" s="1"/>
  <c r="D131" i="260"/>
  <c r="CV20" i="35"/>
  <c r="D132" i="247"/>
  <c r="CX7" i="35"/>
  <c r="F132" i="233"/>
  <c r="CJ53" i="35"/>
  <c r="I130" i="280" s="1"/>
  <c r="H130" i="280"/>
  <c r="CV30" i="35"/>
  <c r="D132" i="257"/>
  <c r="CN20" i="35"/>
  <c r="D131" i="247"/>
  <c r="DL37" i="35"/>
  <c r="D134" i="264"/>
  <c r="DN7" i="35"/>
  <c r="F134" i="233"/>
  <c r="DF17" i="35"/>
  <c r="F133" i="244"/>
  <c r="CN11" i="35"/>
  <c r="D131" i="237"/>
  <c r="CV41" i="35"/>
  <c r="D132" i="268"/>
  <c r="DD20" i="35"/>
  <c r="D133" i="247"/>
  <c r="DD88" i="35"/>
  <c r="E133" i="315" s="1"/>
  <c r="CN14" i="35"/>
  <c r="E131" i="241" s="1"/>
  <c r="DE63" i="35"/>
  <c r="F133" i="290" s="1"/>
  <c r="DL87" i="35"/>
  <c r="E134" i="314" s="1"/>
  <c r="DG40" i="35"/>
  <c r="CV85" i="35"/>
  <c r="E132" i="312" s="1"/>
  <c r="CN65" i="35"/>
  <c r="E131" i="292" s="1"/>
  <c r="CU48" i="35"/>
  <c r="D132" i="275" s="1"/>
  <c r="CW67" i="35"/>
  <c r="F132" i="294" s="1"/>
  <c r="CN88" i="35"/>
  <c r="E131" i="315" s="1"/>
  <c r="DD87" i="35"/>
  <c r="E133" i="314" s="1"/>
  <c r="CW22" i="35"/>
  <c r="DD47" i="35"/>
  <c r="E133" i="274" s="1"/>
  <c r="CV87" i="35"/>
  <c r="CN47" i="35"/>
  <c r="E131" i="274" s="1"/>
  <c r="DL26" i="35"/>
  <c r="DL30" i="35"/>
  <c r="E134" i="257" s="1"/>
  <c r="DL8" i="35"/>
  <c r="DD22" i="35"/>
  <c r="E133" i="249" s="1"/>
  <c r="DC21" i="35"/>
  <c r="CV34" i="35"/>
  <c r="E132" i="261" s="1"/>
  <c r="CU4" i="35"/>
  <c r="D132" i="230" s="1"/>
  <c r="CW23" i="35"/>
  <c r="CV18" i="35"/>
  <c r="E132" i="245" s="1"/>
  <c r="CV58" i="35"/>
  <c r="CN27" i="35"/>
  <c r="E131" i="254" s="1"/>
  <c r="DM46" i="35"/>
  <c r="DN46" i="35" s="1"/>
  <c r="DD18" i="35"/>
  <c r="E133" i="245" s="1"/>
  <c r="CV33" i="35"/>
  <c r="E132" i="260" s="1"/>
  <c r="DL22" i="35"/>
  <c r="CO63" i="35"/>
  <c r="CN31" i="35"/>
  <c r="E131" i="258" s="1"/>
  <c r="CV14" i="35"/>
  <c r="E132" i="241" s="1"/>
  <c r="CW9" i="35"/>
  <c r="DL33" i="35"/>
  <c r="DD34" i="35"/>
  <c r="CV25" i="35"/>
  <c r="CV55" i="35"/>
  <c r="DD38" i="35"/>
  <c r="E133" i="265" s="1"/>
  <c r="CN34" i="35"/>
  <c r="E131" i="261" s="1"/>
  <c r="CN45" i="35"/>
  <c r="E131" i="272" s="1"/>
  <c r="CM13" i="35"/>
  <c r="DK61" i="35"/>
  <c r="CM48" i="35"/>
  <c r="CM3" i="35"/>
  <c r="D131" i="229" s="1"/>
  <c r="CU21" i="35"/>
  <c r="CM24" i="35"/>
  <c r="D131" i="251" s="1"/>
  <c r="CN42" i="35"/>
  <c r="E131" i="269" s="1"/>
  <c r="CV39" i="35"/>
  <c r="DD41" i="35"/>
  <c r="DN84" i="35"/>
  <c r="G134" i="311" s="1"/>
  <c r="DD33" i="35"/>
  <c r="DD30" i="35"/>
  <c r="CN39" i="35"/>
  <c r="CU44" i="35"/>
  <c r="D132" i="271" s="1"/>
  <c r="CU10" i="35"/>
  <c r="D132" i="236" s="1"/>
  <c r="CU24" i="35"/>
  <c r="DK4" i="35"/>
  <c r="CX40" i="35"/>
  <c r="DK48" i="35"/>
  <c r="CU47" i="35"/>
  <c r="DC10" i="35"/>
  <c r="D133" i="236" s="1"/>
  <c r="DC64" i="35"/>
  <c r="D133" i="291" s="1"/>
  <c r="DC3" i="35"/>
  <c r="D133" i="229" s="1"/>
  <c r="DK21" i="35"/>
  <c r="CM4" i="35"/>
  <c r="DK3" i="35"/>
  <c r="D134" i="229" s="1"/>
  <c r="DK24" i="35"/>
  <c r="D134" i="251" s="1"/>
  <c r="CU13" i="35"/>
  <c r="D132" i="240" s="1"/>
  <c r="DC86" i="35"/>
  <c r="CM83" i="35"/>
  <c r="D131" i="310" s="1"/>
  <c r="DC28" i="35"/>
  <c r="D133" i="255" s="1"/>
  <c r="DC13" i="35"/>
  <c r="D133" i="240" s="1"/>
  <c r="DC4" i="35"/>
  <c r="D133" i="230" s="1"/>
  <c r="CW46" i="35"/>
  <c r="CP46" i="35"/>
  <c r="DL88" i="35"/>
  <c r="E134" i="315" s="1"/>
  <c r="DL18" i="35"/>
  <c r="CO23" i="35"/>
  <c r="DD55" i="35"/>
  <c r="E133" i="282" s="1"/>
  <c r="DD11" i="35"/>
  <c r="CV11" i="35"/>
  <c r="E132" i="237" s="1"/>
  <c r="DL39" i="35"/>
  <c r="CN38" i="35"/>
  <c r="E131" i="265" s="1"/>
  <c r="CU3" i="35"/>
  <c r="D132" i="229" s="1"/>
  <c r="DK28" i="35"/>
  <c r="D134" i="255" s="1"/>
  <c r="DL44" i="35"/>
  <c r="CM28" i="35"/>
  <c r="D131" i="255" s="1"/>
  <c r="CU26" i="35"/>
  <c r="D132" i="253" s="1"/>
  <c r="CU28" i="35"/>
  <c r="D132" i="255" s="1"/>
  <c r="DC26" i="35"/>
  <c r="D133" i="253" s="1"/>
  <c r="DE46" i="35"/>
  <c r="AS9" i="35"/>
  <c r="AT9" i="35" s="1"/>
  <c r="BM9" i="35"/>
  <c r="BF9" i="35" s="1"/>
  <c r="AM34" i="35"/>
  <c r="AN34" i="35" s="1"/>
  <c r="BU7" i="35"/>
  <c r="BN7" i="35" s="1"/>
  <c r="K50" i="233" s="1"/>
  <c r="BF7" i="35"/>
  <c r="BE4" i="35"/>
  <c r="AP4" i="35"/>
  <c r="H50" i="230" s="1"/>
  <c r="AC4" i="35"/>
  <c r="AD4" i="35" s="1"/>
  <c r="AE4" i="35" s="1"/>
  <c r="BB19" i="35"/>
  <c r="BC19" i="35" s="1"/>
  <c r="BD19" i="35" s="1"/>
  <c r="AI4" i="35"/>
  <c r="AE39" i="35"/>
  <c r="AF39" i="35" s="1"/>
  <c r="AM50" i="35"/>
  <c r="AN50" i="35" s="1"/>
  <c r="AD42" i="35"/>
  <c r="AE42" i="35" s="1"/>
  <c r="AL18" i="35"/>
  <c r="AM18" i="35" s="1"/>
  <c r="AN18" i="35" s="1"/>
  <c r="AI26" i="35"/>
  <c r="AJ26" i="35" s="1"/>
  <c r="AK26" i="35" s="1"/>
  <c r="AV34" i="35"/>
  <c r="BB15" i="35"/>
  <c r="BC15" i="35" s="1"/>
  <c r="AL44" i="35"/>
  <c r="AM44" i="35" s="1"/>
  <c r="AN44" i="35" s="1"/>
  <c r="AD45" i="35"/>
  <c r="AE45" i="35" s="1"/>
  <c r="AF45" i="35" s="1"/>
  <c r="AY84" i="35"/>
  <c r="AM61" i="35"/>
  <c r="AN61" i="35" s="1"/>
  <c r="AE87" i="35"/>
  <c r="AF87" i="35" s="1"/>
  <c r="AE54" i="35"/>
  <c r="AF54" i="35" s="1"/>
  <c r="AE61" i="35"/>
  <c r="AF61" i="35" s="1"/>
  <c r="AX28" i="35"/>
  <c r="AP13" i="35"/>
  <c r="AP61" i="35"/>
  <c r="BM34" i="35"/>
  <c r="BF34" i="35" s="1"/>
  <c r="J50" i="261" s="1"/>
  <c r="AI3" i="35"/>
  <c r="AJ3" i="35" s="1"/>
  <c r="AK3" i="35" s="1"/>
  <c r="AL3" i="35" s="1"/>
  <c r="AL38" i="35"/>
  <c r="AM38" i="35" s="1"/>
  <c r="AN38" i="35" s="1"/>
  <c r="AT20" i="35"/>
  <c r="AU20" i="35" s="1"/>
  <c r="AV20" i="35" s="1"/>
  <c r="W68" i="35"/>
  <c r="X68" i="35" s="1"/>
  <c r="AS23" i="35"/>
  <c r="AT23" i="35" s="1"/>
  <c r="AU23" i="35" s="1"/>
  <c r="AK66" i="35"/>
  <c r="AT67" i="35"/>
  <c r="AU67" i="35" s="1"/>
  <c r="AV67" i="35" s="1"/>
  <c r="BM28" i="35"/>
  <c r="BE13" i="35"/>
  <c r="BE61" i="35"/>
  <c r="BI56" i="35"/>
  <c r="BJ56" i="35" s="1"/>
  <c r="BK56" i="35" s="1"/>
  <c r="BL56" i="35" s="1"/>
  <c r="AJ85" i="35"/>
  <c r="AK85" i="35" s="1"/>
  <c r="AK33" i="35"/>
  <c r="AM20" i="35"/>
  <c r="AN20" i="35" s="1"/>
  <c r="AQ46" i="35"/>
  <c r="AI47" i="35"/>
  <c r="AJ47" i="35" s="1"/>
  <c r="AK58" i="35"/>
  <c r="AL58" i="35" s="1"/>
  <c r="AM58" i="35" s="1"/>
  <c r="AV51" i="35"/>
  <c r="AB13" i="35"/>
  <c r="AM67" i="35"/>
  <c r="AN67" i="35" s="1"/>
  <c r="AQ41" i="35"/>
  <c r="AR41" i="35" s="1"/>
  <c r="AE30" i="35"/>
  <c r="AF30" i="35" s="1"/>
  <c r="AC14" i="35"/>
  <c r="AD14" i="35" s="1"/>
  <c r="AE14" i="35" s="1"/>
  <c r="AF14" i="35" s="1"/>
  <c r="AE8" i="35"/>
  <c r="AF8" i="35" s="1"/>
  <c r="AK86" i="35"/>
  <c r="AL86" i="35" s="1"/>
  <c r="AM86" i="35" s="1"/>
  <c r="AL6" i="35"/>
  <c r="AM6" i="35" s="1"/>
  <c r="AL46" i="35"/>
  <c r="AM46" i="35" s="1"/>
  <c r="AN46" i="35" s="1"/>
  <c r="AK11" i="35"/>
  <c r="AL11" i="35" s="1"/>
  <c r="AL31" i="35"/>
  <c r="AM31" i="35" s="1"/>
  <c r="AN31" i="35" s="1"/>
  <c r="V3" i="35"/>
  <c r="W3" i="35" s="1"/>
  <c r="BF35" i="35"/>
  <c r="J50" i="262" s="1"/>
  <c r="BN19" i="35"/>
  <c r="AP26" i="35"/>
  <c r="BU51" i="35"/>
  <c r="AX41" i="35"/>
  <c r="AX8" i="35"/>
  <c r="I50" i="234" s="1"/>
  <c r="BV15" i="35"/>
  <c r="AP48" i="35"/>
  <c r="BM31" i="35"/>
  <c r="BM88" i="35"/>
  <c r="BU59" i="35"/>
  <c r="BM14" i="35"/>
  <c r="AX65" i="35"/>
  <c r="BM85" i="35"/>
  <c r="AC44" i="35"/>
  <c r="AD44" i="35" s="1"/>
  <c r="AX55" i="35"/>
  <c r="AX33" i="35"/>
  <c r="BM18" i="35"/>
  <c r="BM50" i="35"/>
  <c r="BE10" i="35"/>
  <c r="AX38" i="35"/>
  <c r="I50" i="265" s="1"/>
  <c r="AX44" i="35"/>
  <c r="I50" i="271" s="1"/>
  <c r="BM66" i="35"/>
  <c r="BF20" i="35"/>
  <c r="J50" i="247" s="1"/>
  <c r="AX88" i="35"/>
  <c r="I50" i="315" s="1"/>
  <c r="AX85" i="35"/>
  <c r="I50" i="312" s="1"/>
  <c r="AX54" i="35"/>
  <c r="I50" i="281" s="1"/>
  <c r="BM55" i="35"/>
  <c r="BF63" i="35"/>
  <c r="BU12" i="35"/>
  <c r="BM22" i="35"/>
  <c r="BU84" i="35"/>
  <c r="AX18" i="35"/>
  <c r="AX50" i="35"/>
  <c r="I50" i="277" s="1"/>
  <c r="AP10" i="35"/>
  <c r="BM46" i="35"/>
  <c r="BE3" i="35"/>
  <c r="BM86" i="35"/>
  <c r="AX6" i="35"/>
  <c r="BU21" i="35"/>
  <c r="BM38" i="35"/>
  <c r="AX25" i="35"/>
  <c r="AX87" i="35"/>
  <c r="BM37" i="35"/>
  <c r="AX66" i="35"/>
  <c r="BU40" i="35"/>
  <c r="BM45" i="35"/>
  <c r="BE64" i="35"/>
  <c r="AX39" i="35"/>
  <c r="AP47" i="35"/>
  <c r="H50" i="274" s="1"/>
  <c r="AX42" i="35"/>
  <c r="BM62" i="35"/>
  <c r="AL37" i="35"/>
  <c r="AM37" i="35" s="1"/>
  <c r="AN37" i="35" s="1"/>
  <c r="AY51" i="35"/>
  <c r="AZ51" i="35" s="1"/>
  <c r="AQ62" i="35"/>
  <c r="AY12" i="35"/>
  <c r="N87" i="35"/>
  <c r="O87" i="35" s="1"/>
  <c r="P87" i="35" s="1"/>
  <c r="AL62" i="35"/>
  <c r="AM62" i="35" s="1"/>
  <c r="AQ14" i="35"/>
  <c r="AD55" i="35"/>
  <c r="AE55" i="35" s="1"/>
  <c r="AT35" i="35"/>
  <c r="AU35" i="35" s="1"/>
  <c r="AV35" i="35" s="1"/>
  <c r="AC47" i="35"/>
  <c r="AE85" i="35"/>
  <c r="AF85" i="35" s="1"/>
  <c r="AM40" i="35"/>
  <c r="AN40" i="35" s="1"/>
  <c r="AE46" i="35"/>
  <c r="AF46" i="35" s="1"/>
  <c r="AL21" i="35"/>
  <c r="X84" i="35"/>
  <c r="BI15" i="35"/>
  <c r="BJ15" i="35" s="1"/>
  <c r="BK15" i="35" s="1"/>
  <c r="BL15" i="35" s="1"/>
  <c r="AC22" i="35"/>
  <c r="AC48" i="35"/>
  <c r="AD48" i="35" s="1"/>
  <c r="BO15" i="35"/>
  <c r="AQ44" i="35"/>
  <c r="AR44" i="35" s="1"/>
  <c r="AS44" i="35" s="1"/>
  <c r="AQ66" i="35"/>
  <c r="AI48" i="35"/>
  <c r="AY35" i="35"/>
  <c r="AZ35" i="35" s="1"/>
  <c r="BG19" i="35"/>
  <c r="AL30" i="35"/>
  <c r="AM30" i="35" s="1"/>
  <c r="P56" i="35"/>
  <c r="AR12" i="35"/>
  <c r="AL63" i="35"/>
  <c r="AM63" i="35" s="1"/>
  <c r="AN63" i="35" s="1"/>
  <c r="AJ39" i="35"/>
  <c r="AK39" i="35" s="1"/>
  <c r="AY67" i="35"/>
  <c r="AZ67" i="35" s="1"/>
  <c r="AI10" i="35"/>
  <c r="AQ45" i="35"/>
  <c r="AQ55" i="35"/>
  <c r="AR55" i="35" s="1"/>
  <c r="AK14" i="35"/>
  <c r="AL14" i="35" s="1"/>
  <c r="AM14" i="35" s="1"/>
  <c r="AN14" i="35" s="1"/>
  <c r="AC26" i="35"/>
  <c r="AD26" i="35" s="1"/>
  <c r="AM59" i="35"/>
  <c r="AN59" i="35" s="1"/>
  <c r="AM45" i="35"/>
  <c r="AN45" i="35" s="1"/>
  <c r="V27" i="35"/>
  <c r="W27" i="35" s="1"/>
  <c r="AE20" i="35"/>
  <c r="AF20" i="35" s="1"/>
  <c r="AM35" i="35"/>
  <c r="AN35" i="35" s="1"/>
  <c r="AS21" i="35"/>
  <c r="AT21" i="35" s="1"/>
  <c r="AU21" i="35" s="1"/>
  <c r="AC64" i="35"/>
  <c r="BM33" i="35"/>
  <c r="CK56" i="35"/>
  <c r="BF67" i="35"/>
  <c r="J50" i="294" s="1"/>
  <c r="BU23" i="35"/>
  <c r="AX30" i="35"/>
  <c r="I50" i="257" s="1"/>
  <c r="AE50" i="35"/>
  <c r="AF50" i="35" s="1"/>
  <c r="AX27" i="35"/>
  <c r="I50" i="254" s="1"/>
  <c r="BM44" i="35"/>
  <c r="AX24" i="35"/>
  <c r="I50" i="251" s="1"/>
  <c r="BU20" i="35"/>
  <c r="BM58" i="35"/>
  <c r="BM11" i="35"/>
  <c r="AP83" i="35"/>
  <c r="H50" i="310" s="1"/>
  <c r="V19" i="35"/>
  <c r="W19" i="35" s="1"/>
  <c r="X19" i="35" s="1"/>
  <c r="BM54" i="35"/>
  <c r="BU63" i="35"/>
  <c r="BV56" i="35"/>
  <c r="BF23" i="35"/>
  <c r="BF51" i="35"/>
  <c r="J50" i="278" s="1"/>
  <c r="AK65" i="35"/>
  <c r="AL65" i="35" s="1"/>
  <c r="AM65" i="35" s="1"/>
  <c r="BM6" i="35"/>
  <c r="BF21" i="35"/>
  <c r="J50" i="248" s="1"/>
  <c r="BM25" i="35"/>
  <c r="BM87" i="35"/>
  <c r="AX58" i="35"/>
  <c r="AX11" i="35"/>
  <c r="AX31" i="35"/>
  <c r="BF59" i="35"/>
  <c r="BM39" i="35"/>
  <c r="BE47" i="35"/>
  <c r="BM42" i="35"/>
  <c r="BU35" i="35"/>
  <c r="BF12" i="35"/>
  <c r="AX22" i="35"/>
  <c r="I50" i="249" s="1"/>
  <c r="BF84" i="35"/>
  <c r="J50" i="311" s="1"/>
  <c r="CC19" i="35"/>
  <c r="BU67" i="35"/>
  <c r="BE26" i="35"/>
  <c r="AX46" i="35"/>
  <c r="AP3" i="35"/>
  <c r="AX86" i="35"/>
  <c r="BM30" i="35"/>
  <c r="AK88" i="35"/>
  <c r="AL88" i="35" s="1"/>
  <c r="AM88" i="35" s="1"/>
  <c r="BM41" i="35"/>
  <c r="BM27" i="35"/>
  <c r="BM8" i="35"/>
  <c r="CK15" i="35"/>
  <c r="AX37" i="35"/>
  <c r="BE48" i="35"/>
  <c r="BM24" i="35"/>
  <c r="BF40" i="35"/>
  <c r="J50" i="267" s="1"/>
  <c r="AX45" i="35"/>
  <c r="I50" i="272" s="1"/>
  <c r="AP64" i="35"/>
  <c r="AX14" i="35"/>
  <c r="I50" i="241" s="1"/>
  <c r="BE83" i="35"/>
  <c r="BM65" i="35"/>
  <c r="AX62" i="35"/>
  <c r="AE3" i="35"/>
  <c r="AF3" i="35" s="1"/>
  <c r="AE11" i="35"/>
  <c r="AF11" i="35" s="1"/>
  <c r="AQ27" i="35"/>
  <c r="AY21" i="35"/>
  <c r="AC68" i="35"/>
  <c r="AD68" i="35" s="1"/>
  <c r="AF84" i="35"/>
  <c r="AQ11" i="35"/>
  <c r="AR11" i="35" s="1"/>
  <c r="AQ31" i="35"/>
  <c r="AR31" i="35" s="1"/>
  <c r="AC88" i="35"/>
  <c r="AD38" i="35"/>
  <c r="AE38" i="35" s="1"/>
  <c r="AK55" i="35"/>
  <c r="AL55" i="35" s="1"/>
  <c r="AM55" i="35" s="1"/>
  <c r="AT40" i="35"/>
  <c r="AU40" i="35" s="1"/>
  <c r="AE67" i="35"/>
  <c r="AF67" i="35" s="1"/>
  <c r="BA56" i="35"/>
  <c r="W14" i="35"/>
  <c r="X14" i="35" s="1"/>
  <c r="AQ88" i="35"/>
  <c r="W64" i="35"/>
  <c r="X64" i="35" s="1"/>
  <c r="AK8" i="35"/>
  <c r="AS63" i="35"/>
  <c r="AT63" i="35" s="1"/>
  <c r="AR59" i="35"/>
  <c r="AS59" i="35" s="1"/>
  <c r="AT59" i="35" s="1"/>
  <c r="AK24" i="35"/>
  <c r="AL24" i="35" s="1"/>
  <c r="AE83" i="35"/>
  <c r="AF83" i="35" s="1"/>
  <c r="CQ82" i="35" l="1"/>
  <c r="CR82" i="35" s="1"/>
  <c r="I131" i="309" s="1"/>
  <c r="DK95" i="35"/>
  <c r="DC95" i="35"/>
  <c r="CM95" i="35"/>
  <c r="DG56" i="35"/>
  <c r="DH56" i="35" s="1"/>
  <c r="I133" i="283" s="1"/>
  <c r="BM95" i="35"/>
  <c r="O25" i="35"/>
  <c r="P25" i="35" s="1"/>
  <c r="P95" i="35" s="1"/>
  <c r="E132" i="252"/>
  <c r="AR25" i="35"/>
  <c r="AS25" i="35" s="1"/>
  <c r="AQ95" i="35"/>
  <c r="AC95" i="35"/>
  <c r="AD25" i="35"/>
  <c r="CU95" i="35"/>
  <c r="E131" i="252"/>
  <c r="E134" i="252"/>
  <c r="AX95" i="35"/>
  <c r="AK25" i="35"/>
  <c r="DG7" i="35"/>
  <c r="H133" i="233" s="1"/>
  <c r="G132" i="243"/>
  <c r="CQ56" i="35"/>
  <c r="CR56" i="35" s="1"/>
  <c r="I131" i="283" s="1"/>
  <c r="F131" i="311"/>
  <c r="CZ60" i="35"/>
  <c r="I132" i="287" s="1"/>
  <c r="J132" i="287" s="1"/>
  <c r="CQ16" i="35"/>
  <c r="H131" i="243" s="1"/>
  <c r="DH49" i="35"/>
  <c r="I133" i="276" s="1"/>
  <c r="H130" i="256"/>
  <c r="J130" i="256" s="1"/>
  <c r="CQ60" i="35"/>
  <c r="H131" i="287" s="1"/>
  <c r="CQ29" i="35"/>
  <c r="CR29" i="35" s="1"/>
  <c r="I131" i="256" s="1"/>
  <c r="DG53" i="35"/>
  <c r="H133" i="280" s="1"/>
  <c r="G132" i="311"/>
  <c r="DG32" i="35"/>
  <c r="DH32" i="35" s="1"/>
  <c r="I133" i="259" s="1"/>
  <c r="CW14" i="35"/>
  <c r="F132" i="241" s="1"/>
  <c r="DG57" i="35"/>
  <c r="DH57" i="35" s="1"/>
  <c r="I133" i="284" s="1"/>
  <c r="CQ53" i="35"/>
  <c r="H131" i="280" s="1"/>
  <c r="DO23" i="35"/>
  <c r="H134" i="250" s="1"/>
  <c r="E131" i="282"/>
  <c r="CZ52" i="35"/>
  <c r="I132" i="279" s="1"/>
  <c r="J132" i="279" s="1"/>
  <c r="CQ17" i="35"/>
  <c r="H131" i="244" s="1"/>
  <c r="G131" i="276"/>
  <c r="DN63" i="35"/>
  <c r="G134" i="290" s="1"/>
  <c r="H133" i="279"/>
  <c r="J133" i="279" s="1"/>
  <c r="DN51" i="35"/>
  <c r="G134" i="278" s="1"/>
  <c r="CO41" i="35"/>
  <c r="F131" i="268" s="1"/>
  <c r="CO22" i="35"/>
  <c r="F131" i="249" s="1"/>
  <c r="CY56" i="35"/>
  <c r="CZ56" i="35" s="1"/>
  <c r="I132" i="283" s="1"/>
  <c r="CO54" i="35"/>
  <c r="CP54" i="35" s="1"/>
  <c r="DO56" i="35"/>
  <c r="H134" i="283" s="1"/>
  <c r="G133" i="276"/>
  <c r="CO37" i="35"/>
  <c r="F131" i="264" s="1"/>
  <c r="DO60" i="35"/>
  <c r="H134" i="287" s="1"/>
  <c r="CQ35" i="35"/>
  <c r="H131" i="262" s="1"/>
  <c r="CX63" i="35"/>
  <c r="CY63" i="35" s="1"/>
  <c r="H132" i="290" s="1"/>
  <c r="CQ40" i="35"/>
  <c r="H131" i="267" s="1"/>
  <c r="F133" i="239"/>
  <c r="CX37" i="35"/>
  <c r="G132" i="264" s="1"/>
  <c r="CP9" i="35"/>
  <c r="G131" i="235" s="1"/>
  <c r="CW31" i="35"/>
  <c r="CX31" i="35" s="1"/>
  <c r="CV68" i="35"/>
  <c r="CW68" i="35" s="1"/>
  <c r="F132" i="295" s="1"/>
  <c r="CW88" i="35"/>
  <c r="F132" i="315" s="1"/>
  <c r="DM58" i="35"/>
  <c r="DN58" i="35" s="1"/>
  <c r="G134" i="285" s="1"/>
  <c r="G132" i="246"/>
  <c r="CW54" i="35"/>
  <c r="F132" i="281" s="1"/>
  <c r="CY29" i="35"/>
  <c r="H132" i="256" s="1"/>
  <c r="CO66" i="35"/>
  <c r="F131" i="293" s="1"/>
  <c r="DP49" i="35"/>
  <c r="I134" i="276" s="1"/>
  <c r="J134" i="276" s="1"/>
  <c r="CW8" i="35"/>
  <c r="CX8" i="35" s="1"/>
  <c r="CZ84" i="35"/>
  <c r="I132" i="311" s="1"/>
  <c r="CW45" i="35"/>
  <c r="F132" i="272" s="1"/>
  <c r="DG16" i="35"/>
  <c r="H133" i="243" s="1"/>
  <c r="CR32" i="35"/>
  <c r="I131" i="259" s="1"/>
  <c r="J131" i="259" s="1"/>
  <c r="DF27" i="35"/>
  <c r="G133" i="254" s="1"/>
  <c r="DO53" i="35"/>
  <c r="CP51" i="35"/>
  <c r="G131" i="278" s="1"/>
  <c r="G133" i="242"/>
  <c r="CP67" i="35"/>
  <c r="G131" i="294" s="1"/>
  <c r="DG82" i="35"/>
  <c r="H133" i="309" s="1"/>
  <c r="DN67" i="35"/>
  <c r="G134" i="294" s="1"/>
  <c r="CO85" i="35"/>
  <c r="F131" i="312" s="1"/>
  <c r="CV64" i="35"/>
  <c r="E132" i="291" s="1"/>
  <c r="CZ32" i="35"/>
  <c r="I132" i="259" s="1"/>
  <c r="J132" i="259" s="1"/>
  <c r="DM38" i="35"/>
  <c r="DN38" i="35" s="1"/>
  <c r="DL47" i="35"/>
  <c r="E134" i="274" s="1"/>
  <c r="DD62" i="35"/>
  <c r="E133" i="289" s="1"/>
  <c r="CP12" i="35"/>
  <c r="G131" i="239" s="1"/>
  <c r="DF84" i="35"/>
  <c r="DG84" i="35" s="1"/>
  <c r="E134" i="237"/>
  <c r="H134" i="259"/>
  <c r="DP32" i="35"/>
  <c r="I134" i="259" s="1"/>
  <c r="AS28" i="35"/>
  <c r="AT28" i="35" s="1"/>
  <c r="CV62" i="35"/>
  <c r="E132" i="289" s="1"/>
  <c r="CW42" i="35"/>
  <c r="F132" i="269" s="1"/>
  <c r="J130" i="309"/>
  <c r="AS65" i="35"/>
  <c r="AT65" i="35" s="1"/>
  <c r="AU65" i="35" s="1"/>
  <c r="DD44" i="35"/>
  <c r="E133" i="271" s="1"/>
  <c r="CV86" i="35"/>
  <c r="E132" i="313" s="1"/>
  <c r="CV61" i="35"/>
  <c r="E132" i="288" s="1"/>
  <c r="DP29" i="35"/>
  <c r="I134" i="256" s="1"/>
  <c r="J134" i="256" s="1"/>
  <c r="E134" i="277"/>
  <c r="DO19" i="35"/>
  <c r="H134" i="246" s="1"/>
  <c r="DL68" i="35"/>
  <c r="E134" i="295" s="1"/>
  <c r="DG29" i="35"/>
  <c r="H133" i="256" s="1"/>
  <c r="DN50" i="35"/>
  <c r="G134" i="277" s="1"/>
  <c r="DH15" i="35"/>
  <c r="I133" i="242" s="1"/>
  <c r="DO15" i="35"/>
  <c r="DP15" i="35" s="1"/>
  <c r="I134" i="242" s="1"/>
  <c r="CY35" i="35"/>
  <c r="H132" i="262" s="1"/>
  <c r="DE88" i="35"/>
  <c r="DF88" i="35" s="1"/>
  <c r="G133" i="315" s="1"/>
  <c r="CN64" i="35"/>
  <c r="E131" i="291" s="1"/>
  <c r="CW65" i="35"/>
  <c r="F132" i="292" s="1"/>
  <c r="CQ15" i="35"/>
  <c r="CR15" i="35" s="1"/>
  <c r="I131" i="242" s="1"/>
  <c r="DP52" i="35"/>
  <c r="I134" i="279" s="1"/>
  <c r="J134" i="279" s="1"/>
  <c r="CZ82" i="35"/>
  <c r="I132" i="309" s="1"/>
  <c r="J132" i="309" s="1"/>
  <c r="DN11" i="35"/>
  <c r="DO11" i="35" s="1"/>
  <c r="H134" i="237" s="1"/>
  <c r="CQ52" i="35"/>
  <c r="H131" i="279" s="1"/>
  <c r="DE38" i="35"/>
  <c r="DF38" i="35" s="1"/>
  <c r="G133" i="265" s="1"/>
  <c r="DL83" i="35"/>
  <c r="E134" i="310" s="1"/>
  <c r="DE45" i="35"/>
  <c r="DF45" i="35" s="1"/>
  <c r="G133" i="272" s="1"/>
  <c r="DE66" i="35"/>
  <c r="F133" i="293" s="1"/>
  <c r="DD83" i="35"/>
  <c r="E133" i="310" s="1"/>
  <c r="G134" i="284"/>
  <c r="DO57" i="35"/>
  <c r="H134" i="284" s="1"/>
  <c r="DE6" i="35"/>
  <c r="F133" i="232" s="1"/>
  <c r="DE47" i="35"/>
  <c r="F133" i="274" s="1"/>
  <c r="AF28" i="35"/>
  <c r="CN83" i="35"/>
  <c r="E131" i="310" s="1"/>
  <c r="DD48" i="35"/>
  <c r="E133" i="275" s="1"/>
  <c r="DM54" i="35"/>
  <c r="F134" i="281" s="1"/>
  <c r="CO47" i="35"/>
  <c r="F131" i="274" s="1"/>
  <c r="DM65" i="35"/>
  <c r="F134" i="292" s="1"/>
  <c r="DL64" i="35"/>
  <c r="E134" i="291" s="1"/>
  <c r="CW18" i="35"/>
  <c r="F132" i="245" s="1"/>
  <c r="DM27" i="35"/>
  <c r="F134" i="254" s="1"/>
  <c r="DE39" i="35"/>
  <c r="F133" i="266" s="1"/>
  <c r="CY17" i="35"/>
  <c r="H132" i="244" s="1"/>
  <c r="E133" i="234"/>
  <c r="CX12" i="35"/>
  <c r="G132" i="239" s="1"/>
  <c r="G132" i="276"/>
  <c r="CY49" i="35"/>
  <c r="H132" i="276" s="1"/>
  <c r="DN45" i="35"/>
  <c r="G134" i="272" s="1"/>
  <c r="DM85" i="35"/>
  <c r="DN85" i="35" s="1"/>
  <c r="G134" i="312" s="1"/>
  <c r="CW66" i="35"/>
  <c r="F132" i="293" s="1"/>
  <c r="AF24" i="35"/>
  <c r="CW27" i="35"/>
  <c r="F132" i="254" s="1"/>
  <c r="DO84" i="35"/>
  <c r="H134" i="311" s="1"/>
  <c r="CP30" i="35"/>
  <c r="G131" i="257" s="1"/>
  <c r="CW6" i="35"/>
  <c r="F132" i="232" s="1"/>
  <c r="G133" i="239"/>
  <c r="DG12" i="35"/>
  <c r="DH12" i="35" s="1"/>
  <c r="I133" i="239" s="1"/>
  <c r="F133" i="234"/>
  <c r="DF8" i="35"/>
  <c r="DG8" i="35" s="1"/>
  <c r="AF10" i="35"/>
  <c r="CO33" i="35"/>
  <c r="F131" i="260" s="1"/>
  <c r="AU84" i="35"/>
  <c r="AV84" i="35" s="1"/>
  <c r="DD64" i="35"/>
  <c r="E133" i="291" s="1"/>
  <c r="CV48" i="35"/>
  <c r="E132" i="275" s="1"/>
  <c r="DE54" i="35"/>
  <c r="F133" i="281" s="1"/>
  <c r="DM31" i="35"/>
  <c r="F134" i="258" s="1"/>
  <c r="CO18" i="35"/>
  <c r="F131" i="245" s="1"/>
  <c r="CW85" i="35"/>
  <c r="CX85" i="35" s="1"/>
  <c r="CP55" i="35"/>
  <c r="G131" i="282" s="1"/>
  <c r="CO58" i="35"/>
  <c r="F131" i="285" s="1"/>
  <c r="CN62" i="35"/>
  <c r="CO62" i="35" s="1"/>
  <c r="F131" i="289" s="1"/>
  <c r="DM14" i="35"/>
  <c r="F134" i="241" s="1"/>
  <c r="J130" i="276"/>
  <c r="J130" i="279"/>
  <c r="G132" i="284"/>
  <c r="CY57" i="35"/>
  <c r="H132" i="284" s="1"/>
  <c r="DL62" i="35"/>
  <c r="DL95" i="35" s="1"/>
  <c r="CO25" i="35"/>
  <c r="J130" i="316"/>
  <c r="CW38" i="35"/>
  <c r="F132" i="265" s="1"/>
  <c r="BD7" i="35"/>
  <c r="DM25" i="35"/>
  <c r="CQ84" i="35"/>
  <c r="CR84" i="35" s="1"/>
  <c r="I131" i="311" s="1"/>
  <c r="DE14" i="35"/>
  <c r="F133" i="241" s="1"/>
  <c r="CX67" i="35"/>
  <c r="DE87" i="35"/>
  <c r="F133" i="314" s="1"/>
  <c r="CX51" i="35"/>
  <c r="CY51" i="35" s="1"/>
  <c r="DG60" i="35"/>
  <c r="H133" i="287" s="1"/>
  <c r="DF59" i="35"/>
  <c r="G133" i="286" s="1"/>
  <c r="BG23" i="35"/>
  <c r="BH23" i="35" s="1"/>
  <c r="J50" i="250"/>
  <c r="AY55" i="35"/>
  <c r="AZ55" i="35" s="1"/>
  <c r="BA55" i="35" s="1"/>
  <c r="BB55" i="35" s="1"/>
  <c r="I50" i="282"/>
  <c r="AQ48" i="35"/>
  <c r="AR48" i="35" s="1"/>
  <c r="H50" i="275"/>
  <c r="AY28" i="35"/>
  <c r="AZ28" i="35" s="1"/>
  <c r="BA28" i="35" s="1"/>
  <c r="BB28" i="35" s="1"/>
  <c r="I50" i="255"/>
  <c r="CV47" i="35"/>
  <c r="E132" i="274" s="1"/>
  <c r="D132" i="274"/>
  <c r="CO39" i="35"/>
  <c r="F131" i="266" s="1"/>
  <c r="E131" i="266"/>
  <c r="CN48" i="35"/>
  <c r="E131" i="275" s="1"/>
  <c r="D131" i="275"/>
  <c r="DE34" i="35"/>
  <c r="F133" i="261" s="1"/>
  <c r="E133" i="261"/>
  <c r="CP63" i="35"/>
  <c r="F131" i="290"/>
  <c r="CP59" i="35"/>
  <c r="G131" i="286" s="1"/>
  <c r="F131" i="286"/>
  <c r="H133" i="262"/>
  <c r="DH35" i="35"/>
  <c r="I133" i="262" s="1"/>
  <c r="E133" i="252"/>
  <c r="DE25" i="35"/>
  <c r="CR49" i="35"/>
  <c r="I131" i="276" s="1"/>
  <c r="H131" i="276"/>
  <c r="CZ19" i="35"/>
  <c r="I132" i="246" s="1"/>
  <c r="H132" i="246"/>
  <c r="AY46" i="35"/>
  <c r="AZ46" i="35" s="1"/>
  <c r="AY66" i="35"/>
  <c r="AZ66" i="35" s="1"/>
  <c r="I50" i="293"/>
  <c r="AY65" i="35"/>
  <c r="AZ65" i="35" s="1"/>
  <c r="BA65" i="35" s="1"/>
  <c r="I50" i="292"/>
  <c r="CP23" i="35"/>
  <c r="G131" i="250" s="1"/>
  <c r="F131" i="250"/>
  <c r="CN4" i="35"/>
  <c r="E131" i="230" s="1"/>
  <c r="D131" i="230"/>
  <c r="DL4" i="35"/>
  <c r="E134" i="230" s="1"/>
  <c r="D134" i="230"/>
  <c r="DE33" i="35"/>
  <c r="E133" i="260"/>
  <c r="DM22" i="35"/>
  <c r="F134" i="249" s="1"/>
  <c r="E134" i="249"/>
  <c r="DH40" i="35"/>
  <c r="I133" i="267" s="1"/>
  <c r="H133" i="267"/>
  <c r="E132" i="268"/>
  <c r="CW41" i="35"/>
  <c r="G134" i="233"/>
  <c r="DO7" i="35"/>
  <c r="H134" i="233" s="1"/>
  <c r="E134" i="264"/>
  <c r="DM37" i="35"/>
  <c r="DN37" i="35" s="1"/>
  <c r="G134" i="264" s="1"/>
  <c r="DO16" i="35"/>
  <c r="G134" i="243"/>
  <c r="E134" i="232"/>
  <c r="DM6" i="35"/>
  <c r="F134" i="282"/>
  <c r="DN55" i="35"/>
  <c r="CP50" i="35"/>
  <c r="F131" i="277"/>
  <c r="DE50" i="35"/>
  <c r="E133" i="277"/>
  <c r="AQ3" i="35"/>
  <c r="AR3" i="35" s="1"/>
  <c r="AS3" i="35" s="1"/>
  <c r="H50" i="229"/>
  <c r="AY62" i="35"/>
  <c r="AZ62" i="35" s="1"/>
  <c r="I50" i="289"/>
  <c r="AQ64" i="35"/>
  <c r="AR64" i="35" s="1"/>
  <c r="H50" i="291"/>
  <c r="AY86" i="35"/>
  <c r="AZ86" i="35" s="1"/>
  <c r="BA86" i="35" s="1"/>
  <c r="I50" i="313"/>
  <c r="BG12" i="35"/>
  <c r="BH12" i="35" s="1"/>
  <c r="BI12" i="35" s="1"/>
  <c r="J50" i="239"/>
  <c r="AY58" i="35"/>
  <c r="AZ58" i="35" s="1"/>
  <c r="BA58" i="35" s="1"/>
  <c r="BB58" i="35" s="1"/>
  <c r="BC58" i="35" s="1"/>
  <c r="BD58" i="35" s="1"/>
  <c r="I50" i="285"/>
  <c r="BW56" i="35"/>
  <c r="BX56" i="35" s="1"/>
  <c r="L50" i="283"/>
  <c r="AY87" i="35"/>
  <c r="AZ87" i="35" s="1"/>
  <c r="BA87" i="35" s="1"/>
  <c r="I50" i="314"/>
  <c r="AY6" i="35"/>
  <c r="AZ6" i="35" s="1"/>
  <c r="BA6" i="35" s="1"/>
  <c r="I50" i="232"/>
  <c r="AQ10" i="35"/>
  <c r="AR10" i="35" s="1"/>
  <c r="AS10" i="35" s="1"/>
  <c r="AT10" i="35" s="1"/>
  <c r="H50" i="236"/>
  <c r="BW15" i="35"/>
  <c r="BX15" i="35" s="1"/>
  <c r="L50" i="242"/>
  <c r="AQ26" i="35"/>
  <c r="AR26" i="35" s="1"/>
  <c r="H50" i="253"/>
  <c r="BG7" i="35"/>
  <c r="BH7" i="35" s="1"/>
  <c r="BI7" i="35" s="1"/>
  <c r="J50" i="233"/>
  <c r="BG9" i="35"/>
  <c r="BH9" i="35" s="1"/>
  <c r="BI9" i="35" s="1"/>
  <c r="BJ9" i="35" s="1"/>
  <c r="J50" i="235"/>
  <c r="DE11" i="35"/>
  <c r="F133" i="237" s="1"/>
  <c r="E133" i="237"/>
  <c r="DL48" i="35"/>
  <c r="E134" i="275" s="1"/>
  <c r="D134" i="275"/>
  <c r="CV21" i="35"/>
  <c r="E132" i="248" s="1"/>
  <c r="D132" i="248"/>
  <c r="DL61" i="35"/>
  <c r="E134" i="288" s="1"/>
  <c r="D134" i="288"/>
  <c r="CN13" i="35"/>
  <c r="E131" i="240" s="1"/>
  <c r="D131" i="240"/>
  <c r="DM33" i="35"/>
  <c r="F134" i="260" s="1"/>
  <c r="E134" i="260"/>
  <c r="CX9" i="35"/>
  <c r="F132" i="235"/>
  <c r="CW58" i="35"/>
  <c r="F132" i="285" s="1"/>
  <c r="E132" i="285"/>
  <c r="CX23" i="35"/>
  <c r="G132" i="250" s="1"/>
  <c r="F132" i="250"/>
  <c r="DM8" i="35"/>
  <c r="F134" i="234" s="1"/>
  <c r="E134" i="234"/>
  <c r="E131" i="237"/>
  <c r="CO11" i="35"/>
  <c r="G133" i="244"/>
  <c r="DG17" i="35"/>
  <c r="E131" i="247"/>
  <c r="CO20" i="35"/>
  <c r="E132" i="257"/>
  <c r="CW30" i="35"/>
  <c r="G132" i="233"/>
  <c r="CY7" i="35"/>
  <c r="CN44" i="35"/>
  <c r="D131" i="271"/>
  <c r="F133" i="264"/>
  <c r="DF37" i="35"/>
  <c r="DF67" i="35"/>
  <c r="F133" i="294"/>
  <c r="DN41" i="35"/>
  <c r="F134" i="268"/>
  <c r="H130" i="244"/>
  <c r="CJ17" i="35"/>
  <c r="I130" i="244" s="1"/>
  <c r="DE42" i="35"/>
  <c r="E133" i="269"/>
  <c r="DL86" i="35"/>
  <c r="E134" i="313" s="1"/>
  <c r="CV83" i="35"/>
  <c r="E132" i="310" s="1"/>
  <c r="CW50" i="35"/>
  <c r="CZ16" i="35"/>
  <c r="I132" i="243" s="1"/>
  <c r="AF86" i="35"/>
  <c r="CO14" i="35"/>
  <c r="AS6" i="35"/>
  <c r="AT6" i="35" s="1"/>
  <c r="AU6" i="35" s="1"/>
  <c r="AK64" i="35"/>
  <c r="AL64" i="35" s="1"/>
  <c r="AM64" i="35" s="1"/>
  <c r="AS42" i="35"/>
  <c r="AT42" i="35" s="1"/>
  <c r="DD68" i="35"/>
  <c r="E133" i="295" s="1"/>
  <c r="DE85" i="35"/>
  <c r="CQ57" i="35"/>
  <c r="DN59" i="35"/>
  <c r="CO65" i="35"/>
  <c r="F131" i="292" s="1"/>
  <c r="CO8" i="35"/>
  <c r="F131" i="234" s="1"/>
  <c r="DD24" i="35"/>
  <c r="CQ7" i="35"/>
  <c r="DP82" i="35"/>
  <c r="I134" i="309" s="1"/>
  <c r="J134" i="309" s="1"/>
  <c r="CN61" i="35"/>
  <c r="AY11" i="35"/>
  <c r="AZ11" i="35" s="1"/>
  <c r="I50" i="237"/>
  <c r="AY42" i="35"/>
  <c r="AZ42" i="35" s="1"/>
  <c r="BA42" i="35" s="1"/>
  <c r="BB42" i="35" s="1"/>
  <c r="I50" i="269"/>
  <c r="DL21" i="35"/>
  <c r="E134" i="248" s="1"/>
  <c r="D134" i="248"/>
  <c r="CV24" i="35"/>
  <c r="D132" i="251"/>
  <c r="CX22" i="35"/>
  <c r="G132" i="249" s="1"/>
  <c r="F132" i="249"/>
  <c r="DM34" i="35"/>
  <c r="F134" i="261" s="1"/>
  <c r="E134" i="261"/>
  <c r="DH19" i="35"/>
  <c r="I133" i="246" s="1"/>
  <c r="H133" i="246"/>
  <c r="DM42" i="35"/>
  <c r="E134" i="269"/>
  <c r="DO17" i="35"/>
  <c r="G134" i="244"/>
  <c r="H134" i="267"/>
  <c r="DP40" i="35"/>
  <c r="I134" i="267" s="1"/>
  <c r="E133" i="285"/>
  <c r="DE58" i="35"/>
  <c r="CQ19" i="35"/>
  <c r="G131" i="246"/>
  <c r="G134" i="262"/>
  <c r="DO35" i="35"/>
  <c r="H132" i="242"/>
  <c r="CZ15" i="35"/>
  <c r="I132" i="242" s="1"/>
  <c r="DM66" i="35"/>
  <c r="F134" i="293" s="1"/>
  <c r="E134" i="293"/>
  <c r="AY31" i="35"/>
  <c r="AZ31" i="35" s="1"/>
  <c r="I50" i="258"/>
  <c r="AY18" i="35"/>
  <c r="AZ18" i="35" s="1"/>
  <c r="I50" i="245"/>
  <c r="BG63" i="35"/>
  <c r="BH63" i="35" s="1"/>
  <c r="BI63" i="35" s="1"/>
  <c r="J50" i="290"/>
  <c r="AY33" i="35"/>
  <c r="AZ33" i="35" s="1"/>
  <c r="I50" i="260"/>
  <c r="AY41" i="35"/>
  <c r="AZ41" i="35" s="1"/>
  <c r="BA41" i="35" s="1"/>
  <c r="I50" i="268"/>
  <c r="AQ13" i="35"/>
  <c r="AR13" i="35" s="1"/>
  <c r="H50" i="240"/>
  <c r="DM44" i="35"/>
  <c r="F134" i="271" s="1"/>
  <c r="E134" i="271"/>
  <c r="CW55" i="35"/>
  <c r="E132" i="282"/>
  <c r="DM26" i="35"/>
  <c r="E134" i="253"/>
  <c r="E133" i="247"/>
  <c r="DE20" i="35"/>
  <c r="CW20" i="35"/>
  <c r="E132" i="247"/>
  <c r="CN26" i="35"/>
  <c r="D131" i="253"/>
  <c r="DE65" i="35"/>
  <c r="E133" i="292"/>
  <c r="AY37" i="35"/>
  <c r="AZ37" i="35" s="1"/>
  <c r="BA37" i="35" s="1"/>
  <c r="I50" i="264"/>
  <c r="BG59" i="35"/>
  <c r="BH59" i="35" s="1"/>
  <c r="BI59" i="35" s="1"/>
  <c r="J50" i="286"/>
  <c r="AY39" i="35"/>
  <c r="AZ39" i="35" s="1"/>
  <c r="I50" i="266"/>
  <c r="AY25" i="35"/>
  <c r="I50" i="252"/>
  <c r="BO19" i="35"/>
  <c r="BP19" i="35" s="1"/>
  <c r="BQ19" i="35" s="1"/>
  <c r="K50" i="246"/>
  <c r="AQ61" i="35"/>
  <c r="AR61" i="35" s="1"/>
  <c r="H50" i="288"/>
  <c r="DM39" i="35"/>
  <c r="F134" i="266" s="1"/>
  <c r="E134" i="266"/>
  <c r="DM18" i="35"/>
  <c r="F134" i="245" s="1"/>
  <c r="E134" i="245"/>
  <c r="DD86" i="35"/>
  <c r="D133" i="313"/>
  <c r="CY40" i="35"/>
  <c r="H132" i="267" s="1"/>
  <c r="G132" i="267"/>
  <c r="DE30" i="35"/>
  <c r="F133" i="257" s="1"/>
  <c r="E133" i="257"/>
  <c r="DE41" i="35"/>
  <c r="F133" i="268" s="1"/>
  <c r="E133" i="268"/>
  <c r="CW39" i="35"/>
  <c r="F132" i="266" s="1"/>
  <c r="E132" i="266"/>
  <c r="DD21" i="35"/>
  <c r="D133" i="248"/>
  <c r="CW87" i="35"/>
  <c r="F132" i="314" s="1"/>
  <c r="E132" i="314"/>
  <c r="DF51" i="35"/>
  <c r="F133" i="278"/>
  <c r="CN10" i="35"/>
  <c r="D131" i="236"/>
  <c r="CO87" i="35"/>
  <c r="E131" i="314"/>
  <c r="CZ53" i="35"/>
  <c r="I132" i="280" s="1"/>
  <c r="H132" i="280"/>
  <c r="F134" i="235"/>
  <c r="DN9" i="35"/>
  <c r="CN21" i="35"/>
  <c r="D131" i="248"/>
  <c r="DE31" i="35"/>
  <c r="E133" i="258"/>
  <c r="CY59" i="35"/>
  <c r="H132" i="286" s="1"/>
  <c r="G132" i="286"/>
  <c r="DL10" i="35"/>
  <c r="D134" i="236"/>
  <c r="CO88" i="35"/>
  <c r="F131" i="315" s="1"/>
  <c r="DM87" i="35"/>
  <c r="F134" i="314" s="1"/>
  <c r="DN12" i="35"/>
  <c r="G134" i="239" s="1"/>
  <c r="CO42" i="35"/>
  <c r="F131" i="269" s="1"/>
  <c r="CO6" i="35"/>
  <c r="DF23" i="35"/>
  <c r="CW33" i="35"/>
  <c r="DM20" i="35"/>
  <c r="F134" i="247" s="1"/>
  <c r="CN86" i="35"/>
  <c r="CV44" i="35"/>
  <c r="DL13" i="35"/>
  <c r="E134" i="240" s="1"/>
  <c r="CN68" i="35"/>
  <c r="E131" i="295" s="1"/>
  <c r="DF9" i="35"/>
  <c r="DG9" i="35" s="1"/>
  <c r="H133" i="235" s="1"/>
  <c r="DF63" i="35"/>
  <c r="J130" i="280"/>
  <c r="DD61" i="35"/>
  <c r="E133" i="288" s="1"/>
  <c r="CV4" i="35"/>
  <c r="DM30" i="35"/>
  <c r="F134" i="257" s="1"/>
  <c r="DL24" i="35"/>
  <c r="E134" i="251" s="1"/>
  <c r="DE55" i="35"/>
  <c r="DE18" i="35"/>
  <c r="DF46" i="35"/>
  <c r="DG46" i="35" s="1"/>
  <c r="DH46" i="35" s="1"/>
  <c r="DE22" i="35"/>
  <c r="CW34" i="35"/>
  <c r="CO34" i="35"/>
  <c r="CO27" i="35"/>
  <c r="F131" i="254" s="1"/>
  <c r="DO46" i="35"/>
  <c r="DP46" i="35" s="1"/>
  <c r="CN28" i="35"/>
  <c r="E131" i="255" s="1"/>
  <c r="DL28" i="35"/>
  <c r="DD26" i="35"/>
  <c r="E133" i="253" s="1"/>
  <c r="CX46" i="35"/>
  <c r="CY46" i="35" s="1"/>
  <c r="CZ46" i="35" s="1"/>
  <c r="CN3" i="35"/>
  <c r="E131" i="229" s="1"/>
  <c r="CV13" i="35"/>
  <c r="E132" i="240" s="1"/>
  <c r="DL3" i="35"/>
  <c r="CO31" i="35"/>
  <c r="DD4" i="35"/>
  <c r="E133" i="230" s="1"/>
  <c r="CV26" i="35"/>
  <c r="DM88" i="35"/>
  <c r="F134" i="315" s="1"/>
  <c r="CO45" i="35"/>
  <c r="F131" i="272" s="1"/>
  <c r="CW25" i="35"/>
  <c r="CQ46" i="35"/>
  <c r="CR46" i="35" s="1"/>
  <c r="CN24" i="35"/>
  <c r="CV3" i="35"/>
  <c r="CW11" i="35"/>
  <c r="F132" i="237" s="1"/>
  <c r="DD28" i="35"/>
  <c r="E133" i="255" s="1"/>
  <c r="DD3" i="35"/>
  <c r="DD10" i="35"/>
  <c r="E133" i="236" s="1"/>
  <c r="CV28" i="35"/>
  <c r="CO38" i="35"/>
  <c r="F131" i="265" s="1"/>
  <c r="DD13" i="35"/>
  <c r="E133" i="240" s="1"/>
  <c r="CV10" i="35"/>
  <c r="E132" i="236" s="1"/>
  <c r="BC9" i="35"/>
  <c r="BD9" i="35" s="1"/>
  <c r="AU9" i="35"/>
  <c r="AV9" i="35" s="1"/>
  <c r="BU9" i="35"/>
  <c r="BN9" i="35" s="1"/>
  <c r="K50" i="235" s="1"/>
  <c r="BO7" i="35"/>
  <c r="BP7" i="35" s="1"/>
  <c r="AF4" i="35"/>
  <c r="CC7" i="35"/>
  <c r="BV7" i="35" s="1"/>
  <c r="BB34" i="35"/>
  <c r="BC34" i="35" s="1"/>
  <c r="AJ4" i="35"/>
  <c r="AK4" i="35" s="1"/>
  <c r="BM4" i="35"/>
  <c r="AQ4" i="35"/>
  <c r="AX4" i="35"/>
  <c r="AZ84" i="35"/>
  <c r="BA84" i="35" s="1"/>
  <c r="AF42" i="35"/>
  <c r="AM13" i="35"/>
  <c r="AN13" i="35" s="1"/>
  <c r="AU54" i="35"/>
  <c r="AV54" i="35" s="1"/>
  <c r="AF55" i="35"/>
  <c r="AN6" i="35"/>
  <c r="AR46" i="35"/>
  <c r="AS46" i="35" s="1"/>
  <c r="AT46" i="35" s="1"/>
  <c r="AU46" i="35" s="1"/>
  <c r="BD15" i="35"/>
  <c r="BG34" i="35"/>
  <c r="BH34" i="35" s="1"/>
  <c r="AN30" i="35"/>
  <c r="AL26" i="35"/>
  <c r="AM26" i="35" s="1"/>
  <c r="AN26" i="35" s="1"/>
  <c r="AU63" i="35"/>
  <c r="AV63" i="35" s="1"/>
  <c r="AL85" i="35"/>
  <c r="AM85" i="35" s="1"/>
  <c r="AN85" i="35" s="1"/>
  <c r="AC13" i="35"/>
  <c r="BF28" i="35"/>
  <c r="J50" i="255" s="1"/>
  <c r="BU34" i="35"/>
  <c r="BN34" i="35" s="1"/>
  <c r="BU28" i="35"/>
  <c r="AX13" i="35"/>
  <c r="I50" i="240" s="1"/>
  <c r="AE68" i="35"/>
  <c r="AF68" i="35" s="1"/>
  <c r="AT30" i="35"/>
  <c r="AU30" i="35" s="1"/>
  <c r="AV30" i="35" s="1"/>
  <c r="AQ83" i="35"/>
  <c r="AR83" i="35" s="1"/>
  <c r="AY27" i="35"/>
  <c r="AT85" i="35"/>
  <c r="AY50" i="35"/>
  <c r="AZ50" i="35" s="1"/>
  <c r="AE26" i="35"/>
  <c r="AF26" i="35" s="1"/>
  <c r="AN58" i="35"/>
  <c r="AS39" i="35"/>
  <c r="AT39" i="35" s="1"/>
  <c r="AL33" i="35"/>
  <c r="AM33" i="35" s="1"/>
  <c r="AN33" i="35" s="1"/>
  <c r="AK47" i="35"/>
  <c r="AL47" i="35" s="1"/>
  <c r="AL66" i="35"/>
  <c r="AM66" i="35" s="1"/>
  <c r="AN66" i="35" s="1"/>
  <c r="AX61" i="35"/>
  <c r="I50" i="288" s="1"/>
  <c r="BM61" i="35"/>
  <c r="BF61" i="35" s="1"/>
  <c r="BM13" i="35"/>
  <c r="AS41" i="35"/>
  <c r="AL39" i="35"/>
  <c r="AM39" i="35" s="1"/>
  <c r="AN39" i="35" s="1"/>
  <c r="AN86" i="35"/>
  <c r="AM3" i="35"/>
  <c r="AN3" i="35" s="1"/>
  <c r="BR56" i="35"/>
  <c r="BS56" i="35" s="1"/>
  <c r="AE44" i="35"/>
  <c r="AF44" i="35" s="1"/>
  <c r="AM24" i="35"/>
  <c r="AN24" i="35" s="1"/>
  <c r="AT38" i="35"/>
  <c r="AU38" i="35" s="1"/>
  <c r="AE48" i="35"/>
  <c r="AF48" i="35" s="1"/>
  <c r="BU8" i="35"/>
  <c r="BU41" i="35"/>
  <c r="BU30" i="35"/>
  <c r="AX47" i="35"/>
  <c r="BU87" i="35"/>
  <c r="CC63" i="35"/>
  <c r="BU33" i="35"/>
  <c r="BF45" i="35"/>
  <c r="J50" i="272" s="1"/>
  <c r="BN84" i="35"/>
  <c r="K50" i="311" s="1"/>
  <c r="BN12" i="35"/>
  <c r="K50" i="239" s="1"/>
  <c r="BF50" i="35"/>
  <c r="J50" i="277" s="1"/>
  <c r="BF85" i="35"/>
  <c r="J50" i="312" s="1"/>
  <c r="BF14" i="35"/>
  <c r="J50" i="241" s="1"/>
  <c r="BN51" i="35"/>
  <c r="AL8" i="35"/>
  <c r="AM8" i="35" s="1"/>
  <c r="BU65" i="35"/>
  <c r="CD15" i="35"/>
  <c r="BF41" i="35"/>
  <c r="BF39" i="35"/>
  <c r="BN63" i="35"/>
  <c r="K50" i="290" s="1"/>
  <c r="BU11" i="35"/>
  <c r="CC20" i="35"/>
  <c r="AJ48" i="35"/>
  <c r="BF38" i="35"/>
  <c r="BU22" i="35"/>
  <c r="BM10" i="35"/>
  <c r="CC59" i="35"/>
  <c r="BU27" i="35"/>
  <c r="AX26" i="35"/>
  <c r="BV19" i="35"/>
  <c r="BN35" i="35"/>
  <c r="BF42" i="35"/>
  <c r="BU39" i="35"/>
  <c r="BF25" i="35"/>
  <c r="BF6" i="35"/>
  <c r="BU54" i="35"/>
  <c r="BF11" i="35"/>
  <c r="J50" i="237" s="1"/>
  <c r="BN20" i="35"/>
  <c r="BU44" i="35"/>
  <c r="CC23" i="35"/>
  <c r="AD22" i="35"/>
  <c r="AE22" i="35" s="1"/>
  <c r="AF22" i="35" s="1"/>
  <c r="AX64" i="35"/>
  <c r="I50" i="291" s="1"/>
  <c r="BN40" i="35"/>
  <c r="BU37" i="35"/>
  <c r="CC21" i="35"/>
  <c r="BF86" i="35"/>
  <c r="J50" i="313" s="1"/>
  <c r="BF46" i="35"/>
  <c r="BF22" i="35"/>
  <c r="BF66" i="35"/>
  <c r="J50" i="293" s="1"/>
  <c r="AX10" i="35"/>
  <c r="BF18" i="35"/>
  <c r="J50" i="245" s="1"/>
  <c r="BN59" i="35"/>
  <c r="K50" i="286" s="1"/>
  <c r="BF31" i="35"/>
  <c r="J50" i="258" s="1"/>
  <c r="AS58" i="35"/>
  <c r="AN65" i="35"/>
  <c r="BA51" i="35"/>
  <c r="BB51" i="35" s="1"/>
  <c r="BC51" i="35" s="1"/>
  <c r="AT18" i="35"/>
  <c r="AU18" i="35" s="1"/>
  <c r="AV18" i="35" s="1"/>
  <c r="BB23" i="35"/>
  <c r="BC23" i="35" s="1"/>
  <c r="BD23" i="35" s="1"/>
  <c r="AS24" i="35"/>
  <c r="AT24" i="35" s="1"/>
  <c r="AU24" i="35" s="1"/>
  <c r="AN88" i="35"/>
  <c r="AY45" i="35"/>
  <c r="AY30" i="35"/>
  <c r="AZ30" i="35" s="1"/>
  <c r="BA30" i="35" s="1"/>
  <c r="BG67" i="35"/>
  <c r="AU86" i="35"/>
  <c r="AV86" i="35" s="1"/>
  <c r="AS8" i="35"/>
  <c r="AT8" i="35" s="1"/>
  <c r="AU8" i="35" s="1"/>
  <c r="BB20" i="35"/>
  <c r="BC20" i="35" s="1"/>
  <c r="BP15" i="35"/>
  <c r="AV21" i="35"/>
  <c r="AL83" i="35"/>
  <c r="AM83" i="35" s="1"/>
  <c r="AN83" i="35" s="1"/>
  <c r="AY14" i="35"/>
  <c r="BG40" i="35"/>
  <c r="BH40" i="35" s="1"/>
  <c r="BG84" i="35"/>
  <c r="BH84" i="35" s="1"/>
  <c r="AY22" i="35"/>
  <c r="AZ22" i="35" s="1"/>
  <c r="BA22" i="35" s="1"/>
  <c r="BG21" i="35"/>
  <c r="BG51" i="35"/>
  <c r="BB59" i="35"/>
  <c r="BC59" i="35" s="1"/>
  <c r="BD59" i="35" s="1"/>
  <c r="AS11" i="35"/>
  <c r="AT11" i="35" s="1"/>
  <c r="AZ12" i="35"/>
  <c r="AY54" i="35"/>
  <c r="AY88" i="35"/>
  <c r="AZ88" i="35" s="1"/>
  <c r="BG20" i="35"/>
  <c r="AY44" i="35"/>
  <c r="AZ44" i="35" s="1"/>
  <c r="BG35" i="35"/>
  <c r="BH35" i="35" s="1"/>
  <c r="AR14" i="35"/>
  <c r="BH19" i="35"/>
  <c r="BI19" i="35" s="1"/>
  <c r="AM21" i="35"/>
  <c r="AN21" i="35" s="1"/>
  <c r="AD88" i="35"/>
  <c r="AE88" i="35" s="1"/>
  <c r="AJ10" i="35"/>
  <c r="AK10" i="35" s="1"/>
  <c r="AT87" i="35"/>
  <c r="AU87" i="35" s="1"/>
  <c r="AV87" i="35" s="1"/>
  <c r="AR88" i="35"/>
  <c r="AS88" i="35" s="1"/>
  <c r="AX83" i="35"/>
  <c r="BM48" i="35"/>
  <c r="BN67" i="35"/>
  <c r="K50" i="294" s="1"/>
  <c r="BF58" i="35"/>
  <c r="BA67" i="35"/>
  <c r="BB67" i="35" s="1"/>
  <c r="BC67" i="35" s="1"/>
  <c r="BU62" i="35"/>
  <c r="BU38" i="35"/>
  <c r="AX3" i="35"/>
  <c r="BF55" i="35"/>
  <c r="BF88" i="35"/>
  <c r="J50" i="315" s="1"/>
  <c r="AX48" i="35"/>
  <c r="I50" i="275" s="1"/>
  <c r="BF8" i="35"/>
  <c r="BF30" i="35"/>
  <c r="BM26" i="35"/>
  <c r="CK19" i="35"/>
  <c r="CC35" i="35"/>
  <c r="BU42" i="35"/>
  <c r="BF87" i="35"/>
  <c r="J50" i="314" s="1"/>
  <c r="BU6" i="35"/>
  <c r="BF33" i="35"/>
  <c r="J50" i="260" s="1"/>
  <c r="AS55" i="35"/>
  <c r="AT55" i="35" s="1"/>
  <c r="BA35" i="35"/>
  <c r="BF62" i="35"/>
  <c r="BM64" i="35"/>
  <c r="CC40" i="35"/>
  <c r="BU86" i="35"/>
  <c r="BU46" i="35"/>
  <c r="BU66" i="35"/>
  <c r="BU18" i="35"/>
  <c r="BU31" i="35"/>
  <c r="BB56" i="35"/>
  <c r="BF65" i="35"/>
  <c r="J50" i="292" s="1"/>
  <c r="BU24" i="35"/>
  <c r="BM83" i="35"/>
  <c r="BF24" i="35"/>
  <c r="BF27" i="35"/>
  <c r="J50" i="254" s="1"/>
  <c r="CC67" i="35"/>
  <c r="BM47" i="35"/>
  <c r="BU25" i="35"/>
  <c r="BF54" i="35"/>
  <c r="BU58" i="35"/>
  <c r="BF44" i="35"/>
  <c r="BN23" i="35"/>
  <c r="K50" i="250" s="1"/>
  <c r="CD56" i="35"/>
  <c r="BU45" i="35"/>
  <c r="BF37" i="35"/>
  <c r="BN21" i="35"/>
  <c r="K50" i="248" s="1"/>
  <c r="BM3" i="35"/>
  <c r="CC84" i="35"/>
  <c r="CC12" i="35"/>
  <c r="BU55" i="35"/>
  <c r="BU50" i="35"/>
  <c r="BU85" i="35"/>
  <c r="BU14" i="35"/>
  <c r="BU88" i="35"/>
  <c r="CC51" i="35"/>
  <c r="AN62" i="35"/>
  <c r="AT44" i="35"/>
  <c r="AU44" i="35" s="1"/>
  <c r="AV44" i="35" s="1"/>
  <c r="AR66" i="35"/>
  <c r="AS66" i="35" s="1"/>
  <c r="AQ47" i="35"/>
  <c r="AY85" i="35"/>
  <c r="AY38" i="35"/>
  <c r="AZ38" i="35" s="1"/>
  <c r="BB40" i="35"/>
  <c r="BC40" i="35" s="1"/>
  <c r="AV33" i="35"/>
  <c r="AD64" i="35"/>
  <c r="AE64" i="35" s="1"/>
  <c r="AY24" i="35"/>
  <c r="AS12" i="35"/>
  <c r="X27" i="35"/>
  <c r="AR62" i="35"/>
  <c r="BC63" i="35"/>
  <c r="BD63" i="35" s="1"/>
  <c r="AF38" i="35"/>
  <c r="AY8" i="35"/>
  <c r="AD47" i="35"/>
  <c r="AE47" i="35" s="1"/>
  <c r="AV23" i="35"/>
  <c r="AZ21" i="35"/>
  <c r="AS31" i="35"/>
  <c r="AT31" i="35" s="1"/>
  <c r="X3" i="35"/>
  <c r="AM11" i="35"/>
  <c r="AN11" i="35" s="1"/>
  <c r="AU22" i="35"/>
  <c r="AV22" i="35" s="1"/>
  <c r="AT50" i="35"/>
  <c r="AU50" i="35" s="1"/>
  <c r="AR27" i="35"/>
  <c r="AR45" i="35"/>
  <c r="AN55" i="35"/>
  <c r="AU59" i="35"/>
  <c r="AV59" i="35" s="1"/>
  <c r="AV40" i="35"/>
  <c r="AT37" i="35"/>
  <c r="AU37" i="35" s="1"/>
  <c r="DP57" i="35" l="1"/>
  <c r="I134" i="284" s="1"/>
  <c r="J134" i="284" s="1"/>
  <c r="J132" i="243"/>
  <c r="H133" i="283"/>
  <c r="J133" i="283" s="1"/>
  <c r="H131" i="309"/>
  <c r="J131" i="309" s="1"/>
  <c r="O95" i="35"/>
  <c r="DD95" i="35"/>
  <c r="AZ25" i="35"/>
  <c r="AY95" i="35"/>
  <c r="F134" i="252"/>
  <c r="BU95" i="35"/>
  <c r="AT25" i="35"/>
  <c r="AU25" i="35" s="1"/>
  <c r="F131" i="252"/>
  <c r="CO95" i="35"/>
  <c r="AL25" i="35"/>
  <c r="AK95" i="35"/>
  <c r="AE25" i="35"/>
  <c r="AD95" i="35"/>
  <c r="AR95" i="35"/>
  <c r="BF95" i="35"/>
  <c r="CN95" i="35"/>
  <c r="CV95" i="35"/>
  <c r="DH7" i="35"/>
  <c r="I133" i="233" s="1"/>
  <c r="J133" i="233" s="1"/>
  <c r="CX18" i="35"/>
  <c r="G132" i="245" s="1"/>
  <c r="H131" i="283"/>
  <c r="J131" i="283" s="1"/>
  <c r="DP60" i="35"/>
  <c r="I134" i="287" s="1"/>
  <c r="J134" i="287" s="1"/>
  <c r="CR16" i="35"/>
  <c r="I131" i="243" s="1"/>
  <c r="J131" i="243" s="1"/>
  <c r="DH53" i="35"/>
  <c r="I133" i="280" s="1"/>
  <c r="J133" i="280" s="1"/>
  <c r="H131" i="256"/>
  <c r="J131" i="256" s="1"/>
  <c r="J133" i="276"/>
  <c r="CY37" i="35"/>
  <c r="H132" i="264" s="1"/>
  <c r="CR53" i="35"/>
  <c r="I131" i="280" s="1"/>
  <c r="J131" i="280" s="1"/>
  <c r="J132" i="311"/>
  <c r="CP65" i="35"/>
  <c r="G131" i="292" s="1"/>
  <c r="F131" i="281"/>
  <c r="DP23" i="35"/>
  <c r="I134" i="250" s="1"/>
  <c r="J134" i="250" s="1"/>
  <c r="CR60" i="35"/>
  <c r="I131" i="287" s="1"/>
  <c r="J131" i="287" s="1"/>
  <c r="H133" i="259"/>
  <c r="J133" i="259" s="1"/>
  <c r="CR17" i="35"/>
  <c r="I131" i="244" s="1"/>
  <c r="J131" i="244" s="1"/>
  <c r="DO51" i="35"/>
  <c r="H134" i="278" s="1"/>
  <c r="F132" i="258"/>
  <c r="DN20" i="35"/>
  <c r="G134" i="247" s="1"/>
  <c r="F134" i="265"/>
  <c r="CX14" i="35"/>
  <c r="G132" i="241" s="1"/>
  <c r="F132" i="234"/>
  <c r="CR40" i="35"/>
  <c r="I131" i="267" s="1"/>
  <c r="J131" i="267" s="1"/>
  <c r="CP41" i="35"/>
  <c r="CQ41" i="35" s="1"/>
  <c r="DO63" i="35"/>
  <c r="DP63" i="35" s="1"/>
  <c r="I134" i="290" s="1"/>
  <c r="H133" i="284"/>
  <c r="J133" i="284" s="1"/>
  <c r="E132" i="295"/>
  <c r="BY15" i="35"/>
  <c r="BZ15" i="35" s="1"/>
  <c r="CA15" i="35" s="1"/>
  <c r="CP66" i="35"/>
  <c r="G131" i="293" s="1"/>
  <c r="CZ29" i="35"/>
  <c r="I132" i="256" s="1"/>
  <c r="J132" i="256" s="1"/>
  <c r="DP56" i="35"/>
  <c r="I134" i="283" s="1"/>
  <c r="J134" i="283" s="1"/>
  <c r="DM86" i="35"/>
  <c r="F134" i="313" s="1"/>
  <c r="CP22" i="35"/>
  <c r="CQ22" i="35" s="1"/>
  <c r="DM64" i="35"/>
  <c r="F134" i="291" s="1"/>
  <c r="DO45" i="35"/>
  <c r="H134" i="272" s="1"/>
  <c r="CR35" i="35"/>
  <c r="I131" i="262" s="1"/>
  <c r="J131" i="262" s="1"/>
  <c r="CX45" i="35"/>
  <c r="G132" i="272" s="1"/>
  <c r="DF54" i="35"/>
  <c r="G133" i="281" s="1"/>
  <c r="CQ23" i="35"/>
  <c r="CR23" i="35" s="1"/>
  <c r="I131" i="250" s="1"/>
  <c r="H132" i="283"/>
  <c r="J132" i="283" s="1"/>
  <c r="F134" i="312"/>
  <c r="CZ17" i="35"/>
  <c r="I132" i="244" s="1"/>
  <c r="J132" i="244" s="1"/>
  <c r="G132" i="290"/>
  <c r="CZ35" i="35"/>
  <c r="I132" i="262" s="1"/>
  <c r="J132" i="262" s="1"/>
  <c r="DM68" i="35"/>
  <c r="F134" i="295" s="1"/>
  <c r="DN14" i="35"/>
  <c r="G134" i="241" s="1"/>
  <c r="AU28" i="35"/>
  <c r="AV28" i="35" s="1"/>
  <c r="CP37" i="35"/>
  <c r="G131" i="264" s="1"/>
  <c r="DF39" i="35"/>
  <c r="G133" i="266" s="1"/>
  <c r="F132" i="312"/>
  <c r="CQ51" i="35"/>
  <c r="G133" i="311"/>
  <c r="F134" i="285"/>
  <c r="F133" i="265"/>
  <c r="DH82" i="35"/>
  <c r="I133" i="309" s="1"/>
  <c r="J133" i="309" s="1"/>
  <c r="H134" i="242"/>
  <c r="J134" i="242" s="1"/>
  <c r="BK9" i="35"/>
  <c r="BL9" i="35" s="1"/>
  <c r="DG54" i="35"/>
  <c r="H133" i="281" s="1"/>
  <c r="CW62" i="35"/>
  <c r="F132" i="289" s="1"/>
  <c r="CQ55" i="35"/>
  <c r="H131" i="282" s="1"/>
  <c r="H131" i="311"/>
  <c r="J131" i="311" s="1"/>
  <c r="DF6" i="35"/>
  <c r="G133" i="232" s="1"/>
  <c r="DM83" i="35"/>
  <c r="DN83" i="35" s="1"/>
  <c r="G134" i="310" s="1"/>
  <c r="DN54" i="35"/>
  <c r="G134" i="281" s="1"/>
  <c r="DG27" i="35"/>
  <c r="DH27" i="35" s="1"/>
  <c r="I133" i="254" s="1"/>
  <c r="CY12" i="35"/>
  <c r="CZ12" i="35" s="1"/>
  <c r="I132" i="239" s="1"/>
  <c r="CX42" i="35"/>
  <c r="CY42" i="35" s="1"/>
  <c r="H132" i="269" s="1"/>
  <c r="DH16" i="35"/>
  <c r="I133" i="243" s="1"/>
  <c r="J133" i="243" s="1"/>
  <c r="H131" i="242"/>
  <c r="J131" i="242" s="1"/>
  <c r="CQ12" i="35"/>
  <c r="CR12" i="35" s="1"/>
  <c r="I131" i="239" s="1"/>
  <c r="CX54" i="35"/>
  <c r="G132" i="281" s="1"/>
  <c r="CX88" i="35"/>
  <c r="G132" i="315" s="1"/>
  <c r="CX27" i="35"/>
  <c r="CY27" i="35" s="1"/>
  <c r="AV65" i="35"/>
  <c r="DO58" i="35"/>
  <c r="H134" i="285" s="1"/>
  <c r="CW61" i="35"/>
  <c r="F132" i="288" s="1"/>
  <c r="CW64" i="35"/>
  <c r="F132" i="291" s="1"/>
  <c r="CQ9" i="35"/>
  <c r="CR9" i="35" s="1"/>
  <c r="I131" i="235" s="1"/>
  <c r="J134" i="259"/>
  <c r="J133" i="242"/>
  <c r="DP53" i="35"/>
  <c r="I134" i="280" s="1"/>
  <c r="H134" i="280"/>
  <c r="AT3" i="35"/>
  <c r="AU3" i="35" s="1"/>
  <c r="DE62" i="35"/>
  <c r="F133" i="289" s="1"/>
  <c r="DM4" i="35"/>
  <c r="F134" i="230" s="1"/>
  <c r="DO50" i="35"/>
  <c r="H134" i="277" s="1"/>
  <c r="CX65" i="35"/>
  <c r="G132" i="292" s="1"/>
  <c r="DE83" i="35"/>
  <c r="F133" i="310" s="1"/>
  <c r="CQ67" i="35"/>
  <c r="H131" i="294" s="1"/>
  <c r="CW86" i="35"/>
  <c r="F132" i="313" s="1"/>
  <c r="CP85" i="35"/>
  <c r="G131" i="312" s="1"/>
  <c r="CW21" i="35"/>
  <c r="CX21" i="35" s="1"/>
  <c r="G132" i="248" s="1"/>
  <c r="DE48" i="35"/>
  <c r="F133" i="275" s="1"/>
  <c r="DF66" i="35"/>
  <c r="G133" i="293" s="1"/>
  <c r="DN65" i="35"/>
  <c r="DO65" i="35" s="1"/>
  <c r="CO4" i="35"/>
  <c r="CP4" i="35" s="1"/>
  <c r="G133" i="234"/>
  <c r="DO67" i="35"/>
  <c r="F133" i="315"/>
  <c r="CP88" i="35"/>
  <c r="G131" i="315" s="1"/>
  <c r="DM47" i="35"/>
  <c r="F134" i="274" s="1"/>
  <c r="DO12" i="35"/>
  <c r="DP12" i="35" s="1"/>
  <c r="I134" i="239" s="1"/>
  <c r="DE44" i="35"/>
  <c r="F133" i="271" s="1"/>
  <c r="DH29" i="35"/>
  <c r="I133" i="256" s="1"/>
  <c r="J133" i="256" s="1"/>
  <c r="DP19" i="35"/>
  <c r="I134" i="246" s="1"/>
  <c r="J134" i="246" s="1"/>
  <c r="DF47" i="35"/>
  <c r="G133" i="274" s="1"/>
  <c r="DP7" i="35"/>
  <c r="I134" i="233" s="1"/>
  <c r="J134" i="233" s="1"/>
  <c r="CR52" i="35"/>
  <c r="I131" i="279" s="1"/>
  <c r="J131" i="279" s="1"/>
  <c r="DN18" i="35"/>
  <c r="DO18" i="35" s="1"/>
  <c r="CP47" i="35"/>
  <c r="CQ47" i="35" s="1"/>
  <c r="DP84" i="35"/>
  <c r="I134" i="311" s="1"/>
  <c r="J134" i="311" s="1"/>
  <c r="CP18" i="35"/>
  <c r="G131" i="245" s="1"/>
  <c r="DP11" i="35"/>
  <c r="I134" i="237" s="1"/>
  <c r="CW48" i="35"/>
  <c r="F132" i="275" s="1"/>
  <c r="DG45" i="35"/>
  <c r="DH45" i="35" s="1"/>
  <c r="I133" i="272" s="1"/>
  <c r="DN8" i="35"/>
  <c r="G134" i="234" s="1"/>
  <c r="G134" i="237"/>
  <c r="CQ59" i="35"/>
  <c r="H131" i="286" s="1"/>
  <c r="E131" i="289"/>
  <c r="F133" i="272"/>
  <c r="CX6" i="35"/>
  <c r="G132" i="232" s="1"/>
  <c r="DN44" i="35"/>
  <c r="G134" i="271" s="1"/>
  <c r="CP58" i="35"/>
  <c r="G131" i="285" s="1"/>
  <c r="CO83" i="35"/>
  <c r="F131" i="310" s="1"/>
  <c r="CX66" i="35"/>
  <c r="CO64" i="35"/>
  <c r="F131" i="291" s="1"/>
  <c r="CO48" i="35"/>
  <c r="CP62" i="35"/>
  <c r="CQ62" i="35" s="1"/>
  <c r="H131" i="289" s="1"/>
  <c r="CX87" i="35"/>
  <c r="G132" i="314" s="1"/>
  <c r="DN27" i="35"/>
  <c r="G134" i="254" s="1"/>
  <c r="H133" i="239"/>
  <c r="J133" i="239" s="1"/>
  <c r="CQ30" i="35"/>
  <c r="H131" i="257" s="1"/>
  <c r="DF14" i="35"/>
  <c r="DG14" i="35" s="1"/>
  <c r="AN64" i="35"/>
  <c r="AU42" i="35"/>
  <c r="AV42" i="35" s="1"/>
  <c r="CW47" i="35"/>
  <c r="F132" i="274" s="1"/>
  <c r="DN25" i="35"/>
  <c r="CX39" i="35"/>
  <c r="G132" i="266" s="1"/>
  <c r="DE64" i="35"/>
  <c r="F133" i="291" s="1"/>
  <c r="G132" i="278"/>
  <c r="CP33" i="35"/>
  <c r="G131" i="260" s="1"/>
  <c r="CZ49" i="35"/>
  <c r="I132" i="276" s="1"/>
  <c r="J132" i="276" s="1"/>
  <c r="J133" i="262"/>
  <c r="DM61" i="35"/>
  <c r="F134" i="288" s="1"/>
  <c r="DF34" i="35"/>
  <c r="G133" i="261" s="1"/>
  <c r="DM21" i="35"/>
  <c r="F134" i="248" s="1"/>
  <c r="J132" i="242"/>
  <c r="DO85" i="35"/>
  <c r="DP85" i="35" s="1"/>
  <c r="I134" i="312" s="1"/>
  <c r="DG88" i="35"/>
  <c r="DH88" i="35" s="1"/>
  <c r="I133" i="315" s="1"/>
  <c r="DN31" i="35"/>
  <c r="G134" i="258" s="1"/>
  <c r="CY67" i="35"/>
  <c r="H132" i="294" s="1"/>
  <c r="DG59" i="35"/>
  <c r="DN22" i="35"/>
  <c r="DO22" i="35" s="1"/>
  <c r="H134" i="249" s="1"/>
  <c r="CZ63" i="35"/>
  <c r="I132" i="290" s="1"/>
  <c r="DF87" i="35"/>
  <c r="G133" i="314" s="1"/>
  <c r="G132" i="294"/>
  <c r="CX38" i="35"/>
  <c r="CY38" i="35" s="1"/>
  <c r="DH60" i="35"/>
  <c r="I133" i="287" s="1"/>
  <c r="J133" i="287" s="1"/>
  <c r="J134" i="267"/>
  <c r="J132" i="246"/>
  <c r="CZ57" i="35"/>
  <c r="I132" i="284" s="1"/>
  <c r="J132" i="284" s="1"/>
  <c r="E134" i="289"/>
  <c r="DM62" i="35"/>
  <c r="F134" i="289" s="1"/>
  <c r="J133" i="246"/>
  <c r="CO68" i="35"/>
  <c r="CP68" i="35" s="1"/>
  <c r="G131" i="295" s="1"/>
  <c r="J130" i="244"/>
  <c r="J133" i="267"/>
  <c r="DM48" i="35"/>
  <c r="F134" i="275" s="1"/>
  <c r="DF11" i="35"/>
  <c r="DG11" i="35" s="1"/>
  <c r="H133" i="237" s="1"/>
  <c r="DN33" i="35"/>
  <c r="G134" i="260" s="1"/>
  <c r="CX11" i="35"/>
  <c r="G132" i="237" s="1"/>
  <c r="CX68" i="35"/>
  <c r="G132" i="295" s="1"/>
  <c r="CX58" i="35"/>
  <c r="G132" i="285" s="1"/>
  <c r="DM13" i="35"/>
  <c r="DN13" i="35" s="1"/>
  <c r="G134" i="240" s="1"/>
  <c r="J131" i="276"/>
  <c r="CP25" i="35"/>
  <c r="AY83" i="35"/>
  <c r="AZ83" i="35" s="1"/>
  <c r="BA83" i="35" s="1"/>
  <c r="BB83" i="35" s="1"/>
  <c r="BC83" i="35" s="1"/>
  <c r="BD83" i="35" s="1"/>
  <c r="I50" i="310"/>
  <c r="DF55" i="35"/>
  <c r="G133" i="282" s="1"/>
  <c r="F133" i="282"/>
  <c r="DG63" i="35"/>
  <c r="G133" i="290"/>
  <c r="E131" i="236"/>
  <c r="CO10" i="35"/>
  <c r="DE86" i="35"/>
  <c r="F133" i="313" s="1"/>
  <c r="E133" i="313"/>
  <c r="F133" i="292"/>
  <c r="DF65" i="35"/>
  <c r="G133" i="292" s="1"/>
  <c r="CR19" i="35"/>
  <c r="I131" i="246" s="1"/>
  <c r="H131" i="246"/>
  <c r="CW24" i="35"/>
  <c r="E132" i="251"/>
  <c r="DG37" i="35"/>
  <c r="G133" i="264"/>
  <c r="CZ7" i="35"/>
  <c r="I132" i="233" s="1"/>
  <c r="H132" i="233"/>
  <c r="CP20" i="35"/>
  <c r="G131" i="247" s="1"/>
  <c r="F131" i="247"/>
  <c r="CP11" i="35"/>
  <c r="G131" i="237" s="1"/>
  <c r="F131" i="237"/>
  <c r="BG37" i="35"/>
  <c r="BH37" i="35" s="1"/>
  <c r="J50" i="264"/>
  <c r="BG44" i="35"/>
  <c r="BH44" i="35" s="1"/>
  <c r="J50" i="271"/>
  <c r="BO20" i="35"/>
  <c r="BP20" i="35" s="1"/>
  <c r="K50" i="247"/>
  <c r="BW7" i="35"/>
  <c r="BX7" i="35" s="1"/>
  <c r="L50" i="233"/>
  <c r="DE3" i="35"/>
  <c r="F133" i="229" s="1"/>
  <c r="E133" i="229"/>
  <c r="CP34" i="35"/>
  <c r="G131" i="261" s="1"/>
  <c r="F131" i="261"/>
  <c r="DH9" i="35"/>
  <c r="I133" i="235" s="1"/>
  <c r="G133" i="235"/>
  <c r="DO59" i="35"/>
  <c r="G134" i="286"/>
  <c r="DH84" i="35"/>
  <c r="I133" i="311" s="1"/>
  <c r="H133" i="311"/>
  <c r="G133" i="294"/>
  <c r="DG67" i="35"/>
  <c r="CE56" i="35"/>
  <c r="D130" i="283" s="1"/>
  <c r="M50" i="283"/>
  <c r="BG54" i="35"/>
  <c r="BH54" i="35" s="1"/>
  <c r="J50" i="281"/>
  <c r="BG8" i="35"/>
  <c r="BH8" i="35" s="1"/>
  <c r="BI8" i="35" s="1"/>
  <c r="J50" i="234"/>
  <c r="AY3" i="35"/>
  <c r="AZ3" i="35" s="1"/>
  <c r="BA3" i="35" s="1"/>
  <c r="BB3" i="35" s="1"/>
  <c r="BC3" i="35" s="1"/>
  <c r="I50" i="229"/>
  <c r="BG58" i="35"/>
  <c r="BH58" i="35" s="1"/>
  <c r="BI58" i="35" s="1"/>
  <c r="J50" i="285"/>
  <c r="BG22" i="35"/>
  <c r="BH22" i="35" s="1"/>
  <c r="BI22" i="35" s="1"/>
  <c r="J50" i="249"/>
  <c r="BG42" i="35"/>
  <c r="BH42" i="35" s="1"/>
  <c r="BI42" i="35" s="1"/>
  <c r="J50" i="269"/>
  <c r="BG38" i="35"/>
  <c r="BH38" i="35" s="1"/>
  <c r="J50" i="265"/>
  <c r="AY47" i="35"/>
  <c r="AZ47" i="35" s="1"/>
  <c r="BA47" i="35" s="1"/>
  <c r="BB47" i="35" s="1"/>
  <c r="I50" i="274"/>
  <c r="CW28" i="35"/>
  <c r="E132" i="255"/>
  <c r="CW26" i="35"/>
  <c r="F132" i="253" s="1"/>
  <c r="E132" i="253"/>
  <c r="CP31" i="35"/>
  <c r="G131" i="258" s="1"/>
  <c r="F131" i="258"/>
  <c r="DM3" i="35"/>
  <c r="F134" i="229" s="1"/>
  <c r="E134" i="229"/>
  <c r="CW4" i="35"/>
  <c r="F132" i="230" s="1"/>
  <c r="E132" i="230"/>
  <c r="E134" i="236"/>
  <c r="DM10" i="35"/>
  <c r="G132" i="234"/>
  <c r="CY8" i="35"/>
  <c r="H132" i="234" s="1"/>
  <c r="DO9" i="35"/>
  <c r="H134" i="235" s="1"/>
  <c r="G134" i="235"/>
  <c r="DP35" i="35"/>
  <c r="I134" i="262" s="1"/>
  <c r="H134" i="262"/>
  <c r="F133" i="285"/>
  <c r="DF58" i="35"/>
  <c r="DE24" i="35"/>
  <c r="E133" i="251"/>
  <c r="CR57" i="35"/>
  <c r="I131" i="284" s="1"/>
  <c r="H131" i="284"/>
  <c r="F133" i="269"/>
  <c r="DF42" i="35"/>
  <c r="E131" i="271"/>
  <c r="CO44" i="35"/>
  <c r="CY31" i="35"/>
  <c r="G132" i="258"/>
  <c r="F133" i="277"/>
  <c r="DF50" i="35"/>
  <c r="F134" i="264"/>
  <c r="DO37" i="35"/>
  <c r="DF33" i="35"/>
  <c r="F133" i="260"/>
  <c r="CQ63" i="35"/>
  <c r="G131" i="290"/>
  <c r="DH8" i="35"/>
  <c r="I133" i="234" s="1"/>
  <c r="H133" i="234"/>
  <c r="J132" i="280"/>
  <c r="BA31" i="35"/>
  <c r="BB31" i="35" s="1"/>
  <c r="BC31" i="35" s="1"/>
  <c r="BD31" i="35" s="1"/>
  <c r="CP39" i="35"/>
  <c r="CO13" i="35"/>
  <c r="DG38" i="35"/>
  <c r="DN87" i="35"/>
  <c r="CP27" i="35"/>
  <c r="G131" i="254" s="1"/>
  <c r="CP42" i="35"/>
  <c r="CY23" i="35"/>
  <c r="CP8" i="35"/>
  <c r="CY22" i="35"/>
  <c r="BG30" i="35"/>
  <c r="BH30" i="35" s="1"/>
  <c r="BI30" i="35" s="1"/>
  <c r="J50" i="257"/>
  <c r="BG55" i="35"/>
  <c r="BH55" i="35" s="1"/>
  <c r="BI55" i="35" s="1"/>
  <c r="J50" i="282"/>
  <c r="AY26" i="35"/>
  <c r="AZ26" i="35" s="1"/>
  <c r="BA26" i="35" s="1"/>
  <c r="I50" i="253"/>
  <c r="CE15" i="35"/>
  <c r="D130" i="242" s="1"/>
  <c r="M50" i="242"/>
  <c r="CO86" i="35"/>
  <c r="F131" i="313" s="1"/>
  <c r="E131" i="313"/>
  <c r="DG23" i="35"/>
  <c r="G133" i="250"/>
  <c r="CY85" i="35"/>
  <c r="H132" i="312" s="1"/>
  <c r="G132" i="312"/>
  <c r="E131" i="253"/>
  <c r="CO26" i="35"/>
  <c r="F131" i="253" s="1"/>
  <c r="DN26" i="35"/>
  <c r="G134" i="253" s="1"/>
  <c r="F134" i="253"/>
  <c r="F134" i="269"/>
  <c r="DN42" i="35"/>
  <c r="G134" i="282"/>
  <c r="DO55" i="35"/>
  <c r="CZ51" i="35"/>
  <c r="I132" i="278" s="1"/>
  <c r="H132" i="278"/>
  <c r="AY10" i="35"/>
  <c r="AZ10" i="35" s="1"/>
  <c r="BA10" i="35" s="1"/>
  <c r="BB10" i="35" s="1"/>
  <c r="I50" i="236"/>
  <c r="BG25" i="35"/>
  <c r="J50" i="252"/>
  <c r="BW19" i="35"/>
  <c r="BX19" i="35" s="1"/>
  <c r="L50" i="246"/>
  <c r="BG41" i="35"/>
  <c r="BH41" i="35" s="1"/>
  <c r="BI41" i="35" s="1"/>
  <c r="J50" i="268"/>
  <c r="BO51" i="35"/>
  <c r="BP51" i="35" s="1"/>
  <c r="K50" i="278"/>
  <c r="CO24" i="35"/>
  <c r="F131" i="251" s="1"/>
  <c r="E131" i="251"/>
  <c r="CX25" i="35"/>
  <c r="F132" i="252"/>
  <c r="DF18" i="35"/>
  <c r="G133" i="245" s="1"/>
  <c r="F133" i="245"/>
  <c r="CW44" i="35"/>
  <c r="E132" i="271"/>
  <c r="CP6" i="35"/>
  <c r="F131" i="232"/>
  <c r="F133" i="247"/>
  <c r="DF20" i="35"/>
  <c r="F131" i="241"/>
  <c r="CP14" i="35"/>
  <c r="G134" i="268"/>
  <c r="DO41" i="35"/>
  <c r="CY9" i="35"/>
  <c r="H132" i="235" s="1"/>
  <c r="G132" i="235"/>
  <c r="G131" i="277"/>
  <c r="CQ50" i="35"/>
  <c r="DP16" i="35"/>
  <c r="I134" i="243" s="1"/>
  <c r="H134" i="243"/>
  <c r="BG24" i="35"/>
  <c r="BH24" i="35" s="1"/>
  <c r="J50" i="251"/>
  <c r="BG62" i="35"/>
  <c r="BH62" i="35" s="1"/>
  <c r="J50" i="289"/>
  <c r="BG46" i="35"/>
  <c r="BH46" i="35" s="1"/>
  <c r="BI46" i="35" s="1"/>
  <c r="BJ46" i="35" s="1"/>
  <c r="BO40" i="35"/>
  <c r="BP40" i="35" s="1"/>
  <c r="BQ40" i="35" s="1"/>
  <c r="K50" i="267"/>
  <c r="BG6" i="35"/>
  <c r="BH6" i="35" s="1"/>
  <c r="BI6" i="35" s="1"/>
  <c r="J50" i="232"/>
  <c r="BO35" i="35"/>
  <c r="BP35" i="35" s="1"/>
  <c r="K50" i="262"/>
  <c r="BG39" i="35"/>
  <c r="BH39" i="35" s="1"/>
  <c r="BI39" i="35" s="1"/>
  <c r="J50" i="266"/>
  <c r="BG61" i="35"/>
  <c r="BH61" i="35" s="1"/>
  <c r="BI61" i="35" s="1"/>
  <c r="J50" i="288"/>
  <c r="BO34" i="35"/>
  <c r="BP34" i="35" s="1"/>
  <c r="K50" i="261"/>
  <c r="AY4" i="35"/>
  <c r="AZ4" i="35" s="1"/>
  <c r="BA4" i="35" s="1"/>
  <c r="BB4" i="35" s="1"/>
  <c r="I50" i="230"/>
  <c r="CW3" i="35"/>
  <c r="F132" i="229" s="1"/>
  <c r="E132" i="229"/>
  <c r="DM28" i="35"/>
  <c r="F134" i="255" s="1"/>
  <c r="E134" i="255"/>
  <c r="CX34" i="35"/>
  <c r="G132" i="261" s="1"/>
  <c r="F132" i="261"/>
  <c r="DF22" i="35"/>
  <c r="G133" i="249" s="1"/>
  <c r="F133" i="249"/>
  <c r="CX33" i="35"/>
  <c r="F132" i="260"/>
  <c r="F133" i="258"/>
  <c r="DF31" i="35"/>
  <c r="E131" i="248"/>
  <c r="CO21" i="35"/>
  <c r="F131" i="314"/>
  <c r="CP87" i="35"/>
  <c r="G133" i="278"/>
  <c r="DG51" i="35"/>
  <c r="DE21" i="35"/>
  <c r="E133" i="248"/>
  <c r="CX20" i="35"/>
  <c r="F132" i="247"/>
  <c r="CX55" i="35"/>
  <c r="F132" i="282"/>
  <c r="DP17" i="35"/>
  <c r="I134" i="244" s="1"/>
  <c r="H134" i="244"/>
  <c r="G134" i="265"/>
  <c r="DO38" i="35"/>
  <c r="CQ54" i="35"/>
  <c r="G131" i="281"/>
  <c r="E131" i="288"/>
  <c r="CO61" i="35"/>
  <c r="CP61" i="35" s="1"/>
  <c r="CR7" i="35"/>
  <c r="I131" i="233" s="1"/>
  <c r="H131" i="233"/>
  <c r="DF85" i="35"/>
  <c r="F133" i="312"/>
  <c r="CX50" i="35"/>
  <c r="F132" i="277"/>
  <c r="CX30" i="35"/>
  <c r="F132" i="257"/>
  <c r="DH17" i="35"/>
  <c r="I133" i="244" s="1"/>
  <c r="H133" i="244"/>
  <c r="DN6" i="35"/>
  <c r="F134" i="232"/>
  <c r="CX41" i="35"/>
  <c r="G132" i="268" s="1"/>
  <c r="F132" i="268"/>
  <c r="F133" i="252"/>
  <c r="DF25" i="35"/>
  <c r="DF30" i="35"/>
  <c r="G133" i="257" s="1"/>
  <c r="DE68" i="35"/>
  <c r="BA39" i="35"/>
  <c r="BB39" i="35" s="1"/>
  <c r="BC39" i="35" s="1"/>
  <c r="BA46" i="35"/>
  <c r="BB46" i="35" s="1"/>
  <c r="BC46" i="35" s="1"/>
  <c r="BD46" i="35" s="1"/>
  <c r="DN39" i="35"/>
  <c r="DF41" i="35"/>
  <c r="G133" i="268" s="1"/>
  <c r="CW83" i="35"/>
  <c r="F132" i="310" s="1"/>
  <c r="DM24" i="35"/>
  <c r="F134" i="251" s="1"/>
  <c r="CZ40" i="35"/>
  <c r="I132" i="267" s="1"/>
  <c r="J132" i="267" s="1"/>
  <c r="CZ59" i="35"/>
  <c r="I132" i="286" s="1"/>
  <c r="J132" i="286" s="1"/>
  <c r="DE61" i="35"/>
  <c r="DN66" i="35"/>
  <c r="DN34" i="35"/>
  <c r="DN30" i="35"/>
  <c r="DE13" i="35"/>
  <c r="CO28" i="35"/>
  <c r="DE28" i="35"/>
  <c r="F133" i="255" s="1"/>
  <c r="CP38" i="35"/>
  <c r="G131" i="265" s="1"/>
  <c r="CW10" i="35"/>
  <c r="F132" i="236" s="1"/>
  <c r="DN88" i="35"/>
  <c r="DE10" i="35"/>
  <c r="F133" i="236" s="1"/>
  <c r="CP45" i="35"/>
  <c r="DE4" i="35"/>
  <c r="DE26" i="35"/>
  <c r="CO3" i="35"/>
  <c r="CW13" i="35"/>
  <c r="F132" i="240" s="1"/>
  <c r="CC9" i="35"/>
  <c r="BV9" i="35" s="1"/>
  <c r="L50" i="235" s="1"/>
  <c r="BO9" i="35"/>
  <c r="BP9" i="35" s="1"/>
  <c r="BD34" i="35"/>
  <c r="BI34" i="35"/>
  <c r="BJ34" i="35" s="1"/>
  <c r="BJ7" i="35"/>
  <c r="BK7" i="35" s="1"/>
  <c r="BL7" i="35" s="1"/>
  <c r="CK7" i="35"/>
  <c r="CD7" i="35" s="1"/>
  <c r="M50" i="233" s="1"/>
  <c r="BF4" i="35"/>
  <c r="AR4" i="35"/>
  <c r="AS4" i="35" s="1"/>
  <c r="AT4" i="35" s="1"/>
  <c r="BU4" i="35"/>
  <c r="AL4" i="35"/>
  <c r="AM4" i="35" s="1"/>
  <c r="AN4" i="35" s="1"/>
  <c r="BB84" i="35"/>
  <c r="BC84" i="35" s="1"/>
  <c r="BD84" i="35" s="1"/>
  <c r="AU55" i="35"/>
  <c r="AV55" i="35" s="1"/>
  <c r="AU39" i="35"/>
  <c r="AV39" i="35" s="1"/>
  <c r="AT88" i="35"/>
  <c r="AU88" i="35" s="1"/>
  <c r="AV88" i="35" s="1"/>
  <c r="BB41" i="35"/>
  <c r="BC41" i="35" s="1"/>
  <c r="BC28" i="35"/>
  <c r="BD28" i="35" s="1"/>
  <c r="BT56" i="35"/>
  <c r="AS13" i="35"/>
  <c r="AT13" i="35" s="1"/>
  <c r="AU13" i="35" s="1"/>
  <c r="AV13" i="35" s="1"/>
  <c r="BB65" i="35"/>
  <c r="BC65" i="35" s="1"/>
  <c r="BD65" i="35" s="1"/>
  <c r="BA50" i="35"/>
  <c r="BB50" i="35" s="1"/>
  <c r="AS83" i="35"/>
  <c r="AT83" i="35" s="1"/>
  <c r="BU61" i="35"/>
  <c r="BN61" i="35" s="1"/>
  <c r="CC34" i="35"/>
  <c r="BV34" i="35" s="1"/>
  <c r="BF13" i="35"/>
  <c r="BQ7" i="35"/>
  <c r="BR7" i="35" s="1"/>
  <c r="BS7" i="35" s="1"/>
  <c r="BN28" i="35"/>
  <c r="BR19" i="35"/>
  <c r="BS19" i="35" s="1"/>
  <c r="BT19" i="35" s="1"/>
  <c r="AD13" i="35"/>
  <c r="AV46" i="35"/>
  <c r="BD40" i="35"/>
  <c r="AF47" i="35"/>
  <c r="BI23" i="35"/>
  <c r="BB86" i="35"/>
  <c r="BC86" i="35" s="1"/>
  <c r="BD86" i="35" s="1"/>
  <c r="BJ59" i="35"/>
  <c r="BK59" i="35" s="1"/>
  <c r="BG14" i="35"/>
  <c r="BH14" i="35" s="1"/>
  <c r="AY61" i="35"/>
  <c r="AU85" i="35"/>
  <c r="AV85" i="35" s="1"/>
  <c r="AT41" i="35"/>
  <c r="AU41" i="35" s="1"/>
  <c r="BU13" i="35"/>
  <c r="CC28" i="35"/>
  <c r="BG28" i="35"/>
  <c r="AZ27" i="35"/>
  <c r="BA27" i="35" s="1"/>
  <c r="AY13" i="35"/>
  <c r="AZ13" i="35" s="1"/>
  <c r="BB37" i="35"/>
  <c r="BC37" i="35" s="1"/>
  <c r="BD37" i="35" s="1"/>
  <c r="AM47" i="35"/>
  <c r="AN47" i="35" s="1"/>
  <c r="AS61" i="35"/>
  <c r="AT61" i="35" s="1"/>
  <c r="AU61" i="35" s="1"/>
  <c r="BA38" i="35"/>
  <c r="BB38" i="35" s="1"/>
  <c r="BC38" i="35" s="1"/>
  <c r="BD38" i="35" s="1"/>
  <c r="BJ19" i="35"/>
  <c r="BK19" i="35" s="1"/>
  <c r="BL19" i="35" s="1"/>
  <c r="BB87" i="35"/>
  <c r="AV8" i="35"/>
  <c r="AV24" i="35"/>
  <c r="BN85" i="35"/>
  <c r="K50" i="312" s="1"/>
  <c r="BV84" i="35"/>
  <c r="CC45" i="35"/>
  <c r="BN66" i="35"/>
  <c r="BF64" i="35"/>
  <c r="J50" i="291" s="1"/>
  <c r="CK35" i="35"/>
  <c r="BU26" i="35"/>
  <c r="CC44" i="35"/>
  <c r="CC39" i="35"/>
  <c r="BV20" i="35"/>
  <c r="L50" i="247" s="1"/>
  <c r="CC65" i="35"/>
  <c r="BN33" i="35"/>
  <c r="CC8" i="35"/>
  <c r="BN45" i="35"/>
  <c r="CK67" i="35"/>
  <c r="BU83" i="35"/>
  <c r="CC18" i="35"/>
  <c r="CK40" i="35"/>
  <c r="BF26" i="35"/>
  <c r="J50" i="253" s="1"/>
  <c r="BQ15" i="35"/>
  <c r="BN44" i="35"/>
  <c r="K50" i="271" s="1"/>
  <c r="CC54" i="35"/>
  <c r="BV59" i="35"/>
  <c r="BF10" i="35"/>
  <c r="BN11" i="35"/>
  <c r="BN8" i="35"/>
  <c r="K50" i="234" s="1"/>
  <c r="BV12" i="35"/>
  <c r="BF3" i="35"/>
  <c r="BF47" i="35"/>
  <c r="BF83" i="35"/>
  <c r="BN18" i="35"/>
  <c r="K50" i="245" s="1"/>
  <c r="BV40" i="35"/>
  <c r="L50" i="267" s="1"/>
  <c r="CC6" i="35"/>
  <c r="CC42" i="35"/>
  <c r="AS27" i="35"/>
  <c r="AT27" i="35" s="1"/>
  <c r="AU27" i="35" s="1"/>
  <c r="CC88" i="35"/>
  <c r="CC85" i="35"/>
  <c r="CC50" i="35"/>
  <c r="CC55" i="35"/>
  <c r="CK84" i="35"/>
  <c r="CC25" i="35"/>
  <c r="CC24" i="35"/>
  <c r="CC31" i="35"/>
  <c r="CC66" i="35"/>
  <c r="CC86" i="35"/>
  <c r="BU64" i="35"/>
  <c r="BN6" i="35"/>
  <c r="BN42" i="35"/>
  <c r="CD19" i="35"/>
  <c r="CC38" i="35"/>
  <c r="BA88" i="35"/>
  <c r="BH21" i="35"/>
  <c r="BI21" i="35" s="1"/>
  <c r="BI40" i="35"/>
  <c r="BA62" i="35"/>
  <c r="BV21" i="35"/>
  <c r="L50" i="248" s="1"/>
  <c r="CK23" i="35"/>
  <c r="BN27" i="35"/>
  <c r="BN22" i="35"/>
  <c r="CK20" i="35"/>
  <c r="CC33" i="35"/>
  <c r="BN41" i="35"/>
  <c r="K50" i="268" s="1"/>
  <c r="AV6" i="35"/>
  <c r="BC42" i="35"/>
  <c r="BD42" i="35" s="1"/>
  <c r="BB30" i="35"/>
  <c r="BC30" i="35" s="1"/>
  <c r="BD30" i="35" s="1"/>
  <c r="AF88" i="35"/>
  <c r="BO23" i="35"/>
  <c r="BP23" i="35" s="1"/>
  <c r="BQ23" i="35" s="1"/>
  <c r="BG33" i="35"/>
  <c r="BH33" i="35" s="1"/>
  <c r="BH67" i="35"/>
  <c r="BI67" i="35" s="1"/>
  <c r="BI84" i="35"/>
  <c r="BJ84" i="35" s="1"/>
  <c r="AU11" i="35"/>
  <c r="AV11" i="35" s="1"/>
  <c r="BG66" i="35"/>
  <c r="BG86" i="35"/>
  <c r="BH86" i="35" s="1"/>
  <c r="BO63" i="35"/>
  <c r="BP63" i="35" s="1"/>
  <c r="BQ63" i="35" s="1"/>
  <c r="BG50" i="35"/>
  <c r="BH50" i="35" s="1"/>
  <c r="BO12" i="35"/>
  <c r="AS45" i="35"/>
  <c r="AT45" i="35" s="1"/>
  <c r="BB35" i="35"/>
  <c r="BA33" i="35"/>
  <c r="BB33" i="35" s="1"/>
  <c r="BC33" i="35" s="1"/>
  <c r="BD33" i="35" s="1"/>
  <c r="AV50" i="35"/>
  <c r="BD51" i="35"/>
  <c r="AS14" i="35"/>
  <c r="AT14" i="35" s="1"/>
  <c r="AS64" i="35"/>
  <c r="AT64" i="35" s="1"/>
  <c r="AF64" i="35"/>
  <c r="AZ8" i="35"/>
  <c r="BA8" i="35" s="1"/>
  <c r="BB8" i="35" s="1"/>
  <c r="AV37" i="35"/>
  <c r="BG65" i="35"/>
  <c r="BH65" i="35" s="1"/>
  <c r="BG87" i="35"/>
  <c r="AY48" i="35"/>
  <c r="BG88" i="35"/>
  <c r="BA21" i="35"/>
  <c r="BB21" i="35" s="1"/>
  <c r="AZ45" i="35"/>
  <c r="BA45" i="35" s="1"/>
  <c r="AT12" i="35"/>
  <c r="BO21" i="35"/>
  <c r="BP21" i="35" s="1"/>
  <c r="BQ21" i="35" s="1"/>
  <c r="BC56" i="35"/>
  <c r="BD56" i="35" s="1"/>
  <c r="BD67" i="35"/>
  <c r="BO67" i="35"/>
  <c r="AT58" i="35"/>
  <c r="AU58" i="35" s="1"/>
  <c r="BB6" i="35"/>
  <c r="BC6" i="35" s="1"/>
  <c r="BD6" i="35" s="1"/>
  <c r="AU31" i="35"/>
  <c r="AV31" i="35" s="1"/>
  <c r="BA18" i="35"/>
  <c r="BB18" i="35" s="1"/>
  <c r="BG31" i="35"/>
  <c r="BO59" i="35"/>
  <c r="AN8" i="35"/>
  <c r="BG45" i="35"/>
  <c r="BH45" i="35" s="1"/>
  <c r="BI45" i="35" s="1"/>
  <c r="AT66" i="35"/>
  <c r="AU66" i="35" s="1"/>
  <c r="AV66" i="35" s="1"/>
  <c r="BH51" i="35"/>
  <c r="BI51" i="35" s="1"/>
  <c r="BJ51" i="35" s="1"/>
  <c r="BH20" i="35"/>
  <c r="BI20" i="35" s="1"/>
  <c r="BJ20" i="35" s="1"/>
  <c r="BY56" i="35"/>
  <c r="BZ56" i="35" s="1"/>
  <c r="BJ63" i="35"/>
  <c r="BK63" i="35" s="1"/>
  <c r="BN88" i="35"/>
  <c r="K50" i="315" s="1"/>
  <c r="BN50" i="35"/>
  <c r="K50" i="277" s="1"/>
  <c r="BN55" i="35"/>
  <c r="K50" i="282" s="1"/>
  <c r="BN25" i="35"/>
  <c r="BN24" i="35"/>
  <c r="K50" i="251" s="1"/>
  <c r="BN31" i="35"/>
  <c r="BN86" i="35"/>
  <c r="K50" i="313" s="1"/>
  <c r="BN38" i="35"/>
  <c r="CC37" i="35"/>
  <c r="CK59" i="35"/>
  <c r="BU10" i="35"/>
  <c r="BN30" i="35"/>
  <c r="AZ24" i="35"/>
  <c r="BA24" i="35" s="1"/>
  <c r="CK51" i="35"/>
  <c r="CC14" i="35"/>
  <c r="CK12" i="35"/>
  <c r="BU3" i="35"/>
  <c r="CC58" i="35"/>
  <c r="BU47" i="35"/>
  <c r="CC46" i="35"/>
  <c r="BV35" i="35"/>
  <c r="L50" i="262" s="1"/>
  <c r="CC62" i="35"/>
  <c r="BU48" i="35"/>
  <c r="BN37" i="35"/>
  <c r="BN39" i="35"/>
  <c r="BN65" i="35"/>
  <c r="K50" i="292" s="1"/>
  <c r="CK63" i="35"/>
  <c r="CC87" i="35"/>
  <c r="CC30" i="35"/>
  <c r="BV51" i="35"/>
  <c r="BN14" i="35"/>
  <c r="K50" i="241" s="1"/>
  <c r="BN58" i="35"/>
  <c r="K50" i="285" s="1"/>
  <c r="BV67" i="35"/>
  <c r="BN46" i="35"/>
  <c r="BN62" i="35"/>
  <c r="BF48" i="35"/>
  <c r="J50" i="275" s="1"/>
  <c r="BA44" i="35"/>
  <c r="BA12" i="35"/>
  <c r="BB12" i="35" s="1"/>
  <c r="BB22" i="35"/>
  <c r="BC22" i="35" s="1"/>
  <c r="AZ14" i="35"/>
  <c r="CK21" i="35"/>
  <c r="BV23" i="35"/>
  <c r="BN54" i="35"/>
  <c r="K50" i="281" s="1"/>
  <c r="CC27" i="35"/>
  <c r="CC22" i="35"/>
  <c r="AK48" i="35"/>
  <c r="AL48" i="35" s="1"/>
  <c r="CC11" i="35"/>
  <c r="BV63" i="35"/>
  <c r="BN87" i="35"/>
  <c r="CC41" i="35"/>
  <c r="AU10" i="35"/>
  <c r="AV10" i="35" s="1"/>
  <c r="BJ12" i="35"/>
  <c r="BK12" i="35" s="1"/>
  <c r="BG27" i="35"/>
  <c r="BH27" i="35" s="1"/>
  <c r="BG18" i="35"/>
  <c r="BH18" i="35" s="1"/>
  <c r="AY64" i="35"/>
  <c r="AZ64" i="35" s="1"/>
  <c r="BG11" i="35"/>
  <c r="BG85" i="35"/>
  <c r="BO84" i="35"/>
  <c r="AS48" i="35"/>
  <c r="AT48" i="35" s="1"/>
  <c r="AV38" i="35"/>
  <c r="BA66" i="35"/>
  <c r="BB66" i="35" s="1"/>
  <c r="BC66" i="35" s="1"/>
  <c r="BD66" i="35" s="1"/>
  <c r="BI35" i="35"/>
  <c r="BJ35" i="35" s="1"/>
  <c r="AZ85" i="35"/>
  <c r="AR47" i="35"/>
  <c r="BA11" i="35"/>
  <c r="BD20" i="35"/>
  <c r="BC55" i="35"/>
  <c r="BD55" i="35" s="1"/>
  <c r="AL10" i="35"/>
  <c r="AM10" i="35" s="1"/>
  <c r="AN10" i="35" s="1"/>
  <c r="AS62" i="35"/>
  <c r="AS95" i="35" s="1"/>
  <c r="AZ54" i="35"/>
  <c r="AS26" i="35"/>
  <c r="AM25" i="35" l="1"/>
  <c r="AM95" i="35" s="1"/>
  <c r="AL95" i="35"/>
  <c r="BH25" i="35"/>
  <c r="BG95" i="35"/>
  <c r="G131" i="252"/>
  <c r="CP95" i="35"/>
  <c r="DO25" i="35"/>
  <c r="DP25" i="35" s="1"/>
  <c r="CW95" i="35"/>
  <c r="G132" i="252"/>
  <c r="AV25" i="35"/>
  <c r="BA25" i="35"/>
  <c r="AZ95" i="35"/>
  <c r="AF25" i="35"/>
  <c r="AF95" i="35" s="1"/>
  <c r="AE95" i="35"/>
  <c r="BN95" i="35"/>
  <c r="CC95" i="35"/>
  <c r="DE95" i="35"/>
  <c r="DM95" i="35"/>
  <c r="CY18" i="35"/>
  <c r="H132" i="245" s="1"/>
  <c r="G131" i="249"/>
  <c r="F134" i="310"/>
  <c r="G131" i="268"/>
  <c r="DP45" i="35"/>
  <c r="I134" i="272" s="1"/>
  <c r="J134" i="272" s="1"/>
  <c r="CZ37" i="35"/>
  <c r="I132" i="264" s="1"/>
  <c r="J132" i="264" s="1"/>
  <c r="AV3" i="35"/>
  <c r="CY54" i="35"/>
  <c r="CZ54" i="35" s="1"/>
  <c r="I132" i="281" s="1"/>
  <c r="CR30" i="35"/>
  <c r="I131" i="257" s="1"/>
  <c r="J131" i="257" s="1"/>
  <c r="CX62" i="35"/>
  <c r="G132" i="289" s="1"/>
  <c r="CQ65" i="35"/>
  <c r="CR65" i="35" s="1"/>
  <c r="I131" i="292" s="1"/>
  <c r="CR55" i="35"/>
  <c r="I131" i="282" s="1"/>
  <c r="J131" i="282" s="1"/>
  <c r="DP51" i="35"/>
  <c r="I134" i="278" s="1"/>
  <c r="J134" i="278" s="1"/>
  <c r="CY14" i="35"/>
  <c r="CZ14" i="35" s="1"/>
  <c r="I132" i="241" s="1"/>
  <c r="G132" i="269"/>
  <c r="DO20" i="35"/>
  <c r="DP20" i="35" s="1"/>
  <c r="I134" i="247" s="1"/>
  <c r="DH54" i="35"/>
  <c r="I133" i="281" s="1"/>
  <c r="J133" i="281" s="1"/>
  <c r="H134" i="290"/>
  <c r="J134" i="290" s="1"/>
  <c r="H131" i="250"/>
  <c r="J131" i="250" s="1"/>
  <c r="J132" i="290"/>
  <c r="DN86" i="35"/>
  <c r="DO86" i="35" s="1"/>
  <c r="H131" i="239"/>
  <c r="J131" i="239" s="1"/>
  <c r="DO14" i="35"/>
  <c r="H134" i="241" s="1"/>
  <c r="DF44" i="35"/>
  <c r="G133" i="271" s="1"/>
  <c r="F131" i="230"/>
  <c r="CQ66" i="35"/>
  <c r="CR66" i="35" s="1"/>
  <c r="I131" i="293" s="1"/>
  <c r="DN64" i="35"/>
  <c r="G134" i="291" s="1"/>
  <c r="F132" i="248"/>
  <c r="DP58" i="35"/>
  <c r="I134" i="285" s="1"/>
  <c r="J134" i="285" s="1"/>
  <c r="DG39" i="35"/>
  <c r="DH39" i="35" s="1"/>
  <c r="I133" i="266" s="1"/>
  <c r="CX47" i="35"/>
  <c r="G132" i="274" s="1"/>
  <c r="G134" i="245"/>
  <c r="H134" i="239"/>
  <c r="J134" i="239" s="1"/>
  <c r="DN68" i="35"/>
  <c r="DO68" i="35" s="1"/>
  <c r="H134" i="295" s="1"/>
  <c r="DN4" i="35"/>
  <c r="G134" i="230" s="1"/>
  <c r="DO54" i="35"/>
  <c r="H134" i="281" s="1"/>
  <c r="CQ37" i="35"/>
  <c r="CR37" i="35" s="1"/>
  <c r="I131" i="264" s="1"/>
  <c r="G134" i="292"/>
  <c r="DG47" i="35"/>
  <c r="H133" i="274" s="1"/>
  <c r="CX64" i="35"/>
  <c r="G132" i="291" s="1"/>
  <c r="CY45" i="35"/>
  <c r="CZ45" i="35" s="1"/>
  <c r="I132" i="272" s="1"/>
  <c r="G132" i="265"/>
  <c r="DG66" i="35"/>
  <c r="H133" i="293" s="1"/>
  <c r="DG34" i="35"/>
  <c r="H133" i="261" s="1"/>
  <c r="DO27" i="35"/>
  <c r="H134" i="254" s="1"/>
  <c r="H132" i="239"/>
  <c r="J132" i="239" s="1"/>
  <c r="H133" i="272"/>
  <c r="J133" i="272" s="1"/>
  <c r="H131" i="235"/>
  <c r="J131" i="235" s="1"/>
  <c r="H131" i="278"/>
  <c r="CR51" i="35"/>
  <c r="I131" i="278" s="1"/>
  <c r="DO26" i="35"/>
  <c r="H134" i="253" s="1"/>
  <c r="G132" i="254"/>
  <c r="J134" i="243"/>
  <c r="H133" i="254"/>
  <c r="J133" i="254" s="1"/>
  <c r="CX61" i="35"/>
  <c r="G132" i="288" s="1"/>
  <c r="DN47" i="35"/>
  <c r="G134" i="274" s="1"/>
  <c r="CR67" i="35"/>
  <c r="I131" i="294" s="1"/>
  <c r="J131" i="294" s="1"/>
  <c r="CQ85" i="35"/>
  <c r="H131" i="312" s="1"/>
  <c r="DF48" i="35"/>
  <c r="G133" i="275" s="1"/>
  <c r="CY65" i="35"/>
  <c r="CY88" i="35"/>
  <c r="H132" i="315" s="1"/>
  <c r="CY25" i="35"/>
  <c r="CP64" i="35"/>
  <c r="G131" i="291" s="1"/>
  <c r="DG6" i="35"/>
  <c r="H133" i="232" s="1"/>
  <c r="CX48" i="35"/>
  <c r="G132" i="275" s="1"/>
  <c r="CY34" i="35"/>
  <c r="CZ34" i="35" s="1"/>
  <c r="I132" i="261" s="1"/>
  <c r="J134" i="244"/>
  <c r="DP50" i="35"/>
  <c r="I134" i="277" s="1"/>
  <c r="J134" i="277" s="1"/>
  <c r="DF83" i="35"/>
  <c r="G133" i="310" s="1"/>
  <c r="H134" i="294"/>
  <c r="DP67" i="35"/>
  <c r="I134" i="294" s="1"/>
  <c r="F131" i="295"/>
  <c r="J134" i="280"/>
  <c r="G131" i="289"/>
  <c r="G133" i="241"/>
  <c r="CQ25" i="35"/>
  <c r="CP83" i="35"/>
  <c r="G131" i="310" s="1"/>
  <c r="J134" i="237"/>
  <c r="DF62" i="35"/>
  <c r="G133" i="289" s="1"/>
  <c r="DN21" i="35"/>
  <c r="G134" i="248" s="1"/>
  <c r="CY58" i="35"/>
  <c r="H132" i="285" s="1"/>
  <c r="CX86" i="35"/>
  <c r="CQ88" i="35"/>
  <c r="H131" i="315" s="1"/>
  <c r="CQ58" i="35"/>
  <c r="H131" i="285" s="1"/>
  <c r="G134" i="252"/>
  <c r="CY87" i="35"/>
  <c r="CZ87" i="35" s="1"/>
  <c r="I132" i="314" s="1"/>
  <c r="J131" i="284"/>
  <c r="J133" i="234"/>
  <c r="G131" i="274"/>
  <c r="DF64" i="35"/>
  <c r="G133" i="291" s="1"/>
  <c r="G132" i="293"/>
  <c r="CY66" i="35"/>
  <c r="H132" i="293" s="1"/>
  <c r="DO8" i="35"/>
  <c r="H134" i="234" s="1"/>
  <c r="CR59" i="35"/>
  <c r="I131" i="286" s="1"/>
  <c r="J131" i="286" s="1"/>
  <c r="CQ31" i="35"/>
  <c r="CR31" i="35" s="1"/>
  <c r="I131" i="258" s="1"/>
  <c r="DG55" i="35"/>
  <c r="H133" i="282" s="1"/>
  <c r="CQ18" i="35"/>
  <c r="H131" i="245" s="1"/>
  <c r="F131" i="275"/>
  <c r="DO44" i="35"/>
  <c r="DP44" i="35" s="1"/>
  <c r="I134" i="271" s="1"/>
  <c r="BQ35" i="35"/>
  <c r="BR35" i="35" s="1"/>
  <c r="CZ9" i="35"/>
  <c r="I132" i="235" s="1"/>
  <c r="J132" i="235" s="1"/>
  <c r="CP48" i="35"/>
  <c r="G131" i="275" s="1"/>
  <c r="G134" i="249"/>
  <c r="CY68" i="35"/>
  <c r="H132" i="295" s="1"/>
  <c r="DG18" i="35"/>
  <c r="H133" i="245" s="1"/>
  <c r="DF86" i="35"/>
  <c r="G133" i="313" s="1"/>
  <c r="CY6" i="35"/>
  <c r="CX83" i="35"/>
  <c r="G132" i="310" s="1"/>
  <c r="CQ38" i="35"/>
  <c r="H131" i="265" s="1"/>
  <c r="DO31" i="35"/>
  <c r="H134" i="258" s="1"/>
  <c r="CY39" i="35"/>
  <c r="CZ39" i="35" s="1"/>
  <c r="I132" i="266" s="1"/>
  <c r="BI44" i="35"/>
  <c r="BJ44" i="35" s="1"/>
  <c r="BK44" i="35" s="1"/>
  <c r="BL44" i="35" s="1"/>
  <c r="CQ27" i="35"/>
  <c r="H131" i="254" s="1"/>
  <c r="DN28" i="35"/>
  <c r="DO28" i="35" s="1"/>
  <c r="H134" i="312"/>
  <c r="J134" i="312" s="1"/>
  <c r="DG87" i="35"/>
  <c r="H133" i="314" s="1"/>
  <c r="F134" i="240"/>
  <c r="G133" i="237"/>
  <c r="CF56" i="35"/>
  <c r="E130" i="283" s="1"/>
  <c r="DN48" i="35"/>
  <c r="G134" i="275" s="1"/>
  <c r="CZ67" i="35"/>
  <c r="I132" i="294" s="1"/>
  <c r="J132" i="294" s="1"/>
  <c r="BY7" i="35"/>
  <c r="BZ7" i="35" s="1"/>
  <c r="DG30" i="35"/>
  <c r="H133" i="257" s="1"/>
  <c r="DN61" i="35"/>
  <c r="DO61" i="35" s="1"/>
  <c r="CQ33" i="35"/>
  <c r="H131" i="260" s="1"/>
  <c r="CP26" i="35"/>
  <c r="G131" i="253" s="1"/>
  <c r="J132" i="278"/>
  <c r="J133" i="235"/>
  <c r="J131" i="233"/>
  <c r="J134" i="262"/>
  <c r="BQ51" i="35"/>
  <c r="BR51" i="35" s="1"/>
  <c r="BS51" i="35" s="1"/>
  <c r="H133" i="315"/>
  <c r="J133" i="315" s="1"/>
  <c r="DG65" i="35"/>
  <c r="H133" i="292" s="1"/>
  <c r="CZ8" i="35"/>
  <c r="I132" i="234" s="1"/>
  <c r="J132" i="234" s="1"/>
  <c r="H133" i="286"/>
  <c r="DH59" i="35"/>
  <c r="I133" i="286" s="1"/>
  <c r="BD39" i="35"/>
  <c r="J133" i="244"/>
  <c r="J132" i="233"/>
  <c r="DN62" i="35"/>
  <c r="G134" i="289" s="1"/>
  <c r="BY19" i="35"/>
  <c r="BZ19" i="35" s="1"/>
  <c r="DO83" i="35"/>
  <c r="H134" i="310" s="1"/>
  <c r="DO33" i="35"/>
  <c r="H134" i="260" s="1"/>
  <c r="CX3" i="35"/>
  <c r="G132" i="229" s="1"/>
  <c r="DP9" i="35"/>
  <c r="I134" i="235" s="1"/>
  <c r="J134" i="235" s="1"/>
  <c r="J133" i="311"/>
  <c r="CQ11" i="35"/>
  <c r="H131" i="237" s="1"/>
  <c r="J131" i="246"/>
  <c r="CY11" i="35"/>
  <c r="CQ61" i="35"/>
  <c r="H131" i="288" s="1"/>
  <c r="G131" i="288"/>
  <c r="BO62" i="35"/>
  <c r="BP62" i="35" s="1"/>
  <c r="K50" i="289"/>
  <c r="BG83" i="35"/>
  <c r="BH83" i="35" s="1"/>
  <c r="BI83" i="35" s="1"/>
  <c r="BJ83" i="35" s="1"/>
  <c r="J50" i="310"/>
  <c r="DF13" i="35"/>
  <c r="F133" i="240"/>
  <c r="DO6" i="35"/>
  <c r="H134" i="232" s="1"/>
  <c r="G134" i="232"/>
  <c r="G132" i="247"/>
  <c r="CY20" i="35"/>
  <c r="CX44" i="35"/>
  <c r="G132" i="271" s="1"/>
  <c r="F132" i="271"/>
  <c r="CR41" i="35"/>
  <c r="I131" i="268" s="1"/>
  <c r="H131" i="268"/>
  <c r="DP37" i="35"/>
  <c r="I134" i="264" s="1"/>
  <c r="H134" i="264"/>
  <c r="DF24" i="35"/>
  <c r="F133" i="251"/>
  <c r="DH63" i="35"/>
  <c r="I133" i="290" s="1"/>
  <c r="H133" i="290"/>
  <c r="BO37" i="35"/>
  <c r="BP37" i="35" s="1"/>
  <c r="K50" i="264"/>
  <c r="BO38" i="35"/>
  <c r="BP38" i="35" s="1"/>
  <c r="BQ38" i="35" s="1"/>
  <c r="BR38" i="35" s="1"/>
  <c r="K50" i="265"/>
  <c r="DG25" i="35"/>
  <c r="G133" i="252"/>
  <c r="DH51" i="35"/>
  <c r="I133" i="278" s="1"/>
  <c r="H133" i="278"/>
  <c r="DG31" i="35"/>
  <c r="H133" i="258" s="1"/>
  <c r="G133" i="258"/>
  <c r="G133" i="247"/>
  <c r="DG20" i="35"/>
  <c r="CP13" i="35"/>
  <c r="G131" i="240" s="1"/>
  <c r="F131" i="240"/>
  <c r="F134" i="236"/>
  <c r="DN10" i="35"/>
  <c r="DO10" i="35" s="1"/>
  <c r="H134" i="236" s="1"/>
  <c r="DH67" i="35"/>
  <c r="I133" i="294" s="1"/>
  <c r="H133" i="294"/>
  <c r="BO87" i="35"/>
  <c r="BP87" i="35" s="1"/>
  <c r="BQ87" i="35" s="1"/>
  <c r="BR87" i="35" s="1"/>
  <c r="K50" i="314"/>
  <c r="BW67" i="35"/>
  <c r="BX67" i="35" s="1"/>
  <c r="L50" i="294"/>
  <c r="BO39" i="35"/>
  <c r="BP39" i="35" s="1"/>
  <c r="BQ39" i="35" s="1"/>
  <c r="K50" i="266"/>
  <c r="BO42" i="35"/>
  <c r="BP42" i="35" s="1"/>
  <c r="BQ42" i="35" s="1"/>
  <c r="BR42" i="35" s="1"/>
  <c r="K50" i="269"/>
  <c r="BG10" i="35"/>
  <c r="BH10" i="35" s="1"/>
  <c r="BI10" i="35" s="1"/>
  <c r="BJ10" i="35" s="1"/>
  <c r="J50" i="236"/>
  <c r="BO33" i="35"/>
  <c r="BP33" i="35" s="1"/>
  <c r="BQ33" i="35" s="1"/>
  <c r="K50" i="260"/>
  <c r="BO66" i="35"/>
  <c r="BP66" i="35" s="1"/>
  <c r="BQ66" i="35" s="1"/>
  <c r="BR66" i="35" s="1"/>
  <c r="BS66" i="35" s="1"/>
  <c r="K50" i="293"/>
  <c r="BO28" i="35"/>
  <c r="BP28" i="35" s="1"/>
  <c r="K50" i="255"/>
  <c r="BO61" i="35"/>
  <c r="BP61" i="35" s="1"/>
  <c r="BQ61" i="35" s="1"/>
  <c r="K50" i="288"/>
  <c r="DF4" i="35"/>
  <c r="G133" i="230" s="1"/>
  <c r="F133" i="230"/>
  <c r="CP28" i="35"/>
  <c r="G131" i="255" s="1"/>
  <c r="F131" i="255"/>
  <c r="DO39" i="35"/>
  <c r="G134" i="266"/>
  <c r="H131" i="281"/>
  <c r="CR54" i="35"/>
  <c r="I131" i="281" s="1"/>
  <c r="G132" i="282"/>
  <c r="CY55" i="35"/>
  <c r="CZ38" i="35"/>
  <c r="I132" i="265" s="1"/>
  <c r="H132" i="265"/>
  <c r="F133" i="248"/>
  <c r="DF21" i="35"/>
  <c r="G132" i="260"/>
  <c r="CY33" i="35"/>
  <c r="H131" i="249"/>
  <c r="CR22" i="35"/>
  <c r="I131" i="249" s="1"/>
  <c r="G131" i="232"/>
  <c r="CQ6" i="35"/>
  <c r="CQ4" i="35"/>
  <c r="G131" i="230"/>
  <c r="H133" i="250"/>
  <c r="DH23" i="35"/>
  <c r="I133" i="250" s="1"/>
  <c r="DH38" i="35"/>
  <c r="I133" i="265" s="1"/>
  <c r="H133" i="265"/>
  <c r="G133" i="277"/>
  <c r="DG50" i="35"/>
  <c r="CR47" i="35"/>
  <c r="I131" i="274" s="1"/>
  <c r="H131" i="274"/>
  <c r="F132" i="255"/>
  <c r="CX28" i="35"/>
  <c r="DP59" i="35"/>
  <c r="I134" i="286" s="1"/>
  <c r="H134" i="286"/>
  <c r="DP18" i="35"/>
  <c r="I134" i="245" s="1"/>
  <c r="H134" i="245"/>
  <c r="F132" i="251"/>
  <c r="CX24" i="35"/>
  <c r="CQ68" i="35"/>
  <c r="DN3" i="35"/>
  <c r="G134" i="229" s="1"/>
  <c r="CP86" i="35"/>
  <c r="CZ85" i="35"/>
  <c r="I132" i="312" s="1"/>
  <c r="J132" i="312" s="1"/>
  <c r="DF3" i="35"/>
  <c r="DF28" i="35"/>
  <c r="G133" i="255" s="1"/>
  <c r="CQ34" i="35"/>
  <c r="DG22" i="35"/>
  <c r="DN24" i="35"/>
  <c r="G134" i="251" s="1"/>
  <c r="DP22" i="35"/>
  <c r="I134" i="249" s="1"/>
  <c r="CR62" i="35"/>
  <c r="I131" i="289" s="1"/>
  <c r="DO13" i="35"/>
  <c r="CQ20" i="35"/>
  <c r="BO22" i="35"/>
  <c r="BP22" i="35" s="1"/>
  <c r="BQ22" i="35" s="1"/>
  <c r="K50" i="249"/>
  <c r="BO45" i="35"/>
  <c r="BP45" i="35" s="1"/>
  <c r="K50" i="272"/>
  <c r="BW84" i="35"/>
  <c r="BX84" i="35" s="1"/>
  <c r="BY84" i="35" s="1"/>
  <c r="BZ84" i="35" s="1"/>
  <c r="L50" i="311"/>
  <c r="BG13" i="35"/>
  <c r="BH13" i="35" s="1"/>
  <c r="BI13" i="35" s="1"/>
  <c r="J50" i="240"/>
  <c r="DO88" i="35"/>
  <c r="H134" i="315" s="1"/>
  <c r="G134" i="315"/>
  <c r="DO34" i="35"/>
  <c r="G134" i="261"/>
  <c r="DP65" i="35"/>
  <c r="I134" i="292" s="1"/>
  <c r="H134" i="292"/>
  <c r="CZ27" i="35"/>
  <c r="I132" i="254" s="1"/>
  <c r="H132" i="254"/>
  <c r="CQ39" i="35"/>
  <c r="G131" i="266"/>
  <c r="DH37" i="35"/>
  <c r="I133" i="264" s="1"/>
  <c r="H133" i="264"/>
  <c r="BW63" i="35"/>
  <c r="BX63" i="35" s="1"/>
  <c r="BY63" i="35" s="1"/>
  <c r="L50" i="290"/>
  <c r="BO30" i="35"/>
  <c r="BP30" i="35" s="1"/>
  <c r="BQ30" i="35" s="1"/>
  <c r="K50" i="257"/>
  <c r="BO25" i="35"/>
  <c r="K50" i="252"/>
  <c r="BO6" i="35"/>
  <c r="BP6" i="35" s="1"/>
  <c r="K50" i="232"/>
  <c r="BW12" i="35"/>
  <c r="BX12" i="35" s="1"/>
  <c r="BY12" i="35" s="1"/>
  <c r="L50" i="239"/>
  <c r="BW59" i="35"/>
  <c r="BX59" i="35" s="1"/>
  <c r="BY59" i="35" s="1"/>
  <c r="L50" i="286"/>
  <c r="CP3" i="35"/>
  <c r="G131" i="229" s="1"/>
  <c r="F131" i="229"/>
  <c r="CQ45" i="35"/>
  <c r="H131" i="272" s="1"/>
  <c r="G131" i="272"/>
  <c r="DG85" i="35"/>
  <c r="H133" i="312" s="1"/>
  <c r="G133" i="312"/>
  <c r="F131" i="288"/>
  <c r="CR50" i="35"/>
  <c r="I131" i="277" s="1"/>
  <c r="H131" i="277"/>
  <c r="DP41" i="35"/>
  <c r="I134" i="268" s="1"/>
  <c r="H134" i="268"/>
  <c r="DP55" i="35"/>
  <c r="I134" i="282" s="1"/>
  <c r="H134" i="282"/>
  <c r="CZ22" i="35"/>
  <c r="I132" i="249" s="1"/>
  <c r="H132" i="249"/>
  <c r="G131" i="234"/>
  <c r="CQ8" i="35"/>
  <c r="CZ23" i="35"/>
  <c r="I132" i="250" s="1"/>
  <c r="H132" i="250"/>
  <c r="G133" i="260"/>
  <c r="DG33" i="35"/>
  <c r="DG42" i="35"/>
  <c r="H133" i="269" s="1"/>
  <c r="G133" i="269"/>
  <c r="G133" i="285"/>
  <c r="DG58" i="35"/>
  <c r="BW23" i="35"/>
  <c r="BX23" i="35" s="1"/>
  <c r="BY23" i="35" s="1"/>
  <c r="BZ23" i="35" s="1"/>
  <c r="L50" i="250"/>
  <c r="BO46" i="35"/>
  <c r="BP46" i="35" s="1"/>
  <c r="BQ46" i="35" s="1"/>
  <c r="BR46" i="35" s="1"/>
  <c r="BW51" i="35"/>
  <c r="BX51" i="35" s="1"/>
  <c r="L50" i="278"/>
  <c r="BO31" i="35"/>
  <c r="BP31" i="35" s="1"/>
  <c r="K50" i="258"/>
  <c r="BO27" i="35"/>
  <c r="BP27" i="35" s="1"/>
  <c r="BQ27" i="35" s="1"/>
  <c r="K50" i="254"/>
  <c r="CE19" i="35"/>
  <c r="D130" i="246" s="1"/>
  <c r="M50" i="246"/>
  <c r="BG47" i="35"/>
  <c r="BH47" i="35" s="1"/>
  <c r="BI47" i="35" s="1"/>
  <c r="BJ47" i="35" s="1"/>
  <c r="J50" i="274"/>
  <c r="BO11" i="35"/>
  <c r="BP11" i="35" s="1"/>
  <c r="BQ11" i="35" s="1"/>
  <c r="BR11" i="35" s="1"/>
  <c r="K50" i="237"/>
  <c r="BW34" i="35"/>
  <c r="BX34" i="35" s="1"/>
  <c r="BY34" i="35" s="1"/>
  <c r="BZ34" i="35" s="1"/>
  <c r="CA34" i="35" s="1"/>
  <c r="CB34" i="35" s="1"/>
  <c r="L50" i="261"/>
  <c r="BG4" i="35"/>
  <c r="BH4" i="35" s="1"/>
  <c r="BI4" i="35" s="1"/>
  <c r="BJ4" i="35" s="1"/>
  <c r="BK4" i="35" s="1"/>
  <c r="BL4" i="35" s="1"/>
  <c r="J50" i="230"/>
  <c r="DF26" i="35"/>
  <c r="G133" i="253" s="1"/>
  <c r="F133" i="253"/>
  <c r="DO30" i="35"/>
  <c r="G134" i="257"/>
  <c r="DO66" i="35"/>
  <c r="H134" i="293" s="1"/>
  <c r="G134" i="293"/>
  <c r="DF61" i="35"/>
  <c r="G133" i="288" s="1"/>
  <c r="F133" i="288"/>
  <c r="DF68" i="35"/>
  <c r="F133" i="295"/>
  <c r="CY30" i="35"/>
  <c r="G132" i="257"/>
  <c r="G132" i="277"/>
  <c r="CY50" i="35"/>
  <c r="H132" i="277" s="1"/>
  <c r="DP38" i="35"/>
  <c r="I134" i="265" s="1"/>
  <c r="H134" i="265"/>
  <c r="CQ87" i="35"/>
  <c r="G131" i="314"/>
  <c r="F131" i="248"/>
  <c r="CP21" i="35"/>
  <c r="CQ14" i="35"/>
  <c r="G131" i="241"/>
  <c r="DO42" i="35"/>
  <c r="G134" i="269"/>
  <c r="CQ42" i="35"/>
  <c r="H131" i="269" s="1"/>
  <c r="G131" i="269"/>
  <c r="DO87" i="35"/>
  <c r="G134" i="314"/>
  <c r="H133" i="241"/>
  <c r="DH14" i="35"/>
  <c r="I133" i="241" s="1"/>
  <c r="CR63" i="35"/>
  <c r="I131" i="290" s="1"/>
  <c r="H131" i="290"/>
  <c r="CZ31" i="35"/>
  <c r="I132" i="258" s="1"/>
  <c r="H132" i="258"/>
  <c r="F131" i="271"/>
  <c r="CP44" i="35"/>
  <c r="CP10" i="35"/>
  <c r="F131" i="236"/>
  <c r="CF15" i="35"/>
  <c r="CP24" i="35"/>
  <c r="G131" i="251" s="1"/>
  <c r="CX26" i="35"/>
  <c r="DG41" i="35"/>
  <c r="CY21" i="35"/>
  <c r="DH11" i="35"/>
  <c r="I133" i="237" s="1"/>
  <c r="CX4" i="35"/>
  <c r="CY41" i="35"/>
  <c r="CZ42" i="35"/>
  <c r="I132" i="269" s="1"/>
  <c r="DF10" i="35"/>
  <c r="G133" i="236" s="1"/>
  <c r="CX10" i="35"/>
  <c r="G132" i="236" s="1"/>
  <c r="CX13" i="35"/>
  <c r="G132" i="240" s="1"/>
  <c r="BW9" i="35"/>
  <c r="BX9" i="35" s="1"/>
  <c r="BY9" i="35" s="1"/>
  <c r="BZ9" i="35" s="1"/>
  <c r="CA9" i="35" s="1"/>
  <c r="CB9" i="35" s="1"/>
  <c r="CK9" i="35"/>
  <c r="CD9" i="35" s="1"/>
  <c r="M50" i="235" s="1"/>
  <c r="BL59" i="35"/>
  <c r="BC4" i="35"/>
  <c r="BD4" i="35" s="1"/>
  <c r="BK34" i="35"/>
  <c r="BL34" i="35" s="1"/>
  <c r="CE7" i="35"/>
  <c r="CA56" i="35"/>
  <c r="CB56" i="35" s="1"/>
  <c r="AU4" i="35"/>
  <c r="AV4" i="35" s="1"/>
  <c r="CC4" i="35"/>
  <c r="BJ58" i="35"/>
  <c r="BK58" i="35" s="1"/>
  <c r="BL58" i="35" s="1"/>
  <c r="BJ61" i="35"/>
  <c r="BK61" i="35" s="1"/>
  <c r="BN4" i="35"/>
  <c r="BJ8" i="35"/>
  <c r="BK8" i="35" s="1"/>
  <c r="BL8" i="35" s="1"/>
  <c r="BD41" i="35"/>
  <c r="BI14" i="35"/>
  <c r="AV41" i="35"/>
  <c r="BQ34" i="35"/>
  <c r="BR34" i="35" s="1"/>
  <c r="BS34" i="35" s="1"/>
  <c r="BC10" i="35"/>
  <c r="BD10" i="35" s="1"/>
  <c r="BG3" i="35"/>
  <c r="BB27" i="35"/>
  <c r="BC27" i="35" s="1"/>
  <c r="BD27" i="35" s="1"/>
  <c r="BH28" i="35"/>
  <c r="BC50" i="35"/>
  <c r="BD50" i="35" s="1"/>
  <c r="BJ41" i="35"/>
  <c r="BV28" i="35"/>
  <c r="CK28" i="35"/>
  <c r="CC13" i="35"/>
  <c r="AU45" i="35"/>
  <c r="AV45" i="35" s="1"/>
  <c r="AU64" i="35"/>
  <c r="AV64" i="35" s="1"/>
  <c r="BA85" i="35"/>
  <c r="BB85" i="35" s="1"/>
  <c r="BC85" i="35" s="1"/>
  <c r="BO54" i="35"/>
  <c r="BB45" i="35"/>
  <c r="BC45" i="35" s="1"/>
  <c r="BD45" i="35" s="1"/>
  <c r="BQ20" i="35"/>
  <c r="BD3" i="35"/>
  <c r="AE13" i="35"/>
  <c r="AF13" i="35" s="1"/>
  <c r="AU83" i="35"/>
  <c r="AV83" i="35" s="1"/>
  <c r="BJ23" i="35"/>
  <c r="BK23" i="35" s="1"/>
  <c r="BN13" i="35"/>
  <c r="CK34" i="35"/>
  <c r="CD34" i="35" s="1"/>
  <c r="M50" i="261" s="1"/>
  <c r="CC61" i="35"/>
  <c r="BJ22" i="35"/>
  <c r="BK22" i="35" s="1"/>
  <c r="BJ55" i="35"/>
  <c r="BK55" i="35" s="1"/>
  <c r="BL55" i="35" s="1"/>
  <c r="BR21" i="35"/>
  <c r="BS21" i="35" s="1"/>
  <c r="BT21" i="35" s="1"/>
  <c r="AV61" i="35"/>
  <c r="BA13" i="35"/>
  <c r="BB13" i="35" s="1"/>
  <c r="BC13" i="35" s="1"/>
  <c r="BJ67" i="35"/>
  <c r="BK67" i="35" s="1"/>
  <c r="AU12" i="35"/>
  <c r="AV12" i="35" s="1"/>
  <c r="BC18" i="35"/>
  <c r="BD18" i="35" s="1"/>
  <c r="AZ61" i="35"/>
  <c r="BA61" i="35" s="1"/>
  <c r="BB61" i="35" s="1"/>
  <c r="BT7" i="35"/>
  <c r="BI50" i="35"/>
  <c r="BJ50" i="35" s="1"/>
  <c r="BJ6" i="35"/>
  <c r="BK6" i="35" s="1"/>
  <c r="BJ42" i="35"/>
  <c r="BK42" i="35" s="1"/>
  <c r="BR40" i="35"/>
  <c r="BS40" i="35" s="1"/>
  <c r="BK35" i="35"/>
  <c r="BL35" i="35" s="1"/>
  <c r="BB24" i="35"/>
  <c r="BC24" i="35" s="1"/>
  <c r="BD24" i="35" s="1"/>
  <c r="BJ39" i="35"/>
  <c r="BK39" i="35" s="1"/>
  <c r="BL39" i="35" s="1"/>
  <c r="BV11" i="35"/>
  <c r="BV27" i="35"/>
  <c r="L50" i="254" s="1"/>
  <c r="BN47" i="35"/>
  <c r="BN3" i="35"/>
  <c r="CD51" i="35"/>
  <c r="BI24" i="35"/>
  <c r="BJ24" i="35" s="1"/>
  <c r="BB88" i="35"/>
  <c r="BV66" i="35"/>
  <c r="L50" i="293" s="1"/>
  <c r="BV24" i="35"/>
  <c r="L50" i="251" s="1"/>
  <c r="BV88" i="35"/>
  <c r="CK18" i="35"/>
  <c r="CK8" i="35"/>
  <c r="CK65" i="35"/>
  <c r="CD35" i="35"/>
  <c r="AS47" i="35"/>
  <c r="AT47" i="35" s="1"/>
  <c r="BV30" i="35"/>
  <c r="BV62" i="35"/>
  <c r="CK46" i="35"/>
  <c r="CK58" i="35"/>
  <c r="BV37" i="35"/>
  <c r="BV42" i="35"/>
  <c r="BV18" i="35"/>
  <c r="L50" i="245" s="1"/>
  <c r="BV65" i="35"/>
  <c r="L50" i="292" s="1"/>
  <c r="CC26" i="35"/>
  <c r="BA54" i="35"/>
  <c r="BA14" i="35"/>
  <c r="BB14" i="35" s="1"/>
  <c r="BC14" i="35" s="1"/>
  <c r="CK87" i="35"/>
  <c r="CC48" i="35"/>
  <c r="BV58" i="35"/>
  <c r="L50" i="285" s="1"/>
  <c r="BV14" i="35"/>
  <c r="CK11" i="35"/>
  <c r="CK22" i="35"/>
  <c r="CK27" i="35"/>
  <c r="BV87" i="35"/>
  <c r="BN48" i="35"/>
  <c r="K50" i="275" s="1"/>
  <c r="CC47" i="35"/>
  <c r="CC3" i="35"/>
  <c r="CD59" i="35"/>
  <c r="M50" i="286" s="1"/>
  <c r="BH87" i="35"/>
  <c r="BV33" i="35"/>
  <c r="CD23" i="35"/>
  <c r="CC64" i="35"/>
  <c r="CK66" i="35"/>
  <c r="CK24" i="35"/>
  <c r="CK50" i="35"/>
  <c r="CK88" i="35"/>
  <c r="CK6" i="35"/>
  <c r="BV54" i="35"/>
  <c r="L50" i="281" s="1"/>
  <c r="CD40" i="35"/>
  <c r="BN83" i="35"/>
  <c r="K50" i="310" s="1"/>
  <c r="CK44" i="35"/>
  <c r="CK45" i="35"/>
  <c r="BH31" i="35"/>
  <c r="BB26" i="35"/>
  <c r="BW35" i="35"/>
  <c r="BX35" i="35" s="1"/>
  <c r="BO88" i="35"/>
  <c r="BP88" i="35" s="1"/>
  <c r="BB11" i="35"/>
  <c r="BC11" i="35" s="1"/>
  <c r="BD11" i="35" s="1"/>
  <c r="BC47" i="35"/>
  <c r="BD47" i="35" s="1"/>
  <c r="BO41" i="35"/>
  <c r="BP41" i="35" s="1"/>
  <c r="BR15" i="35"/>
  <c r="BS15" i="35" s="1"/>
  <c r="BT15" i="35" s="1"/>
  <c r="BW20" i="35"/>
  <c r="BX20" i="35" s="1"/>
  <c r="BY20" i="35" s="1"/>
  <c r="BI38" i="35"/>
  <c r="BP12" i="35"/>
  <c r="BJ40" i="35"/>
  <c r="BK40" i="35" s="1"/>
  <c r="BO58" i="35"/>
  <c r="BP58" i="35" s="1"/>
  <c r="BQ58" i="35" s="1"/>
  <c r="BR58" i="35" s="1"/>
  <c r="BO65" i="35"/>
  <c r="BO55" i="35"/>
  <c r="BO50" i="35"/>
  <c r="BP50" i="35" s="1"/>
  <c r="BQ50" i="35" s="1"/>
  <c r="BR50" i="35" s="1"/>
  <c r="BK46" i="35"/>
  <c r="BL46" i="35" s="1"/>
  <c r="CB15" i="35"/>
  <c r="BP84" i="35"/>
  <c r="BC21" i="35"/>
  <c r="BD21" i="35" s="1"/>
  <c r="BI18" i="35"/>
  <c r="BJ18" i="35" s="1"/>
  <c r="BL12" i="35"/>
  <c r="BD22" i="35"/>
  <c r="BO14" i="35"/>
  <c r="AT62" i="35"/>
  <c r="AU62" i="35" s="1"/>
  <c r="AU95" i="35" s="1"/>
  <c r="BO86" i="35"/>
  <c r="BP86" i="35" s="1"/>
  <c r="BQ86" i="35" s="1"/>
  <c r="BK20" i="35"/>
  <c r="BL20" i="35" s="1"/>
  <c r="BH11" i="35"/>
  <c r="BI11" i="35" s="1"/>
  <c r="BI86" i="35"/>
  <c r="BJ86" i="35" s="1"/>
  <c r="AZ48" i="35"/>
  <c r="BA48" i="35" s="1"/>
  <c r="BI54" i="35"/>
  <c r="AV27" i="35"/>
  <c r="AU48" i="35"/>
  <c r="AV48" i="35" s="1"/>
  <c r="BL63" i="35"/>
  <c r="BK84" i="35"/>
  <c r="BL84" i="35" s="1"/>
  <c r="BR23" i="35"/>
  <c r="BJ21" i="35"/>
  <c r="BK21" i="35" s="1"/>
  <c r="BL21" i="35" s="1"/>
  <c r="BC87" i="35"/>
  <c r="BD87" i="35" s="1"/>
  <c r="BI37" i="35"/>
  <c r="AV58" i="35"/>
  <c r="BJ30" i="35"/>
  <c r="BK30" i="35" s="1"/>
  <c r="BL30" i="35" s="1"/>
  <c r="AU14" i="35"/>
  <c r="AV14" i="35" s="1"/>
  <c r="CK41" i="35"/>
  <c r="BV22" i="35"/>
  <c r="CD21" i="35"/>
  <c r="M50" i="248" s="1"/>
  <c r="CK30" i="35"/>
  <c r="CK62" i="35"/>
  <c r="CC10" i="35"/>
  <c r="CK37" i="35"/>
  <c r="BI65" i="35"/>
  <c r="BJ65" i="35" s="1"/>
  <c r="BN64" i="35"/>
  <c r="K50" i="291" s="1"/>
  <c r="CD84" i="35"/>
  <c r="M50" i="311" s="1"/>
  <c r="BV50" i="35"/>
  <c r="BV6" i="35"/>
  <c r="L50" i="232" s="1"/>
  <c r="BV44" i="35"/>
  <c r="L50" i="271" s="1"/>
  <c r="BV45" i="35"/>
  <c r="L50" i="272" s="1"/>
  <c r="BV41" i="35"/>
  <c r="L50" i="268" s="1"/>
  <c r="CD63" i="35"/>
  <c r="M50" i="290" s="1"/>
  <c r="CK14" i="35"/>
  <c r="BN10" i="35"/>
  <c r="K50" i="236" s="1"/>
  <c r="BP67" i="35"/>
  <c r="CD20" i="35"/>
  <c r="M50" i="247" s="1"/>
  <c r="CK38" i="35"/>
  <c r="CK86" i="35"/>
  <c r="CK31" i="35"/>
  <c r="CK25" i="35"/>
  <c r="CK55" i="35"/>
  <c r="CK85" i="35"/>
  <c r="CD67" i="35"/>
  <c r="M50" i="294" s="1"/>
  <c r="BV8" i="35"/>
  <c r="CK39" i="35"/>
  <c r="BV46" i="35"/>
  <c r="CD12" i="35"/>
  <c r="BJ45" i="35"/>
  <c r="BP59" i="35"/>
  <c r="CK33" i="35"/>
  <c r="BB62" i="35"/>
  <c r="BV38" i="35"/>
  <c r="BV86" i="35"/>
  <c r="BV31" i="35"/>
  <c r="L50" i="258" s="1"/>
  <c r="BV25" i="35"/>
  <c r="BV55" i="35"/>
  <c r="BV85" i="35"/>
  <c r="L50" i="312" s="1"/>
  <c r="CK42" i="35"/>
  <c r="CK54" i="35"/>
  <c r="CC83" i="35"/>
  <c r="BV39" i="35"/>
  <c r="L50" i="266" s="1"/>
  <c r="BN26" i="35"/>
  <c r="K50" i="253" s="1"/>
  <c r="BK51" i="35"/>
  <c r="BL51" i="35" s="1"/>
  <c r="BO85" i="35"/>
  <c r="BQ9" i="35"/>
  <c r="BR9" i="35" s="1"/>
  <c r="BG48" i="35"/>
  <c r="BH48" i="35" s="1"/>
  <c r="BO24" i="35"/>
  <c r="BC8" i="35"/>
  <c r="BD8" i="35" s="1"/>
  <c r="BR63" i="35"/>
  <c r="BS63" i="35" s="1"/>
  <c r="BT63" i="35" s="1"/>
  <c r="BW21" i="35"/>
  <c r="BO18" i="35"/>
  <c r="BO8" i="35"/>
  <c r="BO44" i="35"/>
  <c r="BP44" i="35" s="1"/>
  <c r="BG26" i="35"/>
  <c r="BB44" i="35"/>
  <c r="BI62" i="35"/>
  <c r="BJ62" i="35" s="1"/>
  <c r="AM48" i="35"/>
  <c r="AN48" i="35" s="1"/>
  <c r="BC12" i="35"/>
  <c r="BD12" i="35" s="1"/>
  <c r="AT26" i="35"/>
  <c r="AU26" i="35" s="1"/>
  <c r="BW40" i="35"/>
  <c r="BX40" i="35" s="1"/>
  <c r="BG64" i="35"/>
  <c r="BH85" i="35"/>
  <c r="BH66" i="35"/>
  <c r="BI27" i="35"/>
  <c r="BJ27" i="35" s="1"/>
  <c r="BH88" i="35"/>
  <c r="BA64" i="35"/>
  <c r="BI33" i="35"/>
  <c r="BC35" i="35"/>
  <c r="BD35" i="35" s="1"/>
  <c r="CZ18" i="35" l="1"/>
  <c r="I132" i="245" s="1"/>
  <c r="J132" i="245" s="1"/>
  <c r="CK95" i="35"/>
  <c r="H134" i="252"/>
  <c r="DN95" i="35"/>
  <c r="DP31" i="35"/>
  <c r="I134" i="258" s="1"/>
  <c r="J134" i="258" s="1"/>
  <c r="CX95" i="35"/>
  <c r="BP25" i="35"/>
  <c r="BP95" i="35" s="1"/>
  <c r="BO95" i="35"/>
  <c r="H133" i="252"/>
  <c r="CZ25" i="35"/>
  <c r="I134" i="252"/>
  <c r="AT95" i="35"/>
  <c r="AN25" i="35"/>
  <c r="AN95" i="35" s="1"/>
  <c r="H131" i="252"/>
  <c r="CQ95" i="35"/>
  <c r="BB25" i="35"/>
  <c r="BB95" i="35" s="1"/>
  <c r="BA95" i="35"/>
  <c r="BI25" i="35"/>
  <c r="BH95" i="35"/>
  <c r="BV95" i="35"/>
  <c r="DF95" i="35"/>
  <c r="DG44" i="35"/>
  <c r="H133" i="271" s="1"/>
  <c r="CY62" i="35"/>
  <c r="CZ62" i="35" s="1"/>
  <c r="I132" i="289" s="1"/>
  <c r="H132" i="241"/>
  <c r="J132" i="241" s="1"/>
  <c r="J132" i="269"/>
  <c r="H131" i="292"/>
  <c r="J131" i="292" s="1"/>
  <c r="H132" i="281"/>
  <c r="J132" i="281" s="1"/>
  <c r="DP27" i="35"/>
  <c r="I134" i="254" s="1"/>
  <c r="J134" i="254" s="1"/>
  <c r="H134" i="247"/>
  <c r="J134" i="247" s="1"/>
  <c r="DO64" i="35"/>
  <c r="H134" i="291" s="1"/>
  <c r="CY48" i="35"/>
  <c r="H132" i="275" s="1"/>
  <c r="H132" i="314"/>
  <c r="J132" i="314" s="1"/>
  <c r="DH34" i="35"/>
  <c r="I133" i="261" s="1"/>
  <c r="J133" i="261" s="1"/>
  <c r="H133" i="266"/>
  <c r="J133" i="266" s="1"/>
  <c r="H132" i="261"/>
  <c r="J132" i="261" s="1"/>
  <c r="DP14" i="35"/>
  <c r="I134" i="241" s="1"/>
  <c r="J134" i="241" s="1"/>
  <c r="H131" i="264"/>
  <c r="J131" i="264" s="1"/>
  <c r="CR85" i="35"/>
  <c r="I131" i="312" s="1"/>
  <c r="J131" i="312" s="1"/>
  <c r="DH66" i="35"/>
  <c r="I133" i="293" s="1"/>
  <c r="J133" i="293" s="1"/>
  <c r="H131" i="293"/>
  <c r="J131" i="293" s="1"/>
  <c r="DH47" i="35"/>
  <c r="I133" i="274" s="1"/>
  <c r="J133" i="274" s="1"/>
  <c r="G134" i="313"/>
  <c r="DH65" i="35"/>
  <c r="I133" i="292" s="1"/>
  <c r="J133" i="292" s="1"/>
  <c r="DP54" i="35"/>
  <c r="I134" i="281" s="1"/>
  <c r="J134" i="281" s="1"/>
  <c r="H132" i="252"/>
  <c r="CY64" i="35"/>
  <c r="H132" i="291" s="1"/>
  <c r="H132" i="272"/>
  <c r="J132" i="272" s="1"/>
  <c r="BS35" i="35"/>
  <c r="BT35" i="35" s="1"/>
  <c r="DP26" i="35"/>
  <c r="I134" i="253" s="1"/>
  <c r="J134" i="253" s="1"/>
  <c r="DP33" i="35"/>
  <c r="I134" i="260" s="1"/>
  <c r="J134" i="260" s="1"/>
  <c r="CY47" i="35"/>
  <c r="CZ47" i="35" s="1"/>
  <c r="I132" i="274" s="1"/>
  <c r="DH30" i="35"/>
  <c r="I133" i="257" s="1"/>
  <c r="J133" i="257" s="1"/>
  <c r="CR58" i="35"/>
  <c r="I131" i="285" s="1"/>
  <c r="J131" i="285" s="1"/>
  <c r="DO48" i="35"/>
  <c r="DP48" i="35" s="1"/>
  <c r="I134" i="275" s="1"/>
  <c r="CA7" i="35"/>
  <c r="CB7" i="35" s="1"/>
  <c r="CR27" i="35"/>
  <c r="I131" i="254" s="1"/>
  <c r="J131" i="254" s="1"/>
  <c r="G134" i="295"/>
  <c r="DO4" i="35"/>
  <c r="H134" i="230" s="1"/>
  <c r="DP68" i="35"/>
  <c r="I134" i="295" s="1"/>
  <c r="CQ26" i="35"/>
  <c r="H131" i="253" s="1"/>
  <c r="DH55" i="35"/>
  <c r="I133" i="282" s="1"/>
  <c r="J133" i="282" s="1"/>
  <c r="CZ88" i="35"/>
  <c r="I132" i="315" s="1"/>
  <c r="J132" i="315" s="1"/>
  <c r="H131" i="258"/>
  <c r="J131" i="258" s="1"/>
  <c r="CQ64" i="35"/>
  <c r="H131" i="291" s="1"/>
  <c r="DH6" i="35"/>
  <c r="I133" i="232" s="1"/>
  <c r="J133" i="232" s="1"/>
  <c r="J131" i="278"/>
  <c r="DO21" i="35"/>
  <c r="H134" i="248" s="1"/>
  <c r="J134" i="282"/>
  <c r="H132" i="292"/>
  <c r="CZ65" i="35"/>
  <c r="I132" i="292" s="1"/>
  <c r="H132" i="266"/>
  <c r="J132" i="266" s="1"/>
  <c r="CY61" i="35"/>
  <c r="CZ61" i="35" s="1"/>
  <c r="I132" i="288" s="1"/>
  <c r="CZ58" i="35"/>
  <c r="I132" i="285" s="1"/>
  <c r="J132" i="285" s="1"/>
  <c r="DG83" i="35"/>
  <c r="H133" i="310" s="1"/>
  <c r="DG48" i="35"/>
  <c r="H133" i="275" s="1"/>
  <c r="J131" i="289"/>
  <c r="DO47" i="35"/>
  <c r="H134" i="274" s="1"/>
  <c r="CQ83" i="35"/>
  <c r="CZ66" i="35"/>
  <c r="I132" i="293" s="1"/>
  <c r="J132" i="293" s="1"/>
  <c r="G132" i="313"/>
  <c r="CY86" i="35"/>
  <c r="DG62" i="35"/>
  <c r="H133" i="289" s="1"/>
  <c r="J134" i="249"/>
  <c r="CR25" i="35"/>
  <c r="J131" i="274"/>
  <c r="J134" i="294"/>
  <c r="CR38" i="35"/>
  <c r="I131" i="265" s="1"/>
  <c r="J131" i="265" s="1"/>
  <c r="DG28" i="35"/>
  <c r="H133" i="255" s="1"/>
  <c r="CR18" i="35"/>
  <c r="I131" i="245" s="1"/>
  <c r="J131" i="245" s="1"/>
  <c r="DH18" i="35"/>
  <c r="I133" i="245" s="1"/>
  <c r="J133" i="245" s="1"/>
  <c r="CR33" i="35"/>
  <c r="I131" i="260" s="1"/>
  <c r="J131" i="260" s="1"/>
  <c r="J133" i="290"/>
  <c r="DH87" i="35"/>
  <c r="I133" i="314" s="1"/>
  <c r="J133" i="314" s="1"/>
  <c r="DG64" i="35"/>
  <c r="BY51" i="35"/>
  <c r="BZ51" i="35" s="1"/>
  <c r="DG86" i="35"/>
  <c r="DH86" i="35" s="1"/>
  <c r="I133" i="313" s="1"/>
  <c r="J132" i="254"/>
  <c r="DP8" i="35"/>
  <c r="I134" i="234" s="1"/>
  <c r="J134" i="234" s="1"/>
  <c r="CR88" i="35"/>
  <c r="I131" i="315" s="1"/>
  <c r="J131" i="315" s="1"/>
  <c r="H134" i="271"/>
  <c r="J134" i="271" s="1"/>
  <c r="J133" i="250"/>
  <c r="J131" i="249"/>
  <c r="J131" i="281"/>
  <c r="G134" i="288"/>
  <c r="CZ68" i="35"/>
  <c r="I132" i="295" s="1"/>
  <c r="J132" i="295" s="1"/>
  <c r="J133" i="286"/>
  <c r="CQ48" i="35"/>
  <c r="CZ6" i="35"/>
  <c r="I132" i="232" s="1"/>
  <c r="H132" i="232"/>
  <c r="J133" i="237"/>
  <c r="CA19" i="35"/>
  <c r="CB19" i="35" s="1"/>
  <c r="CY83" i="35"/>
  <c r="CZ83" i="35" s="1"/>
  <c r="I132" i="310" s="1"/>
  <c r="DO3" i="35"/>
  <c r="DP3" i="35" s="1"/>
  <c r="I134" i="229" s="1"/>
  <c r="DP66" i="35"/>
  <c r="I134" i="293" s="1"/>
  <c r="J134" i="293" s="1"/>
  <c r="CY3" i="35"/>
  <c r="CZ3" i="35" s="1"/>
  <c r="I132" i="229" s="1"/>
  <c r="CR11" i="35"/>
  <c r="I131" i="237" s="1"/>
  <c r="J131" i="237" s="1"/>
  <c r="J131" i="277"/>
  <c r="CG56" i="35"/>
  <c r="F130" i="283" s="1"/>
  <c r="G134" i="255"/>
  <c r="DG26" i="35"/>
  <c r="H133" i="253" s="1"/>
  <c r="DO24" i="35"/>
  <c r="H134" i="251" s="1"/>
  <c r="CQ3" i="35"/>
  <c r="CR3" i="35" s="1"/>
  <c r="I131" i="229" s="1"/>
  <c r="J132" i="258"/>
  <c r="J133" i="241"/>
  <c r="J134" i="265"/>
  <c r="J134" i="268"/>
  <c r="DH85" i="35"/>
  <c r="I133" i="312" s="1"/>
  <c r="J133" i="312" s="1"/>
  <c r="J134" i="286"/>
  <c r="J133" i="265"/>
  <c r="J133" i="278"/>
  <c r="DH25" i="35"/>
  <c r="J134" i="264"/>
  <c r="DO62" i="35"/>
  <c r="H134" i="289" s="1"/>
  <c r="H132" i="237"/>
  <c r="CZ11" i="35"/>
  <c r="I132" i="237" s="1"/>
  <c r="BT51" i="35"/>
  <c r="J134" i="292"/>
  <c r="J133" i="294"/>
  <c r="DP83" i="35"/>
  <c r="I134" i="310" s="1"/>
  <c r="J134" i="310" s="1"/>
  <c r="J132" i="249"/>
  <c r="J131" i="268"/>
  <c r="CR45" i="35"/>
  <c r="I131" i="272" s="1"/>
  <c r="J131" i="272" s="1"/>
  <c r="CY44" i="35"/>
  <c r="H132" i="271" s="1"/>
  <c r="BW38" i="35"/>
  <c r="BX38" i="35" s="1"/>
  <c r="L50" i="265"/>
  <c r="BW8" i="35"/>
  <c r="BX8" i="35" s="1"/>
  <c r="L50" i="234"/>
  <c r="CZ41" i="35"/>
  <c r="I132" i="268" s="1"/>
  <c r="H132" i="268"/>
  <c r="CZ21" i="35"/>
  <c r="I132" i="248" s="1"/>
  <c r="H132" i="248"/>
  <c r="CQ44" i="35"/>
  <c r="H131" i="271" s="1"/>
  <c r="G131" i="271"/>
  <c r="DP42" i="35"/>
  <c r="I134" i="269" s="1"/>
  <c r="H134" i="269"/>
  <c r="CR14" i="35"/>
  <c r="I131" i="241" s="1"/>
  <c r="H131" i="241"/>
  <c r="DP30" i="35"/>
  <c r="I134" i="257" s="1"/>
  <c r="H134" i="257"/>
  <c r="G131" i="313"/>
  <c r="CQ86" i="35"/>
  <c r="H131" i="313" s="1"/>
  <c r="CR4" i="35"/>
  <c r="I131" i="230" s="1"/>
  <c r="H131" i="230"/>
  <c r="CZ20" i="35"/>
  <c r="I132" i="247" s="1"/>
  <c r="H132" i="247"/>
  <c r="BW86" i="35"/>
  <c r="BX86" i="35" s="1"/>
  <c r="BY86" i="35" s="1"/>
  <c r="L50" i="313"/>
  <c r="BW33" i="35"/>
  <c r="BX33" i="35" s="1"/>
  <c r="BY33" i="35" s="1"/>
  <c r="BZ33" i="35" s="1"/>
  <c r="CA33" i="35" s="1"/>
  <c r="CB33" i="35" s="1"/>
  <c r="L50" i="260"/>
  <c r="BW37" i="35"/>
  <c r="BX37" i="35" s="1"/>
  <c r="BY37" i="35" s="1"/>
  <c r="L50" i="264"/>
  <c r="BW30" i="35"/>
  <c r="BX30" i="35" s="1"/>
  <c r="BY30" i="35" s="1"/>
  <c r="BZ30" i="35" s="1"/>
  <c r="L50" i="257"/>
  <c r="G132" i="230"/>
  <c r="CY4" i="35"/>
  <c r="DH58" i="35"/>
  <c r="I133" i="285" s="1"/>
  <c r="H133" i="285"/>
  <c r="DP13" i="35"/>
  <c r="I134" i="240" s="1"/>
  <c r="H134" i="240"/>
  <c r="CR34" i="35"/>
  <c r="I131" i="261" s="1"/>
  <c r="H131" i="261"/>
  <c r="DH50" i="35"/>
  <c r="I133" i="277" s="1"/>
  <c r="H133" i="277"/>
  <c r="DG13" i="35"/>
  <c r="H133" i="240" s="1"/>
  <c r="G133" i="240"/>
  <c r="BW22" i="35"/>
  <c r="BX22" i="35" s="1"/>
  <c r="BY22" i="35" s="1"/>
  <c r="L50" i="249"/>
  <c r="CE40" i="35"/>
  <c r="D130" i="267" s="1"/>
  <c r="M50" i="267"/>
  <c r="CE23" i="35"/>
  <c r="M50" i="250"/>
  <c r="BW42" i="35"/>
  <c r="BX42" i="35" s="1"/>
  <c r="BY42" i="35" s="1"/>
  <c r="BZ42" i="35" s="1"/>
  <c r="L50" i="269"/>
  <c r="BW62" i="35"/>
  <c r="BX62" i="35" s="1"/>
  <c r="L50" i="289"/>
  <c r="CE51" i="35"/>
  <c r="M50" i="278"/>
  <c r="BW11" i="35"/>
  <c r="BX11" i="35" s="1"/>
  <c r="BY11" i="35" s="1"/>
  <c r="L50" i="237"/>
  <c r="CY26" i="35"/>
  <c r="G132" i="253"/>
  <c r="CR87" i="35"/>
  <c r="I131" i="314" s="1"/>
  <c r="H131" i="314"/>
  <c r="CR8" i="35"/>
  <c r="I131" i="234" s="1"/>
  <c r="H131" i="234"/>
  <c r="CR39" i="35"/>
  <c r="I131" i="266" s="1"/>
  <c r="H131" i="266"/>
  <c r="DP34" i="35"/>
  <c r="I134" i="261" s="1"/>
  <c r="H134" i="261"/>
  <c r="CR20" i="35"/>
  <c r="I131" i="247" s="1"/>
  <c r="H131" i="247"/>
  <c r="DH22" i="35"/>
  <c r="I133" i="249" s="1"/>
  <c r="H133" i="249"/>
  <c r="H134" i="266"/>
  <c r="DP39" i="35"/>
  <c r="I134" i="266" s="1"/>
  <c r="DP61" i="35"/>
  <c r="I134" i="288" s="1"/>
  <c r="H134" i="288"/>
  <c r="DG4" i="35"/>
  <c r="CQ28" i="35"/>
  <c r="CF19" i="35"/>
  <c r="E130" i="246" s="1"/>
  <c r="DG10" i="35"/>
  <c r="H133" i="236" s="1"/>
  <c r="CR42" i="35"/>
  <c r="I131" i="269" s="1"/>
  <c r="J131" i="269" s="1"/>
  <c r="CZ50" i="35"/>
  <c r="I132" i="277" s="1"/>
  <c r="J132" i="277" s="1"/>
  <c r="CR61" i="35"/>
  <c r="I131" i="288" s="1"/>
  <c r="J131" i="288" s="1"/>
  <c r="DP6" i="35"/>
  <c r="I134" i="232" s="1"/>
  <c r="J134" i="232" s="1"/>
  <c r="CQ24" i="35"/>
  <c r="BW55" i="35"/>
  <c r="BX55" i="35" s="1"/>
  <c r="BY55" i="35" s="1"/>
  <c r="L50" i="282"/>
  <c r="BO47" i="35"/>
  <c r="BP47" i="35" s="1"/>
  <c r="K50" i="274"/>
  <c r="CF7" i="35"/>
  <c r="D130" i="233"/>
  <c r="DH41" i="35"/>
  <c r="I133" i="268" s="1"/>
  <c r="H133" i="268"/>
  <c r="CG15" i="35"/>
  <c r="F130" i="242" s="1"/>
  <c r="E130" i="242"/>
  <c r="DP86" i="35"/>
  <c r="I134" i="313" s="1"/>
  <c r="H134" i="313"/>
  <c r="DH33" i="35"/>
  <c r="I133" i="260" s="1"/>
  <c r="H133" i="260"/>
  <c r="G131" i="236"/>
  <c r="CQ10" i="35"/>
  <c r="H131" i="236" s="1"/>
  <c r="CQ21" i="35"/>
  <c r="G131" i="248"/>
  <c r="G133" i="295"/>
  <c r="DG68" i="35"/>
  <c r="DG3" i="35"/>
  <c r="G133" i="229"/>
  <c r="G132" i="255"/>
  <c r="CY28" i="35"/>
  <c r="CZ33" i="35"/>
  <c r="I132" i="260" s="1"/>
  <c r="H132" i="260"/>
  <c r="BW25" i="35"/>
  <c r="L50" i="252"/>
  <c r="CE12" i="35"/>
  <c r="D130" i="239" s="1"/>
  <c r="M50" i="239"/>
  <c r="BW50" i="35"/>
  <c r="BX50" i="35" s="1"/>
  <c r="L50" i="277"/>
  <c r="BW87" i="35"/>
  <c r="BX87" i="35" s="1"/>
  <c r="BY87" i="35" s="1"/>
  <c r="BZ87" i="35" s="1"/>
  <c r="L50" i="314"/>
  <c r="BW14" i="35"/>
  <c r="BX14" i="35" s="1"/>
  <c r="L50" i="241"/>
  <c r="CE35" i="35"/>
  <c r="M50" i="262"/>
  <c r="BW88" i="35"/>
  <c r="BX88" i="35" s="1"/>
  <c r="L50" i="315"/>
  <c r="BO13" i="35"/>
  <c r="BP13" i="35" s="1"/>
  <c r="K50" i="240"/>
  <c r="BW28" i="35"/>
  <c r="BX28" i="35" s="1"/>
  <c r="BY28" i="35" s="1"/>
  <c r="L50" i="255"/>
  <c r="BO4" i="35"/>
  <c r="BP4" i="35" s="1"/>
  <c r="K50" i="230"/>
  <c r="H134" i="314"/>
  <c r="DP87" i="35"/>
  <c r="I134" i="314" s="1"/>
  <c r="H132" i="257"/>
  <c r="CZ30" i="35"/>
  <c r="I132" i="257" s="1"/>
  <c r="CR68" i="35"/>
  <c r="I131" i="295" s="1"/>
  <c r="H131" i="295"/>
  <c r="CY24" i="35"/>
  <c r="H132" i="251" s="1"/>
  <c r="G132" i="251"/>
  <c r="CR6" i="35"/>
  <c r="I131" i="232" s="1"/>
  <c r="H131" i="232"/>
  <c r="G133" i="248"/>
  <c r="DG21" i="35"/>
  <c r="H133" i="248" s="1"/>
  <c r="CZ55" i="35"/>
  <c r="I132" i="282" s="1"/>
  <c r="H132" i="282"/>
  <c r="G134" i="236"/>
  <c r="DP10" i="35"/>
  <c r="I134" i="236" s="1"/>
  <c r="DH20" i="35"/>
  <c r="I133" i="247" s="1"/>
  <c r="H133" i="247"/>
  <c r="DG24" i="35"/>
  <c r="G133" i="251"/>
  <c r="DP28" i="35"/>
  <c r="I134" i="255" s="1"/>
  <c r="H134" i="255"/>
  <c r="CQ13" i="35"/>
  <c r="J133" i="264"/>
  <c r="J134" i="245"/>
  <c r="J132" i="265"/>
  <c r="BQ28" i="35"/>
  <c r="BR28" i="35" s="1"/>
  <c r="BS28" i="35" s="1"/>
  <c r="BT28" i="35" s="1"/>
  <c r="DP88" i="35"/>
  <c r="I134" i="315" s="1"/>
  <c r="J134" i="315" s="1"/>
  <c r="J131" i="290"/>
  <c r="DG61" i="35"/>
  <c r="DH42" i="35"/>
  <c r="I133" i="269" s="1"/>
  <c r="J133" i="269" s="1"/>
  <c r="J132" i="250"/>
  <c r="DH31" i="35"/>
  <c r="I133" i="258" s="1"/>
  <c r="J133" i="258" s="1"/>
  <c r="CY13" i="35"/>
  <c r="H132" i="240" s="1"/>
  <c r="CY10" i="35"/>
  <c r="BL61" i="35"/>
  <c r="CE9" i="35"/>
  <c r="CE34" i="35"/>
  <c r="BV4" i="35"/>
  <c r="BR61" i="35"/>
  <c r="BS61" i="35" s="1"/>
  <c r="BT61" i="35" s="1"/>
  <c r="CK4" i="35"/>
  <c r="BR30" i="35"/>
  <c r="BS30" i="35" s="1"/>
  <c r="BT30" i="35" s="1"/>
  <c r="BR33" i="35"/>
  <c r="BS33" i="35" s="1"/>
  <c r="BT33" i="35" s="1"/>
  <c r="BL22" i="35"/>
  <c r="BI28" i="35"/>
  <c r="BJ28" i="35" s="1"/>
  <c r="BK28" i="35" s="1"/>
  <c r="BT34" i="35"/>
  <c r="BL40" i="35"/>
  <c r="BJ13" i="35"/>
  <c r="BK13" i="35" s="1"/>
  <c r="BL13" i="35" s="1"/>
  <c r="BH3" i="35"/>
  <c r="BI3" i="35" s="1"/>
  <c r="BJ3" i="35" s="1"/>
  <c r="BK3" i="35" s="1"/>
  <c r="BJ14" i="35"/>
  <c r="BK14" i="35" s="1"/>
  <c r="BQ44" i="35"/>
  <c r="BR44" i="35" s="1"/>
  <c r="BS44" i="35" s="1"/>
  <c r="BT44" i="35" s="1"/>
  <c r="BQ88" i="35"/>
  <c r="BR88" i="35" s="1"/>
  <c r="BD13" i="35"/>
  <c r="BV61" i="35"/>
  <c r="CK61" i="35"/>
  <c r="CD61" i="35" s="1"/>
  <c r="M50" i="288" s="1"/>
  <c r="CK13" i="35"/>
  <c r="BC61" i="35"/>
  <c r="BD61" i="35" s="1"/>
  <c r="CA23" i="35"/>
  <c r="CB23" i="35" s="1"/>
  <c r="BZ63" i="35"/>
  <c r="CA63" i="35" s="1"/>
  <c r="CB63" i="35" s="1"/>
  <c r="BK86" i="35"/>
  <c r="BL86" i="35" s="1"/>
  <c r="BQ45" i="35"/>
  <c r="BR45" i="35" s="1"/>
  <c r="BS45" i="35" s="1"/>
  <c r="BT40" i="35"/>
  <c r="BS42" i="35"/>
  <c r="BT42" i="35" s="1"/>
  <c r="BK50" i="35"/>
  <c r="BL50" i="35" s="1"/>
  <c r="BK41" i="35"/>
  <c r="BL41" i="35" s="1"/>
  <c r="BR20" i="35"/>
  <c r="BP54" i="35"/>
  <c r="BQ54" i="35" s="1"/>
  <c r="BR54" i="35" s="1"/>
  <c r="CD28" i="35"/>
  <c r="M50" i="255" s="1"/>
  <c r="BV13" i="35"/>
  <c r="L50" i="240" s="1"/>
  <c r="BW46" i="35"/>
  <c r="BX46" i="35" s="1"/>
  <c r="BY46" i="35" s="1"/>
  <c r="BZ46" i="35" s="1"/>
  <c r="CE20" i="35"/>
  <c r="D130" i="247" s="1"/>
  <c r="BK65" i="35"/>
  <c r="BL65" i="35" s="1"/>
  <c r="AV62" i="35"/>
  <c r="AV95" i="35" s="1"/>
  <c r="BQ6" i="35"/>
  <c r="BR6" i="35" s="1"/>
  <c r="BD85" i="35"/>
  <c r="BO26" i="35"/>
  <c r="BP26" i="35" s="1"/>
  <c r="BQ26" i="35" s="1"/>
  <c r="BR26" i="35" s="1"/>
  <c r="BC62" i="35"/>
  <c r="BD62" i="35" s="1"/>
  <c r="BS87" i="35"/>
  <c r="BT87" i="35" s="1"/>
  <c r="BL67" i="35"/>
  <c r="BL23" i="35"/>
  <c r="BZ12" i="35"/>
  <c r="CA12" i="35" s="1"/>
  <c r="BR39" i="35"/>
  <c r="BS39" i="35" s="1"/>
  <c r="BS9" i="35"/>
  <c r="BT9" i="35" s="1"/>
  <c r="CA84" i="35"/>
  <c r="CB84" i="35" s="1"/>
  <c r="CD14" i="35"/>
  <c r="CD24" i="35"/>
  <c r="CK64" i="35"/>
  <c r="CK3" i="35"/>
  <c r="CD22" i="35"/>
  <c r="M50" i="249" s="1"/>
  <c r="BV26" i="35"/>
  <c r="L50" i="253" s="1"/>
  <c r="CD55" i="35"/>
  <c r="CD31" i="35"/>
  <c r="M50" i="258" s="1"/>
  <c r="CD62" i="35"/>
  <c r="CD88" i="35"/>
  <c r="BV64" i="35"/>
  <c r="BV3" i="35"/>
  <c r="L50" i="229" s="1"/>
  <c r="CD27" i="35"/>
  <c r="M50" i="254" s="1"/>
  <c r="CK26" i="35"/>
  <c r="CD58" i="35"/>
  <c r="CD65" i="35"/>
  <c r="CD18" i="35"/>
  <c r="BI66" i="35"/>
  <c r="BJ66" i="35" s="1"/>
  <c r="BK66" i="35" s="1"/>
  <c r="CK83" i="35"/>
  <c r="BQ59" i="35"/>
  <c r="CK10" i="35"/>
  <c r="CD41" i="35"/>
  <c r="BS23" i="35"/>
  <c r="BT23" i="35" s="1"/>
  <c r="BQ12" i="35"/>
  <c r="CD44" i="35"/>
  <c r="CK47" i="35"/>
  <c r="CD11" i="35"/>
  <c r="M50" i="237" s="1"/>
  <c r="CD87" i="35"/>
  <c r="M50" i="314" s="1"/>
  <c r="BB54" i="35"/>
  <c r="BC54" i="35" s="1"/>
  <c r="BS11" i="35"/>
  <c r="BT11" i="35" s="1"/>
  <c r="BI31" i="35"/>
  <c r="BJ31" i="35" s="1"/>
  <c r="BR22" i="35"/>
  <c r="BS22" i="35" s="1"/>
  <c r="BT22" i="35" s="1"/>
  <c r="BS38" i="35"/>
  <c r="BT38" i="35" s="1"/>
  <c r="BW39" i="35"/>
  <c r="BX39" i="35" s="1"/>
  <c r="BW44" i="35"/>
  <c r="CE21" i="35"/>
  <c r="D130" i="248" s="1"/>
  <c r="BZ20" i="35"/>
  <c r="CA20" i="35" s="1"/>
  <c r="CB20" i="35" s="1"/>
  <c r="BW54" i="35"/>
  <c r="BX54" i="35" s="1"/>
  <c r="BY54" i="35" s="1"/>
  <c r="CE59" i="35"/>
  <c r="BW18" i="35"/>
  <c r="BX18" i="35" s="1"/>
  <c r="BY18" i="35" s="1"/>
  <c r="BO3" i="35"/>
  <c r="BJ37" i="35"/>
  <c r="BK37" i="35" s="1"/>
  <c r="BJ11" i="35"/>
  <c r="BK11" i="35" s="1"/>
  <c r="BL11" i="35" s="1"/>
  <c r="BK47" i="35"/>
  <c r="BL47" i="35" s="1"/>
  <c r="BS46" i="35"/>
  <c r="BT46" i="35" s="1"/>
  <c r="BT66" i="35"/>
  <c r="BK27" i="35"/>
  <c r="BL27" i="35" s="1"/>
  <c r="BR27" i="35"/>
  <c r="BS27" i="35" s="1"/>
  <c r="BW85" i="35"/>
  <c r="BX85" i="35" s="1"/>
  <c r="BI88" i="35"/>
  <c r="BO10" i="35"/>
  <c r="BP10" i="35" s="1"/>
  <c r="CE63" i="35"/>
  <c r="BW41" i="35"/>
  <c r="BW45" i="35"/>
  <c r="BX45" i="35" s="1"/>
  <c r="BW6" i="35"/>
  <c r="CE84" i="35"/>
  <c r="D130" i="311" s="1"/>
  <c r="BI87" i="35"/>
  <c r="BQ84" i="35"/>
  <c r="BZ59" i="35"/>
  <c r="CA59" i="35" s="1"/>
  <c r="CB59" i="35" s="1"/>
  <c r="BK83" i="35"/>
  <c r="BL83" i="35" s="1"/>
  <c r="BQ41" i="35"/>
  <c r="BR41" i="35" s="1"/>
  <c r="BS41" i="35" s="1"/>
  <c r="BK24" i="35"/>
  <c r="BL24" i="35" s="1"/>
  <c r="BR86" i="35"/>
  <c r="BS86" i="35" s="1"/>
  <c r="BT86" i="35" s="1"/>
  <c r="BY35" i="35"/>
  <c r="BZ35" i="35" s="1"/>
  <c r="BP14" i="35"/>
  <c r="BQ14" i="35" s="1"/>
  <c r="BR14" i="35" s="1"/>
  <c r="BP85" i="35"/>
  <c r="BK62" i="35"/>
  <c r="BL62" i="35" s="1"/>
  <c r="BB64" i="35"/>
  <c r="BC64" i="35" s="1"/>
  <c r="BO83" i="35"/>
  <c r="BO48" i="35"/>
  <c r="BP48" i="35" s="1"/>
  <c r="BW58" i="35"/>
  <c r="BW65" i="35"/>
  <c r="BW24" i="35"/>
  <c r="BW66" i="35"/>
  <c r="BW27" i="35"/>
  <c r="BC26" i="35"/>
  <c r="BD26" i="35" s="1"/>
  <c r="BX21" i="35"/>
  <c r="BI48" i="35"/>
  <c r="BJ48" i="35" s="1"/>
  <c r="BK10" i="35"/>
  <c r="BL10" i="35" s="1"/>
  <c r="BL6" i="35"/>
  <c r="BY67" i="35"/>
  <c r="BZ67" i="35" s="1"/>
  <c r="BY40" i="35"/>
  <c r="BZ40" i="35" s="1"/>
  <c r="CD45" i="35"/>
  <c r="BV48" i="35"/>
  <c r="CD54" i="35"/>
  <c r="M50" i="281" s="1"/>
  <c r="CD39" i="35"/>
  <c r="CD38" i="35"/>
  <c r="CD37" i="35"/>
  <c r="BQ62" i="35"/>
  <c r="BR62" i="35" s="1"/>
  <c r="BV83" i="35"/>
  <c r="CD42" i="35"/>
  <c r="CD33" i="35"/>
  <c r="CD85" i="35"/>
  <c r="M50" i="312" s="1"/>
  <c r="CD25" i="35"/>
  <c r="CD86" i="35"/>
  <c r="BQ67" i="35"/>
  <c r="BR67" i="35" s="1"/>
  <c r="BV10" i="35"/>
  <c r="L50" i="236" s="1"/>
  <c r="CD30" i="35"/>
  <c r="CD6" i="35"/>
  <c r="CD50" i="35"/>
  <c r="CD66" i="35"/>
  <c r="M50" i="293" s="1"/>
  <c r="BV47" i="35"/>
  <c r="CK48" i="35"/>
  <c r="CD46" i="35"/>
  <c r="CD8" i="35"/>
  <c r="M50" i="234" s="1"/>
  <c r="BC44" i="35"/>
  <c r="BD44" i="35" s="1"/>
  <c r="BQ31" i="35"/>
  <c r="BR31" i="35" s="1"/>
  <c r="BP65" i="35"/>
  <c r="BQ65" i="35" s="1"/>
  <c r="BR65" i="35" s="1"/>
  <c r="BH64" i="35"/>
  <c r="BI64" i="35" s="1"/>
  <c r="BJ64" i="35" s="1"/>
  <c r="BW31" i="35"/>
  <c r="BK45" i="35"/>
  <c r="BL45" i="35" s="1"/>
  <c r="CE67" i="35"/>
  <c r="D130" i="294" s="1"/>
  <c r="BO64" i="35"/>
  <c r="BI85" i="35"/>
  <c r="BJ85" i="35" s="1"/>
  <c r="BS50" i="35"/>
  <c r="BT50" i="35" s="1"/>
  <c r="BS58" i="35"/>
  <c r="BT58" i="35" s="1"/>
  <c r="BJ33" i="35"/>
  <c r="BK33" i="35" s="1"/>
  <c r="BL33" i="35" s="1"/>
  <c r="BP8" i="35"/>
  <c r="BQ8" i="35" s="1"/>
  <c r="BC88" i="35"/>
  <c r="BD88" i="35" s="1"/>
  <c r="BJ38" i="35"/>
  <c r="BQ37" i="35"/>
  <c r="BR37" i="35" s="1"/>
  <c r="BK18" i="35"/>
  <c r="BL18" i="35" s="1"/>
  <c r="BP24" i="35"/>
  <c r="BQ24" i="35" s="1"/>
  <c r="BJ54" i="35"/>
  <c r="BK54" i="35" s="1"/>
  <c r="BL54" i="35" s="1"/>
  <c r="BD14" i="35"/>
  <c r="AU47" i="35"/>
  <c r="AV47" i="35" s="1"/>
  <c r="BH26" i="35"/>
  <c r="BP55" i="35"/>
  <c r="BQ55" i="35" s="1"/>
  <c r="BP18" i="35"/>
  <c r="BB48" i="35"/>
  <c r="BC48" i="35" s="1"/>
  <c r="AV26" i="35"/>
  <c r="BL42" i="35"/>
  <c r="J134" i="252" l="1"/>
  <c r="DO95" i="35"/>
  <c r="CD95" i="35"/>
  <c r="CY95" i="35"/>
  <c r="I132" i="252"/>
  <c r="J132" i="252" s="1"/>
  <c r="CZ95" i="35"/>
  <c r="BC25" i="35"/>
  <c r="BX25" i="35"/>
  <c r="BW95" i="35"/>
  <c r="I133" i="252"/>
  <c r="J133" i="252" s="1"/>
  <c r="I131" i="252"/>
  <c r="J131" i="252" s="1"/>
  <c r="CR95" i="35"/>
  <c r="BI95" i="35"/>
  <c r="BJ25" i="35"/>
  <c r="BQ25" i="35"/>
  <c r="BQ95" i="35" s="1"/>
  <c r="DG95" i="35"/>
  <c r="H132" i="289"/>
  <c r="J132" i="289" s="1"/>
  <c r="DH44" i="35"/>
  <c r="I133" i="271" s="1"/>
  <c r="J133" i="271" s="1"/>
  <c r="DP24" i="35"/>
  <c r="I134" i="251" s="1"/>
  <c r="J134" i="251" s="1"/>
  <c r="DP64" i="35"/>
  <c r="I134" i="291" s="1"/>
  <c r="J134" i="291" s="1"/>
  <c r="DP4" i="35"/>
  <c r="I134" i="230" s="1"/>
  <c r="J134" i="230" s="1"/>
  <c r="CZ64" i="35"/>
  <c r="I132" i="291" s="1"/>
  <c r="J132" i="291" s="1"/>
  <c r="H134" i="275"/>
  <c r="J134" i="275" s="1"/>
  <c r="H132" i="288"/>
  <c r="J132" i="288" s="1"/>
  <c r="DP47" i="35"/>
  <c r="I134" i="274" s="1"/>
  <c r="J134" i="274" s="1"/>
  <c r="DH48" i="35"/>
  <c r="I133" i="275" s="1"/>
  <c r="J133" i="275" s="1"/>
  <c r="CZ48" i="35"/>
  <c r="I132" i="275" s="1"/>
  <c r="J132" i="275" s="1"/>
  <c r="CR26" i="35"/>
  <c r="I131" i="253" s="1"/>
  <c r="J131" i="253" s="1"/>
  <c r="DH62" i="35"/>
  <c r="I133" i="289" s="1"/>
  <c r="J133" i="289" s="1"/>
  <c r="J134" i="295"/>
  <c r="H132" i="274"/>
  <c r="J132" i="274" s="1"/>
  <c r="DH28" i="35"/>
  <c r="I133" i="255" s="1"/>
  <c r="J133" i="255" s="1"/>
  <c r="H134" i="229"/>
  <c r="J134" i="229" s="1"/>
  <c r="DP21" i="35"/>
  <c r="I134" i="248" s="1"/>
  <c r="J134" i="248" s="1"/>
  <c r="CR64" i="35"/>
  <c r="I131" i="291" s="1"/>
  <c r="J131" i="291" s="1"/>
  <c r="J132" i="292"/>
  <c r="CR83" i="35"/>
  <c r="I131" i="310" s="1"/>
  <c r="H131" i="310"/>
  <c r="J133" i="260"/>
  <c r="DH26" i="35"/>
  <c r="I133" i="253" s="1"/>
  <c r="J133" i="253" s="1"/>
  <c r="DH83" i="35"/>
  <c r="I133" i="310" s="1"/>
  <c r="J133" i="310" s="1"/>
  <c r="DH13" i="35"/>
  <c r="I133" i="240" s="1"/>
  <c r="J133" i="240" s="1"/>
  <c r="J131" i="234"/>
  <c r="H133" i="313"/>
  <c r="J133" i="313" s="1"/>
  <c r="H132" i="313"/>
  <c r="CZ86" i="35"/>
  <c r="I132" i="313" s="1"/>
  <c r="CH56" i="35"/>
  <c r="CI56" i="35" s="1"/>
  <c r="H130" i="283" s="1"/>
  <c r="CZ44" i="35"/>
  <c r="I132" i="271" s="1"/>
  <c r="J132" i="271" s="1"/>
  <c r="J134" i="288"/>
  <c r="DH64" i="35"/>
  <c r="I133" i="291" s="1"/>
  <c r="H133" i="291"/>
  <c r="CA51" i="35"/>
  <c r="CB51" i="35" s="1"/>
  <c r="DH10" i="35"/>
  <c r="I133" i="236" s="1"/>
  <c r="J133" i="236" s="1"/>
  <c r="J134" i="313"/>
  <c r="H131" i="229"/>
  <c r="J131" i="229" s="1"/>
  <c r="BY8" i="35"/>
  <c r="BZ8" i="35" s="1"/>
  <c r="CA8" i="35" s="1"/>
  <c r="CF40" i="35"/>
  <c r="E130" i="267" s="1"/>
  <c r="CZ13" i="35"/>
  <c r="I132" i="240" s="1"/>
  <c r="J132" i="240" s="1"/>
  <c r="H132" i="229"/>
  <c r="J132" i="229" s="1"/>
  <c r="J134" i="261"/>
  <c r="J132" i="232"/>
  <c r="H131" i="275"/>
  <c r="CR48" i="35"/>
  <c r="I131" i="275" s="1"/>
  <c r="CG19" i="35"/>
  <c r="CH19" i="35" s="1"/>
  <c r="G130" i="246" s="1"/>
  <c r="CH15" i="35"/>
  <c r="G130" i="242" s="1"/>
  <c r="J132" i="257"/>
  <c r="BY88" i="35"/>
  <c r="BZ88" i="35" s="1"/>
  <c r="CA88" i="35" s="1"/>
  <c r="CF12" i="35"/>
  <c r="E130" i="239" s="1"/>
  <c r="H132" i="310"/>
  <c r="J132" i="310" s="1"/>
  <c r="J132" i="282"/>
  <c r="J131" i="266"/>
  <c r="J131" i="314"/>
  <c r="J134" i="257"/>
  <c r="J134" i="269"/>
  <c r="J134" i="314"/>
  <c r="J133" i="285"/>
  <c r="DP62" i="35"/>
  <c r="BY38" i="35"/>
  <c r="BZ38" i="35" s="1"/>
  <c r="CA38" i="35" s="1"/>
  <c r="CB38" i="35" s="1"/>
  <c r="J134" i="255"/>
  <c r="J134" i="236"/>
  <c r="DH21" i="35"/>
  <c r="I133" i="248" s="1"/>
  <c r="J133" i="248" s="1"/>
  <c r="J133" i="277"/>
  <c r="J131" i="230"/>
  <c r="J132" i="248"/>
  <c r="J132" i="237"/>
  <c r="J134" i="266"/>
  <c r="J133" i="247"/>
  <c r="J132" i="260"/>
  <c r="J131" i="261"/>
  <c r="J131" i="241"/>
  <c r="CE58" i="35"/>
  <c r="D130" i="285" s="1"/>
  <c r="M50" i="285"/>
  <c r="BW64" i="35"/>
  <c r="BX64" i="35" s="1"/>
  <c r="BY64" i="35" s="1"/>
  <c r="BZ64" i="35" s="1"/>
  <c r="L50" i="291"/>
  <c r="CE55" i="35"/>
  <c r="D130" i="282" s="1"/>
  <c r="M50" i="282"/>
  <c r="H133" i="288"/>
  <c r="DH61" i="35"/>
  <c r="I133" i="288" s="1"/>
  <c r="CR24" i="35"/>
  <c r="I131" i="251" s="1"/>
  <c r="H131" i="251"/>
  <c r="BW47" i="35"/>
  <c r="BX47" i="35" s="1"/>
  <c r="BY47" i="35" s="1"/>
  <c r="L50" i="274"/>
  <c r="CE25" i="35"/>
  <c r="M50" i="252"/>
  <c r="BW83" i="35"/>
  <c r="BX83" i="35" s="1"/>
  <c r="BY83" i="35" s="1"/>
  <c r="BZ83" i="35" s="1"/>
  <c r="L50" i="310"/>
  <c r="CE39" i="35"/>
  <c r="D130" i="266" s="1"/>
  <c r="M50" i="266"/>
  <c r="CE65" i="35"/>
  <c r="D130" i="292" s="1"/>
  <c r="M50" i="292"/>
  <c r="BW61" i="35"/>
  <c r="BX61" i="35" s="1"/>
  <c r="BY61" i="35" s="1"/>
  <c r="BZ61" i="35" s="1"/>
  <c r="L50" i="288"/>
  <c r="CF34" i="35"/>
  <c r="E130" i="261" s="1"/>
  <c r="D130" i="261"/>
  <c r="DH3" i="35"/>
  <c r="I133" i="229" s="1"/>
  <c r="H133" i="229"/>
  <c r="CR21" i="35"/>
  <c r="I131" i="248" s="1"/>
  <c r="H131" i="248"/>
  <c r="DH4" i="35"/>
  <c r="I133" i="230" s="1"/>
  <c r="H133" i="230"/>
  <c r="CZ4" i="35"/>
  <c r="I132" i="230" s="1"/>
  <c r="H132" i="230"/>
  <c r="CE6" i="35"/>
  <c r="M50" i="232"/>
  <c r="CE42" i="35"/>
  <c r="D130" i="269" s="1"/>
  <c r="M50" i="269"/>
  <c r="CF63" i="35"/>
  <c r="E130" i="290" s="1"/>
  <c r="D130" i="290"/>
  <c r="CE44" i="35"/>
  <c r="D130" i="271" s="1"/>
  <c r="M50" i="271"/>
  <c r="CE62" i="35"/>
  <c r="M50" i="289"/>
  <c r="CE14" i="35"/>
  <c r="D130" i="241" s="1"/>
  <c r="M50" i="241"/>
  <c r="CE46" i="35"/>
  <c r="CF46" i="35" s="1"/>
  <c r="CG46" i="35" s="1"/>
  <c r="CE50" i="35"/>
  <c r="D130" i="277" s="1"/>
  <c r="M50" i="277"/>
  <c r="CE33" i="35"/>
  <c r="D130" i="260" s="1"/>
  <c r="M50" i="260"/>
  <c r="CE37" i="35"/>
  <c r="D130" i="264" s="1"/>
  <c r="M50" i="264"/>
  <c r="BW48" i="35"/>
  <c r="BX48" i="35" s="1"/>
  <c r="L50" i="275"/>
  <c r="CF59" i="35"/>
  <c r="E130" i="286" s="1"/>
  <c r="D130" i="286"/>
  <c r="CE41" i="35"/>
  <c r="D130" i="268" s="1"/>
  <c r="M50" i="268"/>
  <c r="CE88" i="35"/>
  <c r="D130" i="315" s="1"/>
  <c r="M50" i="315"/>
  <c r="CE24" i="35"/>
  <c r="D130" i="251" s="1"/>
  <c r="M50" i="251"/>
  <c r="BW4" i="35"/>
  <c r="BX4" i="35" s="1"/>
  <c r="BY4" i="35" s="1"/>
  <c r="L50" i="230"/>
  <c r="J131" i="232"/>
  <c r="J134" i="240"/>
  <c r="BQ47" i="35"/>
  <c r="BR47" i="35" s="1"/>
  <c r="BS47" i="35" s="1"/>
  <c r="BT47" i="35" s="1"/>
  <c r="BZ37" i="35"/>
  <c r="CA37" i="35" s="1"/>
  <c r="CB37" i="35" s="1"/>
  <c r="BY62" i="35"/>
  <c r="BZ62" i="35" s="1"/>
  <c r="CZ24" i="35"/>
  <c r="I132" i="251" s="1"/>
  <c r="J132" i="251" s="1"/>
  <c r="J131" i="295"/>
  <c r="CR10" i="35"/>
  <c r="I131" i="236" s="1"/>
  <c r="J131" i="236" s="1"/>
  <c r="CR86" i="35"/>
  <c r="I131" i="313" s="1"/>
  <c r="J131" i="313" s="1"/>
  <c r="J131" i="247"/>
  <c r="J132" i="247"/>
  <c r="CR44" i="35"/>
  <c r="I131" i="271" s="1"/>
  <c r="J131" i="271" s="1"/>
  <c r="CF9" i="35"/>
  <c r="D130" i="235"/>
  <c r="CZ10" i="35"/>
  <c r="I132" i="236" s="1"/>
  <c r="H132" i="236"/>
  <c r="CR13" i="35"/>
  <c r="I131" i="240" s="1"/>
  <c r="H131" i="240"/>
  <c r="CZ28" i="35"/>
  <c r="I132" i="255" s="1"/>
  <c r="H132" i="255"/>
  <c r="DH68" i="35"/>
  <c r="I133" i="295" s="1"/>
  <c r="H133" i="295"/>
  <c r="CG7" i="35"/>
  <c r="E130" i="233"/>
  <c r="CF23" i="35"/>
  <c r="E130" i="250" s="1"/>
  <c r="D130" i="250"/>
  <c r="CE30" i="35"/>
  <c r="D130" i="257" s="1"/>
  <c r="M50" i="257"/>
  <c r="H133" i="251"/>
  <c r="DH24" i="35"/>
  <c r="I133" i="251" s="1"/>
  <c r="CF35" i="35"/>
  <c r="D130" i="262"/>
  <c r="CE86" i="35"/>
  <c r="D130" i="313" s="1"/>
  <c r="M50" i="313"/>
  <c r="CE38" i="35"/>
  <c r="M50" i="265"/>
  <c r="CE45" i="35"/>
  <c r="D130" i="272" s="1"/>
  <c r="M50" i="272"/>
  <c r="CE18" i="35"/>
  <c r="D130" i="245" s="1"/>
  <c r="M50" i="245"/>
  <c r="CR28" i="35"/>
  <c r="I131" i="255" s="1"/>
  <c r="H131" i="255"/>
  <c r="H132" i="253"/>
  <c r="CZ26" i="35"/>
  <c r="I132" i="253" s="1"/>
  <c r="CF51" i="35"/>
  <c r="D130" i="278"/>
  <c r="J133" i="268"/>
  <c r="J133" i="249"/>
  <c r="BQ13" i="35"/>
  <c r="BR13" i="35" s="1"/>
  <c r="J132" i="268"/>
  <c r="BS88" i="35"/>
  <c r="BT88" i="35" s="1"/>
  <c r="CD4" i="35"/>
  <c r="M50" i="230" s="1"/>
  <c r="BQ4" i="35"/>
  <c r="BR4" i="35" s="1"/>
  <c r="BS4" i="35" s="1"/>
  <c r="BT4" i="35" s="1"/>
  <c r="BL14" i="35"/>
  <c r="BY85" i="35"/>
  <c r="BZ85" i="35" s="1"/>
  <c r="BL3" i="35"/>
  <c r="BL28" i="35"/>
  <c r="BZ28" i="35"/>
  <c r="CA28" i="35" s="1"/>
  <c r="CA35" i="35"/>
  <c r="CB35" i="35" s="1"/>
  <c r="BD64" i="35"/>
  <c r="BL66" i="35"/>
  <c r="BS6" i="35"/>
  <c r="BT6" i="35" s="1"/>
  <c r="CD13" i="35"/>
  <c r="CE8" i="35"/>
  <c r="BS62" i="35"/>
  <c r="BT62" i="35" s="1"/>
  <c r="BZ11" i="35"/>
  <c r="CA11" i="35" s="1"/>
  <c r="CB11" i="35" s="1"/>
  <c r="BY39" i="35"/>
  <c r="BZ39" i="35" s="1"/>
  <c r="CA39" i="35" s="1"/>
  <c r="BJ88" i="35"/>
  <c r="BK88" i="35" s="1"/>
  <c r="CF20" i="35"/>
  <c r="BS20" i="35"/>
  <c r="BT20" i="35" s="1"/>
  <c r="BR55" i="35"/>
  <c r="BS55" i="35" s="1"/>
  <c r="BT55" i="35" s="1"/>
  <c r="BR8" i="35"/>
  <c r="BS8" i="35" s="1"/>
  <c r="BT8" i="35" s="1"/>
  <c r="CF21" i="35"/>
  <c r="BK85" i="35"/>
  <c r="BL85" i="35" s="1"/>
  <c r="BY21" i="35"/>
  <c r="BZ21" i="35" s="1"/>
  <c r="BT39" i="35"/>
  <c r="BS54" i="35"/>
  <c r="BT54" i="35" s="1"/>
  <c r="CE28" i="35"/>
  <c r="BS31" i="35"/>
  <c r="BT31" i="35" s="1"/>
  <c r="BW26" i="35"/>
  <c r="BX26" i="35" s="1"/>
  <c r="BY26" i="35" s="1"/>
  <c r="BZ26" i="35" s="1"/>
  <c r="CE61" i="35"/>
  <c r="CB12" i="35"/>
  <c r="BW13" i="35"/>
  <c r="BX13" i="35" s="1"/>
  <c r="BT45" i="35"/>
  <c r="BY45" i="35"/>
  <c r="BZ45" i="35" s="1"/>
  <c r="CA45" i="35" s="1"/>
  <c r="BZ55" i="35"/>
  <c r="CA55" i="35" s="1"/>
  <c r="CB55" i="35" s="1"/>
  <c r="CD48" i="35"/>
  <c r="BJ87" i="35"/>
  <c r="BK87" i="35" s="1"/>
  <c r="BL87" i="35" s="1"/>
  <c r="CD47" i="35"/>
  <c r="BQ48" i="35"/>
  <c r="BQ85" i="35"/>
  <c r="CD64" i="35"/>
  <c r="BX66" i="35"/>
  <c r="BY66" i="35" s="1"/>
  <c r="CD10" i="35"/>
  <c r="CD83" i="35"/>
  <c r="CD26" i="35"/>
  <c r="CA42" i="35"/>
  <c r="CB42" i="35" s="1"/>
  <c r="BS37" i="35"/>
  <c r="BT37" i="35" s="1"/>
  <c r="BD48" i="35"/>
  <c r="CA40" i="35"/>
  <c r="CB40" i="35" s="1"/>
  <c r="CA30" i="35"/>
  <c r="CB30" i="35" s="1"/>
  <c r="BS65" i="35"/>
  <c r="BT65" i="35" s="1"/>
  <c r="BK64" i="35"/>
  <c r="BL64" i="35" s="1"/>
  <c r="BI26" i="35"/>
  <c r="BJ26" i="35" s="1"/>
  <c r="BS26" i="35"/>
  <c r="BT26" i="35" s="1"/>
  <c r="CE87" i="35"/>
  <c r="D130" i="314" s="1"/>
  <c r="BY14" i="35"/>
  <c r="BZ14" i="35" s="1"/>
  <c r="CA14" i="35" s="1"/>
  <c r="BK38" i="35"/>
  <c r="BL38" i="35" s="1"/>
  <c r="BK31" i="35"/>
  <c r="BL31" i="35" s="1"/>
  <c r="BQ10" i="35"/>
  <c r="BP83" i="35"/>
  <c r="BX24" i="35"/>
  <c r="BY24" i="35" s="1"/>
  <c r="BZ24" i="35" s="1"/>
  <c r="CA24" i="35" s="1"/>
  <c r="BR24" i="35"/>
  <c r="BS24" i="35" s="1"/>
  <c r="BS14" i="35"/>
  <c r="BT14" i="35" s="1"/>
  <c r="CA46" i="35"/>
  <c r="CB46" i="35" s="1"/>
  <c r="CE66" i="35"/>
  <c r="BW10" i="35"/>
  <c r="CE85" i="35"/>
  <c r="D130" i="312" s="1"/>
  <c r="CE54" i="35"/>
  <c r="D130" i="281" s="1"/>
  <c r="BT41" i="35"/>
  <c r="BK48" i="35"/>
  <c r="BL48" i="35" s="1"/>
  <c r="CA67" i="35"/>
  <c r="CB67" i="35" s="1"/>
  <c r="CE11" i="35"/>
  <c r="D130" i="237" s="1"/>
  <c r="BW3" i="35"/>
  <c r="BX3" i="35" s="1"/>
  <c r="BR84" i="35"/>
  <c r="BS84" i="35" s="1"/>
  <c r="BT84" i="35" s="1"/>
  <c r="BP64" i="35"/>
  <c r="BX44" i="35"/>
  <c r="BZ54" i="35"/>
  <c r="CA54" i="35" s="1"/>
  <c r="CB54" i="35" s="1"/>
  <c r="BY50" i="35"/>
  <c r="BQ18" i="35"/>
  <c r="BR18" i="35" s="1"/>
  <c r="BS18" i="35" s="1"/>
  <c r="BR59" i="35"/>
  <c r="BS59" i="35" s="1"/>
  <c r="BT59" i="35" s="1"/>
  <c r="BX27" i="35"/>
  <c r="BY27" i="35" s="1"/>
  <c r="BZ27" i="35" s="1"/>
  <c r="CF84" i="35"/>
  <c r="BS67" i="35"/>
  <c r="BT67" i="35" s="1"/>
  <c r="BX6" i="35"/>
  <c r="BR12" i="35"/>
  <c r="BS12" i="35" s="1"/>
  <c r="BT12" i="35" s="1"/>
  <c r="CD3" i="35"/>
  <c r="M50" i="229" s="1"/>
  <c r="BL37" i="35"/>
  <c r="CF67" i="35"/>
  <c r="E130" i="294" s="1"/>
  <c r="BT27" i="35"/>
  <c r="BD54" i="35"/>
  <c r="CE27" i="35"/>
  <c r="D130" i="254" s="1"/>
  <c r="CE31" i="35"/>
  <c r="CE22" i="35"/>
  <c r="BX41" i="35"/>
  <c r="BY41" i="35" s="1"/>
  <c r="BP3" i="35"/>
  <c r="BX31" i="35"/>
  <c r="BZ18" i="35"/>
  <c r="CA18" i="35" s="1"/>
  <c r="CA87" i="35"/>
  <c r="CB87" i="35" s="1"/>
  <c r="BX58" i="35"/>
  <c r="BZ86" i="35"/>
  <c r="CA86" i="35" s="1"/>
  <c r="BZ22" i="35"/>
  <c r="CA22" i="35" s="1"/>
  <c r="CB22" i="35" s="1"/>
  <c r="BX65" i="35"/>
  <c r="BY65" i="35" s="1"/>
  <c r="BZ65" i="35" s="1"/>
  <c r="BR25" i="35" l="1"/>
  <c r="BS25" i="35" s="1"/>
  <c r="DH95" i="35"/>
  <c r="CE95" i="35"/>
  <c r="I134" i="289"/>
  <c r="J134" i="289" s="1"/>
  <c r="DP95" i="35"/>
  <c r="BK25" i="35"/>
  <c r="BK95" i="35" s="1"/>
  <c r="BJ95" i="35"/>
  <c r="BD25" i="35"/>
  <c r="BD95" i="35" s="1"/>
  <c r="BC95" i="35"/>
  <c r="BY25" i="35"/>
  <c r="BX95" i="35"/>
  <c r="CG34" i="35"/>
  <c r="F130" i="261" s="1"/>
  <c r="CI15" i="35"/>
  <c r="CJ15" i="35" s="1"/>
  <c r="I130" i="242" s="1"/>
  <c r="CB8" i="35"/>
  <c r="CG59" i="35"/>
  <c r="F130" i="286" s="1"/>
  <c r="F130" i="246"/>
  <c r="J131" i="310"/>
  <c r="CF88" i="35"/>
  <c r="E130" i="315" s="1"/>
  <c r="CG63" i="35"/>
  <c r="F130" i="290" s="1"/>
  <c r="J133" i="291"/>
  <c r="CJ56" i="35"/>
  <c r="I130" i="283" s="1"/>
  <c r="G130" i="283"/>
  <c r="J132" i="313"/>
  <c r="CF14" i="35"/>
  <c r="E130" i="241" s="1"/>
  <c r="J133" i="229"/>
  <c r="J131" i="275"/>
  <c r="CF50" i="35"/>
  <c r="E130" i="277" s="1"/>
  <c r="CF37" i="35"/>
  <c r="CG37" i="35" s="1"/>
  <c r="F130" i="264" s="1"/>
  <c r="CG40" i="35"/>
  <c r="F130" i="267" s="1"/>
  <c r="CF39" i="35"/>
  <c r="E130" i="266" s="1"/>
  <c r="J131" i="251"/>
  <c r="CB88" i="35"/>
  <c r="J131" i="255"/>
  <c r="CF45" i="35"/>
  <c r="CG45" i="35" s="1"/>
  <c r="F130" i="272" s="1"/>
  <c r="CG12" i="35"/>
  <c r="CH12" i="35" s="1"/>
  <c r="CF86" i="35"/>
  <c r="E130" i="313" s="1"/>
  <c r="J132" i="253"/>
  <c r="CB28" i="35"/>
  <c r="CF30" i="35"/>
  <c r="E130" i="257" s="1"/>
  <c r="J133" i="295"/>
  <c r="J133" i="230"/>
  <c r="J132" i="230"/>
  <c r="CF24" i="35"/>
  <c r="CG24" i="35" s="1"/>
  <c r="CF61" i="35"/>
  <c r="E130" i="288" s="1"/>
  <c r="D130" i="288"/>
  <c r="CF28" i="35"/>
  <c r="E130" i="255" s="1"/>
  <c r="D130" i="255"/>
  <c r="CF62" i="35"/>
  <c r="E130" i="289" s="1"/>
  <c r="D130" i="289"/>
  <c r="CF31" i="35"/>
  <c r="E130" i="258" s="1"/>
  <c r="D130" i="258"/>
  <c r="E130" i="278"/>
  <c r="CG51" i="35"/>
  <c r="F130" i="278" s="1"/>
  <c r="CG35" i="35"/>
  <c r="F130" i="262" s="1"/>
  <c r="E130" i="262"/>
  <c r="CH7" i="35"/>
  <c r="F130" i="233"/>
  <c r="CE47" i="35"/>
  <c r="D130" i="274" s="1"/>
  <c r="M50" i="274"/>
  <c r="CF8" i="35"/>
  <c r="D130" i="234"/>
  <c r="CF6" i="35"/>
  <c r="D130" i="232"/>
  <c r="CF25" i="35"/>
  <c r="D130" i="252"/>
  <c r="CF41" i="35"/>
  <c r="E130" i="268" s="1"/>
  <c r="BY48" i="35"/>
  <c r="BZ48" i="35" s="1"/>
  <c r="CA48" i="35" s="1"/>
  <c r="CF55" i="35"/>
  <c r="E130" i="282" s="1"/>
  <c r="CF18" i="35"/>
  <c r="E130" i="245" s="1"/>
  <c r="CA62" i="35"/>
  <c r="CB62" i="35" s="1"/>
  <c r="J132" i="255"/>
  <c r="J131" i="240"/>
  <c r="J133" i="288"/>
  <c r="CE83" i="35"/>
  <c r="D130" i="310" s="1"/>
  <c r="M50" i="310"/>
  <c r="CE48" i="35"/>
  <c r="D130" i="275" s="1"/>
  <c r="M50" i="275"/>
  <c r="CG84" i="35"/>
  <c r="E130" i="311"/>
  <c r="CE26" i="35"/>
  <c r="D130" i="253" s="1"/>
  <c r="M50" i="253"/>
  <c r="CE64" i="35"/>
  <c r="D130" i="291" s="1"/>
  <c r="M50" i="291"/>
  <c r="CE13" i="35"/>
  <c r="D130" i="240" s="1"/>
  <c r="M50" i="240"/>
  <c r="CF38" i="35"/>
  <c r="E130" i="265" s="1"/>
  <c r="D130" i="265"/>
  <c r="CG9" i="35"/>
  <c r="E130" i="235"/>
  <c r="CF22" i="35"/>
  <c r="E130" i="249" s="1"/>
  <c r="D130" i="249"/>
  <c r="CF66" i="35"/>
  <c r="E130" i="293" s="1"/>
  <c r="D130" i="293"/>
  <c r="CE10" i="35"/>
  <c r="D130" i="236" s="1"/>
  <c r="M50" i="236"/>
  <c r="CG21" i="35"/>
  <c r="E130" i="248"/>
  <c r="CG20" i="35"/>
  <c r="E130" i="247"/>
  <c r="CF42" i="35"/>
  <c r="BS13" i="35"/>
  <c r="BT13" i="35" s="1"/>
  <c r="J131" i="248"/>
  <c r="CI19" i="35"/>
  <c r="CF65" i="35"/>
  <c r="CF33" i="35"/>
  <c r="E130" i="260" s="1"/>
  <c r="CF58" i="35"/>
  <c r="CF44" i="35"/>
  <c r="CG23" i="35"/>
  <c r="J133" i="251"/>
  <c r="J132" i="236"/>
  <c r="CA85" i="35"/>
  <c r="CB85" i="35" s="1"/>
  <c r="CE4" i="35"/>
  <c r="BZ4" i="35"/>
  <c r="CA4" i="35" s="1"/>
  <c r="CB4" i="35" s="1"/>
  <c r="CA61" i="35"/>
  <c r="CB61" i="35" s="1"/>
  <c r="BZ47" i="35"/>
  <c r="CA47" i="35" s="1"/>
  <c r="CB47" i="35" s="1"/>
  <c r="BL88" i="35"/>
  <c r="CA27" i="35"/>
  <c r="CB27" i="35" s="1"/>
  <c r="CB39" i="35"/>
  <c r="BY13" i="35"/>
  <c r="BZ13" i="35" s="1"/>
  <c r="CA21" i="35"/>
  <c r="CB21" i="35" s="1"/>
  <c r="BT24" i="35"/>
  <c r="CA26" i="35"/>
  <c r="CB26" i="35" s="1"/>
  <c r="CB45" i="35"/>
  <c r="BY3" i="35"/>
  <c r="BZ3" i="35" s="1"/>
  <c r="CA64" i="35"/>
  <c r="CB64" i="35" s="1"/>
  <c r="BZ41" i="35"/>
  <c r="CA41" i="35" s="1"/>
  <c r="CB41" i="35" s="1"/>
  <c r="CF11" i="35"/>
  <c r="BY6" i="35"/>
  <c r="BZ6" i="35" s="1"/>
  <c r="BT18" i="35"/>
  <c r="BZ50" i="35"/>
  <c r="CA50" i="35" s="1"/>
  <c r="CF54" i="35"/>
  <c r="E130" i="281" s="1"/>
  <c r="CG67" i="35"/>
  <c r="F130" i="294" s="1"/>
  <c r="CH46" i="35"/>
  <c r="CI46" i="35" s="1"/>
  <c r="CJ46" i="35" s="1"/>
  <c r="BR10" i="35"/>
  <c r="BS10" i="35" s="1"/>
  <c r="BT10" i="35" s="1"/>
  <c r="BY58" i="35"/>
  <c r="BZ58" i="35" s="1"/>
  <c r="CA58" i="35" s="1"/>
  <c r="BR48" i="35"/>
  <c r="BS48" i="35" s="1"/>
  <c r="CA83" i="35"/>
  <c r="CB83" i="35" s="1"/>
  <c r="CB24" i="35"/>
  <c r="BQ83" i="35"/>
  <c r="BR85" i="35"/>
  <c r="BQ3" i="35"/>
  <c r="BR3" i="35" s="1"/>
  <c r="BK26" i="35"/>
  <c r="BL26" i="35" s="1"/>
  <c r="CF87" i="35"/>
  <c r="E130" i="314" s="1"/>
  <c r="BY31" i="35"/>
  <c r="BZ31" i="35" s="1"/>
  <c r="CB18" i="35"/>
  <c r="BQ64" i="35"/>
  <c r="BY44" i="35"/>
  <c r="CE3" i="35"/>
  <c r="CB14" i="35"/>
  <c r="CA65" i="35"/>
  <c r="CB65" i="35" s="1"/>
  <c r="CB86" i="35"/>
  <c r="CF27" i="35"/>
  <c r="BZ66" i="35"/>
  <c r="CA66" i="35" s="1"/>
  <c r="CB66" i="35" s="1"/>
  <c r="CF85" i="35"/>
  <c r="BX10" i="35"/>
  <c r="BY10" i="35" s="1"/>
  <c r="H130" i="242" l="1"/>
  <c r="J130" i="242" s="1"/>
  <c r="BL25" i="35"/>
  <c r="BL95" i="35" s="1"/>
  <c r="BR95" i="35"/>
  <c r="CF95" i="35"/>
  <c r="BT25" i="35"/>
  <c r="BT95" i="35" s="1"/>
  <c r="BS95" i="35"/>
  <c r="BY95" i="35"/>
  <c r="BZ25" i="35"/>
  <c r="CH63" i="35"/>
  <c r="G130" i="290" s="1"/>
  <c r="F130" i="239"/>
  <c r="CH34" i="35"/>
  <c r="G130" i="261" s="1"/>
  <c r="J130" i="283"/>
  <c r="CG50" i="35"/>
  <c r="F130" i="277" s="1"/>
  <c r="CG28" i="35"/>
  <c r="F130" i="255" s="1"/>
  <c r="CG30" i="35"/>
  <c r="CH30" i="35" s="1"/>
  <c r="CG39" i="35"/>
  <c r="F130" i="266" s="1"/>
  <c r="CH59" i="35"/>
  <c r="G130" i="286" s="1"/>
  <c r="CH51" i="35"/>
  <c r="CI51" i="35" s="1"/>
  <c r="CG88" i="35"/>
  <c r="F130" i="315" s="1"/>
  <c r="CH40" i="35"/>
  <c r="G130" i="267" s="1"/>
  <c r="E130" i="264"/>
  <c r="CF26" i="35"/>
  <c r="E130" i="253" s="1"/>
  <c r="E130" i="251"/>
  <c r="CG18" i="35"/>
  <c r="CH18" i="35" s="1"/>
  <c r="CG14" i="35"/>
  <c r="F130" i="241" s="1"/>
  <c r="CG38" i="35"/>
  <c r="F130" i="265" s="1"/>
  <c r="CG86" i="35"/>
  <c r="CH86" i="35" s="1"/>
  <c r="CH45" i="35"/>
  <c r="G130" i="272" s="1"/>
  <c r="CG22" i="35"/>
  <c r="CH22" i="35" s="1"/>
  <c r="G130" i="249" s="1"/>
  <c r="CG55" i="35"/>
  <c r="CH55" i="35" s="1"/>
  <c r="G130" i="282" s="1"/>
  <c r="CF10" i="35"/>
  <c r="E130" i="236" s="1"/>
  <c r="E130" i="272"/>
  <c r="CF13" i="35"/>
  <c r="E130" i="240" s="1"/>
  <c r="CG66" i="35"/>
  <c r="CH66" i="35" s="1"/>
  <c r="CF83" i="35"/>
  <c r="CG83" i="35" s="1"/>
  <c r="F130" i="310" s="1"/>
  <c r="CF47" i="35"/>
  <c r="E130" i="274" s="1"/>
  <c r="CB48" i="35"/>
  <c r="CG62" i="35"/>
  <c r="CH35" i="35"/>
  <c r="CI35" i="35" s="1"/>
  <c r="CH21" i="35"/>
  <c r="G130" i="248" s="1"/>
  <c r="F130" i="248"/>
  <c r="F130" i="235"/>
  <c r="CH9" i="35"/>
  <c r="CI12" i="35"/>
  <c r="H130" i="239" s="1"/>
  <c r="G130" i="239"/>
  <c r="CH84" i="35"/>
  <c r="G130" i="311" s="1"/>
  <c r="F130" i="311"/>
  <c r="CG27" i="35"/>
  <c r="F130" i="254" s="1"/>
  <c r="E130" i="254"/>
  <c r="CG25" i="35"/>
  <c r="E130" i="252"/>
  <c r="G130" i="233"/>
  <c r="CI7" i="35"/>
  <c r="CF3" i="35"/>
  <c r="E130" i="229" s="1"/>
  <c r="D130" i="229"/>
  <c r="CF4" i="35"/>
  <c r="E130" i="230" s="1"/>
  <c r="D130" i="230"/>
  <c r="CJ19" i="35"/>
  <c r="I130" i="246" s="1"/>
  <c r="H130" i="246"/>
  <c r="CG42" i="35"/>
  <c r="E130" i="269"/>
  <c r="CH20" i="35"/>
  <c r="F130" i="247"/>
  <c r="CH24" i="35"/>
  <c r="F130" i="251"/>
  <c r="CG41" i="35"/>
  <c r="CF64" i="35"/>
  <c r="CH37" i="35"/>
  <c r="CG31" i="35"/>
  <c r="CG61" i="35"/>
  <c r="CH23" i="35"/>
  <c r="F130" i="250"/>
  <c r="CG58" i="35"/>
  <c r="E130" i="285"/>
  <c r="CG85" i="35"/>
  <c r="F130" i="312" s="1"/>
  <c r="E130" i="312"/>
  <c r="CG11" i="35"/>
  <c r="E130" i="237"/>
  <c r="CG44" i="35"/>
  <c r="E130" i="271"/>
  <c r="CG65" i="35"/>
  <c r="E130" i="292"/>
  <c r="E130" i="232"/>
  <c r="CG6" i="35"/>
  <c r="CG8" i="35"/>
  <c r="E130" i="234"/>
  <c r="CF48" i="35"/>
  <c r="CG33" i="35"/>
  <c r="CA31" i="35"/>
  <c r="CB31" i="35" s="1"/>
  <c r="CH67" i="35"/>
  <c r="BZ44" i="35"/>
  <c r="CA44" i="35" s="1"/>
  <c r="CB44" i="35" s="1"/>
  <c r="CB50" i="35"/>
  <c r="CA13" i="35"/>
  <c r="CB13" i="35" s="1"/>
  <c r="BZ10" i="35"/>
  <c r="CA10" i="35" s="1"/>
  <c r="CB10" i="35" s="1"/>
  <c r="BR83" i="35"/>
  <c r="BS3" i="35"/>
  <c r="BT3" i="35" s="1"/>
  <c r="CG54" i="35"/>
  <c r="CA6" i="35"/>
  <c r="CB6" i="35" s="1"/>
  <c r="BR64" i="35"/>
  <c r="BS64" i="35" s="1"/>
  <c r="BT64" i="35" s="1"/>
  <c r="CB58" i="35"/>
  <c r="CA3" i="35"/>
  <c r="CB3" i="35" s="1"/>
  <c r="CG87" i="35"/>
  <c r="BS85" i="35"/>
  <c r="BT85" i="35" s="1"/>
  <c r="BT48" i="35"/>
  <c r="F130" i="249" l="1"/>
  <c r="CA25" i="35"/>
  <c r="CA95" i="35" s="1"/>
  <c r="BZ95" i="35"/>
  <c r="F130" i="252"/>
  <c r="CG95" i="35"/>
  <c r="F130" i="257"/>
  <c r="CI63" i="35"/>
  <c r="CJ63" i="35" s="1"/>
  <c r="I130" i="290" s="1"/>
  <c r="CH39" i="35"/>
  <c r="G130" i="266" s="1"/>
  <c r="CI34" i="35"/>
  <c r="CJ34" i="35" s="1"/>
  <c r="I130" i="261" s="1"/>
  <c r="CI59" i="35"/>
  <c r="CJ59" i="35" s="1"/>
  <c r="I130" i="286" s="1"/>
  <c r="CH88" i="35"/>
  <c r="G130" i="315" s="1"/>
  <c r="CH50" i="35"/>
  <c r="G130" i="277" s="1"/>
  <c r="CH28" i="35"/>
  <c r="G130" i="255" s="1"/>
  <c r="F130" i="313"/>
  <c r="G130" i="278"/>
  <c r="CG26" i="35"/>
  <c r="CH26" i="35" s="1"/>
  <c r="G130" i="253" s="1"/>
  <c r="CI40" i="35"/>
  <c r="H130" i="267" s="1"/>
  <c r="CH14" i="35"/>
  <c r="G130" i="241" s="1"/>
  <c r="CG10" i="35"/>
  <c r="CH10" i="35" s="1"/>
  <c r="F130" i="245"/>
  <c r="G130" i="245"/>
  <c r="CI18" i="35"/>
  <c r="CJ18" i="35" s="1"/>
  <c r="I130" i="245" s="1"/>
  <c r="CH27" i="35"/>
  <c r="CI27" i="35" s="1"/>
  <c r="CG3" i="35"/>
  <c r="CH3" i="35" s="1"/>
  <c r="G130" i="229" s="1"/>
  <c r="F130" i="293"/>
  <c r="CH38" i="35"/>
  <c r="G130" i="265" s="1"/>
  <c r="CJ12" i="35"/>
  <c r="I130" i="239" s="1"/>
  <c r="J130" i="239" s="1"/>
  <c r="CH85" i="35"/>
  <c r="CI85" i="35" s="1"/>
  <c r="CG13" i="35"/>
  <c r="CH13" i="35" s="1"/>
  <c r="G130" i="262"/>
  <c r="CI84" i="35"/>
  <c r="H130" i="311" s="1"/>
  <c r="CG47" i="35"/>
  <c r="F130" i="274" s="1"/>
  <c r="CI45" i="35"/>
  <c r="CJ45" i="35" s="1"/>
  <c r="I130" i="272" s="1"/>
  <c r="CG4" i="35"/>
  <c r="F130" i="230" s="1"/>
  <c r="F130" i="282"/>
  <c r="F130" i="289"/>
  <c r="CH62" i="35"/>
  <c r="CH83" i="35"/>
  <c r="G130" i="310" s="1"/>
  <c r="E130" i="310"/>
  <c r="CH87" i="35"/>
  <c r="G130" i="314" s="1"/>
  <c r="F130" i="314"/>
  <c r="CG48" i="35"/>
  <c r="E130" i="275"/>
  <c r="CI86" i="35"/>
  <c r="G130" i="313"/>
  <c r="CH65" i="35"/>
  <c r="F130" i="292"/>
  <c r="CJ7" i="35"/>
  <c r="I130" i="233" s="1"/>
  <c r="H130" i="233"/>
  <c r="CH54" i="35"/>
  <c r="G130" i="281" s="1"/>
  <c r="F130" i="281"/>
  <c r="CI24" i="35"/>
  <c r="H130" i="251" s="1"/>
  <c r="G130" i="251"/>
  <c r="G130" i="247"/>
  <c r="CI20" i="35"/>
  <c r="F130" i="269"/>
  <c r="CH42" i="35"/>
  <c r="CH6" i="35"/>
  <c r="G130" i="232" s="1"/>
  <c r="F130" i="232"/>
  <c r="CH61" i="35"/>
  <c r="F130" i="288"/>
  <c r="CG64" i="35"/>
  <c r="E130" i="291"/>
  <c r="G130" i="257"/>
  <c r="CI30" i="35"/>
  <c r="J130" i="246"/>
  <c r="F130" i="285"/>
  <c r="CH58" i="35"/>
  <c r="CJ35" i="35"/>
  <c r="I130" i="262" s="1"/>
  <c r="H130" i="262"/>
  <c r="CI23" i="35"/>
  <c r="G130" i="250"/>
  <c r="CI37" i="35"/>
  <c r="G130" i="264"/>
  <c r="CH33" i="35"/>
  <c r="F130" i="260"/>
  <c r="CH31" i="35"/>
  <c r="F130" i="258"/>
  <c r="CJ51" i="35"/>
  <c r="I130" i="278" s="1"/>
  <c r="H130" i="278"/>
  <c r="CI9" i="35"/>
  <c r="G130" i="235"/>
  <c r="CI67" i="35"/>
  <c r="G130" i="294"/>
  <c r="CH8" i="35"/>
  <c r="G130" i="234" s="1"/>
  <c r="F130" i="234"/>
  <c r="F130" i="271"/>
  <c r="CH44" i="35"/>
  <c r="CH11" i="35"/>
  <c r="F130" i="237"/>
  <c r="CI66" i="35"/>
  <c r="G130" i="293"/>
  <c r="CH41" i="35"/>
  <c r="F130" i="268"/>
  <c r="CI22" i="35"/>
  <c r="CI55" i="35"/>
  <c r="CI21" i="35"/>
  <c r="CH25" i="35"/>
  <c r="BS83" i="35"/>
  <c r="BT83" i="35" s="1"/>
  <c r="H130" i="290" l="1"/>
  <c r="J130" i="290" s="1"/>
  <c r="CB25" i="35"/>
  <c r="CB95" i="35" s="1"/>
  <c r="CH95" i="35"/>
  <c r="CJ40" i="35"/>
  <c r="I130" i="267" s="1"/>
  <c r="J130" i="267" s="1"/>
  <c r="F130" i="253"/>
  <c r="H130" i="261"/>
  <c r="J130" i="261" s="1"/>
  <c r="CI39" i="35"/>
  <c r="CI14" i="35"/>
  <c r="H130" i="241" s="1"/>
  <c r="H130" i="286"/>
  <c r="J130" i="286" s="1"/>
  <c r="CI88" i="35"/>
  <c r="H130" i="315" s="1"/>
  <c r="CI50" i="35"/>
  <c r="H130" i="277" s="1"/>
  <c r="CI38" i="35"/>
  <c r="CJ38" i="35" s="1"/>
  <c r="I130" i="265" s="1"/>
  <c r="CI28" i="35"/>
  <c r="CJ28" i="35" s="1"/>
  <c r="I130" i="255" s="1"/>
  <c r="H130" i="272"/>
  <c r="J130" i="272" s="1"/>
  <c r="F130" i="229"/>
  <c r="H130" i="245"/>
  <c r="J130" i="245" s="1"/>
  <c r="F130" i="236"/>
  <c r="G130" i="254"/>
  <c r="F130" i="240"/>
  <c r="CH47" i="35"/>
  <c r="G130" i="274" s="1"/>
  <c r="CJ84" i="35"/>
  <c r="I130" i="311" s="1"/>
  <c r="J130" i="311" s="1"/>
  <c r="G130" i="312"/>
  <c r="CH4" i="35"/>
  <c r="G130" i="230" s="1"/>
  <c r="CI3" i="35"/>
  <c r="H130" i="229" s="1"/>
  <c r="CI54" i="35"/>
  <c r="CJ54" i="35" s="1"/>
  <c r="I130" i="281" s="1"/>
  <c r="CI83" i="35"/>
  <c r="H130" i="310" s="1"/>
  <c r="CJ24" i="35"/>
  <c r="I130" i="251" s="1"/>
  <c r="J130" i="251" s="1"/>
  <c r="J130" i="233"/>
  <c r="CI62" i="35"/>
  <c r="H130" i="289" s="1"/>
  <c r="G130" i="289"/>
  <c r="CI26" i="35"/>
  <c r="CJ26" i="35" s="1"/>
  <c r="I130" i="253" s="1"/>
  <c r="CI87" i="35"/>
  <c r="CJ87" i="35" s="1"/>
  <c r="I130" i="314" s="1"/>
  <c r="CI8" i="35"/>
  <c r="H130" i="234" s="1"/>
  <c r="J130" i="278"/>
  <c r="J130" i="262"/>
  <c r="CI6" i="35"/>
  <c r="CJ6" i="35" s="1"/>
  <c r="I130" i="232" s="1"/>
  <c r="CI25" i="35"/>
  <c r="G130" i="252"/>
  <c r="G130" i="237"/>
  <c r="CI11" i="35"/>
  <c r="CJ9" i="35"/>
  <c r="I130" i="235" s="1"/>
  <c r="H130" i="235"/>
  <c r="CJ37" i="35"/>
  <c r="I130" i="264" s="1"/>
  <c r="H130" i="264"/>
  <c r="CJ23" i="35"/>
  <c r="I130" i="250" s="1"/>
  <c r="H130" i="250"/>
  <c r="CI61" i="35"/>
  <c r="H130" i="288" s="1"/>
  <c r="G130" i="288"/>
  <c r="CI42" i="35"/>
  <c r="G130" i="269"/>
  <c r="CH48" i="35"/>
  <c r="F130" i="275"/>
  <c r="CJ55" i="35"/>
  <c r="I130" i="282" s="1"/>
  <c r="H130" i="282"/>
  <c r="CJ66" i="35"/>
  <c r="I130" i="293" s="1"/>
  <c r="H130" i="293"/>
  <c r="CJ30" i="35"/>
  <c r="I130" i="257" s="1"/>
  <c r="H130" i="257"/>
  <c r="CJ85" i="35"/>
  <c r="I130" i="312" s="1"/>
  <c r="H130" i="312"/>
  <c r="CJ22" i="35"/>
  <c r="I130" i="249" s="1"/>
  <c r="H130" i="249"/>
  <c r="G130" i="268"/>
  <c r="CI41" i="35"/>
  <c r="CI58" i="35"/>
  <c r="G130" i="285"/>
  <c r="CI13" i="35"/>
  <c r="G130" i="240"/>
  <c r="CJ27" i="35"/>
  <c r="I130" i="254" s="1"/>
  <c r="H130" i="254"/>
  <c r="CJ21" i="35"/>
  <c r="I130" i="248" s="1"/>
  <c r="H130" i="248"/>
  <c r="CI44" i="35"/>
  <c r="G130" i="271"/>
  <c r="CJ67" i="35"/>
  <c r="I130" i="294" s="1"/>
  <c r="H130" i="294"/>
  <c r="CI31" i="35"/>
  <c r="G130" i="258"/>
  <c r="G130" i="260"/>
  <c r="CI33" i="35"/>
  <c r="CI10" i="35"/>
  <c r="H130" i="236" s="1"/>
  <c r="G130" i="236"/>
  <c r="F130" i="291"/>
  <c r="CH64" i="35"/>
  <c r="CJ20" i="35"/>
  <c r="I130" i="247" s="1"/>
  <c r="H130" i="247"/>
  <c r="CI65" i="35"/>
  <c r="G130" i="292"/>
  <c r="CJ86" i="35"/>
  <c r="I130" i="313" s="1"/>
  <c r="H130" i="313"/>
  <c r="C6" i="321"/>
  <c r="D11" i="321" s="1"/>
  <c r="D6" i="321"/>
  <c r="F6" i="321"/>
  <c r="G6" i="321"/>
  <c r="H6" i="321"/>
  <c r="I6" i="321"/>
  <c r="J6" i="321"/>
  <c r="K6" i="321"/>
  <c r="L6" i="321"/>
  <c r="E6" i="321"/>
  <c r="AA4" i="320" l="1"/>
  <c r="AT4" i="320" s="1"/>
  <c r="AA36" i="320"/>
  <c r="AT36" i="320" s="1"/>
  <c r="AA32" i="320"/>
  <c r="AT32" i="320" s="1"/>
  <c r="AA28" i="320"/>
  <c r="AT28" i="320" s="1"/>
  <c r="AA24" i="320"/>
  <c r="AT24" i="320" s="1"/>
  <c r="AA20" i="320"/>
  <c r="AT20" i="320" s="1"/>
  <c r="AA16" i="320"/>
  <c r="AT16" i="320" s="1"/>
  <c r="AA80" i="320"/>
  <c r="AA76" i="320"/>
  <c r="AA72" i="320"/>
  <c r="AA60" i="320"/>
  <c r="AT60" i="320" s="1"/>
  <c r="AA90" i="320"/>
  <c r="AT90" i="320" s="1"/>
  <c r="AA86" i="320"/>
  <c r="AT86" i="320" s="1"/>
  <c r="Z94" i="320"/>
  <c r="Z89" i="320"/>
  <c r="AS89" i="320" s="1"/>
  <c r="D49" i="315" s="1"/>
  <c r="Z4" i="320"/>
  <c r="AS4" i="320" s="1"/>
  <c r="D49" i="229" s="1"/>
  <c r="D51" i="229" s="1"/>
  <c r="AC5" i="320"/>
  <c r="AV5" i="320" s="1"/>
  <c r="AB6" i="320"/>
  <c r="AU6" i="320" s="1"/>
  <c r="AA37" i="320"/>
  <c r="AT37" i="320" s="1"/>
  <c r="Z36" i="320"/>
  <c r="AS36" i="320" s="1"/>
  <c r="D49" i="262" s="1"/>
  <c r="AC35" i="320"/>
  <c r="AV35" i="320" s="1"/>
  <c r="AB34" i="320"/>
  <c r="AU34" i="320" s="1"/>
  <c r="AA33" i="320"/>
  <c r="AT33" i="320" s="1"/>
  <c r="Z32" i="320"/>
  <c r="AS32" i="320" s="1"/>
  <c r="D49" i="258" s="1"/>
  <c r="AC31" i="320"/>
  <c r="AV31" i="320" s="1"/>
  <c r="AB30" i="320"/>
  <c r="AU30" i="320" s="1"/>
  <c r="AA29" i="320"/>
  <c r="AT29" i="320" s="1"/>
  <c r="Z28" i="320"/>
  <c r="AS28" i="320" s="1"/>
  <c r="D49" i="254" s="1"/>
  <c r="AC27" i="320"/>
  <c r="AV27" i="320" s="1"/>
  <c r="AB26" i="320"/>
  <c r="AU26" i="320" s="1"/>
  <c r="AA25" i="320"/>
  <c r="AT25" i="320" s="1"/>
  <c r="Z24" i="320"/>
  <c r="AS24" i="320" s="1"/>
  <c r="D49" i="250" s="1"/>
  <c r="AC23" i="320"/>
  <c r="AV23" i="320" s="1"/>
  <c r="AB22" i="320"/>
  <c r="AU22" i="320" s="1"/>
  <c r="AA21" i="320"/>
  <c r="AT21" i="320" s="1"/>
  <c r="Z20" i="320"/>
  <c r="AS20" i="320" s="1"/>
  <c r="D49" i="246" s="1"/>
  <c r="AC19" i="320"/>
  <c r="AV19" i="320" s="1"/>
  <c r="AB18" i="320"/>
  <c r="AU18" i="320" s="1"/>
  <c r="AA17" i="320"/>
  <c r="AT17" i="320" s="1"/>
  <c r="Z16" i="320"/>
  <c r="AS16" i="320" s="1"/>
  <c r="D49" i="242" s="1"/>
  <c r="AC15" i="320"/>
  <c r="AV15" i="320" s="1"/>
  <c r="AB14" i="320"/>
  <c r="AU14" i="320" s="1"/>
  <c r="AA13" i="320"/>
  <c r="AT13" i="320" s="1"/>
  <c r="AB11" i="320"/>
  <c r="AU11" i="320" s="1"/>
  <c r="AA10" i="320"/>
  <c r="AT10" i="320" s="1"/>
  <c r="Z9" i="320"/>
  <c r="AS9" i="320" s="1"/>
  <c r="D49" i="234" s="1"/>
  <c r="AC8" i="320"/>
  <c r="AV8" i="320" s="1"/>
  <c r="AB7" i="320"/>
  <c r="AU7" i="320" s="1"/>
  <c r="AA44" i="320"/>
  <c r="AT44" i="320" s="1"/>
  <c r="Z43" i="320"/>
  <c r="AS43" i="320" s="1"/>
  <c r="D49" i="269" s="1"/>
  <c r="AC42" i="320"/>
  <c r="AV42" i="320" s="1"/>
  <c r="AB41" i="320"/>
  <c r="AU41" i="320" s="1"/>
  <c r="AA40" i="320"/>
  <c r="AT40" i="320" s="1"/>
  <c r="Z39" i="320"/>
  <c r="AS39" i="320" s="1"/>
  <c r="D49" i="265" s="1"/>
  <c r="AC38" i="320"/>
  <c r="AV38" i="320" s="1"/>
  <c r="AB56" i="320"/>
  <c r="AU56" i="320" s="1"/>
  <c r="AA55" i="320"/>
  <c r="AT55" i="320" s="1"/>
  <c r="Z54" i="320"/>
  <c r="AS54" i="320" s="1"/>
  <c r="D49" i="280" s="1"/>
  <c r="AC53" i="320"/>
  <c r="AV53" i="320" s="1"/>
  <c r="AB52" i="320"/>
  <c r="AU52" i="320" s="1"/>
  <c r="AA51" i="320"/>
  <c r="AT51" i="320" s="1"/>
  <c r="Z50" i="320"/>
  <c r="AS50" i="320" s="1"/>
  <c r="D49" i="276" s="1"/>
  <c r="AC49" i="320"/>
  <c r="AV49" i="320" s="1"/>
  <c r="AB48" i="320"/>
  <c r="AU48" i="320" s="1"/>
  <c r="AT47" i="320"/>
  <c r="Z46" i="320"/>
  <c r="AS46" i="320" s="1"/>
  <c r="D49" i="272" s="1"/>
  <c r="AC45" i="320"/>
  <c r="AV45" i="320" s="1"/>
  <c r="AB82" i="320"/>
  <c r="AU82" i="320" s="1"/>
  <c r="AA81" i="320"/>
  <c r="AT81" i="320" s="1"/>
  <c r="Z80" i="320"/>
  <c r="AS80" i="320" s="1"/>
  <c r="AC79" i="320"/>
  <c r="AV79" i="320" s="1"/>
  <c r="AB78" i="320"/>
  <c r="AU78" i="320" s="1"/>
  <c r="AA77" i="320"/>
  <c r="AT77" i="320" s="1"/>
  <c r="Z76" i="320"/>
  <c r="AS76" i="320" s="1"/>
  <c r="AC75" i="320"/>
  <c r="AV75" i="320" s="1"/>
  <c r="AB74" i="320"/>
  <c r="AU74" i="320" s="1"/>
  <c r="AA73" i="320"/>
  <c r="AT73" i="320" s="1"/>
  <c r="Z72" i="320"/>
  <c r="AS72" i="320" s="1"/>
  <c r="AC71" i="320"/>
  <c r="AV71" i="320" s="1"/>
  <c r="AB70" i="320"/>
  <c r="AU70" i="320" s="1"/>
  <c r="AA69" i="320"/>
  <c r="AT69" i="320" s="1"/>
  <c r="Z68" i="320"/>
  <c r="AS68" i="320" s="1"/>
  <c r="D49" i="294" s="1"/>
  <c r="AC67" i="320"/>
  <c r="AV67" i="320" s="1"/>
  <c r="AB66" i="320"/>
  <c r="AU66" i="320" s="1"/>
  <c r="AA65" i="320"/>
  <c r="AT65" i="320" s="1"/>
  <c r="Z64" i="320"/>
  <c r="AS64" i="320" s="1"/>
  <c r="D49" i="290" s="1"/>
  <c r="AC63" i="320"/>
  <c r="AV63" i="320" s="1"/>
  <c r="AB62" i="320"/>
  <c r="AU62" i="320" s="1"/>
  <c r="AA61" i="320"/>
  <c r="AT61" i="320" s="1"/>
  <c r="Z60" i="320"/>
  <c r="AS60" i="320" s="1"/>
  <c r="D49" i="286" s="1"/>
  <c r="AC59" i="320"/>
  <c r="AV59" i="320" s="1"/>
  <c r="AB58" i="320"/>
  <c r="AU58" i="320" s="1"/>
  <c r="AA57" i="320"/>
  <c r="AT57" i="320" s="1"/>
  <c r="Z90" i="320"/>
  <c r="AS90" i="320" s="1"/>
  <c r="D49" i="316" s="1"/>
  <c r="AC89" i="320"/>
  <c r="AV89" i="320" s="1"/>
  <c r="AB88" i="320"/>
  <c r="AU88" i="320" s="1"/>
  <c r="AA87" i="320"/>
  <c r="AT87" i="320" s="1"/>
  <c r="Z86" i="320"/>
  <c r="AS86" i="320" s="1"/>
  <c r="D49" i="312" s="1"/>
  <c r="AC85" i="320"/>
  <c r="AV85" i="320" s="1"/>
  <c r="AB84" i="320"/>
  <c r="AU84" i="320" s="1"/>
  <c r="AA83" i="320"/>
  <c r="AT83" i="320" s="1"/>
  <c r="AA9" i="320"/>
  <c r="AT9" i="320" s="1"/>
  <c r="E49" i="234" s="1"/>
  <c r="AA39" i="320"/>
  <c r="AT39" i="320" s="1"/>
  <c r="AA50" i="320"/>
  <c r="AT50" i="320" s="1"/>
  <c r="E49" i="276" s="1"/>
  <c r="AA64" i="320"/>
  <c r="AT64" i="320" s="1"/>
  <c r="Z5" i="320"/>
  <c r="AS5" i="320" s="1"/>
  <c r="D49" i="230" s="1"/>
  <c r="AB37" i="320"/>
  <c r="AU37" i="320" s="1"/>
  <c r="Z35" i="320"/>
  <c r="AS35" i="320" s="1"/>
  <c r="D49" i="261" s="1"/>
  <c r="Z31" i="320"/>
  <c r="AS31" i="320" s="1"/>
  <c r="D49" i="257" s="1"/>
  <c r="AB29" i="320"/>
  <c r="AU29" i="320" s="1"/>
  <c r="Z27" i="320"/>
  <c r="AS27" i="320" s="1"/>
  <c r="D49" i="253" s="1"/>
  <c r="AC22" i="320"/>
  <c r="AV22" i="320" s="1"/>
  <c r="G49" i="248" s="1"/>
  <c r="AB21" i="320"/>
  <c r="AU21" i="320" s="1"/>
  <c r="Z19" i="320"/>
  <c r="AS19" i="320" s="1"/>
  <c r="D49" i="245" s="1"/>
  <c r="AC14" i="320"/>
  <c r="AV14" i="320" s="1"/>
  <c r="AC11" i="320"/>
  <c r="AV11" i="320" s="1"/>
  <c r="G49" i="236" s="1"/>
  <c r="AC7" i="320"/>
  <c r="AV7" i="320" s="1"/>
  <c r="Z42" i="320"/>
  <c r="AS42" i="320" s="1"/>
  <c r="D49" i="268" s="1"/>
  <c r="AB40" i="320"/>
  <c r="AU40" i="320" s="1"/>
  <c r="F49" i="266" s="1"/>
  <c r="AC56" i="320"/>
  <c r="AV56" i="320" s="1"/>
  <c r="G49" i="282" s="1"/>
  <c r="Z53" i="320"/>
  <c r="AS53" i="320" s="1"/>
  <c r="D49" i="279" s="1"/>
  <c r="AB51" i="320"/>
  <c r="AU51" i="320" s="1"/>
  <c r="F49" i="277" s="1"/>
  <c r="AC48" i="320"/>
  <c r="AV48" i="320" s="1"/>
  <c r="Z45" i="320"/>
  <c r="AS45" i="320" s="1"/>
  <c r="D49" i="271" s="1"/>
  <c r="AC78" i="320"/>
  <c r="AV78" i="320" s="1"/>
  <c r="AB77" i="320"/>
  <c r="AU77" i="320" s="1"/>
  <c r="Z75" i="320"/>
  <c r="AS75" i="320" s="1"/>
  <c r="Z71" i="320"/>
  <c r="AS71" i="320" s="1"/>
  <c r="AB69" i="320"/>
  <c r="AU69" i="320" s="1"/>
  <c r="F49" i="295" s="1"/>
  <c r="Z67" i="320"/>
  <c r="AS67" i="320" s="1"/>
  <c r="D49" i="293" s="1"/>
  <c r="AB65" i="320"/>
  <c r="AU65" i="320" s="1"/>
  <c r="F49" i="291" s="1"/>
  <c r="AC62" i="320"/>
  <c r="AV62" i="320" s="1"/>
  <c r="G49" i="288" s="1"/>
  <c r="AB61" i="320"/>
  <c r="AU61" i="320" s="1"/>
  <c r="F49" i="287" s="1"/>
  <c r="Z59" i="320"/>
  <c r="AS59" i="320" s="1"/>
  <c r="D49" i="285" s="1"/>
  <c r="AB57" i="320"/>
  <c r="AU57" i="320" s="1"/>
  <c r="F49" i="283" s="1"/>
  <c r="AC88" i="320"/>
  <c r="AV88" i="320" s="1"/>
  <c r="G49" i="314" s="1"/>
  <c r="AB87" i="320"/>
  <c r="AU87" i="320" s="1"/>
  <c r="F49" i="313" s="1"/>
  <c r="Z85" i="320"/>
  <c r="AS85" i="320" s="1"/>
  <c r="D49" i="311" s="1"/>
  <c r="AB83" i="320"/>
  <c r="AU83" i="320" s="1"/>
  <c r="F49" i="309" s="1"/>
  <c r="AB4" i="320"/>
  <c r="AU4" i="320" s="1"/>
  <c r="F49" i="229" s="1"/>
  <c r="AA5" i="320"/>
  <c r="AT5" i="320" s="1"/>
  <c r="Z6" i="320"/>
  <c r="AS6" i="320" s="1"/>
  <c r="D49" i="231" s="1"/>
  <c r="AC37" i="320"/>
  <c r="AV37" i="320" s="1"/>
  <c r="AB36" i="320"/>
  <c r="AU36" i="320" s="1"/>
  <c r="F49" i="262" s="1"/>
  <c r="AA35" i="320"/>
  <c r="AT35" i="320" s="1"/>
  <c r="Z34" i="320"/>
  <c r="AS34" i="320" s="1"/>
  <c r="D49" i="260" s="1"/>
  <c r="AC33" i="320"/>
  <c r="AV33" i="320" s="1"/>
  <c r="AB32" i="320"/>
  <c r="AU32" i="320" s="1"/>
  <c r="AA31" i="320"/>
  <c r="AT31" i="320" s="1"/>
  <c r="E49" i="257" s="1"/>
  <c r="Z30" i="320"/>
  <c r="AS30" i="320" s="1"/>
  <c r="D49" i="256" s="1"/>
  <c r="AC29" i="320"/>
  <c r="AV29" i="320" s="1"/>
  <c r="AB28" i="320"/>
  <c r="AU28" i="320" s="1"/>
  <c r="F49" i="254" s="1"/>
  <c r="AA27" i="320"/>
  <c r="AT27" i="320" s="1"/>
  <c r="Z26" i="320"/>
  <c r="AS26" i="320" s="1"/>
  <c r="D49" i="252" s="1"/>
  <c r="AC25" i="320"/>
  <c r="AV25" i="320" s="1"/>
  <c r="AB24" i="320"/>
  <c r="AU24" i="320" s="1"/>
  <c r="F49" i="250" s="1"/>
  <c r="AA23" i="320"/>
  <c r="AT23" i="320" s="1"/>
  <c r="Z22" i="320"/>
  <c r="AS22" i="320" s="1"/>
  <c r="D49" i="248" s="1"/>
  <c r="AC21" i="320"/>
  <c r="AV21" i="320" s="1"/>
  <c r="G49" i="247" s="1"/>
  <c r="AB20" i="320"/>
  <c r="AU20" i="320" s="1"/>
  <c r="F49" i="246" s="1"/>
  <c r="AA19" i="320"/>
  <c r="AT19" i="320" s="1"/>
  <c r="Z18" i="320"/>
  <c r="AS18" i="320" s="1"/>
  <c r="D49" i="244" s="1"/>
  <c r="AC17" i="320"/>
  <c r="AV17" i="320" s="1"/>
  <c r="AB16" i="320"/>
  <c r="AU16" i="320" s="1"/>
  <c r="AA15" i="320"/>
  <c r="AT15" i="320" s="1"/>
  <c r="Z14" i="320"/>
  <c r="AS14" i="320" s="1"/>
  <c r="D49" i="240" s="1"/>
  <c r="AC13" i="320"/>
  <c r="AV13" i="320" s="1"/>
  <c r="AT12" i="320"/>
  <c r="AV12" i="320"/>
  <c r="Z11" i="320"/>
  <c r="AS11" i="320" s="1"/>
  <c r="D49" i="236" s="1"/>
  <c r="AC10" i="320"/>
  <c r="AV10" i="320" s="1"/>
  <c r="AB9" i="320"/>
  <c r="AU9" i="320" s="1"/>
  <c r="F49" i="234" s="1"/>
  <c r="AA8" i="320"/>
  <c r="AT8" i="320" s="1"/>
  <c r="Z7" i="320"/>
  <c r="AS7" i="320" s="1"/>
  <c r="D49" i="232" s="1"/>
  <c r="AC44" i="320"/>
  <c r="AV44" i="320" s="1"/>
  <c r="AB43" i="320"/>
  <c r="AU43" i="320" s="1"/>
  <c r="AA42" i="320"/>
  <c r="AT42" i="320" s="1"/>
  <c r="Z41" i="320"/>
  <c r="AS41" i="320" s="1"/>
  <c r="D49" i="267" s="1"/>
  <c r="AC40" i="320"/>
  <c r="AV40" i="320" s="1"/>
  <c r="G49" i="266" s="1"/>
  <c r="AB39" i="320"/>
  <c r="AU39" i="320" s="1"/>
  <c r="AA38" i="320"/>
  <c r="AT38" i="320" s="1"/>
  <c r="Z56" i="320"/>
  <c r="AS56" i="320" s="1"/>
  <c r="D49" i="282" s="1"/>
  <c r="AC55" i="320"/>
  <c r="AV55" i="320" s="1"/>
  <c r="AB54" i="320"/>
  <c r="AU54" i="320" s="1"/>
  <c r="F49" i="280" s="1"/>
  <c r="AA53" i="320"/>
  <c r="AT53" i="320" s="1"/>
  <c r="E49" i="279" s="1"/>
  <c r="Z52" i="320"/>
  <c r="AS52" i="320" s="1"/>
  <c r="D49" i="278" s="1"/>
  <c r="AC51" i="320"/>
  <c r="AV51" i="320" s="1"/>
  <c r="AB50" i="320"/>
  <c r="AU50" i="320" s="1"/>
  <c r="F49" i="276" s="1"/>
  <c r="AA49" i="320"/>
  <c r="AT49" i="320" s="1"/>
  <c r="Z48" i="320"/>
  <c r="AS48" i="320" s="1"/>
  <c r="D49" i="274" s="1"/>
  <c r="AV47" i="320"/>
  <c r="AB46" i="320"/>
  <c r="AU46" i="320" s="1"/>
  <c r="AA45" i="320"/>
  <c r="AT45" i="320" s="1"/>
  <c r="Z82" i="320"/>
  <c r="AS82" i="320" s="1"/>
  <c r="AC81" i="320"/>
  <c r="AV81" i="320" s="1"/>
  <c r="AB80" i="320"/>
  <c r="AU80" i="320" s="1"/>
  <c r="AA79" i="320"/>
  <c r="AT79" i="320" s="1"/>
  <c r="Z78" i="320"/>
  <c r="AS78" i="320" s="1"/>
  <c r="AC77" i="320"/>
  <c r="AV77" i="320" s="1"/>
  <c r="AB76" i="320"/>
  <c r="AU76" i="320" s="1"/>
  <c r="AA75" i="320"/>
  <c r="AT75" i="320" s="1"/>
  <c r="Z74" i="320"/>
  <c r="AS74" i="320" s="1"/>
  <c r="AC73" i="320"/>
  <c r="AV73" i="320" s="1"/>
  <c r="AB72" i="320"/>
  <c r="AU72" i="320" s="1"/>
  <c r="AA71" i="320"/>
  <c r="AT71" i="320" s="1"/>
  <c r="Z70" i="320"/>
  <c r="AS70" i="320" s="1"/>
  <c r="AC69" i="320"/>
  <c r="AV69" i="320" s="1"/>
  <c r="G49" i="295" s="1"/>
  <c r="AB68" i="320"/>
  <c r="AU68" i="320" s="1"/>
  <c r="AA67" i="320"/>
  <c r="AT67" i="320" s="1"/>
  <c r="Z66" i="320"/>
  <c r="AS66" i="320" s="1"/>
  <c r="D49" i="292" s="1"/>
  <c r="AC65" i="320"/>
  <c r="AV65" i="320" s="1"/>
  <c r="G49" i="291" s="1"/>
  <c r="AB64" i="320"/>
  <c r="AU64" i="320" s="1"/>
  <c r="F49" i="290" s="1"/>
  <c r="AA63" i="320"/>
  <c r="AT63" i="320" s="1"/>
  <c r="Z62" i="320"/>
  <c r="AS62" i="320" s="1"/>
  <c r="D49" i="288" s="1"/>
  <c r="AC61" i="320"/>
  <c r="AV61" i="320" s="1"/>
  <c r="G49" i="287" s="1"/>
  <c r="AB60" i="320"/>
  <c r="AU60" i="320" s="1"/>
  <c r="AA59" i="320"/>
  <c r="AT59" i="320" s="1"/>
  <c r="Z58" i="320"/>
  <c r="AS58" i="320" s="1"/>
  <c r="D49" i="284" s="1"/>
  <c r="AC57" i="320"/>
  <c r="AV57" i="320" s="1"/>
  <c r="G49" i="283" s="1"/>
  <c r="AB90" i="320"/>
  <c r="AU90" i="320" s="1"/>
  <c r="F49" i="316" s="1"/>
  <c r="AA89" i="320"/>
  <c r="AT89" i="320" s="1"/>
  <c r="Z88" i="320"/>
  <c r="AS88" i="320" s="1"/>
  <c r="D49" i="314" s="1"/>
  <c r="AC87" i="320"/>
  <c r="AV87" i="320" s="1"/>
  <c r="G49" i="313" s="1"/>
  <c r="AB86" i="320"/>
  <c r="AU86" i="320" s="1"/>
  <c r="F49" i="312" s="1"/>
  <c r="AA85" i="320"/>
  <c r="AT85" i="320" s="1"/>
  <c r="Z84" i="320"/>
  <c r="AS84" i="320" s="1"/>
  <c r="D49" i="310" s="1"/>
  <c r="AC83" i="320"/>
  <c r="AV83" i="320" s="1"/>
  <c r="G49" i="309" s="1"/>
  <c r="AA43" i="320"/>
  <c r="AT43" i="320" s="1"/>
  <c r="E49" i="269" s="1"/>
  <c r="AA54" i="320"/>
  <c r="AT54" i="320" s="1"/>
  <c r="AA46" i="320"/>
  <c r="AT46" i="320" s="1"/>
  <c r="E49" i="272" s="1"/>
  <c r="AA68" i="320"/>
  <c r="AT68" i="320" s="1"/>
  <c r="AC6" i="320"/>
  <c r="AV6" i="320" s="1"/>
  <c r="G49" i="231" s="1"/>
  <c r="AC34" i="320"/>
  <c r="AV34" i="320" s="1"/>
  <c r="AB33" i="320"/>
  <c r="AU33" i="320" s="1"/>
  <c r="AC30" i="320"/>
  <c r="AV30" i="320" s="1"/>
  <c r="AC26" i="320"/>
  <c r="AV26" i="320" s="1"/>
  <c r="G49" i="252" s="1"/>
  <c r="AB25" i="320"/>
  <c r="AU25" i="320" s="1"/>
  <c r="Z23" i="320"/>
  <c r="AS23" i="320" s="1"/>
  <c r="D49" i="249" s="1"/>
  <c r="AC18" i="320"/>
  <c r="AV18" i="320" s="1"/>
  <c r="AB17" i="320"/>
  <c r="AU17" i="320" s="1"/>
  <c r="Z15" i="320"/>
  <c r="AS15" i="320" s="1"/>
  <c r="D49" i="241" s="1"/>
  <c r="AB13" i="320"/>
  <c r="AU13" i="320" s="1"/>
  <c r="AS12" i="320"/>
  <c r="D49" i="237" s="1"/>
  <c r="AB10" i="320"/>
  <c r="AU10" i="320" s="1"/>
  <c r="F49" i="235" s="1"/>
  <c r="Z8" i="320"/>
  <c r="AS8" i="320" s="1"/>
  <c r="D49" i="233" s="1"/>
  <c r="AB44" i="320"/>
  <c r="AU44" i="320" s="1"/>
  <c r="AC41" i="320"/>
  <c r="AV41" i="320" s="1"/>
  <c r="Z38" i="320"/>
  <c r="AS38" i="320" s="1"/>
  <c r="D49" i="264" s="1"/>
  <c r="AB55" i="320"/>
  <c r="AU55" i="320" s="1"/>
  <c r="F49" i="281" s="1"/>
  <c r="AC52" i="320"/>
  <c r="AV52" i="320" s="1"/>
  <c r="Z49" i="320"/>
  <c r="AS49" i="320" s="1"/>
  <c r="D49" i="275" s="1"/>
  <c r="AU47" i="320"/>
  <c r="F49" i="273" s="1"/>
  <c r="AC82" i="320"/>
  <c r="AV82" i="320" s="1"/>
  <c r="AB81" i="320"/>
  <c r="AU81" i="320" s="1"/>
  <c r="Z79" i="320"/>
  <c r="AS79" i="320" s="1"/>
  <c r="AC74" i="320"/>
  <c r="AV74" i="320" s="1"/>
  <c r="AB73" i="320"/>
  <c r="AU73" i="320" s="1"/>
  <c r="AC70" i="320"/>
  <c r="AV70" i="320" s="1"/>
  <c r="AC66" i="320"/>
  <c r="AV66" i="320" s="1"/>
  <c r="Z63" i="320"/>
  <c r="AS63" i="320" s="1"/>
  <c r="D49" i="289" s="1"/>
  <c r="AC58" i="320"/>
  <c r="AV58" i="320" s="1"/>
  <c r="AC84" i="320"/>
  <c r="AV84" i="320" s="1"/>
  <c r="AC4" i="320"/>
  <c r="AV4" i="320" s="1"/>
  <c r="AB5" i="320"/>
  <c r="AU5" i="320" s="1"/>
  <c r="F49" i="230" s="1"/>
  <c r="AA6" i="320"/>
  <c r="AT6" i="320" s="1"/>
  <c r="Z37" i="320"/>
  <c r="AC36" i="320"/>
  <c r="AV36" i="320" s="1"/>
  <c r="AB35" i="320"/>
  <c r="AU35" i="320" s="1"/>
  <c r="F49" i="261" s="1"/>
  <c r="AA34" i="320"/>
  <c r="AT34" i="320" s="1"/>
  <c r="Z33" i="320"/>
  <c r="AS33" i="320" s="1"/>
  <c r="D49" i="259" s="1"/>
  <c r="AC32" i="320"/>
  <c r="AV32" i="320" s="1"/>
  <c r="AB31" i="320"/>
  <c r="AU31" i="320" s="1"/>
  <c r="F49" i="257" s="1"/>
  <c r="AA30" i="320"/>
  <c r="AT30" i="320" s="1"/>
  <c r="Z29" i="320"/>
  <c r="AS29" i="320" s="1"/>
  <c r="D49" i="255" s="1"/>
  <c r="AC28" i="320"/>
  <c r="AV28" i="320" s="1"/>
  <c r="AB27" i="320"/>
  <c r="AU27" i="320" s="1"/>
  <c r="F49" i="253" s="1"/>
  <c r="AA26" i="320"/>
  <c r="AT26" i="320" s="1"/>
  <c r="Z25" i="320"/>
  <c r="AS25" i="320" s="1"/>
  <c r="D49" i="251" s="1"/>
  <c r="AC24" i="320"/>
  <c r="AV24" i="320" s="1"/>
  <c r="AB23" i="320"/>
  <c r="AU23" i="320" s="1"/>
  <c r="F49" i="249" s="1"/>
  <c r="AA22" i="320"/>
  <c r="AT22" i="320" s="1"/>
  <c r="Z21" i="320"/>
  <c r="AS21" i="320" s="1"/>
  <c r="D49" i="247" s="1"/>
  <c r="AC20" i="320"/>
  <c r="AV20" i="320" s="1"/>
  <c r="AB19" i="320"/>
  <c r="AU19" i="320" s="1"/>
  <c r="F49" i="245" s="1"/>
  <c r="AA18" i="320"/>
  <c r="AT18" i="320" s="1"/>
  <c r="Z17" i="320"/>
  <c r="AS17" i="320" s="1"/>
  <c r="D49" i="243" s="1"/>
  <c r="AC16" i="320"/>
  <c r="AV16" i="320" s="1"/>
  <c r="AB15" i="320"/>
  <c r="AU15" i="320" s="1"/>
  <c r="F49" i="241" s="1"/>
  <c r="AA14" i="320"/>
  <c r="AT14" i="320" s="1"/>
  <c r="Z13" i="320"/>
  <c r="AS13" i="320" s="1"/>
  <c r="D49" i="239" s="1"/>
  <c r="AU12" i="320"/>
  <c r="AA11" i="320"/>
  <c r="AT11" i="320" s="1"/>
  <c r="E49" i="236" s="1"/>
  <c r="AS10" i="320"/>
  <c r="D49" i="235" s="1"/>
  <c r="AC9" i="320"/>
  <c r="AV9" i="320" s="1"/>
  <c r="AB8" i="320"/>
  <c r="AU8" i="320" s="1"/>
  <c r="F49" i="233" s="1"/>
  <c r="AA7" i="320"/>
  <c r="AT7" i="320" s="1"/>
  <c r="E49" i="232" s="1"/>
  <c r="Z44" i="320"/>
  <c r="AS44" i="320" s="1"/>
  <c r="AC43" i="320"/>
  <c r="AV43" i="320" s="1"/>
  <c r="AB42" i="320"/>
  <c r="AU42" i="320" s="1"/>
  <c r="F49" i="268" s="1"/>
  <c r="AA41" i="320"/>
  <c r="AT41" i="320" s="1"/>
  <c r="E49" i="267" s="1"/>
  <c r="Z40" i="320"/>
  <c r="AS40" i="320" s="1"/>
  <c r="D49" i="266" s="1"/>
  <c r="AC39" i="320"/>
  <c r="AV39" i="320" s="1"/>
  <c r="AB38" i="320"/>
  <c r="AU38" i="320" s="1"/>
  <c r="F49" i="264" s="1"/>
  <c r="AA56" i="320"/>
  <c r="AT56" i="320" s="1"/>
  <c r="E49" i="282" s="1"/>
  <c r="Z55" i="320"/>
  <c r="AS55" i="320" s="1"/>
  <c r="D49" i="281" s="1"/>
  <c r="AC54" i="320"/>
  <c r="AV54" i="320" s="1"/>
  <c r="AB53" i="320"/>
  <c r="AU53" i="320" s="1"/>
  <c r="F49" i="279" s="1"/>
  <c r="AA52" i="320"/>
  <c r="AT52" i="320" s="1"/>
  <c r="E49" i="278" s="1"/>
  <c r="Z51" i="320"/>
  <c r="AS51" i="320" s="1"/>
  <c r="D49" i="277" s="1"/>
  <c r="AC50" i="320"/>
  <c r="AV50" i="320" s="1"/>
  <c r="AB49" i="320"/>
  <c r="AU49" i="320" s="1"/>
  <c r="F49" i="275" s="1"/>
  <c r="AA48" i="320"/>
  <c r="AT48" i="320" s="1"/>
  <c r="E49" i="274" s="1"/>
  <c r="AS47" i="320"/>
  <c r="D49" i="273" s="1"/>
  <c r="AC46" i="320"/>
  <c r="AV46" i="320" s="1"/>
  <c r="AB45" i="320"/>
  <c r="AU45" i="320" s="1"/>
  <c r="F49" i="271" s="1"/>
  <c r="AA82" i="320"/>
  <c r="AT82" i="320" s="1"/>
  <c r="Z81" i="320"/>
  <c r="AS81" i="320" s="1"/>
  <c r="AC80" i="320"/>
  <c r="AV80" i="320" s="1"/>
  <c r="AB79" i="320"/>
  <c r="AU79" i="320" s="1"/>
  <c r="AA78" i="320"/>
  <c r="AT78" i="320" s="1"/>
  <c r="Z77" i="320"/>
  <c r="AS77" i="320" s="1"/>
  <c r="AC76" i="320"/>
  <c r="AV76" i="320" s="1"/>
  <c r="AB75" i="320"/>
  <c r="AU75" i="320" s="1"/>
  <c r="AA74" i="320"/>
  <c r="AT74" i="320" s="1"/>
  <c r="Z73" i="320"/>
  <c r="AS73" i="320" s="1"/>
  <c r="AC72" i="320"/>
  <c r="AV72" i="320" s="1"/>
  <c r="AB71" i="320"/>
  <c r="AU71" i="320" s="1"/>
  <c r="AA70" i="320"/>
  <c r="AT70" i="320" s="1"/>
  <c r="Z69" i="320"/>
  <c r="AS69" i="320" s="1"/>
  <c r="D49" i="295" s="1"/>
  <c r="AC68" i="320"/>
  <c r="AV68" i="320" s="1"/>
  <c r="AB67" i="320"/>
  <c r="AU67" i="320" s="1"/>
  <c r="F49" i="293" s="1"/>
  <c r="AA66" i="320"/>
  <c r="AT66" i="320" s="1"/>
  <c r="E49" i="292" s="1"/>
  <c r="Z65" i="320"/>
  <c r="AS65" i="320" s="1"/>
  <c r="D49" i="291" s="1"/>
  <c r="AC64" i="320"/>
  <c r="AV64" i="320" s="1"/>
  <c r="AB63" i="320"/>
  <c r="AU63" i="320" s="1"/>
  <c r="F49" i="289" s="1"/>
  <c r="AA62" i="320"/>
  <c r="AT62" i="320" s="1"/>
  <c r="E49" i="288" s="1"/>
  <c r="Z61" i="320"/>
  <c r="AS61" i="320" s="1"/>
  <c r="D49" i="287" s="1"/>
  <c r="AC60" i="320"/>
  <c r="AV60" i="320" s="1"/>
  <c r="AB59" i="320"/>
  <c r="AU59" i="320" s="1"/>
  <c r="F49" i="285" s="1"/>
  <c r="AA58" i="320"/>
  <c r="AT58" i="320" s="1"/>
  <c r="E49" i="284" s="1"/>
  <c r="Z57" i="320"/>
  <c r="AS57" i="320" s="1"/>
  <c r="D49" i="283" s="1"/>
  <c r="AC90" i="320"/>
  <c r="AV90" i="320" s="1"/>
  <c r="AB89" i="320"/>
  <c r="AU89" i="320" s="1"/>
  <c r="F49" i="315" s="1"/>
  <c r="AA88" i="320"/>
  <c r="AT88" i="320" s="1"/>
  <c r="E49" i="314" s="1"/>
  <c r="Z87" i="320"/>
  <c r="AS87" i="320" s="1"/>
  <c r="D49" i="313" s="1"/>
  <c r="AC86" i="320"/>
  <c r="AV86" i="320" s="1"/>
  <c r="AB85" i="320"/>
  <c r="AU85" i="320" s="1"/>
  <c r="F49" i="311" s="1"/>
  <c r="AA84" i="320"/>
  <c r="AT84" i="320" s="1"/>
  <c r="E49" i="310" s="1"/>
  <c r="Z83" i="320"/>
  <c r="AS83" i="320" s="1"/>
  <c r="D49" i="309" s="1"/>
  <c r="E11" i="321"/>
  <c r="F11" i="321" s="1"/>
  <c r="G11" i="321" s="1"/>
  <c r="H11" i="321" s="1"/>
  <c r="I11" i="321" s="1"/>
  <c r="J11" i="321" s="1"/>
  <c r="K11" i="321" s="1"/>
  <c r="L11" i="321" s="1"/>
  <c r="M11" i="321" s="1"/>
  <c r="N11" i="321" s="1"/>
  <c r="O11" i="321" s="1"/>
  <c r="P11" i="321" s="1"/>
  <c r="Q11" i="321" s="1"/>
  <c r="CI95" i="35"/>
  <c r="CJ39" i="35"/>
  <c r="I130" i="266" s="1"/>
  <c r="H130" i="266"/>
  <c r="CJ50" i="35"/>
  <c r="I130" i="277" s="1"/>
  <c r="J130" i="277" s="1"/>
  <c r="CJ14" i="35"/>
  <c r="I130" i="241" s="1"/>
  <c r="J130" i="241" s="1"/>
  <c r="CJ88" i="35"/>
  <c r="I130" i="315" s="1"/>
  <c r="J130" i="315" s="1"/>
  <c r="H130" i="265"/>
  <c r="J130" i="265" s="1"/>
  <c r="H130" i="255"/>
  <c r="J130" i="255" s="1"/>
  <c r="CJ83" i="35"/>
  <c r="I130" i="310" s="1"/>
  <c r="J130" i="310" s="1"/>
  <c r="H130" i="232"/>
  <c r="J130" i="232" s="1"/>
  <c r="H130" i="253"/>
  <c r="J130" i="253" s="1"/>
  <c r="CI47" i="35"/>
  <c r="H130" i="274" s="1"/>
  <c r="J130" i="313"/>
  <c r="J130" i="254"/>
  <c r="CJ8" i="35"/>
  <c r="I130" i="234" s="1"/>
  <c r="J130" i="234" s="1"/>
  <c r="J130" i="247"/>
  <c r="CI4" i="35"/>
  <c r="CJ4" i="35" s="1"/>
  <c r="I130" i="230" s="1"/>
  <c r="H130" i="281"/>
  <c r="J130" i="281" s="1"/>
  <c r="CJ62" i="35"/>
  <c r="I130" i="289" s="1"/>
  <c r="J130" i="289" s="1"/>
  <c r="J130" i="293"/>
  <c r="J130" i="264"/>
  <c r="CJ3" i="35"/>
  <c r="I130" i="229" s="1"/>
  <c r="J130" i="229" s="1"/>
  <c r="J130" i="248"/>
  <c r="H130" i="314"/>
  <c r="J130" i="314" s="1"/>
  <c r="J130" i="250"/>
  <c r="CJ10" i="35"/>
  <c r="I130" i="236" s="1"/>
  <c r="J130" i="236" s="1"/>
  <c r="J130" i="257"/>
  <c r="J130" i="282"/>
  <c r="CJ65" i="35"/>
  <c r="I130" i="292" s="1"/>
  <c r="H130" i="292"/>
  <c r="CJ13" i="35"/>
  <c r="I130" i="240" s="1"/>
  <c r="H130" i="240"/>
  <c r="CJ58" i="35"/>
  <c r="I130" i="285" s="1"/>
  <c r="H130" i="285"/>
  <c r="CJ33" i="35"/>
  <c r="I130" i="260" s="1"/>
  <c r="H130" i="260"/>
  <c r="CJ41" i="35"/>
  <c r="I130" i="268" s="1"/>
  <c r="H130" i="268"/>
  <c r="CJ25" i="35"/>
  <c r="H130" i="252"/>
  <c r="CJ31" i="35"/>
  <c r="I130" i="258" s="1"/>
  <c r="H130" i="258"/>
  <c r="CI48" i="35"/>
  <c r="G130" i="275"/>
  <c r="CJ42" i="35"/>
  <c r="I130" i="269" s="1"/>
  <c r="H130" i="269"/>
  <c r="J130" i="249"/>
  <c r="J130" i="294"/>
  <c r="CJ44" i="35"/>
  <c r="I130" i="271" s="1"/>
  <c r="H130" i="271"/>
  <c r="CJ11" i="35"/>
  <c r="I130" i="237" s="1"/>
  <c r="H130" i="237"/>
  <c r="CI64" i="35"/>
  <c r="G130" i="291"/>
  <c r="J130" i="312"/>
  <c r="CJ61" i="35"/>
  <c r="I130" i="288" s="1"/>
  <c r="J130" i="288" s="1"/>
  <c r="J130" i="235"/>
  <c r="G91" i="320"/>
  <c r="F91" i="320"/>
  <c r="K13" i="320"/>
  <c r="AD13" i="320" s="1"/>
  <c r="K29" i="320"/>
  <c r="AD29" i="320" s="1"/>
  <c r="K42" i="320"/>
  <c r="AD42" i="320" s="1"/>
  <c r="K84" i="320"/>
  <c r="AD84" i="320" s="1"/>
  <c r="K6" i="320"/>
  <c r="AD6" i="320" s="1"/>
  <c r="K35" i="320"/>
  <c r="AD35" i="320" s="1"/>
  <c r="K33" i="320"/>
  <c r="AD33" i="320" s="1"/>
  <c r="K32" i="320"/>
  <c r="AD32" i="320" s="1"/>
  <c r="K30" i="320"/>
  <c r="AD30" i="320" s="1"/>
  <c r="K27" i="320"/>
  <c r="AD27" i="320" s="1"/>
  <c r="K25" i="320"/>
  <c r="AD25" i="320" s="1"/>
  <c r="K24" i="320"/>
  <c r="AD24" i="320" s="1"/>
  <c r="K22" i="320"/>
  <c r="AD22" i="320" s="1"/>
  <c r="K19" i="320"/>
  <c r="AD19" i="320" s="1"/>
  <c r="K17" i="320"/>
  <c r="AD17" i="320" s="1"/>
  <c r="K16" i="320"/>
  <c r="AD16" i="320" s="1"/>
  <c r="K14" i="320"/>
  <c r="AD14" i="320" s="1"/>
  <c r="K11" i="320"/>
  <c r="AD11" i="320" s="1"/>
  <c r="K9" i="320"/>
  <c r="AD9" i="320" s="1"/>
  <c r="K8" i="320"/>
  <c r="AD8" i="320" s="1"/>
  <c r="K43" i="320"/>
  <c r="AD43" i="320" s="1"/>
  <c r="K41" i="320"/>
  <c r="AD41" i="320" s="1"/>
  <c r="K40" i="320"/>
  <c r="AD40" i="320" s="1"/>
  <c r="K38" i="320"/>
  <c r="AD38" i="320" s="1"/>
  <c r="K56" i="320"/>
  <c r="AD56" i="320" s="1"/>
  <c r="K55" i="320"/>
  <c r="AD55" i="320" s="1"/>
  <c r="K53" i="320"/>
  <c r="AD53" i="320" s="1"/>
  <c r="K50" i="320"/>
  <c r="AD50" i="320" s="1"/>
  <c r="K48" i="320"/>
  <c r="AD48" i="320" s="1"/>
  <c r="K46" i="320"/>
  <c r="AD46" i="320" s="1"/>
  <c r="K82" i="320"/>
  <c r="AD82" i="320" s="1"/>
  <c r="AW82" i="320" s="1"/>
  <c r="K80" i="320"/>
  <c r="AD80" i="320" s="1"/>
  <c r="AW80" i="320" s="1"/>
  <c r="K79" i="320"/>
  <c r="AD79" i="320" s="1"/>
  <c r="AW79" i="320" s="1"/>
  <c r="K77" i="320"/>
  <c r="AD77" i="320" s="1"/>
  <c r="AW77" i="320" s="1"/>
  <c r="K74" i="320"/>
  <c r="AD74" i="320" s="1"/>
  <c r="AW74" i="320" s="1"/>
  <c r="K72" i="320"/>
  <c r="AD72" i="320" s="1"/>
  <c r="AW72" i="320" s="1"/>
  <c r="K71" i="320"/>
  <c r="AD71" i="320" s="1"/>
  <c r="AW71" i="320" s="1"/>
  <c r="K69" i="320"/>
  <c r="AD69" i="320" s="1"/>
  <c r="K66" i="320"/>
  <c r="AD66" i="320" s="1"/>
  <c r="K64" i="320"/>
  <c r="AD64" i="320" s="1"/>
  <c r="K63" i="320"/>
  <c r="AD63" i="320" s="1"/>
  <c r="K61" i="320"/>
  <c r="AD61" i="320" s="1"/>
  <c r="K58" i="320"/>
  <c r="AD58" i="320" s="1"/>
  <c r="K90" i="320"/>
  <c r="AD90" i="320" s="1"/>
  <c r="K88" i="320"/>
  <c r="AD88" i="320" s="1"/>
  <c r="K87" i="320"/>
  <c r="AD87" i="320" s="1"/>
  <c r="K85" i="320"/>
  <c r="AD85" i="320" s="1"/>
  <c r="K20" i="320"/>
  <c r="AD20" i="320" s="1"/>
  <c r="K36" i="320"/>
  <c r="AD36" i="320" s="1"/>
  <c r="K60" i="320"/>
  <c r="AD60" i="320" s="1"/>
  <c r="K81" i="320"/>
  <c r="AD81" i="320" s="1"/>
  <c r="AW81" i="320" s="1"/>
  <c r="K18" i="320"/>
  <c r="AD18" i="320" s="1"/>
  <c r="K34" i="320"/>
  <c r="AD34" i="320" s="1"/>
  <c r="K52" i="320"/>
  <c r="AD52" i="320" s="1"/>
  <c r="K73" i="320"/>
  <c r="AD73" i="320" s="1"/>
  <c r="AW73" i="320" s="1"/>
  <c r="K5" i="320"/>
  <c r="AD5" i="320" s="1"/>
  <c r="K37" i="320"/>
  <c r="AD37" i="320" s="1"/>
  <c r="AW37" i="320" s="1"/>
  <c r="K26" i="320"/>
  <c r="AD26" i="320" s="1"/>
  <c r="K21" i="320"/>
  <c r="AD21" i="320" s="1"/>
  <c r="K10" i="320"/>
  <c r="AD10" i="320" s="1"/>
  <c r="K44" i="320"/>
  <c r="AD44" i="320" s="1"/>
  <c r="AW44" i="320" s="1"/>
  <c r="K54" i="320"/>
  <c r="AD54" i="320" s="1"/>
  <c r="K51" i="320"/>
  <c r="AD51" i="320" s="1"/>
  <c r="K47" i="320"/>
  <c r="AD47" i="320" s="1"/>
  <c r="K45" i="320"/>
  <c r="AD45" i="320" s="1"/>
  <c r="K78" i="320"/>
  <c r="AD78" i="320" s="1"/>
  <c r="AW78" i="320" s="1"/>
  <c r="K76" i="320"/>
  <c r="AD76" i="320" s="1"/>
  <c r="AW76" i="320" s="1"/>
  <c r="K75" i="320"/>
  <c r="AD75" i="320" s="1"/>
  <c r="AW75" i="320" s="1"/>
  <c r="K70" i="320"/>
  <c r="AD70" i="320" s="1"/>
  <c r="AW70" i="320" s="1"/>
  <c r="K67" i="320"/>
  <c r="AD67" i="320" s="1"/>
  <c r="K65" i="320"/>
  <c r="AD65" i="320" s="1"/>
  <c r="K62" i="320"/>
  <c r="AD62" i="320" s="1"/>
  <c r="K59" i="320"/>
  <c r="AD59" i="320" s="1"/>
  <c r="K89" i="320"/>
  <c r="AD89" i="320" s="1"/>
  <c r="K86" i="320"/>
  <c r="AD86" i="320" s="1"/>
  <c r="K83" i="320"/>
  <c r="AD83" i="320" s="1"/>
  <c r="K15" i="320"/>
  <c r="AD15" i="320" s="1"/>
  <c r="K31" i="320"/>
  <c r="AD31" i="320" s="1"/>
  <c r="K49" i="320"/>
  <c r="AD49" i="320" s="1"/>
  <c r="K7" i="320"/>
  <c r="AD7" i="320" s="1"/>
  <c r="K12" i="320"/>
  <c r="AD12" i="320" s="1"/>
  <c r="K23" i="320"/>
  <c r="AD23" i="320" s="1"/>
  <c r="K28" i="320"/>
  <c r="AD28" i="320" s="1"/>
  <c r="K39" i="320"/>
  <c r="AD39" i="320" s="1"/>
  <c r="K57" i="320"/>
  <c r="AD57" i="320" s="1"/>
  <c r="K68" i="320"/>
  <c r="AD68" i="320" s="1"/>
  <c r="K4" i="320"/>
  <c r="AD4" i="320" s="1"/>
  <c r="J91" i="320"/>
  <c r="D91" i="320"/>
  <c r="H91" i="320"/>
  <c r="E91" i="320"/>
  <c r="I91" i="320"/>
  <c r="F49" i="243" l="1"/>
  <c r="F49" i="286"/>
  <c r="F49" i="294"/>
  <c r="F49" i="265"/>
  <c r="E49" i="237"/>
  <c r="F49" i="242"/>
  <c r="F49" i="258"/>
  <c r="G49" i="312"/>
  <c r="G49" i="286"/>
  <c r="G49" i="294"/>
  <c r="G49" i="272"/>
  <c r="G49" i="276"/>
  <c r="G49" i="280"/>
  <c r="G49" i="265"/>
  <c r="G49" i="269"/>
  <c r="G49" i="234"/>
  <c r="G49" i="310"/>
  <c r="G49" i="278"/>
  <c r="F49" i="239"/>
  <c r="F49" i="259"/>
  <c r="F49" i="255"/>
  <c r="F49" i="240"/>
  <c r="F49" i="244"/>
  <c r="F49" i="248"/>
  <c r="F49" i="252"/>
  <c r="F49" i="256"/>
  <c r="F49" i="260"/>
  <c r="F49" i="231"/>
  <c r="G49" i="316"/>
  <c r="G49" i="290"/>
  <c r="F49" i="251"/>
  <c r="E49" i="315"/>
  <c r="E49" i="253"/>
  <c r="F49" i="247"/>
  <c r="F49" i="272"/>
  <c r="F49" i="269"/>
  <c r="F49" i="310"/>
  <c r="F49" i="314"/>
  <c r="F49" i="284"/>
  <c r="F49" i="288"/>
  <c r="F49" i="292"/>
  <c r="F49" i="274"/>
  <c r="F49" i="278"/>
  <c r="F49" i="282"/>
  <c r="F49" i="267"/>
  <c r="F49" i="232"/>
  <c r="F49" i="236"/>
  <c r="E49" i="316"/>
  <c r="E49" i="254"/>
  <c r="F49" i="237"/>
  <c r="G49" i="242"/>
  <c r="G49" i="246"/>
  <c r="G49" i="250"/>
  <c r="G49" i="254"/>
  <c r="G49" i="258"/>
  <c r="G49" i="262"/>
  <c r="G49" i="229"/>
  <c r="G49" i="292"/>
  <c r="G49" i="267"/>
  <c r="G49" i="244"/>
  <c r="G49" i="256"/>
  <c r="E49" i="294"/>
  <c r="G49" i="273"/>
  <c r="G49" i="277"/>
  <c r="G49" i="281"/>
  <c r="G49" i="235"/>
  <c r="G49" i="239"/>
  <c r="G49" i="243"/>
  <c r="G49" i="251"/>
  <c r="G49" i="255"/>
  <c r="G49" i="259"/>
  <c r="G49" i="274"/>
  <c r="G49" i="240"/>
  <c r="E49" i="265"/>
  <c r="G49" i="311"/>
  <c r="G49" i="315"/>
  <c r="G49" i="285"/>
  <c r="G49" i="289"/>
  <c r="G49" i="293"/>
  <c r="G49" i="271"/>
  <c r="G49" i="275"/>
  <c r="G49" i="279"/>
  <c r="G49" i="264"/>
  <c r="G49" i="268"/>
  <c r="G49" i="233"/>
  <c r="E49" i="239"/>
  <c r="E49" i="243"/>
  <c r="E49" i="247"/>
  <c r="E49" i="251"/>
  <c r="E49" i="255"/>
  <c r="E49" i="259"/>
  <c r="E49" i="286"/>
  <c r="E49" i="242"/>
  <c r="E49" i="258"/>
  <c r="E49" i="246"/>
  <c r="E49" i="262"/>
  <c r="E49" i="240"/>
  <c r="E49" i="244"/>
  <c r="E49" i="248"/>
  <c r="E49" i="252"/>
  <c r="E49" i="256"/>
  <c r="E49" i="260"/>
  <c r="E49" i="231"/>
  <c r="G49" i="284"/>
  <c r="G49" i="260"/>
  <c r="E49" i="280"/>
  <c r="E49" i="311"/>
  <c r="E49" i="285"/>
  <c r="E49" i="289"/>
  <c r="E49" i="293"/>
  <c r="E49" i="271"/>
  <c r="E49" i="275"/>
  <c r="E49" i="264"/>
  <c r="E49" i="268"/>
  <c r="E49" i="233"/>
  <c r="G49" i="237"/>
  <c r="E49" i="241"/>
  <c r="E49" i="245"/>
  <c r="E49" i="249"/>
  <c r="E49" i="261"/>
  <c r="E49" i="230"/>
  <c r="G49" i="232"/>
  <c r="E49" i="290"/>
  <c r="E49" i="309"/>
  <c r="E49" i="313"/>
  <c r="E49" i="283"/>
  <c r="E49" i="287"/>
  <c r="E49" i="291"/>
  <c r="E49" i="295"/>
  <c r="E49" i="273"/>
  <c r="E49" i="277"/>
  <c r="E49" i="281"/>
  <c r="E49" i="266"/>
  <c r="E49" i="235"/>
  <c r="G49" i="241"/>
  <c r="G49" i="245"/>
  <c r="G49" i="249"/>
  <c r="G49" i="253"/>
  <c r="G49" i="257"/>
  <c r="G49" i="261"/>
  <c r="G49" i="230"/>
  <c r="E49" i="312"/>
  <c r="E49" i="250"/>
  <c r="E49" i="229"/>
  <c r="E51" i="229" s="1"/>
  <c r="AT80" i="320"/>
  <c r="E49" i="306" s="1"/>
  <c r="AS37" i="320"/>
  <c r="D49" i="263" s="1"/>
  <c r="AT72" i="320"/>
  <c r="E49" i="298" s="1"/>
  <c r="AT76" i="320"/>
  <c r="E49" i="302" s="1"/>
  <c r="F51" i="273"/>
  <c r="C72" i="273" s="1"/>
  <c r="CJ47" i="35"/>
  <c r="I130" i="274" s="1"/>
  <c r="J130" i="274" s="1"/>
  <c r="G51" i="273"/>
  <c r="F49" i="301"/>
  <c r="D49" i="308"/>
  <c r="G49" i="296"/>
  <c r="F49" i="263"/>
  <c r="D49" i="300"/>
  <c r="F49" i="270"/>
  <c r="E49" i="300"/>
  <c r="G49" i="307"/>
  <c r="D49" i="301"/>
  <c r="F49" i="308"/>
  <c r="G49" i="299"/>
  <c r="G49" i="301"/>
  <c r="D49" i="299"/>
  <c r="D49" i="303"/>
  <c r="D49" i="307"/>
  <c r="D49" i="270"/>
  <c r="F49" i="306"/>
  <c r="G49" i="270"/>
  <c r="G49" i="300"/>
  <c r="D49" i="305"/>
  <c r="D49" i="306"/>
  <c r="E49" i="297"/>
  <c r="D49" i="304"/>
  <c r="D49" i="297"/>
  <c r="F49" i="296"/>
  <c r="F49" i="300"/>
  <c r="F49" i="304"/>
  <c r="E49" i="270"/>
  <c r="F49" i="297"/>
  <c r="F49" i="305"/>
  <c r="G49" i="263"/>
  <c r="F49" i="303"/>
  <c r="G49" i="308"/>
  <c r="D49" i="298"/>
  <c r="D49" i="302"/>
  <c r="E49" i="296"/>
  <c r="E49" i="304"/>
  <c r="E49" i="308"/>
  <c r="F49" i="307"/>
  <c r="E49" i="307"/>
  <c r="G49" i="297"/>
  <c r="G49" i="305"/>
  <c r="G49" i="298"/>
  <c r="G49" i="302"/>
  <c r="G49" i="306"/>
  <c r="E49" i="305"/>
  <c r="F49" i="299"/>
  <c r="G49" i="304"/>
  <c r="D49" i="296"/>
  <c r="G49" i="303"/>
  <c r="E49" i="301"/>
  <c r="E49" i="299"/>
  <c r="E49" i="303"/>
  <c r="L4" i="320"/>
  <c r="AE4" i="320" s="1"/>
  <c r="AW4" i="320"/>
  <c r="H49" i="229" s="1"/>
  <c r="L28" i="320"/>
  <c r="AE28" i="320" s="1"/>
  <c r="AW28" i="320"/>
  <c r="H49" i="254" s="1"/>
  <c r="L64" i="320"/>
  <c r="AE64" i="320" s="1"/>
  <c r="AW64" i="320"/>
  <c r="H49" i="290" s="1"/>
  <c r="L80" i="320"/>
  <c r="AE80" i="320" s="1"/>
  <c r="AX80" i="320" s="1"/>
  <c r="L8" i="320"/>
  <c r="AE8" i="320" s="1"/>
  <c r="AW8" i="320"/>
  <c r="H49" i="233" s="1"/>
  <c r="L24" i="320"/>
  <c r="AE24" i="320" s="1"/>
  <c r="AW24" i="320"/>
  <c r="H49" i="250" s="1"/>
  <c r="L84" i="320"/>
  <c r="AE84" i="320" s="1"/>
  <c r="AW84" i="320"/>
  <c r="H49" i="310" s="1"/>
  <c r="L39" i="320"/>
  <c r="AE39" i="320" s="1"/>
  <c r="AW39" i="320"/>
  <c r="H49" i="265" s="1"/>
  <c r="L83" i="320"/>
  <c r="AE83" i="320" s="1"/>
  <c r="AW83" i="320"/>
  <c r="H49" i="309" s="1"/>
  <c r="L47" i="320"/>
  <c r="AE47" i="320" s="1"/>
  <c r="AW47" i="320"/>
  <c r="H49" i="273" s="1"/>
  <c r="L71" i="320"/>
  <c r="AE71" i="320" s="1"/>
  <c r="AX71" i="320" s="1"/>
  <c r="L49" i="320"/>
  <c r="AE49" i="320" s="1"/>
  <c r="AW49" i="320"/>
  <c r="H49" i="275" s="1"/>
  <c r="L86" i="320"/>
  <c r="AE86" i="320" s="1"/>
  <c r="AW86" i="320"/>
  <c r="H49" i="312" s="1"/>
  <c r="L65" i="320"/>
  <c r="AE65" i="320" s="1"/>
  <c r="AW65" i="320"/>
  <c r="H49" i="291" s="1"/>
  <c r="L76" i="320"/>
  <c r="AE76" i="320" s="1"/>
  <c r="AX76" i="320" s="1"/>
  <c r="L51" i="320"/>
  <c r="AE51" i="320" s="1"/>
  <c r="AW51" i="320"/>
  <c r="H49" i="277" s="1"/>
  <c r="L21" i="320"/>
  <c r="AE21" i="320" s="1"/>
  <c r="AW21" i="320"/>
  <c r="H49" i="247" s="1"/>
  <c r="L73" i="320"/>
  <c r="AE73" i="320" s="1"/>
  <c r="AX73" i="320" s="1"/>
  <c r="L81" i="320"/>
  <c r="AE81" i="320" s="1"/>
  <c r="AX81" i="320" s="1"/>
  <c r="L90" i="320"/>
  <c r="AE90" i="320" s="1"/>
  <c r="AW90" i="320"/>
  <c r="H49" i="316" s="1"/>
  <c r="L72" i="320"/>
  <c r="AE72" i="320" s="1"/>
  <c r="AX72" i="320" s="1"/>
  <c r="L50" i="320"/>
  <c r="AE50" i="320" s="1"/>
  <c r="AW50" i="320"/>
  <c r="H49" i="276" s="1"/>
  <c r="L38" i="320"/>
  <c r="AE38" i="320" s="1"/>
  <c r="AW38" i="320"/>
  <c r="H49" i="264" s="1"/>
  <c r="L16" i="320"/>
  <c r="AE16" i="320" s="1"/>
  <c r="AW16" i="320"/>
  <c r="H49" i="242" s="1"/>
  <c r="L32" i="320"/>
  <c r="AE32" i="320" s="1"/>
  <c r="AW32" i="320"/>
  <c r="H49" i="258" s="1"/>
  <c r="L7" i="320"/>
  <c r="AE7" i="320" s="1"/>
  <c r="AW7" i="320"/>
  <c r="H49" i="232" s="1"/>
  <c r="L62" i="320"/>
  <c r="AE62" i="320" s="1"/>
  <c r="AW62" i="320"/>
  <c r="H49" i="288" s="1"/>
  <c r="L75" i="320"/>
  <c r="AE75" i="320" s="1"/>
  <c r="AX75" i="320" s="1"/>
  <c r="L10" i="320"/>
  <c r="AE10" i="320" s="1"/>
  <c r="AW10" i="320"/>
  <c r="H49" i="235" s="1"/>
  <c r="L5" i="320"/>
  <c r="AE5" i="320" s="1"/>
  <c r="AW5" i="320"/>
  <c r="H49" i="230" s="1"/>
  <c r="L18" i="320"/>
  <c r="AE18" i="320" s="1"/>
  <c r="AW18" i="320"/>
  <c r="H49" i="244" s="1"/>
  <c r="L20" i="320"/>
  <c r="AE20" i="320" s="1"/>
  <c r="AW20" i="320"/>
  <c r="H49" i="246" s="1"/>
  <c r="L88" i="320"/>
  <c r="AE88" i="320" s="1"/>
  <c r="AW88" i="320"/>
  <c r="H49" i="314" s="1"/>
  <c r="L63" i="320"/>
  <c r="AE63" i="320" s="1"/>
  <c r="AW63" i="320"/>
  <c r="H49" i="289" s="1"/>
  <c r="L79" i="320"/>
  <c r="AE79" i="320" s="1"/>
  <c r="AX79" i="320" s="1"/>
  <c r="L48" i="320"/>
  <c r="AE48" i="320" s="1"/>
  <c r="AW48" i="320"/>
  <c r="H49" i="274" s="1"/>
  <c r="L56" i="320"/>
  <c r="AE56" i="320" s="1"/>
  <c r="AW56" i="320"/>
  <c r="H49" i="282" s="1"/>
  <c r="L43" i="320"/>
  <c r="AE43" i="320" s="1"/>
  <c r="AW43" i="320"/>
  <c r="H49" i="269" s="1"/>
  <c r="L14" i="320"/>
  <c r="AE14" i="320" s="1"/>
  <c r="AW14" i="320"/>
  <c r="H49" i="240" s="1"/>
  <c r="L22" i="320"/>
  <c r="AE22" i="320" s="1"/>
  <c r="AW22" i="320"/>
  <c r="H49" i="248" s="1"/>
  <c r="L30" i="320"/>
  <c r="AE30" i="320" s="1"/>
  <c r="AW30" i="320"/>
  <c r="H49" i="256" s="1"/>
  <c r="L6" i="320"/>
  <c r="AE6" i="320" s="1"/>
  <c r="AW6" i="320"/>
  <c r="H49" i="231" s="1"/>
  <c r="L13" i="320"/>
  <c r="AE13" i="320" s="1"/>
  <c r="AW13" i="320"/>
  <c r="H49" i="239" s="1"/>
  <c r="L57" i="320"/>
  <c r="AE57" i="320" s="1"/>
  <c r="AW57" i="320"/>
  <c r="H49" i="283" s="1"/>
  <c r="L12" i="320"/>
  <c r="AE12" i="320" s="1"/>
  <c r="AW12" i="320"/>
  <c r="H49" i="237" s="1"/>
  <c r="L15" i="320"/>
  <c r="AE15" i="320" s="1"/>
  <c r="AW15" i="320"/>
  <c r="H49" i="241" s="1"/>
  <c r="L59" i="320"/>
  <c r="AE59" i="320" s="1"/>
  <c r="AW59" i="320"/>
  <c r="H49" i="285" s="1"/>
  <c r="L70" i="320"/>
  <c r="AE70" i="320" s="1"/>
  <c r="AX70" i="320" s="1"/>
  <c r="L45" i="320"/>
  <c r="AE45" i="320" s="1"/>
  <c r="AW45" i="320"/>
  <c r="H49" i="271" s="1"/>
  <c r="L44" i="320"/>
  <c r="AE44" i="320" s="1"/>
  <c r="AX44" i="320" s="1"/>
  <c r="L37" i="320"/>
  <c r="AE37" i="320" s="1"/>
  <c r="AX37" i="320" s="1"/>
  <c r="L34" i="320"/>
  <c r="AE34" i="320" s="1"/>
  <c r="AW34" i="320"/>
  <c r="H49" i="260" s="1"/>
  <c r="L36" i="320"/>
  <c r="AE36" i="320" s="1"/>
  <c r="AW36" i="320"/>
  <c r="H49" i="262" s="1"/>
  <c r="L87" i="320"/>
  <c r="AE87" i="320" s="1"/>
  <c r="AW87" i="320"/>
  <c r="H49" i="313" s="1"/>
  <c r="L61" i="320"/>
  <c r="AE61" i="320" s="1"/>
  <c r="AW61" i="320"/>
  <c r="H49" i="287" s="1"/>
  <c r="L69" i="320"/>
  <c r="AE69" i="320" s="1"/>
  <c r="AW69" i="320"/>
  <c r="H49" i="295" s="1"/>
  <c r="L77" i="320"/>
  <c r="AE77" i="320" s="1"/>
  <c r="AX77" i="320" s="1"/>
  <c r="L46" i="320"/>
  <c r="AE46" i="320" s="1"/>
  <c r="AW46" i="320"/>
  <c r="H49" i="272" s="1"/>
  <c r="L55" i="320"/>
  <c r="AE55" i="320" s="1"/>
  <c r="AW55" i="320"/>
  <c r="H49" i="281" s="1"/>
  <c r="L41" i="320"/>
  <c r="AE41" i="320" s="1"/>
  <c r="AW41" i="320"/>
  <c r="H49" i="267" s="1"/>
  <c r="L11" i="320"/>
  <c r="AE11" i="320" s="1"/>
  <c r="AW11" i="320"/>
  <c r="H49" i="236" s="1"/>
  <c r="L19" i="320"/>
  <c r="AE19" i="320" s="1"/>
  <c r="AW19" i="320"/>
  <c r="H49" i="245" s="1"/>
  <c r="L27" i="320"/>
  <c r="AE27" i="320" s="1"/>
  <c r="AW27" i="320"/>
  <c r="H49" i="253" s="1"/>
  <c r="L35" i="320"/>
  <c r="AE35" i="320" s="1"/>
  <c r="AW35" i="320"/>
  <c r="H49" i="261" s="1"/>
  <c r="L29" i="320"/>
  <c r="AE29" i="320" s="1"/>
  <c r="AW29" i="320"/>
  <c r="H49" i="255" s="1"/>
  <c r="L68" i="320"/>
  <c r="AE68" i="320" s="1"/>
  <c r="AW68" i="320"/>
  <c r="H49" i="294" s="1"/>
  <c r="L23" i="320"/>
  <c r="AE23" i="320" s="1"/>
  <c r="AW23" i="320"/>
  <c r="H49" i="249" s="1"/>
  <c r="L31" i="320"/>
  <c r="AE31" i="320" s="1"/>
  <c r="AW31" i="320"/>
  <c r="H49" i="257" s="1"/>
  <c r="L89" i="320"/>
  <c r="AE89" i="320" s="1"/>
  <c r="AW89" i="320"/>
  <c r="H49" i="315" s="1"/>
  <c r="L67" i="320"/>
  <c r="AE67" i="320" s="1"/>
  <c r="AW67" i="320"/>
  <c r="H49" i="293" s="1"/>
  <c r="L78" i="320"/>
  <c r="AE78" i="320" s="1"/>
  <c r="AX78" i="320" s="1"/>
  <c r="L54" i="320"/>
  <c r="AE54" i="320" s="1"/>
  <c r="AW54" i="320"/>
  <c r="H49" i="280" s="1"/>
  <c r="L26" i="320"/>
  <c r="AE26" i="320" s="1"/>
  <c r="AW26" i="320"/>
  <c r="H49" i="252" s="1"/>
  <c r="L52" i="320"/>
  <c r="AE52" i="320" s="1"/>
  <c r="AW52" i="320"/>
  <c r="H49" i="278" s="1"/>
  <c r="L60" i="320"/>
  <c r="AE60" i="320" s="1"/>
  <c r="AW60" i="320"/>
  <c r="H49" i="286" s="1"/>
  <c r="L85" i="320"/>
  <c r="AE85" i="320" s="1"/>
  <c r="AW85" i="320"/>
  <c r="H49" i="311" s="1"/>
  <c r="L58" i="320"/>
  <c r="AE58" i="320" s="1"/>
  <c r="AW58" i="320"/>
  <c r="H49" i="284" s="1"/>
  <c r="L66" i="320"/>
  <c r="AE66" i="320" s="1"/>
  <c r="AW66" i="320"/>
  <c r="H49" i="292" s="1"/>
  <c r="L74" i="320"/>
  <c r="AE74" i="320" s="1"/>
  <c r="AX74" i="320" s="1"/>
  <c r="L82" i="320"/>
  <c r="AE82" i="320" s="1"/>
  <c r="AX82" i="320" s="1"/>
  <c r="L53" i="320"/>
  <c r="AE53" i="320" s="1"/>
  <c r="AW53" i="320"/>
  <c r="H49" i="279" s="1"/>
  <c r="L40" i="320"/>
  <c r="AE40" i="320" s="1"/>
  <c r="AW40" i="320"/>
  <c r="H49" i="266" s="1"/>
  <c r="L9" i="320"/>
  <c r="AE9" i="320" s="1"/>
  <c r="AW9" i="320"/>
  <c r="H49" i="234" s="1"/>
  <c r="L17" i="320"/>
  <c r="AE17" i="320" s="1"/>
  <c r="AW17" i="320"/>
  <c r="H49" i="243" s="1"/>
  <c r="L25" i="320"/>
  <c r="AE25" i="320" s="1"/>
  <c r="AW25" i="320"/>
  <c r="H49" i="251" s="1"/>
  <c r="L33" i="320"/>
  <c r="AE33" i="320" s="1"/>
  <c r="AW33" i="320"/>
  <c r="H49" i="259" s="1"/>
  <c r="L42" i="320"/>
  <c r="AE42" i="320" s="1"/>
  <c r="AW42" i="320"/>
  <c r="H49" i="268" s="1"/>
  <c r="I130" i="252"/>
  <c r="J130" i="252" s="1"/>
  <c r="CJ95" i="35"/>
  <c r="J130" i="266"/>
  <c r="H130" i="230"/>
  <c r="J130" i="230" s="1"/>
  <c r="J130" i="268"/>
  <c r="J130" i="240"/>
  <c r="J130" i="292"/>
  <c r="J130" i="269"/>
  <c r="J130" i="285"/>
  <c r="J130" i="237"/>
  <c r="J130" i="271"/>
  <c r="CJ64" i="35"/>
  <c r="I130" i="291" s="1"/>
  <c r="H130" i="291"/>
  <c r="J130" i="258"/>
  <c r="H130" i="275"/>
  <c r="CJ48" i="35"/>
  <c r="I130" i="275" s="1"/>
  <c r="J130" i="260"/>
  <c r="S109" i="217"/>
  <c r="H16" i="238"/>
  <c r="I16" i="238"/>
  <c r="J16" i="238"/>
  <c r="K16" i="238"/>
  <c r="L16" i="238"/>
  <c r="G16" i="238"/>
  <c r="F15" i="217" s="1"/>
  <c r="F16" i="238"/>
  <c r="E15" i="217" s="1"/>
  <c r="E16" i="238"/>
  <c r="D16" i="238"/>
  <c r="C16" i="238"/>
  <c r="K15" i="217" l="1"/>
  <c r="L23" i="238"/>
  <c r="I15" i="217"/>
  <c r="J23" i="238"/>
  <c r="H15" i="217"/>
  <c r="I23" i="238"/>
  <c r="G15" i="217"/>
  <c r="H23" i="238"/>
  <c r="J15" i="217"/>
  <c r="K23" i="238"/>
  <c r="E49" i="263"/>
  <c r="F49" i="298"/>
  <c r="F49" i="302"/>
  <c r="N172" i="273"/>
  <c r="C73" i="273"/>
  <c r="H51" i="273"/>
  <c r="C74" i="273" s="1"/>
  <c r="M172" i="273"/>
  <c r="H49" i="299"/>
  <c r="H49" i="304"/>
  <c r="H49" i="307"/>
  <c r="H49" i="308"/>
  <c r="H49" i="270"/>
  <c r="H49" i="296"/>
  <c r="H49" i="301"/>
  <c r="H49" i="306"/>
  <c r="H49" i="300"/>
  <c r="H49" i="303"/>
  <c r="H49" i="263"/>
  <c r="H49" i="305"/>
  <c r="H49" i="298"/>
  <c r="H49" i="302"/>
  <c r="H49" i="297"/>
  <c r="M42" i="320"/>
  <c r="AF42" i="320" s="1"/>
  <c r="AX42" i="320"/>
  <c r="I49" i="268" s="1"/>
  <c r="M53" i="320"/>
  <c r="AF53" i="320" s="1"/>
  <c r="AX53" i="320"/>
  <c r="I49" i="279" s="1"/>
  <c r="M58" i="320"/>
  <c r="AF58" i="320" s="1"/>
  <c r="AX58" i="320"/>
  <c r="I49" i="284" s="1"/>
  <c r="M26" i="320"/>
  <c r="AF26" i="320" s="1"/>
  <c r="AX26" i="320"/>
  <c r="I49" i="252" s="1"/>
  <c r="M89" i="320"/>
  <c r="AF89" i="320" s="1"/>
  <c r="AX89" i="320"/>
  <c r="I49" i="315" s="1"/>
  <c r="M23" i="320"/>
  <c r="AF23" i="320" s="1"/>
  <c r="AX23" i="320"/>
  <c r="I49" i="249" s="1"/>
  <c r="M27" i="320"/>
  <c r="AF27" i="320" s="1"/>
  <c r="AX27" i="320"/>
  <c r="I49" i="253" s="1"/>
  <c r="M11" i="320"/>
  <c r="AF11" i="320" s="1"/>
  <c r="AX11" i="320"/>
  <c r="I49" i="236" s="1"/>
  <c r="M77" i="320"/>
  <c r="AF77" i="320" s="1"/>
  <c r="AY77" i="320" s="1"/>
  <c r="M37" i="320"/>
  <c r="AF37" i="320" s="1"/>
  <c r="AY37" i="320" s="1"/>
  <c r="M59" i="320"/>
  <c r="AF59" i="320" s="1"/>
  <c r="AX59" i="320"/>
  <c r="I49" i="285" s="1"/>
  <c r="M13" i="320"/>
  <c r="AF13" i="320" s="1"/>
  <c r="AX13" i="320"/>
  <c r="I49" i="239" s="1"/>
  <c r="M14" i="320"/>
  <c r="AF14" i="320" s="1"/>
  <c r="AX14" i="320"/>
  <c r="I49" i="240" s="1"/>
  <c r="M79" i="320"/>
  <c r="AF79" i="320" s="1"/>
  <c r="AY79" i="320" s="1"/>
  <c r="M18" i="320"/>
  <c r="AF18" i="320" s="1"/>
  <c r="AX18" i="320"/>
  <c r="I49" i="244" s="1"/>
  <c r="M62" i="320"/>
  <c r="AF62" i="320" s="1"/>
  <c r="AX62" i="320"/>
  <c r="I49" i="288" s="1"/>
  <c r="M38" i="320"/>
  <c r="AF38" i="320" s="1"/>
  <c r="AX38" i="320"/>
  <c r="I49" i="264" s="1"/>
  <c r="M81" i="320"/>
  <c r="AF81" i="320" s="1"/>
  <c r="AY81" i="320" s="1"/>
  <c r="M21" i="320"/>
  <c r="AF21" i="320" s="1"/>
  <c r="AX21" i="320"/>
  <c r="I49" i="247" s="1"/>
  <c r="M86" i="320"/>
  <c r="AF86" i="320" s="1"/>
  <c r="AX86" i="320"/>
  <c r="I49" i="312" s="1"/>
  <c r="M83" i="320"/>
  <c r="AF83" i="320" s="1"/>
  <c r="AX83" i="320"/>
  <c r="I49" i="309" s="1"/>
  <c r="M84" i="320"/>
  <c r="AF84" i="320" s="1"/>
  <c r="AX84" i="320"/>
  <c r="I49" i="310" s="1"/>
  <c r="M8" i="320"/>
  <c r="AF8" i="320" s="1"/>
  <c r="AX8" i="320"/>
  <c r="I49" i="233" s="1"/>
  <c r="M64" i="320"/>
  <c r="AF64" i="320" s="1"/>
  <c r="AX64" i="320"/>
  <c r="I49" i="290" s="1"/>
  <c r="M33" i="320"/>
  <c r="AF33" i="320" s="1"/>
  <c r="AX33" i="320"/>
  <c r="I49" i="259" s="1"/>
  <c r="M17" i="320"/>
  <c r="AF17" i="320" s="1"/>
  <c r="AX17" i="320"/>
  <c r="I49" i="243" s="1"/>
  <c r="M40" i="320"/>
  <c r="AF40" i="320" s="1"/>
  <c r="AX40" i="320"/>
  <c r="I49" i="266" s="1"/>
  <c r="M82" i="320"/>
  <c r="AF82" i="320" s="1"/>
  <c r="AY82" i="320" s="1"/>
  <c r="M66" i="320"/>
  <c r="AF66" i="320" s="1"/>
  <c r="AX66" i="320"/>
  <c r="I49" i="292" s="1"/>
  <c r="M85" i="320"/>
  <c r="AF85" i="320" s="1"/>
  <c r="AX85" i="320"/>
  <c r="I49" i="311" s="1"/>
  <c r="M52" i="320"/>
  <c r="AF52" i="320" s="1"/>
  <c r="AX52" i="320"/>
  <c r="I49" i="278" s="1"/>
  <c r="M54" i="320"/>
  <c r="AF54" i="320" s="1"/>
  <c r="AX54" i="320"/>
  <c r="I49" i="280" s="1"/>
  <c r="M67" i="320"/>
  <c r="AF67" i="320" s="1"/>
  <c r="AX67" i="320"/>
  <c r="I49" i="293" s="1"/>
  <c r="M31" i="320"/>
  <c r="AF31" i="320" s="1"/>
  <c r="AX31" i="320"/>
  <c r="I49" i="257" s="1"/>
  <c r="M68" i="320"/>
  <c r="AF68" i="320" s="1"/>
  <c r="AX68" i="320"/>
  <c r="I49" i="294" s="1"/>
  <c r="M35" i="320"/>
  <c r="AF35" i="320" s="1"/>
  <c r="AX35" i="320"/>
  <c r="I49" i="261" s="1"/>
  <c r="M19" i="320"/>
  <c r="AF19" i="320" s="1"/>
  <c r="AX19" i="320"/>
  <c r="I49" i="245" s="1"/>
  <c r="M41" i="320"/>
  <c r="AF41" i="320" s="1"/>
  <c r="AX41" i="320"/>
  <c r="I49" i="267" s="1"/>
  <c r="M46" i="320"/>
  <c r="AF46" i="320" s="1"/>
  <c r="AX46" i="320"/>
  <c r="I49" i="272" s="1"/>
  <c r="M69" i="320"/>
  <c r="AF69" i="320" s="1"/>
  <c r="AX69" i="320"/>
  <c r="I49" i="295" s="1"/>
  <c r="M87" i="320"/>
  <c r="AF87" i="320" s="1"/>
  <c r="AX87" i="320"/>
  <c r="I49" i="313" s="1"/>
  <c r="M34" i="320"/>
  <c r="AF34" i="320" s="1"/>
  <c r="AX34" i="320"/>
  <c r="I49" i="260" s="1"/>
  <c r="M44" i="320"/>
  <c r="AF44" i="320" s="1"/>
  <c r="AY44" i="320" s="1"/>
  <c r="M70" i="320"/>
  <c r="AF70" i="320" s="1"/>
  <c r="AY70" i="320" s="1"/>
  <c r="M15" i="320"/>
  <c r="AF15" i="320" s="1"/>
  <c r="AX15" i="320"/>
  <c r="I49" i="241" s="1"/>
  <c r="M57" i="320"/>
  <c r="AF57" i="320" s="1"/>
  <c r="AX57" i="320"/>
  <c r="I49" i="283" s="1"/>
  <c r="M6" i="320"/>
  <c r="AF6" i="320" s="1"/>
  <c r="AX6" i="320"/>
  <c r="I49" i="231" s="1"/>
  <c r="M22" i="320"/>
  <c r="AF22" i="320" s="1"/>
  <c r="AX22" i="320"/>
  <c r="I49" i="248" s="1"/>
  <c r="M43" i="320"/>
  <c r="AF43" i="320" s="1"/>
  <c r="AX43" i="320"/>
  <c r="I49" i="269" s="1"/>
  <c r="M48" i="320"/>
  <c r="AF48" i="320" s="1"/>
  <c r="AX48" i="320"/>
  <c r="I49" i="274" s="1"/>
  <c r="M63" i="320"/>
  <c r="AF63" i="320" s="1"/>
  <c r="AX63" i="320"/>
  <c r="I49" i="289" s="1"/>
  <c r="M20" i="320"/>
  <c r="AF20" i="320" s="1"/>
  <c r="AX20" i="320"/>
  <c r="I49" i="246" s="1"/>
  <c r="M5" i="320"/>
  <c r="AF5" i="320" s="1"/>
  <c r="AX5" i="320"/>
  <c r="I49" i="230" s="1"/>
  <c r="M75" i="320"/>
  <c r="AF75" i="320" s="1"/>
  <c r="AY75" i="320" s="1"/>
  <c r="M7" i="320"/>
  <c r="AF7" i="320" s="1"/>
  <c r="AX7" i="320"/>
  <c r="I49" i="232" s="1"/>
  <c r="M16" i="320"/>
  <c r="AF16" i="320" s="1"/>
  <c r="AX16" i="320"/>
  <c r="I49" i="242" s="1"/>
  <c r="M50" i="320"/>
  <c r="AF50" i="320" s="1"/>
  <c r="AX50" i="320"/>
  <c r="I49" i="276" s="1"/>
  <c r="M90" i="320"/>
  <c r="AF90" i="320" s="1"/>
  <c r="AX90" i="320"/>
  <c r="I49" i="316" s="1"/>
  <c r="M73" i="320"/>
  <c r="AF73" i="320" s="1"/>
  <c r="AY73" i="320" s="1"/>
  <c r="M51" i="320"/>
  <c r="AF51" i="320" s="1"/>
  <c r="AX51" i="320"/>
  <c r="I49" i="277" s="1"/>
  <c r="M65" i="320"/>
  <c r="AF65" i="320" s="1"/>
  <c r="AX65" i="320"/>
  <c r="I49" i="291" s="1"/>
  <c r="M49" i="320"/>
  <c r="AF49" i="320" s="1"/>
  <c r="AX49" i="320"/>
  <c r="I49" i="275" s="1"/>
  <c r="M47" i="320"/>
  <c r="AF47" i="320" s="1"/>
  <c r="AX47" i="320"/>
  <c r="I49" i="273" s="1"/>
  <c r="M39" i="320"/>
  <c r="AF39" i="320" s="1"/>
  <c r="AX39" i="320"/>
  <c r="I49" i="265" s="1"/>
  <c r="M24" i="320"/>
  <c r="AF24" i="320" s="1"/>
  <c r="AX24" i="320"/>
  <c r="I49" i="250" s="1"/>
  <c r="M80" i="320"/>
  <c r="AF80" i="320" s="1"/>
  <c r="AY80" i="320" s="1"/>
  <c r="M28" i="320"/>
  <c r="AF28" i="320" s="1"/>
  <c r="AX28" i="320"/>
  <c r="I49" i="254" s="1"/>
  <c r="M25" i="320"/>
  <c r="AF25" i="320" s="1"/>
  <c r="AX25" i="320"/>
  <c r="I49" i="251" s="1"/>
  <c r="M9" i="320"/>
  <c r="AF9" i="320" s="1"/>
  <c r="AX9" i="320"/>
  <c r="I49" i="234" s="1"/>
  <c r="M74" i="320"/>
  <c r="AF74" i="320" s="1"/>
  <c r="AY74" i="320" s="1"/>
  <c r="M60" i="320"/>
  <c r="AF60" i="320" s="1"/>
  <c r="AX60" i="320"/>
  <c r="I49" i="286" s="1"/>
  <c r="M78" i="320"/>
  <c r="AF78" i="320" s="1"/>
  <c r="AY78" i="320" s="1"/>
  <c r="M29" i="320"/>
  <c r="AF29" i="320" s="1"/>
  <c r="AX29" i="320"/>
  <c r="I49" i="255" s="1"/>
  <c r="M55" i="320"/>
  <c r="AF55" i="320" s="1"/>
  <c r="AX55" i="320"/>
  <c r="I49" i="281" s="1"/>
  <c r="M61" i="320"/>
  <c r="AF61" i="320" s="1"/>
  <c r="AX61" i="320"/>
  <c r="I49" i="287" s="1"/>
  <c r="M36" i="320"/>
  <c r="AF36" i="320" s="1"/>
  <c r="AX36" i="320"/>
  <c r="I49" i="262" s="1"/>
  <c r="M45" i="320"/>
  <c r="AF45" i="320" s="1"/>
  <c r="AX45" i="320"/>
  <c r="I49" i="271" s="1"/>
  <c r="M12" i="320"/>
  <c r="AF12" i="320" s="1"/>
  <c r="AX12" i="320"/>
  <c r="I49" i="237" s="1"/>
  <c r="M30" i="320"/>
  <c r="AF30" i="320" s="1"/>
  <c r="AX30" i="320"/>
  <c r="I49" i="256" s="1"/>
  <c r="M56" i="320"/>
  <c r="AF56" i="320" s="1"/>
  <c r="AX56" i="320"/>
  <c r="I49" i="282" s="1"/>
  <c r="M88" i="320"/>
  <c r="AF88" i="320" s="1"/>
  <c r="AX88" i="320"/>
  <c r="I49" i="314" s="1"/>
  <c r="M10" i="320"/>
  <c r="AF10" i="320" s="1"/>
  <c r="AX10" i="320"/>
  <c r="I49" i="235" s="1"/>
  <c r="M32" i="320"/>
  <c r="AF32" i="320" s="1"/>
  <c r="AX32" i="320"/>
  <c r="I49" i="258" s="1"/>
  <c r="M72" i="320"/>
  <c r="AF72" i="320" s="1"/>
  <c r="AY72" i="320" s="1"/>
  <c r="M76" i="320"/>
  <c r="AF76" i="320" s="1"/>
  <c r="AY76" i="320" s="1"/>
  <c r="M71" i="320"/>
  <c r="AF71" i="320" s="1"/>
  <c r="AY71" i="320" s="1"/>
  <c r="M4" i="320"/>
  <c r="AF4" i="320" s="1"/>
  <c r="AX4" i="320"/>
  <c r="I49" i="229" s="1"/>
  <c r="J130" i="275"/>
  <c r="J130" i="291"/>
  <c r="B29" i="270"/>
  <c r="B29" i="296"/>
  <c r="B29" i="297"/>
  <c r="B29" i="298"/>
  <c r="B29" i="299"/>
  <c r="B29" i="300"/>
  <c r="B29" i="301"/>
  <c r="B29" i="302"/>
  <c r="B29" i="303"/>
  <c r="B29" i="304"/>
  <c r="B29" i="305"/>
  <c r="B29" i="306"/>
  <c r="B29" i="307"/>
  <c r="B29" i="308"/>
  <c r="B14" i="230"/>
  <c r="B14" i="231"/>
  <c r="B14" i="232"/>
  <c r="B14" i="233"/>
  <c r="B14" i="234"/>
  <c r="B14" i="235"/>
  <c r="B14" i="236"/>
  <c r="B14" i="237"/>
  <c r="B14" i="239"/>
  <c r="B14" i="240"/>
  <c r="B14" i="241"/>
  <c r="B14" i="242"/>
  <c r="B14" i="243"/>
  <c r="B14" i="244"/>
  <c r="B14" i="245"/>
  <c r="B14" i="246"/>
  <c r="B14" i="247"/>
  <c r="B14" i="248"/>
  <c r="B14" i="249"/>
  <c r="B14" i="250"/>
  <c r="B14" i="251"/>
  <c r="B14" i="252"/>
  <c r="B14" i="253"/>
  <c r="B14" i="254"/>
  <c r="B14" i="255"/>
  <c r="B14" i="256"/>
  <c r="B14" i="257"/>
  <c r="B14" i="258"/>
  <c r="B14" i="259"/>
  <c r="B14" i="260"/>
  <c r="B14" i="261"/>
  <c r="B14" i="262"/>
  <c r="B14" i="263"/>
  <c r="B14" i="264"/>
  <c r="B14" i="265"/>
  <c r="B14" i="266"/>
  <c r="B14" i="267"/>
  <c r="B14" i="268"/>
  <c r="B14" i="269"/>
  <c r="B14" i="270"/>
  <c r="B14" i="271"/>
  <c r="B14" i="272"/>
  <c r="B14" i="273"/>
  <c r="B14" i="274"/>
  <c r="B14" i="275"/>
  <c r="B14" i="276"/>
  <c r="B14" i="277"/>
  <c r="B14" i="278"/>
  <c r="B14" i="279"/>
  <c r="B14" i="280"/>
  <c r="B14" i="281"/>
  <c r="B14" i="282"/>
  <c r="B14" i="283"/>
  <c r="B14" i="284"/>
  <c r="B14" i="285"/>
  <c r="B14" i="286"/>
  <c r="B14" i="287"/>
  <c r="B14" i="288"/>
  <c r="B14" i="289"/>
  <c r="B14" i="290"/>
  <c r="B14" i="291"/>
  <c r="B14" i="292"/>
  <c r="B14" i="293"/>
  <c r="B14" i="294"/>
  <c r="B14" i="295"/>
  <c r="B14" i="296"/>
  <c r="B14" i="297"/>
  <c r="B14" i="298"/>
  <c r="B14" i="299"/>
  <c r="B14" i="300"/>
  <c r="B14" i="301"/>
  <c r="B14" i="302"/>
  <c r="B14" i="303"/>
  <c r="B14" i="304"/>
  <c r="B14" i="305"/>
  <c r="B14" i="306"/>
  <c r="B14" i="307"/>
  <c r="B14" i="308"/>
  <c r="B14" i="309"/>
  <c r="B14" i="310"/>
  <c r="B14" i="311"/>
  <c r="B14" i="312"/>
  <c r="B14" i="313"/>
  <c r="B14" i="314"/>
  <c r="B14" i="315"/>
  <c r="B14" i="316"/>
  <c r="B14" i="229"/>
  <c r="I129" i="231"/>
  <c r="H129" i="231"/>
  <c r="G129" i="231"/>
  <c r="F129" i="231"/>
  <c r="E129" i="231"/>
  <c r="D129" i="231"/>
  <c r="I128" i="231"/>
  <c r="H128" i="231"/>
  <c r="G128" i="231"/>
  <c r="F128" i="231"/>
  <c r="E128" i="231"/>
  <c r="D128" i="231"/>
  <c r="I127" i="231"/>
  <c r="H127" i="231"/>
  <c r="G127" i="231"/>
  <c r="F127" i="231"/>
  <c r="E127" i="231"/>
  <c r="D127" i="231"/>
  <c r="I129" i="232"/>
  <c r="H129" i="232"/>
  <c r="G129" i="232"/>
  <c r="F129" i="232"/>
  <c r="E129" i="232"/>
  <c r="D129" i="232"/>
  <c r="I128" i="232"/>
  <c r="H128" i="232"/>
  <c r="G128" i="232"/>
  <c r="F128" i="232"/>
  <c r="E128" i="232"/>
  <c r="D128" i="232"/>
  <c r="I127" i="232"/>
  <c r="H127" i="232"/>
  <c r="G127" i="232"/>
  <c r="F127" i="232"/>
  <c r="E127" i="232"/>
  <c r="D127" i="232"/>
  <c r="I129" i="233"/>
  <c r="H129" i="233"/>
  <c r="G129" i="233"/>
  <c r="F129" i="233"/>
  <c r="E129" i="233"/>
  <c r="D129" i="233"/>
  <c r="I128" i="233"/>
  <c r="H128" i="233"/>
  <c r="G128" i="233"/>
  <c r="F128" i="233"/>
  <c r="E128" i="233"/>
  <c r="D128" i="233"/>
  <c r="I127" i="233"/>
  <c r="H127" i="233"/>
  <c r="G127" i="233"/>
  <c r="F127" i="233"/>
  <c r="E127" i="233"/>
  <c r="D127" i="233"/>
  <c r="I129" i="234"/>
  <c r="H129" i="234"/>
  <c r="G129" i="234"/>
  <c r="F129" i="234"/>
  <c r="E129" i="234"/>
  <c r="D129" i="234"/>
  <c r="I128" i="234"/>
  <c r="H128" i="234"/>
  <c r="G128" i="234"/>
  <c r="F128" i="234"/>
  <c r="E128" i="234"/>
  <c r="D128" i="234"/>
  <c r="I127" i="234"/>
  <c r="H127" i="234"/>
  <c r="G127" i="234"/>
  <c r="F127" i="234"/>
  <c r="E127" i="234"/>
  <c r="D127" i="234"/>
  <c r="I129" i="235"/>
  <c r="H129" i="235"/>
  <c r="G129" i="235"/>
  <c r="F129" i="235"/>
  <c r="E129" i="235"/>
  <c r="D129" i="235"/>
  <c r="I128" i="235"/>
  <c r="H128" i="235"/>
  <c r="G128" i="235"/>
  <c r="F128" i="235"/>
  <c r="E128" i="235"/>
  <c r="D128" i="235"/>
  <c r="I127" i="235"/>
  <c r="H127" i="235"/>
  <c r="G127" i="235"/>
  <c r="F127" i="235"/>
  <c r="E127" i="235"/>
  <c r="D127" i="235"/>
  <c r="I129" i="236"/>
  <c r="H129" i="236"/>
  <c r="G129" i="236"/>
  <c r="F129" i="236"/>
  <c r="E129" i="236"/>
  <c r="D129" i="236"/>
  <c r="I128" i="236"/>
  <c r="H128" i="236"/>
  <c r="G128" i="236"/>
  <c r="F128" i="236"/>
  <c r="E128" i="236"/>
  <c r="D128" i="236"/>
  <c r="I127" i="236"/>
  <c r="H127" i="236"/>
  <c r="G127" i="236"/>
  <c r="F127" i="236"/>
  <c r="E127" i="236"/>
  <c r="D127" i="236"/>
  <c r="I129" i="237"/>
  <c r="H129" i="237"/>
  <c r="G129" i="237"/>
  <c r="F129" i="237"/>
  <c r="E129" i="237"/>
  <c r="D129" i="237"/>
  <c r="I128" i="237"/>
  <c r="H128" i="237"/>
  <c r="G128" i="237"/>
  <c r="F128" i="237"/>
  <c r="E128" i="237"/>
  <c r="D128" i="237"/>
  <c r="I127" i="237"/>
  <c r="H127" i="237"/>
  <c r="G127" i="237"/>
  <c r="F127" i="237"/>
  <c r="E127" i="237"/>
  <c r="D127" i="237"/>
  <c r="I129" i="239"/>
  <c r="H129" i="239"/>
  <c r="G129" i="239"/>
  <c r="F129" i="239"/>
  <c r="E129" i="239"/>
  <c r="D129" i="239"/>
  <c r="I128" i="239"/>
  <c r="H128" i="239"/>
  <c r="G128" i="239"/>
  <c r="F128" i="239"/>
  <c r="E128" i="239"/>
  <c r="D128" i="239"/>
  <c r="I127" i="239"/>
  <c r="H127" i="239"/>
  <c r="G127" i="239"/>
  <c r="F127" i="239"/>
  <c r="E127" i="239"/>
  <c r="D127" i="239"/>
  <c r="I129" i="240"/>
  <c r="H129" i="240"/>
  <c r="G129" i="240"/>
  <c r="F129" i="240"/>
  <c r="E129" i="240"/>
  <c r="D129" i="240"/>
  <c r="I128" i="240"/>
  <c r="H128" i="240"/>
  <c r="G128" i="240"/>
  <c r="F128" i="240"/>
  <c r="E128" i="240"/>
  <c r="D128" i="240"/>
  <c r="I127" i="240"/>
  <c r="H127" i="240"/>
  <c r="G127" i="240"/>
  <c r="F127" i="240"/>
  <c r="E127" i="240"/>
  <c r="D127" i="240"/>
  <c r="I129" i="241"/>
  <c r="H129" i="241"/>
  <c r="G129" i="241"/>
  <c r="F129" i="241"/>
  <c r="E129" i="241"/>
  <c r="D129" i="241"/>
  <c r="I128" i="241"/>
  <c r="H128" i="241"/>
  <c r="G128" i="241"/>
  <c r="F128" i="241"/>
  <c r="E128" i="241"/>
  <c r="D128" i="241"/>
  <c r="I127" i="241"/>
  <c r="H127" i="241"/>
  <c r="G127" i="241"/>
  <c r="F127" i="241"/>
  <c r="E127" i="241"/>
  <c r="D127" i="241"/>
  <c r="I129" i="242"/>
  <c r="H129" i="242"/>
  <c r="G129" i="242"/>
  <c r="F129" i="242"/>
  <c r="E129" i="242"/>
  <c r="D129" i="242"/>
  <c r="I128" i="242"/>
  <c r="H128" i="242"/>
  <c r="G128" i="242"/>
  <c r="F128" i="242"/>
  <c r="E128" i="242"/>
  <c r="D128" i="242"/>
  <c r="I127" i="242"/>
  <c r="H127" i="242"/>
  <c r="G127" i="242"/>
  <c r="F127" i="242"/>
  <c r="E127" i="242"/>
  <c r="D127" i="242"/>
  <c r="I129" i="243"/>
  <c r="H129" i="243"/>
  <c r="G129" i="243"/>
  <c r="F129" i="243"/>
  <c r="E129" i="243"/>
  <c r="D129" i="243"/>
  <c r="I128" i="243"/>
  <c r="H128" i="243"/>
  <c r="G128" i="243"/>
  <c r="F128" i="243"/>
  <c r="E128" i="243"/>
  <c r="D128" i="243"/>
  <c r="I127" i="243"/>
  <c r="H127" i="243"/>
  <c r="G127" i="243"/>
  <c r="F127" i="243"/>
  <c r="E127" i="243"/>
  <c r="D127" i="243"/>
  <c r="I129" i="244"/>
  <c r="H129" i="244"/>
  <c r="G129" i="244"/>
  <c r="F129" i="244"/>
  <c r="E129" i="244"/>
  <c r="D129" i="244"/>
  <c r="I128" i="244"/>
  <c r="H128" i="244"/>
  <c r="G128" i="244"/>
  <c r="F128" i="244"/>
  <c r="E128" i="244"/>
  <c r="D128" i="244"/>
  <c r="I127" i="244"/>
  <c r="H127" i="244"/>
  <c r="G127" i="244"/>
  <c r="F127" i="244"/>
  <c r="E127" i="244"/>
  <c r="D127" i="244"/>
  <c r="I129" i="245"/>
  <c r="H129" i="245"/>
  <c r="G129" i="245"/>
  <c r="F129" i="245"/>
  <c r="E129" i="245"/>
  <c r="D129" i="245"/>
  <c r="I128" i="245"/>
  <c r="H128" i="245"/>
  <c r="G128" i="245"/>
  <c r="F128" i="245"/>
  <c r="E128" i="245"/>
  <c r="D128" i="245"/>
  <c r="I127" i="245"/>
  <c r="H127" i="245"/>
  <c r="G127" i="245"/>
  <c r="F127" i="245"/>
  <c r="E127" i="245"/>
  <c r="D127" i="245"/>
  <c r="I129" i="246"/>
  <c r="H129" i="246"/>
  <c r="G129" i="246"/>
  <c r="F129" i="246"/>
  <c r="E129" i="246"/>
  <c r="D129" i="246"/>
  <c r="I128" i="246"/>
  <c r="H128" i="246"/>
  <c r="G128" i="246"/>
  <c r="F128" i="246"/>
  <c r="E128" i="246"/>
  <c r="D128" i="246"/>
  <c r="I127" i="246"/>
  <c r="H127" i="246"/>
  <c r="G127" i="246"/>
  <c r="F127" i="246"/>
  <c r="E127" i="246"/>
  <c r="D127" i="246"/>
  <c r="I129" i="247"/>
  <c r="H129" i="247"/>
  <c r="G129" i="247"/>
  <c r="F129" i="247"/>
  <c r="E129" i="247"/>
  <c r="D129" i="247"/>
  <c r="I128" i="247"/>
  <c r="H128" i="247"/>
  <c r="G128" i="247"/>
  <c r="F128" i="247"/>
  <c r="E128" i="247"/>
  <c r="D128" i="247"/>
  <c r="I127" i="247"/>
  <c r="H127" i="247"/>
  <c r="G127" i="247"/>
  <c r="F127" i="247"/>
  <c r="E127" i="247"/>
  <c r="D127" i="247"/>
  <c r="I129" i="248"/>
  <c r="H129" i="248"/>
  <c r="G129" i="248"/>
  <c r="F129" i="248"/>
  <c r="E129" i="248"/>
  <c r="D129" i="248"/>
  <c r="I128" i="248"/>
  <c r="H128" i="248"/>
  <c r="G128" i="248"/>
  <c r="F128" i="248"/>
  <c r="E128" i="248"/>
  <c r="D128" i="248"/>
  <c r="I127" i="248"/>
  <c r="H127" i="248"/>
  <c r="G127" i="248"/>
  <c r="F127" i="248"/>
  <c r="E127" i="248"/>
  <c r="D127" i="248"/>
  <c r="I129" i="249"/>
  <c r="H129" i="249"/>
  <c r="G129" i="249"/>
  <c r="F129" i="249"/>
  <c r="E129" i="249"/>
  <c r="D129" i="249"/>
  <c r="I128" i="249"/>
  <c r="H128" i="249"/>
  <c r="G128" i="249"/>
  <c r="F128" i="249"/>
  <c r="E128" i="249"/>
  <c r="D128" i="249"/>
  <c r="I127" i="249"/>
  <c r="H127" i="249"/>
  <c r="G127" i="249"/>
  <c r="F127" i="249"/>
  <c r="E127" i="249"/>
  <c r="D127" i="249"/>
  <c r="I129" i="250"/>
  <c r="H129" i="250"/>
  <c r="G129" i="250"/>
  <c r="F129" i="250"/>
  <c r="E129" i="250"/>
  <c r="D129" i="250"/>
  <c r="I128" i="250"/>
  <c r="H128" i="250"/>
  <c r="G128" i="250"/>
  <c r="F128" i="250"/>
  <c r="E128" i="250"/>
  <c r="D128" i="250"/>
  <c r="I127" i="250"/>
  <c r="H127" i="250"/>
  <c r="G127" i="250"/>
  <c r="F127" i="250"/>
  <c r="E127" i="250"/>
  <c r="D127" i="250"/>
  <c r="I129" i="251"/>
  <c r="H129" i="251"/>
  <c r="G129" i="251"/>
  <c r="F129" i="251"/>
  <c r="E129" i="251"/>
  <c r="D129" i="251"/>
  <c r="I128" i="251"/>
  <c r="H128" i="251"/>
  <c r="G128" i="251"/>
  <c r="F128" i="251"/>
  <c r="E128" i="251"/>
  <c r="D128" i="251"/>
  <c r="I127" i="251"/>
  <c r="H127" i="251"/>
  <c r="G127" i="251"/>
  <c r="F127" i="251"/>
  <c r="E127" i="251"/>
  <c r="D127" i="251"/>
  <c r="I129" i="252"/>
  <c r="H129" i="252"/>
  <c r="G129" i="252"/>
  <c r="F129" i="252"/>
  <c r="E129" i="252"/>
  <c r="D129" i="252"/>
  <c r="I128" i="252"/>
  <c r="H128" i="252"/>
  <c r="G128" i="252"/>
  <c r="F128" i="252"/>
  <c r="E128" i="252"/>
  <c r="D128" i="252"/>
  <c r="I127" i="252"/>
  <c r="H127" i="252"/>
  <c r="G127" i="252"/>
  <c r="F127" i="252"/>
  <c r="E127" i="252"/>
  <c r="D127" i="252"/>
  <c r="I129" i="253"/>
  <c r="H129" i="253"/>
  <c r="G129" i="253"/>
  <c r="F129" i="253"/>
  <c r="E129" i="253"/>
  <c r="D129" i="253"/>
  <c r="I128" i="253"/>
  <c r="H128" i="253"/>
  <c r="G128" i="253"/>
  <c r="F128" i="253"/>
  <c r="E128" i="253"/>
  <c r="D128" i="253"/>
  <c r="I127" i="253"/>
  <c r="H127" i="253"/>
  <c r="G127" i="253"/>
  <c r="F127" i="253"/>
  <c r="E127" i="253"/>
  <c r="D127" i="253"/>
  <c r="I129" i="254"/>
  <c r="H129" i="254"/>
  <c r="G129" i="254"/>
  <c r="F129" i="254"/>
  <c r="E129" i="254"/>
  <c r="D129" i="254"/>
  <c r="I128" i="254"/>
  <c r="H128" i="254"/>
  <c r="G128" i="254"/>
  <c r="F128" i="254"/>
  <c r="E128" i="254"/>
  <c r="D128" i="254"/>
  <c r="I127" i="254"/>
  <c r="H127" i="254"/>
  <c r="G127" i="254"/>
  <c r="F127" i="254"/>
  <c r="E127" i="254"/>
  <c r="D127" i="254"/>
  <c r="I129" i="255"/>
  <c r="H129" i="255"/>
  <c r="G129" i="255"/>
  <c r="F129" i="255"/>
  <c r="E129" i="255"/>
  <c r="D129" i="255"/>
  <c r="I128" i="255"/>
  <c r="H128" i="255"/>
  <c r="G128" i="255"/>
  <c r="F128" i="255"/>
  <c r="E128" i="255"/>
  <c r="D128" i="255"/>
  <c r="I127" i="255"/>
  <c r="H127" i="255"/>
  <c r="G127" i="255"/>
  <c r="F127" i="255"/>
  <c r="E127" i="255"/>
  <c r="D127" i="255"/>
  <c r="I129" i="256"/>
  <c r="H129" i="256"/>
  <c r="G129" i="256"/>
  <c r="F129" i="256"/>
  <c r="E129" i="256"/>
  <c r="D129" i="256"/>
  <c r="I128" i="256"/>
  <c r="H128" i="256"/>
  <c r="G128" i="256"/>
  <c r="F128" i="256"/>
  <c r="E128" i="256"/>
  <c r="D128" i="256"/>
  <c r="I127" i="256"/>
  <c r="H127" i="256"/>
  <c r="G127" i="256"/>
  <c r="F127" i="256"/>
  <c r="E127" i="256"/>
  <c r="D127" i="256"/>
  <c r="I129" i="257"/>
  <c r="H129" i="257"/>
  <c r="G129" i="257"/>
  <c r="F129" i="257"/>
  <c r="E129" i="257"/>
  <c r="D129" i="257"/>
  <c r="I128" i="257"/>
  <c r="H128" i="257"/>
  <c r="G128" i="257"/>
  <c r="F128" i="257"/>
  <c r="E128" i="257"/>
  <c r="D128" i="257"/>
  <c r="I127" i="257"/>
  <c r="H127" i="257"/>
  <c r="G127" i="257"/>
  <c r="F127" i="257"/>
  <c r="E127" i="257"/>
  <c r="D127" i="257"/>
  <c r="I129" i="258"/>
  <c r="H129" i="258"/>
  <c r="G129" i="258"/>
  <c r="F129" i="258"/>
  <c r="E129" i="258"/>
  <c r="D129" i="258"/>
  <c r="I128" i="258"/>
  <c r="H128" i="258"/>
  <c r="G128" i="258"/>
  <c r="F128" i="258"/>
  <c r="E128" i="258"/>
  <c r="D128" i="258"/>
  <c r="I127" i="258"/>
  <c r="H127" i="258"/>
  <c r="G127" i="258"/>
  <c r="F127" i="258"/>
  <c r="E127" i="258"/>
  <c r="D127" i="258"/>
  <c r="I129" i="259"/>
  <c r="H129" i="259"/>
  <c r="G129" i="259"/>
  <c r="F129" i="259"/>
  <c r="E129" i="259"/>
  <c r="D129" i="259"/>
  <c r="I128" i="259"/>
  <c r="H128" i="259"/>
  <c r="G128" i="259"/>
  <c r="F128" i="259"/>
  <c r="E128" i="259"/>
  <c r="D128" i="259"/>
  <c r="I127" i="259"/>
  <c r="H127" i="259"/>
  <c r="G127" i="259"/>
  <c r="F127" i="259"/>
  <c r="E127" i="259"/>
  <c r="D127" i="259"/>
  <c r="I129" i="260"/>
  <c r="H129" i="260"/>
  <c r="G129" i="260"/>
  <c r="F129" i="260"/>
  <c r="E129" i="260"/>
  <c r="D129" i="260"/>
  <c r="I128" i="260"/>
  <c r="H128" i="260"/>
  <c r="G128" i="260"/>
  <c r="F128" i="260"/>
  <c r="E128" i="260"/>
  <c r="D128" i="260"/>
  <c r="I127" i="260"/>
  <c r="H127" i="260"/>
  <c r="G127" i="260"/>
  <c r="F127" i="260"/>
  <c r="E127" i="260"/>
  <c r="D127" i="260"/>
  <c r="I129" i="261"/>
  <c r="H129" i="261"/>
  <c r="G129" i="261"/>
  <c r="F129" i="261"/>
  <c r="E129" i="261"/>
  <c r="D129" i="261"/>
  <c r="I128" i="261"/>
  <c r="H128" i="261"/>
  <c r="G128" i="261"/>
  <c r="F128" i="261"/>
  <c r="E128" i="261"/>
  <c r="D128" i="261"/>
  <c r="I127" i="261"/>
  <c r="H127" i="261"/>
  <c r="G127" i="261"/>
  <c r="F127" i="261"/>
  <c r="E127" i="261"/>
  <c r="D127" i="261"/>
  <c r="I129" i="262"/>
  <c r="H129" i="262"/>
  <c r="G129" i="262"/>
  <c r="F129" i="262"/>
  <c r="E129" i="262"/>
  <c r="D129" i="262"/>
  <c r="I128" i="262"/>
  <c r="H128" i="262"/>
  <c r="G128" i="262"/>
  <c r="F128" i="262"/>
  <c r="E128" i="262"/>
  <c r="D128" i="262"/>
  <c r="I127" i="262"/>
  <c r="H127" i="262"/>
  <c r="G127" i="262"/>
  <c r="F127" i="262"/>
  <c r="E127" i="262"/>
  <c r="D127" i="262"/>
  <c r="I129" i="263"/>
  <c r="H129" i="263"/>
  <c r="G129" i="263"/>
  <c r="F129" i="263"/>
  <c r="E129" i="263"/>
  <c r="D129" i="263"/>
  <c r="I128" i="263"/>
  <c r="H128" i="263"/>
  <c r="G128" i="263"/>
  <c r="F128" i="263"/>
  <c r="E128" i="263"/>
  <c r="D128" i="263"/>
  <c r="I127" i="263"/>
  <c r="H127" i="263"/>
  <c r="G127" i="263"/>
  <c r="F127" i="263"/>
  <c r="E127" i="263"/>
  <c r="D127" i="263"/>
  <c r="I129" i="264"/>
  <c r="H129" i="264"/>
  <c r="G129" i="264"/>
  <c r="F129" i="264"/>
  <c r="E129" i="264"/>
  <c r="D129" i="264"/>
  <c r="I128" i="264"/>
  <c r="H128" i="264"/>
  <c r="G128" i="264"/>
  <c r="F128" i="264"/>
  <c r="E128" i="264"/>
  <c r="D128" i="264"/>
  <c r="I127" i="264"/>
  <c r="H127" i="264"/>
  <c r="G127" i="264"/>
  <c r="F127" i="264"/>
  <c r="E127" i="264"/>
  <c r="D127" i="264"/>
  <c r="I129" i="265"/>
  <c r="H129" i="265"/>
  <c r="G129" i="265"/>
  <c r="F129" i="265"/>
  <c r="E129" i="265"/>
  <c r="D129" i="265"/>
  <c r="I128" i="265"/>
  <c r="H128" i="265"/>
  <c r="G128" i="265"/>
  <c r="F128" i="265"/>
  <c r="E128" i="265"/>
  <c r="D128" i="265"/>
  <c r="I127" i="265"/>
  <c r="H127" i="265"/>
  <c r="G127" i="265"/>
  <c r="F127" i="265"/>
  <c r="E127" i="265"/>
  <c r="D127" i="265"/>
  <c r="I129" i="266"/>
  <c r="H129" i="266"/>
  <c r="G129" i="266"/>
  <c r="F129" i="266"/>
  <c r="E129" i="266"/>
  <c r="D129" i="266"/>
  <c r="I128" i="266"/>
  <c r="H128" i="266"/>
  <c r="G128" i="266"/>
  <c r="F128" i="266"/>
  <c r="E128" i="266"/>
  <c r="D128" i="266"/>
  <c r="I127" i="266"/>
  <c r="H127" i="266"/>
  <c r="G127" i="266"/>
  <c r="F127" i="266"/>
  <c r="E127" i="266"/>
  <c r="D127" i="266"/>
  <c r="I129" i="267"/>
  <c r="H129" i="267"/>
  <c r="G129" i="267"/>
  <c r="F129" i="267"/>
  <c r="E129" i="267"/>
  <c r="D129" i="267"/>
  <c r="I128" i="267"/>
  <c r="H128" i="267"/>
  <c r="G128" i="267"/>
  <c r="F128" i="267"/>
  <c r="E128" i="267"/>
  <c r="D128" i="267"/>
  <c r="I127" i="267"/>
  <c r="H127" i="267"/>
  <c r="G127" i="267"/>
  <c r="F127" i="267"/>
  <c r="E127" i="267"/>
  <c r="D127" i="267"/>
  <c r="I129" i="268"/>
  <c r="H129" i="268"/>
  <c r="G129" i="268"/>
  <c r="F129" i="268"/>
  <c r="E129" i="268"/>
  <c r="D129" i="268"/>
  <c r="I128" i="268"/>
  <c r="H128" i="268"/>
  <c r="G128" i="268"/>
  <c r="F128" i="268"/>
  <c r="E128" i="268"/>
  <c r="D128" i="268"/>
  <c r="I127" i="268"/>
  <c r="H127" i="268"/>
  <c r="G127" i="268"/>
  <c r="F127" i="268"/>
  <c r="E127" i="268"/>
  <c r="D127" i="268"/>
  <c r="I129" i="269"/>
  <c r="H129" i="269"/>
  <c r="G129" i="269"/>
  <c r="F129" i="269"/>
  <c r="E129" i="269"/>
  <c r="D129" i="269"/>
  <c r="I128" i="269"/>
  <c r="H128" i="269"/>
  <c r="G128" i="269"/>
  <c r="F128" i="269"/>
  <c r="E128" i="269"/>
  <c r="D128" i="269"/>
  <c r="I127" i="269"/>
  <c r="H127" i="269"/>
  <c r="G127" i="269"/>
  <c r="F127" i="269"/>
  <c r="E127" i="269"/>
  <c r="D127" i="269"/>
  <c r="I129" i="270"/>
  <c r="H129" i="270"/>
  <c r="G129" i="270"/>
  <c r="F129" i="270"/>
  <c r="E129" i="270"/>
  <c r="D129" i="270"/>
  <c r="I128" i="270"/>
  <c r="H128" i="270"/>
  <c r="G128" i="270"/>
  <c r="F128" i="270"/>
  <c r="E128" i="270"/>
  <c r="D128" i="270"/>
  <c r="I127" i="270"/>
  <c r="H127" i="270"/>
  <c r="G127" i="270"/>
  <c r="F127" i="270"/>
  <c r="E127" i="270"/>
  <c r="D127" i="270"/>
  <c r="I129" i="271"/>
  <c r="H129" i="271"/>
  <c r="G129" i="271"/>
  <c r="F129" i="271"/>
  <c r="E129" i="271"/>
  <c r="D129" i="271"/>
  <c r="I128" i="271"/>
  <c r="H128" i="271"/>
  <c r="G128" i="271"/>
  <c r="F128" i="271"/>
  <c r="E128" i="271"/>
  <c r="D128" i="271"/>
  <c r="I127" i="271"/>
  <c r="H127" i="271"/>
  <c r="G127" i="271"/>
  <c r="F127" i="271"/>
  <c r="E127" i="271"/>
  <c r="D127" i="271"/>
  <c r="I129" i="272"/>
  <c r="H129" i="272"/>
  <c r="G129" i="272"/>
  <c r="F129" i="272"/>
  <c r="E129" i="272"/>
  <c r="D129" i="272"/>
  <c r="I128" i="272"/>
  <c r="H128" i="272"/>
  <c r="G128" i="272"/>
  <c r="F128" i="272"/>
  <c r="E128" i="272"/>
  <c r="D128" i="272"/>
  <c r="I127" i="272"/>
  <c r="H127" i="272"/>
  <c r="G127" i="272"/>
  <c r="F127" i="272"/>
  <c r="E127" i="272"/>
  <c r="D127" i="272"/>
  <c r="I129" i="274"/>
  <c r="H129" i="274"/>
  <c r="G129" i="274"/>
  <c r="F129" i="274"/>
  <c r="E129" i="274"/>
  <c r="D129" i="274"/>
  <c r="I128" i="274"/>
  <c r="H128" i="274"/>
  <c r="G128" i="274"/>
  <c r="F128" i="274"/>
  <c r="E128" i="274"/>
  <c r="D128" i="274"/>
  <c r="I127" i="274"/>
  <c r="H127" i="274"/>
  <c r="G127" i="274"/>
  <c r="F127" i="274"/>
  <c r="E127" i="274"/>
  <c r="D127" i="274"/>
  <c r="I129" i="275"/>
  <c r="H129" i="275"/>
  <c r="G129" i="275"/>
  <c r="F129" i="275"/>
  <c r="E129" i="275"/>
  <c r="D129" i="275"/>
  <c r="I128" i="275"/>
  <c r="H128" i="275"/>
  <c r="G128" i="275"/>
  <c r="F128" i="275"/>
  <c r="E128" i="275"/>
  <c r="D128" i="275"/>
  <c r="I127" i="275"/>
  <c r="H127" i="275"/>
  <c r="G127" i="275"/>
  <c r="F127" i="275"/>
  <c r="E127" i="275"/>
  <c r="D127" i="275"/>
  <c r="I129" i="276"/>
  <c r="H129" i="276"/>
  <c r="G129" i="276"/>
  <c r="F129" i="276"/>
  <c r="E129" i="276"/>
  <c r="D129" i="276"/>
  <c r="I128" i="276"/>
  <c r="H128" i="276"/>
  <c r="G128" i="276"/>
  <c r="F128" i="276"/>
  <c r="E128" i="276"/>
  <c r="D128" i="276"/>
  <c r="I127" i="276"/>
  <c r="H127" i="276"/>
  <c r="G127" i="276"/>
  <c r="F127" i="276"/>
  <c r="E127" i="276"/>
  <c r="D127" i="276"/>
  <c r="I129" i="277"/>
  <c r="H129" i="277"/>
  <c r="G129" i="277"/>
  <c r="F129" i="277"/>
  <c r="E129" i="277"/>
  <c r="D129" i="277"/>
  <c r="I128" i="277"/>
  <c r="H128" i="277"/>
  <c r="G128" i="277"/>
  <c r="F128" i="277"/>
  <c r="E128" i="277"/>
  <c r="D128" i="277"/>
  <c r="I127" i="277"/>
  <c r="H127" i="277"/>
  <c r="G127" i="277"/>
  <c r="F127" i="277"/>
  <c r="E127" i="277"/>
  <c r="D127" i="277"/>
  <c r="I129" i="278"/>
  <c r="H129" i="278"/>
  <c r="G129" i="278"/>
  <c r="F129" i="278"/>
  <c r="E129" i="278"/>
  <c r="D129" i="278"/>
  <c r="I128" i="278"/>
  <c r="H128" i="278"/>
  <c r="G128" i="278"/>
  <c r="F128" i="278"/>
  <c r="E128" i="278"/>
  <c r="D128" i="278"/>
  <c r="I127" i="278"/>
  <c r="H127" i="278"/>
  <c r="G127" i="278"/>
  <c r="F127" i="278"/>
  <c r="E127" i="278"/>
  <c r="D127" i="278"/>
  <c r="I129" i="279"/>
  <c r="H129" i="279"/>
  <c r="G129" i="279"/>
  <c r="F129" i="279"/>
  <c r="E129" i="279"/>
  <c r="D129" i="279"/>
  <c r="I128" i="279"/>
  <c r="H128" i="279"/>
  <c r="G128" i="279"/>
  <c r="F128" i="279"/>
  <c r="E128" i="279"/>
  <c r="D128" i="279"/>
  <c r="I127" i="279"/>
  <c r="H127" i="279"/>
  <c r="G127" i="279"/>
  <c r="F127" i="279"/>
  <c r="E127" i="279"/>
  <c r="D127" i="279"/>
  <c r="I129" i="280"/>
  <c r="H129" i="280"/>
  <c r="G129" i="280"/>
  <c r="F129" i="280"/>
  <c r="E129" i="280"/>
  <c r="D129" i="280"/>
  <c r="I128" i="280"/>
  <c r="H128" i="280"/>
  <c r="G128" i="280"/>
  <c r="F128" i="280"/>
  <c r="E128" i="280"/>
  <c r="D128" i="280"/>
  <c r="I127" i="280"/>
  <c r="H127" i="280"/>
  <c r="G127" i="280"/>
  <c r="F127" i="280"/>
  <c r="E127" i="280"/>
  <c r="D127" i="280"/>
  <c r="I129" i="281"/>
  <c r="H129" i="281"/>
  <c r="G129" i="281"/>
  <c r="F129" i="281"/>
  <c r="E129" i="281"/>
  <c r="D129" i="281"/>
  <c r="I128" i="281"/>
  <c r="H128" i="281"/>
  <c r="G128" i="281"/>
  <c r="F128" i="281"/>
  <c r="E128" i="281"/>
  <c r="D128" i="281"/>
  <c r="I127" i="281"/>
  <c r="H127" i="281"/>
  <c r="G127" i="281"/>
  <c r="F127" i="281"/>
  <c r="E127" i="281"/>
  <c r="D127" i="281"/>
  <c r="I129" i="282"/>
  <c r="H129" i="282"/>
  <c r="G129" i="282"/>
  <c r="F129" i="282"/>
  <c r="E129" i="282"/>
  <c r="D129" i="282"/>
  <c r="I128" i="282"/>
  <c r="H128" i="282"/>
  <c r="G128" i="282"/>
  <c r="F128" i="282"/>
  <c r="E128" i="282"/>
  <c r="D128" i="282"/>
  <c r="I127" i="282"/>
  <c r="H127" i="282"/>
  <c r="G127" i="282"/>
  <c r="F127" i="282"/>
  <c r="E127" i="282"/>
  <c r="D127" i="282"/>
  <c r="I129" i="283"/>
  <c r="H129" i="283"/>
  <c r="G129" i="283"/>
  <c r="F129" i="283"/>
  <c r="E129" i="283"/>
  <c r="D129" i="283"/>
  <c r="I128" i="283"/>
  <c r="H128" i="283"/>
  <c r="G128" i="283"/>
  <c r="F128" i="283"/>
  <c r="E128" i="283"/>
  <c r="D128" i="283"/>
  <c r="I127" i="283"/>
  <c r="H127" i="283"/>
  <c r="G127" i="283"/>
  <c r="F127" i="283"/>
  <c r="E127" i="283"/>
  <c r="D127" i="283"/>
  <c r="I129" i="284"/>
  <c r="H129" i="284"/>
  <c r="G129" i="284"/>
  <c r="F129" i="284"/>
  <c r="E129" i="284"/>
  <c r="D129" i="284"/>
  <c r="I128" i="284"/>
  <c r="H128" i="284"/>
  <c r="G128" i="284"/>
  <c r="F128" i="284"/>
  <c r="E128" i="284"/>
  <c r="D128" i="284"/>
  <c r="I127" i="284"/>
  <c r="H127" i="284"/>
  <c r="G127" i="284"/>
  <c r="F127" i="284"/>
  <c r="E127" i="284"/>
  <c r="D127" i="284"/>
  <c r="I129" i="285"/>
  <c r="H129" i="285"/>
  <c r="G129" i="285"/>
  <c r="F129" i="285"/>
  <c r="E129" i="285"/>
  <c r="D129" i="285"/>
  <c r="I128" i="285"/>
  <c r="H128" i="285"/>
  <c r="G128" i="285"/>
  <c r="F128" i="285"/>
  <c r="E128" i="285"/>
  <c r="D128" i="285"/>
  <c r="I127" i="285"/>
  <c r="H127" i="285"/>
  <c r="G127" i="285"/>
  <c r="F127" i="285"/>
  <c r="E127" i="285"/>
  <c r="D127" i="285"/>
  <c r="I129" i="286"/>
  <c r="H129" i="286"/>
  <c r="G129" i="286"/>
  <c r="F129" i="286"/>
  <c r="E129" i="286"/>
  <c r="D129" i="286"/>
  <c r="I128" i="286"/>
  <c r="H128" i="286"/>
  <c r="G128" i="286"/>
  <c r="F128" i="286"/>
  <c r="E128" i="286"/>
  <c r="D128" i="286"/>
  <c r="I127" i="286"/>
  <c r="H127" i="286"/>
  <c r="G127" i="286"/>
  <c r="F127" i="286"/>
  <c r="E127" i="286"/>
  <c r="D127" i="286"/>
  <c r="I129" i="287"/>
  <c r="H129" i="287"/>
  <c r="G129" i="287"/>
  <c r="F129" i="287"/>
  <c r="E129" i="287"/>
  <c r="D129" i="287"/>
  <c r="I128" i="287"/>
  <c r="H128" i="287"/>
  <c r="G128" i="287"/>
  <c r="F128" i="287"/>
  <c r="E128" i="287"/>
  <c r="D128" i="287"/>
  <c r="I127" i="287"/>
  <c r="H127" i="287"/>
  <c r="G127" i="287"/>
  <c r="F127" i="287"/>
  <c r="E127" i="287"/>
  <c r="D127" i="287"/>
  <c r="I129" i="288"/>
  <c r="H129" i="288"/>
  <c r="G129" i="288"/>
  <c r="F129" i="288"/>
  <c r="E129" i="288"/>
  <c r="D129" i="288"/>
  <c r="I128" i="288"/>
  <c r="H128" i="288"/>
  <c r="G128" i="288"/>
  <c r="F128" i="288"/>
  <c r="E128" i="288"/>
  <c r="D128" i="288"/>
  <c r="I127" i="288"/>
  <c r="H127" i="288"/>
  <c r="G127" i="288"/>
  <c r="F127" i="288"/>
  <c r="E127" i="288"/>
  <c r="D127" i="288"/>
  <c r="I129" i="289"/>
  <c r="H129" i="289"/>
  <c r="G129" i="289"/>
  <c r="F129" i="289"/>
  <c r="E129" i="289"/>
  <c r="D129" i="289"/>
  <c r="I128" i="289"/>
  <c r="H128" i="289"/>
  <c r="G128" i="289"/>
  <c r="F128" i="289"/>
  <c r="E128" i="289"/>
  <c r="D128" i="289"/>
  <c r="I127" i="289"/>
  <c r="H127" i="289"/>
  <c r="G127" i="289"/>
  <c r="F127" i="289"/>
  <c r="E127" i="289"/>
  <c r="D127" i="289"/>
  <c r="I129" i="290"/>
  <c r="H129" i="290"/>
  <c r="G129" i="290"/>
  <c r="F129" i="290"/>
  <c r="E129" i="290"/>
  <c r="D129" i="290"/>
  <c r="I128" i="290"/>
  <c r="H128" i="290"/>
  <c r="G128" i="290"/>
  <c r="F128" i="290"/>
  <c r="E128" i="290"/>
  <c r="D128" i="290"/>
  <c r="I127" i="290"/>
  <c r="H127" i="290"/>
  <c r="G127" i="290"/>
  <c r="F127" i="290"/>
  <c r="E127" i="290"/>
  <c r="D127" i="290"/>
  <c r="I129" i="291"/>
  <c r="H129" i="291"/>
  <c r="G129" i="291"/>
  <c r="F129" i="291"/>
  <c r="E129" i="291"/>
  <c r="D129" i="291"/>
  <c r="I128" i="291"/>
  <c r="H128" i="291"/>
  <c r="G128" i="291"/>
  <c r="F128" i="291"/>
  <c r="E128" i="291"/>
  <c r="D128" i="291"/>
  <c r="I127" i="291"/>
  <c r="H127" i="291"/>
  <c r="G127" i="291"/>
  <c r="F127" i="291"/>
  <c r="E127" i="291"/>
  <c r="D127" i="291"/>
  <c r="I129" i="292"/>
  <c r="H129" i="292"/>
  <c r="G129" i="292"/>
  <c r="F129" i="292"/>
  <c r="E129" i="292"/>
  <c r="D129" i="292"/>
  <c r="I128" i="292"/>
  <c r="H128" i="292"/>
  <c r="G128" i="292"/>
  <c r="F128" i="292"/>
  <c r="E128" i="292"/>
  <c r="D128" i="292"/>
  <c r="I127" i="292"/>
  <c r="H127" i="292"/>
  <c r="G127" i="292"/>
  <c r="F127" i="292"/>
  <c r="E127" i="292"/>
  <c r="D127" i="292"/>
  <c r="I129" i="293"/>
  <c r="H129" i="293"/>
  <c r="G129" i="293"/>
  <c r="F129" i="293"/>
  <c r="E129" i="293"/>
  <c r="D129" i="293"/>
  <c r="I128" i="293"/>
  <c r="H128" i="293"/>
  <c r="G128" i="293"/>
  <c r="F128" i="293"/>
  <c r="E128" i="293"/>
  <c r="D128" i="293"/>
  <c r="I127" i="293"/>
  <c r="H127" i="293"/>
  <c r="G127" i="293"/>
  <c r="F127" i="293"/>
  <c r="E127" i="293"/>
  <c r="D127" i="293"/>
  <c r="I129" i="294"/>
  <c r="H129" i="294"/>
  <c r="G129" i="294"/>
  <c r="F129" i="294"/>
  <c r="E129" i="294"/>
  <c r="D129" i="294"/>
  <c r="I128" i="294"/>
  <c r="H128" i="294"/>
  <c r="G128" i="294"/>
  <c r="F128" i="294"/>
  <c r="E128" i="294"/>
  <c r="D128" i="294"/>
  <c r="I127" i="294"/>
  <c r="H127" i="294"/>
  <c r="G127" i="294"/>
  <c r="F127" i="294"/>
  <c r="E127" i="294"/>
  <c r="D127" i="294"/>
  <c r="I129" i="295"/>
  <c r="H129" i="295"/>
  <c r="G129" i="295"/>
  <c r="F129" i="295"/>
  <c r="E129" i="295"/>
  <c r="D129" i="295"/>
  <c r="I128" i="295"/>
  <c r="H128" i="295"/>
  <c r="G128" i="295"/>
  <c r="F128" i="295"/>
  <c r="E128" i="295"/>
  <c r="D128" i="295"/>
  <c r="I127" i="295"/>
  <c r="H127" i="295"/>
  <c r="G127" i="295"/>
  <c r="F127" i="295"/>
  <c r="E127" i="295"/>
  <c r="D127" i="295"/>
  <c r="I129" i="296"/>
  <c r="H129" i="296"/>
  <c r="G129" i="296"/>
  <c r="F129" i="296"/>
  <c r="E129" i="296"/>
  <c r="D129" i="296"/>
  <c r="I128" i="296"/>
  <c r="H128" i="296"/>
  <c r="G128" i="296"/>
  <c r="F128" i="296"/>
  <c r="E128" i="296"/>
  <c r="D128" i="296"/>
  <c r="I127" i="296"/>
  <c r="H127" i="296"/>
  <c r="G127" i="296"/>
  <c r="F127" i="296"/>
  <c r="E127" i="296"/>
  <c r="D127" i="296"/>
  <c r="I129" i="297"/>
  <c r="H129" i="297"/>
  <c r="G129" i="297"/>
  <c r="F129" i="297"/>
  <c r="E129" i="297"/>
  <c r="D129" i="297"/>
  <c r="I128" i="297"/>
  <c r="H128" i="297"/>
  <c r="G128" i="297"/>
  <c r="F128" i="297"/>
  <c r="E128" i="297"/>
  <c r="D128" i="297"/>
  <c r="I127" i="297"/>
  <c r="H127" i="297"/>
  <c r="G127" i="297"/>
  <c r="F127" i="297"/>
  <c r="E127" i="297"/>
  <c r="D127" i="297"/>
  <c r="I129" i="298"/>
  <c r="H129" i="298"/>
  <c r="G129" i="298"/>
  <c r="F129" i="298"/>
  <c r="E129" i="298"/>
  <c r="D129" i="298"/>
  <c r="I128" i="298"/>
  <c r="H128" i="298"/>
  <c r="G128" i="298"/>
  <c r="F128" i="298"/>
  <c r="E128" i="298"/>
  <c r="D128" i="298"/>
  <c r="I127" i="298"/>
  <c r="H127" i="298"/>
  <c r="G127" i="298"/>
  <c r="F127" i="298"/>
  <c r="E127" i="298"/>
  <c r="D127" i="298"/>
  <c r="I129" i="299"/>
  <c r="H129" i="299"/>
  <c r="G129" i="299"/>
  <c r="F129" i="299"/>
  <c r="E129" i="299"/>
  <c r="D129" i="299"/>
  <c r="I128" i="299"/>
  <c r="H128" i="299"/>
  <c r="G128" i="299"/>
  <c r="F128" i="299"/>
  <c r="E128" i="299"/>
  <c r="D128" i="299"/>
  <c r="I127" i="299"/>
  <c r="H127" i="299"/>
  <c r="G127" i="299"/>
  <c r="F127" i="299"/>
  <c r="E127" i="299"/>
  <c r="D127" i="299"/>
  <c r="I129" i="300"/>
  <c r="H129" i="300"/>
  <c r="G129" i="300"/>
  <c r="F129" i="300"/>
  <c r="E129" i="300"/>
  <c r="D129" i="300"/>
  <c r="I128" i="300"/>
  <c r="H128" i="300"/>
  <c r="G128" i="300"/>
  <c r="F128" i="300"/>
  <c r="E128" i="300"/>
  <c r="D128" i="300"/>
  <c r="I127" i="300"/>
  <c r="H127" i="300"/>
  <c r="G127" i="300"/>
  <c r="F127" i="300"/>
  <c r="E127" i="300"/>
  <c r="D127" i="300"/>
  <c r="I129" i="301"/>
  <c r="H129" i="301"/>
  <c r="G129" i="301"/>
  <c r="F129" i="301"/>
  <c r="E129" i="301"/>
  <c r="D129" i="301"/>
  <c r="I128" i="301"/>
  <c r="H128" i="301"/>
  <c r="G128" i="301"/>
  <c r="F128" i="301"/>
  <c r="E128" i="301"/>
  <c r="D128" i="301"/>
  <c r="I127" i="301"/>
  <c r="H127" i="301"/>
  <c r="G127" i="301"/>
  <c r="F127" i="301"/>
  <c r="E127" i="301"/>
  <c r="D127" i="301"/>
  <c r="I129" i="302"/>
  <c r="H129" i="302"/>
  <c r="G129" i="302"/>
  <c r="F129" i="302"/>
  <c r="E129" i="302"/>
  <c r="D129" i="302"/>
  <c r="I128" i="302"/>
  <c r="H128" i="302"/>
  <c r="G128" i="302"/>
  <c r="F128" i="302"/>
  <c r="E128" i="302"/>
  <c r="D128" i="302"/>
  <c r="I127" i="302"/>
  <c r="H127" i="302"/>
  <c r="G127" i="302"/>
  <c r="F127" i="302"/>
  <c r="E127" i="302"/>
  <c r="D127" i="302"/>
  <c r="I129" i="303"/>
  <c r="H129" i="303"/>
  <c r="G129" i="303"/>
  <c r="F129" i="303"/>
  <c r="E129" i="303"/>
  <c r="D129" i="303"/>
  <c r="I128" i="303"/>
  <c r="H128" i="303"/>
  <c r="G128" i="303"/>
  <c r="F128" i="303"/>
  <c r="E128" i="303"/>
  <c r="D128" i="303"/>
  <c r="I127" i="303"/>
  <c r="H127" i="303"/>
  <c r="G127" i="303"/>
  <c r="F127" i="303"/>
  <c r="E127" i="303"/>
  <c r="D127" i="303"/>
  <c r="I129" i="304"/>
  <c r="H129" i="304"/>
  <c r="G129" i="304"/>
  <c r="F129" i="304"/>
  <c r="E129" i="304"/>
  <c r="D129" i="304"/>
  <c r="I128" i="304"/>
  <c r="H128" i="304"/>
  <c r="G128" i="304"/>
  <c r="F128" i="304"/>
  <c r="E128" i="304"/>
  <c r="D128" i="304"/>
  <c r="I127" i="304"/>
  <c r="H127" i="304"/>
  <c r="G127" i="304"/>
  <c r="F127" i="304"/>
  <c r="E127" i="304"/>
  <c r="D127" i="304"/>
  <c r="I129" i="305"/>
  <c r="H129" i="305"/>
  <c r="G129" i="305"/>
  <c r="F129" i="305"/>
  <c r="E129" i="305"/>
  <c r="D129" i="305"/>
  <c r="I128" i="305"/>
  <c r="H128" i="305"/>
  <c r="G128" i="305"/>
  <c r="F128" i="305"/>
  <c r="E128" i="305"/>
  <c r="D128" i="305"/>
  <c r="I127" i="305"/>
  <c r="H127" i="305"/>
  <c r="G127" i="305"/>
  <c r="F127" i="305"/>
  <c r="E127" i="305"/>
  <c r="D127" i="305"/>
  <c r="I129" i="306"/>
  <c r="H129" i="306"/>
  <c r="G129" i="306"/>
  <c r="F129" i="306"/>
  <c r="E129" i="306"/>
  <c r="D129" i="306"/>
  <c r="I128" i="306"/>
  <c r="H128" i="306"/>
  <c r="G128" i="306"/>
  <c r="F128" i="306"/>
  <c r="E128" i="306"/>
  <c r="D128" i="306"/>
  <c r="I127" i="306"/>
  <c r="H127" i="306"/>
  <c r="G127" i="306"/>
  <c r="F127" i="306"/>
  <c r="E127" i="306"/>
  <c r="D127" i="306"/>
  <c r="I129" i="307"/>
  <c r="H129" i="307"/>
  <c r="G129" i="307"/>
  <c r="F129" i="307"/>
  <c r="E129" i="307"/>
  <c r="D129" i="307"/>
  <c r="I128" i="307"/>
  <c r="H128" i="307"/>
  <c r="G128" i="307"/>
  <c r="F128" i="307"/>
  <c r="E128" i="307"/>
  <c r="D128" i="307"/>
  <c r="I127" i="307"/>
  <c r="H127" i="307"/>
  <c r="G127" i="307"/>
  <c r="F127" i="307"/>
  <c r="E127" i="307"/>
  <c r="D127" i="307"/>
  <c r="I129" i="308"/>
  <c r="H129" i="308"/>
  <c r="G129" i="308"/>
  <c r="F129" i="308"/>
  <c r="E129" i="308"/>
  <c r="D129" i="308"/>
  <c r="I128" i="308"/>
  <c r="H128" i="308"/>
  <c r="G128" i="308"/>
  <c r="F128" i="308"/>
  <c r="E128" i="308"/>
  <c r="D128" i="308"/>
  <c r="I127" i="308"/>
  <c r="H127" i="308"/>
  <c r="G127" i="308"/>
  <c r="F127" i="308"/>
  <c r="E127" i="308"/>
  <c r="D127" i="308"/>
  <c r="I129" i="309"/>
  <c r="H129" i="309"/>
  <c r="G129" i="309"/>
  <c r="F129" i="309"/>
  <c r="E129" i="309"/>
  <c r="D129" i="309"/>
  <c r="I128" i="309"/>
  <c r="H128" i="309"/>
  <c r="G128" i="309"/>
  <c r="F128" i="309"/>
  <c r="E128" i="309"/>
  <c r="D128" i="309"/>
  <c r="I127" i="309"/>
  <c r="H127" i="309"/>
  <c r="G127" i="309"/>
  <c r="F127" i="309"/>
  <c r="E127" i="309"/>
  <c r="D127" i="309"/>
  <c r="I129" i="310"/>
  <c r="H129" i="310"/>
  <c r="G129" i="310"/>
  <c r="F129" i="310"/>
  <c r="E129" i="310"/>
  <c r="D129" i="310"/>
  <c r="I128" i="310"/>
  <c r="H128" i="310"/>
  <c r="G128" i="310"/>
  <c r="F128" i="310"/>
  <c r="E128" i="310"/>
  <c r="D128" i="310"/>
  <c r="I127" i="310"/>
  <c r="H127" i="310"/>
  <c r="G127" i="310"/>
  <c r="F127" i="310"/>
  <c r="E127" i="310"/>
  <c r="D127" i="310"/>
  <c r="I129" i="311"/>
  <c r="H129" i="311"/>
  <c r="G129" i="311"/>
  <c r="F129" i="311"/>
  <c r="E129" i="311"/>
  <c r="D129" i="311"/>
  <c r="I128" i="311"/>
  <c r="H128" i="311"/>
  <c r="G128" i="311"/>
  <c r="F128" i="311"/>
  <c r="E128" i="311"/>
  <c r="D128" i="311"/>
  <c r="I127" i="311"/>
  <c r="H127" i="311"/>
  <c r="G127" i="311"/>
  <c r="F127" i="311"/>
  <c r="E127" i="311"/>
  <c r="D127" i="311"/>
  <c r="I129" i="312"/>
  <c r="H129" i="312"/>
  <c r="G129" i="312"/>
  <c r="F129" i="312"/>
  <c r="E129" i="312"/>
  <c r="D129" i="312"/>
  <c r="I128" i="312"/>
  <c r="H128" i="312"/>
  <c r="G128" i="312"/>
  <c r="F128" i="312"/>
  <c r="E128" i="312"/>
  <c r="D128" i="312"/>
  <c r="I127" i="312"/>
  <c r="H127" i="312"/>
  <c r="G127" i="312"/>
  <c r="F127" i="312"/>
  <c r="E127" i="312"/>
  <c r="D127" i="312"/>
  <c r="I129" i="313"/>
  <c r="H129" i="313"/>
  <c r="G129" i="313"/>
  <c r="F129" i="313"/>
  <c r="E129" i="313"/>
  <c r="D129" i="313"/>
  <c r="I128" i="313"/>
  <c r="H128" i="313"/>
  <c r="G128" i="313"/>
  <c r="F128" i="313"/>
  <c r="E128" i="313"/>
  <c r="D128" i="313"/>
  <c r="I127" i="313"/>
  <c r="H127" i="313"/>
  <c r="G127" i="313"/>
  <c r="F127" i="313"/>
  <c r="E127" i="313"/>
  <c r="D127" i="313"/>
  <c r="I129" i="314"/>
  <c r="H129" i="314"/>
  <c r="G129" i="314"/>
  <c r="F129" i="314"/>
  <c r="E129" i="314"/>
  <c r="D129" i="314"/>
  <c r="I128" i="314"/>
  <c r="H128" i="314"/>
  <c r="G128" i="314"/>
  <c r="F128" i="314"/>
  <c r="E128" i="314"/>
  <c r="D128" i="314"/>
  <c r="I127" i="314"/>
  <c r="H127" i="314"/>
  <c r="G127" i="314"/>
  <c r="F127" i="314"/>
  <c r="E127" i="314"/>
  <c r="D127" i="314"/>
  <c r="I129" i="315"/>
  <c r="H129" i="315"/>
  <c r="G129" i="315"/>
  <c r="F129" i="315"/>
  <c r="E129" i="315"/>
  <c r="D129" i="315"/>
  <c r="I128" i="315"/>
  <c r="H128" i="315"/>
  <c r="G128" i="315"/>
  <c r="F128" i="315"/>
  <c r="E128" i="315"/>
  <c r="D128" i="315"/>
  <c r="I127" i="315"/>
  <c r="H127" i="315"/>
  <c r="G127" i="315"/>
  <c r="F127" i="315"/>
  <c r="E127" i="315"/>
  <c r="D127" i="315"/>
  <c r="I129" i="316"/>
  <c r="H129" i="316"/>
  <c r="G129" i="316"/>
  <c r="F129" i="316"/>
  <c r="E129" i="316"/>
  <c r="D129" i="316"/>
  <c r="I128" i="316"/>
  <c r="H128" i="316"/>
  <c r="G128" i="316"/>
  <c r="F128" i="316"/>
  <c r="E128" i="316"/>
  <c r="D128" i="316"/>
  <c r="I127" i="316"/>
  <c r="H127" i="316"/>
  <c r="G127" i="316"/>
  <c r="F127" i="316"/>
  <c r="E127" i="316"/>
  <c r="D127" i="316"/>
  <c r="I129" i="230"/>
  <c r="H129" i="230"/>
  <c r="G129" i="230"/>
  <c r="F129" i="230"/>
  <c r="E129" i="230"/>
  <c r="D129" i="230"/>
  <c r="I128" i="230"/>
  <c r="H128" i="230"/>
  <c r="G128" i="230"/>
  <c r="F128" i="230"/>
  <c r="E128" i="230"/>
  <c r="D128" i="230"/>
  <c r="I127" i="230"/>
  <c r="H127" i="230"/>
  <c r="G127" i="230"/>
  <c r="F127" i="230"/>
  <c r="E127" i="230"/>
  <c r="D127" i="230"/>
  <c r="I129" i="229"/>
  <c r="H129" i="229"/>
  <c r="G129" i="229"/>
  <c r="F129" i="229"/>
  <c r="E129" i="229"/>
  <c r="I128" i="229"/>
  <c r="H128" i="229"/>
  <c r="G128" i="229"/>
  <c r="F128" i="229"/>
  <c r="E128" i="229"/>
  <c r="I127" i="229"/>
  <c r="H127" i="229"/>
  <c r="G127" i="229"/>
  <c r="F127" i="229"/>
  <c r="E127" i="229"/>
  <c r="D129" i="229"/>
  <c r="D128" i="229"/>
  <c r="D127" i="229"/>
  <c r="K50" i="229"/>
  <c r="J50" i="229"/>
  <c r="U91" i="25"/>
  <c r="B91" i="25"/>
  <c r="C91" i="25"/>
  <c r="D91" i="25"/>
  <c r="E91" i="25"/>
  <c r="F91" i="25"/>
  <c r="G91" i="25"/>
  <c r="H91" i="25"/>
  <c r="I91" i="25"/>
  <c r="J91" i="25"/>
  <c r="K91" i="25"/>
  <c r="L91" i="25"/>
  <c r="M91" i="25"/>
  <c r="N91" i="25"/>
  <c r="O91" i="25"/>
  <c r="P91" i="25"/>
  <c r="Q91" i="25"/>
  <c r="R91" i="25"/>
  <c r="S91" i="25"/>
  <c r="T91" i="25"/>
  <c r="I51" i="273" l="1"/>
  <c r="C75" i="273" s="1"/>
  <c r="I49" i="297"/>
  <c r="I49" i="298"/>
  <c r="I49" i="304"/>
  <c r="I49" i="300"/>
  <c r="I49" i="306"/>
  <c r="I49" i="301"/>
  <c r="I49" i="302"/>
  <c r="I49" i="299"/>
  <c r="I49" i="270"/>
  <c r="I49" i="303"/>
  <c r="I49" i="296"/>
  <c r="I49" i="308"/>
  <c r="I49" i="307"/>
  <c r="I49" i="305"/>
  <c r="I49" i="263"/>
  <c r="N4" i="320"/>
  <c r="AG4" i="320" s="1"/>
  <c r="AY4" i="320"/>
  <c r="J49" i="229" s="1"/>
  <c r="N76" i="320"/>
  <c r="AG76" i="320" s="1"/>
  <c r="AZ76" i="320" s="1"/>
  <c r="N32" i="320"/>
  <c r="AG32" i="320" s="1"/>
  <c r="AY32" i="320"/>
  <c r="J49" i="258" s="1"/>
  <c r="N88" i="320"/>
  <c r="AG88" i="320" s="1"/>
  <c r="AY88" i="320"/>
  <c r="J49" i="314" s="1"/>
  <c r="N30" i="320"/>
  <c r="AG30" i="320" s="1"/>
  <c r="AY30" i="320"/>
  <c r="J49" i="256" s="1"/>
  <c r="N45" i="320"/>
  <c r="AG45" i="320" s="1"/>
  <c r="AY45" i="320"/>
  <c r="J49" i="271" s="1"/>
  <c r="N61" i="320"/>
  <c r="AG61" i="320" s="1"/>
  <c r="AY61" i="320"/>
  <c r="J49" i="287" s="1"/>
  <c r="N29" i="320"/>
  <c r="AG29" i="320" s="1"/>
  <c r="AY29" i="320"/>
  <c r="J49" i="255" s="1"/>
  <c r="N60" i="320"/>
  <c r="AG60" i="320" s="1"/>
  <c r="AY60" i="320"/>
  <c r="J49" i="286" s="1"/>
  <c r="N9" i="320"/>
  <c r="AG9" i="320" s="1"/>
  <c r="AY9" i="320"/>
  <c r="J49" i="234" s="1"/>
  <c r="N28" i="320"/>
  <c r="AG28" i="320" s="1"/>
  <c r="AY28" i="320"/>
  <c r="J49" i="254" s="1"/>
  <c r="N24" i="320"/>
  <c r="AG24" i="320" s="1"/>
  <c r="AY24" i="320"/>
  <c r="J49" i="250" s="1"/>
  <c r="N47" i="320"/>
  <c r="AG47" i="320" s="1"/>
  <c r="AY47" i="320"/>
  <c r="J49" i="273" s="1"/>
  <c r="N65" i="320"/>
  <c r="AG65" i="320" s="1"/>
  <c r="AY65" i="320"/>
  <c r="J49" i="291" s="1"/>
  <c r="N73" i="320"/>
  <c r="AG73" i="320" s="1"/>
  <c r="AZ73" i="320" s="1"/>
  <c r="N50" i="320"/>
  <c r="AG50" i="320" s="1"/>
  <c r="AY50" i="320"/>
  <c r="J49" i="276" s="1"/>
  <c r="N7" i="320"/>
  <c r="AG7" i="320" s="1"/>
  <c r="AY7" i="320"/>
  <c r="J49" i="232" s="1"/>
  <c r="N5" i="320"/>
  <c r="AG5" i="320" s="1"/>
  <c r="AY5" i="320"/>
  <c r="J49" i="230" s="1"/>
  <c r="N63" i="320"/>
  <c r="AG63" i="320" s="1"/>
  <c r="AY63" i="320"/>
  <c r="J49" i="289" s="1"/>
  <c r="N43" i="320"/>
  <c r="AG43" i="320" s="1"/>
  <c r="AY43" i="320"/>
  <c r="J49" i="269" s="1"/>
  <c r="N6" i="320"/>
  <c r="AG6" i="320" s="1"/>
  <c r="AY6" i="320"/>
  <c r="J49" i="231" s="1"/>
  <c r="N15" i="320"/>
  <c r="AG15" i="320" s="1"/>
  <c r="AY15" i="320"/>
  <c r="J49" i="241" s="1"/>
  <c r="N44" i="320"/>
  <c r="AG44" i="320" s="1"/>
  <c r="AZ44" i="320" s="1"/>
  <c r="N87" i="320"/>
  <c r="AG87" i="320" s="1"/>
  <c r="AY87" i="320"/>
  <c r="J49" i="313" s="1"/>
  <c r="N46" i="320"/>
  <c r="AG46" i="320" s="1"/>
  <c r="AY46" i="320"/>
  <c r="J49" i="272" s="1"/>
  <c r="N19" i="320"/>
  <c r="AG19" i="320" s="1"/>
  <c r="AY19" i="320"/>
  <c r="J49" i="245" s="1"/>
  <c r="N68" i="320"/>
  <c r="AG68" i="320" s="1"/>
  <c r="AY68" i="320"/>
  <c r="J49" i="294" s="1"/>
  <c r="N67" i="320"/>
  <c r="AG67" i="320" s="1"/>
  <c r="AY67" i="320"/>
  <c r="J49" i="293" s="1"/>
  <c r="N52" i="320"/>
  <c r="AG52" i="320" s="1"/>
  <c r="AY52" i="320"/>
  <c r="J49" i="278" s="1"/>
  <c r="N66" i="320"/>
  <c r="AG66" i="320" s="1"/>
  <c r="AY66" i="320"/>
  <c r="J49" i="292" s="1"/>
  <c r="N40" i="320"/>
  <c r="AG40" i="320" s="1"/>
  <c r="AY40" i="320"/>
  <c r="J49" i="266" s="1"/>
  <c r="N33" i="320"/>
  <c r="AG33" i="320" s="1"/>
  <c r="AY33" i="320"/>
  <c r="J49" i="259" s="1"/>
  <c r="N8" i="320"/>
  <c r="AG8" i="320" s="1"/>
  <c r="AY8" i="320"/>
  <c r="J49" i="233" s="1"/>
  <c r="N83" i="320"/>
  <c r="AG83" i="320" s="1"/>
  <c r="AY83" i="320"/>
  <c r="J49" i="309" s="1"/>
  <c r="N21" i="320"/>
  <c r="AG21" i="320" s="1"/>
  <c r="AY21" i="320"/>
  <c r="J49" i="247" s="1"/>
  <c r="N38" i="320"/>
  <c r="AG38" i="320" s="1"/>
  <c r="AY38" i="320"/>
  <c r="J49" i="264" s="1"/>
  <c r="N18" i="320"/>
  <c r="AG18" i="320" s="1"/>
  <c r="AY18" i="320"/>
  <c r="J49" i="244" s="1"/>
  <c r="N14" i="320"/>
  <c r="AG14" i="320" s="1"/>
  <c r="AY14" i="320"/>
  <c r="J49" i="240" s="1"/>
  <c r="N59" i="320"/>
  <c r="AG59" i="320" s="1"/>
  <c r="AY59" i="320"/>
  <c r="J49" i="285" s="1"/>
  <c r="N77" i="320"/>
  <c r="AG77" i="320" s="1"/>
  <c r="AZ77" i="320" s="1"/>
  <c r="N27" i="320"/>
  <c r="AG27" i="320" s="1"/>
  <c r="AY27" i="320"/>
  <c r="J49" i="253" s="1"/>
  <c r="N89" i="320"/>
  <c r="AG89" i="320" s="1"/>
  <c r="AY89" i="320"/>
  <c r="J49" i="315" s="1"/>
  <c r="N58" i="320"/>
  <c r="AG58" i="320" s="1"/>
  <c r="AY58" i="320"/>
  <c r="J49" i="284" s="1"/>
  <c r="N71" i="320"/>
  <c r="AG71" i="320" s="1"/>
  <c r="AZ71" i="320" s="1"/>
  <c r="N72" i="320"/>
  <c r="AG72" i="320" s="1"/>
  <c r="AZ72" i="320" s="1"/>
  <c r="N10" i="320"/>
  <c r="AG10" i="320" s="1"/>
  <c r="AY10" i="320"/>
  <c r="J49" i="235" s="1"/>
  <c r="N56" i="320"/>
  <c r="AG56" i="320" s="1"/>
  <c r="AY56" i="320"/>
  <c r="J49" i="282" s="1"/>
  <c r="N12" i="320"/>
  <c r="AG12" i="320" s="1"/>
  <c r="AY12" i="320"/>
  <c r="J49" i="237" s="1"/>
  <c r="N36" i="320"/>
  <c r="AG36" i="320" s="1"/>
  <c r="AY36" i="320"/>
  <c r="J49" i="262" s="1"/>
  <c r="N55" i="320"/>
  <c r="AG55" i="320" s="1"/>
  <c r="AY55" i="320"/>
  <c r="J49" i="281" s="1"/>
  <c r="N78" i="320"/>
  <c r="AG78" i="320" s="1"/>
  <c r="AZ78" i="320" s="1"/>
  <c r="N74" i="320"/>
  <c r="AG74" i="320" s="1"/>
  <c r="AZ74" i="320" s="1"/>
  <c r="N25" i="320"/>
  <c r="AG25" i="320" s="1"/>
  <c r="AY25" i="320"/>
  <c r="J49" i="251" s="1"/>
  <c r="N80" i="320"/>
  <c r="AG80" i="320" s="1"/>
  <c r="AZ80" i="320" s="1"/>
  <c r="N39" i="320"/>
  <c r="AG39" i="320" s="1"/>
  <c r="AY39" i="320"/>
  <c r="J49" i="265" s="1"/>
  <c r="N49" i="320"/>
  <c r="AG49" i="320" s="1"/>
  <c r="AY49" i="320"/>
  <c r="J49" i="275" s="1"/>
  <c r="N51" i="320"/>
  <c r="AG51" i="320" s="1"/>
  <c r="AY51" i="320"/>
  <c r="J49" i="277" s="1"/>
  <c r="N90" i="320"/>
  <c r="AG90" i="320" s="1"/>
  <c r="AY90" i="320"/>
  <c r="J49" i="316" s="1"/>
  <c r="N16" i="320"/>
  <c r="AG16" i="320" s="1"/>
  <c r="AY16" i="320"/>
  <c r="J49" i="242" s="1"/>
  <c r="N75" i="320"/>
  <c r="AG75" i="320" s="1"/>
  <c r="AZ75" i="320" s="1"/>
  <c r="N20" i="320"/>
  <c r="AG20" i="320" s="1"/>
  <c r="AY20" i="320"/>
  <c r="J49" i="246" s="1"/>
  <c r="N48" i="320"/>
  <c r="AG48" i="320" s="1"/>
  <c r="AY48" i="320"/>
  <c r="J49" i="274" s="1"/>
  <c r="N22" i="320"/>
  <c r="AG22" i="320" s="1"/>
  <c r="AY22" i="320"/>
  <c r="J49" i="248" s="1"/>
  <c r="N57" i="320"/>
  <c r="AG57" i="320" s="1"/>
  <c r="AY57" i="320"/>
  <c r="J49" i="283" s="1"/>
  <c r="N70" i="320"/>
  <c r="AG70" i="320" s="1"/>
  <c r="AZ70" i="320" s="1"/>
  <c r="N34" i="320"/>
  <c r="AG34" i="320" s="1"/>
  <c r="AY34" i="320"/>
  <c r="J49" i="260" s="1"/>
  <c r="N69" i="320"/>
  <c r="AG69" i="320" s="1"/>
  <c r="AY69" i="320"/>
  <c r="J49" i="295" s="1"/>
  <c r="N41" i="320"/>
  <c r="AG41" i="320" s="1"/>
  <c r="AY41" i="320"/>
  <c r="J49" i="267" s="1"/>
  <c r="N35" i="320"/>
  <c r="AG35" i="320" s="1"/>
  <c r="AY35" i="320"/>
  <c r="J49" i="261" s="1"/>
  <c r="N31" i="320"/>
  <c r="AG31" i="320" s="1"/>
  <c r="AY31" i="320"/>
  <c r="J49" i="257" s="1"/>
  <c r="N54" i="320"/>
  <c r="AG54" i="320" s="1"/>
  <c r="AY54" i="320"/>
  <c r="J49" i="280" s="1"/>
  <c r="N85" i="320"/>
  <c r="AG85" i="320" s="1"/>
  <c r="AY85" i="320"/>
  <c r="J49" i="311" s="1"/>
  <c r="N82" i="320"/>
  <c r="AG82" i="320" s="1"/>
  <c r="AZ82" i="320" s="1"/>
  <c r="N17" i="320"/>
  <c r="AG17" i="320" s="1"/>
  <c r="AY17" i="320"/>
  <c r="J49" i="243" s="1"/>
  <c r="N64" i="320"/>
  <c r="AG64" i="320" s="1"/>
  <c r="AY64" i="320"/>
  <c r="J49" i="290" s="1"/>
  <c r="N84" i="320"/>
  <c r="AG84" i="320" s="1"/>
  <c r="AY84" i="320"/>
  <c r="J49" i="310" s="1"/>
  <c r="N86" i="320"/>
  <c r="AG86" i="320" s="1"/>
  <c r="AY86" i="320"/>
  <c r="J49" i="312" s="1"/>
  <c r="N81" i="320"/>
  <c r="AG81" i="320" s="1"/>
  <c r="AZ81" i="320" s="1"/>
  <c r="N62" i="320"/>
  <c r="AG62" i="320" s="1"/>
  <c r="AY62" i="320"/>
  <c r="J49" i="288" s="1"/>
  <c r="N79" i="320"/>
  <c r="AG79" i="320" s="1"/>
  <c r="AZ79" i="320" s="1"/>
  <c r="N13" i="320"/>
  <c r="AG13" i="320" s="1"/>
  <c r="AY13" i="320"/>
  <c r="J49" i="239" s="1"/>
  <c r="N37" i="320"/>
  <c r="AG37" i="320" s="1"/>
  <c r="AZ37" i="320" s="1"/>
  <c r="N11" i="320"/>
  <c r="AG11" i="320" s="1"/>
  <c r="AY11" i="320"/>
  <c r="J49" i="236" s="1"/>
  <c r="N23" i="320"/>
  <c r="AG23" i="320" s="1"/>
  <c r="AY23" i="320"/>
  <c r="J49" i="249" s="1"/>
  <c r="N26" i="320"/>
  <c r="AG26" i="320" s="1"/>
  <c r="AY26" i="320"/>
  <c r="J49" i="252" s="1"/>
  <c r="N53" i="320"/>
  <c r="AG53" i="320" s="1"/>
  <c r="AY53" i="320"/>
  <c r="J49" i="279" s="1"/>
  <c r="N42" i="320"/>
  <c r="AG42" i="320" s="1"/>
  <c r="AY42" i="320"/>
  <c r="J49" i="268" s="1"/>
  <c r="J129" i="314"/>
  <c r="J128" i="312"/>
  <c r="J129" i="310"/>
  <c r="J127" i="309"/>
  <c r="J127" i="308"/>
  <c r="J128" i="308"/>
  <c r="J128" i="307"/>
  <c r="J129" i="307"/>
  <c r="J129" i="306"/>
  <c r="J127" i="305"/>
  <c r="J127" i="304"/>
  <c r="J128" i="304"/>
  <c r="J128" i="303"/>
  <c r="J129" i="303"/>
  <c r="J129" i="302"/>
  <c r="J127" i="301"/>
  <c r="J127" i="300"/>
  <c r="J128" i="300"/>
  <c r="J128" i="299"/>
  <c r="J129" i="299"/>
  <c r="J127" i="297"/>
  <c r="J127" i="296"/>
  <c r="J128" i="296"/>
  <c r="J129" i="286"/>
  <c r="J127" i="285"/>
  <c r="J127" i="284"/>
  <c r="J128" i="284"/>
  <c r="J129" i="274"/>
  <c r="J127" i="273"/>
  <c r="J127" i="272"/>
  <c r="J129" i="270"/>
  <c r="J127" i="269"/>
  <c r="J128" i="267"/>
  <c r="J129" i="267"/>
  <c r="J127" i="265"/>
  <c r="J127" i="264"/>
  <c r="J128" i="264"/>
  <c r="J128" i="263"/>
  <c r="J129" i="263"/>
  <c r="J129" i="262"/>
  <c r="J127" i="261"/>
  <c r="J127" i="260"/>
  <c r="J128" i="260"/>
  <c r="J127" i="257"/>
  <c r="J127" i="256"/>
  <c r="J128" i="256"/>
  <c r="J129" i="254"/>
  <c r="J127" i="253"/>
  <c r="J128" i="251"/>
  <c r="J129" i="251"/>
  <c r="J129" i="250"/>
  <c r="J128" i="247"/>
  <c r="J129" i="247"/>
  <c r="J127" i="245"/>
  <c r="J127" i="244"/>
  <c r="J128" i="244"/>
  <c r="J128" i="243"/>
  <c r="J129" i="243"/>
  <c r="J129" i="242"/>
  <c r="J127" i="241"/>
  <c r="J127" i="240"/>
  <c r="J128" i="240"/>
  <c r="J128" i="239"/>
  <c r="J129" i="239"/>
  <c r="J127" i="237"/>
  <c r="J127" i="236"/>
  <c r="J128" i="235"/>
  <c r="J129" i="235"/>
  <c r="J129" i="234"/>
  <c r="J127" i="232"/>
  <c r="J127" i="230"/>
  <c r="J128" i="315"/>
  <c r="J129" i="315"/>
  <c r="J127" i="313"/>
  <c r="J127" i="312"/>
  <c r="J128" i="311"/>
  <c r="J129" i="311"/>
  <c r="J129" i="298"/>
  <c r="J128" i="295"/>
  <c r="J129" i="295"/>
  <c r="J129" i="294"/>
  <c r="J127" i="293"/>
  <c r="J127" i="292"/>
  <c r="J128" i="292"/>
  <c r="J128" i="291"/>
  <c r="J129" i="291"/>
  <c r="J129" i="290"/>
  <c r="J127" i="289"/>
  <c r="J127" i="288"/>
  <c r="J128" i="288"/>
  <c r="J128" i="287"/>
  <c r="J129" i="287"/>
  <c r="J128" i="283"/>
  <c r="J129" i="283"/>
  <c r="J129" i="282"/>
  <c r="J127" i="281"/>
  <c r="J127" i="280"/>
  <c r="J128" i="280"/>
  <c r="J128" i="279"/>
  <c r="J129" i="279"/>
  <c r="J129" i="278"/>
  <c r="J127" i="277"/>
  <c r="J127" i="276"/>
  <c r="J128" i="276"/>
  <c r="J128" i="275"/>
  <c r="J129" i="275"/>
  <c r="J128" i="272"/>
  <c r="J128" i="271"/>
  <c r="J129" i="271"/>
  <c r="J127" i="268"/>
  <c r="J128" i="268"/>
  <c r="J129" i="266"/>
  <c r="J128" i="259"/>
  <c r="J129" i="259"/>
  <c r="J129" i="258"/>
  <c r="J128" i="255"/>
  <c r="J129" i="255"/>
  <c r="J127" i="252"/>
  <c r="J128" i="252"/>
  <c r="J127" i="249"/>
  <c r="J127" i="248"/>
  <c r="J128" i="248"/>
  <c r="J129" i="246"/>
  <c r="J128" i="236"/>
  <c r="J127" i="233"/>
  <c r="J128" i="232"/>
  <c r="J128" i="231"/>
  <c r="J129" i="231"/>
  <c r="J129" i="312"/>
  <c r="J129" i="230"/>
  <c r="J127" i="315"/>
  <c r="J128" i="314"/>
  <c r="J129" i="313"/>
  <c r="J127" i="311"/>
  <c r="J128" i="310"/>
  <c r="J129" i="309"/>
  <c r="J127" i="307"/>
  <c r="J128" i="306"/>
  <c r="J129" i="305"/>
  <c r="J127" i="303"/>
  <c r="J128" i="302"/>
  <c r="J129" i="301"/>
  <c r="J127" i="299"/>
  <c r="J128" i="298"/>
  <c r="J129" i="297"/>
  <c r="J127" i="295"/>
  <c r="J128" i="294"/>
  <c r="J129" i="293"/>
  <c r="J127" i="291"/>
  <c r="J128" i="290"/>
  <c r="J129" i="289"/>
  <c r="J127" i="287"/>
  <c r="J128" i="286"/>
  <c r="J129" i="285"/>
  <c r="J127" i="283"/>
  <c r="J128" i="282"/>
  <c r="J129" i="281"/>
  <c r="J127" i="279"/>
  <c r="J128" i="278"/>
  <c r="J129" i="277"/>
  <c r="J127" i="275"/>
  <c r="J128" i="274"/>
  <c r="J128" i="273"/>
  <c r="J129" i="273"/>
  <c r="J128" i="230"/>
  <c r="J127" i="314"/>
  <c r="J128" i="313"/>
  <c r="J127" i="310"/>
  <c r="J128" i="309"/>
  <c r="J129" i="308"/>
  <c r="J127" i="306"/>
  <c r="J128" i="305"/>
  <c r="J129" i="304"/>
  <c r="J127" i="302"/>
  <c r="J128" i="301"/>
  <c r="J129" i="300"/>
  <c r="J127" i="298"/>
  <c r="J128" i="297"/>
  <c r="J129" i="296"/>
  <c r="J127" i="294"/>
  <c r="J128" i="293"/>
  <c r="J129" i="292"/>
  <c r="J127" i="290"/>
  <c r="J128" i="289"/>
  <c r="J129" i="288"/>
  <c r="J127" i="286"/>
  <c r="J128" i="285"/>
  <c r="J129" i="284"/>
  <c r="J127" i="282"/>
  <c r="J128" i="281"/>
  <c r="J129" i="280"/>
  <c r="J127" i="278"/>
  <c r="J128" i="277"/>
  <c r="J129" i="276"/>
  <c r="J127" i="274"/>
  <c r="J127" i="271"/>
  <c r="J128" i="270"/>
  <c r="J129" i="269"/>
  <c r="J127" i="267"/>
  <c r="J128" i="266"/>
  <c r="J129" i="265"/>
  <c r="J127" i="263"/>
  <c r="J128" i="262"/>
  <c r="J129" i="261"/>
  <c r="J127" i="259"/>
  <c r="J128" i="258"/>
  <c r="J129" i="257"/>
  <c r="J127" i="255"/>
  <c r="J128" i="254"/>
  <c r="J129" i="253"/>
  <c r="J127" i="251"/>
  <c r="J128" i="250"/>
  <c r="J129" i="249"/>
  <c r="J127" i="247"/>
  <c r="J128" i="246"/>
  <c r="J129" i="245"/>
  <c r="J127" i="243"/>
  <c r="J128" i="242"/>
  <c r="J129" i="241"/>
  <c r="J127" i="239"/>
  <c r="J129" i="237"/>
  <c r="J127" i="235"/>
  <c r="J128" i="234"/>
  <c r="J129" i="233"/>
  <c r="J127" i="231"/>
  <c r="J129" i="272"/>
  <c r="J127" i="270"/>
  <c r="J128" i="269"/>
  <c r="J129" i="268"/>
  <c r="J127" i="266"/>
  <c r="J128" i="265"/>
  <c r="J129" i="264"/>
  <c r="J127" i="262"/>
  <c r="J128" i="261"/>
  <c r="J129" i="260"/>
  <c r="J127" i="258"/>
  <c r="J128" i="257"/>
  <c r="J129" i="256"/>
  <c r="J127" i="254"/>
  <c r="J128" i="253"/>
  <c r="J129" i="252"/>
  <c r="J127" i="250"/>
  <c r="J128" i="249"/>
  <c r="J129" i="248"/>
  <c r="J127" i="246"/>
  <c r="J128" i="245"/>
  <c r="J129" i="244"/>
  <c r="J127" i="242"/>
  <c r="J128" i="241"/>
  <c r="J129" i="240"/>
  <c r="J128" i="237"/>
  <c r="J129" i="236"/>
  <c r="J127" i="234"/>
  <c r="J128" i="233"/>
  <c r="J129" i="232"/>
  <c r="J129" i="316"/>
  <c r="J127" i="316"/>
  <c r="J128" i="316"/>
  <c r="J129" i="229"/>
  <c r="J128" i="229"/>
  <c r="J127" i="229"/>
  <c r="Y7" i="217"/>
  <c r="Y8" i="217"/>
  <c r="Y9" i="217"/>
  <c r="Y10" i="217"/>
  <c r="Y11" i="217"/>
  <c r="Y12" i="217"/>
  <c r="Y13" i="217"/>
  <c r="Y14" i="217"/>
  <c r="Y15" i="217"/>
  <c r="Y16" i="217"/>
  <c r="Y17" i="217"/>
  <c r="Y18" i="217"/>
  <c r="Y19" i="217"/>
  <c r="Y20" i="217"/>
  <c r="Y21" i="217"/>
  <c r="Y22" i="217"/>
  <c r="Y23" i="217"/>
  <c r="Y24" i="217"/>
  <c r="Y25" i="217"/>
  <c r="Y26" i="217"/>
  <c r="Y27" i="217"/>
  <c r="Y28" i="217"/>
  <c r="Y29" i="217"/>
  <c r="Y30" i="217"/>
  <c r="Y31" i="217"/>
  <c r="Y32" i="217"/>
  <c r="Y33" i="217"/>
  <c r="Y34" i="217"/>
  <c r="Y35" i="217"/>
  <c r="Y36" i="217"/>
  <c r="Y37" i="217"/>
  <c r="Y38" i="217"/>
  <c r="Y39" i="217"/>
  <c r="Y40" i="217"/>
  <c r="Y41" i="217"/>
  <c r="Y42" i="217"/>
  <c r="Y43" i="217"/>
  <c r="Y44" i="217"/>
  <c r="Y45" i="217"/>
  <c r="Y46" i="217"/>
  <c r="Y47" i="217"/>
  <c r="Y48" i="217"/>
  <c r="Y49" i="217"/>
  <c r="Y50" i="217"/>
  <c r="Y51" i="217"/>
  <c r="Y52" i="217"/>
  <c r="Y53" i="217"/>
  <c r="Y54" i="217"/>
  <c r="Y55" i="217"/>
  <c r="Y56" i="217"/>
  <c r="Y57" i="217"/>
  <c r="Y58" i="217"/>
  <c r="Y59" i="217"/>
  <c r="Y60" i="217"/>
  <c r="Y61" i="217"/>
  <c r="Y62" i="217"/>
  <c r="Y63" i="217"/>
  <c r="Y64" i="217"/>
  <c r="Y65" i="217"/>
  <c r="Y66" i="217"/>
  <c r="Y67" i="217"/>
  <c r="Y68" i="217"/>
  <c r="Y69" i="217"/>
  <c r="Y70" i="217"/>
  <c r="Y71" i="217"/>
  <c r="Y72" i="217"/>
  <c r="Y73" i="217"/>
  <c r="Y74" i="217"/>
  <c r="Y75" i="217"/>
  <c r="Y76" i="217"/>
  <c r="Y77" i="217"/>
  <c r="Y78" i="217"/>
  <c r="Y79" i="217"/>
  <c r="Y80" i="217"/>
  <c r="Y81" i="217"/>
  <c r="Y82" i="217"/>
  <c r="Y83" i="217"/>
  <c r="Y84" i="217"/>
  <c r="Y85" i="217"/>
  <c r="Y86" i="217"/>
  <c r="Y87" i="217"/>
  <c r="Y88" i="217"/>
  <c r="Y89" i="217"/>
  <c r="Y90" i="217"/>
  <c r="Y91" i="217"/>
  <c r="Y92" i="217"/>
  <c r="Y93" i="217"/>
  <c r="Y6" i="217"/>
  <c r="J51" i="273" l="1"/>
  <c r="C76" i="273" s="1"/>
  <c r="J49" i="263"/>
  <c r="J49" i="307"/>
  <c r="J49" i="306"/>
  <c r="J49" i="300"/>
  <c r="J49" i="302"/>
  <c r="J49" i="308"/>
  <c r="J49" i="296"/>
  <c r="J49" i="304"/>
  <c r="J49" i="298"/>
  <c r="J49" i="270"/>
  <c r="J49" i="299"/>
  <c r="J49" i="305"/>
  <c r="J49" i="301"/>
  <c r="J49" i="297"/>
  <c r="J49" i="303"/>
  <c r="O42" i="320"/>
  <c r="AH42" i="320" s="1"/>
  <c r="AZ42" i="320"/>
  <c r="K49" i="268" s="1"/>
  <c r="O26" i="320"/>
  <c r="AH26" i="320" s="1"/>
  <c r="AZ26" i="320"/>
  <c r="K49" i="252" s="1"/>
  <c r="O13" i="320"/>
  <c r="AH13" i="320" s="1"/>
  <c r="AZ13" i="320"/>
  <c r="K49" i="239" s="1"/>
  <c r="O86" i="320"/>
  <c r="AH86" i="320" s="1"/>
  <c r="AZ86" i="320"/>
  <c r="K49" i="312" s="1"/>
  <c r="O64" i="320"/>
  <c r="AH64" i="320" s="1"/>
  <c r="AZ64" i="320"/>
  <c r="K49" i="290" s="1"/>
  <c r="O54" i="320"/>
  <c r="AH54" i="320" s="1"/>
  <c r="AZ54" i="320"/>
  <c r="K49" i="280" s="1"/>
  <c r="O70" i="320"/>
  <c r="AH70" i="320" s="1"/>
  <c r="BA70" i="320" s="1"/>
  <c r="O20" i="320"/>
  <c r="AH20" i="320" s="1"/>
  <c r="AZ20" i="320"/>
  <c r="K49" i="246" s="1"/>
  <c r="O16" i="320"/>
  <c r="AH16" i="320" s="1"/>
  <c r="AZ16" i="320"/>
  <c r="K49" i="242" s="1"/>
  <c r="O39" i="320"/>
  <c r="AH39" i="320" s="1"/>
  <c r="AZ39" i="320"/>
  <c r="K49" i="265" s="1"/>
  <c r="O78" i="320"/>
  <c r="AH78" i="320" s="1"/>
  <c r="BA78" i="320" s="1"/>
  <c r="O72" i="320"/>
  <c r="AH72" i="320" s="1"/>
  <c r="BA72" i="320" s="1"/>
  <c r="O59" i="320"/>
  <c r="AH59" i="320" s="1"/>
  <c r="AZ59" i="320"/>
  <c r="K49" i="285" s="1"/>
  <c r="O21" i="320"/>
  <c r="AH21" i="320" s="1"/>
  <c r="AZ21" i="320"/>
  <c r="K49" i="247" s="1"/>
  <c r="O40" i="320"/>
  <c r="AH40" i="320" s="1"/>
  <c r="AZ40" i="320"/>
  <c r="K49" i="266" s="1"/>
  <c r="O68" i="320"/>
  <c r="AH68" i="320" s="1"/>
  <c r="AZ68" i="320"/>
  <c r="K49" i="294" s="1"/>
  <c r="O46" i="320"/>
  <c r="AH46" i="320" s="1"/>
  <c r="AZ46" i="320"/>
  <c r="K49" i="272" s="1"/>
  <c r="O6" i="320"/>
  <c r="AH6" i="320" s="1"/>
  <c r="AZ6" i="320"/>
  <c r="K49" i="231" s="1"/>
  <c r="O7" i="320"/>
  <c r="AH7" i="320" s="1"/>
  <c r="AZ7" i="320"/>
  <c r="K49" i="232" s="1"/>
  <c r="O47" i="320"/>
  <c r="AH47" i="320" s="1"/>
  <c r="AZ47" i="320"/>
  <c r="K49" i="273" s="1"/>
  <c r="O60" i="320"/>
  <c r="AH60" i="320" s="1"/>
  <c r="AZ60" i="320"/>
  <c r="K49" i="286" s="1"/>
  <c r="O61" i="320"/>
  <c r="AH61" i="320" s="1"/>
  <c r="AZ61" i="320"/>
  <c r="K49" i="287" s="1"/>
  <c r="O30" i="320"/>
  <c r="AH30" i="320" s="1"/>
  <c r="AZ30" i="320"/>
  <c r="K49" i="256" s="1"/>
  <c r="O4" i="320"/>
  <c r="AH4" i="320" s="1"/>
  <c r="AZ4" i="320"/>
  <c r="K49" i="229" s="1"/>
  <c r="O53" i="320"/>
  <c r="AH53" i="320" s="1"/>
  <c r="AZ53" i="320"/>
  <c r="K49" i="279" s="1"/>
  <c r="O23" i="320"/>
  <c r="AH23" i="320" s="1"/>
  <c r="AZ23" i="320"/>
  <c r="K49" i="249" s="1"/>
  <c r="O37" i="320"/>
  <c r="AH37" i="320" s="1"/>
  <c r="BA37" i="320" s="1"/>
  <c r="O79" i="320"/>
  <c r="AH79" i="320" s="1"/>
  <c r="BA79" i="320" s="1"/>
  <c r="O81" i="320"/>
  <c r="AH81" i="320" s="1"/>
  <c r="BA81" i="320" s="1"/>
  <c r="O84" i="320"/>
  <c r="AH84" i="320" s="1"/>
  <c r="AZ84" i="320"/>
  <c r="K49" i="310" s="1"/>
  <c r="O17" i="320"/>
  <c r="AH17" i="320" s="1"/>
  <c r="AZ17" i="320"/>
  <c r="K49" i="243" s="1"/>
  <c r="O85" i="320"/>
  <c r="AH85" i="320" s="1"/>
  <c r="AZ85" i="320"/>
  <c r="K49" i="311" s="1"/>
  <c r="O31" i="320"/>
  <c r="AH31" i="320" s="1"/>
  <c r="AZ31" i="320"/>
  <c r="K49" i="257" s="1"/>
  <c r="O41" i="320"/>
  <c r="AH41" i="320" s="1"/>
  <c r="AZ41" i="320"/>
  <c r="K49" i="267" s="1"/>
  <c r="O34" i="320"/>
  <c r="AH34" i="320" s="1"/>
  <c r="AZ34" i="320"/>
  <c r="K49" i="260" s="1"/>
  <c r="O57" i="320"/>
  <c r="AH57" i="320" s="1"/>
  <c r="AZ57" i="320"/>
  <c r="K49" i="283" s="1"/>
  <c r="O48" i="320"/>
  <c r="AH48" i="320" s="1"/>
  <c r="AZ48" i="320"/>
  <c r="K49" i="274" s="1"/>
  <c r="O75" i="320"/>
  <c r="AH75" i="320" s="1"/>
  <c r="BA75" i="320" s="1"/>
  <c r="O90" i="320"/>
  <c r="AH90" i="320" s="1"/>
  <c r="AZ90" i="320"/>
  <c r="K49" i="316" s="1"/>
  <c r="O49" i="320"/>
  <c r="AH49" i="320" s="1"/>
  <c r="AZ49" i="320"/>
  <c r="K49" i="275" s="1"/>
  <c r="O80" i="320"/>
  <c r="AH80" i="320" s="1"/>
  <c r="BA80" i="320" s="1"/>
  <c r="O74" i="320"/>
  <c r="AH74" i="320" s="1"/>
  <c r="BA74" i="320" s="1"/>
  <c r="O55" i="320"/>
  <c r="AH55" i="320" s="1"/>
  <c r="AZ55" i="320"/>
  <c r="K49" i="281" s="1"/>
  <c r="O12" i="320"/>
  <c r="AH12" i="320" s="1"/>
  <c r="AZ12" i="320"/>
  <c r="K49" i="237" s="1"/>
  <c r="O10" i="320"/>
  <c r="AH10" i="320" s="1"/>
  <c r="AZ10" i="320"/>
  <c r="K49" i="235" s="1"/>
  <c r="O71" i="320"/>
  <c r="AH71" i="320" s="1"/>
  <c r="BA71" i="320" s="1"/>
  <c r="O89" i="320"/>
  <c r="AH89" i="320" s="1"/>
  <c r="AZ89" i="320"/>
  <c r="K49" i="315" s="1"/>
  <c r="O77" i="320"/>
  <c r="AH77" i="320" s="1"/>
  <c r="BA77" i="320" s="1"/>
  <c r="O14" i="320"/>
  <c r="AH14" i="320" s="1"/>
  <c r="AZ14" i="320"/>
  <c r="K49" i="240" s="1"/>
  <c r="O38" i="320"/>
  <c r="AH38" i="320" s="1"/>
  <c r="AZ38" i="320"/>
  <c r="K49" i="264" s="1"/>
  <c r="O83" i="320"/>
  <c r="AH83" i="320" s="1"/>
  <c r="AZ83" i="320"/>
  <c r="K49" i="309" s="1"/>
  <c r="O33" i="320"/>
  <c r="AH33" i="320" s="1"/>
  <c r="AZ33" i="320"/>
  <c r="K49" i="259" s="1"/>
  <c r="O66" i="320"/>
  <c r="AH66" i="320" s="1"/>
  <c r="AZ66" i="320"/>
  <c r="K49" i="292" s="1"/>
  <c r="O67" i="320"/>
  <c r="AH67" i="320" s="1"/>
  <c r="AZ67" i="320"/>
  <c r="K49" i="293" s="1"/>
  <c r="O19" i="320"/>
  <c r="AH19" i="320" s="1"/>
  <c r="AZ19" i="320"/>
  <c r="K49" i="245" s="1"/>
  <c r="O87" i="320"/>
  <c r="AH87" i="320" s="1"/>
  <c r="AZ87" i="320"/>
  <c r="K49" i="313" s="1"/>
  <c r="O15" i="320"/>
  <c r="AH15" i="320" s="1"/>
  <c r="AZ15" i="320"/>
  <c r="K49" i="241" s="1"/>
  <c r="O43" i="320"/>
  <c r="AH43" i="320" s="1"/>
  <c r="AZ43" i="320"/>
  <c r="K49" i="269" s="1"/>
  <c r="O5" i="320"/>
  <c r="AH5" i="320" s="1"/>
  <c r="AZ5" i="320"/>
  <c r="K49" i="230" s="1"/>
  <c r="O50" i="320"/>
  <c r="AH50" i="320" s="1"/>
  <c r="AZ50" i="320"/>
  <c r="K49" i="276" s="1"/>
  <c r="O65" i="320"/>
  <c r="AH65" i="320" s="1"/>
  <c r="AZ65" i="320"/>
  <c r="K49" i="291" s="1"/>
  <c r="O24" i="320"/>
  <c r="AH24" i="320" s="1"/>
  <c r="AZ24" i="320"/>
  <c r="K49" i="250" s="1"/>
  <c r="O9" i="320"/>
  <c r="AH9" i="320" s="1"/>
  <c r="AZ9" i="320"/>
  <c r="K49" i="234" s="1"/>
  <c r="O29" i="320"/>
  <c r="AH29" i="320" s="1"/>
  <c r="AZ29" i="320"/>
  <c r="K49" i="255" s="1"/>
  <c r="O45" i="320"/>
  <c r="AH45" i="320" s="1"/>
  <c r="AZ45" i="320"/>
  <c r="K49" i="271" s="1"/>
  <c r="O88" i="320"/>
  <c r="AH88" i="320" s="1"/>
  <c r="AZ88" i="320"/>
  <c r="K49" i="314" s="1"/>
  <c r="O76" i="320"/>
  <c r="AH76" i="320" s="1"/>
  <c r="BA76" i="320" s="1"/>
  <c r="O11" i="320"/>
  <c r="AH11" i="320" s="1"/>
  <c r="AZ11" i="320"/>
  <c r="K49" i="236" s="1"/>
  <c r="O62" i="320"/>
  <c r="AH62" i="320" s="1"/>
  <c r="AZ62" i="320"/>
  <c r="K49" i="288" s="1"/>
  <c r="O82" i="320"/>
  <c r="AH82" i="320" s="1"/>
  <c r="BA82" i="320" s="1"/>
  <c r="O35" i="320"/>
  <c r="AH35" i="320" s="1"/>
  <c r="AZ35" i="320"/>
  <c r="K49" i="261" s="1"/>
  <c r="O69" i="320"/>
  <c r="AH69" i="320" s="1"/>
  <c r="AZ69" i="320"/>
  <c r="K49" i="295" s="1"/>
  <c r="O22" i="320"/>
  <c r="AH22" i="320" s="1"/>
  <c r="AZ22" i="320"/>
  <c r="K49" i="248" s="1"/>
  <c r="O51" i="320"/>
  <c r="AH51" i="320" s="1"/>
  <c r="AZ51" i="320"/>
  <c r="K49" i="277" s="1"/>
  <c r="O25" i="320"/>
  <c r="AH25" i="320" s="1"/>
  <c r="AZ25" i="320"/>
  <c r="K49" i="251" s="1"/>
  <c r="O36" i="320"/>
  <c r="AH36" i="320" s="1"/>
  <c r="AZ36" i="320"/>
  <c r="K49" i="262" s="1"/>
  <c r="O56" i="320"/>
  <c r="AH56" i="320" s="1"/>
  <c r="AZ56" i="320"/>
  <c r="K49" i="282" s="1"/>
  <c r="O58" i="320"/>
  <c r="AH58" i="320" s="1"/>
  <c r="AZ58" i="320"/>
  <c r="K49" i="284" s="1"/>
  <c r="O27" i="320"/>
  <c r="AH27" i="320" s="1"/>
  <c r="AZ27" i="320"/>
  <c r="K49" i="253" s="1"/>
  <c r="O18" i="320"/>
  <c r="AH18" i="320" s="1"/>
  <c r="AZ18" i="320"/>
  <c r="K49" i="244" s="1"/>
  <c r="O8" i="320"/>
  <c r="AH8" i="320" s="1"/>
  <c r="AZ8" i="320"/>
  <c r="K49" i="233" s="1"/>
  <c r="O52" i="320"/>
  <c r="AH52" i="320" s="1"/>
  <c r="AZ52" i="320"/>
  <c r="K49" i="278" s="1"/>
  <c r="O44" i="320"/>
  <c r="AH44" i="320" s="1"/>
  <c r="BA44" i="320" s="1"/>
  <c r="O63" i="320"/>
  <c r="AH63" i="320" s="1"/>
  <c r="AZ63" i="320"/>
  <c r="K49" i="289" s="1"/>
  <c r="O73" i="320"/>
  <c r="AH73" i="320" s="1"/>
  <c r="BA73" i="320" s="1"/>
  <c r="O28" i="320"/>
  <c r="AH28" i="320" s="1"/>
  <c r="AZ28" i="320"/>
  <c r="K49" i="254" s="1"/>
  <c r="O32" i="320"/>
  <c r="AH32" i="320" s="1"/>
  <c r="AZ32" i="320"/>
  <c r="K49" i="258" s="1"/>
  <c r="I172" i="231"/>
  <c r="I172" i="232"/>
  <c r="I172" i="233"/>
  <c r="I172" i="234"/>
  <c r="I172" i="235"/>
  <c r="I172" i="236"/>
  <c r="I172" i="237"/>
  <c r="I172" i="239"/>
  <c r="I172" i="240"/>
  <c r="I172" i="241"/>
  <c r="I172" i="242"/>
  <c r="I172" i="243"/>
  <c r="I172" i="244"/>
  <c r="I172" i="245"/>
  <c r="I172" i="246"/>
  <c r="I172" i="247"/>
  <c r="I172" i="248"/>
  <c r="I172" i="249"/>
  <c r="I172" i="250"/>
  <c r="I172" i="251"/>
  <c r="I172" i="252"/>
  <c r="I172" i="253"/>
  <c r="I172" i="254"/>
  <c r="I172" i="255"/>
  <c r="I172" i="256"/>
  <c r="I172" i="257"/>
  <c r="I172" i="258"/>
  <c r="I172" i="259"/>
  <c r="I172" i="260"/>
  <c r="I172" i="261"/>
  <c r="I172" i="262"/>
  <c r="I172" i="263"/>
  <c r="I172" i="264"/>
  <c r="I172" i="265"/>
  <c r="I172" i="266"/>
  <c r="I172" i="267"/>
  <c r="I172" i="268"/>
  <c r="I172" i="269"/>
  <c r="I172" i="270"/>
  <c r="I172" i="271"/>
  <c r="I172" i="272"/>
  <c r="I172" i="273"/>
  <c r="I172" i="274"/>
  <c r="I172" i="275"/>
  <c r="I172" i="276"/>
  <c r="I172" i="277"/>
  <c r="I172" i="278"/>
  <c r="I172" i="279"/>
  <c r="I172" i="280"/>
  <c r="I172" i="281"/>
  <c r="I172" i="282"/>
  <c r="I172" i="283"/>
  <c r="I172" i="284"/>
  <c r="I172" i="285"/>
  <c r="I172" i="286"/>
  <c r="I172" i="287"/>
  <c r="I172" i="288"/>
  <c r="I172" i="289"/>
  <c r="I172" i="290"/>
  <c r="I172" i="291"/>
  <c r="I172" i="292"/>
  <c r="I172" i="293"/>
  <c r="I172" i="294"/>
  <c r="I172" i="295"/>
  <c r="I172" i="296"/>
  <c r="I172" i="297"/>
  <c r="I172" i="298"/>
  <c r="I172" i="299"/>
  <c r="I172" i="300"/>
  <c r="I172" i="301"/>
  <c r="I172" i="302"/>
  <c r="I172" i="303"/>
  <c r="I172" i="304"/>
  <c r="I172" i="305"/>
  <c r="I172" i="306"/>
  <c r="I172" i="307"/>
  <c r="I172" i="308"/>
  <c r="I172" i="309"/>
  <c r="I172" i="310"/>
  <c r="I172" i="311"/>
  <c r="I172" i="312"/>
  <c r="I172" i="313"/>
  <c r="I172" i="314"/>
  <c r="I172" i="315"/>
  <c r="I172" i="316"/>
  <c r="I172" i="230"/>
  <c r="I172" i="229"/>
  <c r="K51" i="273" l="1"/>
  <c r="C77" i="273" s="1"/>
  <c r="K49" i="307"/>
  <c r="K49" i="263"/>
  <c r="K49" i="296"/>
  <c r="K49" i="303"/>
  <c r="K49" i="297"/>
  <c r="K49" i="300"/>
  <c r="K49" i="301"/>
  <c r="K49" i="305"/>
  <c r="K49" i="298"/>
  <c r="K49" i="299"/>
  <c r="K49" i="270"/>
  <c r="K49" i="302"/>
  <c r="K49" i="306"/>
  <c r="K49" i="304"/>
  <c r="K49" i="308"/>
  <c r="P73" i="320"/>
  <c r="AI73" i="320" s="1"/>
  <c r="BB73" i="320" s="1"/>
  <c r="P27" i="320"/>
  <c r="AI27" i="320" s="1"/>
  <c r="BA27" i="320"/>
  <c r="L49" i="253" s="1"/>
  <c r="P25" i="320"/>
  <c r="AI25" i="320" s="1"/>
  <c r="BA25" i="320"/>
  <c r="L49" i="251" s="1"/>
  <c r="P35" i="320"/>
  <c r="AI35" i="320" s="1"/>
  <c r="BA35" i="320"/>
  <c r="L49" i="261" s="1"/>
  <c r="P76" i="320"/>
  <c r="AI76" i="320" s="1"/>
  <c r="BB76" i="320" s="1"/>
  <c r="P45" i="320"/>
  <c r="AI45" i="320" s="1"/>
  <c r="BA45" i="320"/>
  <c r="L49" i="271" s="1"/>
  <c r="P65" i="320"/>
  <c r="AI65" i="320" s="1"/>
  <c r="BA65" i="320"/>
  <c r="L49" i="291" s="1"/>
  <c r="P15" i="320"/>
  <c r="AI15" i="320" s="1"/>
  <c r="BA15" i="320"/>
  <c r="L49" i="241" s="1"/>
  <c r="P66" i="320"/>
  <c r="AI66" i="320" s="1"/>
  <c r="BA66" i="320"/>
  <c r="L49" i="292" s="1"/>
  <c r="P14" i="320"/>
  <c r="AI14" i="320" s="1"/>
  <c r="BA14" i="320"/>
  <c r="L49" i="240" s="1"/>
  <c r="P89" i="320"/>
  <c r="AI89" i="320" s="1"/>
  <c r="BA89" i="320"/>
  <c r="L49" i="315" s="1"/>
  <c r="P55" i="320"/>
  <c r="AI55" i="320" s="1"/>
  <c r="BA55" i="320"/>
  <c r="L49" i="281" s="1"/>
  <c r="P90" i="320"/>
  <c r="AI90" i="320" s="1"/>
  <c r="BA90" i="320"/>
  <c r="L49" i="316" s="1"/>
  <c r="P31" i="320"/>
  <c r="AI31" i="320" s="1"/>
  <c r="BA31" i="320"/>
  <c r="L49" i="257" s="1"/>
  <c r="P81" i="320"/>
  <c r="AI81" i="320" s="1"/>
  <c r="BB81" i="320" s="1"/>
  <c r="P53" i="320"/>
  <c r="AI53" i="320" s="1"/>
  <c r="BA53" i="320"/>
  <c r="L49" i="279" s="1"/>
  <c r="P60" i="320"/>
  <c r="AI60" i="320" s="1"/>
  <c r="BA60" i="320"/>
  <c r="L49" i="286" s="1"/>
  <c r="P46" i="320"/>
  <c r="AI46" i="320" s="1"/>
  <c r="BA46" i="320"/>
  <c r="L49" i="272" s="1"/>
  <c r="P40" i="320"/>
  <c r="AI40" i="320" s="1"/>
  <c r="BA40" i="320"/>
  <c r="L49" i="266" s="1"/>
  <c r="P78" i="320"/>
  <c r="AI78" i="320" s="1"/>
  <c r="BB78" i="320" s="1"/>
  <c r="P70" i="320"/>
  <c r="AI70" i="320" s="1"/>
  <c r="BB70" i="320" s="1"/>
  <c r="P64" i="320"/>
  <c r="AI64" i="320" s="1"/>
  <c r="BA64" i="320"/>
  <c r="L49" i="290" s="1"/>
  <c r="P42" i="320"/>
  <c r="AI42" i="320" s="1"/>
  <c r="BA42" i="320"/>
  <c r="L49" i="268" s="1"/>
  <c r="P28" i="320"/>
  <c r="AI28" i="320" s="1"/>
  <c r="BA28" i="320"/>
  <c r="L49" i="254" s="1"/>
  <c r="P63" i="320"/>
  <c r="AI63" i="320" s="1"/>
  <c r="BA63" i="320"/>
  <c r="L49" i="289" s="1"/>
  <c r="P52" i="320"/>
  <c r="AI52" i="320" s="1"/>
  <c r="BA52" i="320"/>
  <c r="L49" i="278" s="1"/>
  <c r="P18" i="320"/>
  <c r="AI18" i="320" s="1"/>
  <c r="BA18" i="320"/>
  <c r="L49" i="244" s="1"/>
  <c r="P58" i="320"/>
  <c r="AI58" i="320" s="1"/>
  <c r="BA58" i="320"/>
  <c r="L49" i="284" s="1"/>
  <c r="P36" i="320"/>
  <c r="AI36" i="320" s="1"/>
  <c r="BA36" i="320"/>
  <c r="L49" i="262" s="1"/>
  <c r="P51" i="320"/>
  <c r="AI51" i="320" s="1"/>
  <c r="BA51" i="320"/>
  <c r="L49" i="277" s="1"/>
  <c r="P69" i="320"/>
  <c r="AI69" i="320" s="1"/>
  <c r="BA69" i="320"/>
  <c r="L49" i="295" s="1"/>
  <c r="P82" i="320"/>
  <c r="AI82" i="320" s="1"/>
  <c r="BB82" i="320" s="1"/>
  <c r="P11" i="320"/>
  <c r="AI11" i="320" s="1"/>
  <c r="BA11" i="320"/>
  <c r="L49" i="236" s="1"/>
  <c r="P88" i="320"/>
  <c r="AI88" i="320" s="1"/>
  <c r="BA88" i="320"/>
  <c r="L49" i="314" s="1"/>
  <c r="P29" i="320"/>
  <c r="AI29" i="320" s="1"/>
  <c r="BA29" i="320"/>
  <c r="L49" i="255" s="1"/>
  <c r="P24" i="320"/>
  <c r="AI24" i="320" s="1"/>
  <c r="BA24" i="320"/>
  <c r="L49" i="250" s="1"/>
  <c r="P50" i="320"/>
  <c r="AI50" i="320" s="1"/>
  <c r="BA50" i="320"/>
  <c r="L49" i="276" s="1"/>
  <c r="P43" i="320"/>
  <c r="AI43" i="320" s="1"/>
  <c r="BA43" i="320"/>
  <c r="L49" i="269" s="1"/>
  <c r="P87" i="320"/>
  <c r="AI87" i="320" s="1"/>
  <c r="BA87" i="320"/>
  <c r="L49" i="313" s="1"/>
  <c r="P67" i="320"/>
  <c r="AI67" i="320" s="1"/>
  <c r="BA67" i="320"/>
  <c r="L49" i="293" s="1"/>
  <c r="P33" i="320"/>
  <c r="AI33" i="320" s="1"/>
  <c r="BA33" i="320"/>
  <c r="L49" i="259" s="1"/>
  <c r="P38" i="320"/>
  <c r="AI38" i="320" s="1"/>
  <c r="BA38" i="320"/>
  <c r="L49" i="264" s="1"/>
  <c r="P77" i="320"/>
  <c r="AI77" i="320" s="1"/>
  <c r="BB77" i="320" s="1"/>
  <c r="P71" i="320"/>
  <c r="AI71" i="320" s="1"/>
  <c r="BB71" i="320" s="1"/>
  <c r="P12" i="320"/>
  <c r="AI12" i="320" s="1"/>
  <c r="BA12" i="320"/>
  <c r="L49" i="237" s="1"/>
  <c r="P74" i="320"/>
  <c r="AI74" i="320" s="1"/>
  <c r="BB74" i="320" s="1"/>
  <c r="P49" i="320"/>
  <c r="AI49" i="320" s="1"/>
  <c r="BA49" i="320"/>
  <c r="L49" i="275" s="1"/>
  <c r="P75" i="320"/>
  <c r="AI75" i="320" s="1"/>
  <c r="BB75" i="320" s="1"/>
  <c r="P57" i="320"/>
  <c r="AI57" i="320" s="1"/>
  <c r="BA57" i="320"/>
  <c r="L49" i="283" s="1"/>
  <c r="P41" i="320"/>
  <c r="AI41" i="320" s="1"/>
  <c r="BA41" i="320"/>
  <c r="L49" i="267" s="1"/>
  <c r="P85" i="320"/>
  <c r="AI85" i="320" s="1"/>
  <c r="BA85" i="320"/>
  <c r="L49" i="311" s="1"/>
  <c r="P84" i="320"/>
  <c r="AI84" i="320" s="1"/>
  <c r="BA84" i="320"/>
  <c r="L49" i="310" s="1"/>
  <c r="P79" i="320"/>
  <c r="AI79" i="320" s="1"/>
  <c r="BB79" i="320" s="1"/>
  <c r="P23" i="320"/>
  <c r="AI23" i="320" s="1"/>
  <c r="BA23" i="320"/>
  <c r="L49" i="249" s="1"/>
  <c r="P4" i="320"/>
  <c r="AI4" i="320" s="1"/>
  <c r="BA4" i="320"/>
  <c r="L49" i="229" s="1"/>
  <c r="P61" i="320"/>
  <c r="AI61" i="320" s="1"/>
  <c r="BA61" i="320"/>
  <c r="L49" i="287" s="1"/>
  <c r="P47" i="320"/>
  <c r="AI47" i="320" s="1"/>
  <c r="BA47" i="320"/>
  <c r="L49" i="273" s="1"/>
  <c r="P6" i="320"/>
  <c r="AI6" i="320" s="1"/>
  <c r="BA6" i="320"/>
  <c r="L49" i="231" s="1"/>
  <c r="P68" i="320"/>
  <c r="AI68" i="320" s="1"/>
  <c r="BA68" i="320"/>
  <c r="L49" i="294" s="1"/>
  <c r="P21" i="320"/>
  <c r="AI21" i="320" s="1"/>
  <c r="BA21" i="320"/>
  <c r="L49" i="247" s="1"/>
  <c r="P72" i="320"/>
  <c r="AI72" i="320" s="1"/>
  <c r="BB72" i="320" s="1"/>
  <c r="P39" i="320"/>
  <c r="AI39" i="320" s="1"/>
  <c r="BA39" i="320"/>
  <c r="L49" i="265" s="1"/>
  <c r="P20" i="320"/>
  <c r="AI20" i="320" s="1"/>
  <c r="BA20" i="320"/>
  <c r="L49" i="246" s="1"/>
  <c r="P54" i="320"/>
  <c r="AI54" i="320" s="1"/>
  <c r="BA54" i="320"/>
  <c r="L49" i="280" s="1"/>
  <c r="P86" i="320"/>
  <c r="AI86" i="320" s="1"/>
  <c r="BA86" i="320"/>
  <c r="L49" i="312" s="1"/>
  <c r="P26" i="320"/>
  <c r="AI26" i="320" s="1"/>
  <c r="BA26" i="320"/>
  <c r="L49" i="252" s="1"/>
  <c r="P32" i="320"/>
  <c r="AI32" i="320" s="1"/>
  <c r="BA32" i="320"/>
  <c r="L49" i="258" s="1"/>
  <c r="P44" i="320"/>
  <c r="AI44" i="320" s="1"/>
  <c r="BB44" i="320" s="1"/>
  <c r="P8" i="320"/>
  <c r="AI8" i="320" s="1"/>
  <c r="BA8" i="320"/>
  <c r="L49" i="233" s="1"/>
  <c r="P56" i="320"/>
  <c r="AI56" i="320" s="1"/>
  <c r="BA56" i="320"/>
  <c r="L49" i="282" s="1"/>
  <c r="P22" i="320"/>
  <c r="AI22" i="320" s="1"/>
  <c r="BA22" i="320"/>
  <c r="L49" i="248" s="1"/>
  <c r="P62" i="320"/>
  <c r="AI62" i="320" s="1"/>
  <c r="BA62" i="320"/>
  <c r="L49" i="288" s="1"/>
  <c r="P9" i="320"/>
  <c r="AI9" i="320" s="1"/>
  <c r="BA9" i="320"/>
  <c r="L49" i="234" s="1"/>
  <c r="P5" i="320"/>
  <c r="AI5" i="320" s="1"/>
  <c r="BA5" i="320"/>
  <c r="L49" i="230" s="1"/>
  <c r="P19" i="320"/>
  <c r="AI19" i="320" s="1"/>
  <c r="BA19" i="320"/>
  <c r="L49" i="245" s="1"/>
  <c r="P83" i="320"/>
  <c r="AI83" i="320" s="1"/>
  <c r="BA83" i="320"/>
  <c r="L49" i="309" s="1"/>
  <c r="P10" i="320"/>
  <c r="AI10" i="320" s="1"/>
  <c r="BA10" i="320"/>
  <c r="L49" i="235" s="1"/>
  <c r="P80" i="320"/>
  <c r="AI80" i="320" s="1"/>
  <c r="BB80" i="320" s="1"/>
  <c r="P48" i="320"/>
  <c r="AI48" i="320" s="1"/>
  <c r="BA48" i="320"/>
  <c r="L49" i="274" s="1"/>
  <c r="P34" i="320"/>
  <c r="AI34" i="320" s="1"/>
  <c r="BA34" i="320"/>
  <c r="L49" i="260" s="1"/>
  <c r="P17" i="320"/>
  <c r="AI17" i="320" s="1"/>
  <c r="BA17" i="320"/>
  <c r="L49" i="243" s="1"/>
  <c r="P37" i="320"/>
  <c r="AI37" i="320" s="1"/>
  <c r="BB37" i="320" s="1"/>
  <c r="P30" i="320"/>
  <c r="AI30" i="320" s="1"/>
  <c r="BA30" i="320"/>
  <c r="L49" i="256" s="1"/>
  <c r="P7" i="320"/>
  <c r="AI7" i="320" s="1"/>
  <c r="BA7" i="320"/>
  <c r="L49" i="232" s="1"/>
  <c r="P59" i="320"/>
  <c r="AI59" i="320" s="1"/>
  <c r="BA59" i="320"/>
  <c r="L49" i="285" s="1"/>
  <c r="P16" i="320"/>
  <c r="AI16" i="320" s="1"/>
  <c r="BA16" i="320"/>
  <c r="L49" i="242" s="1"/>
  <c r="P13" i="320"/>
  <c r="AI13" i="320" s="1"/>
  <c r="BA13" i="320"/>
  <c r="L49" i="239" s="1"/>
  <c r="L51" i="273" l="1"/>
  <c r="C78" i="273" s="1"/>
  <c r="L49" i="298"/>
  <c r="L49" i="305"/>
  <c r="L49" i="307"/>
  <c r="L49" i="302"/>
  <c r="L49" i="299"/>
  <c r="L49" i="263"/>
  <c r="L49" i="306"/>
  <c r="L49" i="270"/>
  <c r="L49" i="301"/>
  <c r="L49" i="300"/>
  <c r="L49" i="297"/>
  <c r="L49" i="308"/>
  <c r="L49" i="304"/>
  <c r="L49" i="303"/>
  <c r="L49" i="296"/>
  <c r="Q59" i="320"/>
  <c r="AJ59" i="320" s="1"/>
  <c r="BB59" i="320"/>
  <c r="M49" i="285" s="1"/>
  <c r="Q48" i="320"/>
  <c r="AJ48" i="320" s="1"/>
  <c r="BB48" i="320"/>
  <c r="M49" i="274" s="1"/>
  <c r="Q19" i="320"/>
  <c r="AJ19" i="320" s="1"/>
  <c r="BB19" i="320"/>
  <c r="M49" i="245" s="1"/>
  <c r="Q22" i="320"/>
  <c r="AJ22" i="320" s="1"/>
  <c r="BB22" i="320"/>
  <c r="M49" i="248" s="1"/>
  <c r="Q8" i="320"/>
  <c r="AJ8" i="320" s="1"/>
  <c r="BB8" i="320"/>
  <c r="M49" i="233" s="1"/>
  <c r="Q86" i="320"/>
  <c r="AJ86" i="320" s="1"/>
  <c r="BB86" i="320"/>
  <c r="M49" i="312" s="1"/>
  <c r="Q72" i="320"/>
  <c r="AJ72" i="320" s="1"/>
  <c r="BC72" i="320" s="1"/>
  <c r="Q47" i="320"/>
  <c r="AJ47" i="320" s="1"/>
  <c r="BB47" i="320"/>
  <c r="M49" i="273" s="1"/>
  <c r="Q79" i="320"/>
  <c r="AJ79" i="320" s="1"/>
  <c r="BC79" i="320" s="1"/>
  <c r="Q57" i="320"/>
  <c r="AJ57" i="320" s="1"/>
  <c r="BB57" i="320"/>
  <c r="M49" i="283" s="1"/>
  <c r="Q12" i="320"/>
  <c r="AJ12" i="320" s="1"/>
  <c r="BB12" i="320"/>
  <c r="M49" i="237" s="1"/>
  <c r="Q77" i="320"/>
  <c r="AJ77" i="320" s="1"/>
  <c r="BC77" i="320" s="1"/>
  <c r="Q50" i="320"/>
  <c r="AJ50" i="320" s="1"/>
  <c r="BB50" i="320"/>
  <c r="M49" i="276" s="1"/>
  <c r="Q11" i="320"/>
  <c r="AJ11" i="320" s="1"/>
  <c r="BB11" i="320"/>
  <c r="M49" i="236" s="1"/>
  <c r="Q69" i="320"/>
  <c r="AJ69" i="320" s="1"/>
  <c r="BB69" i="320"/>
  <c r="M49" i="295" s="1"/>
  <c r="Q18" i="320"/>
  <c r="AJ18" i="320" s="1"/>
  <c r="BB18" i="320"/>
  <c r="M49" i="244" s="1"/>
  <c r="Q63" i="320"/>
  <c r="AJ63" i="320" s="1"/>
  <c r="BB63" i="320"/>
  <c r="M49" i="289" s="1"/>
  <c r="Q42" i="320"/>
  <c r="AJ42" i="320" s="1"/>
  <c r="BB42" i="320"/>
  <c r="M49" i="268" s="1"/>
  <c r="Q40" i="320"/>
  <c r="AJ40" i="320" s="1"/>
  <c r="BB40" i="320"/>
  <c r="M49" i="266" s="1"/>
  <c r="Q60" i="320"/>
  <c r="AJ60" i="320" s="1"/>
  <c r="BB60" i="320"/>
  <c r="M49" i="286" s="1"/>
  <c r="Q81" i="320"/>
  <c r="AJ81" i="320" s="1"/>
  <c r="BC81" i="320" s="1"/>
  <c r="Q90" i="320"/>
  <c r="AJ90" i="320" s="1"/>
  <c r="BB90" i="320"/>
  <c r="M49" i="316" s="1"/>
  <c r="Q89" i="320"/>
  <c r="AJ89" i="320" s="1"/>
  <c r="BB89" i="320"/>
  <c r="M49" i="315" s="1"/>
  <c r="Q66" i="320"/>
  <c r="AJ66" i="320" s="1"/>
  <c r="BB66" i="320"/>
  <c r="M49" i="292" s="1"/>
  <c r="Q65" i="320"/>
  <c r="AJ65" i="320" s="1"/>
  <c r="BB65" i="320"/>
  <c r="M49" i="291" s="1"/>
  <c r="Q76" i="320"/>
  <c r="AJ76" i="320" s="1"/>
  <c r="BC76" i="320" s="1"/>
  <c r="Q25" i="320"/>
  <c r="AJ25" i="320" s="1"/>
  <c r="BB25" i="320"/>
  <c r="M49" i="251" s="1"/>
  <c r="Q16" i="320"/>
  <c r="AJ16" i="320" s="1"/>
  <c r="BB16" i="320"/>
  <c r="M49" i="242" s="1"/>
  <c r="Q7" i="320"/>
  <c r="AJ7" i="320" s="1"/>
  <c r="BB7" i="320"/>
  <c r="M49" i="232" s="1"/>
  <c r="Q37" i="320"/>
  <c r="AJ37" i="320" s="1"/>
  <c r="BC37" i="320" s="1"/>
  <c r="Q34" i="320"/>
  <c r="AJ34" i="320" s="1"/>
  <c r="BB34" i="320"/>
  <c r="M49" i="260" s="1"/>
  <c r="Q80" i="320"/>
  <c r="AJ80" i="320" s="1"/>
  <c r="BC80" i="320" s="1"/>
  <c r="Q83" i="320"/>
  <c r="AJ83" i="320" s="1"/>
  <c r="BB83" i="320"/>
  <c r="M49" i="309" s="1"/>
  <c r="Q5" i="320"/>
  <c r="AJ5" i="320" s="1"/>
  <c r="BB5" i="320"/>
  <c r="M49" i="230" s="1"/>
  <c r="Q62" i="320"/>
  <c r="AJ62" i="320" s="1"/>
  <c r="BB62" i="320"/>
  <c r="M49" i="288" s="1"/>
  <c r="Q56" i="320"/>
  <c r="AJ56" i="320" s="1"/>
  <c r="BB56" i="320"/>
  <c r="M49" i="282" s="1"/>
  <c r="Q44" i="320"/>
  <c r="AJ44" i="320" s="1"/>
  <c r="BC44" i="320" s="1"/>
  <c r="Q26" i="320"/>
  <c r="AJ26" i="320" s="1"/>
  <c r="BB26" i="320"/>
  <c r="M49" i="252" s="1"/>
  <c r="Q54" i="320"/>
  <c r="AJ54" i="320" s="1"/>
  <c r="BB54" i="320"/>
  <c r="M49" i="280" s="1"/>
  <c r="Q39" i="320"/>
  <c r="AJ39" i="320" s="1"/>
  <c r="BB39" i="320"/>
  <c r="M49" i="265" s="1"/>
  <c r="Q21" i="320"/>
  <c r="AJ21" i="320" s="1"/>
  <c r="BB21" i="320"/>
  <c r="M49" i="247" s="1"/>
  <c r="Q6" i="320"/>
  <c r="AJ6" i="320" s="1"/>
  <c r="BB6" i="320"/>
  <c r="M49" i="231" s="1"/>
  <c r="Q61" i="320"/>
  <c r="AJ61" i="320" s="1"/>
  <c r="BB61" i="320"/>
  <c r="M49" i="287" s="1"/>
  <c r="Q23" i="320"/>
  <c r="AJ23" i="320" s="1"/>
  <c r="BB23" i="320"/>
  <c r="M49" i="249" s="1"/>
  <c r="Q84" i="320"/>
  <c r="AJ84" i="320" s="1"/>
  <c r="BB84" i="320"/>
  <c r="M49" i="310" s="1"/>
  <c r="Q41" i="320"/>
  <c r="AJ41" i="320" s="1"/>
  <c r="BB41" i="320"/>
  <c r="M49" i="267" s="1"/>
  <c r="Q75" i="320"/>
  <c r="AJ75" i="320" s="1"/>
  <c r="BC75" i="320" s="1"/>
  <c r="Q74" i="320"/>
  <c r="AJ74" i="320" s="1"/>
  <c r="BC74" i="320" s="1"/>
  <c r="Q71" i="320"/>
  <c r="AJ71" i="320" s="1"/>
  <c r="BC71" i="320" s="1"/>
  <c r="Q38" i="320"/>
  <c r="AJ38" i="320" s="1"/>
  <c r="BB38" i="320"/>
  <c r="M49" i="264" s="1"/>
  <c r="Q67" i="320"/>
  <c r="AJ67" i="320" s="1"/>
  <c r="BB67" i="320"/>
  <c r="M49" i="293" s="1"/>
  <c r="Q43" i="320"/>
  <c r="AJ43" i="320" s="1"/>
  <c r="BB43" i="320"/>
  <c r="M49" i="269" s="1"/>
  <c r="Q24" i="320"/>
  <c r="AJ24" i="320" s="1"/>
  <c r="BB24" i="320"/>
  <c r="M49" i="250" s="1"/>
  <c r="Q88" i="320"/>
  <c r="AJ88" i="320" s="1"/>
  <c r="BB88" i="320"/>
  <c r="M49" i="314" s="1"/>
  <c r="Q82" i="320"/>
  <c r="AJ82" i="320" s="1"/>
  <c r="BC82" i="320" s="1"/>
  <c r="Q51" i="320"/>
  <c r="AJ51" i="320" s="1"/>
  <c r="BB51" i="320"/>
  <c r="M49" i="277" s="1"/>
  <c r="Q58" i="320"/>
  <c r="AJ58" i="320" s="1"/>
  <c r="BB58" i="320"/>
  <c r="M49" i="284" s="1"/>
  <c r="Q52" i="320"/>
  <c r="AJ52" i="320" s="1"/>
  <c r="BB52" i="320"/>
  <c r="M49" i="278" s="1"/>
  <c r="Q28" i="320"/>
  <c r="AJ28" i="320" s="1"/>
  <c r="BB28" i="320"/>
  <c r="M49" i="254" s="1"/>
  <c r="Q64" i="320"/>
  <c r="AJ64" i="320" s="1"/>
  <c r="BB64" i="320"/>
  <c r="M49" i="290" s="1"/>
  <c r="Q78" i="320"/>
  <c r="AJ78" i="320" s="1"/>
  <c r="BC78" i="320" s="1"/>
  <c r="Q46" i="320"/>
  <c r="AJ46" i="320" s="1"/>
  <c r="BB46" i="320"/>
  <c r="M49" i="272" s="1"/>
  <c r="Q53" i="320"/>
  <c r="AJ53" i="320" s="1"/>
  <c r="BB53" i="320"/>
  <c r="M49" i="279" s="1"/>
  <c r="Q31" i="320"/>
  <c r="AJ31" i="320" s="1"/>
  <c r="BB31" i="320"/>
  <c r="M49" i="257" s="1"/>
  <c r="Q55" i="320"/>
  <c r="AJ55" i="320" s="1"/>
  <c r="BB55" i="320"/>
  <c r="M49" i="281" s="1"/>
  <c r="Q14" i="320"/>
  <c r="AJ14" i="320" s="1"/>
  <c r="BB14" i="320"/>
  <c r="M49" i="240" s="1"/>
  <c r="Q15" i="320"/>
  <c r="AJ15" i="320" s="1"/>
  <c r="BB15" i="320"/>
  <c r="M49" i="241" s="1"/>
  <c r="Q45" i="320"/>
  <c r="AJ45" i="320" s="1"/>
  <c r="BB45" i="320"/>
  <c r="M49" i="271" s="1"/>
  <c r="Q35" i="320"/>
  <c r="AJ35" i="320" s="1"/>
  <c r="BB35" i="320"/>
  <c r="M49" i="261" s="1"/>
  <c r="Q27" i="320"/>
  <c r="AJ27" i="320" s="1"/>
  <c r="BB27" i="320"/>
  <c r="M49" i="253" s="1"/>
  <c r="Q13" i="320"/>
  <c r="AJ13" i="320" s="1"/>
  <c r="BB13" i="320"/>
  <c r="M49" i="239" s="1"/>
  <c r="Q30" i="320"/>
  <c r="AJ30" i="320" s="1"/>
  <c r="BB30" i="320"/>
  <c r="M49" i="256" s="1"/>
  <c r="Q17" i="320"/>
  <c r="AJ17" i="320" s="1"/>
  <c r="BB17" i="320"/>
  <c r="M49" i="243" s="1"/>
  <c r="Q10" i="320"/>
  <c r="AJ10" i="320" s="1"/>
  <c r="BB10" i="320"/>
  <c r="M49" i="235" s="1"/>
  <c r="Q9" i="320"/>
  <c r="AJ9" i="320" s="1"/>
  <c r="BB9" i="320"/>
  <c r="M49" i="234" s="1"/>
  <c r="Q32" i="320"/>
  <c r="AJ32" i="320" s="1"/>
  <c r="BB32" i="320"/>
  <c r="M49" i="258" s="1"/>
  <c r="Q20" i="320"/>
  <c r="AJ20" i="320" s="1"/>
  <c r="BB20" i="320"/>
  <c r="M49" i="246" s="1"/>
  <c r="Q68" i="320"/>
  <c r="AJ68" i="320" s="1"/>
  <c r="BB68" i="320"/>
  <c r="M49" i="294" s="1"/>
  <c r="Q4" i="320"/>
  <c r="AJ4" i="320" s="1"/>
  <c r="BB4" i="320"/>
  <c r="M49" i="229" s="1"/>
  <c r="Q85" i="320"/>
  <c r="AJ85" i="320" s="1"/>
  <c r="BB85" i="320"/>
  <c r="M49" i="311" s="1"/>
  <c r="Q49" i="320"/>
  <c r="AJ49" i="320" s="1"/>
  <c r="BB49" i="320"/>
  <c r="M49" i="275" s="1"/>
  <c r="Q33" i="320"/>
  <c r="AJ33" i="320" s="1"/>
  <c r="BB33" i="320"/>
  <c r="M49" i="259" s="1"/>
  <c r="Q87" i="320"/>
  <c r="AJ87" i="320" s="1"/>
  <c r="BB87" i="320"/>
  <c r="M49" i="313" s="1"/>
  <c r="Q29" i="320"/>
  <c r="AJ29" i="320" s="1"/>
  <c r="BB29" i="320"/>
  <c r="M49" i="255" s="1"/>
  <c r="Q36" i="320"/>
  <c r="AJ36" i="320" s="1"/>
  <c r="BB36" i="320"/>
  <c r="M49" i="262" s="1"/>
  <c r="Q70" i="320"/>
  <c r="AJ70" i="320" s="1"/>
  <c r="BC70" i="320" s="1"/>
  <c r="Q73" i="320"/>
  <c r="AJ73" i="320" s="1"/>
  <c r="BC73" i="320" s="1"/>
  <c r="BG60" i="320"/>
  <c r="M51" i="273" l="1"/>
  <c r="C79" i="273" s="1"/>
  <c r="M49" i="299"/>
  <c r="M49" i="304"/>
  <c r="M49" i="297"/>
  <c r="M49" i="307"/>
  <c r="M49" i="305"/>
  <c r="M49" i="298"/>
  <c r="M49" i="296"/>
  <c r="M49" i="308"/>
  <c r="M49" i="301"/>
  <c r="M49" i="270"/>
  <c r="M49" i="300"/>
  <c r="M49" i="306"/>
  <c r="M49" i="263"/>
  <c r="M49" i="302"/>
  <c r="M49" i="303"/>
  <c r="BC36" i="320"/>
  <c r="N49" i="262" s="1"/>
  <c r="R36" i="320"/>
  <c r="AK36" i="320" s="1"/>
  <c r="BC49" i="320"/>
  <c r="N49" i="275" s="1"/>
  <c r="R49" i="320"/>
  <c r="AK49" i="320" s="1"/>
  <c r="BC20" i="320"/>
  <c r="N49" i="246" s="1"/>
  <c r="R20" i="320"/>
  <c r="AK20" i="320" s="1"/>
  <c r="BC17" i="320"/>
  <c r="N49" i="243" s="1"/>
  <c r="R17" i="320"/>
  <c r="AK17" i="320" s="1"/>
  <c r="BC13" i="320"/>
  <c r="N49" i="239" s="1"/>
  <c r="R13" i="320"/>
  <c r="AK13" i="320" s="1"/>
  <c r="BC55" i="320"/>
  <c r="N49" i="281" s="1"/>
  <c r="R55" i="320"/>
  <c r="AK55" i="320" s="1"/>
  <c r="N49" i="304"/>
  <c r="R78" i="320"/>
  <c r="AK78" i="320" s="1"/>
  <c r="BD78" i="320" s="1"/>
  <c r="BC58" i="320"/>
  <c r="N49" i="284" s="1"/>
  <c r="R58" i="320"/>
  <c r="AK58" i="320" s="1"/>
  <c r="BC24" i="320"/>
  <c r="N49" i="250" s="1"/>
  <c r="R24" i="320"/>
  <c r="AK24" i="320" s="1"/>
  <c r="N49" i="297"/>
  <c r="R71" i="320"/>
  <c r="AK71" i="320" s="1"/>
  <c r="BD71" i="320" s="1"/>
  <c r="BC84" i="320"/>
  <c r="N49" i="310" s="1"/>
  <c r="R84" i="320"/>
  <c r="AK84" i="320" s="1"/>
  <c r="BC61" i="320"/>
  <c r="N49" i="287" s="1"/>
  <c r="R61" i="320"/>
  <c r="AK61" i="320" s="1"/>
  <c r="BC54" i="320"/>
  <c r="N49" i="280" s="1"/>
  <c r="R54" i="320"/>
  <c r="AK54" i="320" s="1"/>
  <c r="BC62" i="320"/>
  <c r="N49" i="288" s="1"/>
  <c r="R62" i="320"/>
  <c r="AK62" i="320" s="1"/>
  <c r="BC34" i="320"/>
  <c r="N49" i="260" s="1"/>
  <c r="R34" i="320"/>
  <c r="AK34" i="320" s="1"/>
  <c r="BC25" i="320"/>
  <c r="N49" i="251" s="1"/>
  <c r="R25" i="320"/>
  <c r="AK25" i="320" s="1"/>
  <c r="N49" i="307"/>
  <c r="R81" i="320"/>
  <c r="AK81" i="320" s="1"/>
  <c r="BD81" i="320" s="1"/>
  <c r="BC63" i="320"/>
  <c r="N49" i="289" s="1"/>
  <c r="R63" i="320"/>
  <c r="AK63" i="320" s="1"/>
  <c r="BC50" i="320"/>
  <c r="N49" i="276" s="1"/>
  <c r="R50" i="320"/>
  <c r="AK50" i="320" s="1"/>
  <c r="BC12" i="320"/>
  <c r="N49" i="237" s="1"/>
  <c r="R12" i="320"/>
  <c r="AK12" i="320" s="1"/>
  <c r="N49" i="298"/>
  <c r="R72" i="320"/>
  <c r="AK72" i="320" s="1"/>
  <c r="BD72" i="320" s="1"/>
  <c r="BC8" i="320"/>
  <c r="N49" i="233" s="1"/>
  <c r="R8" i="320"/>
  <c r="AK8" i="320" s="1"/>
  <c r="BC19" i="320"/>
  <c r="N49" i="245" s="1"/>
  <c r="R19" i="320"/>
  <c r="AK19" i="320" s="1"/>
  <c r="N49" i="296"/>
  <c r="R70" i="320"/>
  <c r="AK70" i="320" s="1"/>
  <c r="BD70" i="320" s="1"/>
  <c r="BC29" i="320"/>
  <c r="N49" i="255" s="1"/>
  <c r="R29" i="320"/>
  <c r="AK29" i="320" s="1"/>
  <c r="BC33" i="320"/>
  <c r="N49" i="259" s="1"/>
  <c r="R33" i="320"/>
  <c r="AK33" i="320" s="1"/>
  <c r="BC85" i="320"/>
  <c r="N49" i="311" s="1"/>
  <c r="R85" i="320"/>
  <c r="AK85" i="320" s="1"/>
  <c r="BC68" i="320"/>
  <c r="N49" i="294" s="1"/>
  <c r="R68" i="320"/>
  <c r="AK68" i="320" s="1"/>
  <c r="BC32" i="320"/>
  <c r="N49" i="258" s="1"/>
  <c r="R32" i="320"/>
  <c r="AK32" i="320" s="1"/>
  <c r="BC10" i="320"/>
  <c r="N49" i="235" s="1"/>
  <c r="R10" i="320"/>
  <c r="AK10" i="320" s="1"/>
  <c r="BC30" i="320"/>
  <c r="N49" i="256" s="1"/>
  <c r="R30" i="320"/>
  <c r="AK30" i="320" s="1"/>
  <c r="BC27" i="320"/>
  <c r="N49" i="253" s="1"/>
  <c r="R27" i="320"/>
  <c r="AK27" i="320" s="1"/>
  <c r="BC45" i="320"/>
  <c r="N49" i="271" s="1"/>
  <c r="R45" i="320"/>
  <c r="AK45" i="320" s="1"/>
  <c r="BC14" i="320"/>
  <c r="N49" i="240" s="1"/>
  <c r="R14" i="320"/>
  <c r="AK14" i="320" s="1"/>
  <c r="BC31" i="320"/>
  <c r="N49" i="257" s="1"/>
  <c r="R31" i="320"/>
  <c r="AK31" i="320" s="1"/>
  <c r="BC46" i="320"/>
  <c r="N49" i="272" s="1"/>
  <c r="R46" i="320"/>
  <c r="AK46" i="320" s="1"/>
  <c r="BC64" i="320"/>
  <c r="N49" i="290" s="1"/>
  <c r="R64" i="320"/>
  <c r="AK64" i="320" s="1"/>
  <c r="BC52" i="320"/>
  <c r="N49" i="278" s="1"/>
  <c r="R52" i="320"/>
  <c r="AK52" i="320" s="1"/>
  <c r="BC51" i="320"/>
  <c r="N49" i="277" s="1"/>
  <c r="R51" i="320"/>
  <c r="AK51" i="320" s="1"/>
  <c r="BC88" i="320"/>
  <c r="N49" i="314" s="1"/>
  <c r="R88" i="320"/>
  <c r="AK88" i="320" s="1"/>
  <c r="BC43" i="320"/>
  <c r="N49" i="269" s="1"/>
  <c r="R43" i="320"/>
  <c r="AK43" i="320" s="1"/>
  <c r="BC38" i="320"/>
  <c r="N49" i="264" s="1"/>
  <c r="R38" i="320"/>
  <c r="AK38" i="320" s="1"/>
  <c r="N49" i="300"/>
  <c r="R74" i="320"/>
  <c r="AK74" i="320" s="1"/>
  <c r="BD74" i="320" s="1"/>
  <c r="BC41" i="320"/>
  <c r="N49" i="267" s="1"/>
  <c r="R41" i="320"/>
  <c r="AK41" i="320" s="1"/>
  <c r="BC23" i="320"/>
  <c r="N49" i="249" s="1"/>
  <c r="R23" i="320"/>
  <c r="AK23" i="320" s="1"/>
  <c r="BC6" i="320"/>
  <c r="N49" i="231" s="1"/>
  <c r="R6" i="320"/>
  <c r="AK6" i="320" s="1"/>
  <c r="BC39" i="320"/>
  <c r="N49" i="265" s="1"/>
  <c r="R39" i="320"/>
  <c r="AK39" i="320" s="1"/>
  <c r="BC26" i="320"/>
  <c r="N49" i="252" s="1"/>
  <c r="R26" i="320"/>
  <c r="AK26" i="320" s="1"/>
  <c r="BC56" i="320"/>
  <c r="N49" i="282" s="1"/>
  <c r="R56" i="320"/>
  <c r="AK56" i="320" s="1"/>
  <c r="BC5" i="320"/>
  <c r="N49" i="230" s="1"/>
  <c r="R5" i="320"/>
  <c r="AK5" i="320" s="1"/>
  <c r="N49" i="306"/>
  <c r="R80" i="320"/>
  <c r="AK80" i="320" s="1"/>
  <c r="BD80" i="320" s="1"/>
  <c r="N49" i="263"/>
  <c r="R37" i="320"/>
  <c r="AK37" i="320" s="1"/>
  <c r="BD37" i="320" s="1"/>
  <c r="BC16" i="320"/>
  <c r="N49" i="242" s="1"/>
  <c r="R16" i="320"/>
  <c r="AK16" i="320" s="1"/>
  <c r="N49" i="302"/>
  <c r="R76" i="320"/>
  <c r="AK76" i="320" s="1"/>
  <c r="BD76" i="320" s="1"/>
  <c r="BC66" i="320"/>
  <c r="N49" i="292" s="1"/>
  <c r="R66" i="320"/>
  <c r="AK66" i="320" s="1"/>
  <c r="BC90" i="320"/>
  <c r="N49" i="316" s="1"/>
  <c r="R90" i="320"/>
  <c r="AK90" i="320" s="1"/>
  <c r="BC60" i="320"/>
  <c r="N49" i="286" s="1"/>
  <c r="R60" i="320"/>
  <c r="AK60" i="320" s="1"/>
  <c r="BC42" i="320"/>
  <c r="N49" i="268" s="1"/>
  <c r="R42" i="320"/>
  <c r="AK42" i="320" s="1"/>
  <c r="BC18" i="320"/>
  <c r="N49" i="244" s="1"/>
  <c r="R18" i="320"/>
  <c r="AK18" i="320" s="1"/>
  <c r="BC11" i="320"/>
  <c r="N49" i="236" s="1"/>
  <c r="R11" i="320"/>
  <c r="AK11" i="320" s="1"/>
  <c r="N49" i="303"/>
  <c r="R77" i="320"/>
  <c r="AK77" i="320" s="1"/>
  <c r="BD77" i="320" s="1"/>
  <c r="BC57" i="320"/>
  <c r="N49" i="283" s="1"/>
  <c r="R57" i="320"/>
  <c r="AK57" i="320" s="1"/>
  <c r="BC47" i="320"/>
  <c r="N49" i="273" s="1"/>
  <c r="R47" i="320"/>
  <c r="AK47" i="320" s="1"/>
  <c r="BC86" i="320"/>
  <c r="N49" i="312" s="1"/>
  <c r="R86" i="320"/>
  <c r="AK86" i="320" s="1"/>
  <c r="BC22" i="320"/>
  <c r="N49" i="248" s="1"/>
  <c r="R22" i="320"/>
  <c r="AK22" i="320" s="1"/>
  <c r="BC48" i="320"/>
  <c r="N49" i="274" s="1"/>
  <c r="R48" i="320"/>
  <c r="AK48" i="320" s="1"/>
  <c r="N49" i="299"/>
  <c r="R73" i="320"/>
  <c r="AK73" i="320" s="1"/>
  <c r="BD73" i="320" s="1"/>
  <c r="BC87" i="320"/>
  <c r="N49" i="313" s="1"/>
  <c r="R87" i="320"/>
  <c r="AK87" i="320" s="1"/>
  <c r="R4" i="320"/>
  <c r="AK4" i="320" s="1"/>
  <c r="BC9" i="320"/>
  <c r="N49" i="234" s="1"/>
  <c r="R9" i="320"/>
  <c r="AK9" i="320" s="1"/>
  <c r="BC35" i="320"/>
  <c r="N49" i="261" s="1"/>
  <c r="R35" i="320"/>
  <c r="AK35" i="320" s="1"/>
  <c r="BC15" i="320"/>
  <c r="N49" i="241" s="1"/>
  <c r="R15" i="320"/>
  <c r="AK15" i="320" s="1"/>
  <c r="BC53" i="320"/>
  <c r="N49" i="279" s="1"/>
  <c r="R53" i="320"/>
  <c r="AK53" i="320" s="1"/>
  <c r="BC28" i="320"/>
  <c r="N49" i="254" s="1"/>
  <c r="R28" i="320"/>
  <c r="AK28" i="320" s="1"/>
  <c r="N49" i="308"/>
  <c r="R82" i="320"/>
  <c r="AK82" i="320" s="1"/>
  <c r="BD82" i="320" s="1"/>
  <c r="BC67" i="320"/>
  <c r="N49" i="293" s="1"/>
  <c r="R67" i="320"/>
  <c r="AK67" i="320" s="1"/>
  <c r="N49" i="301"/>
  <c r="R75" i="320"/>
  <c r="AK75" i="320" s="1"/>
  <c r="BD75" i="320" s="1"/>
  <c r="BC21" i="320"/>
  <c r="N49" i="247" s="1"/>
  <c r="R21" i="320"/>
  <c r="AK21" i="320" s="1"/>
  <c r="N49" i="270"/>
  <c r="R44" i="320"/>
  <c r="AK44" i="320" s="1"/>
  <c r="BD44" i="320" s="1"/>
  <c r="BC83" i="320"/>
  <c r="N49" i="309" s="1"/>
  <c r="R83" i="320"/>
  <c r="AK83" i="320" s="1"/>
  <c r="BC7" i="320"/>
  <c r="N49" i="232" s="1"/>
  <c r="R7" i="320"/>
  <c r="AK7" i="320" s="1"/>
  <c r="BC65" i="320"/>
  <c r="N49" i="291" s="1"/>
  <c r="R65" i="320"/>
  <c r="AK65" i="320" s="1"/>
  <c r="BC89" i="320"/>
  <c r="N49" i="315" s="1"/>
  <c r="R89" i="320"/>
  <c r="AK89" i="320" s="1"/>
  <c r="BC40" i="320"/>
  <c r="N49" i="266" s="1"/>
  <c r="R40" i="320"/>
  <c r="AK40" i="320" s="1"/>
  <c r="BC69" i="320"/>
  <c r="N49" i="295" s="1"/>
  <c r="R69" i="320"/>
  <c r="AK69" i="320" s="1"/>
  <c r="N49" i="305"/>
  <c r="R79" i="320"/>
  <c r="AK79" i="320" s="1"/>
  <c r="BD79" i="320" s="1"/>
  <c r="BC59" i="320"/>
  <c r="N49" i="285" s="1"/>
  <c r="R59" i="320"/>
  <c r="AK59" i="320" s="1"/>
  <c r="E63" i="273"/>
  <c r="E62" i="273"/>
  <c r="C94" i="217"/>
  <c r="B94" i="217"/>
  <c r="BR40" i="320" l="1"/>
  <c r="BR83" i="320"/>
  <c r="BR67" i="320"/>
  <c r="BR28" i="320"/>
  <c r="BR9" i="320"/>
  <c r="BR48" i="320"/>
  <c r="BR57" i="320"/>
  <c r="BR42" i="320"/>
  <c r="BR76" i="320"/>
  <c r="BR5" i="320"/>
  <c r="BR6" i="320"/>
  <c r="BR38" i="320"/>
  <c r="BR52" i="320"/>
  <c r="BR14" i="320"/>
  <c r="BR10" i="320"/>
  <c r="BR68" i="320"/>
  <c r="BR33" i="320"/>
  <c r="BR70" i="320"/>
  <c r="BR8" i="320"/>
  <c r="BR63" i="320"/>
  <c r="BR25" i="320"/>
  <c r="BR61" i="320"/>
  <c r="BR58" i="320"/>
  <c r="BR17" i="320"/>
  <c r="BR69" i="320"/>
  <c r="BR89" i="320"/>
  <c r="BR7" i="320"/>
  <c r="BR75" i="320"/>
  <c r="BR82" i="320"/>
  <c r="BR53" i="320"/>
  <c r="BR35" i="320"/>
  <c r="BR73" i="320"/>
  <c r="BR22" i="320"/>
  <c r="BR47" i="320"/>
  <c r="N51" i="273"/>
  <c r="C80" i="273" s="1"/>
  <c r="BR77" i="320"/>
  <c r="BR18" i="320"/>
  <c r="BR60" i="320"/>
  <c r="BR66" i="320"/>
  <c r="BR16" i="320"/>
  <c r="BR80" i="320"/>
  <c r="BR56" i="320"/>
  <c r="BR39" i="320"/>
  <c r="BR23" i="320"/>
  <c r="BR74" i="320"/>
  <c r="BR43" i="320"/>
  <c r="BR51" i="320"/>
  <c r="BR64" i="320"/>
  <c r="BR31" i="320"/>
  <c r="BR45" i="320"/>
  <c r="BR30" i="320"/>
  <c r="BR32" i="320"/>
  <c r="BR85" i="320"/>
  <c r="BR29" i="320"/>
  <c r="BR19" i="320"/>
  <c r="BR72" i="320"/>
  <c r="BR50" i="320"/>
  <c r="BR81" i="320"/>
  <c r="BR34" i="320"/>
  <c r="BR54" i="320"/>
  <c r="BR84" i="320"/>
  <c r="BR24" i="320"/>
  <c r="BR78" i="320"/>
  <c r="BR13" i="320"/>
  <c r="BR20" i="320"/>
  <c r="BR36" i="320"/>
  <c r="BR79" i="320"/>
  <c r="BR65" i="320"/>
  <c r="BR21" i="320"/>
  <c r="BR15" i="320"/>
  <c r="BR87" i="320"/>
  <c r="BR86" i="320"/>
  <c r="BR11" i="320"/>
  <c r="BR90" i="320"/>
  <c r="BR37" i="320"/>
  <c r="BR26" i="320"/>
  <c r="BR41" i="320"/>
  <c r="BR88" i="320"/>
  <c r="BR46" i="320"/>
  <c r="BR27" i="320"/>
  <c r="BR71" i="320"/>
  <c r="BR55" i="320"/>
  <c r="BR49" i="320"/>
  <c r="BR59" i="320"/>
  <c r="BR44" i="320"/>
  <c r="BR12" i="320"/>
  <c r="O49" i="303"/>
  <c r="S77" i="320"/>
  <c r="AL77" i="320" s="1"/>
  <c r="BE77" i="320" s="1"/>
  <c r="BC94" i="320"/>
  <c r="BR62" i="320"/>
  <c r="BC4" i="320"/>
  <c r="N49" i="229" s="1"/>
  <c r="AJ91" i="320"/>
  <c r="BD59" i="320"/>
  <c r="O49" i="285" s="1"/>
  <c r="S59" i="320"/>
  <c r="AL59" i="320" s="1"/>
  <c r="BD69" i="320"/>
  <c r="O49" i="295" s="1"/>
  <c r="S69" i="320"/>
  <c r="AL69" i="320" s="1"/>
  <c r="BD89" i="320"/>
  <c r="O49" i="315" s="1"/>
  <c r="S89" i="320"/>
  <c r="AL89" i="320" s="1"/>
  <c r="BD7" i="320"/>
  <c r="O49" i="232" s="1"/>
  <c r="S7" i="320"/>
  <c r="AL7" i="320" s="1"/>
  <c r="O49" i="270"/>
  <c r="S44" i="320"/>
  <c r="AL44" i="320" s="1"/>
  <c r="BE44" i="320" s="1"/>
  <c r="O49" i="301"/>
  <c r="S75" i="320"/>
  <c r="AL75" i="320" s="1"/>
  <c r="BE75" i="320" s="1"/>
  <c r="O49" i="308"/>
  <c r="S82" i="320"/>
  <c r="AL82" i="320" s="1"/>
  <c r="BE82" i="320" s="1"/>
  <c r="BD53" i="320"/>
  <c r="O49" i="279" s="1"/>
  <c r="S53" i="320"/>
  <c r="AL53" i="320" s="1"/>
  <c r="BD35" i="320"/>
  <c r="O49" i="261" s="1"/>
  <c r="S35" i="320"/>
  <c r="AL35" i="320" s="1"/>
  <c r="S4" i="320"/>
  <c r="AL4" i="320" s="1"/>
  <c r="O49" i="299"/>
  <c r="S73" i="320"/>
  <c r="AL73" i="320" s="1"/>
  <c r="BE73" i="320" s="1"/>
  <c r="BD22" i="320"/>
  <c r="O49" i="248" s="1"/>
  <c r="S22" i="320"/>
  <c r="AL22" i="320" s="1"/>
  <c r="BD47" i="320"/>
  <c r="O49" i="273" s="1"/>
  <c r="S47" i="320"/>
  <c r="AL47" i="320" s="1"/>
  <c r="BD18" i="320"/>
  <c r="O49" i="244" s="1"/>
  <c r="S18" i="320"/>
  <c r="AL18" i="320" s="1"/>
  <c r="BD60" i="320"/>
  <c r="O49" i="286" s="1"/>
  <c r="S60" i="320"/>
  <c r="AL60" i="320" s="1"/>
  <c r="BD66" i="320"/>
  <c r="O49" i="292" s="1"/>
  <c r="S66" i="320"/>
  <c r="AL66" i="320" s="1"/>
  <c r="BD16" i="320"/>
  <c r="O49" i="242" s="1"/>
  <c r="S16" i="320"/>
  <c r="AL16" i="320" s="1"/>
  <c r="O49" i="306"/>
  <c r="S80" i="320"/>
  <c r="AL80" i="320" s="1"/>
  <c r="BE80" i="320" s="1"/>
  <c r="BD56" i="320"/>
  <c r="O49" i="282" s="1"/>
  <c r="S56" i="320"/>
  <c r="AL56" i="320" s="1"/>
  <c r="BD39" i="320"/>
  <c r="O49" i="265" s="1"/>
  <c r="S39" i="320"/>
  <c r="AL39" i="320" s="1"/>
  <c r="BD23" i="320"/>
  <c r="O49" i="249" s="1"/>
  <c r="S23" i="320"/>
  <c r="AL23" i="320" s="1"/>
  <c r="O49" i="300"/>
  <c r="S74" i="320"/>
  <c r="AL74" i="320" s="1"/>
  <c r="BE74" i="320" s="1"/>
  <c r="BD43" i="320"/>
  <c r="O49" i="269" s="1"/>
  <c r="S43" i="320"/>
  <c r="AL43" i="320" s="1"/>
  <c r="BD51" i="320"/>
  <c r="O49" i="277" s="1"/>
  <c r="S51" i="320"/>
  <c r="AL51" i="320" s="1"/>
  <c r="BD64" i="320"/>
  <c r="O49" i="290" s="1"/>
  <c r="S64" i="320"/>
  <c r="AL64" i="320" s="1"/>
  <c r="BD31" i="320"/>
  <c r="O49" i="257" s="1"/>
  <c r="S31" i="320"/>
  <c r="AL31" i="320" s="1"/>
  <c r="BD45" i="320"/>
  <c r="O49" i="271" s="1"/>
  <c r="S45" i="320"/>
  <c r="AL45" i="320" s="1"/>
  <c r="BD30" i="320"/>
  <c r="O49" i="256" s="1"/>
  <c r="S30" i="320"/>
  <c r="AL30" i="320" s="1"/>
  <c r="BD32" i="320"/>
  <c r="O49" i="258" s="1"/>
  <c r="S32" i="320"/>
  <c r="AL32" i="320" s="1"/>
  <c r="BD85" i="320"/>
  <c r="O49" i="311" s="1"/>
  <c r="S85" i="320"/>
  <c r="AL85" i="320" s="1"/>
  <c r="BD29" i="320"/>
  <c r="O49" i="255" s="1"/>
  <c r="S29" i="320"/>
  <c r="AL29" i="320" s="1"/>
  <c r="BD19" i="320"/>
  <c r="O49" i="245" s="1"/>
  <c r="S19" i="320"/>
  <c r="AL19" i="320" s="1"/>
  <c r="O49" i="298"/>
  <c r="S72" i="320"/>
  <c r="AL72" i="320" s="1"/>
  <c r="BE72" i="320" s="1"/>
  <c r="BD50" i="320"/>
  <c r="O49" i="276" s="1"/>
  <c r="S50" i="320"/>
  <c r="AL50" i="320" s="1"/>
  <c r="O49" i="307"/>
  <c r="S81" i="320"/>
  <c r="AL81" i="320" s="1"/>
  <c r="BE81" i="320" s="1"/>
  <c r="BD34" i="320"/>
  <c r="O49" i="260" s="1"/>
  <c r="S34" i="320"/>
  <c r="AL34" i="320" s="1"/>
  <c r="BD54" i="320"/>
  <c r="O49" i="280" s="1"/>
  <c r="S54" i="320"/>
  <c r="AL54" i="320" s="1"/>
  <c r="BD84" i="320"/>
  <c r="O49" i="310" s="1"/>
  <c r="S84" i="320"/>
  <c r="AL84" i="320" s="1"/>
  <c r="BD24" i="320"/>
  <c r="O49" i="250" s="1"/>
  <c r="S24" i="320"/>
  <c r="AL24" i="320" s="1"/>
  <c r="O49" i="304"/>
  <c r="S78" i="320"/>
  <c r="AL78" i="320" s="1"/>
  <c r="BE78" i="320" s="1"/>
  <c r="BD13" i="320"/>
  <c r="O49" i="239" s="1"/>
  <c r="S13" i="320"/>
  <c r="AL13" i="320" s="1"/>
  <c r="BD20" i="320"/>
  <c r="O49" i="246" s="1"/>
  <c r="S20" i="320"/>
  <c r="AL20" i="320" s="1"/>
  <c r="BD36" i="320"/>
  <c r="O49" i="262" s="1"/>
  <c r="S36" i="320"/>
  <c r="AL36" i="320" s="1"/>
  <c r="O49" i="305"/>
  <c r="S79" i="320"/>
  <c r="AL79" i="320" s="1"/>
  <c r="BE79" i="320" s="1"/>
  <c r="BD40" i="320"/>
  <c r="O49" i="266" s="1"/>
  <c r="S40" i="320"/>
  <c r="AL40" i="320" s="1"/>
  <c r="BD65" i="320"/>
  <c r="O49" i="291" s="1"/>
  <c r="S65" i="320"/>
  <c r="AL65" i="320" s="1"/>
  <c r="BD83" i="320"/>
  <c r="O49" i="309" s="1"/>
  <c r="S83" i="320"/>
  <c r="AL83" i="320" s="1"/>
  <c r="BD21" i="320"/>
  <c r="O49" i="247" s="1"/>
  <c r="S21" i="320"/>
  <c r="AL21" i="320" s="1"/>
  <c r="BD67" i="320"/>
  <c r="O49" i="293" s="1"/>
  <c r="S67" i="320"/>
  <c r="AL67" i="320" s="1"/>
  <c r="BD28" i="320"/>
  <c r="O49" i="254" s="1"/>
  <c r="S28" i="320"/>
  <c r="AL28" i="320" s="1"/>
  <c r="BD15" i="320"/>
  <c r="O49" i="241" s="1"/>
  <c r="S15" i="320"/>
  <c r="AL15" i="320" s="1"/>
  <c r="BD9" i="320"/>
  <c r="O49" i="234" s="1"/>
  <c r="S9" i="320"/>
  <c r="AL9" i="320" s="1"/>
  <c r="BD87" i="320"/>
  <c r="O49" i="313" s="1"/>
  <c r="S87" i="320"/>
  <c r="AL87" i="320" s="1"/>
  <c r="BD48" i="320"/>
  <c r="O49" i="274" s="1"/>
  <c r="S48" i="320"/>
  <c r="AL48" i="320" s="1"/>
  <c r="BD86" i="320"/>
  <c r="O49" i="312" s="1"/>
  <c r="S86" i="320"/>
  <c r="AL86" i="320" s="1"/>
  <c r="BD57" i="320"/>
  <c r="O49" i="283" s="1"/>
  <c r="S57" i="320"/>
  <c r="AL57" i="320" s="1"/>
  <c r="BD11" i="320"/>
  <c r="O49" i="236" s="1"/>
  <c r="S11" i="320"/>
  <c r="AL11" i="320" s="1"/>
  <c r="BD42" i="320"/>
  <c r="O49" i="268" s="1"/>
  <c r="S42" i="320"/>
  <c r="AL42" i="320" s="1"/>
  <c r="BD90" i="320"/>
  <c r="O49" i="316" s="1"/>
  <c r="S90" i="320"/>
  <c r="AL90" i="320" s="1"/>
  <c r="O49" i="302"/>
  <c r="S76" i="320"/>
  <c r="AL76" i="320" s="1"/>
  <c r="BE76" i="320" s="1"/>
  <c r="O49" i="263"/>
  <c r="S37" i="320"/>
  <c r="AL37" i="320" s="1"/>
  <c r="BE37" i="320" s="1"/>
  <c r="BD5" i="320"/>
  <c r="O49" i="230" s="1"/>
  <c r="S5" i="320"/>
  <c r="AL5" i="320" s="1"/>
  <c r="BD26" i="320"/>
  <c r="O49" i="252" s="1"/>
  <c r="S26" i="320"/>
  <c r="AL26" i="320" s="1"/>
  <c r="BD6" i="320"/>
  <c r="O49" i="231" s="1"/>
  <c r="S6" i="320"/>
  <c r="AL6" i="320" s="1"/>
  <c r="BD41" i="320"/>
  <c r="O49" i="267" s="1"/>
  <c r="S41" i="320"/>
  <c r="AL41" i="320" s="1"/>
  <c r="BD38" i="320"/>
  <c r="O49" i="264" s="1"/>
  <c r="S38" i="320"/>
  <c r="AL38" i="320" s="1"/>
  <c r="BD88" i="320"/>
  <c r="O49" i="314" s="1"/>
  <c r="S88" i="320"/>
  <c r="AL88" i="320" s="1"/>
  <c r="BD52" i="320"/>
  <c r="O49" i="278" s="1"/>
  <c r="S52" i="320"/>
  <c r="AL52" i="320" s="1"/>
  <c r="BD46" i="320"/>
  <c r="O49" i="272" s="1"/>
  <c r="S46" i="320"/>
  <c r="AL46" i="320" s="1"/>
  <c r="BD14" i="320"/>
  <c r="O49" i="240" s="1"/>
  <c r="S14" i="320"/>
  <c r="AL14" i="320" s="1"/>
  <c r="BD27" i="320"/>
  <c r="O49" i="253" s="1"/>
  <c r="S27" i="320"/>
  <c r="AL27" i="320" s="1"/>
  <c r="BD10" i="320"/>
  <c r="O49" i="235" s="1"/>
  <c r="S10" i="320"/>
  <c r="AL10" i="320" s="1"/>
  <c r="BD68" i="320"/>
  <c r="O49" i="294" s="1"/>
  <c r="S68" i="320"/>
  <c r="AL68" i="320" s="1"/>
  <c r="BD33" i="320"/>
  <c r="O49" i="259" s="1"/>
  <c r="S33" i="320"/>
  <c r="AL33" i="320" s="1"/>
  <c r="O49" i="296"/>
  <c r="S70" i="320"/>
  <c r="AL70" i="320" s="1"/>
  <c r="BE70" i="320" s="1"/>
  <c r="BD8" i="320"/>
  <c r="O49" i="233" s="1"/>
  <c r="S8" i="320"/>
  <c r="AL8" i="320" s="1"/>
  <c r="BD12" i="320"/>
  <c r="O49" i="237" s="1"/>
  <c r="S12" i="320"/>
  <c r="AL12" i="320" s="1"/>
  <c r="BD63" i="320"/>
  <c r="O49" i="289" s="1"/>
  <c r="S63" i="320"/>
  <c r="AL63" i="320" s="1"/>
  <c r="BD25" i="320"/>
  <c r="O49" i="251" s="1"/>
  <c r="S25" i="320"/>
  <c r="AL25" i="320" s="1"/>
  <c r="BD62" i="320"/>
  <c r="O49" i="288" s="1"/>
  <c r="S62" i="320"/>
  <c r="AL62" i="320" s="1"/>
  <c r="BD61" i="320"/>
  <c r="O49" i="287" s="1"/>
  <c r="S61" i="320"/>
  <c r="AL61" i="320" s="1"/>
  <c r="O49" i="297"/>
  <c r="S71" i="320"/>
  <c r="AL71" i="320" s="1"/>
  <c r="BE71" i="320" s="1"/>
  <c r="BD58" i="320"/>
  <c r="O49" i="284" s="1"/>
  <c r="S58" i="320"/>
  <c r="AL58" i="320" s="1"/>
  <c r="BD55" i="320"/>
  <c r="O49" i="281" s="1"/>
  <c r="S55" i="320"/>
  <c r="AL55" i="320" s="1"/>
  <c r="BD17" i="320"/>
  <c r="O49" i="243" s="1"/>
  <c r="S17" i="320"/>
  <c r="AL17" i="320" s="1"/>
  <c r="BD49" i="320"/>
  <c r="O49" i="275" s="1"/>
  <c r="S49" i="320"/>
  <c r="AL49" i="320" s="1"/>
  <c r="D12" i="231"/>
  <c r="D12" i="232"/>
  <c r="D12" i="233"/>
  <c r="D12" i="234"/>
  <c r="D12" i="235"/>
  <c r="D12" i="236"/>
  <c r="D12" i="237"/>
  <c r="D12" i="239"/>
  <c r="D12" i="240"/>
  <c r="D12" i="241"/>
  <c r="D12" i="242"/>
  <c r="D12" i="243"/>
  <c r="D12" i="244"/>
  <c r="D12" i="245"/>
  <c r="D12" i="246"/>
  <c r="D12" i="247"/>
  <c r="D12" i="248"/>
  <c r="D12" i="249"/>
  <c r="D12" i="250"/>
  <c r="D12" i="251"/>
  <c r="D12" i="252"/>
  <c r="D12" i="253"/>
  <c r="D12" i="254"/>
  <c r="D12" i="255"/>
  <c r="D12" i="256"/>
  <c r="D12" i="257"/>
  <c r="D12" i="258"/>
  <c r="D12" i="259"/>
  <c r="D12" i="260"/>
  <c r="D12" i="261"/>
  <c r="D12" i="262"/>
  <c r="D12" i="263"/>
  <c r="D12" i="264"/>
  <c r="D12" i="265"/>
  <c r="D12" i="266"/>
  <c r="D12" i="267"/>
  <c r="D12" i="268"/>
  <c r="D12" i="269"/>
  <c r="D12" i="270"/>
  <c r="D12" i="271"/>
  <c r="D12" i="272"/>
  <c r="D12" i="273"/>
  <c r="D12" i="274"/>
  <c r="D12" i="275"/>
  <c r="D12" i="276"/>
  <c r="D12" i="277"/>
  <c r="D12" i="278"/>
  <c r="D12" i="279"/>
  <c r="D12" i="280"/>
  <c r="D12" i="281"/>
  <c r="D12" i="282"/>
  <c r="D12" i="283"/>
  <c r="D12" i="284"/>
  <c r="D12" i="285"/>
  <c r="D12" i="286"/>
  <c r="D12" i="287"/>
  <c r="D12" i="288"/>
  <c r="D12" i="289"/>
  <c r="D12" i="290"/>
  <c r="D12" i="291"/>
  <c r="D12" i="292"/>
  <c r="D12" i="293"/>
  <c r="D12" i="294"/>
  <c r="D12" i="295"/>
  <c r="D12" i="296"/>
  <c r="D12" i="297"/>
  <c r="D12" i="298"/>
  <c r="D12" i="299"/>
  <c r="D12" i="300"/>
  <c r="D12" i="301"/>
  <c r="D12" i="302"/>
  <c r="D12" i="303"/>
  <c r="D12" i="304"/>
  <c r="D12" i="305"/>
  <c r="D12" i="306"/>
  <c r="D12" i="307"/>
  <c r="D12" i="308"/>
  <c r="D12" i="309"/>
  <c r="D12" i="310"/>
  <c r="D12" i="311"/>
  <c r="D12" i="312"/>
  <c r="D12" i="313"/>
  <c r="D12" i="314"/>
  <c r="D12" i="315"/>
  <c r="D12" i="316"/>
  <c r="D12" i="230"/>
  <c r="D12" i="229"/>
  <c r="BS58" i="320" l="1"/>
  <c r="BS25" i="320"/>
  <c r="BS70" i="320"/>
  <c r="BS27" i="320"/>
  <c r="BS88" i="320"/>
  <c r="BS26" i="320"/>
  <c r="BS90" i="320"/>
  <c r="BS86" i="320"/>
  <c r="BS15" i="320"/>
  <c r="BS83" i="320"/>
  <c r="BS36" i="320"/>
  <c r="BS24" i="320"/>
  <c r="BS81" i="320"/>
  <c r="BS32" i="320"/>
  <c r="BS64" i="320"/>
  <c r="BS23" i="320"/>
  <c r="BS16" i="320"/>
  <c r="BS47" i="320"/>
  <c r="O51" i="273"/>
  <c r="C81" i="273" s="1"/>
  <c r="BS35" i="320"/>
  <c r="BS44" i="320"/>
  <c r="BS89" i="320"/>
  <c r="BS49" i="320"/>
  <c r="BS55" i="320"/>
  <c r="BS71" i="320"/>
  <c r="BS63" i="320"/>
  <c r="BS8" i="320"/>
  <c r="BS33" i="320"/>
  <c r="BS10" i="320"/>
  <c r="BS14" i="320"/>
  <c r="BS52" i="320"/>
  <c r="BS38" i="320"/>
  <c r="BS6" i="320"/>
  <c r="BS5" i="320"/>
  <c r="BS76" i="320"/>
  <c r="BS42" i="320"/>
  <c r="BS57" i="320"/>
  <c r="BS48" i="320"/>
  <c r="BS9" i="320"/>
  <c r="BS28" i="320"/>
  <c r="BS21" i="320"/>
  <c r="BS65" i="320"/>
  <c r="BS79" i="320"/>
  <c r="BS20" i="320"/>
  <c r="BS78" i="320"/>
  <c r="BS84" i="320"/>
  <c r="BS34" i="320"/>
  <c r="BS50" i="320"/>
  <c r="BS19" i="320"/>
  <c r="BS85" i="320"/>
  <c r="BS30" i="320"/>
  <c r="BS31" i="320"/>
  <c r="BS51" i="320"/>
  <c r="BS74" i="320"/>
  <c r="BS39" i="320"/>
  <c r="BS80" i="320"/>
  <c r="BS66" i="320"/>
  <c r="BS18" i="320"/>
  <c r="BS22" i="320"/>
  <c r="BS53" i="320"/>
  <c r="BS75" i="320"/>
  <c r="BS7" i="320"/>
  <c r="BS69" i="320"/>
  <c r="BS77" i="320"/>
  <c r="BS17" i="320"/>
  <c r="BS61" i="320"/>
  <c r="BS68" i="320"/>
  <c r="BS46" i="320"/>
  <c r="BS41" i="320"/>
  <c r="BS37" i="320"/>
  <c r="BS11" i="320"/>
  <c r="BS87" i="320"/>
  <c r="BS67" i="320"/>
  <c r="BS40" i="320"/>
  <c r="BS13" i="320"/>
  <c r="BS54" i="320"/>
  <c r="BS72" i="320"/>
  <c r="BS29" i="320"/>
  <c r="BS45" i="320"/>
  <c r="BS43" i="320"/>
  <c r="BS56" i="320"/>
  <c r="BS60" i="320"/>
  <c r="BS73" i="320"/>
  <c r="BS82" i="320"/>
  <c r="BS59" i="320"/>
  <c r="BS12" i="320"/>
  <c r="BE55" i="320"/>
  <c r="P49" i="281" s="1"/>
  <c r="T55" i="320"/>
  <c r="AM55" i="320" s="1"/>
  <c r="C60" i="281" s="1"/>
  <c r="BE62" i="320"/>
  <c r="P49" i="288" s="1"/>
  <c r="T62" i="320"/>
  <c r="AM62" i="320" s="1"/>
  <c r="C60" i="288" s="1"/>
  <c r="BE8" i="320"/>
  <c r="P49" i="233" s="1"/>
  <c r="T8" i="320"/>
  <c r="AM8" i="320" s="1"/>
  <c r="C60" i="233" s="1"/>
  <c r="BE33" i="320"/>
  <c r="P49" i="259" s="1"/>
  <c r="T33" i="320"/>
  <c r="AM33" i="320" s="1"/>
  <c r="C60" i="259" s="1"/>
  <c r="BE14" i="320"/>
  <c r="P49" i="240" s="1"/>
  <c r="T14" i="320"/>
  <c r="AM14" i="320" s="1"/>
  <c r="C60" i="240" s="1"/>
  <c r="BE52" i="320"/>
  <c r="P49" i="278" s="1"/>
  <c r="T52" i="320"/>
  <c r="AM52" i="320" s="1"/>
  <c r="C60" i="278" s="1"/>
  <c r="BE6" i="320"/>
  <c r="P49" i="231" s="1"/>
  <c r="T6" i="320"/>
  <c r="AM6" i="320" s="1"/>
  <c r="C60" i="231" s="1"/>
  <c r="P49" i="302"/>
  <c r="T76" i="320"/>
  <c r="AM76" i="320" s="1"/>
  <c r="BE42" i="320"/>
  <c r="P49" i="268" s="1"/>
  <c r="T42" i="320"/>
  <c r="AM42" i="320" s="1"/>
  <c r="C60" i="268" s="1"/>
  <c r="BE48" i="320"/>
  <c r="P49" i="274" s="1"/>
  <c r="T48" i="320"/>
  <c r="AM48" i="320" s="1"/>
  <c r="C60" i="274" s="1"/>
  <c r="BE9" i="320"/>
  <c r="P49" i="234" s="1"/>
  <c r="T9" i="320"/>
  <c r="AM9" i="320" s="1"/>
  <c r="C60" i="234" s="1"/>
  <c r="BE28" i="320"/>
  <c r="P49" i="254" s="1"/>
  <c r="T28" i="320"/>
  <c r="AM28" i="320" s="1"/>
  <c r="C60" i="254" s="1"/>
  <c r="BE65" i="320"/>
  <c r="P49" i="291" s="1"/>
  <c r="T65" i="320"/>
  <c r="AM65" i="320" s="1"/>
  <c r="C60" i="291" s="1"/>
  <c r="P49" i="305"/>
  <c r="T79" i="320"/>
  <c r="AM79" i="320" s="1"/>
  <c r="BE20" i="320"/>
  <c r="P49" i="246" s="1"/>
  <c r="T20" i="320"/>
  <c r="AM20" i="320" s="1"/>
  <c r="C60" i="246" s="1"/>
  <c r="P49" i="304"/>
  <c r="T78" i="320"/>
  <c r="AM78" i="320" s="1"/>
  <c r="BE84" i="320"/>
  <c r="P49" i="310" s="1"/>
  <c r="T84" i="320"/>
  <c r="AM84" i="320" s="1"/>
  <c r="C60" i="310" s="1"/>
  <c r="BE34" i="320"/>
  <c r="P49" i="260" s="1"/>
  <c r="T34" i="320"/>
  <c r="AM34" i="320" s="1"/>
  <c r="C60" i="260" s="1"/>
  <c r="BE19" i="320"/>
  <c r="P49" i="245" s="1"/>
  <c r="T19" i="320"/>
  <c r="AM19" i="320" s="1"/>
  <c r="C60" i="245" s="1"/>
  <c r="BE85" i="320"/>
  <c r="P49" i="311" s="1"/>
  <c r="T85" i="320"/>
  <c r="AM85" i="320" s="1"/>
  <c r="C60" i="311" s="1"/>
  <c r="BE30" i="320"/>
  <c r="P49" i="256" s="1"/>
  <c r="T30" i="320"/>
  <c r="AM30" i="320" s="1"/>
  <c r="C60" i="256" s="1"/>
  <c r="BE31" i="320"/>
  <c r="P49" i="257" s="1"/>
  <c r="T31" i="320"/>
  <c r="AM31" i="320" s="1"/>
  <c r="C60" i="257" s="1"/>
  <c r="BE51" i="320"/>
  <c r="P49" i="277" s="1"/>
  <c r="T51" i="320"/>
  <c r="AM51" i="320" s="1"/>
  <c r="C60" i="277" s="1"/>
  <c r="P49" i="300"/>
  <c r="T74" i="320"/>
  <c r="AM74" i="320" s="1"/>
  <c r="BE39" i="320"/>
  <c r="P49" i="265" s="1"/>
  <c r="T39" i="320"/>
  <c r="AM39" i="320" s="1"/>
  <c r="C60" i="265" s="1"/>
  <c r="P49" i="306"/>
  <c r="T80" i="320"/>
  <c r="AM80" i="320" s="1"/>
  <c r="BE66" i="320"/>
  <c r="P49" i="292" s="1"/>
  <c r="T66" i="320"/>
  <c r="AM66" i="320" s="1"/>
  <c r="C60" i="292" s="1"/>
  <c r="BE18" i="320"/>
  <c r="P49" i="244" s="1"/>
  <c r="T18" i="320"/>
  <c r="AM18" i="320" s="1"/>
  <c r="C60" i="244" s="1"/>
  <c r="BE22" i="320"/>
  <c r="P49" i="248" s="1"/>
  <c r="T22" i="320"/>
  <c r="AM22" i="320" s="1"/>
  <c r="C60" i="248" s="1"/>
  <c r="T4" i="320"/>
  <c r="AM4" i="320" s="1"/>
  <c r="C60" i="229" s="1"/>
  <c r="BE53" i="320"/>
  <c r="P49" i="279" s="1"/>
  <c r="T53" i="320"/>
  <c r="AM53" i="320" s="1"/>
  <c r="C60" i="279" s="1"/>
  <c r="P49" i="301"/>
  <c r="T75" i="320"/>
  <c r="AM75" i="320" s="1"/>
  <c r="BE7" i="320"/>
  <c r="P49" i="232" s="1"/>
  <c r="T7" i="320"/>
  <c r="AM7" i="320" s="1"/>
  <c r="C60" i="232" s="1"/>
  <c r="BE69" i="320"/>
  <c r="P49" i="295" s="1"/>
  <c r="T69" i="320"/>
  <c r="AM69" i="320" s="1"/>
  <c r="C60" i="295" s="1"/>
  <c r="P49" i="303"/>
  <c r="T77" i="320"/>
  <c r="AM77" i="320" s="1"/>
  <c r="BD94" i="320"/>
  <c r="BS62" i="320"/>
  <c r="BD4" i="320"/>
  <c r="O49" i="229" s="1"/>
  <c r="AK91" i="320"/>
  <c r="BC91" i="320"/>
  <c r="BR4" i="320"/>
  <c r="BR91" i="320" s="1"/>
  <c r="BE49" i="320"/>
  <c r="P49" i="275" s="1"/>
  <c r="T49" i="320"/>
  <c r="AM49" i="320" s="1"/>
  <c r="C60" i="275" s="1"/>
  <c r="P49" i="297"/>
  <c r="T71" i="320"/>
  <c r="AM71" i="320" s="1"/>
  <c r="BE63" i="320"/>
  <c r="P49" i="289" s="1"/>
  <c r="T63" i="320"/>
  <c r="AM63" i="320" s="1"/>
  <c r="C60" i="289" s="1"/>
  <c r="BE10" i="320"/>
  <c r="P49" i="235" s="1"/>
  <c r="T10" i="320"/>
  <c r="AM10" i="320" s="1"/>
  <c r="C60" i="235" s="1"/>
  <c r="BE38" i="320"/>
  <c r="P49" i="264" s="1"/>
  <c r="T38" i="320"/>
  <c r="AM38" i="320" s="1"/>
  <c r="C60" i="264" s="1"/>
  <c r="BE5" i="320"/>
  <c r="P49" i="230" s="1"/>
  <c r="T5" i="320"/>
  <c r="AM5" i="320" s="1"/>
  <c r="C60" i="230" s="1"/>
  <c r="BE57" i="320"/>
  <c r="P49" i="283" s="1"/>
  <c r="T57" i="320"/>
  <c r="AM57" i="320" s="1"/>
  <c r="C60" i="283" s="1"/>
  <c r="BE21" i="320"/>
  <c r="P49" i="247" s="1"/>
  <c r="T21" i="320"/>
  <c r="AM21" i="320" s="1"/>
  <c r="C60" i="247" s="1"/>
  <c r="BE50" i="320"/>
  <c r="P49" i="276" s="1"/>
  <c r="T50" i="320"/>
  <c r="AM50" i="320" s="1"/>
  <c r="C60" i="276" s="1"/>
  <c r="BE17" i="320"/>
  <c r="P49" i="243" s="1"/>
  <c r="T17" i="320"/>
  <c r="AM17" i="320" s="1"/>
  <c r="C60" i="243" s="1"/>
  <c r="BE58" i="320"/>
  <c r="P49" i="284" s="1"/>
  <c r="T58" i="320"/>
  <c r="AM58" i="320" s="1"/>
  <c r="C60" i="284" s="1"/>
  <c r="BE61" i="320"/>
  <c r="P49" i="287" s="1"/>
  <c r="T61" i="320"/>
  <c r="AM61" i="320" s="1"/>
  <c r="C60" i="287" s="1"/>
  <c r="BE25" i="320"/>
  <c r="P49" i="251" s="1"/>
  <c r="T25" i="320"/>
  <c r="AM25" i="320" s="1"/>
  <c r="C60" i="251" s="1"/>
  <c r="BE12" i="320"/>
  <c r="P49" i="237" s="1"/>
  <c r="T12" i="320"/>
  <c r="P49" i="296"/>
  <c r="T70" i="320"/>
  <c r="AM70" i="320" s="1"/>
  <c r="BE68" i="320"/>
  <c r="P49" i="294" s="1"/>
  <c r="T68" i="320"/>
  <c r="AM68" i="320" s="1"/>
  <c r="C60" i="294" s="1"/>
  <c r="BE27" i="320"/>
  <c r="P49" i="253" s="1"/>
  <c r="T27" i="320"/>
  <c r="AM27" i="320" s="1"/>
  <c r="C60" i="253" s="1"/>
  <c r="BE46" i="320"/>
  <c r="P49" i="272" s="1"/>
  <c r="T46" i="320"/>
  <c r="AM46" i="320" s="1"/>
  <c r="C60" i="272" s="1"/>
  <c r="BE88" i="320"/>
  <c r="P49" i="314" s="1"/>
  <c r="T88" i="320"/>
  <c r="AM88" i="320" s="1"/>
  <c r="C60" i="314" s="1"/>
  <c r="BE41" i="320"/>
  <c r="P49" i="267" s="1"/>
  <c r="T41" i="320"/>
  <c r="AM41" i="320" s="1"/>
  <c r="C60" i="267" s="1"/>
  <c r="BE26" i="320"/>
  <c r="P49" i="252" s="1"/>
  <c r="T26" i="320"/>
  <c r="AM26" i="320" s="1"/>
  <c r="C60" i="252" s="1"/>
  <c r="P49" i="263"/>
  <c r="T37" i="320"/>
  <c r="AM37" i="320" s="1"/>
  <c r="BE90" i="320"/>
  <c r="P49" i="316" s="1"/>
  <c r="T90" i="320"/>
  <c r="AM90" i="320" s="1"/>
  <c r="C60" i="316" s="1"/>
  <c r="BE11" i="320"/>
  <c r="P49" i="236" s="1"/>
  <c r="T11" i="320"/>
  <c r="AM11" i="320" s="1"/>
  <c r="C60" i="236" s="1"/>
  <c r="BE86" i="320"/>
  <c r="P49" i="312" s="1"/>
  <c r="T86" i="320"/>
  <c r="AM86" i="320" s="1"/>
  <c r="C60" i="312" s="1"/>
  <c r="BE87" i="320"/>
  <c r="P49" i="313" s="1"/>
  <c r="T87" i="320"/>
  <c r="AM87" i="320" s="1"/>
  <c r="C60" i="313" s="1"/>
  <c r="BE15" i="320"/>
  <c r="P49" i="241" s="1"/>
  <c r="T15" i="320"/>
  <c r="AM15" i="320" s="1"/>
  <c r="C60" i="241" s="1"/>
  <c r="BE67" i="320"/>
  <c r="P49" i="293" s="1"/>
  <c r="T67" i="320"/>
  <c r="AM67" i="320" s="1"/>
  <c r="C60" i="293" s="1"/>
  <c r="BE83" i="320"/>
  <c r="P49" i="309" s="1"/>
  <c r="T83" i="320"/>
  <c r="AM83" i="320" s="1"/>
  <c r="C60" i="309" s="1"/>
  <c r="BE40" i="320"/>
  <c r="P49" i="266" s="1"/>
  <c r="T40" i="320"/>
  <c r="AM40" i="320" s="1"/>
  <c r="C60" i="266" s="1"/>
  <c r="BE36" i="320"/>
  <c r="P49" i="262" s="1"/>
  <c r="T36" i="320"/>
  <c r="AM36" i="320" s="1"/>
  <c r="C60" i="262" s="1"/>
  <c r="BE13" i="320"/>
  <c r="P49" i="239" s="1"/>
  <c r="T13" i="320"/>
  <c r="AM13" i="320" s="1"/>
  <c r="C60" i="239" s="1"/>
  <c r="BE24" i="320"/>
  <c r="P49" i="250" s="1"/>
  <c r="T24" i="320"/>
  <c r="AM24" i="320" s="1"/>
  <c r="C60" i="250" s="1"/>
  <c r="BE54" i="320"/>
  <c r="P49" i="280" s="1"/>
  <c r="T54" i="320"/>
  <c r="AM54" i="320" s="1"/>
  <c r="C60" i="280" s="1"/>
  <c r="P49" i="307"/>
  <c r="T81" i="320"/>
  <c r="AM81" i="320" s="1"/>
  <c r="P49" i="298"/>
  <c r="T72" i="320"/>
  <c r="AM72" i="320" s="1"/>
  <c r="BE29" i="320"/>
  <c r="P49" i="255" s="1"/>
  <c r="T29" i="320"/>
  <c r="AM29" i="320" s="1"/>
  <c r="C60" i="255" s="1"/>
  <c r="BE32" i="320"/>
  <c r="P49" i="258" s="1"/>
  <c r="T32" i="320"/>
  <c r="AM32" i="320" s="1"/>
  <c r="C60" i="258" s="1"/>
  <c r="BE45" i="320"/>
  <c r="P49" i="271" s="1"/>
  <c r="T45" i="320"/>
  <c r="AM45" i="320" s="1"/>
  <c r="C60" i="271" s="1"/>
  <c r="BE64" i="320"/>
  <c r="P49" i="290" s="1"/>
  <c r="T64" i="320"/>
  <c r="AM64" i="320" s="1"/>
  <c r="C60" i="290" s="1"/>
  <c r="BE43" i="320"/>
  <c r="P49" i="269" s="1"/>
  <c r="T43" i="320"/>
  <c r="AM43" i="320" s="1"/>
  <c r="C60" i="269" s="1"/>
  <c r="BE23" i="320"/>
  <c r="P49" i="249" s="1"/>
  <c r="T23" i="320"/>
  <c r="AM23" i="320" s="1"/>
  <c r="C60" i="249" s="1"/>
  <c r="BE56" i="320"/>
  <c r="P49" i="282" s="1"/>
  <c r="T56" i="320"/>
  <c r="AM56" i="320" s="1"/>
  <c r="C60" i="282" s="1"/>
  <c r="BE16" i="320"/>
  <c r="P49" i="242" s="1"/>
  <c r="T16" i="320"/>
  <c r="AM16" i="320" s="1"/>
  <c r="C60" i="242" s="1"/>
  <c r="BE60" i="320"/>
  <c r="P49" i="286" s="1"/>
  <c r="T60" i="320"/>
  <c r="AM60" i="320" s="1"/>
  <c r="C60" i="286" s="1"/>
  <c r="BE47" i="320"/>
  <c r="P49" i="273" s="1"/>
  <c r="T47" i="320"/>
  <c r="P49" i="299"/>
  <c r="T73" i="320"/>
  <c r="AM73" i="320" s="1"/>
  <c r="BE35" i="320"/>
  <c r="P49" i="261" s="1"/>
  <c r="T35" i="320"/>
  <c r="AM35" i="320" s="1"/>
  <c r="C60" i="261" s="1"/>
  <c r="P49" i="308"/>
  <c r="T82" i="320"/>
  <c r="AM82" i="320" s="1"/>
  <c r="P49" i="270"/>
  <c r="T44" i="320"/>
  <c r="AM44" i="320" s="1"/>
  <c r="BE89" i="320"/>
  <c r="P49" i="315" s="1"/>
  <c r="T89" i="320"/>
  <c r="AM89" i="320" s="1"/>
  <c r="C60" i="315" s="1"/>
  <c r="BE59" i="320"/>
  <c r="P49" i="285" s="1"/>
  <c r="T59" i="320"/>
  <c r="AM59" i="320" s="1"/>
  <c r="C60" i="285" s="1"/>
  <c r="AM47" i="320" l="1"/>
  <c r="C60" i="273" s="1"/>
  <c r="C60" i="308"/>
  <c r="BF82" i="320"/>
  <c r="Q49" i="308" s="1"/>
  <c r="C60" i="299"/>
  <c r="BF73" i="320"/>
  <c r="Q49" i="299" s="1"/>
  <c r="C60" i="307"/>
  <c r="BF81" i="320"/>
  <c r="Q49" i="307" s="1"/>
  <c r="C60" i="296"/>
  <c r="BF70" i="320"/>
  <c r="Q49" i="296" s="1"/>
  <c r="C60" i="303"/>
  <c r="BF77" i="320"/>
  <c r="Q49" i="303" s="1"/>
  <c r="C60" i="306"/>
  <c r="BF80" i="320"/>
  <c r="C60" i="300"/>
  <c r="BF74" i="320"/>
  <c r="Q49" i="300" s="1"/>
  <c r="C60" i="304"/>
  <c r="BF78" i="320"/>
  <c r="Q49" i="304" s="1"/>
  <c r="C60" i="305"/>
  <c r="BF79" i="320"/>
  <c r="C60" i="302"/>
  <c r="BF76" i="320"/>
  <c r="Q49" i="302" s="1"/>
  <c r="C60" i="270"/>
  <c r="BF44" i="320"/>
  <c r="Q49" i="270" s="1"/>
  <c r="C60" i="298"/>
  <c r="BF72" i="320"/>
  <c r="Q49" i="298" s="1"/>
  <c r="C60" i="263"/>
  <c r="BF37" i="320"/>
  <c r="Q49" i="263" s="1"/>
  <c r="AM12" i="320"/>
  <c r="C60" i="237" s="1"/>
  <c r="C60" i="297"/>
  <c r="BF71" i="320"/>
  <c r="Q49" i="297" s="1"/>
  <c r="C60" i="301"/>
  <c r="BF75" i="320"/>
  <c r="Q49" i="301" s="1"/>
  <c r="E64" i="229"/>
  <c r="BF56" i="320"/>
  <c r="Q49" i="282" s="1"/>
  <c r="E64" i="282"/>
  <c r="BF45" i="320"/>
  <c r="Q49" i="271" s="1"/>
  <c r="E64" i="271"/>
  <c r="BF90" i="320"/>
  <c r="Q49" i="316" s="1"/>
  <c r="E64" i="316"/>
  <c r="BF88" i="320"/>
  <c r="Q49" i="314" s="1"/>
  <c r="E64" i="314"/>
  <c r="BF58" i="320"/>
  <c r="Q49" i="284" s="1"/>
  <c r="E64" i="284"/>
  <c r="BF57" i="320"/>
  <c r="Q49" i="283" s="1"/>
  <c r="E64" i="283"/>
  <c r="BF63" i="320"/>
  <c r="Q49" i="289" s="1"/>
  <c r="E64" i="289"/>
  <c r="BF49" i="320"/>
  <c r="Q49" i="275" s="1"/>
  <c r="E64" i="275"/>
  <c r="BF53" i="320"/>
  <c r="Q49" i="279" s="1"/>
  <c r="E64" i="279"/>
  <c r="BF66" i="320"/>
  <c r="Q49" i="292" s="1"/>
  <c r="E64" i="292"/>
  <c r="BF51" i="320"/>
  <c r="Q49" i="277" s="1"/>
  <c r="E64" i="277"/>
  <c r="BF19" i="320"/>
  <c r="Q49" i="245" s="1"/>
  <c r="E64" i="245"/>
  <c r="BF65" i="320"/>
  <c r="Q49" i="291" s="1"/>
  <c r="E64" i="291"/>
  <c r="BF14" i="320"/>
  <c r="Q49" i="240" s="1"/>
  <c r="E64" i="240"/>
  <c r="BF60" i="320"/>
  <c r="Q49" i="286" s="1"/>
  <c r="E64" i="286"/>
  <c r="BF43" i="320"/>
  <c r="Q49" i="269" s="1"/>
  <c r="E64" i="269"/>
  <c r="BF29" i="320"/>
  <c r="Q49" i="255" s="1"/>
  <c r="E64" i="255"/>
  <c r="BF24" i="320"/>
  <c r="Q49" i="250" s="1"/>
  <c r="E64" i="250"/>
  <c r="BF26" i="320"/>
  <c r="Q49" i="252" s="1"/>
  <c r="E64" i="252"/>
  <c r="BF27" i="320"/>
  <c r="Q49" i="253" s="1"/>
  <c r="E64" i="253"/>
  <c r="BF25" i="320"/>
  <c r="Q49" i="251" s="1"/>
  <c r="E64" i="251"/>
  <c r="BF50" i="320"/>
  <c r="Q49" i="276" s="1"/>
  <c r="E64" i="276"/>
  <c r="BF38" i="320"/>
  <c r="Q49" i="264" s="1"/>
  <c r="E64" i="264"/>
  <c r="BF7" i="320"/>
  <c r="Q49" i="232" s="1"/>
  <c r="E64" i="232"/>
  <c r="BF22" i="320"/>
  <c r="Q49" i="248" s="1"/>
  <c r="E64" i="248"/>
  <c r="BF39" i="320"/>
  <c r="Q49" i="265" s="1"/>
  <c r="E64" i="265"/>
  <c r="BF30" i="320"/>
  <c r="Q49" i="256" s="1"/>
  <c r="E64" i="256"/>
  <c r="BF84" i="320"/>
  <c r="Q49" i="310" s="1"/>
  <c r="E64" i="310"/>
  <c r="BF20" i="320"/>
  <c r="Q49" i="246" s="1"/>
  <c r="E64" i="246"/>
  <c r="BF42" i="320"/>
  <c r="Q49" i="268" s="1"/>
  <c r="E64" i="268"/>
  <c r="BF6" i="320"/>
  <c r="Q49" i="231" s="1"/>
  <c r="E64" i="231"/>
  <c r="BF8" i="320"/>
  <c r="Q49" i="233" s="1"/>
  <c r="E64" i="233"/>
  <c r="BF55" i="320"/>
  <c r="Q49" i="281" s="1"/>
  <c r="E64" i="281"/>
  <c r="BF59" i="320"/>
  <c r="Q49" i="285" s="1"/>
  <c r="E64" i="285"/>
  <c r="BF35" i="320"/>
  <c r="Q49" i="261" s="1"/>
  <c r="E64" i="261"/>
  <c r="BF16" i="320"/>
  <c r="Q49" i="242" s="1"/>
  <c r="E64" i="242"/>
  <c r="BF23" i="320"/>
  <c r="Q49" i="249" s="1"/>
  <c r="E64" i="249"/>
  <c r="BF32" i="320"/>
  <c r="Q49" i="258" s="1"/>
  <c r="E64" i="258"/>
  <c r="BF54" i="320"/>
  <c r="Q49" i="280" s="1"/>
  <c r="E64" i="280"/>
  <c r="BF13" i="320"/>
  <c r="Q49" i="239" s="1"/>
  <c r="E64" i="239"/>
  <c r="BF40" i="320"/>
  <c r="Q49" i="266" s="1"/>
  <c r="E64" i="266"/>
  <c r="BF11" i="320"/>
  <c r="Q49" i="236" s="1"/>
  <c r="E64" i="236"/>
  <c r="BF41" i="320"/>
  <c r="Q49" i="267" s="1"/>
  <c r="E64" i="267"/>
  <c r="BF46" i="320"/>
  <c r="Q49" i="272" s="1"/>
  <c r="E64" i="272"/>
  <c r="E64" i="237"/>
  <c r="BF17" i="320"/>
  <c r="Q49" i="243" s="1"/>
  <c r="E64" i="243"/>
  <c r="BF21" i="320"/>
  <c r="Q49" i="247" s="1"/>
  <c r="E64" i="247"/>
  <c r="BF5" i="320"/>
  <c r="Q49" i="230" s="1"/>
  <c r="E64" i="230"/>
  <c r="BF10" i="320"/>
  <c r="Q49" i="235" s="1"/>
  <c r="E64" i="235"/>
  <c r="BF69" i="320"/>
  <c r="Q49" i="295" s="1"/>
  <c r="E64" i="295"/>
  <c r="BF18" i="320"/>
  <c r="Q49" i="244" s="1"/>
  <c r="E64" i="244"/>
  <c r="BF85" i="320"/>
  <c r="Q49" i="311" s="1"/>
  <c r="E64" i="311"/>
  <c r="BF34" i="320"/>
  <c r="Q49" i="260" s="1"/>
  <c r="E64" i="260"/>
  <c r="BF28" i="320"/>
  <c r="Q49" i="254" s="1"/>
  <c r="E64" i="254"/>
  <c r="BF48" i="320"/>
  <c r="Q49" i="274" s="1"/>
  <c r="E64" i="274"/>
  <c r="BF52" i="320"/>
  <c r="Q49" i="278" s="1"/>
  <c r="E64" i="278"/>
  <c r="BF33" i="320"/>
  <c r="Q49" i="259" s="1"/>
  <c r="E64" i="259"/>
  <c r="BF62" i="320"/>
  <c r="Q49" i="288" s="1"/>
  <c r="E64" i="288"/>
  <c r="E64" i="298"/>
  <c r="E64" i="263"/>
  <c r="E64" i="301"/>
  <c r="E64" i="306"/>
  <c r="E64" i="304"/>
  <c r="E64" i="308"/>
  <c r="E64" i="299"/>
  <c r="E64" i="307"/>
  <c r="E64" i="296"/>
  <c r="E64" i="303"/>
  <c r="E64" i="270"/>
  <c r="E64" i="297"/>
  <c r="E64" i="300"/>
  <c r="E64" i="305"/>
  <c r="E64" i="302"/>
  <c r="BT89" i="320"/>
  <c r="BT73" i="320"/>
  <c r="BT56" i="320"/>
  <c r="BT45" i="320"/>
  <c r="BT81" i="320"/>
  <c r="BT36" i="320"/>
  <c r="BT15" i="320"/>
  <c r="BT90" i="320"/>
  <c r="BT88" i="320"/>
  <c r="BT70" i="320"/>
  <c r="BT58" i="320"/>
  <c r="BT57" i="320"/>
  <c r="BT63" i="320"/>
  <c r="BT7" i="320"/>
  <c r="BT22" i="320"/>
  <c r="BT39" i="320"/>
  <c r="BT30" i="320"/>
  <c r="BT84" i="320"/>
  <c r="BT65" i="320"/>
  <c r="BT42" i="320"/>
  <c r="BT6" i="320"/>
  <c r="BT8" i="320"/>
  <c r="BT59" i="320"/>
  <c r="BT44" i="320"/>
  <c r="BT35" i="320"/>
  <c r="BT47" i="320"/>
  <c r="P51" i="273"/>
  <c r="C82" i="273" s="1"/>
  <c r="BT16" i="320"/>
  <c r="BT23" i="320"/>
  <c r="BT64" i="320"/>
  <c r="BT32" i="320"/>
  <c r="BT72" i="320"/>
  <c r="BT54" i="320"/>
  <c r="BT13" i="320"/>
  <c r="BT40" i="320"/>
  <c r="BT67" i="320"/>
  <c r="BT87" i="320"/>
  <c r="BT11" i="320"/>
  <c r="BT37" i="320"/>
  <c r="BT41" i="320"/>
  <c r="BT46" i="320"/>
  <c r="BT68" i="320"/>
  <c r="BT61" i="320"/>
  <c r="BT17" i="320"/>
  <c r="BT21" i="320"/>
  <c r="BT5" i="320"/>
  <c r="BT10" i="320"/>
  <c r="BT71" i="320"/>
  <c r="BT69" i="320"/>
  <c r="BT75" i="320"/>
  <c r="BT18" i="320"/>
  <c r="BT80" i="320"/>
  <c r="BT74" i="320"/>
  <c r="BT31" i="320"/>
  <c r="BT85" i="320"/>
  <c r="BT34" i="320"/>
  <c r="BT78" i="320"/>
  <c r="BT79" i="320"/>
  <c r="BT28" i="320"/>
  <c r="BT48" i="320"/>
  <c r="BT76" i="320"/>
  <c r="BT52" i="320"/>
  <c r="BT33" i="320"/>
  <c r="BT82" i="320"/>
  <c r="BT60" i="320"/>
  <c r="BT43" i="320"/>
  <c r="BT29" i="320"/>
  <c r="BT24" i="320"/>
  <c r="BT83" i="320"/>
  <c r="BT86" i="320"/>
  <c r="BT26" i="320"/>
  <c r="BT27" i="320"/>
  <c r="BT25" i="320"/>
  <c r="BT50" i="320"/>
  <c r="BT38" i="320"/>
  <c r="BT49" i="320"/>
  <c r="BT77" i="320"/>
  <c r="BT53" i="320"/>
  <c r="BT66" i="320"/>
  <c r="BT51" i="320"/>
  <c r="BT19" i="320"/>
  <c r="BT20" i="320"/>
  <c r="BT9" i="320"/>
  <c r="BT14" i="320"/>
  <c r="BT55" i="320"/>
  <c r="BT12" i="320"/>
  <c r="N51" i="299"/>
  <c r="C80" i="299" s="1"/>
  <c r="N51" i="282"/>
  <c r="C80" i="282" s="1"/>
  <c r="N51" i="271"/>
  <c r="C80" i="271" s="1"/>
  <c r="N51" i="307"/>
  <c r="C80" i="307" s="1"/>
  <c r="N51" i="262"/>
  <c r="C80" i="262" s="1"/>
  <c r="N51" i="316"/>
  <c r="C80" i="316" s="1"/>
  <c r="N51" i="314"/>
  <c r="C80" i="314" s="1"/>
  <c r="N51" i="296"/>
  <c r="C80" i="296" s="1"/>
  <c r="N51" i="284"/>
  <c r="C80" i="284" s="1"/>
  <c r="N51" i="283"/>
  <c r="C80" i="283" s="1"/>
  <c r="N51" i="289"/>
  <c r="C80" i="289" s="1"/>
  <c r="N51" i="232"/>
  <c r="C80" i="232" s="1"/>
  <c r="N51" i="248"/>
  <c r="C80" i="248" s="1"/>
  <c r="N51" i="265"/>
  <c r="C80" i="265" s="1"/>
  <c r="N51" i="256"/>
  <c r="C80" i="256" s="1"/>
  <c r="N51" i="310"/>
  <c r="C80" i="310" s="1"/>
  <c r="N51" i="291"/>
  <c r="C80" i="291" s="1"/>
  <c r="N51" i="231"/>
  <c r="C80" i="231" s="1"/>
  <c r="N51" i="233"/>
  <c r="C80" i="233" s="1"/>
  <c r="BE4" i="320"/>
  <c r="P49" i="229" s="1"/>
  <c r="AL91" i="320"/>
  <c r="BT62" i="320"/>
  <c r="BE94" i="320"/>
  <c r="BD91" i="320"/>
  <c r="BS4" i="320"/>
  <c r="BS91" i="320" s="1"/>
  <c r="N51" i="308"/>
  <c r="C80" i="308" s="1"/>
  <c r="N51" i="286"/>
  <c r="C80" i="286" s="1"/>
  <c r="N51" i="269"/>
  <c r="C80" i="269" s="1"/>
  <c r="N51" i="255"/>
  <c r="C80" i="255" s="1"/>
  <c r="N51" i="250"/>
  <c r="C80" i="250" s="1"/>
  <c r="N51" i="309"/>
  <c r="C80" i="309" s="1"/>
  <c r="N51" i="312"/>
  <c r="C80" i="312" s="1"/>
  <c r="N51" i="252"/>
  <c r="C80" i="252" s="1"/>
  <c r="N51" i="253"/>
  <c r="C80" i="253" s="1"/>
  <c r="N51" i="251"/>
  <c r="C80" i="251" s="1"/>
  <c r="N51" i="276"/>
  <c r="C80" i="276" s="1"/>
  <c r="N51" i="264"/>
  <c r="C80" i="264" s="1"/>
  <c r="N51" i="275"/>
  <c r="C80" i="275" s="1"/>
  <c r="N51" i="303"/>
  <c r="C80" i="303" s="1"/>
  <c r="N51" i="279"/>
  <c r="C80" i="279" s="1"/>
  <c r="N51" i="292"/>
  <c r="C80" i="292" s="1"/>
  <c r="N51" i="277"/>
  <c r="C80" i="277" s="1"/>
  <c r="N51" i="245"/>
  <c r="C80" i="245" s="1"/>
  <c r="N51" i="246"/>
  <c r="C80" i="246" s="1"/>
  <c r="N51" i="268"/>
  <c r="C80" i="268" s="1"/>
  <c r="N51" i="240"/>
  <c r="C80" i="240" s="1"/>
  <c r="N51" i="281"/>
  <c r="C80" i="281" s="1"/>
  <c r="N51" i="285"/>
  <c r="C80" i="285" s="1"/>
  <c r="N51" i="270"/>
  <c r="C80" i="270" s="1"/>
  <c r="N51" i="261"/>
  <c r="C80" i="261" s="1"/>
  <c r="N51" i="242"/>
  <c r="C80" i="242" s="1"/>
  <c r="N51" i="249"/>
  <c r="C80" i="249" s="1"/>
  <c r="N51" i="290"/>
  <c r="C80" i="290" s="1"/>
  <c r="N51" i="258"/>
  <c r="C80" i="258" s="1"/>
  <c r="N51" i="298"/>
  <c r="C80" i="298" s="1"/>
  <c r="N51" i="280"/>
  <c r="C80" i="280" s="1"/>
  <c r="N51" i="239"/>
  <c r="C80" i="239" s="1"/>
  <c r="N51" i="266"/>
  <c r="C80" i="266" s="1"/>
  <c r="N51" i="293"/>
  <c r="C80" i="293" s="1"/>
  <c r="N51" i="236"/>
  <c r="C80" i="236" s="1"/>
  <c r="N51" i="263"/>
  <c r="C80" i="263" s="1"/>
  <c r="N51" i="267"/>
  <c r="C80" i="267" s="1"/>
  <c r="N51" i="272"/>
  <c r="C80" i="272" s="1"/>
  <c r="N51" i="294"/>
  <c r="C80" i="294" s="1"/>
  <c r="N51" i="237"/>
  <c r="C80" i="237" s="1"/>
  <c r="N51" i="287"/>
  <c r="C80" i="287" s="1"/>
  <c r="N51" i="243"/>
  <c r="C80" i="243" s="1"/>
  <c r="N51" i="247"/>
  <c r="C80" i="247" s="1"/>
  <c r="N51" i="230"/>
  <c r="C80" i="230" s="1"/>
  <c r="N51" i="235"/>
  <c r="C80" i="235" s="1"/>
  <c r="N51" i="297"/>
  <c r="C80" i="297" s="1"/>
  <c r="N51" i="295"/>
  <c r="C80" i="295" s="1"/>
  <c r="N51" i="301"/>
  <c r="C80" i="301" s="1"/>
  <c r="BF4" i="320"/>
  <c r="N51" i="244"/>
  <c r="C80" i="244" s="1"/>
  <c r="N51" i="306"/>
  <c r="C80" i="306" s="1"/>
  <c r="N51" i="300"/>
  <c r="C80" i="300" s="1"/>
  <c r="N51" i="257"/>
  <c r="C80" i="257" s="1"/>
  <c r="N51" i="311"/>
  <c r="C80" i="311" s="1"/>
  <c r="N51" i="260"/>
  <c r="C80" i="260" s="1"/>
  <c r="N51" i="304"/>
  <c r="C80" i="304" s="1"/>
  <c r="N51" i="305"/>
  <c r="C80" i="305" s="1"/>
  <c r="N51" i="254"/>
  <c r="C80" i="254" s="1"/>
  <c r="N51" i="274"/>
  <c r="C80" i="274" s="1"/>
  <c r="N51" i="302"/>
  <c r="C80" i="302" s="1"/>
  <c r="N51" i="278"/>
  <c r="C80" i="278" s="1"/>
  <c r="N51" i="259"/>
  <c r="C80" i="259" s="1"/>
  <c r="N51" i="288"/>
  <c r="C80" i="288" s="1"/>
  <c r="BF12" i="320" l="1"/>
  <c r="Q49" i="237" s="1"/>
  <c r="Q49" i="229"/>
  <c r="BU90" i="320"/>
  <c r="D60" i="316" s="1"/>
  <c r="BU29" i="320"/>
  <c r="D60" i="255" s="1"/>
  <c r="BU25" i="320"/>
  <c r="D60" i="251" s="1"/>
  <c r="BU26" i="320"/>
  <c r="D60" i="252" s="1"/>
  <c r="BU6" i="320"/>
  <c r="D60" i="231" s="1"/>
  <c r="BU20" i="320"/>
  <c r="D60" i="246" s="1"/>
  <c r="BU60" i="320"/>
  <c r="D60" i="286" s="1"/>
  <c r="BU33" i="320"/>
  <c r="D60" i="259" s="1"/>
  <c r="BU37" i="320"/>
  <c r="D60" i="263" s="1"/>
  <c r="BU77" i="320"/>
  <c r="D60" i="303" s="1"/>
  <c r="BU52" i="320"/>
  <c r="D60" i="278" s="1"/>
  <c r="BU28" i="320"/>
  <c r="D60" i="254" s="1"/>
  <c r="BU69" i="320"/>
  <c r="D60" i="295" s="1"/>
  <c r="BU46" i="320"/>
  <c r="D60" i="272" s="1"/>
  <c r="BU13" i="320"/>
  <c r="D60" i="239" s="1"/>
  <c r="BU16" i="320"/>
  <c r="D60" i="242" s="1"/>
  <c r="BU76" i="320"/>
  <c r="D60" i="302" s="1"/>
  <c r="BU75" i="320"/>
  <c r="D60" i="301" s="1"/>
  <c r="BU44" i="320"/>
  <c r="D60" i="270" s="1"/>
  <c r="BU81" i="320"/>
  <c r="D60" i="307" s="1"/>
  <c r="BU48" i="320"/>
  <c r="D60" i="274" s="1"/>
  <c r="BU18" i="320"/>
  <c r="D60" i="244" s="1"/>
  <c r="BU41" i="320"/>
  <c r="D60" i="267" s="1"/>
  <c r="BU74" i="320"/>
  <c r="D60" i="300" s="1"/>
  <c r="BU72" i="320"/>
  <c r="D60" i="298" s="1"/>
  <c r="BU82" i="320"/>
  <c r="D60" i="308" s="1"/>
  <c r="BU70" i="320"/>
  <c r="D60" i="296" s="1"/>
  <c r="BU7" i="320"/>
  <c r="D60" i="232" s="1"/>
  <c r="BU5" i="320"/>
  <c r="D60" i="230" s="1"/>
  <c r="BU12" i="320"/>
  <c r="D60" i="237" s="1"/>
  <c r="BU40" i="320"/>
  <c r="D60" i="266" s="1"/>
  <c r="BU55" i="320"/>
  <c r="D60" i="281" s="1"/>
  <c r="BU38" i="320"/>
  <c r="D60" i="264" s="1"/>
  <c r="BU78" i="320"/>
  <c r="D60" i="304" s="1"/>
  <c r="BU73" i="320"/>
  <c r="D60" i="299" s="1"/>
  <c r="BU62" i="320"/>
  <c r="D60" i="288" s="1"/>
  <c r="BU85" i="320"/>
  <c r="D60" i="311" s="1"/>
  <c r="BU11" i="320"/>
  <c r="D60" i="236" s="1"/>
  <c r="BU32" i="320"/>
  <c r="D60" i="258" s="1"/>
  <c r="BU59" i="320"/>
  <c r="D60" i="285" s="1"/>
  <c r="BU71" i="320"/>
  <c r="D60" i="297" s="1"/>
  <c r="BU34" i="320"/>
  <c r="D60" i="260" s="1"/>
  <c r="BU10" i="320"/>
  <c r="D60" i="235" s="1"/>
  <c r="BU21" i="320"/>
  <c r="D60" i="247" s="1"/>
  <c r="BU54" i="320"/>
  <c r="D60" i="280" s="1"/>
  <c r="BU23" i="320"/>
  <c r="D60" i="249" s="1"/>
  <c r="BU35" i="320"/>
  <c r="D60" i="261" s="1"/>
  <c r="BU17" i="320"/>
  <c r="D60" i="243" s="1"/>
  <c r="BU42" i="320"/>
  <c r="D60" i="268" s="1"/>
  <c r="BU27" i="320"/>
  <c r="D60" i="253" s="1"/>
  <c r="BU8" i="320"/>
  <c r="D60" i="233" s="1"/>
  <c r="BU50" i="320"/>
  <c r="D60" i="276" s="1"/>
  <c r="BU43" i="320"/>
  <c r="D60" i="269" s="1"/>
  <c r="BU39" i="320"/>
  <c r="D60" i="265" s="1"/>
  <c r="Q49" i="306"/>
  <c r="BU19" i="320"/>
  <c r="D60" i="245" s="1"/>
  <c r="BU66" i="320"/>
  <c r="D60" i="292" s="1"/>
  <c r="BU84" i="320"/>
  <c r="D60" i="310" s="1"/>
  <c r="BU57" i="320"/>
  <c r="D60" i="283" s="1"/>
  <c r="BU88" i="320"/>
  <c r="D60" i="314" s="1"/>
  <c r="BU45" i="320"/>
  <c r="D60" i="271" s="1"/>
  <c r="Q49" i="305"/>
  <c r="BU49" i="320"/>
  <c r="D60" i="275" s="1"/>
  <c r="BU14" i="320"/>
  <c r="D60" i="240" s="1"/>
  <c r="BU24" i="320"/>
  <c r="D60" i="250" s="1"/>
  <c r="BF31" i="320"/>
  <c r="Q49" i="257" s="1"/>
  <c r="E64" i="257"/>
  <c r="BF67" i="320"/>
  <c r="Q49" i="293" s="1"/>
  <c r="E64" i="293"/>
  <c r="BF83" i="320"/>
  <c r="Q49" i="309" s="1"/>
  <c r="E64" i="309"/>
  <c r="BF89" i="320"/>
  <c r="Q49" i="315" s="1"/>
  <c r="E64" i="315"/>
  <c r="BF87" i="320"/>
  <c r="Q49" i="313" s="1"/>
  <c r="E64" i="313"/>
  <c r="BF64" i="320"/>
  <c r="Q49" i="290" s="1"/>
  <c r="E64" i="290"/>
  <c r="BF15" i="320"/>
  <c r="Q49" i="241" s="1"/>
  <c r="E64" i="241"/>
  <c r="BF36" i="320"/>
  <c r="Q49" i="262" s="1"/>
  <c r="E64" i="262"/>
  <c r="BU63" i="320"/>
  <c r="D60" i="289" s="1"/>
  <c r="BF94" i="320"/>
  <c r="BU53" i="320"/>
  <c r="D60" i="279" s="1"/>
  <c r="BU65" i="320"/>
  <c r="D60" i="291" s="1"/>
  <c r="BU30" i="320"/>
  <c r="D60" i="256" s="1"/>
  <c r="BU22" i="320"/>
  <c r="D60" i="248" s="1"/>
  <c r="BU58" i="320"/>
  <c r="D60" i="284" s="1"/>
  <c r="BF61" i="320"/>
  <c r="Q49" i="287" s="1"/>
  <c r="E64" i="287"/>
  <c r="BF68" i="320"/>
  <c r="Q49" i="294" s="1"/>
  <c r="E64" i="294"/>
  <c r="BF47" i="320"/>
  <c r="Q49" i="273" s="1"/>
  <c r="J168" i="273"/>
  <c r="BF86" i="320"/>
  <c r="Q49" i="312" s="1"/>
  <c r="E64" i="312"/>
  <c r="BF9" i="320"/>
  <c r="Q49" i="234" s="1"/>
  <c r="E64" i="234"/>
  <c r="BU51" i="320"/>
  <c r="D60" i="277" s="1"/>
  <c r="BU56" i="320"/>
  <c r="D60" i="282" s="1"/>
  <c r="N51" i="313"/>
  <c r="C80" i="313" s="1"/>
  <c r="N51" i="241"/>
  <c r="C80" i="241" s="1"/>
  <c r="N51" i="234"/>
  <c r="C80" i="234" s="1"/>
  <c r="N51" i="315"/>
  <c r="C80" i="315" s="1"/>
  <c r="BU4" i="320"/>
  <c r="D60" i="229" s="1"/>
  <c r="E60" i="229" s="1"/>
  <c r="BT4" i="320"/>
  <c r="BT91" i="320" s="1"/>
  <c r="BE91" i="320"/>
  <c r="AM91" i="320"/>
  <c r="AQ91" i="320"/>
  <c r="AP91" i="320"/>
  <c r="W91" i="320"/>
  <c r="X91" i="320"/>
  <c r="BG4" i="320"/>
  <c r="BG5" i="320"/>
  <c r="BG6" i="320"/>
  <c r="BG7" i="320"/>
  <c r="BG8" i="320"/>
  <c r="BG9" i="320"/>
  <c r="BG10" i="320"/>
  <c r="BG11" i="320"/>
  <c r="BG12" i="320"/>
  <c r="BG13" i="320"/>
  <c r="BG14" i="320"/>
  <c r="BG15" i="320"/>
  <c r="BG16" i="320"/>
  <c r="BG17" i="320"/>
  <c r="BG18" i="320"/>
  <c r="BG19" i="320"/>
  <c r="BG20" i="320"/>
  <c r="BG21" i="320"/>
  <c r="BG22" i="320"/>
  <c r="BG23" i="320"/>
  <c r="BG24" i="320"/>
  <c r="BG25" i="320"/>
  <c r="BG26" i="320"/>
  <c r="BG27" i="320"/>
  <c r="BG28" i="320"/>
  <c r="BG29" i="320"/>
  <c r="BG30" i="320"/>
  <c r="BG31" i="320"/>
  <c r="BG32" i="320"/>
  <c r="BG33" i="320"/>
  <c r="BG34" i="320"/>
  <c r="BG35" i="320"/>
  <c r="BG36" i="320"/>
  <c r="BG38" i="320"/>
  <c r="BG39" i="320"/>
  <c r="BG41" i="320"/>
  <c r="BG42" i="320"/>
  <c r="BG43" i="320"/>
  <c r="BG45" i="320"/>
  <c r="BG46" i="320"/>
  <c r="BG47" i="320"/>
  <c r="BG49" i="320"/>
  <c r="BG50" i="320"/>
  <c r="BG51" i="320"/>
  <c r="BG53" i="320"/>
  <c r="BG54" i="320"/>
  <c r="BG55" i="320"/>
  <c r="BG57" i="320"/>
  <c r="BG58" i="320"/>
  <c r="BG59" i="320"/>
  <c r="BG61" i="320"/>
  <c r="BG62" i="320"/>
  <c r="BG63" i="320"/>
  <c r="BG64" i="320"/>
  <c r="BG65" i="320"/>
  <c r="BG66" i="320"/>
  <c r="BG67" i="320"/>
  <c r="BG68" i="320"/>
  <c r="BG69" i="320"/>
  <c r="BG83" i="320"/>
  <c r="BG84" i="320"/>
  <c r="BG85" i="320"/>
  <c r="BG87" i="320"/>
  <c r="BG88" i="320"/>
  <c r="BG89" i="320"/>
  <c r="BG90" i="320"/>
  <c r="BU86" i="320" l="1"/>
  <c r="D60" i="312" s="1"/>
  <c r="BU87" i="320"/>
  <c r="D60" i="313" s="1"/>
  <c r="BU79" i="320"/>
  <c r="D60" i="305" s="1"/>
  <c r="BU31" i="320"/>
  <c r="D60" i="257" s="1"/>
  <c r="BU68" i="320"/>
  <c r="D60" i="294" s="1"/>
  <c r="BU64" i="320"/>
  <c r="D60" i="290" s="1"/>
  <c r="BU67" i="320"/>
  <c r="D60" i="293" s="1"/>
  <c r="BU47" i="320"/>
  <c r="D60" i="273" s="1"/>
  <c r="Q51" i="273"/>
  <c r="C83" i="273" s="1"/>
  <c r="BU15" i="320"/>
  <c r="D60" i="241" s="1"/>
  <c r="BU83" i="320"/>
  <c r="D60" i="309" s="1"/>
  <c r="BU36" i="320"/>
  <c r="D60" i="262" s="1"/>
  <c r="BU89" i="320"/>
  <c r="D60" i="315" s="1"/>
  <c r="BU61" i="320"/>
  <c r="D60" i="287" s="1"/>
  <c r="BU80" i="320"/>
  <c r="D60" i="306" s="1"/>
  <c r="BF91" i="320"/>
  <c r="BU9" i="320"/>
  <c r="D60" i="234" s="1"/>
  <c r="O51" i="304"/>
  <c r="C81" i="304" s="1"/>
  <c r="BG56" i="320"/>
  <c r="O51" i="282" s="1"/>
  <c r="C81" i="282" s="1"/>
  <c r="BG48" i="320"/>
  <c r="O51" i="274" s="1"/>
  <c r="C81" i="274" s="1"/>
  <c r="O51" i="270"/>
  <c r="C81" i="270" s="1"/>
  <c r="BG86" i="320"/>
  <c r="BG52" i="320"/>
  <c r="O51" i="278" s="1"/>
  <c r="C81" i="278" s="1"/>
  <c r="BG40" i="320"/>
  <c r="E51" i="294"/>
  <c r="D51" i="284"/>
  <c r="D51" i="280"/>
  <c r="D51" i="276"/>
  <c r="D51" i="272"/>
  <c r="D51" i="268"/>
  <c r="D51" i="264"/>
  <c r="E51" i="233"/>
  <c r="E51" i="314"/>
  <c r="E51" i="306"/>
  <c r="F51" i="301"/>
  <c r="F51" i="259"/>
  <c r="D51" i="312"/>
  <c r="D51" i="308"/>
  <c r="D51" i="304"/>
  <c r="D51" i="300"/>
  <c r="D51" i="296"/>
  <c r="E51" i="290"/>
  <c r="F51" i="239"/>
  <c r="D51" i="292"/>
  <c r="E51" i="282"/>
  <c r="E51" i="278"/>
  <c r="E51" i="262"/>
  <c r="D51" i="242"/>
  <c r="AU94" i="320"/>
  <c r="D51" i="288"/>
  <c r="AS94" i="320"/>
  <c r="AT94" i="320"/>
  <c r="AR94" i="320"/>
  <c r="BJ85" i="320"/>
  <c r="BM85" i="320"/>
  <c r="BH83" i="320"/>
  <c r="BJ81" i="320"/>
  <c r="BM81" i="320"/>
  <c r="BH79" i="320"/>
  <c r="O51" i="305" s="1"/>
  <c r="C81" i="305" s="1"/>
  <c r="BI74" i="320"/>
  <c r="BJ73" i="320"/>
  <c r="BM73" i="320"/>
  <c r="BH71" i="320"/>
  <c r="BJ69" i="320"/>
  <c r="BH67" i="320"/>
  <c r="BI65" i="320"/>
  <c r="O51" i="289"/>
  <c r="C81" i="289" s="1"/>
  <c r="BJ26" i="320"/>
  <c r="BI23" i="320"/>
  <c r="BL22" i="320"/>
  <c r="BJ14" i="320"/>
  <c r="O51" i="239"/>
  <c r="C81" i="239" s="1"/>
  <c r="BI11" i="320"/>
  <c r="BL10" i="320"/>
  <c r="BH8" i="320"/>
  <c r="O51" i="233" s="1"/>
  <c r="C81" i="233" s="1"/>
  <c r="BJ6" i="320"/>
  <c r="BH88" i="320"/>
  <c r="BI87" i="320"/>
  <c r="BJ86" i="320"/>
  <c r="BK86" i="320"/>
  <c r="BH84" i="320"/>
  <c r="D51" i="310"/>
  <c r="BJ82" i="320"/>
  <c r="BI79" i="320"/>
  <c r="BK78" i="320"/>
  <c r="BH76" i="320"/>
  <c r="BJ74" i="320"/>
  <c r="O51" i="299"/>
  <c r="C81" i="299" s="1"/>
  <c r="BI71" i="320"/>
  <c r="BH63" i="320"/>
  <c r="BJ61" i="320"/>
  <c r="BL60" i="320"/>
  <c r="BI53" i="320"/>
  <c r="BL52" i="320"/>
  <c r="BI45" i="320"/>
  <c r="BI41" i="320"/>
  <c r="BI37" i="320"/>
  <c r="BI33" i="320"/>
  <c r="BI4" i="320"/>
  <c r="BI90" i="320"/>
  <c r="BI89" i="320"/>
  <c r="BJ66" i="320"/>
  <c r="BK66" i="320"/>
  <c r="O51" i="291"/>
  <c r="C81" i="291" s="1"/>
  <c r="BH64" i="320"/>
  <c r="BI63" i="320"/>
  <c r="BJ62" i="320"/>
  <c r="BK62" i="320"/>
  <c r="BH60" i="320"/>
  <c r="O51" i="286" s="1"/>
  <c r="C81" i="286" s="1"/>
  <c r="BH59" i="320"/>
  <c r="O51" i="285" s="1"/>
  <c r="C81" i="285" s="1"/>
  <c r="BJ57" i="320"/>
  <c r="BM57" i="320"/>
  <c r="BH55" i="320"/>
  <c r="O51" i="281" s="1"/>
  <c r="C81" i="281" s="1"/>
  <c r="BJ53" i="320"/>
  <c r="BM53" i="320"/>
  <c r="BH51" i="320"/>
  <c r="O51" i="277" s="1"/>
  <c r="C81" i="277" s="1"/>
  <c r="BJ49" i="320"/>
  <c r="BM49" i="320"/>
  <c r="BH47" i="320"/>
  <c r="BJ45" i="320"/>
  <c r="BM45" i="320"/>
  <c r="BH43" i="320"/>
  <c r="BJ41" i="320"/>
  <c r="BM41" i="320"/>
  <c r="BH39" i="320"/>
  <c r="O51" i="265" s="1"/>
  <c r="C81" i="265" s="1"/>
  <c r="BM37" i="320"/>
  <c r="O51" i="262"/>
  <c r="C81" i="262" s="1"/>
  <c r="BI34" i="320"/>
  <c r="BM33" i="320"/>
  <c r="O51" i="258"/>
  <c r="C81" i="258" s="1"/>
  <c r="BI30" i="320"/>
  <c r="E51" i="256"/>
  <c r="BM29" i="320"/>
  <c r="O51" i="254"/>
  <c r="C81" i="254" s="1"/>
  <c r="BI25" i="320"/>
  <c r="BI21" i="320"/>
  <c r="BL20" i="320"/>
  <c r="BI17" i="320"/>
  <c r="BI13" i="320"/>
  <c r="BL12" i="320"/>
  <c r="BI9" i="320"/>
  <c r="BI5" i="320"/>
  <c r="O51" i="314"/>
  <c r="C81" i="314" s="1"/>
  <c r="BH87" i="320"/>
  <c r="BI82" i="320"/>
  <c r="BJ77" i="320"/>
  <c r="BM77" i="320"/>
  <c r="BH75" i="320"/>
  <c r="O51" i="301" s="1"/>
  <c r="C81" i="301" s="1"/>
  <c r="BM69" i="320"/>
  <c r="BI27" i="320"/>
  <c r="BL26" i="320"/>
  <c r="BH24" i="320"/>
  <c r="D51" i="250"/>
  <c r="BJ22" i="320"/>
  <c r="BH20" i="320"/>
  <c r="BI19" i="320"/>
  <c r="BL18" i="320"/>
  <c r="BI15" i="320"/>
  <c r="BL14" i="320"/>
  <c r="BH12" i="320"/>
  <c r="O51" i="237" s="1"/>
  <c r="C81" i="237" s="1"/>
  <c r="BJ10" i="320"/>
  <c r="BI7" i="320"/>
  <c r="BL6" i="320"/>
  <c r="BH4" i="320"/>
  <c r="BK82" i="320"/>
  <c r="BH80" i="320"/>
  <c r="O51" i="306" s="1"/>
  <c r="C81" i="306" s="1"/>
  <c r="BJ78" i="320"/>
  <c r="O51" i="303"/>
  <c r="C81" i="303" s="1"/>
  <c r="BI75" i="320"/>
  <c r="BK74" i="320"/>
  <c r="BH72" i="320"/>
  <c r="O51" i="298" s="1"/>
  <c r="C81" i="298" s="1"/>
  <c r="BJ70" i="320"/>
  <c r="BK70" i="320"/>
  <c r="O51" i="295"/>
  <c r="C81" i="295" s="1"/>
  <c r="BH68" i="320"/>
  <c r="BI67" i="320"/>
  <c r="BJ65" i="320"/>
  <c r="BM65" i="320"/>
  <c r="BM61" i="320"/>
  <c r="BI57" i="320"/>
  <c r="BL56" i="320"/>
  <c r="BI49" i="320"/>
  <c r="BL48" i="320"/>
  <c r="J172" i="273"/>
  <c r="BL44" i="320"/>
  <c r="O51" i="269"/>
  <c r="C81" i="269" s="1"/>
  <c r="BJ90" i="320"/>
  <c r="BJ89" i="320"/>
  <c r="BL88" i="320"/>
  <c r="O51" i="313"/>
  <c r="C81" i="313" s="1"/>
  <c r="BI85" i="320"/>
  <c r="O51" i="309"/>
  <c r="C81" i="309" s="1"/>
  <c r="BI81" i="320"/>
  <c r="BL80" i="320"/>
  <c r="BI77" i="320"/>
  <c r="BL76" i="320"/>
  <c r="BI73" i="320"/>
  <c r="BL72" i="320"/>
  <c r="O51" i="297"/>
  <c r="C81" i="297" s="1"/>
  <c r="BL68" i="320"/>
  <c r="BJ58" i="320"/>
  <c r="BK58" i="320"/>
  <c r="BH56" i="320"/>
  <c r="BI55" i="320"/>
  <c r="BJ54" i="320"/>
  <c r="BK54" i="320"/>
  <c r="BH52" i="320"/>
  <c r="BJ50" i="320"/>
  <c r="BK50" i="320"/>
  <c r="BH48" i="320"/>
  <c r="BI47" i="320"/>
  <c r="BJ46" i="320"/>
  <c r="BK46" i="320"/>
  <c r="BH44" i="320"/>
  <c r="BI43" i="320"/>
  <c r="BJ42" i="320"/>
  <c r="BK42" i="320"/>
  <c r="BH40" i="320"/>
  <c r="BI39" i="320"/>
  <c r="BJ38" i="320"/>
  <c r="BK38" i="320"/>
  <c r="BH36" i="320"/>
  <c r="BI35" i="320"/>
  <c r="BJ34" i="320"/>
  <c r="BL34" i="320"/>
  <c r="BH32" i="320"/>
  <c r="D51" i="258"/>
  <c r="BI31" i="320"/>
  <c r="BJ30" i="320"/>
  <c r="BL30" i="320"/>
  <c r="O51" i="255"/>
  <c r="C81" i="255" s="1"/>
  <c r="BH28" i="320"/>
  <c r="BI26" i="320"/>
  <c r="O51" i="250"/>
  <c r="C81" i="250" s="1"/>
  <c r="BI22" i="320"/>
  <c r="O51" i="246"/>
  <c r="C81" i="246" s="1"/>
  <c r="BI18" i="320"/>
  <c r="BM17" i="320"/>
  <c r="BI14" i="320"/>
  <c r="BM13" i="320"/>
  <c r="BI10" i="320"/>
  <c r="E51" i="235"/>
  <c r="BI6" i="320"/>
  <c r="E51" i="231"/>
  <c r="BM25" i="320"/>
  <c r="BM21" i="320"/>
  <c r="BM9" i="320"/>
  <c r="BM5" i="320"/>
  <c r="BJ18" i="320"/>
  <c r="BH16" i="320"/>
  <c r="O51" i="242" s="1"/>
  <c r="C81" i="242" s="1"/>
  <c r="BH90" i="320"/>
  <c r="BK84" i="320"/>
  <c r="BI69" i="320"/>
  <c r="BL64" i="320"/>
  <c r="BI61" i="320"/>
  <c r="BH54" i="320"/>
  <c r="BJ52" i="320"/>
  <c r="BL40" i="320"/>
  <c r="O51" i="261"/>
  <c r="C81" i="261" s="1"/>
  <c r="BJ87" i="320"/>
  <c r="BM87" i="320"/>
  <c r="BJ83" i="320"/>
  <c r="BM83" i="320"/>
  <c r="BH81" i="320"/>
  <c r="O51" i="307" s="1"/>
  <c r="C81" i="307" s="1"/>
  <c r="BH73" i="320"/>
  <c r="O51" i="293"/>
  <c r="C81" i="293" s="1"/>
  <c r="BJ56" i="320"/>
  <c r="BH50" i="320"/>
  <c r="BL36" i="320"/>
  <c r="BI29" i="320"/>
  <c r="BL8" i="320"/>
  <c r="BJ88" i="320"/>
  <c r="BJ80" i="320"/>
  <c r="BH78" i="320"/>
  <c r="BJ76" i="320"/>
  <c r="BJ72" i="320"/>
  <c r="BJ68" i="320"/>
  <c r="BJ64" i="320"/>
  <c r="BH58" i="320"/>
  <c r="BJ48" i="320"/>
  <c r="BJ44" i="320"/>
  <c r="BH34" i="320"/>
  <c r="BK32" i="320"/>
  <c r="BH30" i="320"/>
  <c r="BK24" i="320"/>
  <c r="BH22" i="320"/>
  <c r="O51" i="248" s="1"/>
  <c r="C81" i="248" s="1"/>
  <c r="BJ20" i="320"/>
  <c r="BK16" i="320"/>
  <c r="BH14" i="320"/>
  <c r="O51" i="240" s="1"/>
  <c r="C81" i="240" s="1"/>
  <c r="BH10" i="320"/>
  <c r="O51" i="235" s="1"/>
  <c r="C81" i="235" s="1"/>
  <c r="BJ8" i="320"/>
  <c r="BH6" i="320"/>
  <c r="BJ4" i="320"/>
  <c r="BH69" i="320"/>
  <c r="BI59" i="320"/>
  <c r="BH23" i="320"/>
  <c r="O51" i="249" s="1"/>
  <c r="C81" i="249" s="1"/>
  <c r="BJ13" i="320"/>
  <c r="O51" i="310"/>
  <c r="C81" i="310" s="1"/>
  <c r="O51" i="294"/>
  <c r="C81" i="294" s="1"/>
  <c r="BI62" i="320"/>
  <c r="BI58" i="320"/>
  <c r="BI54" i="320"/>
  <c r="BH35" i="320"/>
  <c r="BJ25" i="320"/>
  <c r="BJ17" i="320"/>
  <c r="BH11" i="320"/>
  <c r="O51" i="236" s="1"/>
  <c r="C81" i="236" s="1"/>
  <c r="BJ5" i="320"/>
  <c r="BH85" i="320"/>
  <c r="O51" i="311" s="1"/>
  <c r="C81" i="311" s="1"/>
  <c r="BJ29" i="320"/>
  <c r="O51" i="302"/>
  <c r="C81" i="302" s="1"/>
  <c r="O51" i="316"/>
  <c r="C81" i="316" s="1"/>
  <c r="BI88" i="320"/>
  <c r="BI84" i="320"/>
  <c r="BI80" i="320"/>
  <c r="BJ79" i="320"/>
  <c r="BM79" i="320"/>
  <c r="BH77" i="320"/>
  <c r="BI76" i="320"/>
  <c r="BJ75" i="320"/>
  <c r="BM75" i="320"/>
  <c r="BI72" i="320"/>
  <c r="BJ71" i="320"/>
  <c r="BM71" i="320"/>
  <c r="O51" i="296"/>
  <c r="C81" i="296" s="1"/>
  <c r="BI68" i="320"/>
  <c r="BJ67" i="320"/>
  <c r="O51" i="292"/>
  <c r="C81" i="292" s="1"/>
  <c r="BH65" i="320"/>
  <c r="BI64" i="320"/>
  <c r="BJ63" i="320"/>
  <c r="BM63" i="320"/>
  <c r="BH61" i="320"/>
  <c r="O51" i="287" s="1"/>
  <c r="C81" i="287" s="1"/>
  <c r="BI60" i="320"/>
  <c r="BJ59" i="320"/>
  <c r="BM59" i="320"/>
  <c r="O51" i="284"/>
  <c r="C81" i="284" s="1"/>
  <c r="BH57" i="320"/>
  <c r="BI56" i="320"/>
  <c r="BJ55" i="320"/>
  <c r="BM55" i="320"/>
  <c r="O51" i="280"/>
  <c r="C81" i="280" s="1"/>
  <c r="BH53" i="320"/>
  <c r="O51" i="279" s="1"/>
  <c r="C81" i="279" s="1"/>
  <c r="BI52" i="320"/>
  <c r="BJ51" i="320"/>
  <c r="BM51" i="320"/>
  <c r="O51" i="276"/>
  <c r="C81" i="276" s="1"/>
  <c r="BH49" i="320"/>
  <c r="O51" i="275" s="1"/>
  <c r="C81" i="275" s="1"/>
  <c r="BI48" i="320"/>
  <c r="BJ47" i="320"/>
  <c r="BM47" i="320"/>
  <c r="O51" i="272"/>
  <c r="C81" i="272" s="1"/>
  <c r="BH45" i="320"/>
  <c r="O51" i="271" s="1"/>
  <c r="C81" i="271" s="1"/>
  <c r="BI44" i="320"/>
  <c r="BJ43" i="320"/>
  <c r="BM43" i="320"/>
  <c r="BH41" i="320"/>
  <c r="O51" i="267" s="1"/>
  <c r="C81" i="267" s="1"/>
  <c r="BI40" i="320"/>
  <c r="BJ39" i="320"/>
  <c r="BM39" i="320"/>
  <c r="BH37" i="320"/>
  <c r="O51" i="263" s="1"/>
  <c r="C81" i="263" s="1"/>
  <c r="BI36" i="320"/>
  <c r="BJ35" i="320"/>
  <c r="BM35" i="320"/>
  <c r="O51" i="260"/>
  <c r="C81" i="260" s="1"/>
  <c r="BH33" i="320"/>
  <c r="O51" i="259" s="1"/>
  <c r="C81" i="259" s="1"/>
  <c r="BI32" i="320"/>
  <c r="BJ31" i="320"/>
  <c r="BM31" i="320"/>
  <c r="O51" i="256"/>
  <c r="C81" i="256" s="1"/>
  <c r="BH29" i="320"/>
  <c r="BI28" i="320"/>
  <c r="BJ27" i="320"/>
  <c r="BM27" i="320"/>
  <c r="BH25" i="320"/>
  <c r="O51" i="251" s="1"/>
  <c r="C81" i="251" s="1"/>
  <c r="BI24" i="320"/>
  <c r="BJ23" i="320"/>
  <c r="BM23" i="320"/>
  <c r="BH21" i="320"/>
  <c r="O51" i="247" s="1"/>
  <c r="C81" i="247" s="1"/>
  <c r="BI20" i="320"/>
  <c r="BJ19" i="320"/>
  <c r="BM19" i="320"/>
  <c r="O51" i="244"/>
  <c r="C81" i="244" s="1"/>
  <c r="BH17" i="320"/>
  <c r="O51" i="243" s="1"/>
  <c r="C81" i="243" s="1"/>
  <c r="BI16" i="320"/>
  <c r="BJ15" i="320"/>
  <c r="BM15" i="320"/>
  <c r="BH13" i="320"/>
  <c r="BI12" i="320"/>
  <c r="BJ11" i="320"/>
  <c r="BM11" i="320"/>
  <c r="BH9" i="320"/>
  <c r="O51" i="234" s="1"/>
  <c r="C81" i="234" s="1"/>
  <c r="BI8" i="320"/>
  <c r="BJ7" i="320"/>
  <c r="BM7" i="320"/>
  <c r="O51" i="231"/>
  <c r="C81" i="231" s="1"/>
  <c r="BH5" i="320"/>
  <c r="O51" i="230" s="1"/>
  <c r="C81" i="230" s="1"/>
  <c r="O51" i="283"/>
  <c r="C81" i="283" s="1"/>
  <c r="BI50" i="320"/>
  <c r="BI38" i="320"/>
  <c r="BH31" i="320"/>
  <c r="O51" i="257" s="1"/>
  <c r="C81" i="257" s="1"/>
  <c r="BI70" i="320"/>
  <c r="BH86" i="320"/>
  <c r="BJ84" i="320"/>
  <c r="BH82" i="320"/>
  <c r="BH74" i="320"/>
  <c r="BH70" i="320"/>
  <c r="BH66" i="320"/>
  <c r="BH62" i="320"/>
  <c r="O51" i="288" s="1"/>
  <c r="C81" i="288" s="1"/>
  <c r="BJ60" i="320"/>
  <c r="BH46" i="320"/>
  <c r="BH42" i="320"/>
  <c r="O51" i="268" s="1"/>
  <c r="C81" i="268" s="1"/>
  <c r="BJ40" i="320"/>
  <c r="BH38" i="320"/>
  <c r="O51" i="264" s="1"/>
  <c r="C81" i="264" s="1"/>
  <c r="BJ36" i="320"/>
  <c r="BJ32" i="320"/>
  <c r="BJ28" i="320"/>
  <c r="BH26" i="320"/>
  <c r="O51" i="252" s="1"/>
  <c r="C81" i="252" s="1"/>
  <c r="BJ24" i="320"/>
  <c r="BH18" i="320"/>
  <c r="BJ16" i="320"/>
  <c r="BJ12" i="320"/>
  <c r="BL4" i="320"/>
  <c r="BH89" i="320"/>
  <c r="O51" i="290"/>
  <c r="C81" i="290" s="1"/>
  <c r="BI46" i="320"/>
  <c r="BI78" i="320"/>
  <c r="BI86" i="320"/>
  <c r="BJ33" i="320"/>
  <c r="BH27" i="320"/>
  <c r="O51" i="253" s="1"/>
  <c r="C81" i="253" s="1"/>
  <c r="BH19" i="320"/>
  <c r="O51" i="245" s="1"/>
  <c r="C81" i="245" s="1"/>
  <c r="BJ9" i="320"/>
  <c r="BH7" i="320"/>
  <c r="O51" i="232" s="1"/>
  <c r="C81" i="232" s="1"/>
  <c r="BJ37" i="320"/>
  <c r="O51" i="315"/>
  <c r="C81" i="315" s="1"/>
  <c r="BI83" i="320"/>
  <c r="BI51" i="320"/>
  <c r="BI66" i="320"/>
  <c r="BI42" i="320"/>
  <c r="BJ21" i="320"/>
  <c r="BH15" i="320"/>
  <c r="O51" i="241" s="1"/>
  <c r="C81" i="241" s="1"/>
  <c r="D51" i="254"/>
  <c r="AU91" i="320"/>
  <c r="AR91" i="320"/>
  <c r="AT91" i="320"/>
  <c r="AS91" i="320"/>
  <c r="D51" i="289"/>
  <c r="D51" i="306"/>
  <c r="E51" i="289"/>
  <c r="E51" i="286"/>
  <c r="D51" i="233"/>
  <c r="D51" i="274"/>
  <c r="E51" i="250"/>
  <c r="E51" i="310"/>
  <c r="D51" i="302"/>
  <c r="D51" i="293"/>
  <c r="D51" i="290"/>
  <c r="D51" i="237"/>
  <c r="D51" i="277"/>
  <c r="D51" i="270"/>
  <c r="E51" i="234"/>
  <c r="D51" i="316"/>
  <c r="D51" i="309"/>
  <c r="D51" i="301"/>
  <c r="D51" i="298"/>
  <c r="D51" i="266"/>
  <c r="E51" i="243"/>
  <c r="D51" i="297"/>
  <c r="D51" i="294"/>
  <c r="E51" i="285"/>
  <c r="D51" i="281"/>
  <c r="D51" i="278"/>
  <c r="D51" i="262"/>
  <c r="E51" i="258"/>
  <c r="D51" i="246"/>
  <c r="E51" i="242"/>
  <c r="D51" i="313"/>
  <c r="D51" i="282"/>
  <c r="E51" i="259"/>
  <c r="E51" i="297"/>
  <c r="E51" i="281"/>
  <c r="Z91" i="320"/>
  <c r="E51" i="312"/>
  <c r="E51" i="308"/>
  <c r="E51" i="292"/>
  <c r="E51" i="288"/>
  <c r="E51" i="276"/>
  <c r="E51" i="272"/>
  <c r="E51" i="264"/>
  <c r="D51" i="241"/>
  <c r="AA91" i="320"/>
  <c r="D51" i="314"/>
  <c r="E51" i="299"/>
  <c r="E51" i="283"/>
  <c r="E51" i="279"/>
  <c r="F51" i="271"/>
  <c r="E51" i="260"/>
  <c r="D51" i="259"/>
  <c r="D51" i="256"/>
  <c r="D51" i="255"/>
  <c r="D51" i="252"/>
  <c r="D51" i="248"/>
  <c r="D51" i="247"/>
  <c r="D51" i="244"/>
  <c r="D51" i="240"/>
  <c r="D51" i="235"/>
  <c r="D51" i="234"/>
  <c r="D51" i="231"/>
  <c r="Y91" i="320"/>
  <c r="AB91" i="320"/>
  <c r="E51" i="304"/>
  <c r="E51" i="300"/>
  <c r="E51" i="296"/>
  <c r="E51" i="284"/>
  <c r="F51" i="261"/>
  <c r="D51" i="257"/>
  <c r="D51" i="236"/>
  <c r="D51" i="232"/>
  <c r="D51" i="311"/>
  <c r="D51" i="307"/>
  <c r="F51" i="303"/>
  <c r="D51" i="299"/>
  <c r="F51" i="287"/>
  <c r="D51" i="283"/>
  <c r="D51" i="271"/>
  <c r="F51" i="236"/>
  <c r="E51" i="232"/>
  <c r="E51" i="316"/>
  <c r="D51" i="315"/>
  <c r="C5" i="317"/>
  <c r="D5" i="317"/>
  <c r="D13" i="317" s="1"/>
  <c r="E5" i="317"/>
  <c r="C11" i="317"/>
  <c r="C13" i="317" s="1"/>
  <c r="D11" i="317"/>
  <c r="E11" i="317"/>
  <c r="E13" i="317" s="1"/>
  <c r="F11" i="317"/>
  <c r="F13" i="317" s="1"/>
  <c r="G11" i="317"/>
  <c r="G13" i="317" s="1"/>
  <c r="H11" i="317"/>
  <c r="H13" i="317" s="1"/>
  <c r="I11" i="317"/>
  <c r="I13" i="317" s="1"/>
  <c r="J11" i="317"/>
  <c r="J13" i="317" s="1"/>
  <c r="K11" i="317"/>
  <c r="K13" i="317" s="1"/>
  <c r="L11" i="317"/>
  <c r="L13" i="317" s="1"/>
  <c r="E61" i="273" l="1"/>
  <c r="BU91" i="320"/>
  <c r="BG91" i="320"/>
  <c r="O51" i="312"/>
  <c r="C81" i="312" s="1"/>
  <c r="O51" i="300"/>
  <c r="C81" i="300" s="1"/>
  <c r="O51" i="266"/>
  <c r="C81" i="266" s="1"/>
  <c r="D51" i="303"/>
  <c r="O51" i="308"/>
  <c r="C81" i="308" s="1"/>
  <c r="D51" i="287"/>
  <c r="E51" i="271"/>
  <c r="E51" i="245"/>
  <c r="E51" i="269"/>
  <c r="E51" i="273"/>
  <c r="C71" i="273" s="1"/>
  <c r="D51" i="265"/>
  <c r="D51" i="273"/>
  <c r="C70" i="273" s="1"/>
  <c r="D51" i="263"/>
  <c r="E51" i="267"/>
  <c r="E51" i="257"/>
  <c r="E51" i="251"/>
  <c r="E51" i="277"/>
  <c r="D51" i="286"/>
  <c r="D51" i="267"/>
  <c r="D51" i="275"/>
  <c r="D51" i="291"/>
  <c r="D51" i="230"/>
  <c r="D51" i="243"/>
  <c r="D51" i="249"/>
  <c r="E51" i="268"/>
  <c r="D51" i="295"/>
  <c r="D51" i="261"/>
  <c r="D51" i="279"/>
  <c r="E51" i="255"/>
  <c r="E51" i="309"/>
  <c r="D51" i="269"/>
  <c r="D51" i="285"/>
  <c r="D51" i="253"/>
  <c r="E51" i="241"/>
  <c r="E51" i="305"/>
  <c r="E51" i="301"/>
  <c r="E51" i="236"/>
  <c r="D51" i="305"/>
  <c r="D51" i="239"/>
  <c r="D51" i="251"/>
  <c r="D51" i="260"/>
  <c r="D51" i="245"/>
  <c r="E51" i="280"/>
  <c r="Q51" i="275"/>
  <c r="C83" i="275" s="1"/>
  <c r="P51" i="275"/>
  <c r="C82" i="275" s="1"/>
  <c r="Q51" i="235"/>
  <c r="C83" i="235" s="1"/>
  <c r="P51" i="235"/>
  <c r="C82" i="235" s="1"/>
  <c r="Q51" i="284"/>
  <c r="C83" i="284" s="1"/>
  <c r="P51" i="284"/>
  <c r="C82" i="284" s="1"/>
  <c r="Q51" i="312"/>
  <c r="C83" i="312" s="1"/>
  <c r="P51" i="312"/>
  <c r="C82" i="312" s="1"/>
  <c r="Q51" i="310"/>
  <c r="C83" i="310" s="1"/>
  <c r="P51" i="310"/>
  <c r="C82" i="310" s="1"/>
  <c r="Q51" i="242"/>
  <c r="C83" i="242" s="1"/>
  <c r="P51" i="242"/>
  <c r="C82" i="242" s="1"/>
  <c r="Q51" i="249"/>
  <c r="C83" i="249" s="1"/>
  <c r="P51" i="249"/>
  <c r="C82" i="249" s="1"/>
  <c r="Q51" i="253"/>
  <c r="C83" i="253" s="1"/>
  <c r="P51" i="253"/>
  <c r="C82" i="253" s="1"/>
  <c r="Q51" i="307"/>
  <c r="C83" i="307" s="1"/>
  <c r="P51" i="307"/>
  <c r="C82" i="307" s="1"/>
  <c r="Q51" i="289"/>
  <c r="C83" i="289" s="1"/>
  <c r="P51" i="289"/>
  <c r="C82" i="289" s="1"/>
  <c r="Q51" i="263"/>
  <c r="C83" i="263" s="1"/>
  <c r="P51" i="263"/>
  <c r="C82" i="263" s="1"/>
  <c r="Q51" i="231"/>
  <c r="C83" i="231" s="1"/>
  <c r="P51" i="231"/>
  <c r="C82" i="231" s="1"/>
  <c r="Q51" i="302"/>
  <c r="C83" i="302" s="1"/>
  <c r="P51" i="302"/>
  <c r="C82" i="302" s="1"/>
  <c r="Q51" i="255"/>
  <c r="C83" i="255" s="1"/>
  <c r="P51" i="255"/>
  <c r="C82" i="255" s="1"/>
  <c r="Q51" i="259"/>
  <c r="C83" i="259" s="1"/>
  <c r="P51" i="259"/>
  <c r="C82" i="259" s="1"/>
  <c r="Q51" i="301"/>
  <c r="C83" i="301" s="1"/>
  <c r="P51" i="301"/>
  <c r="C82" i="301" s="1"/>
  <c r="Q51" i="241"/>
  <c r="C83" i="241" s="1"/>
  <c r="P51" i="241"/>
  <c r="C82" i="241" s="1"/>
  <c r="Q51" i="274"/>
  <c r="C83" i="274" s="1"/>
  <c r="P51" i="274"/>
  <c r="C82" i="274" s="1"/>
  <c r="Q51" i="278"/>
  <c r="C83" i="278" s="1"/>
  <c r="P51" i="278"/>
  <c r="C82" i="278" s="1"/>
  <c r="Q51" i="283"/>
  <c r="C83" i="283" s="1"/>
  <c r="P51" i="283"/>
  <c r="C82" i="283" s="1"/>
  <c r="Q51" i="240"/>
  <c r="C83" i="240" s="1"/>
  <c r="P51" i="240"/>
  <c r="C82" i="240" s="1"/>
  <c r="Q51" i="256"/>
  <c r="C83" i="256" s="1"/>
  <c r="P51" i="256"/>
  <c r="C82" i="256" s="1"/>
  <c r="Q51" i="272"/>
  <c r="C83" i="272" s="1"/>
  <c r="P51" i="272"/>
  <c r="C82" i="272" s="1"/>
  <c r="Q51" i="288"/>
  <c r="C83" i="288" s="1"/>
  <c r="P51" i="288"/>
  <c r="C82" i="288" s="1"/>
  <c r="Q51" i="296"/>
  <c r="C83" i="296" s="1"/>
  <c r="P51" i="296"/>
  <c r="C82" i="296" s="1"/>
  <c r="Q51" i="300"/>
  <c r="C83" i="300" s="1"/>
  <c r="P51" i="300"/>
  <c r="C82" i="300" s="1"/>
  <c r="Q51" i="286"/>
  <c r="C83" i="286" s="1"/>
  <c r="P51" i="286"/>
  <c r="C82" i="286" s="1"/>
  <c r="Q51" i="270"/>
  <c r="C83" i="270" s="1"/>
  <c r="P51" i="270"/>
  <c r="C82" i="270" s="1"/>
  <c r="Q51" i="261"/>
  <c r="C83" i="261" s="1"/>
  <c r="P51" i="261"/>
  <c r="C82" i="261" s="1"/>
  <c r="Q51" i="246"/>
  <c r="C83" i="246" s="1"/>
  <c r="P51" i="246"/>
  <c r="C82" i="246" s="1"/>
  <c r="Q51" i="250"/>
  <c r="C83" i="250" s="1"/>
  <c r="P51" i="250"/>
  <c r="C82" i="250" s="1"/>
  <c r="Q51" i="309"/>
  <c r="C83" i="309" s="1"/>
  <c r="P51" i="309"/>
  <c r="C82" i="309" s="1"/>
  <c r="Q51" i="313"/>
  <c r="C83" i="313" s="1"/>
  <c r="P51" i="313"/>
  <c r="C82" i="313" s="1"/>
  <c r="Q51" i="303"/>
  <c r="C83" i="303" s="1"/>
  <c r="P51" i="303"/>
  <c r="C82" i="303" s="1"/>
  <c r="Q51" i="247"/>
  <c r="C83" i="247" s="1"/>
  <c r="P51" i="247"/>
  <c r="C82" i="247" s="1"/>
  <c r="Q51" i="291"/>
  <c r="C83" i="291" s="1"/>
  <c r="P51" i="291"/>
  <c r="C82" i="291" s="1"/>
  <c r="Q51" i="251"/>
  <c r="C83" i="251" s="1"/>
  <c r="P51" i="251"/>
  <c r="C82" i="251" s="1"/>
  <c r="Q51" i="298"/>
  <c r="C83" i="298" s="1"/>
  <c r="P51" i="298"/>
  <c r="C82" i="298" s="1"/>
  <c r="Q51" i="306"/>
  <c r="C83" i="306" s="1"/>
  <c r="P51" i="306"/>
  <c r="C82" i="306" s="1"/>
  <c r="F51" i="257"/>
  <c r="E51" i="266"/>
  <c r="F51" i="281"/>
  <c r="G51" i="315"/>
  <c r="E51" i="240"/>
  <c r="E51" i="303"/>
  <c r="E51" i="293"/>
  <c r="E51" i="247"/>
  <c r="E51" i="315"/>
  <c r="E51" i="263"/>
  <c r="E51" i="291"/>
  <c r="E51" i="254"/>
  <c r="E51" i="274"/>
  <c r="F51" i="297"/>
  <c r="E51" i="302"/>
  <c r="Q51" i="266"/>
  <c r="C83" i="266" s="1"/>
  <c r="P51" i="266"/>
  <c r="C82" i="266" s="1"/>
  <c r="Q51" i="252"/>
  <c r="C83" i="252" s="1"/>
  <c r="P51" i="252"/>
  <c r="C82" i="252" s="1"/>
  <c r="Q51" i="268"/>
  <c r="C83" i="268" s="1"/>
  <c r="P51" i="268"/>
  <c r="C82" i="268" s="1"/>
  <c r="Q51" i="271"/>
  <c r="C83" i="271" s="1"/>
  <c r="P51" i="271"/>
  <c r="C82" i="271" s="1"/>
  <c r="Q51" i="279"/>
  <c r="C83" i="279" s="1"/>
  <c r="P51" i="279"/>
  <c r="C82" i="279" s="1"/>
  <c r="Q51" i="305"/>
  <c r="C83" i="305" s="1"/>
  <c r="P51" i="305"/>
  <c r="C82" i="305" s="1"/>
  <c r="Q51" i="262"/>
  <c r="C83" i="262" s="1"/>
  <c r="P51" i="262"/>
  <c r="C82" i="262" s="1"/>
  <c r="Q51" i="287"/>
  <c r="C83" i="287" s="1"/>
  <c r="P51" i="287"/>
  <c r="C82" i="287" s="1"/>
  <c r="Q51" i="265"/>
  <c r="C83" i="265" s="1"/>
  <c r="P51" i="265"/>
  <c r="C82" i="265" s="1"/>
  <c r="Q51" i="315"/>
  <c r="C83" i="315" s="1"/>
  <c r="P51" i="315"/>
  <c r="C82" i="315" s="1"/>
  <c r="Q51" i="248"/>
  <c r="C83" i="248" s="1"/>
  <c r="P51" i="248"/>
  <c r="C82" i="248" s="1"/>
  <c r="Q51" i="264"/>
  <c r="C83" i="264" s="1"/>
  <c r="P51" i="264"/>
  <c r="C82" i="264" s="1"/>
  <c r="Q51" i="280"/>
  <c r="C83" i="280" s="1"/>
  <c r="P51" i="280"/>
  <c r="C82" i="280" s="1"/>
  <c r="Q51" i="294"/>
  <c r="C83" i="294" s="1"/>
  <c r="P51" i="294"/>
  <c r="C82" i="294" s="1"/>
  <c r="Q51" i="233"/>
  <c r="C83" i="233" s="1"/>
  <c r="P51" i="233"/>
  <c r="C82" i="233" s="1"/>
  <c r="Q51" i="237"/>
  <c r="C83" i="237" s="1"/>
  <c r="P51" i="237"/>
  <c r="C82" i="237" s="1"/>
  <c r="Q51" i="267"/>
  <c r="C83" i="267" s="1"/>
  <c r="P51" i="267"/>
  <c r="C82" i="267" s="1"/>
  <c r="Q51" i="245"/>
  <c r="C83" i="245" s="1"/>
  <c r="P51" i="245"/>
  <c r="C82" i="245" s="1"/>
  <c r="Q51" i="258"/>
  <c r="C83" i="258" s="1"/>
  <c r="P51" i="258"/>
  <c r="C82" i="258" s="1"/>
  <c r="Q51" i="285"/>
  <c r="C83" i="285" s="1"/>
  <c r="P51" i="285"/>
  <c r="C82" i="285" s="1"/>
  <c r="Q51" i="299"/>
  <c r="C83" i="299" s="1"/>
  <c r="P51" i="299"/>
  <c r="C82" i="299" s="1"/>
  <c r="Q51" i="230"/>
  <c r="C83" i="230" s="1"/>
  <c r="P51" i="230"/>
  <c r="C82" i="230" s="1"/>
  <c r="Q51" i="239"/>
  <c r="C83" i="239" s="1"/>
  <c r="P51" i="239"/>
  <c r="C82" i="239" s="1"/>
  <c r="Q51" i="282"/>
  <c r="C83" i="282" s="1"/>
  <c r="P51" i="282"/>
  <c r="C82" i="282" s="1"/>
  <c r="Q51" i="290"/>
  <c r="C83" i="290" s="1"/>
  <c r="P51" i="290"/>
  <c r="C82" i="290" s="1"/>
  <c r="Q51" i="244"/>
  <c r="C83" i="244" s="1"/>
  <c r="P51" i="244"/>
  <c r="C82" i="244" s="1"/>
  <c r="Q51" i="260"/>
  <c r="C83" i="260" s="1"/>
  <c r="P51" i="260"/>
  <c r="C82" i="260" s="1"/>
  <c r="Q51" i="276"/>
  <c r="C83" i="276" s="1"/>
  <c r="P51" i="276"/>
  <c r="C82" i="276" s="1"/>
  <c r="Q51" i="292"/>
  <c r="C83" i="292" s="1"/>
  <c r="P51" i="292"/>
  <c r="C82" i="292" s="1"/>
  <c r="Q51" i="304"/>
  <c r="C83" i="304" s="1"/>
  <c r="P51" i="304"/>
  <c r="C82" i="304" s="1"/>
  <c r="Q51" i="308"/>
  <c r="C83" i="308" s="1"/>
  <c r="P51" i="308"/>
  <c r="C82" i="308" s="1"/>
  <c r="Q51" i="316"/>
  <c r="C83" i="316" s="1"/>
  <c r="P51" i="316"/>
  <c r="C82" i="316" s="1"/>
  <c r="Q51" i="257"/>
  <c r="C83" i="257" s="1"/>
  <c r="P51" i="257"/>
  <c r="C82" i="257" s="1"/>
  <c r="Q51" i="293"/>
  <c r="C83" i="293" s="1"/>
  <c r="P51" i="293"/>
  <c r="C82" i="293" s="1"/>
  <c r="Q51" i="297"/>
  <c r="C83" i="297" s="1"/>
  <c r="P51" i="297"/>
  <c r="C82" i="297" s="1"/>
  <c r="Q51" i="269"/>
  <c r="C83" i="269" s="1"/>
  <c r="P51" i="269"/>
  <c r="C82" i="269" s="1"/>
  <c r="Q51" i="281"/>
  <c r="C83" i="281" s="1"/>
  <c r="P51" i="281"/>
  <c r="C82" i="281" s="1"/>
  <c r="Q51" i="295"/>
  <c r="C83" i="295" s="1"/>
  <c r="P51" i="295"/>
  <c r="C82" i="295" s="1"/>
  <c r="Q51" i="234"/>
  <c r="C83" i="234" s="1"/>
  <c r="P51" i="234"/>
  <c r="C82" i="234" s="1"/>
  <c r="Q51" i="243"/>
  <c r="C83" i="243" s="1"/>
  <c r="P51" i="243"/>
  <c r="C82" i="243" s="1"/>
  <c r="Q51" i="314"/>
  <c r="C83" i="314" s="1"/>
  <c r="P51" i="314"/>
  <c r="C82" i="314" s="1"/>
  <c r="Q51" i="232"/>
  <c r="C83" i="232" s="1"/>
  <c r="P51" i="232"/>
  <c r="C82" i="232" s="1"/>
  <c r="Q51" i="236"/>
  <c r="C83" i="236" s="1"/>
  <c r="P51" i="236"/>
  <c r="C82" i="236" s="1"/>
  <c r="Q51" i="254"/>
  <c r="C83" i="254" s="1"/>
  <c r="P51" i="254"/>
  <c r="C82" i="254" s="1"/>
  <c r="Q51" i="277"/>
  <c r="C83" i="277" s="1"/>
  <c r="P51" i="277"/>
  <c r="C82" i="277" s="1"/>
  <c r="Q51" i="311"/>
  <c r="C83" i="311" s="1"/>
  <c r="P51" i="311"/>
  <c r="C82" i="311" s="1"/>
  <c r="E51" i="239"/>
  <c r="E51" i="246"/>
  <c r="E51" i="261"/>
  <c r="E51" i="275"/>
  <c r="E51" i="230"/>
  <c r="E51" i="287"/>
  <c r="E51" i="295"/>
  <c r="E51" i="244"/>
  <c r="E51" i="248"/>
  <c r="E51" i="252"/>
  <c r="E51" i="265"/>
  <c r="E51" i="307"/>
  <c r="E51" i="311"/>
  <c r="E51" i="253"/>
  <c r="E51" i="313"/>
  <c r="E51" i="249"/>
  <c r="E51" i="270"/>
  <c r="F51" i="241"/>
  <c r="E51" i="298"/>
  <c r="E51" i="237"/>
  <c r="F51" i="267"/>
  <c r="F51" i="275"/>
  <c r="F51" i="283"/>
  <c r="F51" i="295"/>
  <c r="F51" i="299"/>
  <c r="F51" i="311"/>
  <c r="F51" i="285"/>
  <c r="F51" i="230"/>
  <c r="F51" i="243"/>
  <c r="F51" i="251"/>
  <c r="F51" i="293"/>
  <c r="F51" i="245"/>
  <c r="F51" i="315"/>
  <c r="F51" i="291"/>
  <c r="F51" i="279"/>
  <c r="F51" i="307"/>
  <c r="F51" i="269"/>
  <c r="F51" i="277"/>
  <c r="F51" i="263"/>
  <c r="F51" i="309"/>
  <c r="F51" i="234"/>
  <c r="F51" i="247"/>
  <c r="F51" i="255"/>
  <c r="F51" i="253"/>
  <c r="F51" i="265"/>
  <c r="F51" i="305"/>
  <c r="F51" i="232"/>
  <c r="F51" i="249"/>
  <c r="F51" i="289"/>
  <c r="F51" i="313"/>
  <c r="AV94" i="320"/>
  <c r="AW94" i="320"/>
  <c r="BN89" i="320"/>
  <c r="F51" i="268"/>
  <c r="F51" i="288"/>
  <c r="BI91" i="320"/>
  <c r="BH91" i="320"/>
  <c r="BK89" i="320"/>
  <c r="BL11" i="320"/>
  <c r="BK45" i="320"/>
  <c r="BK77" i="320"/>
  <c r="BK35" i="320"/>
  <c r="BK18" i="320"/>
  <c r="BK34" i="320"/>
  <c r="BL65" i="320"/>
  <c r="BK15" i="320"/>
  <c r="BL86" i="320"/>
  <c r="BK79" i="320"/>
  <c r="BK36" i="320"/>
  <c r="BL75" i="320"/>
  <c r="BK75" i="320"/>
  <c r="AW91" i="320"/>
  <c r="BL5" i="320"/>
  <c r="BL7" i="320"/>
  <c r="BK41" i="320"/>
  <c r="BK73" i="320"/>
  <c r="BK31" i="320"/>
  <c r="BK17" i="320"/>
  <c r="BK33" i="320"/>
  <c r="BL61" i="320"/>
  <c r="BL82" i="320"/>
  <c r="BK56" i="320"/>
  <c r="BL32" i="320"/>
  <c r="BK71" i="320"/>
  <c r="BK72" i="320"/>
  <c r="BK51" i="320"/>
  <c r="BL21" i="320"/>
  <c r="BK63" i="320"/>
  <c r="BL28" i="320"/>
  <c r="BL87" i="320"/>
  <c r="BL19" i="320"/>
  <c r="BL35" i="320"/>
  <c r="BK53" i="320"/>
  <c r="BK69" i="320"/>
  <c r="BK85" i="320"/>
  <c r="BK27" i="320"/>
  <c r="BL54" i="320"/>
  <c r="BL78" i="320"/>
  <c r="BK6" i="320"/>
  <c r="BK14" i="320"/>
  <c r="BK22" i="320"/>
  <c r="BK30" i="320"/>
  <c r="BL41" i="320"/>
  <c r="BL57" i="320"/>
  <c r="BL73" i="320"/>
  <c r="BK88" i="320"/>
  <c r="BL38" i="320"/>
  <c r="BL66" i="320"/>
  <c r="BL33" i="320"/>
  <c r="AV91" i="320"/>
  <c r="BK4" i="320"/>
  <c r="BL29" i="320"/>
  <c r="BL43" i="320"/>
  <c r="BK68" i="320"/>
  <c r="BL83" i="320"/>
  <c r="BK59" i="320"/>
  <c r="BK90" i="320"/>
  <c r="BL51" i="320"/>
  <c r="BL47" i="320"/>
  <c r="BL84" i="320"/>
  <c r="BL25" i="320"/>
  <c r="BK80" i="320"/>
  <c r="BK28" i="320"/>
  <c r="BJ91" i="320"/>
  <c r="BL27" i="320"/>
  <c r="BK61" i="320"/>
  <c r="BK11" i="320"/>
  <c r="BL70" i="320"/>
  <c r="BK10" i="320"/>
  <c r="BK26" i="320"/>
  <c r="BL49" i="320"/>
  <c r="BL81" i="320"/>
  <c r="BL50" i="320"/>
  <c r="BL55" i="320"/>
  <c r="BL16" i="320"/>
  <c r="BK55" i="320"/>
  <c r="BK40" i="320"/>
  <c r="BK44" i="320"/>
  <c r="BK67" i="320"/>
  <c r="BL24" i="320"/>
  <c r="BK60" i="320"/>
  <c r="BL67" i="320"/>
  <c r="BL90" i="320"/>
  <c r="BL23" i="320"/>
  <c r="BK57" i="320"/>
  <c r="BK7" i="320"/>
  <c r="BL58" i="320"/>
  <c r="BK9" i="320"/>
  <c r="BK25" i="320"/>
  <c r="BL45" i="320"/>
  <c r="BL77" i="320"/>
  <c r="BL46" i="320"/>
  <c r="BL39" i="320"/>
  <c r="BL13" i="320"/>
  <c r="BK52" i="320"/>
  <c r="BL17" i="320"/>
  <c r="BL9" i="320"/>
  <c r="BK64" i="320"/>
  <c r="BK8" i="320"/>
  <c r="BL89" i="320"/>
  <c r="BL37" i="320"/>
  <c r="BL15" i="320"/>
  <c r="BL31" i="320"/>
  <c r="BK49" i="320"/>
  <c r="BK65" i="320"/>
  <c r="BK81" i="320"/>
  <c r="BK23" i="320"/>
  <c r="BL42" i="320"/>
  <c r="BL74" i="320"/>
  <c r="BK5" i="320"/>
  <c r="BK13" i="320"/>
  <c r="BK21" i="320"/>
  <c r="BK29" i="320"/>
  <c r="BK37" i="320"/>
  <c r="BL53" i="320"/>
  <c r="BL69" i="320"/>
  <c r="BL85" i="320"/>
  <c r="BK19" i="320"/>
  <c r="BL62" i="320"/>
  <c r="BM89" i="320"/>
  <c r="BL71" i="320"/>
  <c r="BK87" i="320"/>
  <c r="BK20" i="320"/>
  <c r="BK39" i="320"/>
  <c r="BL59" i="320"/>
  <c r="BL79" i="320"/>
  <c r="BK43" i="320"/>
  <c r="BK83" i="320"/>
  <c r="BK47" i="320"/>
  <c r="BK12" i="320"/>
  <c r="BK76" i="320"/>
  <c r="BK48" i="320"/>
  <c r="BL63" i="320"/>
  <c r="BM67" i="320"/>
  <c r="F51" i="300"/>
  <c r="F51" i="264"/>
  <c r="F51" i="276"/>
  <c r="F51" i="296"/>
  <c r="F51" i="304"/>
  <c r="F51" i="312"/>
  <c r="F51" i="242"/>
  <c r="AC91" i="320"/>
  <c r="G51" i="230"/>
  <c r="G51" i="234"/>
  <c r="G51" i="243"/>
  <c r="G51" i="247"/>
  <c r="G51" i="251"/>
  <c r="G51" i="255"/>
  <c r="G51" i="263"/>
  <c r="G51" i="267"/>
  <c r="G51" i="271"/>
  <c r="G51" i="275"/>
  <c r="G51" i="279"/>
  <c r="G51" i="283"/>
  <c r="G51" i="287"/>
  <c r="G51" i="291"/>
  <c r="G51" i="303"/>
  <c r="G51" i="307"/>
  <c r="G51" i="311"/>
  <c r="F51" i="237"/>
  <c r="F51" i="246"/>
  <c r="F51" i="266"/>
  <c r="F51" i="270"/>
  <c r="F51" i="278"/>
  <c r="F51" i="282"/>
  <c r="F51" i="286"/>
  <c r="F51" i="290"/>
  <c r="F51" i="294"/>
  <c r="F51" i="306"/>
  <c r="H51" i="315"/>
  <c r="G51" i="232"/>
  <c r="G51" i="236"/>
  <c r="G51" i="241"/>
  <c r="G51" i="245"/>
  <c r="G51" i="249"/>
  <c r="G51" i="253"/>
  <c r="G51" i="257"/>
  <c r="G51" i="261"/>
  <c r="G51" i="265"/>
  <c r="G51" i="269"/>
  <c r="G51" i="277"/>
  <c r="G51" i="281"/>
  <c r="G51" i="285"/>
  <c r="G51" i="289"/>
  <c r="G51" i="297"/>
  <c r="G51" i="301"/>
  <c r="G51" i="305"/>
  <c r="G51" i="309"/>
  <c r="G51" i="313"/>
  <c r="F51" i="231"/>
  <c r="F51" i="235"/>
  <c r="F51" i="240"/>
  <c r="F51" i="248"/>
  <c r="F51" i="252"/>
  <c r="AD91" i="320"/>
  <c r="G51" i="299"/>
  <c r="D94" i="217"/>
  <c r="K172" i="273" l="1"/>
  <c r="F51" i="244"/>
  <c r="F51" i="302"/>
  <c r="F51" i="272"/>
  <c r="F51" i="314"/>
  <c r="L172" i="273"/>
  <c r="F51" i="233"/>
  <c r="F51" i="256"/>
  <c r="F51" i="262"/>
  <c r="F51" i="260"/>
  <c r="G51" i="295"/>
  <c r="F51" i="298"/>
  <c r="F51" i="274"/>
  <c r="F51" i="254"/>
  <c r="F51" i="316"/>
  <c r="G51" i="259"/>
  <c r="F51" i="258"/>
  <c r="G51" i="239"/>
  <c r="AX94" i="320"/>
  <c r="BN63" i="320"/>
  <c r="BN31" i="320"/>
  <c r="BN69" i="320"/>
  <c r="BN53" i="320"/>
  <c r="BN37" i="320"/>
  <c r="BN17" i="320"/>
  <c r="BN87" i="320"/>
  <c r="BN71" i="320"/>
  <c r="BN51" i="320"/>
  <c r="BN35" i="320"/>
  <c r="BN19" i="320"/>
  <c r="BO89" i="320"/>
  <c r="BN77" i="320"/>
  <c r="BN57" i="320"/>
  <c r="BN41" i="320"/>
  <c r="BN21" i="320"/>
  <c r="BN5" i="320"/>
  <c r="BN73" i="320"/>
  <c r="BN83" i="320"/>
  <c r="BN15" i="320"/>
  <c r="BN75" i="320"/>
  <c r="BN55" i="320"/>
  <c r="BN39" i="320"/>
  <c r="BN23" i="320"/>
  <c r="BN7" i="320"/>
  <c r="BN81" i="320"/>
  <c r="BN61" i="320"/>
  <c r="BN45" i="320"/>
  <c r="BN25" i="320"/>
  <c r="BN9" i="320"/>
  <c r="BN33" i="320"/>
  <c r="BN79" i="320"/>
  <c r="BN59" i="320"/>
  <c r="BN43" i="320"/>
  <c r="BN27" i="320"/>
  <c r="BN11" i="320"/>
  <c r="BN85" i="320"/>
  <c r="BN65" i="320"/>
  <c r="BN49" i="320"/>
  <c r="BN29" i="320"/>
  <c r="BN13" i="320"/>
  <c r="BN47" i="320"/>
  <c r="G51" i="293"/>
  <c r="F51" i="310"/>
  <c r="BL91" i="320"/>
  <c r="G51" i="272"/>
  <c r="F51" i="284"/>
  <c r="BM78" i="320"/>
  <c r="BM38" i="320"/>
  <c r="BM62" i="320"/>
  <c r="BM34" i="320"/>
  <c r="BM18" i="320"/>
  <c r="BM80" i="320"/>
  <c r="BM64" i="320"/>
  <c r="BM56" i="320"/>
  <c r="BM40" i="320"/>
  <c r="BM12" i="320"/>
  <c r="BM30" i="320"/>
  <c r="BM14" i="320"/>
  <c r="BM76" i="320"/>
  <c r="BM60" i="320"/>
  <c r="BM44" i="320"/>
  <c r="BM20" i="320"/>
  <c r="BM86" i="320"/>
  <c r="G51" i="264"/>
  <c r="BM42" i="320"/>
  <c r="BM26" i="320"/>
  <c r="BM10" i="320"/>
  <c r="BM88" i="320"/>
  <c r="BM72" i="320"/>
  <c r="BM48" i="320"/>
  <c r="BM28" i="320"/>
  <c r="BM4" i="320"/>
  <c r="BM50" i="320"/>
  <c r="BM74" i="320"/>
  <c r="BM22" i="320"/>
  <c r="BM6" i="320"/>
  <c r="BM68" i="320"/>
  <c r="BM52" i="320"/>
  <c r="BM36" i="320"/>
  <c r="BM8" i="320"/>
  <c r="BM90" i="320"/>
  <c r="BM16" i="320"/>
  <c r="BM70" i="320"/>
  <c r="BM46" i="320"/>
  <c r="BM32" i="320"/>
  <c r="BK91" i="320"/>
  <c r="G51" i="276"/>
  <c r="G51" i="242"/>
  <c r="H51" i="289"/>
  <c r="H51" i="249"/>
  <c r="H51" i="232"/>
  <c r="H51" i="303"/>
  <c r="H51" i="291"/>
  <c r="H51" i="283"/>
  <c r="H51" i="275"/>
  <c r="H51" i="255"/>
  <c r="H51" i="230"/>
  <c r="H51" i="259"/>
  <c r="G51" i="256"/>
  <c r="G51" i="248"/>
  <c r="G51" i="240"/>
  <c r="G51" i="231"/>
  <c r="G51" i="294"/>
  <c r="G51" i="286"/>
  <c r="G51" i="270"/>
  <c r="G51" i="262"/>
  <c r="G51" i="246"/>
  <c r="G51" i="237"/>
  <c r="H51" i="309"/>
  <c r="H51" i="285"/>
  <c r="H51" i="277"/>
  <c r="H51" i="269"/>
  <c r="H51" i="261"/>
  <c r="H51" i="253"/>
  <c r="H51" i="236"/>
  <c r="G51" i="244"/>
  <c r="G51" i="306"/>
  <c r="G51" i="298"/>
  <c r="G51" i="290"/>
  <c r="G51" i="282"/>
  <c r="G51" i="233"/>
  <c r="H51" i="313"/>
  <c r="H51" i="297"/>
  <c r="H51" i="281"/>
  <c r="H51" i="265"/>
  <c r="H51" i="241"/>
  <c r="H51" i="311"/>
  <c r="H51" i="239"/>
  <c r="G51" i="302"/>
  <c r="G51" i="278"/>
  <c r="G51" i="254"/>
  <c r="H51" i="307"/>
  <c r="H51" i="295"/>
  <c r="H51" i="287"/>
  <c r="H51" i="271"/>
  <c r="H51" i="263"/>
  <c r="H51" i="251"/>
  <c r="H51" i="243"/>
  <c r="H51" i="234"/>
  <c r="B6" i="316"/>
  <c r="B8" i="316"/>
  <c r="A34" i="316"/>
  <c r="A35" i="316" s="1"/>
  <c r="D121" i="316"/>
  <c r="E121" i="316"/>
  <c r="F121" i="316"/>
  <c r="G121" i="316"/>
  <c r="H121" i="316"/>
  <c r="I121" i="316"/>
  <c r="D122" i="316"/>
  <c r="E122" i="316"/>
  <c r="F122" i="316"/>
  <c r="G122" i="316"/>
  <c r="H122" i="316"/>
  <c r="I122" i="316"/>
  <c r="D123" i="316"/>
  <c r="E123" i="316"/>
  <c r="F123" i="316"/>
  <c r="G123" i="316"/>
  <c r="H123" i="316"/>
  <c r="I123" i="316"/>
  <c r="D124" i="316"/>
  <c r="E124" i="316"/>
  <c r="F124" i="316"/>
  <c r="G124" i="316"/>
  <c r="H124" i="316"/>
  <c r="I124" i="316"/>
  <c r="D125" i="316"/>
  <c r="E125" i="316"/>
  <c r="F125" i="316"/>
  <c r="G125" i="316"/>
  <c r="H125" i="316"/>
  <c r="I125" i="316"/>
  <c r="D126" i="316"/>
  <c r="E126" i="316"/>
  <c r="F126" i="316"/>
  <c r="G126" i="316"/>
  <c r="H126" i="316"/>
  <c r="I126" i="316"/>
  <c r="B6" i="315"/>
  <c r="B8" i="315"/>
  <c r="A34" i="315"/>
  <c r="A35" i="315" s="1"/>
  <c r="D121" i="315"/>
  <c r="E121" i="315"/>
  <c r="F121" i="315"/>
  <c r="G121" i="315"/>
  <c r="H121" i="315"/>
  <c r="I121" i="315"/>
  <c r="D122" i="315"/>
  <c r="E122" i="315"/>
  <c r="F122" i="315"/>
  <c r="G122" i="315"/>
  <c r="H122" i="315"/>
  <c r="I122" i="315"/>
  <c r="D123" i="315"/>
  <c r="E123" i="315"/>
  <c r="F123" i="315"/>
  <c r="G123" i="315"/>
  <c r="H123" i="315"/>
  <c r="I123" i="315"/>
  <c r="D124" i="315"/>
  <c r="E124" i="315"/>
  <c r="F124" i="315"/>
  <c r="G124" i="315"/>
  <c r="H124" i="315"/>
  <c r="I124" i="315"/>
  <c r="D125" i="315"/>
  <c r="E125" i="315"/>
  <c r="F125" i="315"/>
  <c r="G125" i="315"/>
  <c r="H125" i="315"/>
  <c r="I125" i="315"/>
  <c r="D126" i="315"/>
  <c r="E126" i="315"/>
  <c r="F126" i="315"/>
  <c r="G126" i="315"/>
  <c r="H126" i="315"/>
  <c r="I126" i="315"/>
  <c r="B6" i="314"/>
  <c r="B8" i="314"/>
  <c r="A34" i="314"/>
  <c r="A35" i="314" s="1"/>
  <c r="D121" i="314"/>
  <c r="E121" i="314"/>
  <c r="F121" i="314"/>
  <c r="G121" i="314"/>
  <c r="H121" i="314"/>
  <c r="I121" i="314"/>
  <c r="D122" i="314"/>
  <c r="E122" i="314"/>
  <c r="F122" i="314"/>
  <c r="G122" i="314"/>
  <c r="H122" i="314"/>
  <c r="I122" i="314"/>
  <c r="D123" i="314"/>
  <c r="E123" i="314"/>
  <c r="F123" i="314"/>
  <c r="G123" i="314"/>
  <c r="H123" i="314"/>
  <c r="I123" i="314"/>
  <c r="E124" i="314"/>
  <c r="F124" i="314"/>
  <c r="G124" i="314"/>
  <c r="H124" i="314"/>
  <c r="I124" i="314"/>
  <c r="D125" i="314"/>
  <c r="E125" i="314"/>
  <c r="F125" i="314"/>
  <c r="G125" i="314"/>
  <c r="H125" i="314"/>
  <c r="I125" i="314"/>
  <c r="D126" i="314"/>
  <c r="E126" i="314"/>
  <c r="F126" i="314"/>
  <c r="G126" i="314"/>
  <c r="H126" i="314"/>
  <c r="I126" i="314"/>
  <c r="B6" i="313"/>
  <c r="B8" i="313"/>
  <c r="A34" i="313"/>
  <c r="A35" i="313" s="1"/>
  <c r="D121" i="313"/>
  <c r="E121" i="313"/>
  <c r="F121" i="313"/>
  <c r="G121" i="313"/>
  <c r="H121" i="313"/>
  <c r="I121" i="313"/>
  <c r="D122" i="313"/>
  <c r="E122" i="313"/>
  <c r="F122" i="313"/>
  <c r="G122" i="313"/>
  <c r="H122" i="313"/>
  <c r="I122" i="313"/>
  <c r="D123" i="313"/>
  <c r="E123" i="313"/>
  <c r="F123" i="313"/>
  <c r="G123" i="313"/>
  <c r="H123" i="313"/>
  <c r="I123" i="313"/>
  <c r="D124" i="313"/>
  <c r="E124" i="313"/>
  <c r="F124" i="313"/>
  <c r="G124" i="313"/>
  <c r="H124" i="313"/>
  <c r="I124" i="313"/>
  <c r="D125" i="313"/>
  <c r="E125" i="313"/>
  <c r="F125" i="313"/>
  <c r="G125" i="313"/>
  <c r="H125" i="313"/>
  <c r="I125" i="313"/>
  <c r="D126" i="313"/>
  <c r="E126" i="313"/>
  <c r="F126" i="313"/>
  <c r="G126" i="313"/>
  <c r="H126" i="313"/>
  <c r="I126" i="313"/>
  <c r="B6" i="312"/>
  <c r="B8" i="312"/>
  <c r="A34" i="312"/>
  <c r="A35" i="312" s="1"/>
  <c r="D121" i="312"/>
  <c r="E121" i="312"/>
  <c r="F121" i="312"/>
  <c r="G121" i="312"/>
  <c r="H121" i="312"/>
  <c r="I121" i="312"/>
  <c r="D122" i="312"/>
  <c r="E122" i="312"/>
  <c r="F122" i="312"/>
  <c r="G122" i="312"/>
  <c r="H122" i="312"/>
  <c r="I122" i="312"/>
  <c r="D123" i="312"/>
  <c r="E123" i="312"/>
  <c r="F123" i="312"/>
  <c r="G123" i="312"/>
  <c r="H123" i="312"/>
  <c r="I123" i="312"/>
  <c r="D124" i="312"/>
  <c r="E124" i="312"/>
  <c r="F124" i="312"/>
  <c r="G124" i="312"/>
  <c r="H124" i="312"/>
  <c r="I124" i="312"/>
  <c r="D125" i="312"/>
  <c r="E125" i="312"/>
  <c r="F125" i="312"/>
  <c r="G125" i="312"/>
  <c r="H125" i="312"/>
  <c r="I125" i="312"/>
  <c r="D126" i="312"/>
  <c r="E126" i="312"/>
  <c r="F126" i="312"/>
  <c r="G126" i="312"/>
  <c r="H126" i="312"/>
  <c r="I126" i="312"/>
  <c r="B6" i="311"/>
  <c r="B8" i="311"/>
  <c r="A34" i="311"/>
  <c r="A35" i="311" s="1"/>
  <c r="D121" i="311"/>
  <c r="E121" i="311"/>
  <c r="F121" i="311"/>
  <c r="G121" i="311"/>
  <c r="H121" i="311"/>
  <c r="I121" i="311"/>
  <c r="D122" i="311"/>
  <c r="E122" i="311"/>
  <c r="F122" i="311"/>
  <c r="G122" i="311"/>
  <c r="H122" i="311"/>
  <c r="I122" i="311"/>
  <c r="D123" i="311"/>
  <c r="E123" i="311"/>
  <c r="F123" i="311"/>
  <c r="G123" i="311"/>
  <c r="H123" i="311"/>
  <c r="I123" i="311"/>
  <c r="D124" i="311"/>
  <c r="E124" i="311"/>
  <c r="F124" i="311"/>
  <c r="G124" i="311"/>
  <c r="H124" i="311"/>
  <c r="I124" i="311"/>
  <c r="D125" i="311"/>
  <c r="E125" i="311"/>
  <c r="F125" i="311"/>
  <c r="G125" i="311"/>
  <c r="H125" i="311"/>
  <c r="I125" i="311"/>
  <c r="D126" i="311"/>
  <c r="E126" i="311"/>
  <c r="F126" i="311"/>
  <c r="G126" i="311"/>
  <c r="H126" i="311"/>
  <c r="I126" i="311"/>
  <c r="B6" i="310"/>
  <c r="B8" i="310"/>
  <c r="A34" i="310"/>
  <c r="A35" i="310" s="1"/>
  <c r="D121" i="310"/>
  <c r="E121" i="310"/>
  <c r="F121" i="310"/>
  <c r="G121" i="310"/>
  <c r="H121" i="310"/>
  <c r="I121" i="310"/>
  <c r="D122" i="310"/>
  <c r="E122" i="310"/>
  <c r="F122" i="310"/>
  <c r="G122" i="310"/>
  <c r="H122" i="310"/>
  <c r="I122" i="310"/>
  <c r="D123" i="310"/>
  <c r="E123" i="310"/>
  <c r="F123" i="310"/>
  <c r="G123" i="310"/>
  <c r="H123" i="310"/>
  <c r="I123" i="310"/>
  <c r="D124" i="310"/>
  <c r="E124" i="310"/>
  <c r="F124" i="310"/>
  <c r="G124" i="310"/>
  <c r="H124" i="310"/>
  <c r="I124" i="310"/>
  <c r="D125" i="310"/>
  <c r="E125" i="310"/>
  <c r="F125" i="310"/>
  <c r="G125" i="310"/>
  <c r="H125" i="310"/>
  <c r="I125" i="310"/>
  <c r="D126" i="310"/>
  <c r="E126" i="310"/>
  <c r="F126" i="310"/>
  <c r="G126" i="310"/>
  <c r="H126" i="310"/>
  <c r="I126" i="310"/>
  <c r="B6" i="309"/>
  <c r="B8" i="309"/>
  <c r="A34" i="309"/>
  <c r="A35" i="309" s="1"/>
  <c r="D121" i="309"/>
  <c r="E121" i="309"/>
  <c r="F121" i="309"/>
  <c r="G121" i="309"/>
  <c r="H121" i="309"/>
  <c r="I121" i="309"/>
  <c r="D122" i="309"/>
  <c r="E122" i="309"/>
  <c r="F122" i="309"/>
  <c r="G122" i="309"/>
  <c r="H122" i="309"/>
  <c r="I122" i="309"/>
  <c r="D123" i="309"/>
  <c r="E123" i="309"/>
  <c r="F123" i="309"/>
  <c r="G123" i="309"/>
  <c r="H123" i="309"/>
  <c r="I123" i="309"/>
  <c r="D124" i="309"/>
  <c r="E124" i="309"/>
  <c r="F124" i="309"/>
  <c r="G124" i="309"/>
  <c r="H124" i="309"/>
  <c r="I124" i="309"/>
  <c r="D125" i="309"/>
  <c r="E125" i="309"/>
  <c r="F125" i="309"/>
  <c r="G125" i="309"/>
  <c r="H125" i="309"/>
  <c r="I125" i="309"/>
  <c r="D126" i="309"/>
  <c r="E126" i="309"/>
  <c r="F126" i="309"/>
  <c r="G126" i="309"/>
  <c r="H126" i="309"/>
  <c r="I126" i="309"/>
  <c r="B6" i="308"/>
  <c r="B8" i="308"/>
  <c r="A34" i="308"/>
  <c r="A35" i="308" s="1"/>
  <c r="D121" i="308"/>
  <c r="E121" i="308"/>
  <c r="F121" i="308"/>
  <c r="G121" i="308"/>
  <c r="H121" i="308"/>
  <c r="I121" i="308"/>
  <c r="D122" i="308"/>
  <c r="E122" i="308"/>
  <c r="F122" i="308"/>
  <c r="G122" i="308"/>
  <c r="H122" i="308"/>
  <c r="I122" i="308"/>
  <c r="D123" i="308"/>
  <c r="E123" i="308"/>
  <c r="F123" i="308"/>
  <c r="G123" i="308"/>
  <c r="H123" i="308"/>
  <c r="I123" i="308"/>
  <c r="D124" i="308"/>
  <c r="E124" i="308"/>
  <c r="F124" i="308"/>
  <c r="G124" i="308"/>
  <c r="H124" i="308"/>
  <c r="I124" i="308"/>
  <c r="D125" i="308"/>
  <c r="E125" i="308"/>
  <c r="F125" i="308"/>
  <c r="G125" i="308"/>
  <c r="H125" i="308"/>
  <c r="I125" i="308"/>
  <c r="D126" i="308"/>
  <c r="E126" i="308"/>
  <c r="F126" i="308"/>
  <c r="G126" i="308"/>
  <c r="H126" i="308"/>
  <c r="I126" i="308"/>
  <c r="B6" i="307"/>
  <c r="B8" i="307"/>
  <c r="A34" i="307"/>
  <c r="A35" i="307" s="1"/>
  <c r="D121" i="307"/>
  <c r="E121" i="307"/>
  <c r="F121" i="307"/>
  <c r="G121" i="307"/>
  <c r="H121" i="307"/>
  <c r="I121" i="307"/>
  <c r="D122" i="307"/>
  <c r="E122" i="307"/>
  <c r="F122" i="307"/>
  <c r="G122" i="307"/>
  <c r="H122" i="307"/>
  <c r="I122" i="307"/>
  <c r="D123" i="307"/>
  <c r="E123" i="307"/>
  <c r="F123" i="307"/>
  <c r="G123" i="307"/>
  <c r="H123" i="307"/>
  <c r="I123" i="307"/>
  <c r="D124" i="307"/>
  <c r="E124" i="307"/>
  <c r="F124" i="307"/>
  <c r="G124" i="307"/>
  <c r="H124" i="307"/>
  <c r="I124" i="307"/>
  <c r="D125" i="307"/>
  <c r="E125" i="307"/>
  <c r="F125" i="307"/>
  <c r="G125" i="307"/>
  <c r="H125" i="307"/>
  <c r="I125" i="307"/>
  <c r="D126" i="307"/>
  <c r="E126" i="307"/>
  <c r="F126" i="307"/>
  <c r="G126" i="307"/>
  <c r="H126" i="307"/>
  <c r="I126" i="307"/>
  <c r="B6" i="306"/>
  <c r="B8" i="306"/>
  <c r="A34" i="306"/>
  <c r="A35" i="306" s="1"/>
  <c r="D121" i="306"/>
  <c r="E121" i="306"/>
  <c r="F121" i="306"/>
  <c r="G121" i="306"/>
  <c r="H121" i="306"/>
  <c r="I121" i="306"/>
  <c r="D122" i="306"/>
  <c r="E122" i="306"/>
  <c r="F122" i="306"/>
  <c r="G122" i="306"/>
  <c r="H122" i="306"/>
  <c r="I122" i="306"/>
  <c r="D123" i="306"/>
  <c r="E123" i="306"/>
  <c r="F123" i="306"/>
  <c r="G123" i="306"/>
  <c r="H123" i="306"/>
  <c r="I123" i="306"/>
  <c r="D124" i="306"/>
  <c r="E124" i="306"/>
  <c r="F124" i="306"/>
  <c r="G124" i="306"/>
  <c r="H124" i="306"/>
  <c r="I124" i="306"/>
  <c r="D125" i="306"/>
  <c r="E125" i="306"/>
  <c r="F125" i="306"/>
  <c r="G125" i="306"/>
  <c r="H125" i="306"/>
  <c r="I125" i="306"/>
  <c r="D126" i="306"/>
  <c r="E126" i="306"/>
  <c r="F126" i="306"/>
  <c r="G126" i="306"/>
  <c r="H126" i="306"/>
  <c r="I126" i="306"/>
  <c r="B6" i="305"/>
  <c r="B8" i="305"/>
  <c r="A34" i="305"/>
  <c r="A35" i="305" s="1"/>
  <c r="J171" i="305"/>
  <c r="D121" i="305"/>
  <c r="E121" i="305"/>
  <c r="F121" i="305"/>
  <c r="G121" i="305"/>
  <c r="H121" i="305"/>
  <c r="I121" i="305"/>
  <c r="D122" i="305"/>
  <c r="E122" i="305"/>
  <c r="F122" i="305"/>
  <c r="G122" i="305"/>
  <c r="H122" i="305"/>
  <c r="I122" i="305"/>
  <c r="D123" i="305"/>
  <c r="E123" i="305"/>
  <c r="F123" i="305"/>
  <c r="G123" i="305"/>
  <c r="H123" i="305"/>
  <c r="I123" i="305"/>
  <c r="D124" i="305"/>
  <c r="E124" i="305"/>
  <c r="F124" i="305"/>
  <c r="G124" i="305"/>
  <c r="H124" i="305"/>
  <c r="I124" i="305"/>
  <c r="D125" i="305"/>
  <c r="E125" i="305"/>
  <c r="F125" i="305"/>
  <c r="G125" i="305"/>
  <c r="H125" i="305"/>
  <c r="I125" i="305"/>
  <c r="D126" i="305"/>
  <c r="E126" i="305"/>
  <c r="F126" i="305"/>
  <c r="G126" i="305"/>
  <c r="H126" i="305"/>
  <c r="I126" i="305"/>
  <c r="B6" i="304"/>
  <c r="B8" i="304"/>
  <c r="A34" i="304"/>
  <c r="A35" i="304" s="1"/>
  <c r="D121" i="304"/>
  <c r="E121" i="304"/>
  <c r="F121" i="304"/>
  <c r="G121" i="304"/>
  <c r="H121" i="304"/>
  <c r="I121" i="304"/>
  <c r="D122" i="304"/>
  <c r="E122" i="304"/>
  <c r="F122" i="304"/>
  <c r="G122" i="304"/>
  <c r="H122" i="304"/>
  <c r="I122" i="304"/>
  <c r="D123" i="304"/>
  <c r="E123" i="304"/>
  <c r="F123" i="304"/>
  <c r="G123" i="304"/>
  <c r="H123" i="304"/>
  <c r="I123" i="304"/>
  <c r="D124" i="304"/>
  <c r="E124" i="304"/>
  <c r="F124" i="304"/>
  <c r="G124" i="304"/>
  <c r="H124" i="304"/>
  <c r="I124" i="304"/>
  <c r="D125" i="304"/>
  <c r="E125" i="304"/>
  <c r="F125" i="304"/>
  <c r="G125" i="304"/>
  <c r="H125" i="304"/>
  <c r="I125" i="304"/>
  <c r="D126" i="304"/>
  <c r="E126" i="304"/>
  <c r="F126" i="304"/>
  <c r="G126" i="304"/>
  <c r="H126" i="304"/>
  <c r="I126" i="304"/>
  <c r="B6" i="303"/>
  <c r="B8" i="303"/>
  <c r="A34" i="303"/>
  <c r="A35" i="303" s="1"/>
  <c r="J171" i="303"/>
  <c r="D121" i="303"/>
  <c r="E121" i="303"/>
  <c r="F121" i="303"/>
  <c r="G121" i="303"/>
  <c r="H121" i="303"/>
  <c r="I121" i="303"/>
  <c r="D122" i="303"/>
  <c r="E122" i="303"/>
  <c r="F122" i="303"/>
  <c r="G122" i="303"/>
  <c r="H122" i="303"/>
  <c r="I122" i="303"/>
  <c r="D123" i="303"/>
  <c r="E123" i="303"/>
  <c r="F123" i="303"/>
  <c r="G123" i="303"/>
  <c r="H123" i="303"/>
  <c r="I123" i="303"/>
  <c r="D124" i="303"/>
  <c r="E124" i="303"/>
  <c r="F124" i="303"/>
  <c r="G124" i="303"/>
  <c r="H124" i="303"/>
  <c r="I124" i="303"/>
  <c r="D125" i="303"/>
  <c r="E125" i="303"/>
  <c r="F125" i="303"/>
  <c r="G125" i="303"/>
  <c r="H125" i="303"/>
  <c r="I125" i="303"/>
  <c r="D126" i="303"/>
  <c r="E126" i="303"/>
  <c r="F126" i="303"/>
  <c r="G126" i="303"/>
  <c r="H126" i="303"/>
  <c r="I126" i="303"/>
  <c r="B6" i="302"/>
  <c r="B8" i="302"/>
  <c r="A34" i="302"/>
  <c r="A35" i="302" s="1"/>
  <c r="D121" i="302"/>
  <c r="E121" i="302"/>
  <c r="F121" i="302"/>
  <c r="G121" i="302"/>
  <c r="H121" i="302"/>
  <c r="I121" i="302"/>
  <c r="D122" i="302"/>
  <c r="E122" i="302"/>
  <c r="F122" i="302"/>
  <c r="G122" i="302"/>
  <c r="H122" i="302"/>
  <c r="I122" i="302"/>
  <c r="D123" i="302"/>
  <c r="E123" i="302"/>
  <c r="F123" i="302"/>
  <c r="G123" i="302"/>
  <c r="H123" i="302"/>
  <c r="I123" i="302"/>
  <c r="D124" i="302"/>
  <c r="E124" i="302"/>
  <c r="F124" i="302"/>
  <c r="G124" i="302"/>
  <c r="H124" i="302"/>
  <c r="I124" i="302"/>
  <c r="D125" i="302"/>
  <c r="E125" i="302"/>
  <c r="F125" i="302"/>
  <c r="G125" i="302"/>
  <c r="H125" i="302"/>
  <c r="I125" i="302"/>
  <c r="D126" i="302"/>
  <c r="E126" i="302"/>
  <c r="F126" i="302"/>
  <c r="G126" i="302"/>
  <c r="H126" i="302"/>
  <c r="I126" i="302"/>
  <c r="B6" i="301"/>
  <c r="B8" i="301"/>
  <c r="A34" i="301"/>
  <c r="A35" i="301" s="1"/>
  <c r="D121" i="301"/>
  <c r="E121" i="301"/>
  <c r="F121" i="301"/>
  <c r="G121" i="301"/>
  <c r="H121" i="301"/>
  <c r="I121" i="301"/>
  <c r="D122" i="301"/>
  <c r="E122" i="301"/>
  <c r="F122" i="301"/>
  <c r="G122" i="301"/>
  <c r="H122" i="301"/>
  <c r="I122" i="301"/>
  <c r="D123" i="301"/>
  <c r="E123" i="301"/>
  <c r="F123" i="301"/>
  <c r="G123" i="301"/>
  <c r="H123" i="301"/>
  <c r="I123" i="301"/>
  <c r="D124" i="301"/>
  <c r="E124" i="301"/>
  <c r="F124" i="301"/>
  <c r="G124" i="301"/>
  <c r="H124" i="301"/>
  <c r="I124" i="301"/>
  <c r="D125" i="301"/>
  <c r="E125" i="301"/>
  <c r="F125" i="301"/>
  <c r="G125" i="301"/>
  <c r="H125" i="301"/>
  <c r="I125" i="301"/>
  <c r="D126" i="301"/>
  <c r="E126" i="301"/>
  <c r="F126" i="301"/>
  <c r="G126" i="301"/>
  <c r="H126" i="301"/>
  <c r="I126" i="301"/>
  <c r="J171" i="301"/>
  <c r="B6" i="300"/>
  <c r="B8" i="300"/>
  <c r="A34" i="300"/>
  <c r="A35" i="300" s="1"/>
  <c r="D121" i="300"/>
  <c r="E121" i="300"/>
  <c r="F121" i="300"/>
  <c r="G121" i="300"/>
  <c r="H121" i="300"/>
  <c r="I121" i="300"/>
  <c r="D122" i="300"/>
  <c r="E122" i="300"/>
  <c r="F122" i="300"/>
  <c r="G122" i="300"/>
  <c r="H122" i="300"/>
  <c r="I122" i="300"/>
  <c r="D123" i="300"/>
  <c r="E123" i="300"/>
  <c r="F123" i="300"/>
  <c r="G123" i="300"/>
  <c r="H123" i="300"/>
  <c r="I123" i="300"/>
  <c r="D124" i="300"/>
  <c r="E124" i="300"/>
  <c r="F124" i="300"/>
  <c r="G124" i="300"/>
  <c r="H124" i="300"/>
  <c r="I124" i="300"/>
  <c r="D125" i="300"/>
  <c r="E125" i="300"/>
  <c r="F125" i="300"/>
  <c r="G125" i="300"/>
  <c r="H125" i="300"/>
  <c r="I125" i="300"/>
  <c r="D126" i="300"/>
  <c r="E126" i="300"/>
  <c r="F126" i="300"/>
  <c r="G126" i="300"/>
  <c r="H126" i="300"/>
  <c r="I126" i="300"/>
  <c r="B6" i="299"/>
  <c r="B8" i="299"/>
  <c r="A34" i="299"/>
  <c r="A35" i="299" s="1"/>
  <c r="D121" i="299"/>
  <c r="E121" i="299"/>
  <c r="F121" i="299"/>
  <c r="G121" i="299"/>
  <c r="H121" i="299"/>
  <c r="I121" i="299"/>
  <c r="D122" i="299"/>
  <c r="E122" i="299"/>
  <c r="F122" i="299"/>
  <c r="G122" i="299"/>
  <c r="H122" i="299"/>
  <c r="I122" i="299"/>
  <c r="D123" i="299"/>
  <c r="E123" i="299"/>
  <c r="F123" i="299"/>
  <c r="G123" i="299"/>
  <c r="H123" i="299"/>
  <c r="I123" i="299"/>
  <c r="D124" i="299"/>
  <c r="E124" i="299"/>
  <c r="F124" i="299"/>
  <c r="G124" i="299"/>
  <c r="H124" i="299"/>
  <c r="I124" i="299"/>
  <c r="D125" i="299"/>
  <c r="E125" i="299"/>
  <c r="F125" i="299"/>
  <c r="G125" i="299"/>
  <c r="H125" i="299"/>
  <c r="I125" i="299"/>
  <c r="D126" i="299"/>
  <c r="E126" i="299"/>
  <c r="F126" i="299"/>
  <c r="G126" i="299"/>
  <c r="H126" i="299"/>
  <c r="I126" i="299"/>
  <c r="J171" i="299"/>
  <c r="B6" i="298"/>
  <c r="B8" i="298"/>
  <c r="A34" i="298"/>
  <c r="A35" i="298" s="1"/>
  <c r="D121" i="298"/>
  <c r="E121" i="298"/>
  <c r="F121" i="298"/>
  <c r="G121" i="298"/>
  <c r="H121" i="298"/>
  <c r="I121" i="298"/>
  <c r="D122" i="298"/>
  <c r="E122" i="298"/>
  <c r="F122" i="298"/>
  <c r="G122" i="298"/>
  <c r="H122" i="298"/>
  <c r="I122" i="298"/>
  <c r="D123" i="298"/>
  <c r="E123" i="298"/>
  <c r="F123" i="298"/>
  <c r="G123" i="298"/>
  <c r="H123" i="298"/>
  <c r="I123" i="298"/>
  <c r="D124" i="298"/>
  <c r="E124" i="298"/>
  <c r="F124" i="298"/>
  <c r="G124" i="298"/>
  <c r="H124" i="298"/>
  <c r="I124" i="298"/>
  <c r="D125" i="298"/>
  <c r="E125" i="298"/>
  <c r="F125" i="298"/>
  <c r="G125" i="298"/>
  <c r="H125" i="298"/>
  <c r="I125" i="298"/>
  <c r="D126" i="298"/>
  <c r="E126" i="298"/>
  <c r="F126" i="298"/>
  <c r="G126" i="298"/>
  <c r="H126" i="298"/>
  <c r="I126" i="298"/>
  <c r="B6" i="297"/>
  <c r="B8" i="297"/>
  <c r="A34" i="297"/>
  <c r="A35" i="297" s="1"/>
  <c r="D121" i="297"/>
  <c r="E121" i="297"/>
  <c r="F121" i="297"/>
  <c r="G121" i="297"/>
  <c r="H121" i="297"/>
  <c r="I121" i="297"/>
  <c r="D122" i="297"/>
  <c r="E122" i="297"/>
  <c r="F122" i="297"/>
  <c r="G122" i="297"/>
  <c r="H122" i="297"/>
  <c r="I122" i="297"/>
  <c r="D123" i="297"/>
  <c r="E123" i="297"/>
  <c r="F123" i="297"/>
  <c r="G123" i="297"/>
  <c r="H123" i="297"/>
  <c r="I123" i="297"/>
  <c r="D124" i="297"/>
  <c r="E124" i="297"/>
  <c r="F124" i="297"/>
  <c r="G124" i="297"/>
  <c r="H124" i="297"/>
  <c r="I124" i="297"/>
  <c r="D125" i="297"/>
  <c r="E125" i="297"/>
  <c r="F125" i="297"/>
  <c r="G125" i="297"/>
  <c r="H125" i="297"/>
  <c r="I125" i="297"/>
  <c r="D126" i="297"/>
  <c r="E126" i="297"/>
  <c r="F126" i="297"/>
  <c r="G126" i="297"/>
  <c r="H126" i="297"/>
  <c r="I126" i="297"/>
  <c r="B6" i="296"/>
  <c r="B8" i="296"/>
  <c r="A34" i="296"/>
  <c r="A35" i="296" s="1"/>
  <c r="D121" i="296"/>
  <c r="E121" i="296"/>
  <c r="F121" i="296"/>
  <c r="G121" i="296"/>
  <c r="H121" i="296"/>
  <c r="I121" i="296"/>
  <c r="D122" i="296"/>
  <c r="E122" i="296"/>
  <c r="F122" i="296"/>
  <c r="G122" i="296"/>
  <c r="H122" i="296"/>
  <c r="I122" i="296"/>
  <c r="D123" i="296"/>
  <c r="E123" i="296"/>
  <c r="F123" i="296"/>
  <c r="G123" i="296"/>
  <c r="H123" i="296"/>
  <c r="I123" i="296"/>
  <c r="D124" i="296"/>
  <c r="E124" i="296"/>
  <c r="F124" i="296"/>
  <c r="G124" i="296"/>
  <c r="H124" i="296"/>
  <c r="I124" i="296"/>
  <c r="D125" i="296"/>
  <c r="E125" i="296"/>
  <c r="F125" i="296"/>
  <c r="G125" i="296"/>
  <c r="H125" i="296"/>
  <c r="I125" i="296"/>
  <c r="D126" i="296"/>
  <c r="E126" i="296"/>
  <c r="F126" i="296"/>
  <c r="G126" i="296"/>
  <c r="H126" i="296"/>
  <c r="I126" i="296"/>
  <c r="B6" i="295"/>
  <c r="B8" i="295"/>
  <c r="A34" i="295"/>
  <c r="A35" i="295" s="1"/>
  <c r="D121" i="295"/>
  <c r="E121" i="295"/>
  <c r="F121" i="295"/>
  <c r="G121" i="295"/>
  <c r="H121" i="295"/>
  <c r="I121" i="295"/>
  <c r="D122" i="295"/>
  <c r="E122" i="295"/>
  <c r="F122" i="295"/>
  <c r="G122" i="295"/>
  <c r="H122" i="295"/>
  <c r="I122" i="295"/>
  <c r="D123" i="295"/>
  <c r="E123" i="295"/>
  <c r="F123" i="295"/>
  <c r="G123" i="295"/>
  <c r="H123" i="295"/>
  <c r="I123" i="295"/>
  <c r="D124" i="295"/>
  <c r="E124" i="295"/>
  <c r="F124" i="295"/>
  <c r="G124" i="295"/>
  <c r="H124" i="295"/>
  <c r="I124" i="295"/>
  <c r="D125" i="295"/>
  <c r="E125" i="295"/>
  <c r="F125" i="295"/>
  <c r="G125" i="295"/>
  <c r="H125" i="295"/>
  <c r="I125" i="295"/>
  <c r="D126" i="295"/>
  <c r="E126" i="295"/>
  <c r="F126" i="295"/>
  <c r="G126" i="295"/>
  <c r="H126" i="295"/>
  <c r="I126" i="295"/>
  <c r="B6" i="294"/>
  <c r="B8" i="294"/>
  <c r="A34" i="294"/>
  <c r="A35" i="294" s="1"/>
  <c r="D121" i="294"/>
  <c r="E121" i="294"/>
  <c r="F121" i="294"/>
  <c r="G121" i="294"/>
  <c r="H121" i="294"/>
  <c r="I121" i="294"/>
  <c r="D122" i="294"/>
  <c r="E122" i="294"/>
  <c r="F122" i="294"/>
  <c r="G122" i="294"/>
  <c r="H122" i="294"/>
  <c r="I122" i="294"/>
  <c r="D123" i="294"/>
  <c r="E123" i="294"/>
  <c r="F123" i="294"/>
  <c r="G123" i="294"/>
  <c r="H123" i="294"/>
  <c r="I123" i="294"/>
  <c r="D124" i="294"/>
  <c r="E124" i="294"/>
  <c r="F124" i="294"/>
  <c r="G124" i="294"/>
  <c r="H124" i="294"/>
  <c r="I124" i="294"/>
  <c r="D125" i="294"/>
  <c r="E125" i="294"/>
  <c r="F125" i="294"/>
  <c r="G125" i="294"/>
  <c r="H125" i="294"/>
  <c r="I125" i="294"/>
  <c r="D126" i="294"/>
  <c r="E126" i="294"/>
  <c r="F126" i="294"/>
  <c r="G126" i="294"/>
  <c r="H126" i="294"/>
  <c r="I126" i="294"/>
  <c r="B6" i="293"/>
  <c r="B8" i="293"/>
  <c r="A34" i="293"/>
  <c r="A35" i="293" s="1"/>
  <c r="D121" i="293"/>
  <c r="E121" i="293"/>
  <c r="F121" i="293"/>
  <c r="G121" i="293"/>
  <c r="H121" i="293"/>
  <c r="I121" i="293"/>
  <c r="D122" i="293"/>
  <c r="E122" i="293"/>
  <c r="F122" i="293"/>
  <c r="G122" i="293"/>
  <c r="H122" i="293"/>
  <c r="I122" i="293"/>
  <c r="D123" i="293"/>
  <c r="E123" i="293"/>
  <c r="F123" i="293"/>
  <c r="G123" i="293"/>
  <c r="H123" i="293"/>
  <c r="I123" i="293"/>
  <c r="D124" i="293"/>
  <c r="E124" i="293"/>
  <c r="F124" i="293"/>
  <c r="G124" i="293"/>
  <c r="H124" i="293"/>
  <c r="I124" i="293"/>
  <c r="D125" i="293"/>
  <c r="E125" i="293"/>
  <c r="F125" i="293"/>
  <c r="G125" i="293"/>
  <c r="H125" i="293"/>
  <c r="I125" i="293"/>
  <c r="D126" i="293"/>
  <c r="E126" i="293"/>
  <c r="F126" i="293"/>
  <c r="G126" i="293"/>
  <c r="H126" i="293"/>
  <c r="I126" i="293"/>
  <c r="B6" i="292"/>
  <c r="B8" i="292"/>
  <c r="A34" i="292"/>
  <c r="A35" i="292" s="1"/>
  <c r="D121" i="292"/>
  <c r="E121" i="292"/>
  <c r="F121" i="292"/>
  <c r="G121" i="292"/>
  <c r="H121" i="292"/>
  <c r="I121" i="292"/>
  <c r="D122" i="292"/>
  <c r="E122" i="292"/>
  <c r="F122" i="292"/>
  <c r="G122" i="292"/>
  <c r="H122" i="292"/>
  <c r="I122" i="292"/>
  <c r="D123" i="292"/>
  <c r="E123" i="292"/>
  <c r="F123" i="292"/>
  <c r="G123" i="292"/>
  <c r="H123" i="292"/>
  <c r="I123" i="292"/>
  <c r="D124" i="292"/>
  <c r="E124" i="292"/>
  <c r="F124" i="292"/>
  <c r="G124" i="292"/>
  <c r="H124" i="292"/>
  <c r="I124" i="292"/>
  <c r="D125" i="292"/>
  <c r="E125" i="292"/>
  <c r="F125" i="292"/>
  <c r="G125" i="292"/>
  <c r="H125" i="292"/>
  <c r="I125" i="292"/>
  <c r="D126" i="292"/>
  <c r="E126" i="292"/>
  <c r="F126" i="292"/>
  <c r="G126" i="292"/>
  <c r="H126" i="292"/>
  <c r="I126" i="292"/>
  <c r="B6" i="291"/>
  <c r="B8" i="291"/>
  <c r="A34" i="291"/>
  <c r="A35" i="291" s="1"/>
  <c r="D121" i="291"/>
  <c r="E121" i="291"/>
  <c r="F121" i="291"/>
  <c r="G121" i="291"/>
  <c r="H121" i="291"/>
  <c r="I121" i="291"/>
  <c r="D122" i="291"/>
  <c r="E122" i="291"/>
  <c r="F122" i="291"/>
  <c r="G122" i="291"/>
  <c r="H122" i="291"/>
  <c r="I122" i="291"/>
  <c r="D123" i="291"/>
  <c r="E123" i="291"/>
  <c r="F123" i="291"/>
  <c r="G123" i="291"/>
  <c r="H123" i="291"/>
  <c r="I123" i="291"/>
  <c r="D124" i="291"/>
  <c r="E124" i="291"/>
  <c r="F124" i="291"/>
  <c r="G124" i="291"/>
  <c r="H124" i="291"/>
  <c r="I124" i="291"/>
  <c r="D125" i="291"/>
  <c r="E125" i="291"/>
  <c r="F125" i="291"/>
  <c r="G125" i="291"/>
  <c r="H125" i="291"/>
  <c r="I125" i="291"/>
  <c r="D126" i="291"/>
  <c r="E126" i="291"/>
  <c r="F126" i="291"/>
  <c r="G126" i="291"/>
  <c r="H126" i="291"/>
  <c r="I126" i="291"/>
  <c r="B6" i="290"/>
  <c r="B8" i="290"/>
  <c r="A34" i="290"/>
  <c r="A35" i="290" s="1"/>
  <c r="J171" i="290"/>
  <c r="D121" i="290"/>
  <c r="E121" i="290"/>
  <c r="F121" i="290"/>
  <c r="G121" i="290"/>
  <c r="H121" i="290"/>
  <c r="I121" i="290"/>
  <c r="D122" i="290"/>
  <c r="E122" i="290"/>
  <c r="F122" i="290"/>
  <c r="G122" i="290"/>
  <c r="H122" i="290"/>
  <c r="I122" i="290"/>
  <c r="D123" i="290"/>
  <c r="E123" i="290"/>
  <c r="F123" i="290"/>
  <c r="G123" i="290"/>
  <c r="H123" i="290"/>
  <c r="I123" i="290"/>
  <c r="D124" i="290"/>
  <c r="E124" i="290"/>
  <c r="F124" i="290"/>
  <c r="G124" i="290"/>
  <c r="H124" i="290"/>
  <c r="I124" i="290"/>
  <c r="D125" i="290"/>
  <c r="E125" i="290"/>
  <c r="F125" i="290"/>
  <c r="G125" i="290"/>
  <c r="H125" i="290"/>
  <c r="I125" i="290"/>
  <c r="D126" i="290"/>
  <c r="E126" i="290"/>
  <c r="F126" i="290"/>
  <c r="G126" i="290"/>
  <c r="H126" i="290"/>
  <c r="I126" i="290"/>
  <c r="B6" i="289"/>
  <c r="B8" i="289"/>
  <c r="A34" i="289"/>
  <c r="A35" i="289" s="1"/>
  <c r="D121" i="289"/>
  <c r="E121" i="289"/>
  <c r="F121" i="289"/>
  <c r="G121" i="289"/>
  <c r="H121" i="289"/>
  <c r="I121" i="289"/>
  <c r="D122" i="289"/>
  <c r="E122" i="289"/>
  <c r="F122" i="289"/>
  <c r="G122" i="289"/>
  <c r="H122" i="289"/>
  <c r="I122" i="289"/>
  <c r="D123" i="289"/>
  <c r="E123" i="289"/>
  <c r="F123" i="289"/>
  <c r="G123" i="289"/>
  <c r="H123" i="289"/>
  <c r="I123" i="289"/>
  <c r="D124" i="289"/>
  <c r="E124" i="289"/>
  <c r="F124" i="289"/>
  <c r="G124" i="289"/>
  <c r="H124" i="289"/>
  <c r="I124" i="289"/>
  <c r="D125" i="289"/>
  <c r="E125" i="289"/>
  <c r="F125" i="289"/>
  <c r="G125" i="289"/>
  <c r="H125" i="289"/>
  <c r="I125" i="289"/>
  <c r="D126" i="289"/>
  <c r="E126" i="289"/>
  <c r="F126" i="289"/>
  <c r="G126" i="289"/>
  <c r="H126" i="289"/>
  <c r="I126" i="289"/>
  <c r="B6" i="288"/>
  <c r="B8" i="288"/>
  <c r="A34" i="288"/>
  <c r="A35" i="288" s="1"/>
  <c r="J171" i="288"/>
  <c r="D121" i="288"/>
  <c r="E121" i="288"/>
  <c r="F121" i="288"/>
  <c r="G121" i="288"/>
  <c r="H121" i="288"/>
  <c r="I121" i="288"/>
  <c r="D122" i="288"/>
  <c r="E122" i="288"/>
  <c r="F122" i="288"/>
  <c r="G122" i="288"/>
  <c r="H122" i="288"/>
  <c r="I122" i="288"/>
  <c r="D123" i="288"/>
  <c r="E123" i="288"/>
  <c r="F123" i="288"/>
  <c r="G123" i="288"/>
  <c r="H123" i="288"/>
  <c r="I123" i="288"/>
  <c r="D124" i="288"/>
  <c r="E124" i="288"/>
  <c r="F124" i="288"/>
  <c r="G124" i="288"/>
  <c r="H124" i="288"/>
  <c r="I124" i="288"/>
  <c r="D125" i="288"/>
  <c r="E125" i="288"/>
  <c r="F125" i="288"/>
  <c r="G125" i="288"/>
  <c r="H125" i="288"/>
  <c r="I125" i="288"/>
  <c r="D126" i="288"/>
  <c r="E126" i="288"/>
  <c r="F126" i="288"/>
  <c r="G126" i="288"/>
  <c r="H126" i="288"/>
  <c r="I126" i="288"/>
  <c r="B6" i="287"/>
  <c r="B8" i="287"/>
  <c r="A34" i="287"/>
  <c r="A35" i="287" s="1"/>
  <c r="D121" i="287"/>
  <c r="E121" i="287"/>
  <c r="F121" i="287"/>
  <c r="G121" i="287"/>
  <c r="H121" i="287"/>
  <c r="I121" i="287"/>
  <c r="D122" i="287"/>
  <c r="E122" i="287"/>
  <c r="F122" i="287"/>
  <c r="G122" i="287"/>
  <c r="H122" i="287"/>
  <c r="I122" i="287"/>
  <c r="D123" i="287"/>
  <c r="E123" i="287"/>
  <c r="F123" i="287"/>
  <c r="G123" i="287"/>
  <c r="H123" i="287"/>
  <c r="I123" i="287"/>
  <c r="D124" i="287"/>
  <c r="E124" i="287"/>
  <c r="F124" i="287"/>
  <c r="G124" i="287"/>
  <c r="H124" i="287"/>
  <c r="I124" i="287"/>
  <c r="D125" i="287"/>
  <c r="E125" i="287"/>
  <c r="F125" i="287"/>
  <c r="G125" i="287"/>
  <c r="H125" i="287"/>
  <c r="I125" i="287"/>
  <c r="D126" i="287"/>
  <c r="E126" i="287"/>
  <c r="F126" i="287"/>
  <c r="G126" i="287"/>
  <c r="H126" i="287"/>
  <c r="I126" i="287"/>
  <c r="B6" i="286"/>
  <c r="B8" i="286"/>
  <c r="A34" i="286"/>
  <c r="A35" i="286" s="1"/>
  <c r="D121" i="286"/>
  <c r="E121" i="286"/>
  <c r="F121" i="286"/>
  <c r="G121" i="286"/>
  <c r="H121" i="286"/>
  <c r="I121" i="286"/>
  <c r="D122" i="286"/>
  <c r="E122" i="286"/>
  <c r="F122" i="286"/>
  <c r="G122" i="286"/>
  <c r="H122" i="286"/>
  <c r="I122" i="286"/>
  <c r="D123" i="286"/>
  <c r="E123" i="286"/>
  <c r="F123" i="286"/>
  <c r="G123" i="286"/>
  <c r="H123" i="286"/>
  <c r="I123" i="286"/>
  <c r="D124" i="286"/>
  <c r="E124" i="286"/>
  <c r="F124" i="286"/>
  <c r="G124" i="286"/>
  <c r="H124" i="286"/>
  <c r="I124" i="286"/>
  <c r="D125" i="286"/>
  <c r="E125" i="286"/>
  <c r="F125" i="286"/>
  <c r="G125" i="286"/>
  <c r="H125" i="286"/>
  <c r="I125" i="286"/>
  <c r="D126" i="286"/>
  <c r="E126" i="286"/>
  <c r="F126" i="286"/>
  <c r="G126" i="286"/>
  <c r="H126" i="286"/>
  <c r="I126" i="286"/>
  <c r="B6" i="285"/>
  <c r="B8" i="285"/>
  <c r="A34" i="285"/>
  <c r="A35" i="285" s="1"/>
  <c r="D121" i="285"/>
  <c r="E121" i="285"/>
  <c r="F121" i="285"/>
  <c r="G121" i="285"/>
  <c r="H121" i="285"/>
  <c r="I121" i="285"/>
  <c r="D122" i="285"/>
  <c r="E122" i="285"/>
  <c r="F122" i="285"/>
  <c r="G122" i="285"/>
  <c r="H122" i="285"/>
  <c r="I122" i="285"/>
  <c r="D123" i="285"/>
  <c r="E123" i="285"/>
  <c r="F123" i="285"/>
  <c r="G123" i="285"/>
  <c r="H123" i="285"/>
  <c r="I123" i="285"/>
  <c r="D124" i="285"/>
  <c r="E124" i="285"/>
  <c r="F124" i="285"/>
  <c r="G124" i="285"/>
  <c r="H124" i="285"/>
  <c r="I124" i="285"/>
  <c r="D125" i="285"/>
  <c r="E125" i="285"/>
  <c r="F125" i="285"/>
  <c r="G125" i="285"/>
  <c r="H125" i="285"/>
  <c r="I125" i="285"/>
  <c r="D126" i="285"/>
  <c r="E126" i="285"/>
  <c r="F126" i="285"/>
  <c r="G126" i="285"/>
  <c r="H126" i="285"/>
  <c r="I126" i="285"/>
  <c r="B6" i="284"/>
  <c r="B8" i="284"/>
  <c r="A34" i="284"/>
  <c r="A35" i="284" s="1"/>
  <c r="D121" i="284"/>
  <c r="E121" i="284"/>
  <c r="F121" i="284"/>
  <c r="G121" i="284"/>
  <c r="H121" i="284"/>
  <c r="I121" i="284"/>
  <c r="D122" i="284"/>
  <c r="E122" i="284"/>
  <c r="F122" i="284"/>
  <c r="G122" i="284"/>
  <c r="H122" i="284"/>
  <c r="I122" i="284"/>
  <c r="D123" i="284"/>
  <c r="E123" i="284"/>
  <c r="F123" i="284"/>
  <c r="G123" i="284"/>
  <c r="H123" i="284"/>
  <c r="I123" i="284"/>
  <c r="D124" i="284"/>
  <c r="E124" i="284"/>
  <c r="F124" i="284"/>
  <c r="G124" i="284"/>
  <c r="H124" i="284"/>
  <c r="I124" i="284"/>
  <c r="D125" i="284"/>
  <c r="E125" i="284"/>
  <c r="F125" i="284"/>
  <c r="G125" i="284"/>
  <c r="H125" i="284"/>
  <c r="I125" i="284"/>
  <c r="D126" i="284"/>
  <c r="E126" i="284"/>
  <c r="F126" i="284"/>
  <c r="G126" i="284"/>
  <c r="H126" i="284"/>
  <c r="I126" i="284"/>
  <c r="B6" i="283"/>
  <c r="B8" i="283"/>
  <c r="A34" i="283"/>
  <c r="A35" i="283" s="1"/>
  <c r="D121" i="283"/>
  <c r="E121" i="283"/>
  <c r="F121" i="283"/>
  <c r="G121" i="283"/>
  <c r="H121" i="283"/>
  <c r="I121" i="283"/>
  <c r="D122" i="283"/>
  <c r="E122" i="283"/>
  <c r="F122" i="283"/>
  <c r="G122" i="283"/>
  <c r="H122" i="283"/>
  <c r="I122" i="283"/>
  <c r="D123" i="283"/>
  <c r="E123" i="283"/>
  <c r="F123" i="283"/>
  <c r="G123" i="283"/>
  <c r="H123" i="283"/>
  <c r="I123" i="283"/>
  <c r="D124" i="283"/>
  <c r="E124" i="283"/>
  <c r="F124" i="283"/>
  <c r="G124" i="283"/>
  <c r="H124" i="283"/>
  <c r="I124" i="283"/>
  <c r="D125" i="283"/>
  <c r="E125" i="283"/>
  <c r="F125" i="283"/>
  <c r="G125" i="283"/>
  <c r="H125" i="283"/>
  <c r="I125" i="283"/>
  <c r="D126" i="283"/>
  <c r="E126" i="283"/>
  <c r="F126" i="283"/>
  <c r="G126" i="283"/>
  <c r="H126" i="283"/>
  <c r="I126" i="283"/>
  <c r="B6" i="282"/>
  <c r="B8" i="282"/>
  <c r="A34" i="282"/>
  <c r="A35" i="282" s="1"/>
  <c r="D121" i="282"/>
  <c r="E121" i="282"/>
  <c r="F121" i="282"/>
  <c r="G121" i="282"/>
  <c r="H121" i="282"/>
  <c r="I121" i="282"/>
  <c r="D122" i="282"/>
  <c r="E122" i="282"/>
  <c r="F122" i="282"/>
  <c r="G122" i="282"/>
  <c r="H122" i="282"/>
  <c r="I122" i="282"/>
  <c r="D123" i="282"/>
  <c r="E123" i="282"/>
  <c r="F123" i="282"/>
  <c r="G123" i="282"/>
  <c r="H123" i="282"/>
  <c r="I123" i="282"/>
  <c r="D124" i="282"/>
  <c r="E124" i="282"/>
  <c r="F124" i="282"/>
  <c r="G124" i="282"/>
  <c r="H124" i="282"/>
  <c r="I124" i="282"/>
  <c r="D125" i="282"/>
  <c r="E125" i="282"/>
  <c r="F125" i="282"/>
  <c r="G125" i="282"/>
  <c r="H125" i="282"/>
  <c r="I125" i="282"/>
  <c r="D126" i="282"/>
  <c r="E126" i="282"/>
  <c r="F126" i="282"/>
  <c r="G126" i="282"/>
  <c r="H126" i="282"/>
  <c r="I126" i="282"/>
  <c r="B6" i="281"/>
  <c r="B8" i="281"/>
  <c r="A34" i="281"/>
  <c r="A35" i="281" s="1"/>
  <c r="D121" i="281"/>
  <c r="E121" i="281"/>
  <c r="F121" i="281"/>
  <c r="G121" i="281"/>
  <c r="H121" i="281"/>
  <c r="I121" i="281"/>
  <c r="D122" i="281"/>
  <c r="E122" i="281"/>
  <c r="F122" i="281"/>
  <c r="G122" i="281"/>
  <c r="H122" i="281"/>
  <c r="I122" i="281"/>
  <c r="D123" i="281"/>
  <c r="E123" i="281"/>
  <c r="F123" i="281"/>
  <c r="G123" i="281"/>
  <c r="H123" i="281"/>
  <c r="I123" i="281"/>
  <c r="D124" i="281"/>
  <c r="E124" i="281"/>
  <c r="F124" i="281"/>
  <c r="G124" i="281"/>
  <c r="H124" i="281"/>
  <c r="I124" i="281"/>
  <c r="D125" i="281"/>
  <c r="E125" i="281"/>
  <c r="F125" i="281"/>
  <c r="G125" i="281"/>
  <c r="H125" i="281"/>
  <c r="I125" i="281"/>
  <c r="D126" i="281"/>
  <c r="E126" i="281"/>
  <c r="F126" i="281"/>
  <c r="G126" i="281"/>
  <c r="H126" i="281"/>
  <c r="I126" i="281"/>
  <c r="B6" i="280"/>
  <c r="B8" i="280"/>
  <c r="A34" i="280"/>
  <c r="A35" i="280" s="1"/>
  <c r="D121" i="280"/>
  <c r="E121" i="280"/>
  <c r="F121" i="280"/>
  <c r="G121" i="280"/>
  <c r="H121" i="280"/>
  <c r="I121" i="280"/>
  <c r="D122" i="280"/>
  <c r="E122" i="280"/>
  <c r="F122" i="280"/>
  <c r="G122" i="280"/>
  <c r="H122" i="280"/>
  <c r="I122" i="280"/>
  <c r="D123" i="280"/>
  <c r="E123" i="280"/>
  <c r="F123" i="280"/>
  <c r="G123" i="280"/>
  <c r="H123" i="280"/>
  <c r="I123" i="280"/>
  <c r="D124" i="280"/>
  <c r="E124" i="280"/>
  <c r="F124" i="280"/>
  <c r="G124" i="280"/>
  <c r="H124" i="280"/>
  <c r="I124" i="280"/>
  <c r="D125" i="280"/>
  <c r="E125" i="280"/>
  <c r="F125" i="280"/>
  <c r="G125" i="280"/>
  <c r="H125" i="280"/>
  <c r="I125" i="280"/>
  <c r="D126" i="280"/>
  <c r="E126" i="280"/>
  <c r="F126" i="280"/>
  <c r="G126" i="280"/>
  <c r="H126" i="280"/>
  <c r="I126" i="280"/>
  <c r="B6" i="279"/>
  <c r="B8" i="279"/>
  <c r="A34" i="279"/>
  <c r="A35" i="279" s="1"/>
  <c r="D121" i="279"/>
  <c r="E121" i="279"/>
  <c r="F121" i="279"/>
  <c r="G121" i="279"/>
  <c r="H121" i="279"/>
  <c r="I121" i="279"/>
  <c r="D122" i="279"/>
  <c r="E122" i="279"/>
  <c r="F122" i="279"/>
  <c r="G122" i="279"/>
  <c r="H122" i="279"/>
  <c r="I122" i="279"/>
  <c r="D123" i="279"/>
  <c r="E123" i="279"/>
  <c r="F123" i="279"/>
  <c r="G123" i="279"/>
  <c r="H123" i="279"/>
  <c r="I123" i="279"/>
  <c r="D124" i="279"/>
  <c r="E124" i="279"/>
  <c r="F124" i="279"/>
  <c r="G124" i="279"/>
  <c r="H124" i="279"/>
  <c r="I124" i="279"/>
  <c r="D125" i="279"/>
  <c r="E125" i="279"/>
  <c r="F125" i="279"/>
  <c r="G125" i="279"/>
  <c r="H125" i="279"/>
  <c r="I125" i="279"/>
  <c r="D126" i="279"/>
  <c r="E126" i="279"/>
  <c r="F126" i="279"/>
  <c r="G126" i="279"/>
  <c r="H126" i="279"/>
  <c r="I126" i="279"/>
  <c r="B6" i="278"/>
  <c r="B8" i="278"/>
  <c r="A34" i="278"/>
  <c r="A35" i="278" s="1"/>
  <c r="D121" i="278"/>
  <c r="E121" i="278"/>
  <c r="F121" i="278"/>
  <c r="G121" i="278"/>
  <c r="H121" i="278"/>
  <c r="I121" i="278"/>
  <c r="D122" i="278"/>
  <c r="E122" i="278"/>
  <c r="F122" i="278"/>
  <c r="G122" i="278"/>
  <c r="H122" i="278"/>
  <c r="I122" i="278"/>
  <c r="D123" i="278"/>
  <c r="E123" i="278"/>
  <c r="F123" i="278"/>
  <c r="G123" i="278"/>
  <c r="H123" i="278"/>
  <c r="I123" i="278"/>
  <c r="D124" i="278"/>
  <c r="E124" i="278"/>
  <c r="F124" i="278"/>
  <c r="G124" i="278"/>
  <c r="H124" i="278"/>
  <c r="I124" i="278"/>
  <c r="D125" i="278"/>
  <c r="E125" i="278"/>
  <c r="F125" i="278"/>
  <c r="G125" i="278"/>
  <c r="H125" i="278"/>
  <c r="I125" i="278"/>
  <c r="D126" i="278"/>
  <c r="E126" i="278"/>
  <c r="F126" i="278"/>
  <c r="G126" i="278"/>
  <c r="H126" i="278"/>
  <c r="I126" i="278"/>
  <c r="B6" i="277"/>
  <c r="B8" i="277"/>
  <c r="A34" i="277"/>
  <c r="A35" i="277" s="1"/>
  <c r="D121" i="277"/>
  <c r="E121" i="277"/>
  <c r="F121" i="277"/>
  <c r="G121" i="277"/>
  <c r="H121" i="277"/>
  <c r="I121" i="277"/>
  <c r="D122" i="277"/>
  <c r="E122" i="277"/>
  <c r="F122" i="277"/>
  <c r="G122" i="277"/>
  <c r="H122" i="277"/>
  <c r="I122" i="277"/>
  <c r="D123" i="277"/>
  <c r="E123" i="277"/>
  <c r="F123" i="277"/>
  <c r="G123" i="277"/>
  <c r="H123" i="277"/>
  <c r="I123" i="277"/>
  <c r="D124" i="277"/>
  <c r="E124" i="277"/>
  <c r="F124" i="277"/>
  <c r="G124" i="277"/>
  <c r="H124" i="277"/>
  <c r="I124" i="277"/>
  <c r="D125" i="277"/>
  <c r="E125" i="277"/>
  <c r="F125" i="277"/>
  <c r="G125" i="277"/>
  <c r="H125" i="277"/>
  <c r="I125" i="277"/>
  <c r="D126" i="277"/>
  <c r="E126" i="277"/>
  <c r="F126" i="277"/>
  <c r="G126" i="277"/>
  <c r="H126" i="277"/>
  <c r="I126" i="277"/>
  <c r="B6" i="276"/>
  <c r="B8" i="276"/>
  <c r="A34" i="276"/>
  <c r="A35" i="276" s="1"/>
  <c r="D121" i="276"/>
  <c r="E121" i="276"/>
  <c r="F121" i="276"/>
  <c r="G121" i="276"/>
  <c r="H121" i="276"/>
  <c r="I121" i="276"/>
  <c r="D122" i="276"/>
  <c r="E122" i="276"/>
  <c r="F122" i="276"/>
  <c r="G122" i="276"/>
  <c r="H122" i="276"/>
  <c r="I122" i="276"/>
  <c r="D123" i="276"/>
  <c r="E123" i="276"/>
  <c r="F123" i="276"/>
  <c r="G123" i="276"/>
  <c r="H123" i="276"/>
  <c r="I123" i="276"/>
  <c r="D124" i="276"/>
  <c r="E124" i="276"/>
  <c r="F124" i="276"/>
  <c r="G124" i="276"/>
  <c r="H124" i="276"/>
  <c r="I124" i="276"/>
  <c r="D125" i="276"/>
  <c r="E125" i="276"/>
  <c r="F125" i="276"/>
  <c r="G125" i="276"/>
  <c r="H125" i="276"/>
  <c r="I125" i="276"/>
  <c r="D126" i="276"/>
  <c r="E126" i="276"/>
  <c r="F126" i="276"/>
  <c r="G126" i="276"/>
  <c r="H126" i="276"/>
  <c r="I126" i="276"/>
  <c r="B6" i="275"/>
  <c r="B8" i="275"/>
  <c r="A34" i="275"/>
  <c r="A35" i="275" s="1"/>
  <c r="D121" i="275"/>
  <c r="E121" i="275"/>
  <c r="F121" i="275"/>
  <c r="G121" i="275"/>
  <c r="H121" i="275"/>
  <c r="I121" i="275"/>
  <c r="D122" i="275"/>
  <c r="E122" i="275"/>
  <c r="F122" i="275"/>
  <c r="G122" i="275"/>
  <c r="H122" i="275"/>
  <c r="I122" i="275"/>
  <c r="D123" i="275"/>
  <c r="E123" i="275"/>
  <c r="F123" i="275"/>
  <c r="G123" i="275"/>
  <c r="H123" i="275"/>
  <c r="I123" i="275"/>
  <c r="D124" i="275"/>
  <c r="E124" i="275"/>
  <c r="F124" i="275"/>
  <c r="G124" i="275"/>
  <c r="H124" i="275"/>
  <c r="I124" i="275"/>
  <c r="D125" i="275"/>
  <c r="E125" i="275"/>
  <c r="F125" i="275"/>
  <c r="G125" i="275"/>
  <c r="H125" i="275"/>
  <c r="I125" i="275"/>
  <c r="D126" i="275"/>
  <c r="E126" i="275"/>
  <c r="F126" i="275"/>
  <c r="G126" i="275"/>
  <c r="H126" i="275"/>
  <c r="I126" i="275"/>
  <c r="B6" i="274"/>
  <c r="B8" i="274"/>
  <c r="A34" i="274"/>
  <c r="A35" i="274" s="1"/>
  <c r="D121" i="274"/>
  <c r="E121" i="274"/>
  <c r="F121" i="274"/>
  <c r="G121" i="274"/>
  <c r="H121" i="274"/>
  <c r="I121" i="274"/>
  <c r="D122" i="274"/>
  <c r="E122" i="274"/>
  <c r="F122" i="274"/>
  <c r="G122" i="274"/>
  <c r="H122" i="274"/>
  <c r="I122" i="274"/>
  <c r="D123" i="274"/>
  <c r="E123" i="274"/>
  <c r="F123" i="274"/>
  <c r="G123" i="274"/>
  <c r="H123" i="274"/>
  <c r="I123" i="274"/>
  <c r="D124" i="274"/>
  <c r="E124" i="274"/>
  <c r="F124" i="274"/>
  <c r="G124" i="274"/>
  <c r="H124" i="274"/>
  <c r="I124" i="274"/>
  <c r="D125" i="274"/>
  <c r="E125" i="274"/>
  <c r="F125" i="274"/>
  <c r="G125" i="274"/>
  <c r="H125" i="274"/>
  <c r="I125" i="274"/>
  <c r="D126" i="274"/>
  <c r="E126" i="274"/>
  <c r="F126" i="274"/>
  <c r="G126" i="274"/>
  <c r="H126" i="274"/>
  <c r="I126" i="274"/>
  <c r="B6" i="273"/>
  <c r="B8" i="273"/>
  <c r="A34" i="273"/>
  <c r="A35" i="273" s="1"/>
  <c r="D53" i="273"/>
  <c r="B6" i="272"/>
  <c r="B8" i="272"/>
  <c r="A34" i="272"/>
  <c r="A35" i="272" s="1"/>
  <c r="D121" i="272"/>
  <c r="E121" i="272"/>
  <c r="F121" i="272"/>
  <c r="G121" i="272"/>
  <c r="H121" i="272"/>
  <c r="I121" i="272"/>
  <c r="D122" i="272"/>
  <c r="E122" i="272"/>
  <c r="F122" i="272"/>
  <c r="G122" i="272"/>
  <c r="H122" i="272"/>
  <c r="I122" i="272"/>
  <c r="D123" i="272"/>
  <c r="E123" i="272"/>
  <c r="F123" i="272"/>
  <c r="G123" i="272"/>
  <c r="H123" i="272"/>
  <c r="I123" i="272"/>
  <c r="D124" i="272"/>
  <c r="E124" i="272"/>
  <c r="F124" i="272"/>
  <c r="G124" i="272"/>
  <c r="H124" i="272"/>
  <c r="I124" i="272"/>
  <c r="D125" i="272"/>
  <c r="E125" i="272"/>
  <c r="F125" i="272"/>
  <c r="G125" i="272"/>
  <c r="H125" i="272"/>
  <c r="I125" i="272"/>
  <c r="D126" i="272"/>
  <c r="E126" i="272"/>
  <c r="F126" i="272"/>
  <c r="G126" i="272"/>
  <c r="H126" i="272"/>
  <c r="I126" i="272"/>
  <c r="B6" i="271"/>
  <c r="B8" i="271"/>
  <c r="A34" i="271"/>
  <c r="A35" i="271" s="1"/>
  <c r="J171" i="271"/>
  <c r="D121" i="271"/>
  <c r="E121" i="271"/>
  <c r="F121" i="271"/>
  <c r="G121" i="271"/>
  <c r="H121" i="271"/>
  <c r="I121" i="271"/>
  <c r="D122" i="271"/>
  <c r="E122" i="271"/>
  <c r="F122" i="271"/>
  <c r="G122" i="271"/>
  <c r="H122" i="271"/>
  <c r="I122" i="271"/>
  <c r="D123" i="271"/>
  <c r="E123" i="271"/>
  <c r="F123" i="271"/>
  <c r="G123" i="271"/>
  <c r="H123" i="271"/>
  <c r="I123" i="271"/>
  <c r="D124" i="271"/>
  <c r="E124" i="271"/>
  <c r="F124" i="271"/>
  <c r="G124" i="271"/>
  <c r="H124" i="271"/>
  <c r="I124" i="271"/>
  <c r="D125" i="271"/>
  <c r="E125" i="271"/>
  <c r="F125" i="271"/>
  <c r="G125" i="271"/>
  <c r="H125" i="271"/>
  <c r="I125" i="271"/>
  <c r="D126" i="271"/>
  <c r="E126" i="271"/>
  <c r="F126" i="271"/>
  <c r="G126" i="271"/>
  <c r="H126" i="271"/>
  <c r="I126" i="271"/>
  <c r="B6" i="270"/>
  <c r="B8" i="270"/>
  <c r="A34" i="270"/>
  <c r="A35" i="270" s="1"/>
  <c r="D121" i="270"/>
  <c r="E121" i="270"/>
  <c r="F121" i="270"/>
  <c r="G121" i="270"/>
  <c r="H121" i="270"/>
  <c r="I121" i="270"/>
  <c r="D122" i="270"/>
  <c r="E122" i="270"/>
  <c r="F122" i="270"/>
  <c r="G122" i="270"/>
  <c r="H122" i="270"/>
  <c r="I122" i="270"/>
  <c r="D123" i="270"/>
  <c r="E123" i="270"/>
  <c r="F123" i="270"/>
  <c r="G123" i="270"/>
  <c r="H123" i="270"/>
  <c r="I123" i="270"/>
  <c r="D124" i="270"/>
  <c r="E124" i="270"/>
  <c r="F124" i="270"/>
  <c r="G124" i="270"/>
  <c r="H124" i="270"/>
  <c r="I124" i="270"/>
  <c r="D125" i="270"/>
  <c r="E125" i="270"/>
  <c r="F125" i="270"/>
  <c r="G125" i="270"/>
  <c r="H125" i="270"/>
  <c r="I125" i="270"/>
  <c r="D126" i="270"/>
  <c r="E126" i="270"/>
  <c r="F126" i="270"/>
  <c r="G126" i="270"/>
  <c r="H126" i="270"/>
  <c r="I126" i="270"/>
  <c r="B6" i="269"/>
  <c r="B8" i="269"/>
  <c r="A34" i="269"/>
  <c r="A35" i="269" s="1"/>
  <c r="D121" i="269"/>
  <c r="E121" i="269"/>
  <c r="F121" i="269"/>
  <c r="G121" i="269"/>
  <c r="H121" i="269"/>
  <c r="I121" i="269"/>
  <c r="D122" i="269"/>
  <c r="E122" i="269"/>
  <c r="F122" i="269"/>
  <c r="G122" i="269"/>
  <c r="H122" i="269"/>
  <c r="I122" i="269"/>
  <c r="D123" i="269"/>
  <c r="E123" i="269"/>
  <c r="F123" i="269"/>
  <c r="G123" i="269"/>
  <c r="H123" i="269"/>
  <c r="I123" i="269"/>
  <c r="D124" i="269"/>
  <c r="E124" i="269"/>
  <c r="F124" i="269"/>
  <c r="G124" i="269"/>
  <c r="H124" i="269"/>
  <c r="I124" i="269"/>
  <c r="D125" i="269"/>
  <c r="E125" i="269"/>
  <c r="F125" i="269"/>
  <c r="G125" i="269"/>
  <c r="H125" i="269"/>
  <c r="I125" i="269"/>
  <c r="D126" i="269"/>
  <c r="E126" i="269"/>
  <c r="F126" i="269"/>
  <c r="G126" i="269"/>
  <c r="H126" i="269"/>
  <c r="I126" i="269"/>
  <c r="B6" i="268"/>
  <c r="B8" i="268"/>
  <c r="A34" i="268"/>
  <c r="A35" i="268" s="1"/>
  <c r="D121" i="268"/>
  <c r="E121" i="268"/>
  <c r="F121" i="268"/>
  <c r="G121" i="268"/>
  <c r="H121" i="268"/>
  <c r="I121" i="268"/>
  <c r="D122" i="268"/>
  <c r="E122" i="268"/>
  <c r="F122" i="268"/>
  <c r="G122" i="268"/>
  <c r="H122" i="268"/>
  <c r="I122" i="268"/>
  <c r="D123" i="268"/>
  <c r="E123" i="268"/>
  <c r="F123" i="268"/>
  <c r="G123" i="268"/>
  <c r="H123" i="268"/>
  <c r="I123" i="268"/>
  <c r="D124" i="268"/>
  <c r="E124" i="268"/>
  <c r="F124" i="268"/>
  <c r="G124" i="268"/>
  <c r="H124" i="268"/>
  <c r="I124" i="268"/>
  <c r="D125" i="268"/>
  <c r="E125" i="268"/>
  <c r="F125" i="268"/>
  <c r="G125" i="268"/>
  <c r="H125" i="268"/>
  <c r="I125" i="268"/>
  <c r="D126" i="268"/>
  <c r="E126" i="268"/>
  <c r="F126" i="268"/>
  <c r="G126" i="268"/>
  <c r="H126" i="268"/>
  <c r="I126" i="268"/>
  <c r="B6" i="267"/>
  <c r="B8" i="267"/>
  <c r="A34" i="267"/>
  <c r="A35" i="267" s="1"/>
  <c r="D121" i="267"/>
  <c r="E121" i="267"/>
  <c r="F121" i="267"/>
  <c r="G121" i="267"/>
  <c r="H121" i="267"/>
  <c r="I121" i="267"/>
  <c r="D122" i="267"/>
  <c r="E122" i="267"/>
  <c r="F122" i="267"/>
  <c r="G122" i="267"/>
  <c r="H122" i="267"/>
  <c r="I122" i="267"/>
  <c r="D123" i="267"/>
  <c r="E123" i="267"/>
  <c r="F123" i="267"/>
  <c r="G123" i="267"/>
  <c r="H123" i="267"/>
  <c r="I123" i="267"/>
  <c r="D124" i="267"/>
  <c r="E124" i="267"/>
  <c r="F124" i="267"/>
  <c r="G124" i="267"/>
  <c r="H124" i="267"/>
  <c r="I124" i="267"/>
  <c r="D125" i="267"/>
  <c r="E125" i="267"/>
  <c r="F125" i="267"/>
  <c r="G125" i="267"/>
  <c r="H125" i="267"/>
  <c r="I125" i="267"/>
  <c r="D126" i="267"/>
  <c r="E126" i="267"/>
  <c r="F126" i="267"/>
  <c r="G126" i="267"/>
  <c r="H126" i="267"/>
  <c r="I126" i="267"/>
  <c r="B6" i="266"/>
  <c r="B8" i="266"/>
  <c r="A34" i="266"/>
  <c r="A35" i="266" s="1"/>
  <c r="D121" i="266"/>
  <c r="E121" i="266"/>
  <c r="F121" i="266"/>
  <c r="G121" i="266"/>
  <c r="H121" i="266"/>
  <c r="I121" i="266"/>
  <c r="D122" i="266"/>
  <c r="E122" i="266"/>
  <c r="F122" i="266"/>
  <c r="G122" i="266"/>
  <c r="H122" i="266"/>
  <c r="I122" i="266"/>
  <c r="D123" i="266"/>
  <c r="E123" i="266"/>
  <c r="F123" i="266"/>
  <c r="G123" i="266"/>
  <c r="H123" i="266"/>
  <c r="I123" i="266"/>
  <c r="D124" i="266"/>
  <c r="E124" i="266"/>
  <c r="F124" i="266"/>
  <c r="G124" i="266"/>
  <c r="H124" i="266"/>
  <c r="I124" i="266"/>
  <c r="D125" i="266"/>
  <c r="E125" i="266"/>
  <c r="F125" i="266"/>
  <c r="G125" i="266"/>
  <c r="H125" i="266"/>
  <c r="I125" i="266"/>
  <c r="D126" i="266"/>
  <c r="E126" i="266"/>
  <c r="F126" i="266"/>
  <c r="G126" i="266"/>
  <c r="H126" i="266"/>
  <c r="I126" i="266"/>
  <c r="B6" i="265"/>
  <c r="B8" i="265"/>
  <c r="A34" i="265"/>
  <c r="A35" i="265" s="1"/>
  <c r="D121" i="265"/>
  <c r="E121" i="265"/>
  <c r="F121" i="265"/>
  <c r="G121" i="265"/>
  <c r="H121" i="265"/>
  <c r="I121" i="265"/>
  <c r="D122" i="265"/>
  <c r="E122" i="265"/>
  <c r="F122" i="265"/>
  <c r="G122" i="265"/>
  <c r="H122" i="265"/>
  <c r="I122" i="265"/>
  <c r="D123" i="265"/>
  <c r="E123" i="265"/>
  <c r="F123" i="265"/>
  <c r="G123" i="265"/>
  <c r="H123" i="265"/>
  <c r="I123" i="265"/>
  <c r="D124" i="265"/>
  <c r="E124" i="265"/>
  <c r="F124" i="265"/>
  <c r="G124" i="265"/>
  <c r="H124" i="265"/>
  <c r="I124" i="265"/>
  <c r="D125" i="265"/>
  <c r="E125" i="265"/>
  <c r="F125" i="265"/>
  <c r="G125" i="265"/>
  <c r="H125" i="265"/>
  <c r="I125" i="265"/>
  <c r="D126" i="265"/>
  <c r="E126" i="265"/>
  <c r="F126" i="265"/>
  <c r="G126" i="265"/>
  <c r="H126" i="265"/>
  <c r="I126" i="265"/>
  <c r="B6" i="264"/>
  <c r="B8" i="264"/>
  <c r="A34" i="264"/>
  <c r="A35" i="264" s="1"/>
  <c r="D121" i="264"/>
  <c r="E121" i="264"/>
  <c r="F121" i="264"/>
  <c r="G121" i="264"/>
  <c r="H121" i="264"/>
  <c r="I121" i="264"/>
  <c r="D122" i="264"/>
  <c r="E122" i="264"/>
  <c r="F122" i="264"/>
  <c r="G122" i="264"/>
  <c r="H122" i="264"/>
  <c r="I122" i="264"/>
  <c r="D123" i="264"/>
  <c r="E123" i="264"/>
  <c r="F123" i="264"/>
  <c r="G123" i="264"/>
  <c r="H123" i="264"/>
  <c r="I123" i="264"/>
  <c r="D124" i="264"/>
  <c r="E124" i="264"/>
  <c r="F124" i="264"/>
  <c r="G124" i="264"/>
  <c r="H124" i="264"/>
  <c r="I124" i="264"/>
  <c r="D125" i="264"/>
  <c r="E125" i="264"/>
  <c r="F125" i="264"/>
  <c r="G125" i="264"/>
  <c r="H125" i="264"/>
  <c r="I125" i="264"/>
  <c r="D126" i="264"/>
  <c r="E126" i="264"/>
  <c r="F126" i="264"/>
  <c r="G126" i="264"/>
  <c r="H126" i="264"/>
  <c r="I126" i="264"/>
  <c r="B6" i="263"/>
  <c r="B8" i="263"/>
  <c r="A34" i="263"/>
  <c r="A35" i="263" s="1"/>
  <c r="J171" i="263"/>
  <c r="D121" i="263"/>
  <c r="E121" i="263"/>
  <c r="F121" i="263"/>
  <c r="G121" i="263"/>
  <c r="H121" i="263"/>
  <c r="I121" i="263"/>
  <c r="D122" i="263"/>
  <c r="E122" i="263"/>
  <c r="F122" i="263"/>
  <c r="G122" i="263"/>
  <c r="H122" i="263"/>
  <c r="I122" i="263"/>
  <c r="D123" i="263"/>
  <c r="E123" i="263"/>
  <c r="F123" i="263"/>
  <c r="G123" i="263"/>
  <c r="H123" i="263"/>
  <c r="I123" i="263"/>
  <c r="D124" i="263"/>
  <c r="E124" i="263"/>
  <c r="F124" i="263"/>
  <c r="G124" i="263"/>
  <c r="H124" i="263"/>
  <c r="I124" i="263"/>
  <c r="D125" i="263"/>
  <c r="E125" i="263"/>
  <c r="F125" i="263"/>
  <c r="G125" i="263"/>
  <c r="H125" i="263"/>
  <c r="I125" i="263"/>
  <c r="D126" i="263"/>
  <c r="E126" i="263"/>
  <c r="F126" i="263"/>
  <c r="G126" i="263"/>
  <c r="H126" i="263"/>
  <c r="I126" i="263"/>
  <c r="B6" i="262"/>
  <c r="B8" i="262"/>
  <c r="A34" i="262"/>
  <c r="A35" i="262" s="1"/>
  <c r="D121" i="262"/>
  <c r="E121" i="262"/>
  <c r="F121" i="262"/>
  <c r="G121" i="262"/>
  <c r="H121" i="262"/>
  <c r="I121" i="262"/>
  <c r="D122" i="262"/>
  <c r="E122" i="262"/>
  <c r="F122" i="262"/>
  <c r="G122" i="262"/>
  <c r="H122" i="262"/>
  <c r="I122" i="262"/>
  <c r="D123" i="262"/>
  <c r="E123" i="262"/>
  <c r="F123" i="262"/>
  <c r="G123" i="262"/>
  <c r="H123" i="262"/>
  <c r="I123" i="262"/>
  <c r="D124" i="262"/>
  <c r="E124" i="262"/>
  <c r="F124" i="262"/>
  <c r="G124" i="262"/>
  <c r="H124" i="262"/>
  <c r="I124" i="262"/>
  <c r="D125" i="262"/>
  <c r="E125" i="262"/>
  <c r="F125" i="262"/>
  <c r="G125" i="262"/>
  <c r="H125" i="262"/>
  <c r="I125" i="262"/>
  <c r="D126" i="262"/>
  <c r="E126" i="262"/>
  <c r="F126" i="262"/>
  <c r="G126" i="262"/>
  <c r="H126" i="262"/>
  <c r="I126" i="262"/>
  <c r="B6" i="261"/>
  <c r="B8" i="261"/>
  <c r="A34" i="261"/>
  <c r="A35" i="261" s="1"/>
  <c r="J171" i="261"/>
  <c r="D121" i="261"/>
  <c r="E121" i="261"/>
  <c r="F121" i="261"/>
  <c r="G121" i="261"/>
  <c r="H121" i="261"/>
  <c r="I121" i="261"/>
  <c r="D122" i="261"/>
  <c r="E122" i="261"/>
  <c r="F122" i="261"/>
  <c r="G122" i="261"/>
  <c r="H122" i="261"/>
  <c r="I122" i="261"/>
  <c r="D123" i="261"/>
  <c r="E123" i="261"/>
  <c r="F123" i="261"/>
  <c r="G123" i="261"/>
  <c r="H123" i="261"/>
  <c r="I123" i="261"/>
  <c r="D124" i="261"/>
  <c r="E124" i="261"/>
  <c r="F124" i="261"/>
  <c r="G124" i="261"/>
  <c r="H124" i="261"/>
  <c r="I124" i="261"/>
  <c r="D125" i="261"/>
  <c r="E125" i="261"/>
  <c r="F125" i="261"/>
  <c r="G125" i="261"/>
  <c r="H125" i="261"/>
  <c r="I125" i="261"/>
  <c r="D126" i="261"/>
  <c r="E126" i="261"/>
  <c r="F126" i="261"/>
  <c r="G126" i="261"/>
  <c r="H126" i="261"/>
  <c r="I126" i="261"/>
  <c r="B6" i="260"/>
  <c r="B8" i="260"/>
  <c r="A34" i="260"/>
  <c r="A35" i="260" s="1"/>
  <c r="D121" i="260"/>
  <c r="E121" i="260"/>
  <c r="F121" i="260"/>
  <c r="G121" i="260"/>
  <c r="H121" i="260"/>
  <c r="I121" i="260"/>
  <c r="D122" i="260"/>
  <c r="E122" i="260"/>
  <c r="F122" i="260"/>
  <c r="G122" i="260"/>
  <c r="H122" i="260"/>
  <c r="I122" i="260"/>
  <c r="D123" i="260"/>
  <c r="E123" i="260"/>
  <c r="F123" i="260"/>
  <c r="G123" i="260"/>
  <c r="H123" i="260"/>
  <c r="I123" i="260"/>
  <c r="D124" i="260"/>
  <c r="E124" i="260"/>
  <c r="F124" i="260"/>
  <c r="G124" i="260"/>
  <c r="H124" i="260"/>
  <c r="I124" i="260"/>
  <c r="D125" i="260"/>
  <c r="E125" i="260"/>
  <c r="F125" i="260"/>
  <c r="G125" i="260"/>
  <c r="H125" i="260"/>
  <c r="I125" i="260"/>
  <c r="D126" i="260"/>
  <c r="E126" i="260"/>
  <c r="F126" i="260"/>
  <c r="G126" i="260"/>
  <c r="H126" i="260"/>
  <c r="I126" i="260"/>
  <c r="B6" i="259"/>
  <c r="B8" i="259"/>
  <c r="A34" i="259"/>
  <c r="A35" i="259" s="1"/>
  <c r="D121" i="259"/>
  <c r="E121" i="259"/>
  <c r="F121" i="259"/>
  <c r="G121" i="259"/>
  <c r="H121" i="259"/>
  <c r="I121" i="259"/>
  <c r="D122" i="259"/>
  <c r="E122" i="259"/>
  <c r="F122" i="259"/>
  <c r="G122" i="259"/>
  <c r="H122" i="259"/>
  <c r="I122" i="259"/>
  <c r="D123" i="259"/>
  <c r="E123" i="259"/>
  <c r="F123" i="259"/>
  <c r="G123" i="259"/>
  <c r="H123" i="259"/>
  <c r="I123" i="259"/>
  <c r="D124" i="259"/>
  <c r="E124" i="259"/>
  <c r="F124" i="259"/>
  <c r="G124" i="259"/>
  <c r="H124" i="259"/>
  <c r="I124" i="259"/>
  <c r="D125" i="259"/>
  <c r="E125" i="259"/>
  <c r="F125" i="259"/>
  <c r="G125" i="259"/>
  <c r="H125" i="259"/>
  <c r="I125" i="259"/>
  <c r="D126" i="259"/>
  <c r="E126" i="259"/>
  <c r="F126" i="259"/>
  <c r="G126" i="259"/>
  <c r="H126" i="259"/>
  <c r="I126" i="259"/>
  <c r="B6" i="258"/>
  <c r="B8" i="258"/>
  <c r="A34" i="258"/>
  <c r="A35" i="258" s="1"/>
  <c r="D121" i="258"/>
  <c r="E121" i="258"/>
  <c r="F121" i="258"/>
  <c r="G121" i="258"/>
  <c r="H121" i="258"/>
  <c r="I121" i="258"/>
  <c r="D122" i="258"/>
  <c r="E122" i="258"/>
  <c r="F122" i="258"/>
  <c r="G122" i="258"/>
  <c r="H122" i="258"/>
  <c r="I122" i="258"/>
  <c r="D123" i="258"/>
  <c r="E123" i="258"/>
  <c r="F123" i="258"/>
  <c r="G123" i="258"/>
  <c r="H123" i="258"/>
  <c r="I123" i="258"/>
  <c r="D124" i="258"/>
  <c r="E124" i="258"/>
  <c r="F124" i="258"/>
  <c r="G124" i="258"/>
  <c r="H124" i="258"/>
  <c r="I124" i="258"/>
  <c r="D125" i="258"/>
  <c r="E125" i="258"/>
  <c r="F125" i="258"/>
  <c r="G125" i="258"/>
  <c r="H125" i="258"/>
  <c r="I125" i="258"/>
  <c r="D126" i="258"/>
  <c r="E126" i="258"/>
  <c r="F126" i="258"/>
  <c r="G126" i="258"/>
  <c r="H126" i="258"/>
  <c r="I126" i="258"/>
  <c r="B6" i="257"/>
  <c r="B8" i="257"/>
  <c r="A34" i="257"/>
  <c r="A35" i="257" s="1"/>
  <c r="D121" i="257"/>
  <c r="E121" i="257"/>
  <c r="F121" i="257"/>
  <c r="G121" i="257"/>
  <c r="H121" i="257"/>
  <c r="I121" i="257"/>
  <c r="D122" i="257"/>
  <c r="E122" i="257"/>
  <c r="F122" i="257"/>
  <c r="G122" i="257"/>
  <c r="H122" i="257"/>
  <c r="I122" i="257"/>
  <c r="D123" i="257"/>
  <c r="E123" i="257"/>
  <c r="F123" i="257"/>
  <c r="G123" i="257"/>
  <c r="H123" i="257"/>
  <c r="I123" i="257"/>
  <c r="D124" i="257"/>
  <c r="E124" i="257"/>
  <c r="F124" i="257"/>
  <c r="G124" i="257"/>
  <c r="H124" i="257"/>
  <c r="I124" i="257"/>
  <c r="D125" i="257"/>
  <c r="E125" i="257"/>
  <c r="F125" i="257"/>
  <c r="G125" i="257"/>
  <c r="H125" i="257"/>
  <c r="I125" i="257"/>
  <c r="D126" i="257"/>
  <c r="E126" i="257"/>
  <c r="F126" i="257"/>
  <c r="G126" i="257"/>
  <c r="H126" i="257"/>
  <c r="I126" i="257"/>
  <c r="B6" i="256"/>
  <c r="B8" i="256"/>
  <c r="A34" i="256"/>
  <c r="A35" i="256" s="1"/>
  <c r="D121" i="256"/>
  <c r="E121" i="256"/>
  <c r="F121" i="256"/>
  <c r="G121" i="256"/>
  <c r="H121" i="256"/>
  <c r="I121" i="256"/>
  <c r="D122" i="256"/>
  <c r="E122" i="256"/>
  <c r="F122" i="256"/>
  <c r="G122" i="256"/>
  <c r="H122" i="256"/>
  <c r="I122" i="256"/>
  <c r="D123" i="256"/>
  <c r="E123" i="256"/>
  <c r="F123" i="256"/>
  <c r="G123" i="256"/>
  <c r="H123" i="256"/>
  <c r="I123" i="256"/>
  <c r="D124" i="256"/>
  <c r="E124" i="256"/>
  <c r="F124" i="256"/>
  <c r="G124" i="256"/>
  <c r="H124" i="256"/>
  <c r="I124" i="256"/>
  <c r="D125" i="256"/>
  <c r="E125" i="256"/>
  <c r="F125" i="256"/>
  <c r="G125" i="256"/>
  <c r="H125" i="256"/>
  <c r="I125" i="256"/>
  <c r="D126" i="256"/>
  <c r="E126" i="256"/>
  <c r="F126" i="256"/>
  <c r="G126" i="256"/>
  <c r="H126" i="256"/>
  <c r="I126" i="256"/>
  <c r="B6" i="255"/>
  <c r="B8" i="255"/>
  <c r="A34" i="255"/>
  <c r="A35" i="255" s="1"/>
  <c r="J171" i="255"/>
  <c r="D121" i="255"/>
  <c r="E121" i="255"/>
  <c r="F121" i="255"/>
  <c r="G121" i="255"/>
  <c r="H121" i="255"/>
  <c r="I121" i="255"/>
  <c r="D122" i="255"/>
  <c r="E122" i="255"/>
  <c r="F122" i="255"/>
  <c r="G122" i="255"/>
  <c r="H122" i="255"/>
  <c r="I122" i="255"/>
  <c r="D123" i="255"/>
  <c r="E123" i="255"/>
  <c r="F123" i="255"/>
  <c r="G123" i="255"/>
  <c r="H123" i="255"/>
  <c r="I123" i="255"/>
  <c r="D124" i="255"/>
  <c r="E124" i="255"/>
  <c r="F124" i="255"/>
  <c r="G124" i="255"/>
  <c r="H124" i="255"/>
  <c r="I124" i="255"/>
  <c r="D125" i="255"/>
  <c r="E125" i="255"/>
  <c r="F125" i="255"/>
  <c r="G125" i="255"/>
  <c r="H125" i="255"/>
  <c r="I125" i="255"/>
  <c r="D126" i="255"/>
  <c r="E126" i="255"/>
  <c r="F126" i="255"/>
  <c r="G126" i="255"/>
  <c r="H126" i="255"/>
  <c r="I126" i="255"/>
  <c r="B6" i="254"/>
  <c r="B8" i="254"/>
  <c r="A34" i="254"/>
  <c r="A35" i="254" s="1"/>
  <c r="D121" i="254"/>
  <c r="E121" i="254"/>
  <c r="F121" i="254"/>
  <c r="G121" i="254"/>
  <c r="H121" i="254"/>
  <c r="I121" i="254"/>
  <c r="D122" i="254"/>
  <c r="E122" i="254"/>
  <c r="F122" i="254"/>
  <c r="G122" i="254"/>
  <c r="H122" i="254"/>
  <c r="I122" i="254"/>
  <c r="D123" i="254"/>
  <c r="E123" i="254"/>
  <c r="F123" i="254"/>
  <c r="G123" i="254"/>
  <c r="H123" i="254"/>
  <c r="I123" i="254"/>
  <c r="D124" i="254"/>
  <c r="E124" i="254"/>
  <c r="F124" i="254"/>
  <c r="G124" i="254"/>
  <c r="H124" i="254"/>
  <c r="I124" i="254"/>
  <c r="D125" i="254"/>
  <c r="E125" i="254"/>
  <c r="F125" i="254"/>
  <c r="G125" i="254"/>
  <c r="H125" i="254"/>
  <c r="I125" i="254"/>
  <c r="D126" i="254"/>
  <c r="E126" i="254"/>
  <c r="F126" i="254"/>
  <c r="G126" i="254"/>
  <c r="H126" i="254"/>
  <c r="I126" i="254"/>
  <c r="B6" i="253"/>
  <c r="B8" i="253"/>
  <c r="A34" i="253"/>
  <c r="A35" i="253" s="1"/>
  <c r="D121" i="253"/>
  <c r="E121" i="253"/>
  <c r="F121" i="253"/>
  <c r="G121" i="253"/>
  <c r="H121" i="253"/>
  <c r="I121" i="253"/>
  <c r="D122" i="253"/>
  <c r="E122" i="253"/>
  <c r="F122" i="253"/>
  <c r="G122" i="253"/>
  <c r="H122" i="253"/>
  <c r="I122" i="253"/>
  <c r="D123" i="253"/>
  <c r="E123" i="253"/>
  <c r="F123" i="253"/>
  <c r="G123" i="253"/>
  <c r="H123" i="253"/>
  <c r="I123" i="253"/>
  <c r="D124" i="253"/>
  <c r="E124" i="253"/>
  <c r="F124" i="253"/>
  <c r="G124" i="253"/>
  <c r="H124" i="253"/>
  <c r="I124" i="253"/>
  <c r="D125" i="253"/>
  <c r="E125" i="253"/>
  <c r="F125" i="253"/>
  <c r="G125" i="253"/>
  <c r="H125" i="253"/>
  <c r="I125" i="253"/>
  <c r="D126" i="253"/>
  <c r="E126" i="253"/>
  <c r="F126" i="253"/>
  <c r="G126" i="253"/>
  <c r="H126" i="253"/>
  <c r="I126" i="253"/>
  <c r="B6" i="252"/>
  <c r="B8" i="252"/>
  <c r="A34" i="252"/>
  <c r="A35" i="252" s="1"/>
  <c r="D121" i="252"/>
  <c r="E121" i="252"/>
  <c r="F121" i="252"/>
  <c r="G121" i="252"/>
  <c r="H121" i="252"/>
  <c r="I121" i="252"/>
  <c r="D122" i="252"/>
  <c r="E122" i="252"/>
  <c r="F122" i="252"/>
  <c r="G122" i="252"/>
  <c r="H122" i="252"/>
  <c r="I122" i="252"/>
  <c r="D123" i="252"/>
  <c r="E123" i="252"/>
  <c r="F123" i="252"/>
  <c r="G123" i="252"/>
  <c r="H123" i="252"/>
  <c r="I123" i="252"/>
  <c r="D124" i="252"/>
  <c r="E124" i="252"/>
  <c r="F124" i="252"/>
  <c r="G124" i="252"/>
  <c r="H124" i="252"/>
  <c r="I124" i="252"/>
  <c r="D125" i="252"/>
  <c r="E125" i="252"/>
  <c r="F125" i="252"/>
  <c r="G125" i="252"/>
  <c r="H125" i="252"/>
  <c r="I125" i="252"/>
  <c r="D126" i="252"/>
  <c r="E126" i="252"/>
  <c r="F126" i="252"/>
  <c r="G126" i="252"/>
  <c r="H126" i="252"/>
  <c r="I126" i="252"/>
  <c r="B6" i="251"/>
  <c r="B8" i="251"/>
  <c r="A34" i="251"/>
  <c r="A35" i="251" s="1"/>
  <c r="D121" i="251"/>
  <c r="E121" i="251"/>
  <c r="F121" i="251"/>
  <c r="G121" i="251"/>
  <c r="H121" i="251"/>
  <c r="I121" i="251"/>
  <c r="D122" i="251"/>
  <c r="E122" i="251"/>
  <c r="F122" i="251"/>
  <c r="G122" i="251"/>
  <c r="H122" i="251"/>
  <c r="I122" i="251"/>
  <c r="D123" i="251"/>
  <c r="E123" i="251"/>
  <c r="F123" i="251"/>
  <c r="G123" i="251"/>
  <c r="H123" i="251"/>
  <c r="I123" i="251"/>
  <c r="D124" i="251"/>
  <c r="E124" i="251"/>
  <c r="F124" i="251"/>
  <c r="G124" i="251"/>
  <c r="H124" i="251"/>
  <c r="I124" i="251"/>
  <c r="D125" i="251"/>
  <c r="E125" i="251"/>
  <c r="F125" i="251"/>
  <c r="G125" i="251"/>
  <c r="H125" i="251"/>
  <c r="I125" i="251"/>
  <c r="D126" i="251"/>
  <c r="E126" i="251"/>
  <c r="F126" i="251"/>
  <c r="G126" i="251"/>
  <c r="H126" i="251"/>
  <c r="I126" i="251"/>
  <c r="B6" i="250"/>
  <c r="B8" i="250"/>
  <c r="A34" i="250"/>
  <c r="A35" i="250" s="1"/>
  <c r="D121" i="250"/>
  <c r="E121" i="250"/>
  <c r="F121" i="250"/>
  <c r="G121" i="250"/>
  <c r="H121" i="250"/>
  <c r="I121" i="250"/>
  <c r="D122" i="250"/>
  <c r="E122" i="250"/>
  <c r="F122" i="250"/>
  <c r="G122" i="250"/>
  <c r="H122" i="250"/>
  <c r="I122" i="250"/>
  <c r="D123" i="250"/>
  <c r="E123" i="250"/>
  <c r="F123" i="250"/>
  <c r="G123" i="250"/>
  <c r="H123" i="250"/>
  <c r="I123" i="250"/>
  <c r="D124" i="250"/>
  <c r="E124" i="250"/>
  <c r="F124" i="250"/>
  <c r="G124" i="250"/>
  <c r="H124" i="250"/>
  <c r="I124" i="250"/>
  <c r="D125" i="250"/>
  <c r="E125" i="250"/>
  <c r="F125" i="250"/>
  <c r="G125" i="250"/>
  <c r="H125" i="250"/>
  <c r="I125" i="250"/>
  <c r="D126" i="250"/>
  <c r="E126" i="250"/>
  <c r="F126" i="250"/>
  <c r="G126" i="250"/>
  <c r="H126" i="250"/>
  <c r="I126" i="250"/>
  <c r="B6" i="249"/>
  <c r="B8" i="249"/>
  <c r="A34" i="249"/>
  <c r="A35" i="249" s="1"/>
  <c r="D121" i="249"/>
  <c r="E121" i="249"/>
  <c r="F121" i="249"/>
  <c r="G121" i="249"/>
  <c r="H121" i="249"/>
  <c r="I121" i="249"/>
  <c r="D122" i="249"/>
  <c r="E122" i="249"/>
  <c r="F122" i="249"/>
  <c r="G122" i="249"/>
  <c r="H122" i="249"/>
  <c r="I122" i="249"/>
  <c r="D123" i="249"/>
  <c r="E123" i="249"/>
  <c r="F123" i="249"/>
  <c r="G123" i="249"/>
  <c r="H123" i="249"/>
  <c r="I123" i="249"/>
  <c r="D124" i="249"/>
  <c r="E124" i="249"/>
  <c r="F124" i="249"/>
  <c r="G124" i="249"/>
  <c r="H124" i="249"/>
  <c r="I124" i="249"/>
  <c r="D125" i="249"/>
  <c r="E125" i="249"/>
  <c r="F125" i="249"/>
  <c r="G125" i="249"/>
  <c r="H125" i="249"/>
  <c r="I125" i="249"/>
  <c r="D126" i="249"/>
  <c r="E126" i="249"/>
  <c r="F126" i="249"/>
  <c r="G126" i="249"/>
  <c r="H126" i="249"/>
  <c r="I126" i="249"/>
  <c r="B6" i="248"/>
  <c r="B8" i="248"/>
  <c r="A34" i="248"/>
  <c r="A35" i="248" s="1"/>
  <c r="D121" i="248"/>
  <c r="E121" i="248"/>
  <c r="F121" i="248"/>
  <c r="G121" i="248"/>
  <c r="H121" i="248"/>
  <c r="I121" i="248"/>
  <c r="D122" i="248"/>
  <c r="E122" i="248"/>
  <c r="F122" i="248"/>
  <c r="G122" i="248"/>
  <c r="H122" i="248"/>
  <c r="I122" i="248"/>
  <c r="D123" i="248"/>
  <c r="E123" i="248"/>
  <c r="F123" i="248"/>
  <c r="G123" i="248"/>
  <c r="H123" i="248"/>
  <c r="I123" i="248"/>
  <c r="D124" i="248"/>
  <c r="E124" i="248"/>
  <c r="F124" i="248"/>
  <c r="G124" i="248"/>
  <c r="H124" i="248"/>
  <c r="I124" i="248"/>
  <c r="D125" i="248"/>
  <c r="E125" i="248"/>
  <c r="F125" i="248"/>
  <c r="G125" i="248"/>
  <c r="H125" i="248"/>
  <c r="I125" i="248"/>
  <c r="D126" i="248"/>
  <c r="E126" i="248"/>
  <c r="F126" i="248"/>
  <c r="G126" i="248"/>
  <c r="H126" i="248"/>
  <c r="I126" i="248"/>
  <c r="B6" i="247"/>
  <c r="B8" i="247"/>
  <c r="A34" i="247"/>
  <c r="A35" i="247" s="1"/>
  <c r="J171" i="247"/>
  <c r="D121" i="247"/>
  <c r="E121" i="247"/>
  <c r="F121" i="247"/>
  <c r="G121" i="247"/>
  <c r="H121" i="247"/>
  <c r="I121" i="247"/>
  <c r="D122" i="247"/>
  <c r="E122" i="247"/>
  <c r="F122" i="247"/>
  <c r="G122" i="247"/>
  <c r="H122" i="247"/>
  <c r="I122" i="247"/>
  <c r="D123" i="247"/>
  <c r="E123" i="247"/>
  <c r="F123" i="247"/>
  <c r="G123" i="247"/>
  <c r="H123" i="247"/>
  <c r="I123" i="247"/>
  <c r="D124" i="247"/>
  <c r="E124" i="247"/>
  <c r="F124" i="247"/>
  <c r="G124" i="247"/>
  <c r="H124" i="247"/>
  <c r="I124" i="247"/>
  <c r="D125" i="247"/>
  <c r="E125" i="247"/>
  <c r="F125" i="247"/>
  <c r="G125" i="247"/>
  <c r="H125" i="247"/>
  <c r="I125" i="247"/>
  <c r="D126" i="247"/>
  <c r="E126" i="247"/>
  <c r="F126" i="247"/>
  <c r="G126" i="247"/>
  <c r="H126" i="247"/>
  <c r="I126" i="247"/>
  <c r="B6" i="246"/>
  <c r="B8" i="246"/>
  <c r="A34" i="246"/>
  <c r="A35" i="246" s="1"/>
  <c r="D121" i="246"/>
  <c r="E121" i="246"/>
  <c r="F121" i="246"/>
  <c r="G121" i="246"/>
  <c r="H121" i="246"/>
  <c r="I121" i="246"/>
  <c r="D122" i="246"/>
  <c r="E122" i="246"/>
  <c r="F122" i="246"/>
  <c r="G122" i="246"/>
  <c r="H122" i="246"/>
  <c r="I122" i="246"/>
  <c r="D123" i="246"/>
  <c r="E123" i="246"/>
  <c r="F123" i="246"/>
  <c r="G123" i="246"/>
  <c r="H123" i="246"/>
  <c r="I123" i="246"/>
  <c r="D124" i="246"/>
  <c r="E124" i="246"/>
  <c r="F124" i="246"/>
  <c r="G124" i="246"/>
  <c r="H124" i="246"/>
  <c r="I124" i="246"/>
  <c r="D125" i="246"/>
  <c r="E125" i="246"/>
  <c r="F125" i="246"/>
  <c r="G125" i="246"/>
  <c r="H125" i="246"/>
  <c r="I125" i="246"/>
  <c r="D126" i="246"/>
  <c r="E126" i="246"/>
  <c r="F126" i="246"/>
  <c r="G126" i="246"/>
  <c r="H126" i="246"/>
  <c r="I126" i="246"/>
  <c r="B6" i="245"/>
  <c r="B8" i="245"/>
  <c r="A34" i="245"/>
  <c r="A35" i="245" s="1"/>
  <c r="D121" i="245"/>
  <c r="E121" i="245"/>
  <c r="F121" i="245"/>
  <c r="G121" i="245"/>
  <c r="H121" i="245"/>
  <c r="I121" i="245"/>
  <c r="D122" i="245"/>
  <c r="E122" i="245"/>
  <c r="F122" i="245"/>
  <c r="G122" i="245"/>
  <c r="H122" i="245"/>
  <c r="I122" i="245"/>
  <c r="D123" i="245"/>
  <c r="E123" i="245"/>
  <c r="F123" i="245"/>
  <c r="G123" i="245"/>
  <c r="H123" i="245"/>
  <c r="I123" i="245"/>
  <c r="D124" i="245"/>
  <c r="E124" i="245"/>
  <c r="F124" i="245"/>
  <c r="G124" i="245"/>
  <c r="H124" i="245"/>
  <c r="I124" i="245"/>
  <c r="D125" i="245"/>
  <c r="E125" i="245"/>
  <c r="F125" i="245"/>
  <c r="G125" i="245"/>
  <c r="H125" i="245"/>
  <c r="I125" i="245"/>
  <c r="D126" i="245"/>
  <c r="E126" i="245"/>
  <c r="F126" i="245"/>
  <c r="G126" i="245"/>
  <c r="H126" i="245"/>
  <c r="I126" i="245"/>
  <c r="B6" i="244"/>
  <c r="B8" i="244"/>
  <c r="A34" i="244"/>
  <c r="A35" i="244" s="1"/>
  <c r="D121" i="244"/>
  <c r="E121" i="244"/>
  <c r="F121" i="244"/>
  <c r="G121" i="244"/>
  <c r="H121" i="244"/>
  <c r="I121" i="244"/>
  <c r="D122" i="244"/>
  <c r="E122" i="244"/>
  <c r="F122" i="244"/>
  <c r="G122" i="244"/>
  <c r="H122" i="244"/>
  <c r="I122" i="244"/>
  <c r="D123" i="244"/>
  <c r="E123" i="244"/>
  <c r="F123" i="244"/>
  <c r="G123" i="244"/>
  <c r="H123" i="244"/>
  <c r="I123" i="244"/>
  <c r="D124" i="244"/>
  <c r="E124" i="244"/>
  <c r="F124" i="244"/>
  <c r="G124" i="244"/>
  <c r="H124" i="244"/>
  <c r="I124" i="244"/>
  <c r="D125" i="244"/>
  <c r="E125" i="244"/>
  <c r="F125" i="244"/>
  <c r="G125" i="244"/>
  <c r="H125" i="244"/>
  <c r="I125" i="244"/>
  <c r="D126" i="244"/>
  <c r="E126" i="244"/>
  <c r="F126" i="244"/>
  <c r="G126" i="244"/>
  <c r="H126" i="244"/>
  <c r="I126" i="244"/>
  <c r="B6" i="243"/>
  <c r="B8" i="243"/>
  <c r="A34" i="243"/>
  <c r="A35" i="243" s="1"/>
  <c r="D121" i="243"/>
  <c r="E121" i="243"/>
  <c r="F121" i="243"/>
  <c r="G121" i="243"/>
  <c r="H121" i="243"/>
  <c r="I121" i="243"/>
  <c r="D122" i="243"/>
  <c r="E122" i="243"/>
  <c r="F122" i="243"/>
  <c r="G122" i="243"/>
  <c r="H122" i="243"/>
  <c r="I122" i="243"/>
  <c r="D123" i="243"/>
  <c r="E123" i="243"/>
  <c r="F123" i="243"/>
  <c r="G123" i="243"/>
  <c r="H123" i="243"/>
  <c r="I123" i="243"/>
  <c r="D124" i="243"/>
  <c r="E124" i="243"/>
  <c r="F124" i="243"/>
  <c r="G124" i="243"/>
  <c r="H124" i="243"/>
  <c r="I124" i="243"/>
  <c r="D125" i="243"/>
  <c r="E125" i="243"/>
  <c r="F125" i="243"/>
  <c r="G125" i="243"/>
  <c r="H125" i="243"/>
  <c r="I125" i="243"/>
  <c r="D126" i="243"/>
  <c r="E126" i="243"/>
  <c r="F126" i="243"/>
  <c r="G126" i="243"/>
  <c r="H126" i="243"/>
  <c r="I126" i="243"/>
  <c r="B6" i="242"/>
  <c r="B8" i="242"/>
  <c r="A34" i="242"/>
  <c r="A35" i="242" s="1"/>
  <c r="D121" i="242"/>
  <c r="E121" i="242"/>
  <c r="F121" i="242"/>
  <c r="G121" i="242"/>
  <c r="H121" i="242"/>
  <c r="I121" i="242"/>
  <c r="D122" i="242"/>
  <c r="E122" i="242"/>
  <c r="F122" i="242"/>
  <c r="G122" i="242"/>
  <c r="H122" i="242"/>
  <c r="I122" i="242"/>
  <c r="D123" i="242"/>
  <c r="E123" i="242"/>
  <c r="F123" i="242"/>
  <c r="G123" i="242"/>
  <c r="H123" i="242"/>
  <c r="I123" i="242"/>
  <c r="D124" i="242"/>
  <c r="E124" i="242"/>
  <c r="F124" i="242"/>
  <c r="G124" i="242"/>
  <c r="H124" i="242"/>
  <c r="I124" i="242"/>
  <c r="D125" i="242"/>
  <c r="E125" i="242"/>
  <c r="F125" i="242"/>
  <c r="G125" i="242"/>
  <c r="H125" i="242"/>
  <c r="I125" i="242"/>
  <c r="D126" i="242"/>
  <c r="E126" i="242"/>
  <c r="F126" i="242"/>
  <c r="G126" i="242"/>
  <c r="H126" i="242"/>
  <c r="I126" i="242"/>
  <c r="B6" i="241"/>
  <c r="B8" i="241"/>
  <c r="A34" i="241"/>
  <c r="A35" i="241" s="1"/>
  <c r="J171" i="241"/>
  <c r="D121" i="241"/>
  <c r="E121" i="241"/>
  <c r="F121" i="241"/>
  <c r="G121" i="241"/>
  <c r="H121" i="241"/>
  <c r="I121" i="241"/>
  <c r="D122" i="241"/>
  <c r="E122" i="241"/>
  <c r="F122" i="241"/>
  <c r="G122" i="241"/>
  <c r="H122" i="241"/>
  <c r="I122" i="241"/>
  <c r="D123" i="241"/>
  <c r="E123" i="241"/>
  <c r="F123" i="241"/>
  <c r="G123" i="241"/>
  <c r="H123" i="241"/>
  <c r="I123" i="241"/>
  <c r="D124" i="241"/>
  <c r="E124" i="241"/>
  <c r="F124" i="241"/>
  <c r="G124" i="241"/>
  <c r="H124" i="241"/>
  <c r="I124" i="241"/>
  <c r="D125" i="241"/>
  <c r="E125" i="241"/>
  <c r="F125" i="241"/>
  <c r="G125" i="241"/>
  <c r="H125" i="241"/>
  <c r="I125" i="241"/>
  <c r="D126" i="241"/>
  <c r="E126" i="241"/>
  <c r="F126" i="241"/>
  <c r="G126" i="241"/>
  <c r="H126" i="241"/>
  <c r="I126" i="241"/>
  <c r="B6" i="240"/>
  <c r="B8" i="240"/>
  <c r="A34" i="240"/>
  <c r="A35" i="240" s="1"/>
  <c r="D121" i="240"/>
  <c r="E121" i="240"/>
  <c r="F121" i="240"/>
  <c r="G121" i="240"/>
  <c r="H121" i="240"/>
  <c r="I121" i="240"/>
  <c r="D122" i="240"/>
  <c r="E122" i="240"/>
  <c r="F122" i="240"/>
  <c r="G122" i="240"/>
  <c r="H122" i="240"/>
  <c r="I122" i="240"/>
  <c r="D123" i="240"/>
  <c r="E123" i="240"/>
  <c r="F123" i="240"/>
  <c r="G123" i="240"/>
  <c r="H123" i="240"/>
  <c r="I123" i="240"/>
  <c r="D124" i="240"/>
  <c r="E124" i="240"/>
  <c r="F124" i="240"/>
  <c r="G124" i="240"/>
  <c r="H124" i="240"/>
  <c r="I124" i="240"/>
  <c r="D125" i="240"/>
  <c r="E125" i="240"/>
  <c r="F125" i="240"/>
  <c r="G125" i="240"/>
  <c r="H125" i="240"/>
  <c r="I125" i="240"/>
  <c r="D126" i="240"/>
  <c r="E126" i="240"/>
  <c r="F126" i="240"/>
  <c r="G126" i="240"/>
  <c r="H126" i="240"/>
  <c r="I126" i="240"/>
  <c r="B6" i="239"/>
  <c r="B8" i="239"/>
  <c r="A34" i="239"/>
  <c r="A35" i="239" s="1"/>
  <c r="J171" i="239"/>
  <c r="D121" i="239"/>
  <c r="E121" i="239"/>
  <c r="F121" i="239"/>
  <c r="G121" i="239"/>
  <c r="H121" i="239"/>
  <c r="I121" i="239"/>
  <c r="D122" i="239"/>
  <c r="E122" i="239"/>
  <c r="F122" i="239"/>
  <c r="G122" i="239"/>
  <c r="H122" i="239"/>
  <c r="I122" i="239"/>
  <c r="D123" i="239"/>
  <c r="E123" i="239"/>
  <c r="F123" i="239"/>
  <c r="G123" i="239"/>
  <c r="H123" i="239"/>
  <c r="I123" i="239"/>
  <c r="D124" i="239"/>
  <c r="E124" i="239"/>
  <c r="F124" i="239"/>
  <c r="G124" i="239"/>
  <c r="H124" i="239"/>
  <c r="I124" i="239"/>
  <c r="D125" i="239"/>
  <c r="E125" i="239"/>
  <c r="F125" i="239"/>
  <c r="G125" i="239"/>
  <c r="H125" i="239"/>
  <c r="I125" i="239"/>
  <c r="D126" i="239"/>
  <c r="E126" i="239"/>
  <c r="F126" i="239"/>
  <c r="G126" i="239"/>
  <c r="H126" i="239"/>
  <c r="I126" i="239"/>
  <c r="B6" i="237"/>
  <c r="B8" i="237"/>
  <c r="A34" i="237"/>
  <c r="A35" i="237" s="1"/>
  <c r="D121" i="237"/>
  <c r="E121" i="237"/>
  <c r="F121" i="237"/>
  <c r="G121" i="237"/>
  <c r="H121" i="237"/>
  <c r="I121" i="237"/>
  <c r="D122" i="237"/>
  <c r="E122" i="237"/>
  <c r="F122" i="237"/>
  <c r="G122" i="237"/>
  <c r="H122" i="237"/>
  <c r="I122" i="237"/>
  <c r="D123" i="237"/>
  <c r="E123" i="237"/>
  <c r="F123" i="237"/>
  <c r="G123" i="237"/>
  <c r="H123" i="237"/>
  <c r="I123" i="237"/>
  <c r="D124" i="237"/>
  <c r="E124" i="237"/>
  <c r="F124" i="237"/>
  <c r="G124" i="237"/>
  <c r="H124" i="237"/>
  <c r="I124" i="237"/>
  <c r="D125" i="237"/>
  <c r="E125" i="237"/>
  <c r="F125" i="237"/>
  <c r="G125" i="237"/>
  <c r="H125" i="237"/>
  <c r="I125" i="237"/>
  <c r="D126" i="237"/>
  <c r="E126" i="237"/>
  <c r="F126" i="237"/>
  <c r="G126" i="237"/>
  <c r="H126" i="237"/>
  <c r="I126" i="237"/>
  <c r="B6" i="236"/>
  <c r="B8" i="236"/>
  <c r="A34" i="236"/>
  <c r="A35" i="236" s="1"/>
  <c r="J171" i="236"/>
  <c r="D121" i="236"/>
  <c r="E121" i="236"/>
  <c r="F121" i="236"/>
  <c r="G121" i="236"/>
  <c r="H121" i="236"/>
  <c r="I121" i="236"/>
  <c r="D122" i="236"/>
  <c r="E122" i="236"/>
  <c r="F122" i="236"/>
  <c r="G122" i="236"/>
  <c r="H122" i="236"/>
  <c r="I122" i="236"/>
  <c r="D123" i="236"/>
  <c r="E123" i="236"/>
  <c r="F123" i="236"/>
  <c r="G123" i="236"/>
  <c r="H123" i="236"/>
  <c r="I123" i="236"/>
  <c r="D124" i="236"/>
  <c r="E124" i="236"/>
  <c r="F124" i="236"/>
  <c r="G124" i="236"/>
  <c r="H124" i="236"/>
  <c r="I124" i="236"/>
  <c r="D125" i="236"/>
  <c r="E125" i="236"/>
  <c r="F125" i="236"/>
  <c r="G125" i="236"/>
  <c r="H125" i="236"/>
  <c r="I125" i="236"/>
  <c r="D126" i="236"/>
  <c r="E126" i="236"/>
  <c r="F126" i="236"/>
  <c r="G126" i="236"/>
  <c r="H126" i="236"/>
  <c r="I126" i="236"/>
  <c r="B6" i="235"/>
  <c r="B8" i="235"/>
  <c r="A34" i="235"/>
  <c r="A35" i="235" s="1"/>
  <c r="D121" i="235"/>
  <c r="E121" i="235"/>
  <c r="F121" i="235"/>
  <c r="G121" i="235"/>
  <c r="H121" i="235"/>
  <c r="I121" i="235"/>
  <c r="D122" i="235"/>
  <c r="E122" i="235"/>
  <c r="F122" i="235"/>
  <c r="G122" i="235"/>
  <c r="H122" i="235"/>
  <c r="I122" i="235"/>
  <c r="D123" i="235"/>
  <c r="E123" i="235"/>
  <c r="F123" i="235"/>
  <c r="G123" i="235"/>
  <c r="H123" i="235"/>
  <c r="I123" i="235"/>
  <c r="D124" i="235"/>
  <c r="E124" i="235"/>
  <c r="F124" i="235"/>
  <c r="G124" i="235"/>
  <c r="H124" i="235"/>
  <c r="I124" i="235"/>
  <c r="D125" i="235"/>
  <c r="E125" i="235"/>
  <c r="F125" i="235"/>
  <c r="G125" i="235"/>
  <c r="H125" i="235"/>
  <c r="I125" i="235"/>
  <c r="D126" i="235"/>
  <c r="E126" i="235"/>
  <c r="F126" i="235"/>
  <c r="G126" i="235"/>
  <c r="H126" i="235"/>
  <c r="I126" i="235"/>
  <c r="B6" i="234"/>
  <c r="B8" i="234"/>
  <c r="A34" i="234"/>
  <c r="A35" i="234" s="1"/>
  <c r="D121" i="234"/>
  <c r="E121" i="234"/>
  <c r="F121" i="234"/>
  <c r="G121" i="234"/>
  <c r="H121" i="234"/>
  <c r="I121" i="234"/>
  <c r="D122" i="234"/>
  <c r="E122" i="234"/>
  <c r="F122" i="234"/>
  <c r="G122" i="234"/>
  <c r="H122" i="234"/>
  <c r="I122" i="234"/>
  <c r="D123" i="234"/>
  <c r="E123" i="234"/>
  <c r="F123" i="234"/>
  <c r="G123" i="234"/>
  <c r="H123" i="234"/>
  <c r="I123" i="234"/>
  <c r="D124" i="234"/>
  <c r="E124" i="234"/>
  <c r="F124" i="234"/>
  <c r="G124" i="234"/>
  <c r="H124" i="234"/>
  <c r="I124" i="234"/>
  <c r="D125" i="234"/>
  <c r="E125" i="234"/>
  <c r="F125" i="234"/>
  <c r="G125" i="234"/>
  <c r="H125" i="234"/>
  <c r="I125" i="234"/>
  <c r="D126" i="234"/>
  <c r="E126" i="234"/>
  <c r="F126" i="234"/>
  <c r="G126" i="234"/>
  <c r="H126" i="234"/>
  <c r="I126" i="234"/>
  <c r="B6" i="233"/>
  <c r="B8" i="233"/>
  <c r="A34" i="233"/>
  <c r="A35" i="233" s="1"/>
  <c r="D121" i="233"/>
  <c r="E121" i="233"/>
  <c r="F121" i="233"/>
  <c r="G121" i="233"/>
  <c r="H121" i="233"/>
  <c r="I121" i="233"/>
  <c r="D122" i="233"/>
  <c r="E122" i="233"/>
  <c r="F122" i="233"/>
  <c r="G122" i="233"/>
  <c r="H122" i="233"/>
  <c r="I122" i="233"/>
  <c r="D123" i="233"/>
  <c r="E123" i="233"/>
  <c r="F123" i="233"/>
  <c r="G123" i="233"/>
  <c r="H123" i="233"/>
  <c r="I123" i="233"/>
  <c r="D124" i="233"/>
  <c r="E124" i="233"/>
  <c r="F124" i="233"/>
  <c r="G124" i="233"/>
  <c r="H124" i="233"/>
  <c r="I124" i="233"/>
  <c r="D125" i="233"/>
  <c r="E125" i="233"/>
  <c r="F125" i="233"/>
  <c r="G125" i="233"/>
  <c r="H125" i="233"/>
  <c r="I125" i="233"/>
  <c r="D126" i="233"/>
  <c r="E126" i="233"/>
  <c r="F126" i="233"/>
  <c r="G126" i="233"/>
  <c r="H126" i="233"/>
  <c r="I126" i="233"/>
  <c r="B6" i="232"/>
  <c r="B8" i="232"/>
  <c r="A34" i="232"/>
  <c r="A35" i="232" s="1"/>
  <c r="D121" i="232"/>
  <c r="E121" i="232"/>
  <c r="F121" i="232"/>
  <c r="G121" i="232"/>
  <c r="H121" i="232"/>
  <c r="I121" i="232"/>
  <c r="D122" i="232"/>
  <c r="E122" i="232"/>
  <c r="F122" i="232"/>
  <c r="G122" i="232"/>
  <c r="H122" i="232"/>
  <c r="I122" i="232"/>
  <c r="D123" i="232"/>
  <c r="E123" i="232"/>
  <c r="F123" i="232"/>
  <c r="G123" i="232"/>
  <c r="H123" i="232"/>
  <c r="I123" i="232"/>
  <c r="D124" i="232"/>
  <c r="E124" i="232"/>
  <c r="F124" i="232"/>
  <c r="G124" i="232"/>
  <c r="H124" i="232"/>
  <c r="I124" i="232"/>
  <c r="D125" i="232"/>
  <c r="E125" i="232"/>
  <c r="F125" i="232"/>
  <c r="G125" i="232"/>
  <c r="H125" i="232"/>
  <c r="I125" i="232"/>
  <c r="D126" i="232"/>
  <c r="E126" i="232"/>
  <c r="F126" i="232"/>
  <c r="G126" i="232"/>
  <c r="H126" i="232"/>
  <c r="I126" i="232"/>
  <c r="B6" i="231"/>
  <c r="B8" i="231"/>
  <c r="A34" i="231"/>
  <c r="A35" i="231" s="1"/>
  <c r="D121" i="231"/>
  <c r="E121" i="231"/>
  <c r="F121" i="231"/>
  <c r="G121" i="231"/>
  <c r="H121" i="231"/>
  <c r="I121" i="231"/>
  <c r="D122" i="231"/>
  <c r="E122" i="231"/>
  <c r="F122" i="231"/>
  <c r="G122" i="231"/>
  <c r="H122" i="231"/>
  <c r="I122" i="231"/>
  <c r="D123" i="231"/>
  <c r="E123" i="231"/>
  <c r="F123" i="231"/>
  <c r="G123" i="231"/>
  <c r="H123" i="231"/>
  <c r="I123" i="231"/>
  <c r="D124" i="231"/>
  <c r="E124" i="231"/>
  <c r="F124" i="231"/>
  <c r="G124" i="231"/>
  <c r="H124" i="231"/>
  <c r="I124" i="231"/>
  <c r="D125" i="231"/>
  <c r="E125" i="231"/>
  <c r="F125" i="231"/>
  <c r="G125" i="231"/>
  <c r="H125" i="231"/>
  <c r="I125" i="231"/>
  <c r="D126" i="231"/>
  <c r="E126" i="231"/>
  <c r="F126" i="231"/>
  <c r="G126" i="231"/>
  <c r="H126" i="231"/>
  <c r="I126" i="231"/>
  <c r="B6" i="230"/>
  <c r="B8" i="230"/>
  <c r="A34" i="230"/>
  <c r="A35" i="230" s="1"/>
  <c r="D121" i="230"/>
  <c r="E121" i="230"/>
  <c r="F121" i="230"/>
  <c r="G121" i="230"/>
  <c r="H121" i="230"/>
  <c r="I121" i="230"/>
  <c r="D122" i="230"/>
  <c r="E122" i="230"/>
  <c r="F122" i="230"/>
  <c r="G122" i="230"/>
  <c r="H122" i="230"/>
  <c r="I122" i="230"/>
  <c r="D123" i="230"/>
  <c r="E123" i="230"/>
  <c r="F123" i="230"/>
  <c r="G123" i="230"/>
  <c r="H123" i="230"/>
  <c r="I123" i="230"/>
  <c r="D124" i="230"/>
  <c r="E124" i="230"/>
  <c r="F124" i="230"/>
  <c r="G124" i="230"/>
  <c r="H124" i="230"/>
  <c r="I124" i="230"/>
  <c r="D125" i="230"/>
  <c r="E125" i="230"/>
  <c r="F125" i="230"/>
  <c r="G125" i="230"/>
  <c r="H125" i="230"/>
  <c r="I125" i="230"/>
  <c r="D126" i="230"/>
  <c r="E126" i="230"/>
  <c r="F126" i="230"/>
  <c r="G126" i="230"/>
  <c r="H126" i="230"/>
  <c r="I126" i="230"/>
  <c r="B6" i="229"/>
  <c r="B8" i="229"/>
  <c r="A34" i="229"/>
  <c r="A35" i="229" s="1"/>
  <c r="J171" i="229"/>
  <c r="D121" i="229"/>
  <c r="D122" i="229"/>
  <c r="E122" i="229"/>
  <c r="F122" i="229"/>
  <c r="G122" i="229"/>
  <c r="H122" i="229"/>
  <c r="I122" i="229"/>
  <c r="D123" i="229"/>
  <c r="E123" i="229"/>
  <c r="F123" i="229"/>
  <c r="G123" i="229"/>
  <c r="H123" i="229"/>
  <c r="I123" i="229"/>
  <c r="D124" i="229"/>
  <c r="E124" i="229"/>
  <c r="F124" i="229"/>
  <c r="G124" i="229"/>
  <c r="H124" i="229"/>
  <c r="I124" i="229"/>
  <c r="D125" i="229"/>
  <c r="E125" i="229"/>
  <c r="F125" i="229"/>
  <c r="G125" i="229"/>
  <c r="H125" i="229"/>
  <c r="I125" i="229"/>
  <c r="D126" i="229"/>
  <c r="E126" i="229"/>
  <c r="F126" i="229"/>
  <c r="G126" i="229"/>
  <c r="H126" i="229"/>
  <c r="I126" i="229"/>
  <c r="I98" i="255" l="1"/>
  <c r="I103" i="255" s="1"/>
  <c r="B55" i="273"/>
  <c r="H51" i="247"/>
  <c r="C74" i="247" s="1"/>
  <c r="G51" i="308"/>
  <c r="F51" i="308"/>
  <c r="H51" i="299"/>
  <c r="C74" i="299" s="1"/>
  <c r="H51" i="305"/>
  <c r="C74" i="305" s="1"/>
  <c r="G51" i="235"/>
  <c r="G51" i="250"/>
  <c r="F51" i="250"/>
  <c r="I51" i="315"/>
  <c r="C75" i="315" s="1"/>
  <c r="H51" i="267"/>
  <c r="C74" i="267" s="1"/>
  <c r="H51" i="301"/>
  <c r="C74" i="301" s="1"/>
  <c r="G51" i="266"/>
  <c r="H51" i="245"/>
  <c r="C74" i="245" s="1"/>
  <c r="G51" i="280"/>
  <c r="F51" i="280"/>
  <c r="G51" i="292"/>
  <c r="F51" i="292"/>
  <c r="H51" i="257"/>
  <c r="C74" i="257" s="1"/>
  <c r="H51" i="279"/>
  <c r="C74" i="279" s="1"/>
  <c r="G51" i="274"/>
  <c r="G51" i="252"/>
  <c r="G51" i="260"/>
  <c r="G51" i="316"/>
  <c r="G51" i="314"/>
  <c r="G51" i="284"/>
  <c r="H51" i="293"/>
  <c r="C74" i="293" s="1"/>
  <c r="G51" i="310"/>
  <c r="B29" i="239"/>
  <c r="B29" i="243"/>
  <c r="B29" i="244"/>
  <c r="B29" i="247"/>
  <c r="B29" i="257"/>
  <c r="B29" i="259"/>
  <c r="B29" i="275"/>
  <c r="B29" i="281"/>
  <c r="B29" i="283"/>
  <c r="B29" i="288"/>
  <c r="B29" i="312"/>
  <c r="B29" i="315"/>
  <c r="B29" i="234"/>
  <c r="B29" i="235"/>
  <c r="B29" i="241"/>
  <c r="B29" i="246"/>
  <c r="B29" i="251"/>
  <c r="B29" i="255"/>
  <c r="B29" i="260"/>
  <c r="B29" i="263"/>
  <c r="B29" i="266"/>
  <c r="B29" i="282"/>
  <c r="B29" i="286"/>
  <c r="B29" i="290"/>
  <c r="B29" i="309"/>
  <c r="B29" i="314"/>
  <c r="B29" i="316"/>
  <c r="B29" i="252"/>
  <c r="B29" i="265"/>
  <c r="B29" i="272"/>
  <c r="B29" i="279"/>
  <c r="B29" i="230"/>
  <c r="B29" i="232"/>
  <c r="B29" i="233"/>
  <c r="B29" i="240"/>
  <c r="B29" i="242"/>
  <c r="B29" i="249"/>
  <c r="B29" i="258"/>
  <c r="B29" i="262"/>
  <c r="B29" i="264"/>
  <c r="B29" i="274"/>
  <c r="B29" i="278"/>
  <c r="B29" i="280"/>
  <c r="B29" i="285"/>
  <c r="B29" i="287"/>
  <c r="B29" i="289"/>
  <c r="B29" i="293"/>
  <c r="B29" i="310"/>
  <c r="B29" i="229"/>
  <c r="B29" i="245"/>
  <c r="B29" i="231"/>
  <c r="B29" i="236"/>
  <c r="B29" i="237"/>
  <c r="B29" i="248"/>
  <c r="B29" i="250"/>
  <c r="B29" i="253"/>
  <c r="B29" i="254"/>
  <c r="B29" i="256"/>
  <c r="B29" i="261"/>
  <c r="B29" i="267"/>
  <c r="B29" i="268"/>
  <c r="B29" i="269"/>
  <c r="B29" i="271"/>
  <c r="B29" i="276"/>
  <c r="B29" i="277"/>
  <c r="B29" i="284"/>
  <c r="B29" i="291"/>
  <c r="B29" i="292"/>
  <c r="B29" i="294"/>
  <c r="B29" i="295"/>
  <c r="B29" i="311"/>
  <c r="B29" i="313"/>
  <c r="BO37" i="320"/>
  <c r="BN52" i="320"/>
  <c r="BN8" i="320"/>
  <c r="BN34" i="320"/>
  <c r="BO35" i="320"/>
  <c r="BN68" i="320"/>
  <c r="BO25" i="320"/>
  <c r="BO61" i="320"/>
  <c r="BN28" i="320"/>
  <c r="BP89" i="320"/>
  <c r="BO39" i="320"/>
  <c r="BN90" i="320"/>
  <c r="BN48" i="320"/>
  <c r="BN80" i="320"/>
  <c r="BN26" i="320"/>
  <c r="BN82" i="320"/>
  <c r="BO27" i="320"/>
  <c r="BO59" i="320"/>
  <c r="BN12" i="320"/>
  <c r="BN60" i="320"/>
  <c r="BN14" i="320"/>
  <c r="BO33" i="320"/>
  <c r="BO41" i="320"/>
  <c r="BO77" i="320"/>
  <c r="BN50" i="320"/>
  <c r="BM58" i="320"/>
  <c r="BM84" i="320"/>
  <c r="BO69" i="320"/>
  <c r="BO13" i="320"/>
  <c r="BO55" i="320"/>
  <c r="BN56" i="320"/>
  <c r="BN88" i="320"/>
  <c r="BO73" i="320"/>
  <c r="BO67" i="320"/>
  <c r="BN20" i="320"/>
  <c r="BN22" i="320"/>
  <c r="BO5" i="320"/>
  <c r="BO49" i="320"/>
  <c r="BO7" i="320"/>
  <c r="BO63" i="320"/>
  <c r="BN46" i="320"/>
  <c r="BO17" i="320"/>
  <c r="BO53" i="320"/>
  <c r="BO75" i="320"/>
  <c r="BO15" i="320"/>
  <c r="BO87" i="320"/>
  <c r="BN40" i="320"/>
  <c r="BN72" i="320"/>
  <c r="BN18" i="320"/>
  <c r="BN66" i="320"/>
  <c r="BO19" i="320"/>
  <c r="BO51" i="320"/>
  <c r="BN4" i="320"/>
  <c r="BN44" i="320"/>
  <c r="BN6" i="320"/>
  <c r="BN54" i="320"/>
  <c r="BO29" i="320"/>
  <c r="BO65" i="320"/>
  <c r="BO31" i="320"/>
  <c r="BN16" i="320"/>
  <c r="BO9" i="320"/>
  <c r="BO45" i="320"/>
  <c r="BO81" i="320"/>
  <c r="BN76" i="320"/>
  <c r="BO85" i="320"/>
  <c r="BO71" i="320"/>
  <c r="BN24" i="320"/>
  <c r="BN64" i="320"/>
  <c r="BN10" i="320"/>
  <c r="BN58" i="320"/>
  <c r="BO11" i="320"/>
  <c r="BO43" i="320"/>
  <c r="BO83" i="320"/>
  <c r="BN36" i="320"/>
  <c r="BN84" i="320"/>
  <c r="BN30" i="320"/>
  <c r="BO21" i="320"/>
  <c r="BO57" i="320"/>
  <c r="BO23" i="320"/>
  <c r="BO79" i="320"/>
  <c r="BN38" i="320"/>
  <c r="BN67" i="320"/>
  <c r="J51" i="315"/>
  <c r="C76" i="315" s="1"/>
  <c r="BO47" i="320"/>
  <c r="B29" i="273"/>
  <c r="B170" i="254"/>
  <c r="B170" i="261"/>
  <c r="B170" i="270"/>
  <c r="B170" i="281"/>
  <c r="B170" i="298"/>
  <c r="B170" i="301"/>
  <c r="B170" i="315"/>
  <c r="B170" i="257"/>
  <c r="B170" i="266"/>
  <c r="B170" i="308"/>
  <c r="B170" i="309"/>
  <c r="B170" i="314"/>
  <c r="B170" i="316"/>
  <c r="B170" i="235"/>
  <c r="B170" i="244"/>
  <c r="B170" i="245"/>
  <c r="B170" i="255"/>
  <c r="B170" i="260"/>
  <c r="B170" i="263"/>
  <c r="B170" i="264"/>
  <c r="B170" i="273"/>
  <c r="B170" i="275"/>
  <c r="B170" i="285"/>
  <c r="B170" i="293"/>
  <c r="B170" i="296"/>
  <c r="B170" i="302"/>
  <c r="B170" i="303"/>
  <c r="B170" i="304"/>
  <c r="B170" i="306"/>
  <c r="B170" i="236"/>
  <c r="B170" i="242"/>
  <c r="B170" i="253"/>
  <c r="B170" i="265"/>
  <c r="B170" i="272"/>
  <c r="B170" i="283"/>
  <c r="B170" i="307"/>
  <c r="B170" i="252"/>
  <c r="B170" i="259"/>
  <c r="B170" i="282"/>
  <c r="B170" i="290"/>
  <c r="B170" i="232"/>
  <c r="B170" i="241"/>
  <c r="B170" i="246"/>
  <c r="B170" i="258"/>
  <c r="B170" i="262"/>
  <c r="B170" i="267"/>
  <c r="B170" i="269"/>
  <c r="B170" i="271"/>
  <c r="B170" i="280"/>
  <c r="B170" i="291"/>
  <c r="B170" i="299"/>
  <c r="B170" i="300"/>
  <c r="B170" i="313"/>
  <c r="B170" i="233"/>
  <c r="B170" i="243"/>
  <c r="B170" i="247"/>
  <c r="B170" i="295"/>
  <c r="B170" i="239"/>
  <c r="B170" i="286"/>
  <c r="B170" i="237"/>
  <c r="B170" i="231"/>
  <c r="B170" i="234"/>
  <c r="B170" i="240"/>
  <c r="B170" i="248"/>
  <c r="B170" i="249"/>
  <c r="B170" i="251"/>
  <c r="B170" i="268"/>
  <c r="B170" i="276"/>
  <c r="B170" i="277"/>
  <c r="B170" i="278"/>
  <c r="B170" i="289"/>
  <c r="B170" i="294"/>
  <c r="B170" i="297"/>
  <c r="B170" i="230"/>
  <c r="B170" i="256"/>
  <c r="B170" i="311"/>
  <c r="B170" i="250"/>
  <c r="B170" i="274"/>
  <c r="B170" i="288"/>
  <c r="B170" i="305"/>
  <c r="B170" i="279"/>
  <c r="B170" i="284"/>
  <c r="B170" i="287"/>
  <c r="B170" i="292"/>
  <c r="B170" i="310"/>
  <c r="B170" i="312"/>
  <c r="G51" i="258"/>
  <c r="G51" i="268"/>
  <c r="G51" i="312"/>
  <c r="BM66" i="320"/>
  <c r="AX91" i="320"/>
  <c r="BM54" i="320"/>
  <c r="G51" i="304"/>
  <c r="BM82" i="320"/>
  <c r="BM24" i="320"/>
  <c r="G51" i="300"/>
  <c r="J171" i="249"/>
  <c r="J171" i="282"/>
  <c r="J171" i="277"/>
  <c r="J171" i="292"/>
  <c r="B170" i="229"/>
  <c r="G51" i="296"/>
  <c r="AE91" i="320"/>
  <c r="J171" i="295"/>
  <c r="H51" i="274"/>
  <c r="C74" i="274" s="1"/>
  <c r="H51" i="306"/>
  <c r="C74" i="306" s="1"/>
  <c r="H51" i="252"/>
  <c r="C74" i="252" s="1"/>
  <c r="H51" i="284"/>
  <c r="C74" i="284" s="1"/>
  <c r="I51" i="245"/>
  <c r="C75" i="245" s="1"/>
  <c r="I51" i="261"/>
  <c r="C75" i="261" s="1"/>
  <c r="I51" i="293"/>
  <c r="C75" i="293" s="1"/>
  <c r="H51" i="294"/>
  <c r="C74" i="294" s="1"/>
  <c r="H51" i="248"/>
  <c r="C74" i="248" s="1"/>
  <c r="H51" i="272"/>
  <c r="C74" i="272" s="1"/>
  <c r="I51" i="259"/>
  <c r="C75" i="259" s="1"/>
  <c r="I51" i="267"/>
  <c r="C75" i="267" s="1"/>
  <c r="I51" i="234"/>
  <c r="C75" i="234" s="1"/>
  <c r="I51" i="271"/>
  <c r="C75" i="271" s="1"/>
  <c r="I51" i="307"/>
  <c r="C75" i="307" s="1"/>
  <c r="H51" i="302"/>
  <c r="C74" i="302" s="1"/>
  <c r="I51" i="265"/>
  <c r="C75" i="265" s="1"/>
  <c r="I51" i="297"/>
  <c r="C75" i="297" s="1"/>
  <c r="H51" i="316"/>
  <c r="C74" i="316" s="1"/>
  <c r="H51" i="233"/>
  <c r="C74" i="233" s="1"/>
  <c r="H51" i="250"/>
  <c r="C74" i="250" s="1"/>
  <c r="H51" i="266"/>
  <c r="C74" i="266" s="1"/>
  <c r="H51" i="298"/>
  <c r="C74" i="298" s="1"/>
  <c r="H51" i="314"/>
  <c r="C74" i="314" s="1"/>
  <c r="H51" i="244"/>
  <c r="C74" i="244" s="1"/>
  <c r="H51" i="260"/>
  <c r="C74" i="260" s="1"/>
  <c r="H51" i="292"/>
  <c r="C74" i="292" s="1"/>
  <c r="H51" i="308"/>
  <c r="C74" i="308" s="1"/>
  <c r="I51" i="253"/>
  <c r="C75" i="253" s="1"/>
  <c r="I51" i="285"/>
  <c r="C75" i="285" s="1"/>
  <c r="H51" i="237"/>
  <c r="C74" i="237" s="1"/>
  <c r="H51" i="262"/>
  <c r="C74" i="262" s="1"/>
  <c r="H51" i="286"/>
  <c r="C74" i="286" s="1"/>
  <c r="H51" i="240"/>
  <c r="C74" i="240" s="1"/>
  <c r="H51" i="256"/>
  <c r="C74" i="256" s="1"/>
  <c r="H51" i="280"/>
  <c r="C74" i="280" s="1"/>
  <c r="I51" i="230"/>
  <c r="C75" i="230" s="1"/>
  <c r="I51" i="275"/>
  <c r="C75" i="275" s="1"/>
  <c r="I51" i="291"/>
  <c r="C75" i="291" s="1"/>
  <c r="I51" i="232"/>
  <c r="C75" i="232" s="1"/>
  <c r="I51" i="289"/>
  <c r="C75" i="289" s="1"/>
  <c r="I51" i="299"/>
  <c r="C75" i="299" s="1"/>
  <c r="H51" i="270"/>
  <c r="C74" i="270" s="1"/>
  <c r="H51" i="231"/>
  <c r="C74" i="231" s="1"/>
  <c r="I51" i="247"/>
  <c r="C75" i="247" s="1"/>
  <c r="I51" i="283"/>
  <c r="C75" i="283" s="1"/>
  <c r="I51" i="303"/>
  <c r="C75" i="303" s="1"/>
  <c r="I51" i="287"/>
  <c r="C75" i="287" s="1"/>
  <c r="H51" i="254"/>
  <c r="C74" i="254" s="1"/>
  <c r="I51" i="311"/>
  <c r="C75" i="311" s="1"/>
  <c r="I51" i="263"/>
  <c r="C75" i="263" s="1"/>
  <c r="F75" i="263" s="1"/>
  <c r="G75" i="263" s="1"/>
  <c r="I51" i="295"/>
  <c r="C75" i="295" s="1"/>
  <c r="I51" i="301"/>
  <c r="C75" i="301" s="1"/>
  <c r="H51" i="278"/>
  <c r="C74" i="278" s="1"/>
  <c r="I51" i="241"/>
  <c r="C75" i="241" s="1"/>
  <c r="I51" i="281"/>
  <c r="C75" i="281" s="1"/>
  <c r="I51" i="313"/>
  <c r="C75" i="313" s="1"/>
  <c r="H98" i="230"/>
  <c r="H103" i="230" s="1"/>
  <c r="C74" i="230"/>
  <c r="J171" i="237"/>
  <c r="J124" i="237"/>
  <c r="J171" i="267"/>
  <c r="C74" i="243"/>
  <c r="J123" i="229"/>
  <c r="J171" i="246"/>
  <c r="C74" i="283"/>
  <c r="J171" i="314"/>
  <c r="J171" i="269"/>
  <c r="J171" i="257"/>
  <c r="J171" i="274"/>
  <c r="J171" i="243"/>
  <c r="J171" i="259"/>
  <c r="J122" i="296"/>
  <c r="G51" i="229"/>
  <c r="J124" i="229"/>
  <c r="I98" i="303"/>
  <c r="I103" i="303" s="1"/>
  <c r="C74" i="241"/>
  <c r="J125" i="230"/>
  <c r="J123" i="248"/>
  <c r="C74" i="269"/>
  <c r="J125" i="299"/>
  <c r="J122" i="300"/>
  <c r="J121" i="301"/>
  <c r="G98" i="308"/>
  <c r="G103" i="308" s="1"/>
  <c r="J123" i="246"/>
  <c r="C74" i="255"/>
  <c r="J126" i="291"/>
  <c r="C74" i="303"/>
  <c r="J121" i="305"/>
  <c r="J122" i="304"/>
  <c r="J121" i="303"/>
  <c r="J171" i="297"/>
  <c r="J125" i="296"/>
  <c r="J124" i="315"/>
  <c r="C74" i="315"/>
  <c r="C74" i="313"/>
  <c r="J121" i="313"/>
  <c r="J123" i="312"/>
  <c r="J125" i="311"/>
  <c r="J121" i="311"/>
  <c r="C74" i="311"/>
  <c r="J122" i="310"/>
  <c r="J126" i="310"/>
  <c r="J171" i="309"/>
  <c r="J121" i="309"/>
  <c r="C74" i="309"/>
  <c r="J124" i="309"/>
  <c r="J123" i="295"/>
  <c r="C74" i="295"/>
  <c r="J124" i="295"/>
  <c r="J123" i="292"/>
  <c r="J124" i="290"/>
  <c r="J126" i="289"/>
  <c r="J125" i="289"/>
  <c r="J124" i="288"/>
  <c r="J125" i="287"/>
  <c r="J124" i="286"/>
  <c r="J171" i="286"/>
  <c r="J126" i="285"/>
  <c r="J123" i="284"/>
  <c r="H98" i="283"/>
  <c r="H103" i="283" s="1"/>
  <c r="J126" i="283"/>
  <c r="J123" i="282"/>
  <c r="J121" i="281"/>
  <c r="J126" i="281"/>
  <c r="J171" i="280"/>
  <c r="J122" i="279"/>
  <c r="G98" i="278"/>
  <c r="G103" i="278" s="1"/>
  <c r="J126" i="278"/>
  <c r="C74" i="277"/>
  <c r="C74" i="275"/>
  <c r="J126" i="274"/>
  <c r="J171" i="273"/>
  <c r="J126" i="272"/>
  <c r="J171" i="270"/>
  <c r="J125" i="269"/>
  <c r="J171" i="268"/>
  <c r="J124" i="267"/>
  <c r="J123" i="267"/>
  <c r="J171" i="266"/>
  <c r="J121" i="266"/>
  <c r="J124" i="265"/>
  <c r="C74" i="265"/>
  <c r="J171" i="265"/>
  <c r="J121" i="265"/>
  <c r="J171" i="264"/>
  <c r="C74" i="263"/>
  <c r="F74" i="263" s="1"/>
  <c r="J126" i="263"/>
  <c r="J124" i="263"/>
  <c r="J124" i="261"/>
  <c r="J121" i="260"/>
  <c r="J126" i="259"/>
  <c r="J124" i="259"/>
  <c r="J171" i="262"/>
  <c r="J171" i="260"/>
  <c r="J171" i="279"/>
  <c r="J171" i="284"/>
  <c r="J125" i="232"/>
  <c r="J124" i="255"/>
  <c r="J126" i="229"/>
  <c r="J121" i="234"/>
  <c r="J121" i="251"/>
  <c r="J121" i="263"/>
  <c r="J126" i="270"/>
  <c r="J123" i="270"/>
  <c r="J122" i="287"/>
  <c r="J121" i="230"/>
  <c r="J122" i="232"/>
  <c r="J124" i="233"/>
  <c r="J126" i="254"/>
  <c r="J121" i="259"/>
  <c r="C74" i="259"/>
  <c r="J126" i="267"/>
  <c r="J121" i="267"/>
  <c r="J126" i="276"/>
  <c r="J122" i="285"/>
  <c r="J121" i="291"/>
  <c r="J171" i="258"/>
  <c r="J171" i="276"/>
  <c r="J171" i="311"/>
  <c r="J171" i="315"/>
  <c r="J171" i="245"/>
  <c r="J125" i="239"/>
  <c r="J121" i="257"/>
  <c r="J126" i="268"/>
  <c r="J125" i="277"/>
  <c r="J121" i="289"/>
  <c r="J171" i="231"/>
  <c r="J122" i="244"/>
  <c r="C74" i="251"/>
  <c r="J121" i="258"/>
  <c r="J121" i="268"/>
  <c r="J121" i="283"/>
  <c r="J122" i="289"/>
  <c r="J123" i="297"/>
  <c r="J122" i="236"/>
  <c r="C74" i="239"/>
  <c r="J125" i="241"/>
  <c r="J124" i="245"/>
  <c r="J124" i="257"/>
  <c r="J121" i="261"/>
  <c r="C74" i="261"/>
  <c r="J121" i="264"/>
  <c r="J122" i="272"/>
  <c r="J122" i="276"/>
  <c r="J121" i="280"/>
  <c r="J124" i="301"/>
  <c r="J122" i="302"/>
  <c r="J171" i="272"/>
  <c r="J171" i="278"/>
  <c r="J123" i="235"/>
  <c r="C74" i="236"/>
  <c r="J121" i="237"/>
  <c r="J122" i="242"/>
  <c r="J125" i="243"/>
  <c r="J121" i="243"/>
  <c r="J121" i="255"/>
  <c r="J125" i="273"/>
  <c r="J125" i="275"/>
  <c r="J123" i="276"/>
  <c r="J125" i="281"/>
  <c r="C74" i="307"/>
  <c r="J123" i="314"/>
  <c r="J123" i="236"/>
  <c r="J126" i="246"/>
  <c r="J125" i="247"/>
  <c r="J121" i="247"/>
  <c r="C74" i="249"/>
  <c r="J124" i="253"/>
  <c r="C74" i="253"/>
  <c r="J121" i="256"/>
  <c r="J125" i="271"/>
  <c r="C74" i="271"/>
  <c r="J124" i="282"/>
  <c r="J126" i="293"/>
  <c r="J126" i="294"/>
  <c r="J125" i="298"/>
  <c r="J121" i="298"/>
  <c r="J124" i="305"/>
  <c r="J171" i="310"/>
  <c r="J123" i="274"/>
  <c r="C74" i="281"/>
  <c r="J121" i="285"/>
  <c r="C74" i="287"/>
  <c r="C74" i="289"/>
  <c r="C74" i="291"/>
  <c r="J121" i="293"/>
  <c r="J121" i="294"/>
  <c r="J125" i="301"/>
  <c r="J125" i="307"/>
  <c r="J121" i="316"/>
  <c r="I61" i="273"/>
  <c r="J61" i="273" s="1"/>
  <c r="J122" i="274"/>
  <c r="J171" i="275"/>
  <c r="C74" i="285"/>
  <c r="J122" i="306"/>
  <c r="J122" i="308"/>
  <c r="J122" i="316"/>
  <c r="J171" i="307"/>
  <c r="J171" i="308"/>
  <c r="J122" i="294"/>
  <c r="C74" i="297"/>
  <c r="J126" i="298"/>
  <c r="J124" i="303"/>
  <c r="J126" i="313"/>
  <c r="J125" i="316"/>
  <c r="J121" i="307"/>
  <c r="J123" i="308"/>
  <c r="J126" i="316"/>
  <c r="J125" i="303"/>
  <c r="J171" i="256"/>
  <c r="J126" i="255"/>
  <c r="J171" i="254"/>
  <c r="J123" i="254"/>
  <c r="J121" i="253"/>
  <c r="J171" i="253"/>
  <c r="J122" i="252"/>
  <c r="J123" i="252"/>
  <c r="J125" i="252"/>
  <c r="J171" i="251"/>
  <c r="J126" i="250"/>
  <c r="J122" i="250"/>
  <c r="J121" i="250"/>
  <c r="I98" i="249"/>
  <c r="I103" i="249" s="1"/>
  <c r="J126" i="248"/>
  <c r="J121" i="248"/>
  <c r="G98" i="248"/>
  <c r="G103" i="248" s="1"/>
  <c r="J121" i="245"/>
  <c r="J123" i="244"/>
  <c r="J125" i="244"/>
  <c r="J126" i="242"/>
  <c r="J124" i="242"/>
  <c r="J122" i="240"/>
  <c r="J126" i="240"/>
  <c r="J123" i="240"/>
  <c r="G98" i="240"/>
  <c r="G103" i="240" s="1"/>
  <c r="J125" i="237"/>
  <c r="I98" i="237"/>
  <c r="I103" i="237" s="1"/>
  <c r="G98" i="236"/>
  <c r="G103" i="236" s="1"/>
  <c r="J171" i="235"/>
  <c r="H98" i="234"/>
  <c r="H103" i="234" s="1"/>
  <c r="C74" i="234"/>
  <c r="J125" i="234"/>
  <c r="F98" i="233"/>
  <c r="F103" i="233" s="1"/>
  <c r="J122" i="233"/>
  <c r="J171" i="233"/>
  <c r="J126" i="232"/>
  <c r="C74" i="232"/>
  <c r="J123" i="231"/>
  <c r="J122" i="234"/>
  <c r="J125" i="235"/>
  <c r="J125" i="245"/>
  <c r="J123" i="245"/>
  <c r="J124" i="250"/>
  <c r="J123" i="265"/>
  <c r="J122" i="271"/>
  <c r="J171" i="283"/>
  <c r="J124" i="235"/>
  <c r="J122" i="235"/>
  <c r="J126" i="236"/>
  <c r="J122" i="239"/>
  <c r="J123" i="257"/>
  <c r="J124" i="278"/>
  <c r="J121" i="232"/>
  <c r="J121" i="231"/>
  <c r="J126" i="230"/>
  <c r="J124" i="230"/>
  <c r="J121" i="239"/>
  <c r="J123" i="233"/>
  <c r="J123" i="234"/>
  <c r="J171" i="252"/>
  <c r="J121" i="288"/>
  <c r="J126" i="231"/>
  <c r="J124" i="296"/>
  <c r="J126" i="304"/>
  <c r="J171" i="234"/>
  <c r="J125" i="236"/>
  <c r="J123" i="250"/>
  <c r="J122" i="262"/>
  <c r="J121" i="278"/>
  <c r="J123" i="230"/>
  <c r="J171" i="232"/>
  <c r="J124" i="234"/>
  <c r="E98" i="235"/>
  <c r="E103" i="235" s="1"/>
  <c r="J123" i="237"/>
  <c r="J122" i="241"/>
  <c r="J123" i="242"/>
  <c r="J122" i="249"/>
  <c r="J124" i="251"/>
  <c r="J126" i="253"/>
  <c r="J125" i="254"/>
  <c r="J122" i="258"/>
  <c r="J126" i="260"/>
  <c r="J122" i="266"/>
  <c r="J123" i="272"/>
  <c r="J121" i="272"/>
  <c r="J122" i="281"/>
  <c r="J171" i="293"/>
  <c r="J125" i="297"/>
  <c r="J122" i="230"/>
  <c r="J126" i="234"/>
  <c r="J121" i="262"/>
  <c r="J124" i="272"/>
  <c r="J125" i="231"/>
  <c r="J122" i="231"/>
  <c r="J126" i="235"/>
  <c r="J121" i="235"/>
  <c r="J121" i="242"/>
  <c r="J126" i="244"/>
  <c r="J126" i="290"/>
  <c r="J126" i="296"/>
  <c r="J123" i="304"/>
  <c r="J121" i="304"/>
  <c r="J123" i="232"/>
  <c r="J126" i="237"/>
  <c r="J171" i="244"/>
  <c r="J123" i="278"/>
  <c r="J123" i="281"/>
  <c r="J125" i="282"/>
  <c r="J171" i="230"/>
  <c r="J124" i="232"/>
  <c r="E98" i="233"/>
  <c r="E103" i="233" s="1"/>
  <c r="J124" i="241"/>
  <c r="J121" i="241"/>
  <c r="J124" i="243"/>
  <c r="J126" i="245"/>
  <c r="J125" i="246"/>
  <c r="J122" i="248"/>
  <c r="J121" i="249"/>
  <c r="J125" i="253"/>
  <c r="J123" i="253"/>
  <c r="J126" i="256"/>
  <c r="J123" i="261"/>
  <c r="J126" i="264"/>
  <c r="J124" i="275"/>
  <c r="J121" i="275"/>
  <c r="J122" i="277"/>
  <c r="J171" i="300"/>
  <c r="J124" i="231"/>
  <c r="J125" i="233"/>
  <c r="J125" i="251"/>
  <c r="J126" i="252"/>
  <c r="J122" i="278"/>
  <c r="J125" i="229"/>
  <c r="J122" i="229"/>
  <c r="J126" i="233"/>
  <c r="J121" i="233"/>
  <c r="J124" i="240"/>
  <c r="J121" i="240"/>
  <c r="J126" i="243"/>
  <c r="J125" i="256"/>
  <c r="J123" i="256"/>
  <c r="J125" i="257"/>
  <c r="J125" i="260"/>
  <c r="J125" i="261"/>
  <c r="J125" i="265"/>
  <c r="J121" i="277"/>
  <c r="J124" i="279"/>
  <c r="J123" i="288"/>
  <c r="J123" i="298"/>
  <c r="J126" i="315"/>
  <c r="J122" i="237"/>
  <c r="J126" i="241"/>
  <c r="J123" i="241"/>
  <c r="J122" i="245"/>
  <c r="J126" i="249"/>
  <c r="J123" i="249"/>
  <c r="J122" i="253"/>
  <c r="J122" i="256"/>
  <c r="J122" i="260"/>
  <c r="J122" i="264"/>
  <c r="J125" i="268"/>
  <c r="J123" i="268"/>
  <c r="J122" i="269"/>
  <c r="J122" i="273"/>
  <c r="J123" i="280"/>
  <c r="J122" i="291"/>
  <c r="J126" i="305"/>
  <c r="J124" i="248"/>
  <c r="J125" i="249"/>
  <c r="J171" i="242"/>
  <c r="J125" i="242"/>
  <c r="J124" i="246"/>
  <c r="J122" i="246"/>
  <c r="J121" i="246"/>
  <c r="J124" i="249"/>
  <c r="J171" i="250"/>
  <c r="J125" i="250"/>
  <c r="J124" i="254"/>
  <c r="J122" i="254"/>
  <c r="J121" i="254"/>
  <c r="J126" i="258"/>
  <c r="J126" i="262"/>
  <c r="J126" i="266"/>
  <c r="J124" i="270"/>
  <c r="J122" i="270"/>
  <c r="J121" i="270"/>
  <c r="J124" i="274"/>
  <c r="J121" i="274"/>
  <c r="J126" i="286"/>
  <c r="J125" i="291"/>
  <c r="J123" i="243"/>
  <c r="J122" i="247"/>
  <c r="J126" i="251"/>
  <c r="J123" i="251"/>
  <c r="J123" i="260"/>
  <c r="J125" i="264"/>
  <c r="J123" i="264"/>
  <c r="J124" i="271"/>
  <c r="J121" i="271"/>
  <c r="J124" i="277"/>
  <c r="J122" i="282"/>
  <c r="J125" i="285"/>
  <c r="J126" i="239"/>
  <c r="J123" i="239"/>
  <c r="J122" i="243"/>
  <c r="J126" i="247"/>
  <c r="J123" i="247"/>
  <c r="J122" i="251"/>
  <c r="J125" i="255"/>
  <c r="J125" i="258"/>
  <c r="J123" i="258"/>
  <c r="J125" i="259"/>
  <c r="J125" i="262"/>
  <c r="J123" i="262"/>
  <c r="J125" i="263"/>
  <c r="J125" i="266"/>
  <c r="J123" i="266"/>
  <c r="J125" i="267"/>
  <c r="J122" i="268"/>
  <c r="J124" i="269"/>
  <c r="J121" i="269"/>
  <c r="J124" i="273"/>
  <c r="J121" i="273"/>
  <c r="J122" i="275"/>
  <c r="J123" i="283"/>
  <c r="J171" i="285"/>
  <c r="J123" i="289"/>
  <c r="J124" i="292"/>
  <c r="J122" i="292"/>
  <c r="J122" i="257"/>
  <c r="J122" i="261"/>
  <c r="J122" i="265"/>
  <c r="J125" i="279"/>
  <c r="J124" i="280"/>
  <c r="J121" i="287"/>
  <c r="J124" i="236"/>
  <c r="J121" i="236"/>
  <c r="J124" i="239"/>
  <c r="J171" i="240"/>
  <c r="J125" i="240"/>
  <c r="J124" i="244"/>
  <c r="J121" i="244"/>
  <c r="J124" i="247"/>
  <c r="J171" i="248"/>
  <c r="J125" i="248"/>
  <c r="J124" i="252"/>
  <c r="J121" i="252"/>
  <c r="J123" i="255"/>
  <c r="J122" i="255"/>
  <c r="J126" i="257"/>
  <c r="J123" i="259"/>
  <c r="J122" i="259"/>
  <c r="J126" i="261"/>
  <c r="J123" i="263"/>
  <c r="J122" i="263"/>
  <c r="J126" i="265"/>
  <c r="J122" i="267"/>
  <c r="J124" i="276"/>
  <c r="J121" i="276"/>
  <c r="J126" i="269"/>
  <c r="J123" i="269"/>
  <c r="J126" i="271"/>
  <c r="J123" i="271"/>
  <c r="J126" i="273"/>
  <c r="J123" i="273"/>
  <c r="J126" i="275"/>
  <c r="J123" i="275"/>
  <c r="J126" i="277"/>
  <c r="J123" i="277"/>
  <c r="J126" i="279"/>
  <c r="J122" i="283"/>
  <c r="J125" i="284"/>
  <c r="J124" i="285"/>
  <c r="J171" i="291"/>
  <c r="J123" i="293"/>
  <c r="J124" i="297"/>
  <c r="J122" i="297"/>
  <c r="J122" i="298"/>
  <c r="J125" i="283"/>
  <c r="J121" i="286"/>
  <c r="J121" i="290"/>
  <c r="I62" i="273"/>
  <c r="J62" i="273" s="1"/>
  <c r="I60" i="273"/>
  <c r="J60" i="273" s="1"/>
  <c r="J121" i="279"/>
  <c r="J124" i="284"/>
  <c r="J122" i="284"/>
  <c r="J126" i="287"/>
  <c r="J124" i="287"/>
  <c r="J123" i="291"/>
  <c r="J125" i="292"/>
  <c r="J125" i="293"/>
  <c r="J122" i="293"/>
  <c r="J124" i="294"/>
  <c r="J171" i="302"/>
  <c r="J124" i="256"/>
  <c r="J124" i="258"/>
  <c r="J124" i="260"/>
  <c r="J124" i="262"/>
  <c r="J124" i="264"/>
  <c r="J124" i="266"/>
  <c r="J124" i="268"/>
  <c r="J125" i="270"/>
  <c r="J125" i="272"/>
  <c r="J125" i="274"/>
  <c r="J125" i="276"/>
  <c r="J125" i="278"/>
  <c r="J126" i="280"/>
  <c r="J126" i="288"/>
  <c r="J125" i="294"/>
  <c r="J126" i="308"/>
  <c r="J171" i="281"/>
  <c r="J124" i="283"/>
  <c r="J123" i="287"/>
  <c r="J171" i="289"/>
  <c r="J124" i="291"/>
  <c r="J124" i="293"/>
  <c r="J171" i="294"/>
  <c r="J122" i="299"/>
  <c r="J125" i="305"/>
  <c r="J123" i="305"/>
  <c r="J124" i="307"/>
  <c r="J123" i="279"/>
  <c r="J125" i="280"/>
  <c r="J122" i="280"/>
  <c r="J126" i="284"/>
  <c r="J121" i="284"/>
  <c r="J125" i="288"/>
  <c r="J122" i="288"/>
  <c r="J126" i="292"/>
  <c r="J121" i="292"/>
  <c r="J126" i="295"/>
  <c r="J124" i="302"/>
  <c r="J124" i="281"/>
  <c r="E98" i="282"/>
  <c r="E103" i="282" s="1"/>
  <c r="J123" i="285"/>
  <c r="J171" i="287"/>
  <c r="J124" i="289"/>
  <c r="E98" i="290"/>
  <c r="E103" i="290" s="1"/>
  <c r="J124" i="299"/>
  <c r="J121" i="299"/>
  <c r="J126" i="282"/>
  <c r="J121" i="282"/>
  <c r="J125" i="286"/>
  <c r="J123" i="286"/>
  <c r="J122" i="286"/>
  <c r="J125" i="290"/>
  <c r="J123" i="290"/>
  <c r="J122" i="290"/>
  <c r="J121" i="295"/>
  <c r="J121" i="296"/>
  <c r="J123" i="296"/>
  <c r="J171" i="298"/>
  <c r="J123" i="302"/>
  <c r="J126" i="303"/>
  <c r="J171" i="304"/>
  <c r="J126" i="297"/>
  <c r="J121" i="297"/>
  <c r="J124" i="300"/>
  <c r="J126" i="302"/>
  <c r="J121" i="302"/>
  <c r="J123" i="294"/>
  <c r="J171" i="296"/>
  <c r="J124" i="298"/>
  <c r="J123" i="300"/>
  <c r="J126" i="301"/>
  <c r="J123" i="301"/>
  <c r="J123" i="303"/>
  <c r="J171" i="306"/>
  <c r="J125" i="309"/>
  <c r="J123" i="309"/>
  <c r="J125" i="295"/>
  <c r="J122" i="295"/>
  <c r="J126" i="300"/>
  <c r="J121" i="300"/>
  <c r="J124" i="304"/>
  <c r="J126" i="299"/>
  <c r="J123" i="299"/>
  <c r="J122" i="303"/>
  <c r="J126" i="307"/>
  <c r="J123" i="307"/>
  <c r="J125" i="308"/>
  <c r="J124" i="311"/>
  <c r="J125" i="300"/>
  <c r="J125" i="302"/>
  <c r="J125" i="304"/>
  <c r="J124" i="306"/>
  <c r="J122" i="301"/>
  <c r="J122" i="305"/>
  <c r="J123" i="306"/>
  <c r="J126" i="309"/>
  <c r="J124" i="314"/>
  <c r="J122" i="314"/>
  <c r="J126" i="306"/>
  <c r="J121" i="306"/>
  <c r="J122" i="309"/>
  <c r="J126" i="312"/>
  <c r="J125" i="306"/>
  <c r="J122" i="307"/>
  <c r="J171" i="312"/>
  <c r="J124" i="308"/>
  <c r="J121" i="308"/>
  <c r="J125" i="310"/>
  <c r="J124" i="310"/>
  <c r="J123" i="310"/>
  <c r="J123" i="313"/>
  <c r="J121" i="310"/>
  <c r="J122" i="312"/>
  <c r="J122" i="311"/>
  <c r="J125" i="314"/>
  <c r="J124" i="312"/>
  <c r="J121" i="312"/>
  <c r="J126" i="311"/>
  <c r="J123" i="311"/>
  <c r="J122" i="313"/>
  <c r="J171" i="313"/>
  <c r="G98" i="314"/>
  <c r="G103" i="314" s="1"/>
  <c r="J125" i="312"/>
  <c r="J125" i="313"/>
  <c r="J124" i="313"/>
  <c r="J171" i="316"/>
  <c r="J126" i="314"/>
  <c r="J121" i="314"/>
  <c r="J121" i="315"/>
  <c r="J123" i="315"/>
  <c r="J124" i="316"/>
  <c r="J125" i="315"/>
  <c r="J122" i="315"/>
  <c r="J123" i="316"/>
  <c r="G74" i="263" l="1"/>
  <c r="G98" i="274"/>
  <c r="G103" i="274" s="1"/>
  <c r="H98" i="266"/>
  <c r="H103" i="266" s="1"/>
  <c r="D98" i="247"/>
  <c r="D98" i="249"/>
  <c r="D98" i="243"/>
  <c r="E98" i="261"/>
  <c r="E103" i="261" s="1"/>
  <c r="E98" i="313"/>
  <c r="E103" i="313" s="1"/>
  <c r="H98" i="314"/>
  <c r="H103" i="314" s="1"/>
  <c r="I98" i="276"/>
  <c r="I103" i="276" s="1"/>
  <c r="I98" i="274"/>
  <c r="I103" i="274" s="1"/>
  <c r="D98" i="271"/>
  <c r="D98" i="288"/>
  <c r="D103" i="288" s="1"/>
  <c r="D98" i="269"/>
  <c r="E98" i="298"/>
  <c r="E103" i="298" s="1"/>
  <c r="D98" i="264"/>
  <c r="F98" i="283"/>
  <c r="F103" i="283" s="1"/>
  <c r="F98" i="243"/>
  <c r="F103" i="243" s="1"/>
  <c r="E98" i="230"/>
  <c r="E103" i="230" s="1"/>
  <c r="F98" i="231"/>
  <c r="F103" i="231" s="1"/>
  <c r="G98" i="244"/>
  <c r="G103" i="244" s="1"/>
  <c r="G98" i="252"/>
  <c r="G103" i="252" s="1"/>
  <c r="H98" i="298"/>
  <c r="H103" i="298" s="1"/>
  <c r="I98" i="307"/>
  <c r="I103" i="307" s="1"/>
  <c r="H98" i="289"/>
  <c r="H103" i="289" s="1"/>
  <c r="I98" i="253"/>
  <c r="I103" i="253" s="1"/>
  <c r="E98" i="247"/>
  <c r="E103" i="247" s="1"/>
  <c r="E98" i="271"/>
  <c r="E103" i="271" s="1"/>
  <c r="H98" i="285"/>
  <c r="H103" i="285" s="1"/>
  <c r="H98" i="316"/>
  <c r="H103" i="316" s="1"/>
  <c r="E98" i="256"/>
  <c r="E103" i="256" s="1"/>
  <c r="D98" i="241"/>
  <c r="H98" i="276"/>
  <c r="H103" i="276" s="1"/>
  <c r="E98" i="315"/>
  <c r="E103" i="315" s="1"/>
  <c r="I98" i="302"/>
  <c r="I103" i="302" s="1"/>
  <c r="E98" i="245"/>
  <c r="E103" i="245" s="1"/>
  <c r="G98" i="250"/>
  <c r="G103" i="250" s="1"/>
  <c r="E98" i="251"/>
  <c r="E103" i="251" s="1"/>
  <c r="I98" i="311"/>
  <c r="I103" i="311" s="1"/>
  <c r="G98" i="246"/>
  <c r="G103" i="246" s="1"/>
  <c r="E98" i="243"/>
  <c r="E103" i="243" s="1"/>
  <c r="G98" i="270"/>
  <c r="G103" i="270" s="1"/>
  <c r="I98" i="271"/>
  <c r="I103" i="271" s="1"/>
  <c r="I98" i="287"/>
  <c r="I103" i="287" s="1"/>
  <c r="G98" i="312"/>
  <c r="G103" i="312" s="1"/>
  <c r="H98" i="302"/>
  <c r="H103" i="302" s="1"/>
  <c r="E98" i="255"/>
  <c r="E103" i="255" s="1"/>
  <c r="G98" i="297"/>
  <c r="G103" i="297" s="1"/>
  <c r="F98" i="280"/>
  <c r="F103" i="280" s="1"/>
  <c r="D98" i="287"/>
  <c r="F98" i="292"/>
  <c r="F103" i="292" s="1"/>
  <c r="I98" i="304"/>
  <c r="I103" i="304" s="1"/>
  <c r="I98" i="306"/>
  <c r="I103" i="306" s="1"/>
  <c r="I98" i="299"/>
  <c r="I103" i="299" s="1"/>
  <c r="G98" i="275"/>
  <c r="G103" i="275" s="1"/>
  <c r="I98" i="270"/>
  <c r="I103" i="270" s="1"/>
  <c r="H98" i="257"/>
  <c r="H103" i="257" s="1"/>
  <c r="G98" i="239"/>
  <c r="G103" i="239" s="1"/>
  <c r="F98" i="246"/>
  <c r="F103" i="246" s="1"/>
  <c r="E98" i="262"/>
  <c r="E103" i="262" s="1"/>
  <c r="F98" i="261"/>
  <c r="F103" i="261" s="1"/>
  <c r="F98" i="290"/>
  <c r="F103" i="290" s="1"/>
  <c r="D98" i="285"/>
  <c r="H98" i="272"/>
  <c r="H103" i="272" s="1"/>
  <c r="E98" i="253"/>
  <c r="E103" i="253" s="1"/>
  <c r="F98" i="282"/>
  <c r="F103" i="282" s="1"/>
  <c r="F98" i="299"/>
  <c r="F103" i="299" s="1"/>
  <c r="G98" i="304"/>
  <c r="G103" i="304" s="1"/>
  <c r="F98" i="297"/>
  <c r="F103" i="297" s="1"/>
  <c r="G98" i="300"/>
  <c r="G103" i="300" s="1"/>
  <c r="I98" i="241"/>
  <c r="I103" i="241" s="1"/>
  <c r="D98" i="311"/>
  <c r="D98" i="306"/>
  <c r="D103" i="306" s="1"/>
  <c r="F98" i="296"/>
  <c r="F103" i="296" s="1"/>
  <c r="E98" i="287"/>
  <c r="E103" i="287" s="1"/>
  <c r="E98" i="292"/>
  <c r="E103" i="292" s="1"/>
  <c r="G98" i="271"/>
  <c r="G103" i="271" s="1"/>
  <c r="H98" i="261"/>
  <c r="H103" i="261" s="1"/>
  <c r="G98" i="258"/>
  <c r="G103" i="258" s="1"/>
  <c r="D98" i="295"/>
  <c r="E98" i="288"/>
  <c r="E103" i="288" s="1"/>
  <c r="D98" i="280"/>
  <c r="I98" i="286"/>
  <c r="I103" i="286" s="1"/>
  <c r="F98" i="269"/>
  <c r="F103" i="269" s="1"/>
  <c r="I98" i="242"/>
  <c r="I103" i="242" s="1"/>
  <c r="G98" i="301"/>
  <c r="G103" i="301" s="1"/>
  <c r="D98" i="251"/>
  <c r="I98" i="297"/>
  <c r="I103" i="297" s="1"/>
  <c r="D98" i="245"/>
  <c r="G98" i="245"/>
  <c r="G103" i="245" s="1"/>
  <c r="D98" i="235"/>
  <c r="D103" i="235" s="1"/>
  <c r="E104" i="235" s="1"/>
  <c r="H98" i="254"/>
  <c r="H103" i="254" s="1"/>
  <c r="D98" i="253"/>
  <c r="G98" i="253"/>
  <c r="G103" i="253" s="1"/>
  <c r="D98" i="231"/>
  <c r="D103" i="231" s="1"/>
  <c r="E98" i="239"/>
  <c r="E103" i="239" s="1"/>
  <c r="I98" i="305"/>
  <c r="I103" i="305" s="1"/>
  <c r="H98" i="291"/>
  <c r="H103" i="291" s="1"/>
  <c r="H98" i="296"/>
  <c r="H103" i="296" s="1"/>
  <c r="E98" i="311"/>
  <c r="E103" i="311" s="1"/>
  <c r="D98" i="289"/>
  <c r="D98" i="230"/>
  <c r="F98" i="286"/>
  <c r="F103" i="286" s="1"/>
  <c r="I98" i="243"/>
  <c r="I103" i="243" s="1"/>
  <c r="G98" i="255"/>
  <c r="G103" i="255" s="1"/>
  <c r="E98" i="258"/>
  <c r="E103" i="258" s="1"/>
  <c r="E98" i="260"/>
  <c r="E103" i="260" s="1"/>
  <c r="E98" i="275"/>
  <c r="E103" i="275" s="1"/>
  <c r="F98" i="295"/>
  <c r="F103" i="295" s="1"/>
  <c r="E98" i="303"/>
  <c r="E103" i="303" s="1"/>
  <c r="D98" i="290"/>
  <c r="D103" i="290" s="1"/>
  <c r="E104" i="290" s="1"/>
  <c r="H98" i="232"/>
  <c r="H103" i="232" s="1"/>
  <c r="G98" i="242"/>
  <c r="G103" i="242" s="1"/>
  <c r="E98" i="277"/>
  <c r="E103" i="277" s="1"/>
  <c r="E98" i="291"/>
  <c r="E103" i="291" s="1"/>
  <c r="F98" i="316"/>
  <c r="F103" i="316" s="1"/>
  <c r="I98" i="310"/>
  <c r="I103" i="310" s="1"/>
  <c r="G98" i="277"/>
  <c r="G103" i="277" s="1"/>
  <c r="H98" i="267"/>
  <c r="H103" i="267" s="1"/>
  <c r="H98" i="265"/>
  <c r="H103" i="265" s="1"/>
  <c r="G98" i="295"/>
  <c r="G103" i="295" s="1"/>
  <c r="H98" i="280"/>
  <c r="H103" i="280" s="1"/>
  <c r="H98" i="255"/>
  <c r="H103" i="255" s="1"/>
  <c r="I104" i="255" s="1"/>
  <c r="D98" i="297"/>
  <c r="D98" i="266"/>
  <c r="D103" i="266" s="1"/>
  <c r="I98" i="248"/>
  <c r="I103" i="248" s="1"/>
  <c r="F98" i="232"/>
  <c r="F103" i="232" s="1"/>
  <c r="D98" i="234"/>
  <c r="E98" i="249"/>
  <c r="E103" i="249" s="1"/>
  <c r="F98" i="288"/>
  <c r="F103" i="288" s="1"/>
  <c r="D98" i="232"/>
  <c r="I98" i="275"/>
  <c r="I103" i="275" s="1"/>
  <c r="H98" i="281"/>
  <c r="H103" i="281" s="1"/>
  <c r="F98" i="284"/>
  <c r="F103" i="284" s="1"/>
  <c r="G98" i="288"/>
  <c r="G103" i="288" s="1"/>
  <c r="I98" i="301"/>
  <c r="I103" i="301" s="1"/>
  <c r="I98" i="251"/>
  <c r="I103" i="251" s="1"/>
  <c r="D98" i="309"/>
  <c r="I98" i="300"/>
  <c r="I103" i="300" s="1"/>
  <c r="E98" i="306"/>
  <c r="E103" i="306" s="1"/>
  <c r="H98" i="310"/>
  <c r="H103" i="310" s="1"/>
  <c r="I104" i="310" s="1"/>
  <c r="H98" i="308"/>
  <c r="H103" i="308" s="1"/>
  <c r="F98" i="303"/>
  <c r="F103" i="303" s="1"/>
  <c r="G98" i="296"/>
  <c r="G103" i="296" s="1"/>
  <c r="D98" i="313"/>
  <c r="D103" i="313" s="1"/>
  <c r="G98" i="313"/>
  <c r="G103" i="313" s="1"/>
  <c r="D98" i="305"/>
  <c r="D103" i="305" s="1"/>
  <c r="H98" i="299"/>
  <c r="H103" i="299" s="1"/>
  <c r="G98" i="299"/>
  <c r="G103" i="299" s="1"/>
  <c r="F98" i="301"/>
  <c r="F103" i="301" s="1"/>
  <c r="G104" i="301" s="1"/>
  <c r="G98" i="287"/>
  <c r="G103" i="287" s="1"/>
  <c r="F98" i="287"/>
  <c r="F103" i="287" s="1"/>
  <c r="H98" i="303"/>
  <c r="H103" i="303" s="1"/>
  <c r="I104" i="303" s="1"/>
  <c r="I98" i="284"/>
  <c r="I103" i="284" s="1"/>
  <c r="D98" i="286"/>
  <c r="E98" i="295"/>
  <c r="E103" i="295" s="1"/>
  <c r="I98" i="293"/>
  <c r="I103" i="293" s="1"/>
  <c r="H98" i="286"/>
  <c r="H103" i="286" s="1"/>
  <c r="D98" i="279"/>
  <c r="G98" i="279"/>
  <c r="G103" i="279" s="1"/>
  <c r="F98" i="278"/>
  <c r="F103" i="278" s="1"/>
  <c r="G104" i="278" s="1"/>
  <c r="D98" i="277"/>
  <c r="F98" i="276"/>
  <c r="F103" i="276" s="1"/>
  <c r="D98" i="275"/>
  <c r="D103" i="275" s="1"/>
  <c r="E104" i="275" s="1"/>
  <c r="F98" i="274"/>
  <c r="F103" i="274" s="1"/>
  <c r="I98" i="272"/>
  <c r="I103" i="272" s="1"/>
  <c r="E98" i="267"/>
  <c r="E103" i="267" s="1"/>
  <c r="E98" i="265"/>
  <c r="E103" i="265" s="1"/>
  <c r="H98" i="263"/>
  <c r="H103" i="263" s="1"/>
  <c r="G98" i="262"/>
  <c r="G103" i="262" s="1"/>
  <c r="I98" i="261"/>
  <c r="I103" i="261" s="1"/>
  <c r="G98" i="260"/>
  <c r="G103" i="260" s="1"/>
  <c r="I98" i="259"/>
  <c r="I103" i="259" s="1"/>
  <c r="E98" i="257"/>
  <c r="E103" i="257" s="1"/>
  <c r="F98" i="266"/>
  <c r="F103" i="266" s="1"/>
  <c r="F98" i="258"/>
  <c r="F103" i="258" s="1"/>
  <c r="I98" i="280"/>
  <c r="I103" i="280" s="1"/>
  <c r="E98" i="266"/>
  <c r="E103" i="266" s="1"/>
  <c r="F98" i="247"/>
  <c r="F103" i="247" s="1"/>
  <c r="E98" i="286"/>
  <c r="E103" i="286" s="1"/>
  <c r="G98" i="269"/>
  <c r="G103" i="269" s="1"/>
  <c r="F98" i="250"/>
  <c r="F103" i="250" s="1"/>
  <c r="I98" i="250"/>
  <c r="I103" i="250" s="1"/>
  <c r="G98" i="247"/>
  <c r="G103" i="247" s="1"/>
  <c r="D98" i="239"/>
  <c r="H98" i="301"/>
  <c r="H103" i="301" s="1"/>
  <c r="E98" i="248"/>
  <c r="E103" i="248" s="1"/>
  <c r="H98" i="244"/>
  <c r="H103" i="244" s="1"/>
  <c r="E98" i="297"/>
  <c r="E103" i="297" s="1"/>
  <c r="I98" i="291"/>
  <c r="I103" i="291" s="1"/>
  <c r="F98" i="252"/>
  <c r="F103" i="252" s="1"/>
  <c r="G98" i="249"/>
  <c r="G103" i="249" s="1"/>
  <c r="F98" i="244"/>
  <c r="F103" i="244" s="1"/>
  <c r="E98" i="236"/>
  <c r="E103" i="236" s="1"/>
  <c r="H98" i="264"/>
  <c r="H103" i="264" s="1"/>
  <c r="E98" i="246"/>
  <c r="E103" i="246" s="1"/>
  <c r="G98" i="257"/>
  <c r="G103" i="257" s="1"/>
  <c r="I98" i="229"/>
  <c r="I103" i="229" s="1"/>
  <c r="E98" i="232"/>
  <c r="E103" i="232" s="1"/>
  <c r="F104" i="232" s="1"/>
  <c r="G98" i="294"/>
  <c r="G103" i="294" s="1"/>
  <c r="E98" i="254"/>
  <c r="E103" i="254" s="1"/>
  <c r="H98" i="237"/>
  <c r="H103" i="237" s="1"/>
  <c r="I104" i="237" s="1"/>
  <c r="H98" i="235"/>
  <c r="H103" i="235" s="1"/>
  <c r="G98" i="265"/>
  <c r="G103" i="265" s="1"/>
  <c r="H104" i="265" s="1"/>
  <c r="G98" i="234"/>
  <c r="G103" i="234" s="1"/>
  <c r="H104" i="234" s="1"/>
  <c r="I98" i="289"/>
  <c r="I103" i="289" s="1"/>
  <c r="H98" i="236"/>
  <c r="H103" i="236" s="1"/>
  <c r="I98" i="231"/>
  <c r="I103" i="231" s="1"/>
  <c r="H98" i="231"/>
  <c r="H103" i="231" s="1"/>
  <c r="I98" i="268"/>
  <c r="I103" i="268" s="1"/>
  <c r="D98" i="268"/>
  <c r="D103" i="268" s="1"/>
  <c r="G98" i="231"/>
  <c r="G103" i="231" s="1"/>
  <c r="H98" i="240"/>
  <c r="H103" i="240" s="1"/>
  <c r="F98" i="241"/>
  <c r="F103" i="241" s="1"/>
  <c r="D98" i="244"/>
  <c r="I98" i="245"/>
  <c r="I103" i="245" s="1"/>
  <c r="E98" i="250"/>
  <c r="E103" i="250" s="1"/>
  <c r="H98" i="250"/>
  <c r="H103" i="250" s="1"/>
  <c r="G98" i="254"/>
  <c r="G103" i="254" s="1"/>
  <c r="I98" i="309"/>
  <c r="I103" i="309" s="1"/>
  <c r="D98" i="304"/>
  <c r="I98" i="316"/>
  <c r="I103" i="316" s="1"/>
  <c r="E98" i="309"/>
  <c r="E103" i="309" s="1"/>
  <c r="D98" i="310"/>
  <c r="D103" i="310" s="1"/>
  <c r="G98" i="310"/>
  <c r="G103" i="310" s="1"/>
  <c r="H104" i="310" s="1"/>
  <c r="I105" i="310" s="1"/>
  <c r="D98" i="283"/>
  <c r="D103" i="283" s="1"/>
  <c r="G98" i="302"/>
  <c r="G103" i="302" s="1"/>
  <c r="E98" i="305"/>
  <c r="E103" i="305" s="1"/>
  <c r="E98" i="296"/>
  <c r="E103" i="296" s="1"/>
  <c r="H98" i="293"/>
  <c r="H103" i="293" s="1"/>
  <c r="D98" i="291"/>
  <c r="I98" i="279"/>
  <c r="I103" i="279" s="1"/>
  <c r="I98" i="277"/>
  <c r="I103" i="277" s="1"/>
  <c r="G98" i="263"/>
  <c r="G103" i="263" s="1"/>
  <c r="G98" i="276"/>
  <c r="G103" i="276" s="1"/>
  <c r="E98" i="307"/>
  <c r="E103" i="307" s="1"/>
  <c r="G98" i="267"/>
  <c r="G103" i="267" s="1"/>
  <c r="H98" i="246"/>
  <c r="H103" i="246" s="1"/>
  <c r="E98" i="264"/>
  <c r="E103" i="264" s="1"/>
  <c r="H98" i="297"/>
  <c r="H103" i="297" s="1"/>
  <c r="I104" i="297" s="1"/>
  <c r="F98" i="275"/>
  <c r="F103" i="275" s="1"/>
  <c r="I98" i="262"/>
  <c r="I103" i="262" s="1"/>
  <c r="D98" i="257"/>
  <c r="D103" i="257" s="1"/>
  <c r="I98" i="247"/>
  <c r="I103" i="247" s="1"/>
  <c r="F98" i="271"/>
  <c r="F103" i="271" s="1"/>
  <c r="H98" i="287"/>
  <c r="H103" i="287" s="1"/>
  <c r="E98" i="293"/>
  <c r="E103" i="293" s="1"/>
  <c r="F98" i="315"/>
  <c r="F103" i="315" s="1"/>
  <c r="F98" i="307"/>
  <c r="F103" i="307" s="1"/>
  <c r="G98" i="259"/>
  <c r="G103" i="259" s="1"/>
  <c r="I98" i="230"/>
  <c r="I103" i="230" s="1"/>
  <c r="I98" i="239"/>
  <c r="I103" i="239" s="1"/>
  <c r="E98" i="301"/>
  <c r="E103" i="301" s="1"/>
  <c r="G98" i="272"/>
  <c r="G103" i="272" s="1"/>
  <c r="H98" i="278"/>
  <c r="H103" i="278" s="1"/>
  <c r="G98" i="241"/>
  <c r="G103" i="241" s="1"/>
  <c r="I98" i="240"/>
  <c r="I103" i="240" s="1"/>
  <c r="D98" i="252"/>
  <c r="D98" i="261"/>
  <c r="D98" i="254"/>
  <c r="F98" i="253"/>
  <c r="F103" i="253" s="1"/>
  <c r="H98" i="282"/>
  <c r="H103" i="282" s="1"/>
  <c r="F98" i="291"/>
  <c r="F103" i="291" s="1"/>
  <c r="D98" i="242"/>
  <c r="F98" i="229"/>
  <c r="F103" i="229" s="1"/>
  <c r="H98" i="259"/>
  <c r="H103" i="259" s="1"/>
  <c r="E98" i="241"/>
  <c r="E103" i="241" s="1"/>
  <c r="F98" i="305"/>
  <c r="F103" i="305" s="1"/>
  <c r="D98" i="315"/>
  <c r="G98" i="316"/>
  <c r="G103" i="316" s="1"/>
  <c r="H98" i="311"/>
  <c r="H103" i="311" s="1"/>
  <c r="F98" i="312"/>
  <c r="F103" i="312" s="1"/>
  <c r="F98" i="304"/>
  <c r="F103" i="304" s="1"/>
  <c r="F98" i="300"/>
  <c r="F103" i="300" s="1"/>
  <c r="I98" i="308"/>
  <c r="I103" i="308" s="1"/>
  <c r="F98" i="306"/>
  <c r="F103" i="306" s="1"/>
  <c r="D98" i="299"/>
  <c r="D103" i="299" s="1"/>
  <c r="D98" i="282"/>
  <c r="I98" i="290"/>
  <c r="I103" i="290" s="1"/>
  <c r="H98" i="307"/>
  <c r="H103" i="307" s="1"/>
  <c r="D98" i="303"/>
  <c r="F98" i="302"/>
  <c r="F103" i="302" s="1"/>
  <c r="E98" i="294"/>
  <c r="E103" i="294" s="1"/>
  <c r="G98" i="289"/>
  <c r="G103" i="289" s="1"/>
  <c r="E98" i="284"/>
  <c r="E103" i="284" s="1"/>
  <c r="H98" i="277"/>
  <c r="H103" i="277" s="1"/>
  <c r="H98" i="275"/>
  <c r="H103" i="275" s="1"/>
  <c r="F98" i="272"/>
  <c r="F103" i="272" s="1"/>
  <c r="F98" i="270"/>
  <c r="F103" i="270" s="1"/>
  <c r="I98" i="269"/>
  <c r="I103" i="269" s="1"/>
  <c r="G98" i="264"/>
  <c r="G103" i="264" s="1"/>
  <c r="I98" i="263"/>
  <c r="I103" i="263" s="1"/>
  <c r="E98" i="259"/>
  <c r="E103" i="259" s="1"/>
  <c r="E98" i="278"/>
  <c r="E103" i="278" s="1"/>
  <c r="E98" i="276"/>
  <c r="E103" i="276" s="1"/>
  <c r="E98" i="274"/>
  <c r="E103" i="274" s="1"/>
  <c r="F98" i="264"/>
  <c r="F103" i="264" s="1"/>
  <c r="F98" i="256"/>
  <c r="F103" i="256" s="1"/>
  <c r="E98" i="280"/>
  <c r="E103" i="280" s="1"/>
  <c r="H98" i="239"/>
  <c r="H103" i="239" s="1"/>
  <c r="I98" i="244"/>
  <c r="I103" i="244" s="1"/>
  <c r="D98" i="301"/>
  <c r="H98" i="251"/>
  <c r="H103" i="251" s="1"/>
  <c r="F98" i="248"/>
  <c r="F103" i="248" s="1"/>
  <c r="G104" i="248" s="1"/>
  <c r="I98" i="246"/>
  <c r="I103" i="246" s="1"/>
  <c r="I98" i="233"/>
  <c r="I103" i="233" s="1"/>
  <c r="I98" i="260"/>
  <c r="I103" i="260" s="1"/>
  <c r="I98" i="254"/>
  <c r="I103" i="254" s="1"/>
  <c r="D98" i="237"/>
  <c r="E98" i="229"/>
  <c r="E103" i="229" s="1"/>
  <c r="G98" i="251"/>
  <c r="G103" i="251" s="1"/>
  <c r="I98" i="236"/>
  <c r="I103" i="236" s="1"/>
  <c r="E98" i="231"/>
  <c r="E103" i="231" s="1"/>
  <c r="H98" i="229"/>
  <c r="H103" i="229" s="1"/>
  <c r="D98" i="284"/>
  <c r="E98" i="268"/>
  <c r="E103" i="268" s="1"/>
  <c r="E98" i="234"/>
  <c r="E103" i="234" s="1"/>
  <c r="G98" i="235"/>
  <c r="G103" i="235" s="1"/>
  <c r="E98" i="237"/>
  <c r="E103" i="237" s="1"/>
  <c r="D98" i="240"/>
  <c r="F98" i="245"/>
  <c r="F103" i="245" s="1"/>
  <c r="H98" i="248"/>
  <c r="H103" i="248" s="1"/>
  <c r="F98" i="249"/>
  <c r="F103" i="249" s="1"/>
  <c r="D98" i="250"/>
  <c r="I98" i="313"/>
  <c r="I103" i="313" s="1"/>
  <c r="D98" i="312"/>
  <c r="D98" i="308"/>
  <c r="E98" i="302"/>
  <c r="E103" i="302" s="1"/>
  <c r="D98" i="293"/>
  <c r="F98" i="257"/>
  <c r="F103" i="257" s="1"/>
  <c r="E98" i="289"/>
  <c r="E103" i="289" s="1"/>
  <c r="D98" i="262"/>
  <c r="G98" i="233"/>
  <c r="G103" i="233" s="1"/>
  <c r="I98" i="294"/>
  <c r="I103" i="294" s="1"/>
  <c r="G98" i="292"/>
  <c r="G103" i="292" s="1"/>
  <c r="I98" i="258"/>
  <c r="I103" i="258" s="1"/>
  <c r="D98" i="263"/>
  <c r="D103" i="263" s="1"/>
  <c r="F98" i="314"/>
  <c r="F103" i="314" s="1"/>
  <c r="G104" i="314" s="1"/>
  <c r="H98" i="262"/>
  <c r="H103" i="262" s="1"/>
  <c r="D98" i="259"/>
  <c r="D98" i="267"/>
  <c r="D98" i="274"/>
  <c r="I98" i="283"/>
  <c r="I103" i="283" s="1"/>
  <c r="H98" i="288"/>
  <c r="H103" i="288" s="1"/>
  <c r="F98" i="294"/>
  <c r="F103" i="294" s="1"/>
  <c r="H98" i="312"/>
  <c r="H103" i="312" s="1"/>
  <c r="G98" i="315"/>
  <c r="G103" i="315" s="1"/>
  <c r="I98" i="298"/>
  <c r="I103" i="298" s="1"/>
  <c r="D98" i="300"/>
  <c r="D103" i="300" s="1"/>
  <c r="H98" i="304"/>
  <c r="H103" i="304" s="1"/>
  <c r="F98" i="267"/>
  <c r="F103" i="267" s="1"/>
  <c r="G98" i="284"/>
  <c r="G103" i="284" s="1"/>
  <c r="H98" i="233"/>
  <c r="H103" i="233" s="1"/>
  <c r="F98" i="239"/>
  <c r="F103" i="239" s="1"/>
  <c r="H98" i="274"/>
  <c r="H103" i="274" s="1"/>
  <c r="H98" i="242"/>
  <c r="H103" i="242" s="1"/>
  <c r="I98" i="285"/>
  <c r="I103" i="285" s="1"/>
  <c r="H98" i="295"/>
  <c r="H103" i="295" s="1"/>
  <c r="F98" i="289"/>
  <c r="F103" i="289" s="1"/>
  <c r="H98" i="252"/>
  <c r="H103" i="252" s="1"/>
  <c r="G98" i="303"/>
  <c r="G103" i="303" s="1"/>
  <c r="D98" i="258"/>
  <c r="I98" i="314"/>
  <c r="I103" i="314" s="1"/>
  <c r="E98" i="308"/>
  <c r="E103" i="308" s="1"/>
  <c r="E98" i="281"/>
  <c r="E103" i="281" s="1"/>
  <c r="E98" i="316"/>
  <c r="E103" i="316" s="1"/>
  <c r="E98" i="314"/>
  <c r="E103" i="314" s="1"/>
  <c r="F98" i="310"/>
  <c r="F103" i="310" s="1"/>
  <c r="F98" i="308"/>
  <c r="F103" i="308" s="1"/>
  <c r="G104" i="308" s="1"/>
  <c r="E98" i="310"/>
  <c r="E103" i="310" s="1"/>
  <c r="G98" i="311"/>
  <c r="G103" i="311" s="1"/>
  <c r="G98" i="298"/>
  <c r="G103" i="298" s="1"/>
  <c r="D98" i="307"/>
  <c r="G98" i="293"/>
  <c r="G103" i="293" s="1"/>
  <c r="I98" i="292"/>
  <c r="I103" i="292" s="1"/>
  <c r="G98" i="281"/>
  <c r="G103" i="281" s="1"/>
  <c r="H98" i="271"/>
  <c r="H103" i="271" s="1"/>
  <c r="E98" i="269"/>
  <c r="E103" i="269" s="1"/>
  <c r="E98" i="263"/>
  <c r="E103" i="263" s="1"/>
  <c r="G98" i="256"/>
  <c r="G103" i="256" s="1"/>
  <c r="E98" i="272"/>
  <c r="E103" i="272" s="1"/>
  <c r="E98" i="270"/>
  <c r="E103" i="270" s="1"/>
  <c r="F98" i="262"/>
  <c r="F103" i="262" s="1"/>
  <c r="D98" i="292"/>
  <c r="D103" i="292" s="1"/>
  <c r="I98" i="288"/>
  <c r="I103" i="288" s="1"/>
  <c r="H98" i="269"/>
  <c r="H103" i="269" s="1"/>
  <c r="D98" i="255"/>
  <c r="F98" i="242"/>
  <c r="F103" i="242" s="1"/>
  <c r="F98" i="281"/>
  <c r="F103" i="281" s="1"/>
  <c r="H98" i="243"/>
  <c r="H103" i="243" s="1"/>
  <c r="I98" i="252"/>
  <c r="I103" i="252" s="1"/>
  <c r="E98" i="240"/>
  <c r="E103" i="240" s="1"/>
  <c r="F98" i="236"/>
  <c r="F103" i="236" s="1"/>
  <c r="G104" i="236" s="1"/>
  <c r="F98" i="254"/>
  <c r="F103" i="254" s="1"/>
  <c r="I98" i="264"/>
  <c r="I103" i="264" s="1"/>
  <c r="H98" i="245"/>
  <c r="H103" i="245" s="1"/>
  <c r="F104" i="233"/>
  <c r="G98" i="230"/>
  <c r="G103" i="230" s="1"/>
  <c r="H104" i="230" s="1"/>
  <c r="G98" i="283"/>
  <c r="G103" i="283" s="1"/>
  <c r="H104" i="283" s="1"/>
  <c r="G98" i="243"/>
  <c r="G103" i="243" s="1"/>
  <c r="F98" i="230"/>
  <c r="F103" i="230" s="1"/>
  <c r="H98" i="294"/>
  <c r="H103" i="294" s="1"/>
  <c r="H98" i="253"/>
  <c r="H103" i="253" s="1"/>
  <c r="F98" i="240"/>
  <c r="F103" i="240" s="1"/>
  <c r="G104" i="240" s="1"/>
  <c r="I98" i="235"/>
  <c r="I103" i="235" s="1"/>
  <c r="D98" i="229"/>
  <c r="I98" i="234"/>
  <c r="I103" i="234" s="1"/>
  <c r="F98" i="235"/>
  <c r="F103" i="235" s="1"/>
  <c r="E98" i="244"/>
  <c r="E103" i="244" s="1"/>
  <c r="E98" i="312"/>
  <c r="E103" i="312" s="1"/>
  <c r="F98" i="309"/>
  <c r="F103" i="309" s="1"/>
  <c r="D98" i="302"/>
  <c r="D103" i="302" s="1"/>
  <c r="G98" i="309"/>
  <c r="G103" i="309" s="1"/>
  <c r="F98" i="311"/>
  <c r="F103" i="311" s="1"/>
  <c r="F98" i="255"/>
  <c r="F103" i="255" s="1"/>
  <c r="H98" i="290"/>
  <c r="H103" i="290" s="1"/>
  <c r="F98" i="279"/>
  <c r="F103" i="279" s="1"/>
  <c r="G98" i="280"/>
  <c r="G103" i="280" s="1"/>
  <c r="D98" i="316"/>
  <c r="H98" i="256"/>
  <c r="H103" i="256" s="1"/>
  <c r="D98" i="265"/>
  <c r="H98" i="258"/>
  <c r="H103" i="258" s="1"/>
  <c r="G98" i="237"/>
  <c r="G103" i="237" s="1"/>
  <c r="F98" i="277"/>
  <c r="F103" i="277" s="1"/>
  <c r="D98" i="256"/>
  <c r="D98" i="260"/>
  <c r="F98" i="265"/>
  <c r="F103" i="265" s="1"/>
  <c r="I98" i="266"/>
  <c r="I103" i="266" s="1"/>
  <c r="H98" i="270"/>
  <c r="H103" i="270" s="1"/>
  <c r="E98" i="279"/>
  <c r="E103" i="279" s="1"/>
  <c r="E98" i="283"/>
  <c r="E103" i="283" s="1"/>
  <c r="H98" i="260"/>
  <c r="H103" i="260" s="1"/>
  <c r="E98" i="304"/>
  <c r="E103" i="304" s="1"/>
  <c r="F98" i="234"/>
  <c r="F103" i="234" s="1"/>
  <c r="D98" i="270"/>
  <c r="D103" i="270" s="1"/>
  <c r="I98" i="232"/>
  <c r="I103" i="232" s="1"/>
  <c r="H98" i="284"/>
  <c r="H103" i="284" s="1"/>
  <c r="H98" i="315"/>
  <c r="H103" i="315" s="1"/>
  <c r="D98" i="298"/>
  <c r="D103" i="298" s="1"/>
  <c r="H98" i="292"/>
  <c r="H103" i="292" s="1"/>
  <c r="D98" i="281"/>
  <c r="D98" i="272"/>
  <c r="G98" i="290"/>
  <c r="G103" i="290" s="1"/>
  <c r="I98" i="315"/>
  <c r="I103" i="315" s="1"/>
  <c r="D98" i="314"/>
  <c r="H98" i="306"/>
  <c r="H103" i="306" s="1"/>
  <c r="G98" i="306"/>
  <c r="G103" i="306" s="1"/>
  <c r="H98" i="309"/>
  <c r="H103" i="309" s="1"/>
  <c r="E98" i="299"/>
  <c r="E103" i="299" s="1"/>
  <c r="H98" i="313"/>
  <c r="H103" i="313" s="1"/>
  <c r="H98" i="305"/>
  <c r="H103" i="305" s="1"/>
  <c r="I98" i="282"/>
  <c r="I103" i="282" s="1"/>
  <c r="I98" i="295"/>
  <c r="I103" i="295" s="1"/>
  <c r="H98" i="279"/>
  <c r="H103" i="279" s="1"/>
  <c r="G98" i="268"/>
  <c r="G103" i="268" s="1"/>
  <c r="I98" i="267"/>
  <c r="I103" i="267" s="1"/>
  <c r="G98" i="266"/>
  <c r="G103" i="266" s="1"/>
  <c r="I98" i="265"/>
  <c r="I103" i="265" s="1"/>
  <c r="I98" i="257"/>
  <c r="I103" i="257" s="1"/>
  <c r="F98" i="268"/>
  <c r="F103" i="268" s="1"/>
  <c r="F98" i="260"/>
  <c r="F103" i="260" s="1"/>
  <c r="G98" i="305"/>
  <c r="G103" i="305" s="1"/>
  <c r="G98" i="291"/>
  <c r="G103" i="291" s="1"/>
  <c r="H98" i="247"/>
  <c r="H103" i="247" s="1"/>
  <c r="H98" i="249"/>
  <c r="H103" i="249" s="1"/>
  <c r="I104" i="249" s="1"/>
  <c r="H98" i="241"/>
  <c r="H103" i="241" s="1"/>
  <c r="D98" i="233"/>
  <c r="I98" i="256"/>
  <c r="I103" i="256" s="1"/>
  <c r="D98" i="294"/>
  <c r="D103" i="294" s="1"/>
  <c r="G98" i="232"/>
  <c r="G103" i="232" s="1"/>
  <c r="G98" i="285"/>
  <c r="G103" i="285" s="1"/>
  <c r="G98" i="261"/>
  <c r="G103" i="261" s="1"/>
  <c r="D98" i="236"/>
  <c r="D98" i="246"/>
  <c r="D98" i="248"/>
  <c r="E98" i="252"/>
  <c r="E103" i="252" s="1"/>
  <c r="I98" i="312"/>
  <c r="I103" i="312" s="1"/>
  <c r="F98" i="293"/>
  <c r="F103" i="293" s="1"/>
  <c r="D98" i="278"/>
  <c r="D98" i="276"/>
  <c r="F98" i="285"/>
  <c r="F103" i="285" s="1"/>
  <c r="E98" i="285"/>
  <c r="E103" i="285" s="1"/>
  <c r="D98" i="296"/>
  <c r="D103" i="296" s="1"/>
  <c r="G98" i="286"/>
  <c r="G103" i="286" s="1"/>
  <c r="G98" i="229"/>
  <c r="G103" i="229" s="1"/>
  <c r="I98" i="281"/>
  <c r="I103" i="281" s="1"/>
  <c r="G98" i="282"/>
  <c r="G103" i="282" s="1"/>
  <c r="F98" i="259"/>
  <c r="F103" i="259" s="1"/>
  <c r="F98" i="263"/>
  <c r="F103" i="263" s="1"/>
  <c r="I98" i="278"/>
  <c r="I103" i="278" s="1"/>
  <c r="E98" i="300"/>
  <c r="E103" i="300" s="1"/>
  <c r="G98" i="307"/>
  <c r="G103" i="307" s="1"/>
  <c r="E98" i="242"/>
  <c r="E103" i="242" s="1"/>
  <c r="F98" i="298"/>
  <c r="F103" i="298" s="1"/>
  <c r="F98" i="251"/>
  <c r="F103" i="251" s="1"/>
  <c r="H98" i="268"/>
  <c r="H103" i="268" s="1"/>
  <c r="H98" i="300"/>
  <c r="H103" i="300" s="1"/>
  <c r="I98" i="296"/>
  <c r="I103" i="296" s="1"/>
  <c r="F98" i="313"/>
  <c r="F103" i="313" s="1"/>
  <c r="I98" i="273"/>
  <c r="I103" i="273" s="1"/>
  <c r="F98" i="273"/>
  <c r="F103" i="273" s="1"/>
  <c r="G104" i="273" s="1"/>
  <c r="H105" i="273" s="1"/>
  <c r="I106" i="273" s="1"/>
  <c r="H98" i="273"/>
  <c r="H103" i="273" s="1"/>
  <c r="I104" i="273" s="1"/>
  <c r="D98" i="273"/>
  <c r="D103" i="273" s="1"/>
  <c r="G98" i="273"/>
  <c r="G103" i="273" s="1"/>
  <c r="H104" i="273" s="1"/>
  <c r="I105" i="273" s="1"/>
  <c r="E98" i="273"/>
  <c r="E103" i="273" s="1"/>
  <c r="F104" i="273" s="1"/>
  <c r="G105" i="273" s="1"/>
  <c r="H106" i="273" s="1"/>
  <c r="I107" i="273" s="1"/>
  <c r="F98" i="237"/>
  <c r="F103" i="237" s="1"/>
  <c r="H51" i="229"/>
  <c r="C74" i="229" s="1"/>
  <c r="I51" i="309"/>
  <c r="C75" i="309" s="1"/>
  <c r="I51" i="236"/>
  <c r="C75" i="236" s="1"/>
  <c r="I51" i="249"/>
  <c r="C75" i="249" s="1"/>
  <c r="H51" i="288"/>
  <c r="C74" i="288" s="1"/>
  <c r="G51" i="288"/>
  <c r="N172" i="288" s="1"/>
  <c r="I51" i="239"/>
  <c r="C75" i="239" s="1"/>
  <c r="I51" i="277"/>
  <c r="C75" i="277" s="1"/>
  <c r="I51" i="251"/>
  <c r="C75" i="251" s="1"/>
  <c r="I51" i="279"/>
  <c r="C75" i="279" s="1"/>
  <c r="I51" i="243"/>
  <c r="C75" i="243" s="1"/>
  <c r="I51" i="269"/>
  <c r="C75" i="269" s="1"/>
  <c r="H51" i="282"/>
  <c r="C74" i="282" s="1"/>
  <c r="H51" i="246"/>
  <c r="C74" i="246" s="1"/>
  <c r="H51" i="264"/>
  <c r="C74" i="264" s="1"/>
  <c r="H51" i="310"/>
  <c r="C74" i="310" s="1"/>
  <c r="I51" i="257"/>
  <c r="C75" i="257" s="1"/>
  <c r="I51" i="305"/>
  <c r="C75" i="305" s="1"/>
  <c r="H51" i="290"/>
  <c r="C74" i="290" s="1"/>
  <c r="I51" i="255"/>
  <c r="C75" i="255" s="1"/>
  <c r="H51" i="235"/>
  <c r="C74" i="235" s="1"/>
  <c r="H51" i="296"/>
  <c r="C74" i="296" s="1"/>
  <c r="H51" i="300"/>
  <c r="C74" i="300" s="1"/>
  <c r="H51" i="304"/>
  <c r="C74" i="304" s="1"/>
  <c r="H51" i="258"/>
  <c r="C74" i="258" s="1"/>
  <c r="K51" i="275"/>
  <c r="C77" i="275" s="1"/>
  <c r="K51" i="285"/>
  <c r="C77" i="285" s="1"/>
  <c r="K51" i="253"/>
  <c r="C77" i="253" s="1"/>
  <c r="H51" i="312"/>
  <c r="C74" i="312" s="1"/>
  <c r="L51" i="315"/>
  <c r="C78" i="315" s="1"/>
  <c r="K51" i="315"/>
  <c r="C77" i="315" s="1"/>
  <c r="H51" i="268"/>
  <c r="C74" i="268" s="1"/>
  <c r="K51" i="287"/>
  <c r="C77" i="287" s="1"/>
  <c r="K51" i="305"/>
  <c r="C77" i="305" s="1"/>
  <c r="K51" i="271"/>
  <c r="C77" i="271" s="1"/>
  <c r="AY94" i="320"/>
  <c r="BO6" i="320"/>
  <c r="BP79" i="320"/>
  <c r="BP57" i="320"/>
  <c r="BP51" i="320"/>
  <c r="L51" i="277"/>
  <c r="C78" i="277" s="1"/>
  <c r="BO32" i="320"/>
  <c r="BO60" i="320"/>
  <c r="BO18" i="320"/>
  <c r="BO40" i="320"/>
  <c r="BO86" i="320"/>
  <c r="BP41" i="320"/>
  <c r="L51" i="267"/>
  <c r="C78" i="267" s="1"/>
  <c r="BP67" i="320"/>
  <c r="L51" i="293"/>
  <c r="C78" i="293" s="1"/>
  <c r="BP19" i="320"/>
  <c r="BN42" i="320"/>
  <c r="BQ89" i="320"/>
  <c r="M51" i="315"/>
  <c r="C79" i="315" s="1"/>
  <c r="BP55" i="320"/>
  <c r="BP13" i="320"/>
  <c r="L51" i="239"/>
  <c r="C78" i="239" s="1"/>
  <c r="BP75" i="320"/>
  <c r="BP53" i="320"/>
  <c r="BP17" i="320"/>
  <c r="BO28" i="320"/>
  <c r="BO4" i="320"/>
  <c r="BO64" i="320"/>
  <c r="BP31" i="320"/>
  <c r="BP65" i="320"/>
  <c r="L51" i="291"/>
  <c r="C78" i="291" s="1"/>
  <c r="BP29" i="320"/>
  <c r="L51" i="255"/>
  <c r="C78" i="255" s="1"/>
  <c r="BO78" i="320"/>
  <c r="BO84" i="320"/>
  <c r="BP83" i="320"/>
  <c r="BP43" i="320"/>
  <c r="L51" i="269"/>
  <c r="C78" i="269" s="1"/>
  <c r="BP11" i="320"/>
  <c r="BO34" i="320"/>
  <c r="BO56" i="320"/>
  <c r="BO90" i="320"/>
  <c r="BO20" i="320"/>
  <c r="BO26" i="320"/>
  <c r="BN78" i="320"/>
  <c r="BN86" i="320"/>
  <c r="BP61" i="320"/>
  <c r="L51" i="287"/>
  <c r="C78" i="287" s="1"/>
  <c r="BO70" i="320"/>
  <c r="BO74" i="320"/>
  <c r="BO54" i="320"/>
  <c r="BP71" i="320"/>
  <c r="L51" i="297"/>
  <c r="C78" i="297" s="1"/>
  <c r="BP45" i="320"/>
  <c r="BO46" i="320"/>
  <c r="BO80" i="320"/>
  <c r="BN62" i="320"/>
  <c r="BO52" i="320"/>
  <c r="BP25" i="320"/>
  <c r="L51" i="251"/>
  <c r="C78" i="251" s="1"/>
  <c r="BP77" i="320"/>
  <c r="BP21" i="320"/>
  <c r="L51" i="247"/>
  <c r="C78" i="247" s="1"/>
  <c r="BO44" i="320"/>
  <c r="BP73" i="320"/>
  <c r="L51" i="299"/>
  <c r="C78" i="299" s="1"/>
  <c r="BO10" i="320"/>
  <c r="BO14" i="320"/>
  <c r="BO12" i="320"/>
  <c r="BO66" i="320"/>
  <c r="BO72" i="320"/>
  <c r="BO8" i="320"/>
  <c r="BP39" i="320"/>
  <c r="L51" i="265"/>
  <c r="C78" i="265" s="1"/>
  <c r="BP81" i="320"/>
  <c r="L51" i="307"/>
  <c r="C78" i="307" s="1"/>
  <c r="BP9" i="320"/>
  <c r="BP23" i="320"/>
  <c r="BP33" i="320"/>
  <c r="BO68" i="320"/>
  <c r="BP35" i="320"/>
  <c r="BO58" i="320"/>
  <c r="BN70" i="320"/>
  <c r="BN74" i="320"/>
  <c r="BP87" i="320"/>
  <c r="BP15" i="320"/>
  <c r="L51" i="241"/>
  <c r="C78" i="241" s="1"/>
  <c r="BO62" i="320"/>
  <c r="BP69" i="320"/>
  <c r="L51" i="295"/>
  <c r="C78" i="295" s="1"/>
  <c r="BP37" i="320"/>
  <c r="BP85" i="320"/>
  <c r="L51" i="311"/>
  <c r="C78" i="311" s="1"/>
  <c r="BO42" i="320"/>
  <c r="BP63" i="320"/>
  <c r="L51" i="289"/>
  <c r="C78" i="289" s="1"/>
  <c r="BP7" i="320"/>
  <c r="L51" i="232"/>
  <c r="C78" i="232" s="1"/>
  <c r="BP49" i="320"/>
  <c r="BP5" i="320"/>
  <c r="BO30" i="320"/>
  <c r="BO36" i="320"/>
  <c r="BP59" i="320"/>
  <c r="L51" i="285"/>
  <c r="C78" i="285" s="1"/>
  <c r="BP27" i="320"/>
  <c r="L51" i="253"/>
  <c r="C78" i="253" s="1"/>
  <c r="BO82" i="320"/>
  <c r="BO88" i="320"/>
  <c r="BO24" i="320"/>
  <c r="BO76" i="320"/>
  <c r="BO22" i="320"/>
  <c r="BO48" i="320"/>
  <c r="BO38" i="320"/>
  <c r="BN32" i="320"/>
  <c r="K51" i="239"/>
  <c r="C77" i="239" s="1"/>
  <c r="J51" i="279"/>
  <c r="C76" i="279" s="1"/>
  <c r="J51" i="243"/>
  <c r="C76" i="243" s="1"/>
  <c r="J51" i="257"/>
  <c r="C76" i="257" s="1"/>
  <c r="K51" i="255"/>
  <c r="C77" i="255" s="1"/>
  <c r="J51" i="309"/>
  <c r="C76" i="309" s="1"/>
  <c r="K51" i="251"/>
  <c r="C77" i="251" s="1"/>
  <c r="K51" i="299"/>
  <c r="C77" i="299" s="1"/>
  <c r="J51" i="249"/>
  <c r="C76" i="249" s="1"/>
  <c r="K51" i="241"/>
  <c r="C77" i="241" s="1"/>
  <c r="K51" i="295"/>
  <c r="C77" i="295" s="1"/>
  <c r="K51" i="311"/>
  <c r="C77" i="311" s="1"/>
  <c r="K51" i="289"/>
  <c r="C77" i="289" s="1"/>
  <c r="K51" i="232"/>
  <c r="C77" i="232" s="1"/>
  <c r="J51" i="285"/>
  <c r="C76" i="285" s="1"/>
  <c r="J51" i="253"/>
  <c r="C76" i="253" s="1"/>
  <c r="J51" i="281"/>
  <c r="C76" i="281" s="1"/>
  <c r="J51" i="301"/>
  <c r="C76" i="301" s="1"/>
  <c r="K51" i="291"/>
  <c r="C77" i="291" s="1"/>
  <c r="K51" i="269"/>
  <c r="C77" i="269" s="1"/>
  <c r="J51" i="236"/>
  <c r="C76" i="236" s="1"/>
  <c r="L51" i="303"/>
  <c r="C78" i="303" s="1"/>
  <c r="K51" i="247"/>
  <c r="C77" i="247" s="1"/>
  <c r="K51" i="265"/>
  <c r="C77" i="265" s="1"/>
  <c r="J51" i="234"/>
  <c r="C76" i="234" s="1"/>
  <c r="L51" i="261"/>
  <c r="C78" i="261" s="1"/>
  <c r="J51" i="287"/>
  <c r="C76" i="287" s="1"/>
  <c r="L51" i="305"/>
  <c r="C78" i="305" s="1"/>
  <c r="K51" i="277"/>
  <c r="C77" i="277" s="1"/>
  <c r="K51" i="297"/>
  <c r="C77" i="297" s="1"/>
  <c r="L51" i="271"/>
  <c r="C78" i="271" s="1"/>
  <c r="BQ47" i="320"/>
  <c r="K51" i="293"/>
  <c r="C77" i="293" s="1"/>
  <c r="BP47" i="320"/>
  <c r="C73" i="315"/>
  <c r="N172" i="315"/>
  <c r="C73" i="250"/>
  <c r="N172" i="250"/>
  <c r="C73" i="287"/>
  <c r="N172" i="287"/>
  <c r="C73" i="241"/>
  <c r="N172" i="241"/>
  <c r="C73" i="274"/>
  <c r="N172" i="274"/>
  <c r="C73" i="261"/>
  <c r="N172" i="261"/>
  <c r="C73" i="277"/>
  <c r="N172" i="277"/>
  <c r="C73" i="311"/>
  <c r="N172" i="311"/>
  <c r="C73" i="314"/>
  <c r="N172" i="314"/>
  <c r="C73" i="269"/>
  <c r="N172" i="269"/>
  <c r="C73" i="266"/>
  <c r="N172" i="266"/>
  <c r="C73" i="285"/>
  <c r="N172" i="285"/>
  <c r="C73" i="303"/>
  <c r="N172" i="303"/>
  <c r="C73" i="239"/>
  <c r="N172" i="239"/>
  <c r="C73" i="244"/>
  <c r="N172" i="244"/>
  <c r="C73" i="246"/>
  <c r="N172" i="246"/>
  <c r="C73" i="306"/>
  <c r="N172" i="306"/>
  <c r="C73" i="312"/>
  <c r="N172" i="312"/>
  <c r="C73" i="283"/>
  <c r="N172" i="283"/>
  <c r="C73" i="296"/>
  <c r="N172" i="296"/>
  <c r="C73" i="307"/>
  <c r="N172" i="307"/>
  <c r="C73" i="275"/>
  <c r="N172" i="275"/>
  <c r="C73" i="300"/>
  <c r="N172" i="300"/>
  <c r="C73" i="248"/>
  <c r="N172" i="248"/>
  <c r="C73" i="282"/>
  <c r="N172" i="282"/>
  <c r="C73" i="252"/>
  <c r="N172" i="252"/>
  <c r="C73" i="254"/>
  <c r="N172" i="254"/>
  <c r="C73" i="255"/>
  <c r="N172" i="255"/>
  <c r="C73" i="308"/>
  <c r="N172" i="308"/>
  <c r="C73" i="286"/>
  <c r="N172" i="286"/>
  <c r="C73" i="279"/>
  <c r="N172" i="279"/>
  <c r="C73" i="253"/>
  <c r="N172" i="253"/>
  <c r="C73" i="235"/>
  <c r="N172" i="235"/>
  <c r="C73" i="232"/>
  <c r="N172" i="232"/>
  <c r="C73" i="310"/>
  <c r="N172" i="310"/>
  <c r="C73" i="304"/>
  <c r="N172" i="304"/>
  <c r="C73" i="251"/>
  <c r="N172" i="251"/>
  <c r="C73" i="260"/>
  <c r="N172" i="260"/>
  <c r="C73" i="229"/>
  <c r="N172" i="229"/>
  <c r="C73" i="265"/>
  <c r="N172" i="265"/>
  <c r="C73" i="264"/>
  <c r="N172" i="264"/>
  <c r="C73" i="299"/>
  <c r="N172" i="299"/>
  <c r="C73" i="305"/>
  <c r="N172" i="305"/>
  <c r="C73" i="247"/>
  <c r="N172" i="247"/>
  <c r="C73" i="231"/>
  <c r="N172" i="231"/>
  <c r="C73" i="249"/>
  <c r="N172" i="249"/>
  <c r="C73" i="233"/>
  <c r="N172" i="233"/>
  <c r="C73" i="240"/>
  <c r="N172" i="240"/>
  <c r="C73" i="295"/>
  <c r="N172" i="295"/>
  <c r="C73" i="242"/>
  <c r="N172" i="242"/>
  <c r="C73" i="316"/>
  <c r="N172" i="316"/>
  <c r="C73" i="292"/>
  <c r="N172" i="292"/>
  <c r="C73" i="236"/>
  <c r="N172" i="236"/>
  <c r="C73" i="259"/>
  <c r="N172" i="259"/>
  <c r="C73" i="257"/>
  <c r="N172" i="257"/>
  <c r="C73" i="258"/>
  <c r="N172" i="258"/>
  <c r="C73" i="281"/>
  <c r="N172" i="281"/>
  <c r="C73" i="302"/>
  <c r="N172" i="302"/>
  <c r="C73" i="301"/>
  <c r="N172" i="301"/>
  <c r="C73" i="290"/>
  <c r="N172" i="290"/>
  <c r="C73" i="280"/>
  <c r="N172" i="280"/>
  <c r="C73" i="284"/>
  <c r="N172" i="284"/>
  <c r="C73" i="272"/>
  <c r="N172" i="272"/>
  <c r="C73" i="278"/>
  <c r="N172" i="278"/>
  <c r="C73" i="276"/>
  <c r="N172" i="276"/>
  <c r="C73" i="289"/>
  <c r="N172" i="289"/>
  <c r="C73" i="267"/>
  <c r="N172" i="267"/>
  <c r="C73" i="256"/>
  <c r="N172" i="256"/>
  <c r="C73" i="270"/>
  <c r="N172" i="270"/>
  <c r="C73" i="245"/>
  <c r="N172" i="245"/>
  <c r="C73" i="268"/>
  <c r="N172" i="268"/>
  <c r="C73" i="271"/>
  <c r="N172" i="271"/>
  <c r="C73" i="291"/>
  <c r="N172" i="291"/>
  <c r="C73" i="293"/>
  <c r="N172" i="293"/>
  <c r="C73" i="297"/>
  <c r="N172" i="297"/>
  <c r="C73" i="298"/>
  <c r="N172" i="298"/>
  <c r="C73" i="309"/>
  <c r="N172" i="309"/>
  <c r="C73" i="243"/>
  <c r="N172" i="243"/>
  <c r="C73" i="230"/>
  <c r="N172" i="230"/>
  <c r="C73" i="263"/>
  <c r="F73" i="263" s="1"/>
  <c r="G73" i="263" s="1"/>
  <c r="N172" i="263"/>
  <c r="C73" i="262"/>
  <c r="N172" i="262"/>
  <c r="C73" i="237"/>
  <c r="N172" i="237"/>
  <c r="C73" i="234"/>
  <c r="N172" i="234"/>
  <c r="C73" i="313"/>
  <c r="N172" i="313"/>
  <c r="C73" i="294"/>
  <c r="N172" i="294"/>
  <c r="C70" i="290"/>
  <c r="K172" i="290"/>
  <c r="I51" i="264"/>
  <c r="C75" i="264" s="1"/>
  <c r="BM91" i="320"/>
  <c r="AY91" i="320"/>
  <c r="AF91" i="320"/>
  <c r="I51" i="278"/>
  <c r="C75" i="278" s="1"/>
  <c r="I51" i="231"/>
  <c r="C75" i="231" s="1"/>
  <c r="I51" i="229"/>
  <c r="C75" i="229" s="1"/>
  <c r="I51" i="268"/>
  <c r="C75" i="268" s="1"/>
  <c r="I51" i="280"/>
  <c r="C75" i="280" s="1"/>
  <c r="I51" i="240"/>
  <c r="C75" i="240" s="1"/>
  <c r="I51" i="237"/>
  <c r="C75" i="237" s="1"/>
  <c r="I51" i="298"/>
  <c r="C75" i="298" s="1"/>
  <c r="I51" i="312"/>
  <c r="C75" i="312" s="1"/>
  <c r="I51" i="306"/>
  <c r="C75" i="306" s="1"/>
  <c r="I51" i="254"/>
  <c r="C75" i="254" s="1"/>
  <c r="I51" i="290"/>
  <c r="C75" i="290" s="1"/>
  <c r="I51" i="286"/>
  <c r="C75" i="286" s="1"/>
  <c r="I51" i="244"/>
  <c r="C75" i="244" s="1"/>
  <c r="I51" i="266"/>
  <c r="C75" i="266" s="1"/>
  <c r="I51" i="288"/>
  <c r="C75" i="288" s="1"/>
  <c r="I51" i="270"/>
  <c r="C75" i="270" s="1"/>
  <c r="I51" i="300"/>
  <c r="C75" i="300" s="1"/>
  <c r="I51" i="235"/>
  <c r="C75" i="235" s="1"/>
  <c r="I51" i="258"/>
  <c r="C75" i="258" s="1"/>
  <c r="I51" i="256"/>
  <c r="C75" i="256" s="1"/>
  <c r="I51" i="310"/>
  <c r="C75" i="310" s="1"/>
  <c r="I51" i="292"/>
  <c r="C75" i="292" s="1"/>
  <c r="I51" i="260"/>
  <c r="C75" i="260" s="1"/>
  <c r="I51" i="314"/>
  <c r="C75" i="314" s="1"/>
  <c r="I51" i="282"/>
  <c r="C75" i="282" s="1"/>
  <c r="I51" i="316"/>
  <c r="C75" i="316" s="1"/>
  <c r="I51" i="302"/>
  <c r="C75" i="302" s="1"/>
  <c r="I51" i="272"/>
  <c r="C75" i="272" s="1"/>
  <c r="I51" i="252"/>
  <c r="C75" i="252" s="1"/>
  <c r="I51" i="274"/>
  <c r="C75" i="274" s="1"/>
  <c r="D103" i="271" l="1"/>
  <c r="E104" i="271" s="1"/>
  <c r="F105" i="271" s="1"/>
  <c r="G106" i="271" s="1"/>
  <c r="H107" i="271" s="1"/>
  <c r="I108" i="271" s="1"/>
  <c r="H104" i="251"/>
  <c r="I105" i="251" s="1"/>
  <c r="D103" i="249"/>
  <c r="E104" i="249" s="1"/>
  <c r="F105" i="249" s="1"/>
  <c r="G106" i="249" s="1"/>
  <c r="H107" i="249" s="1"/>
  <c r="I108" i="249" s="1"/>
  <c r="D103" i="247"/>
  <c r="E104" i="247" s="1"/>
  <c r="F105" i="247" s="1"/>
  <c r="G106" i="247" s="1"/>
  <c r="H107" i="247" s="1"/>
  <c r="I108" i="247" s="1"/>
  <c r="H104" i="266"/>
  <c r="I105" i="266" s="1"/>
  <c r="G104" i="274"/>
  <c r="H105" i="274" s="1"/>
  <c r="I106" i="274" s="1"/>
  <c r="I104" i="243"/>
  <c r="F104" i="269"/>
  <c r="G105" i="269" s="1"/>
  <c r="H106" i="269" s="1"/>
  <c r="I107" i="269" s="1"/>
  <c r="D103" i="295"/>
  <c r="E104" i="295" s="1"/>
  <c r="F105" i="295" s="1"/>
  <c r="G106" i="295" s="1"/>
  <c r="H107" i="295" s="1"/>
  <c r="I108" i="295" s="1"/>
  <c r="G104" i="260"/>
  <c r="H105" i="260" s="1"/>
  <c r="I106" i="260" s="1"/>
  <c r="D103" i="241"/>
  <c r="E104" i="241" s="1"/>
  <c r="F105" i="241" s="1"/>
  <c r="G106" i="241" s="1"/>
  <c r="H107" i="241" s="1"/>
  <c r="I108" i="241" s="1"/>
  <c r="H104" i="254"/>
  <c r="I105" i="254" s="1"/>
  <c r="G104" i="249"/>
  <c r="H105" i="249" s="1"/>
  <c r="I106" i="249" s="1"/>
  <c r="D103" i="264"/>
  <c r="E104" i="264" s="1"/>
  <c r="F105" i="264" s="1"/>
  <c r="G106" i="264" s="1"/>
  <c r="H107" i="264" s="1"/>
  <c r="I108" i="264" s="1"/>
  <c r="I104" i="262"/>
  <c r="G104" i="246"/>
  <c r="H105" i="246" s="1"/>
  <c r="I106" i="246" s="1"/>
  <c r="H104" i="280"/>
  <c r="I105" i="280" s="1"/>
  <c r="D103" i="243"/>
  <c r="E104" i="243" s="1"/>
  <c r="F105" i="243" s="1"/>
  <c r="G106" i="243" s="1"/>
  <c r="H107" i="243" s="1"/>
  <c r="I108" i="243" s="1"/>
  <c r="F104" i="301"/>
  <c r="G105" i="301" s="1"/>
  <c r="H106" i="301" s="1"/>
  <c r="I107" i="301" s="1"/>
  <c r="F104" i="296"/>
  <c r="G105" i="296" s="1"/>
  <c r="H106" i="296" s="1"/>
  <c r="I107" i="296" s="1"/>
  <c r="G104" i="313"/>
  <c r="H105" i="313" s="1"/>
  <c r="I106" i="313" s="1"/>
  <c r="H104" i="237"/>
  <c r="I105" i="237" s="1"/>
  <c r="I104" i="253"/>
  <c r="G104" i="262"/>
  <c r="H105" i="262" s="1"/>
  <c r="I106" i="262" s="1"/>
  <c r="G104" i="272"/>
  <c r="H105" i="272" s="1"/>
  <c r="I106" i="272" s="1"/>
  <c r="D103" i="309"/>
  <c r="E104" i="309" s="1"/>
  <c r="F105" i="309" s="1"/>
  <c r="G106" i="309" s="1"/>
  <c r="H107" i="309" s="1"/>
  <c r="I108" i="309" s="1"/>
  <c r="E104" i="257"/>
  <c r="F105" i="257" s="1"/>
  <c r="G106" i="257" s="1"/>
  <c r="H107" i="257" s="1"/>
  <c r="I108" i="257" s="1"/>
  <c r="H104" i="287"/>
  <c r="I105" i="287" s="1"/>
  <c r="E104" i="305"/>
  <c r="F105" i="305" s="1"/>
  <c r="G106" i="305" s="1"/>
  <c r="H107" i="305" s="1"/>
  <c r="I108" i="305" s="1"/>
  <c r="F105" i="290"/>
  <c r="G106" i="290" s="1"/>
  <c r="H107" i="290" s="1"/>
  <c r="I108" i="290" s="1"/>
  <c r="G104" i="253"/>
  <c r="H105" i="253" s="1"/>
  <c r="I106" i="253" s="1"/>
  <c r="D103" i="287"/>
  <c r="D139" i="287" s="1"/>
  <c r="H104" i="282"/>
  <c r="I105" i="282" s="1"/>
  <c r="H104" i="290"/>
  <c r="I105" i="290" s="1"/>
  <c r="I104" i="258"/>
  <c r="G104" i="254"/>
  <c r="H105" i="254" s="1"/>
  <c r="I106" i="254" s="1"/>
  <c r="D103" i="244"/>
  <c r="E104" i="244" s="1"/>
  <c r="F105" i="244" s="1"/>
  <c r="G106" i="244" s="1"/>
  <c r="H107" i="244" s="1"/>
  <c r="I108" i="244" s="1"/>
  <c r="D103" i="232"/>
  <c r="E104" i="232" s="1"/>
  <c r="F105" i="232" s="1"/>
  <c r="G106" i="232" s="1"/>
  <c r="H107" i="232" s="1"/>
  <c r="I108" i="232" s="1"/>
  <c r="G104" i="276"/>
  <c r="H105" i="276" s="1"/>
  <c r="I106" i="276" s="1"/>
  <c r="F104" i="252"/>
  <c r="G105" i="252" s="1"/>
  <c r="H106" i="252" s="1"/>
  <c r="I107" i="252" s="1"/>
  <c r="H104" i="235"/>
  <c r="I105" i="235" s="1"/>
  <c r="G104" i="302"/>
  <c r="H105" i="302" s="1"/>
  <c r="I106" i="302" s="1"/>
  <c r="D103" i="291"/>
  <c r="E104" i="291" s="1"/>
  <c r="F105" i="291" s="1"/>
  <c r="G106" i="291" s="1"/>
  <c r="H107" i="291" s="1"/>
  <c r="I108" i="291" s="1"/>
  <c r="D103" i="279"/>
  <c r="E104" i="279" s="1"/>
  <c r="F105" i="279" s="1"/>
  <c r="G106" i="279" s="1"/>
  <c r="H107" i="279" s="1"/>
  <c r="I108" i="279" s="1"/>
  <c r="F104" i="243"/>
  <c r="G105" i="243" s="1"/>
  <c r="H106" i="243" s="1"/>
  <c r="I107" i="243" s="1"/>
  <c r="I104" i="276"/>
  <c r="I104" i="300"/>
  <c r="I104" i="274"/>
  <c r="H104" i="264"/>
  <c r="I105" i="264" s="1"/>
  <c r="I104" i="311"/>
  <c r="D103" i="286"/>
  <c r="E104" i="286" s="1"/>
  <c r="F105" i="286" s="1"/>
  <c r="G106" i="286" s="1"/>
  <c r="H107" i="286" s="1"/>
  <c r="I108" i="286" s="1"/>
  <c r="D103" i="285"/>
  <c r="E104" i="285" s="1"/>
  <c r="F105" i="285" s="1"/>
  <c r="G106" i="285" s="1"/>
  <c r="H107" i="285" s="1"/>
  <c r="I108" i="285" s="1"/>
  <c r="H104" i="232"/>
  <c r="I105" i="232" s="1"/>
  <c r="I104" i="241"/>
  <c r="E104" i="292"/>
  <c r="F105" i="292" s="1"/>
  <c r="G106" i="292" s="1"/>
  <c r="H107" i="292" s="1"/>
  <c r="I108" i="292" s="1"/>
  <c r="H104" i="298"/>
  <c r="I105" i="298" s="1"/>
  <c r="I104" i="307"/>
  <c r="I104" i="250"/>
  <c r="D103" i="311"/>
  <c r="E104" i="311" s="1"/>
  <c r="F105" i="311" s="1"/>
  <c r="G106" i="311" s="1"/>
  <c r="H107" i="311" s="1"/>
  <c r="I108" i="311" s="1"/>
  <c r="G104" i="275"/>
  <c r="H105" i="275" s="1"/>
  <c r="I106" i="275" s="1"/>
  <c r="H104" i="267"/>
  <c r="I105" i="267" s="1"/>
  <c r="E104" i="313"/>
  <c r="F105" i="313" s="1"/>
  <c r="G106" i="313" s="1"/>
  <c r="H107" i="313" s="1"/>
  <c r="I108" i="313" s="1"/>
  <c r="I104" i="289"/>
  <c r="F104" i="276"/>
  <c r="G105" i="276" s="1"/>
  <c r="H106" i="276" s="1"/>
  <c r="I107" i="276" s="1"/>
  <c r="E104" i="298"/>
  <c r="F105" i="298" s="1"/>
  <c r="G106" i="298" s="1"/>
  <c r="H107" i="298" s="1"/>
  <c r="I108" i="298" s="1"/>
  <c r="G104" i="279"/>
  <c r="H105" i="279" s="1"/>
  <c r="I106" i="279" s="1"/>
  <c r="H105" i="236"/>
  <c r="I106" i="236" s="1"/>
  <c r="I104" i="271"/>
  <c r="F104" i="231"/>
  <c r="G105" i="231" s="1"/>
  <c r="H106" i="231" s="1"/>
  <c r="I107" i="231" s="1"/>
  <c r="G104" i="304"/>
  <c r="H105" i="304" s="1"/>
  <c r="I106" i="304" s="1"/>
  <c r="D103" i="297"/>
  <c r="E104" i="297" s="1"/>
  <c r="F105" i="297" s="1"/>
  <c r="G106" i="297" s="1"/>
  <c r="H107" i="297" s="1"/>
  <c r="I108" i="297" s="1"/>
  <c r="I104" i="287"/>
  <c r="H104" i="229"/>
  <c r="I105" i="229" s="1"/>
  <c r="F104" i="314"/>
  <c r="G105" i="314" s="1"/>
  <c r="H106" i="314" s="1"/>
  <c r="I107" i="314" s="1"/>
  <c r="F104" i="280"/>
  <c r="G105" i="280" s="1"/>
  <c r="H106" i="280" s="1"/>
  <c r="I107" i="280" s="1"/>
  <c r="F104" i="266"/>
  <c r="G105" i="266" s="1"/>
  <c r="H106" i="266" s="1"/>
  <c r="I107" i="266" s="1"/>
  <c r="I104" i="302"/>
  <c r="G104" i="235"/>
  <c r="H105" i="235" s="1"/>
  <c r="I106" i="235" s="1"/>
  <c r="I104" i="233"/>
  <c r="H104" i="311"/>
  <c r="I105" i="311" s="1"/>
  <c r="I104" i="268"/>
  <c r="G104" i="259"/>
  <c r="H105" i="259" s="1"/>
  <c r="I106" i="259" s="1"/>
  <c r="H104" i="286"/>
  <c r="I105" i="286" s="1"/>
  <c r="H104" i="261"/>
  <c r="I105" i="261" s="1"/>
  <c r="I104" i="290"/>
  <c r="G104" i="264"/>
  <c r="H105" i="264" s="1"/>
  <c r="I106" i="264" s="1"/>
  <c r="G104" i="270"/>
  <c r="H105" i="270" s="1"/>
  <c r="I106" i="270" s="1"/>
  <c r="F104" i="284"/>
  <c r="G105" i="284" s="1"/>
  <c r="H106" i="284" s="1"/>
  <c r="I107" i="284" s="1"/>
  <c r="D103" i="269"/>
  <c r="E104" i="269" s="1"/>
  <c r="F105" i="269" s="1"/>
  <c r="G106" i="269" s="1"/>
  <c r="H107" i="269" s="1"/>
  <c r="I108" i="269" s="1"/>
  <c r="D103" i="230"/>
  <c r="E104" i="230" s="1"/>
  <c r="F105" i="230" s="1"/>
  <c r="G106" i="230" s="1"/>
  <c r="H107" i="230" s="1"/>
  <c r="I108" i="230" s="1"/>
  <c r="H104" i="302"/>
  <c r="I105" i="302" s="1"/>
  <c r="G104" i="252"/>
  <c r="H105" i="252" s="1"/>
  <c r="I106" i="252" s="1"/>
  <c r="E104" i="294"/>
  <c r="F105" i="294" s="1"/>
  <c r="G106" i="294" s="1"/>
  <c r="H107" i="294" s="1"/>
  <c r="I108" i="294" s="1"/>
  <c r="E104" i="310"/>
  <c r="F105" i="310" s="1"/>
  <c r="G106" i="310" s="1"/>
  <c r="H107" i="310" s="1"/>
  <c r="I108" i="310" s="1"/>
  <c r="H105" i="308"/>
  <c r="I106" i="308" s="1"/>
  <c r="F104" i="282"/>
  <c r="G105" i="282" s="1"/>
  <c r="H106" i="282" s="1"/>
  <c r="I107" i="282" s="1"/>
  <c r="G104" i="239"/>
  <c r="H105" i="239" s="1"/>
  <c r="I106" i="239" s="1"/>
  <c r="F104" i="229"/>
  <c r="G105" i="229" s="1"/>
  <c r="H106" i="229" s="1"/>
  <c r="I107" i="229" s="1"/>
  <c r="H104" i="316"/>
  <c r="I105" i="316" s="1"/>
  <c r="G104" i="287"/>
  <c r="H105" i="287" s="1"/>
  <c r="I106" i="287" s="1"/>
  <c r="I104" i="299"/>
  <c r="E104" i="288"/>
  <c r="F105" i="288" s="1"/>
  <c r="G106" i="288" s="1"/>
  <c r="H107" i="288" s="1"/>
  <c r="I108" i="288" s="1"/>
  <c r="F104" i="235"/>
  <c r="G105" i="235" s="1"/>
  <c r="H106" i="235" s="1"/>
  <c r="I107" i="235" s="1"/>
  <c r="I104" i="279"/>
  <c r="I104" i="306"/>
  <c r="F104" i="312"/>
  <c r="G105" i="312" s="1"/>
  <c r="H106" i="312" s="1"/>
  <c r="I107" i="312" s="1"/>
  <c r="I104" i="294"/>
  <c r="I105" i="230"/>
  <c r="F104" i="316"/>
  <c r="G105" i="316" s="1"/>
  <c r="H106" i="316" s="1"/>
  <c r="I107" i="316" s="1"/>
  <c r="F104" i="261"/>
  <c r="G105" i="261" s="1"/>
  <c r="H106" i="261" s="1"/>
  <c r="I107" i="261" s="1"/>
  <c r="G104" i="271"/>
  <c r="H105" i="271" s="1"/>
  <c r="I106" i="271" s="1"/>
  <c r="F104" i="250"/>
  <c r="G105" i="250" s="1"/>
  <c r="H106" i="250" s="1"/>
  <c r="I107" i="250" s="1"/>
  <c r="I104" i="231"/>
  <c r="H104" i="257"/>
  <c r="I105" i="257" s="1"/>
  <c r="G104" i="244"/>
  <c r="H105" i="244" s="1"/>
  <c r="I106" i="244" s="1"/>
  <c r="F104" i="297"/>
  <c r="G105" i="297" s="1"/>
  <c r="H106" i="297" s="1"/>
  <c r="I107" i="297" s="1"/>
  <c r="H105" i="278"/>
  <c r="I106" i="278" s="1"/>
  <c r="H104" i="299"/>
  <c r="I105" i="299" s="1"/>
  <c r="E104" i="266"/>
  <c r="F105" i="266" s="1"/>
  <c r="G106" i="266" s="1"/>
  <c r="H107" i="266" s="1"/>
  <c r="I108" i="266" s="1"/>
  <c r="F104" i="247"/>
  <c r="G105" i="247" s="1"/>
  <c r="H106" i="247" s="1"/>
  <c r="I107" i="247" s="1"/>
  <c r="I104" i="305"/>
  <c r="F104" i="283"/>
  <c r="G105" i="283" s="1"/>
  <c r="H106" i="283" s="1"/>
  <c r="I107" i="283" s="1"/>
  <c r="G104" i="265"/>
  <c r="H105" i="265" s="1"/>
  <c r="I106" i="265" s="1"/>
  <c r="G104" i="294"/>
  <c r="H105" i="294" s="1"/>
  <c r="I106" i="294" s="1"/>
  <c r="G104" i="231"/>
  <c r="H105" i="231" s="1"/>
  <c r="I106" i="231" s="1"/>
  <c r="D103" i="234"/>
  <c r="E104" i="234" s="1"/>
  <c r="F105" i="234" s="1"/>
  <c r="G106" i="234" s="1"/>
  <c r="H107" i="234" s="1"/>
  <c r="I108" i="234" s="1"/>
  <c r="H104" i="278"/>
  <c r="I105" i="278" s="1"/>
  <c r="I104" i="301"/>
  <c r="F105" i="235"/>
  <c r="G106" i="235" s="1"/>
  <c r="H107" i="235" s="1"/>
  <c r="I108" i="235" s="1"/>
  <c r="G104" i="251"/>
  <c r="H105" i="251" s="1"/>
  <c r="I106" i="251" s="1"/>
  <c r="I104" i="247"/>
  <c r="I104" i="309"/>
  <c r="I104" i="245"/>
  <c r="I104" i="275"/>
  <c r="I104" i="230"/>
  <c r="G104" i="247"/>
  <c r="H105" i="247" s="1"/>
  <c r="I106" i="247" s="1"/>
  <c r="I104" i="272"/>
  <c r="H104" i="297"/>
  <c r="I105" i="297" s="1"/>
  <c r="H104" i="246"/>
  <c r="I105" i="246" s="1"/>
  <c r="H104" i="256"/>
  <c r="I105" i="256" s="1"/>
  <c r="G104" i="310"/>
  <c r="H105" i="310" s="1"/>
  <c r="I106" i="310" s="1"/>
  <c r="D103" i="304"/>
  <c r="E104" i="304" s="1"/>
  <c r="F105" i="304" s="1"/>
  <c r="G106" i="304" s="1"/>
  <c r="H107" i="304" s="1"/>
  <c r="I108" i="304" s="1"/>
  <c r="H105" i="314"/>
  <c r="I106" i="314" s="1"/>
  <c r="D103" i="251"/>
  <c r="E104" i="251" s="1"/>
  <c r="F105" i="251" s="1"/>
  <c r="G106" i="251" s="1"/>
  <c r="H107" i="251" s="1"/>
  <c r="I108" i="251" s="1"/>
  <c r="H104" i="304"/>
  <c r="I105" i="304" s="1"/>
  <c r="H104" i="263"/>
  <c r="I105" i="263" s="1"/>
  <c r="I104" i="286"/>
  <c r="G104" i="284"/>
  <c r="H105" i="284" s="1"/>
  <c r="I106" i="284" s="1"/>
  <c r="G104" i="288"/>
  <c r="H105" i="288" s="1"/>
  <c r="I106" i="288" s="1"/>
  <c r="E104" i="296"/>
  <c r="F105" i="296" s="1"/>
  <c r="G106" i="296" s="1"/>
  <c r="H107" i="296" s="1"/>
  <c r="I108" i="296" s="1"/>
  <c r="H104" i="285"/>
  <c r="I105" i="285" s="1"/>
  <c r="G105" i="233"/>
  <c r="H106" i="233" s="1"/>
  <c r="I107" i="233" s="1"/>
  <c r="F104" i="281"/>
  <c r="G105" i="281" s="1"/>
  <c r="H106" i="281" s="1"/>
  <c r="I107" i="281" s="1"/>
  <c r="H104" i="303"/>
  <c r="I105" i="303" s="1"/>
  <c r="F104" i="286"/>
  <c r="G105" i="286" s="1"/>
  <c r="H106" i="286" s="1"/>
  <c r="I107" i="286" s="1"/>
  <c r="G104" i="267"/>
  <c r="H105" i="267" s="1"/>
  <c r="I106" i="267" s="1"/>
  <c r="I104" i="251"/>
  <c r="H104" i="289"/>
  <c r="I105" i="289" s="1"/>
  <c r="G104" i="312"/>
  <c r="H105" i="312" s="1"/>
  <c r="I106" i="312" s="1"/>
  <c r="H104" i="272"/>
  <c r="I105" i="272" s="1"/>
  <c r="D103" i="239"/>
  <c r="E104" i="239" s="1"/>
  <c r="F105" i="239" s="1"/>
  <c r="G106" i="239" s="1"/>
  <c r="H107" i="239" s="1"/>
  <c r="I108" i="239" s="1"/>
  <c r="H104" i="239"/>
  <c r="I105" i="239" s="1"/>
  <c r="H104" i="276"/>
  <c r="I105" i="276" s="1"/>
  <c r="G104" i="295"/>
  <c r="H105" i="295" s="1"/>
  <c r="I106" i="295" s="1"/>
  <c r="H104" i="255"/>
  <c r="I105" i="255" s="1"/>
  <c r="F104" i="288"/>
  <c r="G105" i="288" s="1"/>
  <c r="H106" i="288" s="1"/>
  <c r="I107" i="288" s="1"/>
  <c r="E104" i="306"/>
  <c r="F105" i="306" s="1"/>
  <c r="G106" i="306" s="1"/>
  <c r="H107" i="306" s="1"/>
  <c r="I108" i="306" s="1"/>
  <c r="G104" i="297"/>
  <c r="H105" i="297" s="1"/>
  <c r="I106" i="297" s="1"/>
  <c r="I105" i="234"/>
  <c r="F104" i="299"/>
  <c r="G105" i="299" s="1"/>
  <c r="H106" i="299" s="1"/>
  <c r="I107" i="299" s="1"/>
  <c r="G104" i="234"/>
  <c r="H105" i="234" s="1"/>
  <c r="I106" i="234" s="1"/>
  <c r="I104" i="269"/>
  <c r="F104" i="315"/>
  <c r="G105" i="315" s="1"/>
  <c r="H106" i="315" s="1"/>
  <c r="I107" i="315" s="1"/>
  <c r="F104" i="271"/>
  <c r="G105" i="271" s="1"/>
  <c r="H106" i="271" s="1"/>
  <c r="I107" i="271" s="1"/>
  <c r="G104" i="250"/>
  <c r="H105" i="250" s="1"/>
  <c r="I106" i="250" s="1"/>
  <c r="H104" i="296"/>
  <c r="I105" i="296" s="1"/>
  <c r="I104" i="308"/>
  <c r="H104" i="245"/>
  <c r="I105" i="245" s="1"/>
  <c r="G104" i="258"/>
  <c r="H105" i="258" s="1"/>
  <c r="I106" i="258" s="1"/>
  <c r="H104" i="314"/>
  <c r="I105" i="314" s="1"/>
  <c r="F104" i="303"/>
  <c r="G105" i="303" s="1"/>
  <c r="H106" i="303" s="1"/>
  <c r="I107" i="303" s="1"/>
  <c r="F104" i="258"/>
  <c r="G105" i="258" s="1"/>
  <c r="H106" i="258" s="1"/>
  <c r="I107" i="258" s="1"/>
  <c r="I104" i="291"/>
  <c r="H104" i="253"/>
  <c r="I105" i="253" s="1"/>
  <c r="I104" i="261"/>
  <c r="G104" i="296"/>
  <c r="H105" i="296" s="1"/>
  <c r="I106" i="296" s="1"/>
  <c r="H104" i="294"/>
  <c r="I105" i="294" s="1"/>
  <c r="H104" i="307"/>
  <c r="I105" i="307" s="1"/>
  <c r="G104" i="242"/>
  <c r="H105" i="242" s="1"/>
  <c r="I106" i="242" s="1"/>
  <c r="G104" i="289"/>
  <c r="H105" i="289" s="1"/>
  <c r="I106" i="289" s="1"/>
  <c r="I104" i="239"/>
  <c r="I104" i="280"/>
  <c r="H104" i="301"/>
  <c r="I105" i="301" s="1"/>
  <c r="E104" i="273"/>
  <c r="F105" i="273" s="1"/>
  <c r="G106" i="273" s="1"/>
  <c r="H107" i="273" s="1"/>
  <c r="I108" i="273" s="1"/>
  <c r="F104" i="242"/>
  <c r="G105" i="242" s="1"/>
  <c r="H106" i="242" s="1"/>
  <c r="I107" i="242" s="1"/>
  <c r="G104" i="263"/>
  <c r="H105" i="263" s="1"/>
  <c r="I106" i="263" s="1"/>
  <c r="G104" i="285"/>
  <c r="H105" i="285" s="1"/>
  <c r="I106" i="285" s="1"/>
  <c r="H104" i="291"/>
  <c r="I105" i="291" s="1"/>
  <c r="F104" i="292"/>
  <c r="G105" i="292" s="1"/>
  <c r="H106" i="292" s="1"/>
  <c r="I107" i="292" s="1"/>
  <c r="F104" i="267"/>
  <c r="G105" i="267" s="1"/>
  <c r="H106" i="267" s="1"/>
  <c r="I107" i="267" s="1"/>
  <c r="F104" i="306"/>
  <c r="G105" i="306" s="1"/>
  <c r="H106" i="306" s="1"/>
  <c r="I107" i="306" s="1"/>
  <c r="D103" i="253"/>
  <c r="E104" i="253" s="1"/>
  <c r="F105" i="253" s="1"/>
  <c r="G106" i="253" s="1"/>
  <c r="H107" i="253" s="1"/>
  <c r="I108" i="253" s="1"/>
  <c r="I104" i="260"/>
  <c r="G104" i="277"/>
  <c r="H105" i="277" s="1"/>
  <c r="I106" i="277" s="1"/>
  <c r="E104" i="302"/>
  <c r="F105" i="302" s="1"/>
  <c r="G106" i="302" s="1"/>
  <c r="H107" i="302" s="1"/>
  <c r="I108" i="302" s="1"/>
  <c r="H105" i="240"/>
  <c r="I106" i="240" s="1"/>
  <c r="F104" i="272"/>
  <c r="G105" i="272" s="1"/>
  <c r="H106" i="272" s="1"/>
  <c r="I107" i="272" s="1"/>
  <c r="H104" i="231"/>
  <c r="I105" i="231" s="1"/>
  <c r="F104" i="265"/>
  <c r="G105" i="265" s="1"/>
  <c r="H106" i="265" s="1"/>
  <c r="I107" i="265" s="1"/>
  <c r="E104" i="300"/>
  <c r="F105" i="300" s="1"/>
  <c r="G106" i="300" s="1"/>
  <c r="H107" i="300" s="1"/>
  <c r="I108" i="300" s="1"/>
  <c r="E104" i="263"/>
  <c r="F105" i="263" s="1"/>
  <c r="G106" i="263" s="1"/>
  <c r="H107" i="263" s="1"/>
  <c r="I108" i="263" s="1"/>
  <c r="G104" i="245"/>
  <c r="H105" i="245" s="1"/>
  <c r="I106" i="245" s="1"/>
  <c r="F104" i="234"/>
  <c r="G105" i="234" s="1"/>
  <c r="H106" i="234" s="1"/>
  <c r="I107" i="234" s="1"/>
  <c r="I104" i="277"/>
  <c r="G104" i="300"/>
  <c r="H105" i="300" s="1"/>
  <c r="I106" i="300" s="1"/>
  <c r="F104" i="241"/>
  <c r="G105" i="241" s="1"/>
  <c r="H106" i="241" s="1"/>
  <c r="I107" i="241" s="1"/>
  <c r="I104" i="259"/>
  <c r="H104" i="308"/>
  <c r="I105" i="308" s="1"/>
  <c r="H104" i="279"/>
  <c r="I105" i="279" s="1"/>
  <c r="D103" i="277"/>
  <c r="E104" i="277" s="1"/>
  <c r="F105" i="277" s="1"/>
  <c r="G106" i="277" s="1"/>
  <c r="H107" i="277" s="1"/>
  <c r="I108" i="277" s="1"/>
  <c r="D103" i="289"/>
  <c r="E104" i="289" s="1"/>
  <c r="F105" i="289" s="1"/>
  <c r="G106" i="289" s="1"/>
  <c r="H107" i="289" s="1"/>
  <c r="I108" i="289" s="1"/>
  <c r="D103" i="280"/>
  <c r="E104" i="280" s="1"/>
  <c r="F105" i="280" s="1"/>
  <c r="G106" i="280" s="1"/>
  <c r="H107" i="280" s="1"/>
  <c r="I108" i="280" s="1"/>
  <c r="F104" i="256"/>
  <c r="G105" i="256" s="1"/>
  <c r="H106" i="256" s="1"/>
  <c r="I107" i="256" s="1"/>
  <c r="H104" i="236"/>
  <c r="I105" i="236" s="1"/>
  <c r="F104" i="287"/>
  <c r="G105" i="287" s="1"/>
  <c r="H106" i="287" s="1"/>
  <c r="I107" i="287" s="1"/>
  <c r="F104" i="313"/>
  <c r="G105" i="313" s="1"/>
  <c r="H106" i="313" s="1"/>
  <c r="I107" i="313" s="1"/>
  <c r="F104" i="311"/>
  <c r="G105" i="311" s="1"/>
  <c r="H106" i="311" s="1"/>
  <c r="I107" i="311" s="1"/>
  <c r="H104" i="305"/>
  <c r="I105" i="305" s="1"/>
  <c r="H104" i="258"/>
  <c r="I105" i="258" s="1"/>
  <c r="D103" i="245"/>
  <c r="E104" i="245" s="1"/>
  <c r="F105" i="245" s="1"/>
  <c r="G106" i="245" s="1"/>
  <c r="H107" i="245" s="1"/>
  <c r="I108" i="245" s="1"/>
  <c r="G104" i="255"/>
  <c r="H105" i="255" s="1"/>
  <c r="I106" i="255" s="1"/>
  <c r="I105" i="283"/>
  <c r="H104" i="281"/>
  <c r="I105" i="281" s="1"/>
  <c r="F104" i="290"/>
  <c r="G105" i="290" s="1"/>
  <c r="H106" i="290" s="1"/>
  <c r="I107" i="290" s="1"/>
  <c r="I104" i="293"/>
  <c r="F104" i="274"/>
  <c r="G105" i="274" s="1"/>
  <c r="H106" i="274" s="1"/>
  <c r="I107" i="274" s="1"/>
  <c r="F104" i="295"/>
  <c r="G105" i="295" s="1"/>
  <c r="H106" i="295" s="1"/>
  <c r="I107" i="295" s="1"/>
  <c r="F104" i="275"/>
  <c r="G105" i="275" s="1"/>
  <c r="H106" i="275" s="1"/>
  <c r="I107" i="275" s="1"/>
  <c r="H104" i="240"/>
  <c r="I105" i="240" s="1"/>
  <c r="G104" i="280"/>
  <c r="H105" i="280" s="1"/>
  <c r="I106" i="280" s="1"/>
  <c r="H105" i="301"/>
  <c r="I106" i="301" s="1"/>
  <c r="G104" i="298"/>
  <c r="H105" i="298" s="1"/>
  <c r="I106" i="298" s="1"/>
  <c r="I104" i="284"/>
  <c r="F104" i="304"/>
  <c r="G105" i="304" s="1"/>
  <c r="H106" i="304" s="1"/>
  <c r="I107" i="304" s="1"/>
  <c r="I104" i="270"/>
  <c r="F104" i="244"/>
  <c r="G105" i="244" s="1"/>
  <c r="H106" i="244" s="1"/>
  <c r="I107" i="244" s="1"/>
  <c r="G104" i="230"/>
  <c r="H105" i="230" s="1"/>
  <c r="I106" i="230" s="1"/>
  <c r="F104" i="270"/>
  <c r="G105" i="270" s="1"/>
  <c r="H106" i="270" s="1"/>
  <c r="I107" i="270" s="1"/>
  <c r="H104" i="293"/>
  <c r="I105" i="293" s="1"/>
  <c r="F104" i="248"/>
  <c r="G105" i="248" s="1"/>
  <c r="H106" i="248" s="1"/>
  <c r="I107" i="248" s="1"/>
  <c r="H104" i="260"/>
  <c r="I105" i="260" s="1"/>
  <c r="I104" i="242"/>
  <c r="I104" i="304"/>
  <c r="G104" i="257"/>
  <c r="H105" i="257" s="1"/>
  <c r="I106" i="257" s="1"/>
  <c r="I104" i="248"/>
  <c r="I104" i="229"/>
  <c r="F104" i="278"/>
  <c r="G105" i="278" s="1"/>
  <c r="H106" i="278" s="1"/>
  <c r="I107" i="278" s="1"/>
  <c r="I104" i="316"/>
  <c r="I104" i="298"/>
  <c r="F104" i="305"/>
  <c r="G105" i="305" s="1"/>
  <c r="H106" i="305" s="1"/>
  <c r="I107" i="305" s="1"/>
  <c r="I104" i="314"/>
  <c r="F104" i="255"/>
  <c r="G105" i="255" s="1"/>
  <c r="H106" i="255" s="1"/>
  <c r="I107" i="255" s="1"/>
  <c r="G104" i="299"/>
  <c r="H105" i="299" s="1"/>
  <c r="I106" i="299" s="1"/>
  <c r="I104" i="267"/>
  <c r="F104" i="307"/>
  <c r="G105" i="307" s="1"/>
  <c r="H106" i="307" s="1"/>
  <c r="I107" i="307" s="1"/>
  <c r="F104" i="246"/>
  <c r="G105" i="246" s="1"/>
  <c r="H106" i="246" s="1"/>
  <c r="I107" i="246" s="1"/>
  <c r="F105" i="275"/>
  <c r="G106" i="275" s="1"/>
  <c r="H107" i="275" s="1"/>
  <c r="I108" i="275" s="1"/>
  <c r="H104" i="244"/>
  <c r="I105" i="244" s="1"/>
  <c r="G104" i="269"/>
  <c r="H105" i="269" s="1"/>
  <c r="I106" i="269" s="1"/>
  <c r="H104" i="250"/>
  <c r="I105" i="250" s="1"/>
  <c r="D103" i="261"/>
  <c r="E104" i="261" s="1"/>
  <c r="F105" i="261" s="1"/>
  <c r="G106" i="261" s="1"/>
  <c r="H107" i="261" s="1"/>
  <c r="I108" i="261" s="1"/>
  <c r="D103" i="236"/>
  <c r="E104" i="236" s="1"/>
  <c r="F105" i="236" s="1"/>
  <c r="G106" i="236" s="1"/>
  <c r="H107" i="236" s="1"/>
  <c r="I108" i="236" s="1"/>
  <c r="D103" i="314"/>
  <c r="E104" i="314" s="1"/>
  <c r="F105" i="314" s="1"/>
  <c r="G106" i="314" s="1"/>
  <c r="H107" i="314" s="1"/>
  <c r="I108" i="314" s="1"/>
  <c r="D103" i="272"/>
  <c r="E104" i="272" s="1"/>
  <c r="F105" i="272" s="1"/>
  <c r="G106" i="272" s="1"/>
  <c r="H107" i="272" s="1"/>
  <c r="I108" i="272" s="1"/>
  <c r="D103" i="260"/>
  <c r="E104" i="260" s="1"/>
  <c r="F105" i="260" s="1"/>
  <c r="G106" i="260" s="1"/>
  <c r="H107" i="260" s="1"/>
  <c r="I108" i="260" s="1"/>
  <c r="D103" i="229"/>
  <c r="E104" i="229" s="1"/>
  <c r="F105" i="229" s="1"/>
  <c r="G106" i="229" s="1"/>
  <c r="H107" i="229" s="1"/>
  <c r="I108" i="229" s="1"/>
  <c r="D103" i="255"/>
  <c r="E104" i="255" s="1"/>
  <c r="F105" i="255" s="1"/>
  <c r="G106" i="255" s="1"/>
  <c r="H107" i="255" s="1"/>
  <c r="I108" i="255" s="1"/>
  <c r="D103" i="258"/>
  <c r="E104" i="258" s="1"/>
  <c r="F105" i="258" s="1"/>
  <c r="G106" i="258" s="1"/>
  <c r="H107" i="258" s="1"/>
  <c r="I108" i="258" s="1"/>
  <c r="D103" i="274"/>
  <c r="E104" i="274" s="1"/>
  <c r="F105" i="274" s="1"/>
  <c r="G106" i="274" s="1"/>
  <c r="H107" i="274" s="1"/>
  <c r="I108" i="274" s="1"/>
  <c r="D103" i="312"/>
  <c r="E104" i="312" s="1"/>
  <c r="F105" i="312" s="1"/>
  <c r="G106" i="312" s="1"/>
  <c r="H107" i="312" s="1"/>
  <c r="I108" i="312" s="1"/>
  <c r="D103" i="301"/>
  <c r="E104" i="301" s="1"/>
  <c r="F105" i="301" s="1"/>
  <c r="G106" i="301" s="1"/>
  <c r="H107" i="301" s="1"/>
  <c r="I108" i="301" s="1"/>
  <c r="D103" i="254"/>
  <c r="E104" i="254" s="1"/>
  <c r="F105" i="254" s="1"/>
  <c r="G106" i="254" s="1"/>
  <c r="H107" i="254" s="1"/>
  <c r="I108" i="254" s="1"/>
  <c r="I104" i="315"/>
  <c r="H104" i="233"/>
  <c r="I105" i="233" s="1"/>
  <c r="H104" i="269"/>
  <c r="I105" i="269" s="1"/>
  <c r="F104" i="279"/>
  <c r="G105" i="279" s="1"/>
  <c r="H106" i="279" s="1"/>
  <c r="I107" i="279" s="1"/>
  <c r="G104" i="311"/>
  <c r="H105" i="311" s="1"/>
  <c r="I106" i="311" s="1"/>
  <c r="F104" i="263"/>
  <c r="G105" i="263" s="1"/>
  <c r="H106" i="263" s="1"/>
  <c r="I107" i="263" s="1"/>
  <c r="F104" i="293"/>
  <c r="G105" i="293" s="1"/>
  <c r="H106" i="293" s="1"/>
  <c r="I107" i="293" s="1"/>
  <c r="I104" i="312"/>
  <c r="G104" i="256"/>
  <c r="H105" i="256" s="1"/>
  <c r="I106" i="256" s="1"/>
  <c r="F104" i="294"/>
  <c r="G105" i="294" s="1"/>
  <c r="H106" i="294" s="1"/>
  <c r="I107" i="294" s="1"/>
  <c r="G104" i="305"/>
  <c r="H105" i="305" s="1"/>
  <c r="I106" i="305" s="1"/>
  <c r="G104" i="291"/>
  <c r="H105" i="291" s="1"/>
  <c r="I106" i="291" s="1"/>
  <c r="G104" i="315"/>
  <c r="H105" i="315" s="1"/>
  <c r="I106" i="315" s="1"/>
  <c r="F104" i="264"/>
  <c r="G105" i="264" s="1"/>
  <c r="H106" i="264" s="1"/>
  <c r="I107" i="264" s="1"/>
  <c r="I104" i="234"/>
  <c r="F104" i="254"/>
  <c r="G105" i="254" s="1"/>
  <c r="H106" i="254" s="1"/>
  <c r="I107" i="254" s="1"/>
  <c r="I104" i="264"/>
  <c r="H104" i="247"/>
  <c r="I105" i="247" s="1"/>
  <c r="G104" i="303"/>
  <c r="H105" i="303" s="1"/>
  <c r="I106" i="303" s="1"/>
  <c r="E104" i="283"/>
  <c r="F105" i="283" s="1"/>
  <c r="G106" i="283" s="1"/>
  <c r="H107" i="283" s="1"/>
  <c r="I108" i="283" s="1"/>
  <c r="I104" i="232"/>
  <c r="I104" i="283"/>
  <c r="G104" i="286"/>
  <c r="H105" i="286" s="1"/>
  <c r="I106" i="286" s="1"/>
  <c r="F104" i="239"/>
  <c r="G105" i="239" s="1"/>
  <c r="H106" i="239" s="1"/>
  <c r="I107" i="239" s="1"/>
  <c r="H104" i="271"/>
  <c r="I105" i="271" s="1"/>
  <c r="G104" i="283"/>
  <c r="H105" i="283" s="1"/>
  <c r="I106" i="283" s="1"/>
  <c r="E104" i="231"/>
  <c r="F105" i="231" s="1"/>
  <c r="G106" i="231" s="1"/>
  <c r="H107" i="231" s="1"/>
  <c r="I108" i="231" s="1"/>
  <c r="H104" i="288"/>
  <c r="I105" i="288" s="1"/>
  <c r="G104" i="282"/>
  <c r="H105" i="282" s="1"/>
  <c r="I106" i="282" s="1"/>
  <c r="F104" i="249"/>
  <c r="G105" i="249" s="1"/>
  <c r="H106" i="249" s="1"/>
  <c r="I107" i="249" s="1"/>
  <c r="F104" i="262"/>
  <c r="G105" i="262" s="1"/>
  <c r="H106" i="262" s="1"/>
  <c r="I107" i="262" s="1"/>
  <c r="I104" i="265"/>
  <c r="G104" i="316"/>
  <c r="H105" i="316" s="1"/>
  <c r="I106" i="316" s="1"/>
  <c r="I104" i="285"/>
  <c r="H104" i="248"/>
  <c r="I105" i="248" s="1"/>
  <c r="F104" i="298"/>
  <c r="G105" i="298" s="1"/>
  <c r="H106" i="298" s="1"/>
  <c r="I107" i="298" s="1"/>
  <c r="D103" i="316"/>
  <c r="E104" i="316" s="1"/>
  <c r="F105" i="316" s="1"/>
  <c r="G106" i="316" s="1"/>
  <c r="H107" i="316" s="1"/>
  <c r="I108" i="316" s="1"/>
  <c r="D103" i="308"/>
  <c r="E104" i="308" s="1"/>
  <c r="F105" i="308" s="1"/>
  <c r="G106" i="308" s="1"/>
  <c r="H107" i="308" s="1"/>
  <c r="I108" i="308" s="1"/>
  <c r="D103" i="284"/>
  <c r="E104" i="284" s="1"/>
  <c r="F105" i="284" s="1"/>
  <c r="G106" i="284" s="1"/>
  <c r="H107" i="284" s="1"/>
  <c r="I108" i="284" s="1"/>
  <c r="D103" i="242"/>
  <c r="E104" i="242" s="1"/>
  <c r="F105" i="242" s="1"/>
  <c r="G106" i="242" s="1"/>
  <c r="H107" i="242" s="1"/>
  <c r="I108" i="242" s="1"/>
  <c r="D103" i="252"/>
  <c r="E104" i="252" s="1"/>
  <c r="F105" i="252" s="1"/>
  <c r="G106" i="252" s="1"/>
  <c r="H107" i="252" s="1"/>
  <c r="I108" i="252" s="1"/>
  <c r="H104" i="268"/>
  <c r="I105" i="268" s="1"/>
  <c r="G104" i="233"/>
  <c r="H105" i="233" s="1"/>
  <c r="I106" i="233" s="1"/>
  <c r="F104" i="236"/>
  <c r="G105" i="236" s="1"/>
  <c r="H106" i="236" s="1"/>
  <c r="I107" i="236" s="1"/>
  <c r="I104" i="313"/>
  <c r="E104" i="270"/>
  <c r="F105" i="270" s="1"/>
  <c r="G106" i="270" s="1"/>
  <c r="H107" i="270" s="1"/>
  <c r="I108" i="270" s="1"/>
  <c r="G104" i="309"/>
  <c r="H105" i="309" s="1"/>
  <c r="I106" i="309" s="1"/>
  <c r="I104" i="252"/>
  <c r="G104" i="266"/>
  <c r="H105" i="266" s="1"/>
  <c r="I106" i="266" s="1"/>
  <c r="H104" i="315"/>
  <c r="I105" i="315" s="1"/>
  <c r="H104" i="292"/>
  <c r="I105" i="292" s="1"/>
  <c r="F104" i="289"/>
  <c r="G105" i="289" s="1"/>
  <c r="H106" i="289" s="1"/>
  <c r="I107" i="289" s="1"/>
  <c r="F104" i="237"/>
  <c r="G105" i="237" s="1"/>
  <c r="H106" i="237" s="1"/>
  <c r="I107" i="237" s="1"/>
  <c r="G104" i="306"/>
  <c r="H105" i="306" s="1"/>
  <c r="I106" i="306" s="1"/>
  <c r="F104" i="245"/>
  <c r="G105" i="245" s="1"/>
  <c r="H106" i="245" s="1"/>
  <c r="I107" i="245" s="1"/>
  <c r="H104" i="262"/>
  <c r="I105" i="262" s="1"/>
  <c r="I104" i="278"/>
  <c r="H104" i="259"/>
  <c r="I105" i="259" s="1"/>
  <c r="H104" i="274"/>
  <c r="I105" i="274" s="1"/>
  <c r="I104" i="240"/>
  <c r="I104" i="235"/>
  <c r="I104" i="244"/>
  <c r="I104" i="263"/>
  <c r="H104" i="313"/>
  <c r="I105" i="313" s="1"/>
  <c r="H104" i="242"/>
  <c r="I105" i="242" s="1"/>
  <c r="I104" i="254"/>
  <c r="H104" i="312"/>
  <c r="I105" i="312" s="1"/>
  <c r="H104" i="270"/>
  <c r="I105" i="270" s="1"/>
  <c r="F104" i="253"/>
  <c r="G105" i="253" s="1"/>
  <c r="H106" i="253" s="1"/>
  <c r="I107" i="253" s="1"/>
  <c r="G104" i="232"/>
  <c r="H105" i="232" s="1"/>
  <c r="I106" i="232" s="1"/>
  <c r="I104" i="257"/>
  <c r="H104" i="277"/>
  <c r="I105" i="277" s="1"/>
  <c r="F104" i="291"/>
  <c r="G105" i="291" s="1"/>
  <c r="H106" i="291" s="1"/>
  <c r="I107" i="291" s="1"/>
  <c r="G104" i="243"/>
  <c r="H105" i="243" s="1"/>
  <c r="I106" i="243" s="1"/>
  <c r="D103" i="276"/>
  <c r="E104" i="276" s="1"/>
  <c r="F105" i="276" s="1"/>
  <c r="G106" i="276" s="1"/>
  <c r="H107" i="276" s="1"/>
  <c r="I108" i="276" s="1"/>
  <c r="D103" i="281"/>
  <c r="E104" i="281" s="1"/>
  <c r="F105" i="281" s="1"/>
  <c r="G106" i="281" s="1"/>
  <c r="H107" i="281" s="1"/>
  <c r="I108" i="281" s="1"/>
  <c r="D103" i="256"/>
  <c r="E104" i="256" s="1"/>
  <c r="F105" i="256" s="1"/>
  <c r="G106" i="256" s="1"/>
  <c r="H107" i="256" s="1"/>
  <c r="I108" i="256" s="1"/>
  <c r="D103" i="265"/>
  <c r="E104" i="265" s="1"/>
  <c r="F105" i="265" s="1"/>
  <c r="G106" i="265" s="1"/>
  <c r="H107" i="265" s="1"/>
  <c r="I108" i="265" s="1"/>
  <c r="D103" i="267"/>
  <c r="E104" i="267" s="1"/>
  <c r="F105" i="267" s="1"/>
  <c r="G106" i="267" s="1"/>
  <c r="H107" i="267" s="1"/>
  <c r="I108" i="267" s="1"/>
  <c r="D103" i="293"/>
  <c r="E104" i="293" s="1"/>
  <c r="F105" i="293" s="1"/>
  <c r="G106" i="293" s="1"/>
  <c r="H107" i="293" s="1"/>
  <c r="I108" i="293" s="1"/>
  <c r="D103" i="237"/>
  <c r="E104" i="237" s="1"/>
  <c r="F105" i="237" s="1"/>
  <c r="G106" i="237" s="1"/>
  <c r="H107" i="237" s="1"/>
  <c r="I108" i="237" s="1"/>
  <c r="D103" i="282"/>
  <c r="E104" i="282" s="1"/>
  <c r="F105" i="282" s="1"/>
  <c r="G106" i="282" s="1"/>
  <c r="H107" i="282" s="1"/>
  <c r="I108" i="282" s="1"/>
  <c r="D103" i="246"/>
  <c r="E104" i="246" s="1"/>
  <c r="F105" i="246" s="1"/>
  <c r="G106" i="246" s="1"/>
  <c r="H107" i="246" s="1"/>
  <c r="I108" i="246" s="1"/>
  <c r="D103" i="233"/>
  <c r="E104" i="233" s="1"/>
  <c r="F105" i="233" s="1"/>
  <c r="G106" i="233" s="1"/>
  <c r="H107" i="233" s="1"/>
  <c r="I108" i="233" s="1"/>
  <c r="D103" i="278"/>
  <c r="E104" i="278" s="1"/>
  <c r="F105" i="278" s="1"/>
  <c r="G106" i="278" s="1"/>
  <c r="H107" i="278" s="1"/>
  <c r="I108" i="278" s="1"/>
  <c r="D103" i="248"/>
  <c r="E104" i="248" s="1"/>
  <c r="F105" i="248" s="1"/>
  <c r="G106" i="248" s="1"/>
  <c r="H107" i="248" s="1"/>
  <c r="I108" i="248" s="1"/>
  <c r="D103" i="307"/>
  <c r="E104" i="307" s="1"/>
  <c r="F105" i="307" s="1"/>
  <c r="G106" i="307" s="1"/>
  <c r="H107" i="307" s="1"/>
  <c r="I108" i="307" s="1"/>
  <c r="D103" i="259"/>
  <c r="E104" i="259" s="1"/>
  <c r="F105" i="259" s="1"/>
  <c r="G106" i="259" s="1"/>
  <c r="H107" i="259" s="1"/>
  <c r="I108" i="259" s="1"/>
  <c r="D103" i="262"/>
  <c r="E104" i="262" s="1"/>
  <c r="F105" i="262" s="1"/>
  <c r="G106" i="262" s="1"/>
  <c r="H107" i="262" s="1"/>
  <c r="I108" i="262" s="1"/>
  <c r="D103" i="250"/>
  <c r="E104" i="250" s="1"/>
  <c r="F105" i="250" s="1"/>
  <c r="G106" i="250" s="1"/>
  <c r="H107" i="250" s="1"/>
  <c r="I108" i="250" s="1"/>
  <c r="D103" i="240"/>
  <c r="E104" i="240" s="1"/>
  <c r="F105" i="240" s="1"/>
  <c r="G106" i="240" s="1"/>
  <c r="H107" i="240" s="1"/>
  <c r="I108" i="240" s="1"/>
  <c r="D103" i="303"/>
  <c r="E104" i="303" s="1"/>
  <c r="F105" i="303" s="1"/>
  <c r="G106" i="303" s="1"/>
  <c r="H107" i="303" s="1"/>
  <c r="I108" i="303" s="1"/>
  <c r="D103" i="315"/>
  <c r="E104" i="315" s="1"/>
  <c r="F105" i="315" s="1"/>
  <c r="G106" i="315" s="1"/>
  <c r="H107" i="315" s="1"/>
  <c r="I108" i="315" s="1"/>
  <c r="H104" i="309"/>
  <c r="I105" i="309" s="1"/>
  <c r="F104" i="259"/>
  <c r="G105" i="259" s="1"/>
  <c r="H106" i="259" s="1"/>
  <c r="I107" i="259" s="1"/>
  <c r="I104" i="246"/>
  <c r="F104" i="285"/>
  <c r="G105" i="285" s="1"/>
  <c r="H106" i="285" s="1"/>
  <c r="I107" i="285" s="1"/>
  <c r="G104" i="293"/>
  <c r="H105" i="293" s="1"/>
  <c r="I106" i="293" s="1"/>
  <c r="G104" i="268"/>
  <c r="H105" i="268" s="1"/>
  <c r="I106" i="268" s="1"/>
  <c r="G104" i="237"/>
  <c r="H105" i="237" s="1"/>
  <c r="I106" i="237" s="1"/>
  <c r="F104" i="300"/>
  <c r="G105" i="300" s="1"/>
  <c r="H106" i="300" s="1"/>
  <c r="I107" i="300" s="1"/>
  <c r="H104" i="306"/>
  <c r="I105" i="306" s="1"/>
  <c r="G104" i="307"/>
  <c r="H105" i="307" s="1"/>
  <c r="I106" i="307" s="1"/>
  <c r="I104" i="292"/>
  <c r="I104" i="256"/>
  <c r="H104" i="243"/>
  <c r="I105" i="243" s="1"/>
  <c r="F104" i="240"/>
  <c r="G105" i="240" s="1"/>
  <c r="H106" i="240" s="1"/>
  <c r="I107" i="240" s="1"/>
  <c r="G104" i="281"/>
  <c r="H105" i="281" s="1"/>
  <c r="I106" i="281" s="1"/>
  <c r="F104" i="310"/>
  <c r="G105" i="310" s="1"/>
  <c r="H106" i="310" s="1"/>
  <c r="I107" i="310" s="1"/>
  <c r="F104" i="308"/>
  <c r="G105" i="308" s="1"/>
  <c r="H106" i="308" s="1"/>
  <c r="I107" i="308" s="1"/>
  <c r="I105" i="265"/>
  <c r="I104" i="295"/>
  <c r="H104" i="284"/>
  <c r="I105" i="284" s="1"/>
  <c r="I104" i="288"/>
  <c r="F104" i="302"/>
  <c r="G105" i="302" s="1"/>
  <c r="H106" i="302" s="1"/>
  <c r="I107" i="302" s="1"/>
  <c r="F104" i="268"/>
  <c r="G105" i="268" s="1"/>
  <c r="H106" i="268" s="1"/>
  <c r="I107" i="268" s="1"/>
  <c r="H105" i="248"/>
  <c r="I106" i="248" s="1"/>
  <c r="E104" i="299"/>
  <c r="F105" i="299" s="1"/>
  <c r="G106" i="299" s="1"/>
  <c r="H107" i="299" s="1"/>
  <c r="I108" i="299" s="1"/>
  <c r="F104" i="251"/>
  <c r="G105" i="251" s="1"/>
  <c r="H106" i="251" s="1"/>
  <c r="I107" i="251" s="1"/>
  <c r="H104" i="252"/>
  <c r="I105" i="252" s="1"/>
  <c r="G104" i="229"/>
  <c r="H105" i="229" s="1"/>
  <c r="I106" i="229" s="1"/>
  <c r="I104" i="282"/>
  <c r="F104" i="309"/>
  <c r="G105" i="309" s="1"/>
  <c r="H106" i="309" s="1"/>
  <c r="I107" i="309" s="1"/>
  <c r="H104" i="241"/>
  <c r="I105" i="241" s="1"/>
  <c r="F104" i="257"/>
  <c r="G105" i="257" s="1"/>
  <c r="H106" i="257" s="1"/>
  <c r="I107" i="257" s="1"/>
  <c r="I104" i="266"/>
  <c r="G104" i="241"/>
  <c r="H105" i="241" s="1"/>
  <c r="I106" i="241" s="1"/>
  <c r="I104" i="236"/>
  <c r="G105" i="232"/>
  <c r="H106" i="232" s="1"/>
  <c r="I107" i="232" s="1"/>
  <c r="H104" i="249"/>
  <c r="I105" i="249" s="1"/>
  <c r="E104" i="268"/>
  <c r="F105" i="268" s="1"/>
  <c r="G106" i="268" s="1"/>
  <c r="H107" i="268" s="1"/>
  <c r="I108" i="268" s="1"/>
  <c r="F104" i="260"/>
  <c r="G105" i="260" s="1"/>
  <c r="H106" i="260" s="1"/>
  <c r="I107" i="260" s="1"/>
  <c r="I104" i="296"/>
  <c r="H104" i="300"/>
  <c r="I105" i="300" s="1"/>
  <c r="I104" i="281"/>
  <c r="G104" i="290"/>
  <c r="H105" i="290" s="1"/>
  <c r="I106" i="290" s="1"/>
  <c r="G104" i="261"/>
  <c r="H105" i="261" s="1"/>
  <c r="I106" i="261" s="1"/>
  <c r="H104" i="295"/>
  <c r="I105" i="295" s="1"/>
  <c r="H104" i="275"/>
  <c r="I105" i="275" s="1"/>
  <c r="G104" i="292"/>
  <c r="H105" i="292" s="1"/>
  <c r="I106" i="292" s="1"/>
  <c r="F104" i="277"/>
  <c r="G105" i="277" s="1"/>
  <c r="H106" i="277" s="1"/>
  <c r="I107" i="277" s="1"/>
  <c r="F104" i="230"/>
  <c r="G105" i="230" s="1"/>
  <c r="H106" i="230" s="1"/>
  <c r="I107" i="230" s="1"/>
  <c r="C73" i="288"/>
  <c r="J51" i="255"/>
  <c r="C76" i="255" s="1"/>
  <c r="J51" i="303"/>
  <c r="C76" i="303" s="1"/>
  <c r="J51" i="295"/>
  <c r="C76" i="295" s="1"/>
  <c r="J51" i="311"/>
  <c r="C76" i="311" s="1"/>
  <c r="J51" i="251"/>
  <c r="C76" i="251" s="1"/>
  <c r="I51" i="276"/>
  <c r="C75" i="276" s="1"/>
  <c r="H51" i="276"/>
  <c r="C74" i="276" s="1"/>
  <c r="L51" i="245"/>
  <c r="C78" i="245" s="1"/>
  <c r="J51" i="245"/>
  <c r="C76" i="245" s="1"/>
  <c r="L51" i="275"/>
  <c r="C78" i="275" s="1"/>
  <c r="J51" i="275"/>
  <c r="C76" i="275" s="1"/>
  <c r="L51" i="263"/>
  <c r="C78" i="263" s="1"/>
  <c r="J51" i="263"/>
  <c r="C76" i="263" s="1"/>
  <c r="J51" i="299"/>
  <c r="C76" i="299" s="1"/>
  <c r="I51" i="308"/>
  <c r="C75" i="308" s="1"/>
  <c r="J51" i="241"/>
  <c r="C76" i="241" s="1"/>
  <c r="J51" i="265"/>
  <c r="C76" i="265" s="1"/>
  <c r="J51" i="289"/>
  <c r="C76" i="289" s="1"/>
  <c r="J51" i="297"/>
  <c r="C76" i="297" s="1"/>
  <c r="J51" i="293"/>
  <c r="C76" i="293" s="1"/>
  <c r="J51" i="261"/>
  <c r="C76" i="261" s="1"/>
  <c r="J51" i="247"/>
  <c r="C76" i="247" s="1"/>
  <c r="J51" i="277"/>
  <c r="C76" i="277" s="1"/>
  <c r="K51" i="267"/>
  <c r="C77" i="267" s="1"/>
  <c r="J51" i="267"/>
  <c r="C76" i="267" s="1"/>
  <c r="I51" i="262"/>
  <c r="C75" i="262" s="1"/>
  <c r="K51" i="307"/>
  <c r="C77" i="307" s="1"/>
  <c r="J51" i="307"/>
  <c r="C76" i="307" s="1"/>
  <c r="I51" i="250"/>
  <c r="C75" i="250" s="1"/>
  <c r="I51" i="233"/>
  <c r="C75" i="233" s="1"/>
  <c r="L51" i="283"/>
  <c r="C78" i="283" s="1"/>
  <c r="J51" i="283"/>
  <c r="C76" i="283" s="1"/>
  <c r="L51" i="259"/>
  <c r="C78" i="259" s="1"/>
  <c r="J51" i="259"/>
  <c r="C76" i="259" s="1"/>
  <c r="L51" i="230"/>
  <c r="C78" i="230" s="1"/>
  <c r="J51" i="230"/>
  <c r="C76" i="230" s="1"/>
  <c r="L51" i="313"/>
  <c r="C78" i="313" s="1"/>
  <c r="J51" i="313"/>
  <c r="C76" i="313" s="1"/>
  <c r="I51" i="294"/>
  <c r="C75" i="294" s="1"/>
  <c r="J51" i="271"/>
  <c r="C76" i="271" s="1"/>
  <c r="I51" i="284"/>
  <c r="C75" i="284" s="1"/>
  <c r="J51" i="232"/>
  <c r="C76" i="232" s="1"/>
  <c r="I51" i="304"/>
  <c r="C75" i="304" s="1"/>
  <c r="I51" i="248"/>
  <c r="C75" i="248" s="1"/>
  <c r="I51" i="296"/>
  <c r="C75" i="296" s="1"/>
  <c r="J51" i="291"/>
  <c r="C76" i="291" s="1"/>
  <c r="J51" i="305"/>
  <c r="C76" i="305" s="1"/>
  <c r="I51" i="246"/>
  <c r="C75" i="246" s="1"/>
  <c r="J51" i="269"/>
  <c r="C76" i="269" s="1"/>
  <c r="J51" i="239"/>
  <c r="C76" i="239" s="1"/>
  <c r="L51" i="301"/>
  <c r="C78" i="301" s="1"/>
  <c r="K51" i="301"/>
  <c r="C77" i="301" s="1"/>
  <c r="K51" i="270"/>
  <c r="C77" i="270" s="1"/>
  <c r="K51" i="244"/>
  <c r="C77" i="244" s="1"/>
  <c r="K51" i="230"/>
  <c r="C77" i="230" s="1"/>
  <c r="K51" i="258"/>
  <c r="C77" i="258" s="1"/>
  <c r="K51" i="283"/>
  <c r="C77" i="283" s="1"/>
  <c r="K51" i="261"/>
  <c r="C77" i="261" s="1"/>
  <c r="L51" i="243"/>
  <c r="C78" i="243" s="1"/>
  <c r="K51" i="243"/>
  <c r="C77" i="243" s="1"/>
  <c r="L51" i="257"/>
  <c r="C78" i="257" s="1"/>
  <c r="K51" i="257"/>
  <c r="C77" i="257" s="1"/>
  <c r="L51" i="234"/>
  <c r="C78" i="234" s="1"/>
  <c r="K51" i="234"/>
  <c r="C77" i="234" s="1"/>
  <c r="L51" i="236"/>
  <c r="C78" i="236" s="1"/>
  <c r="K51" i="236"/>
  <c r="C77" i="236" s="1"/>
  <c r="L51" i="281"/>
  <c r="C78" i="281" s="1"/>
  <c r="K51" i="281"/>
  <c r="C77" i="281" s="1"/>
  <c r="L51" i="249"/>
  <c r="C78" i="249" s="1"/>
  <c r="K51" i="249"/>
  <c r="C77" i="249" s="1"/>
  <c r="L51" i="309"/>
  <c r="C78" i="309" s="1"/>
  <c r="K51" i="309"/>
  <c r="C77" i="309" s="1"/>
  <c r="L51" i="279"/>
  <c r="C78" i="279" s="1"/>
  <c r="K51" i="279"/>
  <c r="C77" i="279" s="1"/>
  <c r="K51" i="274"/>
  <c r="C77" i="274" s="1"/>
  <c r="K51" i="237"/>
  <c r="C77" i="237" s="1"/>
  <c r="K51" i="259"/>
  <c r="C77" i="259" s="1"/>
  <c r="K51" i="303"/>
  <c r="C77" i="303" s="1"/>
  <c r="K51" i="313"/>
  <c r="C77" i="313" s="1"/>
  <c r="K51" i="245"/>
  <c r="C77" i="245" s="1"/>
  <c r="K51" i="263"/>
  <c r="C77" i="263" s="1"/>
  <c r="AZ94" i="320"/>
  <c r="K51" i="229"/>
  <c r="C77" i="229" s="1"/>
  <c r="BA94" i="320"/>
  <c r="I139" i="259"/>
  <c r="BN91" i="320"/>
  <c r="BP46" i="320"/>
  <c r="BP34" i="320"/>
  <c r="BP32" i="320"/>
  <c r="L51" i="258"/>
  <c r="C78" i="258" s="1"/>
  <c r="BP74" i="320"/>
  <c r="BP40" i="320"/>
  <c r="L51" i="266"/>
  <c r="C78" i="266" s="1"/>
  <c r="BP64" i="320"/>
  <c r="BP20" i="320"/>
  <c r="BP14" i="320"/>
  <c r="BP42" i="320"/>
  <c r="BO50" i="320"/>
  <c r="BQ79" i="320"/>
  <c r="M51" i="305"/>
  <c r="C79" i="305" s="1"/>
  <c r="BQ11" i="320"/>
  <c r="M51" i="236"/>
  <c r="C79" i="236" s="1"/>
  <c r="BQ55" i="320"/>
  <c r="M51" i="281"/>
  <c r="C79" i="281" s="1"/>
  <c r="BQ49" i="320"/>
  <c r="M51" i="275"/>
  <c r="C79" i="275" s="1"/>
  <c r="BQ37" i="320"/>
  <c r="M51" i="263"/>
  <c r="C79" i="263" s="1"/>
  <c r="BQ23" i="320"/>
  <c r="M51" i="249"/>
  <c r="C79" i="249" s="1"/>
  <c r="BQ83" i="320"/>
  <c r="M51" i="309"/>
  <c r="C79" i="309" s="1"/>
  <c r="BQ53" i="320"/>
  <c r="M51" i="279"/>
  <c r="C79" i="279" s="1"/>
  <c r="BP90" i="320"/>
  <c r="BQ33" i="320"/>
  <c r="M51" i="259"/>
  <c r="C79" i="259" s="1"/>
  <c r="BQ77" i="320"/>
  <c r="M51" i="303"/>
  <c r="C79" i="303" s="1"/>
  <c r="BQ5" i="320"/>
  <c r="M51" i="230"/>
  <c r="C79" i="230" s="1"/>
  <c r="BQ85" i="320"/>
  <c r="M51" i="311"/>
  <c r="C79" i="311" s="1"/>
  <c r="BQ25" i="320"/>
  <c r="M51" i="251"/>
  <c r="C79" i="251" s="1"/>
  <c r="BQ17" i="320"/>
  <c r="M51" i="243"/>
  <c r="C79" i="243" s="1"/>
  <c r="BP48" i="320"/>
  <c r="BP76" i="320"/>
  <c r="L51" i="302"/>
  <c r="C78" i="302" s="1"/>
  <c r="BP24" i="320"/>
  <c r="BP66" i="320"/>
  <c r="L51" i="292"/>
  <c r="C78" i="292" s="1"/>
  <c r="BP78" i="320"/>
  <c r="L51" i="304"/>
  <c r="C78" i="304" s="1"/>
  <c r="BP10" i="320"/>
  <c r="L51" i="235"/>
  <c r="C78" i="235" s="1"/>
  <c r="BP62" i="320"/>
  <c r="BP8" i="320"/>
  <c r="BP60" i="320"/>
  <c r="L51" i="286"/>
  <c r="C78" i="286" s="1"/>
  <c r="BP58" i="320"/>
  <c r="L51" i="284"/>
  <c r="C78" i="284" s="1"/>
  <c r="BP22" i="320"/>
  <c r="BP12" i="320"/>
  <c r="L51" i="237"/>
  <c r="C78" i="237" s="1"/>
  <c r="BP54" i="320"/>
  <c r="L51" i="280"/>
  <c r="C78" i="280" s="1"/>
  <c r="BP52" i="320"/>
  <c r="BQ51" i="320"/>
  <c r="M51" i="277"/>
  <c r="C79" i="277" s="1"/>
  <c r="BQ21" i="320"/>
  <c r="M51" i="247"/>
  <c r="C79" i="247" s="1"/>
  <c r="BQ65" i="320"/>
  <c r="M51" i="291"/>
  <c r="C79" i="291" s="1"/>
  <c r="BQ15" i="320"/>
  <c r="M51" i="241"/>
  <c r="C79" i="241" s="1"/>
  <c r="BP26" i="320"/>
  <c r="BP30" i="320"/>
  <c r="BP70" i="320"/>
  <c r="BP82" i="320"/>
  <c r="BP86" i="320"/>
  <c r="L51" i="312"/>
  <c r="C78" i="312" s="1"/>
  <c r="BP6" i="320"/>
  <c r="BQ19" i="320"/>
  <c r="M51" i="245"/>
  <c r="C79" i="245" s="1"/>
  <c r="BQ9" i="320"/>
  <c r="M51" i="234"/>
  <c r="C79" i="234" s="1"/>
  <c r="BP38" i="320"/>
  <c r="BQ57" i="320"/>
  <c r="M51" i="283"/>
  <c r="C79" i="283" s="1"/>
  <c r="BQ75" i="320"/>
  <c r="M51" i="301"/>
  <c r="C79" i="301" s="1"/>
  <c r="BQ87" i="320"/>
  <c r="M51" i="313"/>
  <c r="C79" i="313" s="1"/>
  <c r="BP68" i="320"/>
  <c r="BP88" i="320"/>
  <c r="BP84" i="320"/>
  <c r="BP44" i="320"/>
  <c r="L51" i="270"/>
  <c r="C78" i="270" s="1"/>
  <c r="BP18" i="320"/>
  <c r="L51" i="244"/>
  <c r="C78" i="244" s="1"/>
  <c r="BP28" i="320"/>
  <c r="BP72" i="320"/>
  <c r="BQ41" i="320"/>
  <c r="M51" i="267"/>
  <c r="C79" i="267" s="1"/>
  <c r="BQ35" i="320"/>
  <c r="M51" i="261"/>
  <c r="C79" i="261" s="1"/>
  <c r="BQ59" i="320"/>
  <c r="M51" i="285"/>
  <c r="C79" i="285" s="1"/>
  <c r="BQ63" i="320"/>
  <c r="M51" i="289"/>
  <c r="C79" i="289" s="1"/>
  <c r="BQ73" i="320"/>
  <c r="M51" i="299"/>
  <c r="C79" i="299" s="1"/>
  <c r="BQ31" i="320"/>
  <c r="M51" i="257"/>
  <c r="C79" i="257" s="1"/>
  <c r="BQ67" i="320"/>
  <c r="M51" i="293"/>
  <c r="C79" i="293" s="1"/>
  <c r="BQ71" i="320"/>
  <c r="M51" i="297"/>
  <c r="C79" i="297" s="1"/>
  <c r="BQ61" i="320"/>
  <c r="M51" i="287"/>
  <c r="C79" i="287" s="1"/>
  <c r="BQ39" i="320"/>
  <c r="M51" i="265"/>
  <c r="C79" i="265" s="1"/>
  <c r="BQ43" i="320"/>
  <c r="M51" i="269"/>
  <c r="C79" i="269" s="1"/>
  <c r="BQ27" i="320"/>
  <c r="M51" i="253"/>
  <c r="C79" i="253" s="1"/>
  <c r="BQ7" i="320"/>
  <c r="M51" i="232"/>
  <c r="C79" i="232" s="1"/>
  <c r="BQ69" i="320"/>
  <c r="M51" i="295"/>
  <c r="C79" i="295" s="1"/>
  <c r="BQ81" i="320"/>
  <c r="M51" i="307"/>
  <c r="C79" i="307" s="1"/>
  <c r="BQ29" i="320"/>
  <c r="M51" i="255"/>
  <c r="C79" i="255" s="1"/>
  <c r="BQ13" i="320"/>
  <c r="M51" i="239"/>
  <c r="C79" i="239" s="1"/>
  <c r="BP56" i="320"/>
  <c r="L51" i="282"/>
  <c r="C78" i="282" s="1"/>
  <c r="BP36" i="320"/>
  <c r="L51" i="262"/>
  <c r="C78" i="262" s="1"/>
  <c r="BP16" i="320"/>
  <c r="L51" i="242"/>
  <c r="BP80" i="320"/>
  <c r="L51" i="306"/>
  <c r="C78" i="306" s="1"/>
  <c r="BP50" i="320"/>
  <c r="BQ45" i="320"/>
  <c r="M51" i="271"/>
  <c r="C79" i="271" s="1"/>
  <c r="L51" i="274"/>
  <c r="C78" i="274" s="1"/>
  <c r="J172" i="274"/>
  <c r="K51" i="302"/>
  <c r="C77" i="302" s="1"/>
  <c r="L51" i="314"/>
  <c r="C78" i="314" s="1"/>
  <c r="J172" i="314"/>
  <c r="K51" i="304"/>
  <c r="C77" i="304" s="1"/>
  <c r="J51" i="270"/>
  <c r="C76" i="270" s="1"/>
  <c r="J51" i="233"/>
  <c r="C76" i="233" s="1"/>
  <c r="J172" i="233"/>
  <c r="K51" i="286"/>
  <c r="C77" i="286" s="1"/>
  <c r="K51" i="284"/>
  <c r="C77" i="284" s="1"/>
  <c r="J172" i="284"/>
  <c r="J51" i="248"/>
  <c r="C76" i="248" s="1"/>
  <c r="J172" i="248"/>
  <c r="J51" i="237"/>
  <c r="C76" i="237" s="1"/>
  <c r="J172" i="237"/>
  <c r="M51" i="229"/>
  <c r="C79" i="229" s="1"/>
  <c r="J172" i="229"/>
  <c r="J51" i="252"/>
  <c r="C76" i="252" s="1"/>
  <c r="J51" i="272"/>
  <c r="C76" i="272" s="1"/>
  <c r="J172" i="272"/>
  <c r="K51" i="282"/>
  <c r="C77" i="282" s="1"/>
  <c r="J172" i="282"/>
  <c r="L51" i="260"/>
  <c r="C78" i="260" s="1"/>
  <c r="J172" i="260"/>
  <c r="K51" i="262"/>
  <c r="C77" i="262" s="1"/>
  <c r="J172" i="262"/>
  <c r="J51" i="256"/>
  <c r="C76" i="256" s="1"/>
  <c r="J172" i="256"/>
  <c r="J51" i="258"/>
  <c r="C76" i="258" s="1"/>
  <c r="J172" i="258"/>
  <c r="J51" i="300"/>
  <c r="C76" i="300" s="1"/>
  <c r="J51" i="296"/>
  <c r="C76" i="296" s="1"/>
  <c r="J51" i="308"/>
  <c r="C76" i="308" s="1"/>
  <c r="J51" i="290"/>
  <c r="C76" i="290" s="1"/>
  <c r="J172" i="290"/>
  <c r="J51" i="246"/>
  <c r="C76" i="246" s="1"/>
  <c r="J172" i="246"/>
  <c r="K51" i="312"/>
  <c r="C77" i="312" s="1"/>
  <c r="J172" i="312"/>
  <c r="L51" i="276"/>
  <c r="C78" i="276" s="1"/>
  <c r="J172" i="276"/>
  <c r="J51" i="240"/>
  <c r="C76" i="240" s="1"/>
  <c r="J172" i="240"/>
  <c r="J51" i="268"/>
  <c r="C76" i="268" s="1"/>
  <c r="J172" i="231"/>
  <c r="J51" i="294"/>
  <c r="C76" i="294" s="1"/>
  <c r="J172" i="294"/>
  <c r="J51" i="250"/>
  <c r="C76" i="250" s="1"/>
  <c r="K51" i="292"/>
  <c r="C77" i="292" s="1"/>
  <c r="J172" i="292"/>
  <c r="L51" i="310"/>
  <c r="C78" i="310" s="1"/>
  <c r="J172" i="310"/>
  <c r="K51" i="235"/>
  <c r="C77" i="235" s="1"/>
  <c r="J172" i="235"/>
  <c r="L51" i="288"/>
  <c r="C78" i="288" s="1"/>
  <c r="J172" i="288"/>
  <c r="J51" i="244"/>
  <c r="C76" i="244" s="1"/>
  <c r="J172" i="244"/>
  <c r="J51" i="254"/>
  <c r="C76" i="254" s="1"/>
  <c r="L51" i="298"/>
  <c r="C78" i="298" s="1"/>
  <c r="K51" i="280"/>
  <c r="C77" i="280" s="1"/>
  <c r="J172" i="280"/>
  <c r="L51" i="278"/>
  <c r="C78" i="278" s="1"/>
  <c r="O51" i="229"/>
  <c r="C81" i="229" s="1"/>
  <c r="P51" i="229"/>
  <c r="C82" i="229" s="1"/>
  <c r="N51" i="229"/>
  <c r="C80" i="229" s="1"/>
  <c r="BP4" i="320"/>
  <c r="I139" i="262"/>
  <c r="I139" i="253"/>
  <c r="C72" i="239"/>
  <c r="M172" i="239"/>
  <c r="C71" i="290"/>
  <c r="L172" i="290"/>
  <c r="I139" i="278"/>
  <c r="C72" i="230"/>
  <c r="M172" i="230"/>
  <c r="C70" i="284"/>
  <c r="K172" i="284"/>
  <c r="C72" i="290"/>
  <c r="M172" i="290"/>
  <c r="C71" i="246"/>
  <c r="L172" i="246"/>
  <c r="I139" i="316"/>
  <c r="I139" i="287"/>
  <c r="D139" i="283"/>
  <c r="I139" i="263"/>
  <c r="J172" i="230"/>
  <c r="I139" i="269"/>
  <c r="I139" i="313"/>
  <c r="I139" i="266"/>
  <c r="I139" i="244"/>
  <c r="I139" i="314"/>
  <c r="I139" i="312"/>
  <c r="I139" i="298"/>
  <c r="I139" i="296"/>
  <c r="AG91" i="320"/>
  <c r="H51" i="242"/>
  <c r="C74" i="242" s="1"/>
  <c r="BA91" i="320"/>
  <c r="AH91" i="320"/>
  <c r="J172" i="275"/>
  <c r="J172" i="255"/>
  <c r="J172" i="259"/>
  <c r="J172" i="277"/>
  <c r="J172" i="243"/>
  <c r="J172" i="249"/>
  <c r="J172" i="285"/>
  <c r="J172" i="265"/>
  <c r="J172" i="287"/>
  <c r="J172" i="281"/>
  <c r="J172" i="239"/>
  <c r="J172" i="252"/>
  <c r="J172" i="269"/>
  <c r="J172" i="253"/>
  <c r="J172" i="271"/>
  <c r="J172" i="232"/>
  <c r="J172" i="266"/>
  <c r="J172" i="289"/>
  <c r="J172" i="245"/>
  <c r="J172" i="236"/>
  <c r="J172" i="313"/>
  <c r="J172" i="291"/>
  <c r="J172" i="315"/>
  <c r="D139" i="232" l="1"/>
  <c r="D139" i="279"/>
  <c r="E104" i="287"/>
  <c r="F105" i="287" s="1"/>
  <c r="G106" i="287" s="1"/>
  <c r="H107" i="287" s="1"/>
  <c r="I108" i="287" s="1"/>
  <c r="J51" i="280"/>
  <c r="C76" i="280" s="1"/>
  <c r="J51" i="288"/>
  <c r="C76" i="288" s="1"/>
  <c r="J51" i="302"/>
  <c r="C76" i="302" s="1"/>
  <c r="J51" i="314"/>
  <c r="C76" i="314" s="1"/>
  <c r="J51" i="310"/>
  <c r="C76" i="310" s="1"/>
  <c r="J51" i="260"/>
  <c r="C76" i="260" s="1"/>
  <c r="J51" i="312"/>
  <c r="C76" i="312" s="1"/>
  <c r="J51" i="235"/>
  <c r="C76" i="235" s="1"/>
  <c r="L51" i="316"/>
  <c r="C78" i="316" s="1"/>
  <c r="J51" i="316"/>
  <c r="C76" i="316" s="1"/>
  <c r="K51" i="306"/>
  <c r="C77" i="306" s="1"/>
  <c r="J51" i="306"/>
  <c r="C76" i="306" s="1"/>
  <c r="K51" i="266"/>
  <c r="C77" i="266" s="1"/>
  <c r="J51" i="266"/>
  <c r="C76" i="266" s="1"/>
  <c r="J51" i="298"/>
  <c r="C76" i="298" s="1"/>
  <c r="J51" i="286"/>
  <c r="C76" i="286" s="1"/>
  <c r="J51" i="282"/>
  <c r="C76" i="282" s="1"/>
  <c r="J51" i="262"/>
  <c r="C76" i="262" s="1"/>
  <c r="J51" i="292"/>
  <c r="C76" i="292" s="1"/>
  <c r="L51" i="231"/>
  <c r="C78" i="231" s="1"/>
  <c r="J51" i="231"/>
  <c r="C76" i="231" s="1"/>
  <c r="J51" i="276"/>
  <c r="C76" i="276" s="1"/>
  <c r="J51" i="278"/>
  <c r="C76" i="278" s="1"/>
  <c r="J51" i="274"/>
  <c r="C76" i="274" s="1"/>
  <c r="J51" i="229"/>
  <c r="C76" i="229" s="1"/>
  <c r="J51" i="284"/>
  <c r="C76" i="284" s="1"/>
  <c r="J51" i="304"/>
  <c r="C76" i="304" s="1"/>
  <c r="L51" i="254"/>
  <c r="C78" i="254" s="1"/>
  <c r="K51" i="254"/>
  <c r="C77" i="254" s="1"/>
  <c r="L51" i="268"/>
  <c r="C78" i="268" s="1"/>
  <c r="K51" i="268"/>
  <c r="C77" i="268" s="1"/>
  <c r="J51" i="242"/>
  <c r="C76" i="242" s="1"/>
  <c r="I51" i="242"/>
  <c r="C75" i="242" s="1"/>
  <c r="L51" i="250"/>
  <c r="C78" i="250" s="1"/>
  <c r="K51" i="250"/>
  <c r="C77" i="250" s="1"/>
  <c r="L51" i="294"/>
  <c r="C78" i="294" s="1"/>
  <c r="K51" i="294"/>
  <c r="C77" i="294" s="1"/>
  <c r="L51" i="252"/>
  <c r="C78" i="252" s="1"/>
  <c r="K51" i="252"/>
  <c r="C77" i="252" s="1"/>
  <c r="K51" i="310"/>
  <c r="C77" i="310" s="1"/>
  <c r="K51" i="314"/>
  <c r="C77" i="314" s="1"/>
  <c r="K51" i="298"/>
  <c r="C77" i="298" s="1"/>
  <c r="K51" i="231"/>
  <c r="C77" i="231" s="1"/>
  <c r="L51" i="246"/>
  <c r="C78" i="246" s="1"/>
  <c r="K51" i="246"/>
  <c r="C77" i="246" s="1"/>
  <c r="L51" i="308"/>
  <c r="C78" i="308" s="1"/>
  <c r="K51" i="308"/>
  <c r="C77" i="308" s="1"/>
  <c r="L51" i="300"/>
  <c r="C78" i="300" s="1"/>
  <c r="K51" i="300"/>
  <c r="C77" i="300" s="1"/>
  <c r="L51" i="256"/>
  <c r="C78" i="256" s="1"/>
  <c r="K51" i="256"/>
  <c r="C77" i="256" s="1"/>
  <c r="L51" i="272"/>
  <c r="C78" i="272" s="1"/>
  <c r="K51" i="272"/>
  <c r="C77" i="272" s="1"/>
  <c r="L51" i="233"/>
  <c r="C78" i="233" s="1"/>
  <c r="K51" i="233"/>
  <c r="C77" i="233" s="1"/>
  <c r="L51" i="290"/>
  <c r="C78" i="290" s="1"/>
  <c r="K51" i="290"/>
  <c r="C77" i="290" s="1"/>
  <c r="L51" i="296"/>
  <c r="C78" i="296" s="1"/>
  <c r="K51" i="296"/>
  <c r="C77" i="296" s="1"/>
  <c r="L51" i="248"/>
  <c r="C78" i="248" s="1"/>
  <c r="K51" i="248"/>
  <c r="C77" i="248" s="1"/>
  <c r="L51" i="240"/>
  <c r="C78" i="240" s="1"/>
  <c r="K51" i="240"/>
  <c r="C77" i="240" s="1"/>
  <c r="K51" i="260"/>
  <c r="C77" i="260" s="1"/>
  <c r="K51" i="316"/>
  <c r="C77" i="316" s="1"/>
  <c r="K51" i="278"/>
  <c r="C77" i="278" s="1"/>
  <c r="K51" i="276"/>
  <c r="C77" i="276" s="1"/>
  <c r="K51" i="288"/>
  <c r="C77" i="288" s="1"/>
  <c r="L51" i="229"/>
  <c r="C78" i="229" s="1"/>
  <c r="BP91" i="320"/>
  <c r="BQ54" i="320"/>
  <c r="M51" i="280"/>
  <c r="C79" i="280" s="1"/>
  <c r="BQ18" i="320"/>
  <c r="M51" i="244"/>
  <c r="C79" i="244" s="1"/>
  <c r="BQ66" i="320"/>
  <c r="M51" i="292"/>
  <c r="C79" i="292" s="1"/>
  <c r="BQ86" i="320"/>
  <c r="M51" i="312"/>
  <c r="C79" i="312" s="1"/>
  <c r="BQ32" i="320"/>
  <c r="M51" i="258"/>
  <c r="C79" i="258" s="1"/>
  <c r="BQ36" i="320"/>
  <c r="M51" i="262"/>
  <c r="C79" i="262" s="1"/>
  <c r="BQ78" i="320"/>
  <c r="M51" i="304"/>
  <c r="C79" i="304" s="1"/>
  <c r="BQ68" i="320"/>
  <c r="M51" i="294"/>
  <c r="C79" i="294" s="1"/>
  <c r="BQ80" i="320"/>
  <c r="M51" i="306"/>
  <c r="C79" i="306" s="1"/>
  <c r="BQ40" i="320"/>
  <c r="M51" i="266"/>
  <c r="C79" i="266" s="1"/>
  <c r="BQ26" i="320"/>
  <c r="M51" i="252"/>
  <c r="C79" i="252" s="1"/>
  <c r="BQ12" i="320"/>
  <c r="M51" i="237"/>
  <c r="C79" i="237" s="1"/>
  <c r="BQ58" i="320"/>
  <c r="M51" i="284"/>
  <c r="C79" i="284" s="1"/>
  <c r="BQ44" i="320"/>
  <c r="M51" i="270"/>
  <c r="C79" i="270" s="1"/>
  <c r="BQ76" i="320"/>
  <c r="M51" i="302"/>
  <c r="C79" i="302" s="1"/>
  <c r="BQ10" i="320"/>
  <c r="M51" i="235"/>
  <c r="C79" i="235" s="1"/>
  <c r="BQ14" i="320"/>
  <c r="M51" i="240"/>
  <c r="C79" i="240" s="1"/>
  <c r="BQ16" i="320"/>
  <c r="M51" i="242"/>
  <c r="C79" i="242" s="1"/>
  <c r="BQ56" i="320"/>
  <c r="M51" i="282"/>
  <c r="C79" i="282" s="1"/>
  <c r="BQ60" i="320"/>
  <c r="M51" i="286"/>
  <c r="C79" i="286" s="1"/>
  <c r="BO16" i="320"/>
  <c r="BO91" i="320" s="1"/>
  <c r="K51" i="242"/>
  <c r="C77" i="242" s="1"/>
  <c r="BQ52" i="320"/>
  <c r="M51" i="278"/>
  <c r="C79" i="278" s="1"/>
  <c r="BQ28" i="320"/>
  <c r="M51" i="254"/>
  <c r="C79" i="254" s="1"/>
  <c r="BQ62" i="320"/>
  <c r="M51" i="288"/>
  <c r="C79" i="288" s="1"/>
  <c r="BQ84" i="320"/>
  <c r="M51" i="310"/>
  <c r="C79" i="310" s="1"/>
  <c r="BQ42" i="320"/>
  <c r="M51" i="268"/>
  <c r="C79" i="268" s="1"/>
  <c r="BQ50" i="320"/>
  <c r="M51" i="276"/>
  <c r="C79" i="276" s="1"/>
  <c r="BQ20" i="320"/>
  <c r="M51" i="246"/>
  <c r="C79" i="246" s="1"/>
  <c r="BQ82" i="320"/>
  <c r="M51" i="308"/>
  <c r="C79" i="308" s="1"/>
  <c r="BQ74" i="320"/>
  <c r="M51" i="300"/>
  <c r="C79" i="300" s="1"/>
  <c r="BQ30" i="320"/>
  <c r="M51" i="256"/>
  <c r="C79" i="256" s="1"/>
  <c r="BQ34" i="320"/>
  <c r="M51" i="260"/>
  <c r="C79" i="260" s="1"/>
  <c r="BQ46" i="320"/>
  <c r="M51" i="272"/>
  <c r="C79" i="272" s="1"/>
  <c r="BQ8" i="320"/>
  <c r="M51" i="233"/>
  <c r="C79" i="233" s="1"/>
  <c r="BQ88" i="320"/>
  <c r="M51" i="314"/>
  <c r="C79" i="314" s="1"/>
  <c r="BQ4" i="320"/>
  <c r="BQ90" i="320"/>
  <c r="M51" i="316"/>
  <c r="C79" i="316" s="1"/>
  <c r="BQ72" i="320"/>
  <c r="M51" i="298"/>
  <c r="C79" i="298" s="1"/>
  <c r="BQ24" i="320"/>
  <c r="M51" i="250"/>
  <c r="C79" i="250" s="1"/>
  <c r="BQ6" i="320"/>
  <c r="M51" i="231"/>
  <c r="C79" i="231" s="1"/>
  <c r="BQ64" i="320"/>
  <c r="M51" i="290"/>
  <c r="C79" i="290" s="1"/>
  <c r="BQ70" i="320"/>
  <c r="M51" i="296"/>
  <c r="C79" i="296" s="1"/>
  <c r="BQ22" i="320"/>
  <c r="M51" i="248"/>
  <c r="C79" i="248" s="1"/>
  <c r="BQ48" i="320"/>
  <c r="M51" i="274"/>
  <c r="C79" i="274" s="1"/>
  <c r="Q51" i="229"/>
  <c r="C83" i="229" s="1"/>
  <c r="J172" i="264"/>
  <c r="C78" i="242"/>
  <c r="C72" i="310"/>
  <c r="M172" i="310"/>
  <c r="C72" i="258"/>
  <c r="M172" i="258"/>
  <c r="C72" i="233"/>
  <c r="M172" i="233"/>
  <c r="C72" i="256"/>
  <c r="M172" i="256"/>
  <c r="C70" i="262"/>
  <c r="K172" i="262"/>
  <c r="C70" i="264"/>
  <c r="K172" i="264"/>
  <c r="C71" i="237"/>
  <c r="L172" i="237"/>
  <c r="C71" i="292"/>
  <c r="L172" i="292"/>
  <c r="C70" i="233"/>
  <c r="K172" i="233"/>
  <c r="C70" i="232"/>
  <c r="K172" i="232"/>
  <c r="C71" i="313"/>
  <c r="L172" i="313"/>
  <c r="C72" i="312"/>
  <c r="M172" i="312"/>
  <c r="C72" i="250"/>
  <c r="M172" i="250"/>
  <c r="C71" i="260"/>
  <c r="L172" i="260"/>
  <c r="C71" i="259"/>
  <c r="L172" i="259"/>
  <c r="C72" i="234"/>
  <c r="M172" i="234"/>
  <c r="C72" i="271"/>
  <c r="M172" i="271"/>
  <c r="C72" i="286"/>
  <c r="M172" i="286"/>
  <c r="C72" i="315"/>
  <c r="M172" i="315"/>
  <c r="C72" i="254"/>
  <c r="M172" i="254"/>
  <c r="C70" i="266"/>
  <c r="K172" i="266"/>
  <c r="C71" i="262"/>
  <c r="L172" i="262"/>
  <c r="C71" i="251"/>
  <c r="L172" i="251"/>
  <c r="C70" i="272"/>
  <c r="K172" i="272"/>
  <c r="C71" i="279"/>
  <c r="L172" i="279"/>
  <c r="C71" i="280"/>
  <c r="L172" i="280"/>
  <c r="C72" i="292"/>
  <c r="M172" i="292"/>
  <c r="C71" i="254"/>
  <c r="L172" i="254"/>
  <c r="C72" i="287"/>
  <c r="M172" i="287"/>
  <c r="C70" i="261"/>
  <c r="K172" i="261"/>
  <c r="C72" i="240"/>
  <c r="M172" i="240"/>
  <c r="C70" i="288"/>
  <c r="K172" i="288"/>
  <c r="C70" i="251"/>
  <c r="K172" i="251"/>
  <c r="C71" i="287"/>
  <c r="L172" i="287"/>
  <c r="C70" i="247"/>
  <c r="K172" i="247"/>
  <c r="C70" i="289"/>
  <c r="K172" i="289"/>
  <c r="C71" i="289"/>
  <c r="L172" i="289"/>
  <c r="C72" i="245"/>
  <c r="M172" i="245"/>
  <c r="C72" i="314"/>
  <c r="M172" i="314"/>
  <c r="C72" i="288"/>
  <c r="M172" i="288"/>
  <c r="C70" i="282"/>
  <c r="K172" i="282"/>
  <c r="C72" i="237"/>
  <c r="M172" i="237"/>
  <c r="C70" i="234"/>
  <c r="K172" i="234"/>
  <c r="C72" i="242"/>
  <c r="M172" i="242"/>
  <c r="C72" i="253"/>
  <c r="M172" i="253"/>
  <c r="C70" i="241"/>
  <c r="K172" i="241"/>
  <c r="C71" i="256"/>
  <c r="L172" i="256"/>
  <c r="C71" i="253"/>
  <c r="L172" i="253"/>
  <c r="C71" i="315"/>
  <c r="L172" i="315"/>
  <c r="C70" i="271"/>
  <c r="K172" i="271"/>
  <c r="C70" i="292"/>
  <c r="K172" i="292"/>
  <c r="C70" i="253"/>
  <c r="K172" i="253"/>
  <c r="C70" i="244"/>
  <c r="K172" i="244"/>
  <c r="C70" i="231"/>
  <c r="K172" i="231"/>
  <c r="C71" i="232"/>
  <c r="L172" i="232"/>
  <c r="C70" i="310"/>
  <c r="K172" i="310"/>
  <c r="C72" i="281"/>
  <c r="M172" i="281"/>
  <c r="C71" i="310"/>
  <c r="L172" i="310"/>
  <c r="C71" i="247"/>
  <c r="L172" i="247"/>
  <c r="C71" i="239"/>
  <c r="L172" i="239"/>
  <c r="C72" i="257"/>
  <c r="M172" i="257"/>
  <c r="C71" i="281"/>
  <c r="L172" i="281"/>
  <c r="C71" i="316"/>
  <c r="L172" i="316"/>
  <c r="C72" i="267"/>
  <c r="M172" i="267"/>
  <c r="C71" i="295"/>
  <c r="L172" i="295"/>
  <c r="C72" i="255"/>
  <c r="M172" i="255"/>
  <c r="C70" i="230"/>
  <c r="K172" i="230"/>
  <c r="C72" i="295"/>
  <c r="M172" i="295"/>
  <c r="C71" i="243"/>
  <c r="L172" i="243"/>
  <c r="C72" i="241"/>
  <c r="M172" i="241"/>
  <c r="C72" i="275"/>
  <c r="M172" i="275"/>
  <c r="C70" i="242"/>
  <c r="K172" i="242"/>
  <c r="C70" i="254"/>
  <c r="K172" i="254"/>
  <c r="C72" i="235"/>
  <c r="M172" i="235"/>
  <c r="C71" i="244"/>
  <c r="L172" i="244"/>
  <c r="C71" i="231"/>
  <c r="L172" i="231"/>
  <c r="C71" i="271"/>
  <c r="L172" i="271"/>
  <c r="C71" i="282"/>
  <c r="L172" i="282"/>
  <c r="C70" i="258"/>
  <c r="K172" i="258"/>
  <c r="C71" i="283"/>
  <c r="L172" i="283"/>
  <c r="C72" i="243"/>
  <c r="M172" i="243"/>
  <c r="C70" i="256"/>
  <c r="K172" i="256"/>
  <c r="C71" i="233"/>
  <c r="L172" i="233"/>
  <c r="C70" i="239"/>
  <c r="K172" i="239"/>
  <c r="C70" i="268"/>
  <c r="K172" i="268"/>
  <c r="C72" i="261"/>
  <c r="M172" i="261"/>
  <c r="C72" i="284"/>
  <c r="M172" i="284"/>
  <c r="C71" i="276"/>
  <c r="L172" i="276"/>
  <c r="C70" i="249"/>
  <c r="K172" i="249"/>
  <c r="C70" i="260"/>
  <c r="K172" i="260"/>
  <c r="C70" i="285"/>
  <c r="K172" i="285"/>
  <c r="C70" i="276"/>
  <c r="K172" i="276"/>
  <c r="C71" i="314"/>
  <c r="L172" i="314"/>
  <c r="C72" i="277"/>
  <c r="M172" i="277"/>
  <c r="C72" i="278"/>
  <c r="M172" i="278"/>
  <c r="C71" i="272"/>
  <c r="L172" i="272"/>
  <c r="C72" i="262"/>
  <c r="M172" i="262"/>
  <c r="C72" i="232"/>
  <c r="M172" i="232"/>
  <c r="C71" i="258"/>
  <c r="L172" i="258"/>
  <c r="C71" i="245"/>
  <c r="L172" i="245"/>
  <c r="C72" i="272"/>
  <c r="M172" i="272"/>
  <c r="C72" i="252"/>
  <c r="M172" i="252"/>
  <c r="C70" i="274"/>
  <c r="K172" i="274"/>
  <c r="C71" i="275"/>
  <c r="L172" i="275"/>
  <c r="C70" i="236"/>
  <c r="K172" i="236"/>
  <c r="C70" i="280"/>
  <c r="K172" i="280"/>
  <c r="C71" i="284"/>
  <c r="L172" i="284"/>
  <c r="C70" i="277"/>
  <c r="K172" i="277"/>
  <c r="C70" i="246"/>
  <c r="K172" i="246"/>
  <c r="C70" i="235"/>
  <c r="K172" i="235"/>
  <c r="C72" i="259"/>
  <c r="M172" i="259"/>
  <c r="C70" i="314"/>
  <c r="K172" i="314"/>
  <c r="C71" i="230"/>
  <c r="L172" i="230"/>
  <c r="C72" i="289"/>
  <c r="M172" i="289"/>
  <c r="C72" i="274"/>
  <c r="M172" i="274"/>
  <c r="C72" i="280"/>
  <c r="M172" i="280"/>
  <c r="C72" i="264"/>
  <c r="M172" i="264"/>
  <c r="C71" i="236"/>
  <c r="L172" i="236"/>
  <c r="C72" i="266"/>
  <c r="M172" i="266"/>
  <c r="C71" i="278"/>
  <c r="L172" i="278"/>
  <c r="C71" i="264"/>
  <c r="L172" i="264"/>
  <c r="C72" i="282"/>
  <c r="M172" i="282"/>
  <c r="C70" i="237"/>
  <c r="K172" i="237"/>
  <c r="C71" i="250"/>
  <c r="L172" i="250"/>
  <c r="C71" i="266"/>
  <c r="L172" i="266"/>
  <c r="C72" i="231"/>
  <c r="M172" i="231"/>
  <c r="C70" i="240"/>
  <c r="K172" i="240"/>
  <c r="C70" i="257"/>
  <c r="K172" i="257"/>
  <c r="C71" i="269"/>
  <c r="L172" i="269"/>
  <c r="C70" i="286"/>
  <c r="K172" i="286"/>
  <c r="C72" i="260"/>
  <c r="M172" i="260"/>
  <c r="C71" i="294"/>
  <c r="L172" i="294"/>
  <c r="C72" i="313"/>
  <c r="M172" i="313"/>
  <c r="C71" i="248"/>
  <c r="L172" i="248"/>
  <c r="C70" i="295"/>
  <c r="K172" i="295"/>
  <c r="C71" i="241"/>
  <c r="L172" i="241"/>
  <c r="C72" i="246"/>
  <c r="M172" i="246"/>
  <c r="C70" i="252"/>
  <c r="K172" i="252"/>
  <c r="C71" i="285"/>
  <c r="L172" i="285"/>
  <c r="C70" i="278"/>
  <c r="K172" i="278"/>
  <c r="C72" i="249"/>
  <c r="M172" i="249"/>
  <c r="C70" i="315"/>
  <c r="K172" i="315"/>
  <c r="C72" i="236"/>
  <c r="M172" i="236"/>
  <c r="C71" i="274"/>
  <c r="L172" i="274"/>
  <c r="C71" i="235"/>
  <c r="L172" i="235"/>
  <c r="C70" i="275"/>
  <c r="K172" i="275"/>
  <c r="C70" i="245"/>
  <c r="K172" i="245"/>
  <c r="C71" i="255"/>
  <c r="L172" i="255"/>
  <c r="C70" i="259"/>
  <c r="K172" i="259"/>
  <c r="C71" i="229"/>
  <c r="L172" i="229"/>
  <c r="F139" i="305"/>
  <c r="H139" i="280"/>
  <c r="AI91" i="320"/>
  <c r="AZ91" i="320"/>
  <c r="D139" i="316"/>
  <c r="I139" i="270"/>
  <c r="D139" i="285"/>
  <c r="F139" i="267"/>
  <c r="G139" i="314"/>
  <c r="J172" i="254"/>
  <c r="I139" i="239"/>
  <c r="F51" i="229"/>
  <c r="I139" i="255"/>
  <c r="F139" i="275"/>
  <c r="H139" i="246"/>
  <c r="F139" i="259"/>
  <c r="I139" i="246"/>
  <c r="I139" i="243"/>
  <c r="J172" i="278"/>
  <c r="I140" i="286"/>
  <c r="J172" i="279"/>
  <c r="D139" i="231"/>
  <c r="F139" i="258"/>
  <c r="H139" i="293"/>
  <c r="I139" i="281"/>
  <c r="I139" i="289"/>
  <c r="J172" i="286"/>
  <c r="I140" i="244"/>
  <c r="I139" i="250"/>
  <c r="G139" i="290"/>
  <c r="H139" i="242"/>
  <c r="I139" i="240"/>
  <c r="D139" i="310"/>
  <c r="D139" i="282"/>
  <c r="I140" i="305"/>
  <c r="E139" i="275"/>
  <c r="E140" i="260"/>
  <c r="F139" i="269"/>
  <c r="G139" i="278"/>
  <c r="I139" i="304"/>
  <c r="G139" i="237"/>
  <c r="I139" i="256"/>
  <c r="H139" i="262"/>
  <c r="H139" i="297"/>
  <c r="F139" i="315"/>
  <c r="G139" i="292"/>
  <c r="G139" i="288"/>
  <c r="H139" i="300"/>
  <c r="I139" i="248"/>
  <c r="I140" i="254"/>
  <c r="H139" i="252"/>
  <c r="I140" i="284"/>
  <c r="E140" i="285"/>
  <c r="G139" i="252"/>
  <c r="I140" i="308"/>
  <c r="D139" i="266"/>
  <c r="I139" i="285"/>
  <c r="H139" i="314"/>
  <c r="I140" i="250"/>
  <c r="H139" i="248"/>
  <c r="G139" i="242"/>
  <c r="I139" i="273"/>
  <c r="F139" i="297"/>
  <c r="F139" i="306"/>
  <c r="D139" i="268"/>
  <c r="D139" i="247"/>
  <c r="I139" i="283"/>
  <c r="I139" i="234"/>
  <c r="I139" i="311"/>
  <c r="I139" i="300"/>
  <c r="I139" i="306"/>
  <c r="I139" i="230"/>
  <c r="H139" i="230"/>
  <c r="I139" i="258"/>
  <c r="I139" i="277"/>
  <c r="F139" i="301"/>
  <c r="G139" i="236"/>
  <c r="G140" i="267"/>
  <c r="F139" i="242"/>
  <c r="G139" i="276"/>
  <c r="J172" i="268"/>
  <c r="D139" i="278"/>
  <c r="H139" i="240"/>
  <c r="I139" i="291"/>
  <c r="I139" i="232"/>
  <c r="G139" i="306"/>
  <c r="F139" i="288"/>
  <c r="G139" i="249"/>
  <c r="I139" i="279"/>
  <c r="I139" i="247"/>
  <c r="E139" i="311"/>
  <c r="H139" i="256"/>
  <c r="F139" i="273"/>
  <c r="H139" i="247"/>
  <c r="I139" i="301"/>
  <c r="D139" i="296"/>
  <c r="J172" i="241"/>
  <c r="I139" i="293"/>
  <c r="I139" i="302"/>
  <c r="I140" i="249"/>
  <c r="G139" i="308"/>
  <c r="F139" i="292"/>
  <c r="G139" i="268"/>
  <c r="I139" i="284"/>
  <c r="F139" i="314"/>
  <c r="E139" i="315"/>
  <c r="I140" i="290"/>
  <c r="H139" i="268"/>
  <c r="I139" i="249"/>
  <c r="F139" i="251"/>
  <c r="I139" i="236"/>
  <c r="G139" i="245"/>
  <c r="F139" i="244"/>
  <c r="I139" i="308"/>
  <c r="F139" i="248"/>
  <c r="I139" i="292"/>
  <c r="I139" i="276"/>
  <c r="D139" i="301"/>
  <c r="I140" i="258"/>
  <c r="G139" i="230"/>
  <c r="F139" i="232"/>
  <c r="H139" i="279"/>
  <c r="I140" i="292"/>
  <c r="I139" i="274"/>
  <c r="D139" i="267"/>
  <c r="I139" i="242"/>
  <c r="I140" i="261"/>
  <c r="F139" i="308"/>
  <c r="G139" i="303"/>
  <c r="G139" i="302"/>
  <c r="H139" i="301"/>
  <c r="I139" i="299"/>
  <c r="H139" i="298"/>
  <c r="H139" i="296"/>
  <c r="J172" i="251"/>
  <c r="J172" i="247"/>
  <c r="J172" i="250"/>
  <c r="J172" i="261"/>
  <c r="J172" i="267"/>
  <c r="J172" i="242"/>
  <c r="D139" i="297"/>
  <c r="J172" i="234"/>
  <c r="J172" i="257"/>
  <c r="J172" i="295"/>
  <c r="D139" i="260"/>
  <c r="J172" i="316"/>
  <c r="F139" i="309"/>
  <c r="G139" i="309"/>
  <c r="I140" i="295"/>
  <c r="D139" i="295"/>
  <c r="I140" i="294"/>
  <c r="F139" i="289"/>
  <c r="D139" i="286"/>
  <c r="G139" i="284"/>
  <c r="F139" i="283"/>
  <c r="J172" i="283"/>
  <c r="F139" i="281"/>
  <c r="I140" i="280"/>
  <c r="I139" i="280"/>
  <c r="F139" i="277"/>
  <c r="I139" i="275"/>
  <c r="I140" i="275"/>
  <c r="D139" i="274"/>
  <c r="I139" i="272"/>
  <c r="I139" i="271"/>
  <c r="I139" i="268"/>
  <c r="I140" i="266"/>
  <c r="I139" i="265"/>
  <c r="I139" i="264"/>
  <c r="I140" i="264"/>
  <c r="D139" i="264"/>
  <c r="G139" i="263"/>
  <c r="I139" i="261"/>
  <c r="F139" i="261"/>
  <c r="G139" i="261"/>
  <c r="H139" i="260"/>
  <c r="I139" i="260"/>
  <c r="G139" i="259"/>
  <c r="D139" i="258"/>
  <c r="I140" i="257"/>
  <c r="I139" i="257"/>
  <c r="I140" i="269"/>
  <c r="F139" i="255"/>
  <c r="I140" i="253"/>
  <c r="D139" i="293"/>
  <c r="G140" i="305"/>
  <c r="H139" i="245"/>
  <c r="I139" i="305"/>
  <c r="F139" i="247"/>
  <c r="I140" i="263"/>
  <c r="I140" i="239"/>
  <c r="I140" i="282"/>
  <c r="H139" i="299"/>
  <c r="I139" i="294"/>
  <c r="I140" i="265"/>
  <c r="I139" i="309"/>
  <c r="G139" i="277"/>
  <c r="G139" i="299"/>
  <c r="H139" i="291"/>
  <c r="J172" i="293"/>
  <c r="G139" i="301"/>
  <c r="F139" i="241"/>
  <c r="H139" i="243"/>
  <c r="I140" i="309"/>
  <c r="H139" i="236"/>
  <c r="I139" i="252"/>
  <c r="G139" i="269"/>
  <c r="F139" i="299"/>
  <c r="I139" i="295"/>
  <c r="I139" i="290"/>
  <c r="I139" i="254"/>
  <c r="G139" i="240"/>
  <c r="F139" i="240"/>
  <c r="D139" i="239"/>
  <c r="I140" i="237"/>
  <c r="I140" i="235"/>
  <c r="D139" i="235"/>
  <c r="D139" i="233"/>
  <c r="G139" i="232"/>
  <c r="F139" i="263"/>
  <c r="I139" i="297"/>
  <c r="I139" i="241"/>
  <c r="E139" i="309"/>
  <c r="D139" i="270"/>
  <c r="G139" i="265"/>
  <c r="F139" i="270"/>
  <c r="F139" i="243"/>
  <c r="I139" i="307"/>
  <c r="F139" i="294"/>
  <c r="I140" i="272"/>
  <c r="H139" i="272"/>
  <c r="E140" i="293"/>
  <c r="J172" i="311"/>
  <c r="D139" i="236"/>
  <c r="I139" i="245"/>
  <c r="D139" i="230"/>
  <c r="I139" i="237"/>
  <c r="E140" i="297"/>
  <c r="D139" i="306"/>
  <c r="D139" i="276"/>
  <c r="I140" i="270"/>
  <c r="H139" i="270"/>
  <c r="I140" i="312"/>
  <c r="H139" i="312"/>
  <c r="G139" i="244"/>
  <c r="I139" i="303"/>
  <c r="F139" i="303"/>
  <c r="D139" i="292"/>
  <c r="F139" i="234"/>
  <c r="D139" i="240"/>
  <c r="D139" i="252"/>
  <c r="I139" i="288"/>
  <c r="D139" i="294"/>
  <c r="D139" i="271"/>
  <c r="G139" i="247"/>
  <c r="G139" i="250"/>
  <c r="F139" i="231"/>
  <c r="I140" i="233"/>
  <c r="H139" i="233"/>
  <c r="I139" i="235"/>
  <c r="D139" i="272"/>
  <c r="I139" i="231"/>
  <c r="E139" i="279"/>
  <c r="D139" i="280"/>
  <c r="D139" i="262"/>
  <c r="D139" i="291"/>
  <c r="I140" i="278"/>
  <c r="H139" i="278"/>
  <c r="D139" i="289"/>
  <c r="F139" i="311"/>
  <c r="D139" i="302"/>
  <c r="G139" i="235"/>
  <c r="F139" i="245"/>
  <c r="I140" i="288"/>
  <c r="H139" i="288"/>
  <c r="E139" i="299"/>
  <c r="F139" i="284"/>
  <c r="H139" i="313"/>
  <c r="I140" i="313"/>
  <c r="G139" i="280"/>
  <c r="F139" i="307"/>
  <c r="I140" i="268"/>
  <c r="I139" i="251"/>
  <c r="I140" i="304"/>
  <c r="H139" i="304"/>
  <c r="E140" i="316"/>
  <c r="I139" i="267"/>
  <c r="G139" i="294"/>
  <c r="G139" i="312"/>
  <c r="G139" i="272"/>
  <c r="F139" i="272"/>
  <c r="D139" i="305"/>
  <c r="F139" i="239"/>
  <c r="H139" i="287"/>
  <c r="I140" i="287"/>
  <c r="D139" i="281"/>
  <c r="I139" i="315"/>
  <c r="D139" i="304"/>
  <c r="E139" i="293"/>
  <c r="D139" i="312"/>
  <c r="D139" i="248"/>
  <c r="I139" i="282"/>
  <c r="J172" i="309"/>
  <c r="F139" i="316"/>
  <c r="I140" i="274"/>
  <c r="H139" i="274"/>
  <c r="I140" i="276"/>
  <c r="H139" i="276"/>
  <c r="D139" i="244"/>
  <c r="I140" i="306"/>
  <c r="H139" i="306"/>
  <c r="G139" i="304"/>
  <c r="E140" i="296"/>
  <c r="I140" i="300"/>
  <c r="D139" i="246"/>
  <c r="D139" i="300"/>
  <c r="D139" i="242"/>
  <c r="D139" i="308"/>
  <c r="I140" i="310"/>
  <c r="H139" i="310"/>
  <c r="D139" i="277"/>
  <c r="F139" i="296"/>
  <c r="G139" i="274"/>
  <c r="D139" i="255"/>
  <c r="D139" i="269"/>
  <c r="D139" i="259"/>
  <c r="D139" i="229"/>
  <c r="G139" i="279"/>
  <c r="I139" i="286"/>
  <c r="K51" i="264" l="1"/>
  <c r="C77" i="264" s="1"/>
  <c r="J51" i="264"/>
  <c r="C76" i="264" s="1"/>
  <c r="BB94" i="320"/>
  <c r="L51" i="264"/>
  <c r="C78" i="264" s="1"/>
  <c r="E140" i="232"/>
  <c r="BQ38" i="320"/>
  <c r="M51" i="264"/>
  <c r="C79" i="264" s="1"/>
  <c r="BB91" i="320"/>
  <c r="E140" i="279"/>
  <c r="E140" i="287"/>
  <c r="C71" i="261"/>
  <c r="L172" i="261"/>
  <c r="C70" i="250"/>
  <c r="K172" i="250"/>
  <c r="C72" i="276"/>
  <c r="M172" i="276"/>
  <c r="C72" i="248"/>
  <c r="M172" i="248"/>
  <c r="C72" i="316"/>
  <c r="M172" i="316"/>
  <c r="C72" i="283"/>
  <c r="M172" i="283"/>
  <c r="C72" i="279"/>
  <c r="M172" i="279"/>
  <c r="C71" i="277"/>
  <c r="L172" i="277"/>
  <c r="C70" i="248"/>
  <c r="K172" i="248"/>
  <c r="C71" i="311"/>
  <c r="L172" i="311"/>
  <c r="C72" i="311"/>
  <c r="M172" i="311"/>
  <c r="C70" i="281"/>
  <c r="K172" i="281"/>
  <c r="C71" i="293"/>
  <c r="L172" i="293"/>
  <c r="C72" i="265"/>
  <c r="M172" i="265"/>
  <c r="C70" i="265"/>
  <c r="K172" i="265"/>
  <c r="C70" i="291"/>
  <c r="K172" i="291"/>
  <c r="C71" i="291"/>
  <c r="L172" i="291"/>
  <c r="C70" i="294"/>
  <c r="K172" i="294"/>
  <c r="C71" i="267"/>
  <c r="L172" i="267"/>
  <c r="C70" i="269"/>
  <c r="K172" i="269"/>
  <c r="C72" i="285"/>
  <c r="M172" i="285"/>
  <c r="C72" i="247"/>
  <c r="M172" i="247"/>
  <c r="E140" i="283"/>
  <c r="C70" i="311"/>
  <c r="K172" i="311"/>
  <c r="C70" i="316"/>
  <c r="K172" i="316"/>
  <c r="C71" i="234"/>
  <c r="L172" i="234"/>
  <c r="C71" i="265"/>
  <c r="L172" i="265"/>
  <c r="C70" i="243"/>
  <c r="K172" i="243"/>
  <c r="C71" i="268"/>
  <c r="L172" i="268"/>
  <c r="C71" i="242"/>
  <c r="L172" i="242"/>
  <c r="C71" i="286"/>
  <c r="L172" i="286"/>
  <c r="C70" i="279"/>
  <c r="K172" i="279"/>
  <c r="C72" i="244"/>
  <c r="M172" i="244"/>
  <c r="C71" i="288"/>
  <c r="L172" i="288"/>
  <c r="C70" i="313"/>
  <c r="K172" i="313"/>
  <c r="C72" i="294"/>
  <c r="M172" i="294"/>
  <c r="C72" i="251"/>
  <c r="M172" i="251"/>
  <c r="C70" i="309"/>
  <c r="K172" i="309"/>
  <c r="C71" i="309"/>
  <c r="L172" i="309"/>
  <c r="C72" i="309"/>
  <c r="M172" i="309"/>
  <c r="C71" i="240"/>
  <c r="L172" i="240"/>
  <c r="C72" i="293"/>
  <c r="M172" i="293"/>
  <c r="C70" i="293"/>
  <c r="K172" i="293"/>
  <c r="C71" i="257"/>
  <c r="L172" i="257"/>
  <c r="C70" i="283"/>
  <c r="K172" i="283"/>
  <c r="C72" i="291"/>
  <c r="M172" i="291"/>
  <c r="C70" i="312"/>
  <c r="K172" i="312"/>
  <c r="C72" i="268"/>
  <c r="M172" i="268"/>
  <c r="C72" i="269"/>
  <c r="M172" i="269"/>
  <c r="C70" i="267"/>
  <c r="K172" i="267"/>
  <c r="C71" i="312"/>
  <c r="L172" i="312"/>
  <c r="C70" i="287"/>
  <c r="K172" i="287"/>
  <c r="C70" i="255"/>
  <c r="K172" i="255"/>
  <c r="C71" i="252"/>
  <c r="L172" i="252"/>
  <c r="C71" i="249"/>
  <c r="L172" i="249"/>
  <c r="C70" i="229"/>
  <c r="K172" i="229"/>
  <c r="C72" i="229"/>
  <c r="M172" i="229"/>
  <c r="G140" i="269"/>
  <c r="F139" i="290"/>
  <c r="G139" i="289"/>
  <c r="G139" i="233"/>
  <c r="I140" i="293"/>
  <c r="I139" i="233"/>
  <c r="H140" i="314"/>
  <c r="G140" i="301"/>
  <c r="F139" i="313"/>
  <c r="I140" i="246"/>
  <c r="E139" i="268"/>
  <c r="I140" i="247"/>
  <c r="I140" i="248"/>
  <c r="H139" i="258"/>
  <c r="I140" i="256"/>
  <c r="I140" i="279"/>
  <c r="F140" i="275"/>
  <c r="G139" i="231"/>
  <c r="H139" i="308"/>
  <c r="E139" i="247"/>
  <c r="F139" i="295"/>
  <c r="F139" i="276"/>
  <c r="F139" i="285"/>
  <c r="I140" i="262"/>
  <c r="F139" i="233"/>
  <c r="G140" i="314"/>
  <c r="G139" i="287"/>
  <c r="H139" i="249"/>
  <c r="I140" i="297"/>
  <c r="F139" i="246"/>
  <c r="E139" i="296"/>
  <c r="F140" i="311"/>
  <c r="F139" i="230"/>
  <c r="I141" i="276"/>
  <c r="H139" i="290"/>
  <c r="H139" i="286"/>
  <c r="G139" i="248"/>
  <c r="H140" i="237"/>
  <c r="H139" i="284"/>
  <c r="D139" i="313"/>
  <c r="F141" i="283"/>
  <c r="H139" i="244"/>
  <c r="G139" i="300"/>
  <c r="H139" i="250"/>
  <c r="H139" i="305"/>
  <c r="G139" i="293"/>
  <c r="I140" i="229"/>
  <c r="I140" i="242"/>
  <c r="E139" i="282"/>
  <c r="I140" i="314"/>
  <c r="E140" i="310"/>
  <c r="H140" i="242"/>
  <c r="E140" i="266"/>
  <c r="E140" i="282"/>
  <c r="I140" i="296"/>
  <c r="F139" i="287"/>
  <c r="H140" i="306"/>
  <c r="I140" i="252"/>
  <c r="D139" i="309"/>
  <c r="H140" i="292"/>
  <c r="H139" i="254"/>
  <c r="G140" i="292"/>
  <c r="F139" i="293"/>
  <c r="G140" i="288"/>
  <c r="F139" i="280"/>
  <c r="F139" i="257"/>
  <c r="H139" i="295"/>
  <c r="H139" i="292"/>
  <c r="H140" i="308"/>
  <c r="G139" i="253"/>
  <c r="H141" i="267"/>
  <c r="D139" i="299"/>
  <c r="H139" i="239"/>
  <c r="F139" i="302"/>
  <c r="I140" i="236"/>
  <c r="F139" i="250"/>
  <c r="G139" i="243"/>
  <c r="H140" i="240"/>
  <c r="H140" i="249"/>
  <c r="E140" i="267"/>
  <c r="G139" i="251"/>
  <c r="F139" i="254"/>
  <c r="G140" i="232"/>
  <c r="F139" i="282"/>
  <c r="I141" i="259"/>
  <c r="H140" i="277"/>
  <c r="I140" i="299"/>
  <c r="I140" i="291"/>
  <c r="G140" i="255"/>
  <c r="H140" i="230"/>
  <c r="I140" i="230"/>
  <c r="H139" i="261"/>
  <c r="G140" i="240"/>
  <c r="H140" i="299"/>
  <c r="G139" i="297"/>
  <c r="G139" i="315"/>
  <c r="F139" i="271"/>
  <c r="H139" i="235"/>
  <c r="G139" i="305"/>
  <c r="G139" i="307"/>
  <c r="G140" i="261"/>
  <c r="I139" i="310"/>
  <c r="G139" i="286"/>
  <c r="I140" i="240"/>
  <c r="I140" i="245"/>
  <c r="D139" i="265"/>
  <c r="D139" i="251"/>
  <c r="G139" i="283"/>
  <c r="G140" i="277"/>
  <c r="E139" i="259"/>
  <c r="F139" i="279"/>
  <c r="H139" i="264"/>
  <c r="F139" i="278"/>
  <c r="F139" i="249"/>
  <c r="G139" i="258"/>
  <c r="G139" i="257"/>
  <c r="I141" i="301"/>
  <c r="H140" i="245"/>
  <c r="F139" i="300"/>
  <c r="F139" i="265"/>
  <c r="F139" i="304"/>
  <c r="D139" i="261"/>
  <c r="E139" i="290"/>
  <c r="I140" i="298"/>
  <c r="F139" i="312"/>
  <c r="I140" i="301"/>
  <c r="I140" i="243"/>
  <c r="F139" i="274"/>
  <c r="H141" i="305"/>
  <c r="H139" i="302"/>
  <c r="I140" i="302"/>
  <c r="H140" i="302"/>
  <c r="F139" i="298"/>
  <c r="E140" i="286"/>
  <c r="D139" i="253"/>
  <c r="E140" i="233"/>
  <c r="D139" i="273"/>
  <c r="G139" i="313"/>
  <c r="D139" i="311"/>
  <c r="F139" i="310"/>
  <c r="G139" i="310"/>
  <c r="I141" i="309"/>
  <c r="H139" i="309"/>
  <c r="G139" i="295"/>
  <c r="E140" i="295"/>
  <c r="H139" i="294"/>
  <c r="G140" i="289"/>
  <c r="F139" i="286"/>
  <c r="I141" i="284"/>
  <c r="G140" i="283"/>
  <c r="G139" i="282"/>
  <c r="H139" i="282"/>
  <c r="G139" i="275"/>
  <c r="D139" i="275"/>
  <c r="H139" i="275"/>
  <c r="G139" i="270"/>
  <c r="H139" i="269"/>
  <c r="I141" i="269"/>
  <c r="F139" i="268"/>
  <c r="H139" i="266"/>
  <c r="H139" i="265"/>
  <c r="H139" i="263"/>
  <c r="I141" i="263"/>
  <c r="H140" i="261"/>
  <c r="E139" i="260"/>
  <c r="I140" i="260"/>
  <c r="E140" i="258"/>
  <c r="H139" i="257"/>
  <c r="E139" i="263"/>
  <c r="D139" i="243"/>
  <c r="H139" i="253"/>
  <c r="H139" i="237"/>
  <c r="G139" i="254"/>
  <c r="F139" i="252"/>
  <c r="G140" i="252"/>
  <c r="G139" i="246"/>
  <c r="D139" i="245"/>
  <c r="H140" i="232"/>
  <c r="H139" i="251"/>
  <c r="I140" i="251"/>
  <c r="F139" i="291"/>
  <c r="G140" i="246"/>
  <c r="G140" i="276"/>
  <c r="E140" i="259"/>
  <c r="I141" i="274"/>
  <c r="H140" i="274"/>
  <c r="E140" i="311"/>
  <c r="F139" i="253"/>
  <c r="H139" i="271"/>
  <c r="I140" i="271"/>
  <c r="E140" i="244"/>
  <c r="E139" i="287"/>
  <c r="G139" i="256"/>
  <c r="G139" i="264"/>
  <c r="E140" i="304"/>
  <c r="H140" i="258"/>
  <c r="I141" i="258"/>
  <c r="H140" i="287"/>
  <c r="I141" i="287"/>
  <c r="F140" i="279"/>
  <c r="F140" i="315"/>
  <c r="E139" i="316"/>
  <c r="E139" i="276"/>
  <c r="I141" i="265"/>
  <c r="H140" i="265"/>
  <c r="G140" i="263"/>
  <c r="E139" i="237"/>
  <c r="G140" i="295"/>
  <c r="F140" i="247"/>
  <c r="E140" i="269"/>
  <c r="E140" i="277"/>
  <c r="E139" i="295"/>
  <c r="I141" i="300"/>
  <c r="H140" i="300"/>
  <c r="E140" i="308"/>
  <c r="E139" i="302"/>
  <c r="E140" i="246"/>
  <c r="H139" i="277"/>
  <c r="I140" i="277"/>
  <c r="F141" i="296"/>
  <c r="I141" i="304"/>
  <c r="H140" i="304"/>
  <c r="G140" i="300"/>
  <c r="H139" i="283"/>
  <c r="I140" i="283"/>
  <c r="E140" i="268"/>
  <c r="G140" i="307"/>
  <c r="G140" i="304"/>
  <c r="G140" i="230"/>
  <c r="H139" i="307"/>
  <c r="I140" i="307"/>
  <c r="F139" i="264"/>
  <c r="I141" i="247"/>
  <c r="H140" i="247"/>
  <c r="G140" i="241"/>
  <c r="E140" i="294"/>
  <c r="D139" i="249"/>
  <c r="I141" i="244"/>
  <c r="H140" i="244"/>
  <c r="G140" i="313"/>
  <c r="H140" i="283"/>
  <c r="I141" i="283"/>
  <c r="I141" i="251"/>
  <c r="H140" i="251"/>
  <c r="G139" i="281"/>
  <c r="E139" i="234"/>
  <c r="G140" i="312"/>
  <c r="I140" i="231"/>
  <c r="H139" i="231"/>
  <c r="G139" i="234"/>
  <c r="G139" i="239"/>
  <c r="E139" i="267"/>
  <c r="I141" i="297"/>
  <c r="H140" i="297"/>
  <c r="G139" i="291"/>
  <c r="G140" i="316"/>
  <c r="G140" i="250"/>
  <c r="E139" i="262"/>
  <c r="E139" i="230"/>
  <c r="I141" i="270"/>
  <c r="H140" i="270"/>
  <c r="E139" i="307"/>
  <c r="E139" i="291"/>
  <c r="G139" i="255"/>
  <c r="E140" i="255"/>
  <c r="G139" i="273"/>
  <c r="I141" i="279"/>
  <c r="H140" i="279"/>
  <c r="E140" i="229"/>
  <c r="E139" i="264"/>
  <c r="E140" i="243"/>
  <c r="H140" i="313"/>
  <c r="I141" i="313"/>
  <c r="E140" i="313"/>
  <c r="E139" i="301"/>
  <c r="E139" i="310"/>
  <c r="E139" i="232"/>
  <c r="H139" i="273"/>
  <c r="I140" i="273"/>
  <c r="H139" i="259"/>
  <c r="I140" i="259"/>
  <c r="E140" i="300"/>
  <c r="G140" i="285"/>
  <c r="F139" i="235"/>
  <c r="F141" i="232"/>
  <c r="I141" i="278"/>
  <c r="H140" i="278"/>
  <c r="E139" i="248"/>
  <c r="E140" i="281"/>
  <c r="G139" i="271"/>
  <c r="I141" i="280"/>
  <c r="H140" i="280"/>
  <c r="G140" i="284"/>
  <c r="G140" i="265"/>
  <c r="E140" i="262"/>
  <c r="I141" i="250"/>
  <c r="H140" i="250"/>
  <c r="G140" i="268"/>
  <c r="G140" i="254"/>
  <c r="E139" i="308"/>
  <c r="I141" i="229"/>
  <c r="H140" i="229"/>
  <c r="G139" i="316"/>
  <c r="G140" i="279"/>
  <c r="G140" i="294"/>
  <c r="I141" i="308"/>
  <c r="G140" i="278"/>
  <c r="G140" i="296"/>
  <c r="G140" i="302"/>
  <c r="I141" i="246"/>
  <c r="H140" i="246"/>
  <c r="E140" i="242"/>
  <c r="E139" i="270"/>
  <c r="G139" i="267"/>
  <c r="I141" i="236"/>
  <c r="H140" i="236"/>
  <c r="E139" i="250"/>
  <c r="E140" i="299"/>
  <c r="G140" i="257"/>
  <c r="I141" i="275"/>
  <c r="H140" i="275"/>
  <c r="G140" i="233"/>
  <c r="G140" i="298"/>
  <c r="H140" i="268"/>
  <c r="I141" i="268"/>
  <c r="I141" i="243"/>
  <c r="H140" i="243"/>
  <c r="G140" i="275"/>
  <c r="F139" i="266"/>
  <c r="G140" i="286"/>
  <c r="E139" i="256"/>
  <c r="E139" i="273"/>
  <c r="I141" i="290"/>
  <c r="H140" i="290"/>
  <c r="G140" i="245"/>
  <c r="D139" i="241"/>
  <c r="F139" i="236"/>
  <c r="I141" i="235"/>
  <c r="H140" i="235"/>
  <c r="E140" i="302"/>
  <c r="G140" i="244"/>
  <c r="G140" i="311"/>
  <c r="E140" i="289"/>
  <c r="F141" i="279"/>
  <c r="I141" i="288"/>
  <c r="H140" i="288"/>
  <c r="E139" i="244"/>
  <c r="E140" i="291"/>
  <c r="G139" i="298"/>
  <c r="E140" i="261"/>
  <c r="E140" i="265"/>
  <c r="H139" i="311"/>
  <c r="I140" i="311"/>
  <c r="E140" i="272"/>
  <c r="I140" i="315"/>
  <c r="H139" i="315"/>
  <c r="H139" i="303"/>
  <c r="I140" i="303"/>
  <c r="G140" i="231"/>
  <c r="E139" i="269"/>
  <c r="E140" i="251"/>
  <c r="G140" i="234"/>
  <c r="E140" i="292"/>
  <c r="I141" i="282"/>
  <c r="H140" i="282"/>
  <c r="G140" i="303"/>
  <c r="E139" i="285"/>
  <c r="E140" i="306"/>
  <c r="I141" i="303"/>
  <c r="H140" i="303"/>
  <c r="G139" i="266"/>
  <c r="I141" i="299"/>
  <c r="E139" i="284"/>
  <c r="G140" i="270"/>
  <c r="E140" i="270"/>
  <c r="F140" i="309"/>
  <c r="E139" i="298"/>
  <c r="I141" i="307"/>
  <c r="H140" i="307"/>
  <c r="F139" i="262"/>
  <c r="F141" i="287"/>
  <c r="E139" i="254"/>
  <c r="E140" i="248"/>
  <c r="I141" i="315"/>
  <c r="H140" i="315"/>
  <c r="F140" i="293"/>
  <c r="H139" i="289"/>
  <c r="I140" i="289"/>
  <c r="G140" i="239"/>
  <c r="E139" i="243"/>
  <c r="G140" i="282"/>
  <c r="I141" i="272"/>
  <c r="H140" i="272"/>
  <c r="I141" i="295"/>
  <c r="H140" i="295"/>
  <c r="F140" i="299"/>
  <c r="G139" i="296"/>
  <c r="I141" i="254"/>
  <c r="H140" i="254"/>
  <c r="G140" i="249"/>
  <c r="E139" i="289"/>
  <c r="F139" i="237"/>
  <c r="E139" i="236"/>
  <c r="E140" i="280"/>
  <c r="G140" i="287"/>
  <c r="G140" i="280"/>
  <c r="I141" i="310"/>
  <c r="H140" i="310"/>
  <c r="H140" i="293"/>
  <c r="I141" i="293"/>
  <c r="G140" i="315"/>
  <c r="E140" i="252"/>
  <c r="G140" i="293"/>
  <c r="E139" i="242"/>
  <c r="F141" i="297"/>
  <c r="E140" i="230"/>
  <c r="E139" i="272"/>
  <c r="E139" i="252"/>
  <c r="E139" i="306"/>
  <c r="I141" i="253"/>
  <c r="H140" i="253"/>
  <c r="E139" i="304"/>
  <c r="I141" i="231"/>
  <c r="H140" i="231"/>
  <c r="F139" i="260"/>
  <c r="E140" i="312"/>
  <c r="E140" i="305"/>
  <c r="G140" i="272"/>
  <c r="E139" i="288"/>
  <c r="I141" i="312"/>
  <c r="H140" i="312"/>
  <c r="H140" i="289"/>
  <c r="I141" i="289"/>
  <c r="E140" i="273"/>
  <c r="I141" i="252"/>
  <c r="H140" i="252"/>
  <c r="H140" i="294"/>
  <c r="I141" i="294"/>
  <c r="H139" i="234"/>
  <c r="I140" i="234"/>
  <c r="H139" i="285"/>
  <c r="I140" i="285"/>
  <c r="E139" i="231"/>
  <c r="F141" i="316"/>
  <c r="G139" i="241"/>
  <c r="G140" i="310"/>
  <c r="G140" i="290"/>
  <c r="E139" i="294"/>
  <c r="G140" i="259"/>
  <c r="H139" i="255"/>
  <c r="I140" i="255"/>
  <c r="I141" i="257"/>
  <c r="H140" i="257"/>
  <c r="E139" i="300"/>
  <c r="I141" i="286"/>
  <c r="H140" i="286"/>
  <c r="E140" i="309"/>
  <c r="H139" i="241"/>
  <c r="I140" i="241"/>
  <c r="G140" i="271"/>
  <c r="E139" i="283"/>
  <c r="G140" i="229"/>
  <c r="E140" i="231"/>
  <c r="F139" i="256"/>
  <c r="G139" i="311"/>
  <c r="G139" i="285"/>
  <c r="E140" i="253"/>
  <c r="E140" i="271"/>
  <c r="I141" i="248"/>
  <c r="H140" i="248"/>
  <c r="I141" i="233"/>
  <c r="H140" i="233"/>
  <c r="G140" i="274"/>
  <c r="E140" i="240"/>
  <c r="E140" i="276"/>
  <c r="I141" i="305"/>
  <c r="H140" i="305"/>
  <c r="E139" i="257"/>
  <c r="E140" i="236"/>
  <c r="F141" i="293"/>
  <c r="H139" i="232"/>
  <c r="I140" i="232"/>
  <c r="G140" i="243"/>
  <c r="E139" i="240"/>
  <c r="E139" i="312"/>
  <c r="BQ91" i="320" l="1"/>
  <c r="H141" i="301"/>
  <c r="I141" i="245"/>
  <c r="G140" i="308"/>
  <c r="E140" i="247"/>
  <c r="E139" i="253"/>
  <c r="I141" i="237"/>
  <c r="I141" i="314"/>
  <c r="F141" i="260"/>
  <c r="E139" i="255"/>
  <c r="F140" i="296"/>
  <c r="E139" i="261"/>
  <c r="H140" i="276"/>
  <c r="H140" i="284"/>
  <c r="E139" i="305"/>
  <c r="I142" i="232"/>
  <c r="G140" i="242"/>
  <c r="E140" i="239"/>
  <c r="F141" i="266"/>
  <c r="H141" i="314"/>
  <c r="E139" i="280"/>
  <c r="G140" i="258"/>
  <c r="H140" i="269"/>
  <c r="E139" i="251"/>
  <c r="I141" i="306"/>
  <c r="E140" i="278"/>
  <c r="I141" i="249"/>
  <c r="H140" i="259"/>
  <c r="E139" i="278"/>
  <c r="G140" i="297"/>
  <c r="F141" i="285"/>
  <c r="H141" i="288"/>
  <c r="I141" i="230"/>
  <c r="I141" i="292"/>
  <c r="I142" i="252"/>
  <c r="I141" i="242"/>
  <c r="E139" i="281"/>
  <c r="I142" i="292"/>
  <c r="G140" i="251"/>
  <c r="G140" i="248"/>
  <c r="H140" i="263"/>
  <c r="E139" i="265"/>
  <c r="I141" i="277"/>
  <c r="G140" i="281"/>
  <c r="E139" i="292"/>
  <c r="G140" i="273"/>
  <c r="I142" i="267"/>
  <c r="G140" i="306"/>
  <c r="F140" i="290"/>
  <c r="E139" i="303"/>
  <c r="I141" i="240"/>
  <c r="E139" i="233"/>
  <c r="H141" i="299"/>
  <c r="F141" i="267"/>
  <c r="E139" i="274"/>
  <c r="G140" i="247"/>
  <c r="E139" i="245"/>
  <c r="H140" i="301"/>
  <c r="H141" i="261"/>
  <c r="G140" i="309"/>
  <c r="I141" i="302"/>
  <c r="G140" i="299"/>
  <c r="E139" i="286"/>
  <c r="E139" i="246"/>
  <c r="H141" i="240"/>
  <c r="E139" i="235"/>
  <c r="I141" i="232"/>
  <c r="H140" i="309"/>
  <c r="E139" i="266"/>
  <c r="E139" i="314"/>
  <c r="I142" i="283"/>
  <c r="E140" i="301"/>
  <c r="I142" i="277"/>
  <c r="E139" i="297"/>
  <c r="I142" i="305"/>
  <c r="F141" i="258"/>
  <c r="E140" i="274"/>
  <c r="E140" i="264"/>
  <c r="E140" i="235"/>
  <c r="E139" i="313"/>
  <c r="I142" i="289"/>
  <c r="E139" i="277"/>
  <c r="E140" i="275"/>
  <c r="E139" i="271"/>
  <c r="I141" i="261"/>
  <c r="F140" i="258"/>
  <c r="E139" i="258"/>
  <c r="E139" i="239"/>
  <c r="E140" i="245"/>
  <c r="F140" i="240"/>
  <c r="I142" i="251"/>
  <c r="H141" i="251"/>
  <c r="F140" i="253"/>
  <c r="F140" i="231"/>
  <c r="F140" i="304"/>
  <c r="F140" i="246"/>
  <c r="I142" i="282"/>
  <c r="H141" i="282"/>
  <c r="F140" i="273"/>
  <c r="F140" i="310"/>
  <c r="F140" i="307"/>
  <c r="I142" i="250"/>
  <c r="H141" i="250"/>
  <c r="I141" i="239"/>
  <c r="H140" i="239"/>
  <c r="I142" i="230"/>
  <c r="H141" i="230"/>
  <c r="H141" i="292"/>
  <c r="F140" i="302"/>
  <c r="G141" i="279"/>
  <c r="I142" i="242"/>
  <c r="H141" i="242"/>
  <c r="F140" i="271"/>
  <c r="G142" i="293"/>
  <c r="F141" i="276"/>
  <c r="F141" i="253"/>
  <c r="F140" i="283"/>
  <c r="I142" i="290"/>
  <c r="H141" i="290"/>
  <c r="G142" i="316"/>
  <c r="I142" i="272"/>
  <c r="H141" i="272"/>
  <c r="F140" i="242"/>
  <c r="I142" i="315"/>
  <c r="H141" i="315"/>
  <c r="I142" i="249"/>
  <c r="H141" i="249"/>
  <c r="G141" i="299"/>
  <c r="F140" i="229"/>
  <c r="G141" i="293"/>
  <c r="F140" i="298"/>
  <c r="F141" i="270"/>
  <c r="I142" i="270"/>
  <c r="H141" i="270"/>
  <c r="E139" i="249"/>
  <c r="F140" i="251"/>
  <c r="H140" i="298"/>
  <c r="I141" i="298"/>
  <c r="F141" i="302"/>
  <c r="F140" i="256"/>
  <c r="I142" i="286"/>
  <c r="H141" i="286"/>
  <c r="I142" i="298"/>
  <c r="H141" i="298"/>
  <c r="I142" i="233"/>
  <c r="H141" i="233"/>
  <c r="I142" i="269"/>
  <c r="H141" i="269"/>
  <c r="F140" i="270"/>
  <c r="I142" i="309"/>
  <c r="H141" i="309"/>
  <c r="G142" i="232"/>
  <c r="G140" i="235"/>
  <c r="F141" i="300"/>
  <c r="F140" i="232"/>
  <c r="F140" i="278"/>
  <c r="F141" i="229"/>
  <c r="F140" i="266"/>
  <c r="I141" i="255"/>
  <c r="H140" i="255"/>
  <c r="I142" i="316"/>
  <c r="H141" i="316"/>
  <c r="H140" i="291"/>
  <c r="I141" i="291"/>
  <c r="F141" i="264"/>
  <c r="G139" i="262"/>
  <c r="I142" i="313"/>
  <c r="H141" i="313"/>
  <c r="F141" i="294"/>
  <c r="F141" i="268"/>
  <c r="G141" i="311"/>
  <c r="G142" i="296"/>
  <c r="I142" i="258"/>
  <c r="H141" i="258"/>
  <c r="F141" i="269"/>
  <c r="G141" i="247"/>
  <c r="I142" i="281"/>
  <c r="H141" i="281"/>
  <c r="H139" i="267"/>
  <c r="I140" i="267"/>
  <c r="F140" i="237"/>
  <c r="F141" i="244"/>
  <c r="G140" i="253"/>
  <c r="F140" i="312"/>
  <c r="F140" i="257"/>
  <c r="I142" i="310"/>
  <c r="H141" i="310"/>
  <c r="F141" i="305"/>
  <c r="F140" i="306"/>
  <c r="F140" i="272"/>
  <c r="F140" i="292"/>
  <c r="F140" i="236"/>
  <c r="H140" i="296"/>
  <c r="I141" i="296"/>
  <c r="G139" i="260"/>
  <c r="F141" i="265"/>
  <c r="G140" i="264"/>
  <c r="I142" i="274"/>
  <c r="H141" i="274"/>
  <c r="F141" i="271"/>
  <c r="G140" i="256"/>
  <c r="G140" i="260"/>
  <c r="F141" i="278"/>
  <c r="F141" i="230"/>
  <c r="I142" i="239"/>
  <c r="H141" i="239"/>
  <c r="F140" i="254"/>
  <c r="G142" i="287"/>
  <c r="G140" i="262"/>
  <c r="I142" i="308"/>
  <c r="H141" i="308"/>
  <c r="H140" i="266"/>
  <c r="I141" i="266"/>
  <c r="I142" i="303"/>
  <c r="H141" i="303"/>
  <c r="I142" i="234"/>
  <c r="H141" i="234"/>
  <c r="F141" i="261"/>
  <c r="F141" i="291"/>
  <c r="G142" i="279"/>
  <c r="I142" i="244"/>
  <c r="H141" i="244"/>
  <c r="G140" i="236"/>
  <c r="F141" i="299"/>
  <c r="F141" i="247"/>
  <c r="I142" i="296"/>
  <c r="H141" i="296"/>
  <c r="I142" i="278"/>
  <c r="H141" i="278"/>
  <c r="H140" i="316"/>
  <c r="I141" i="316"/>
  <c r="F140" i="281"/>
  <c r="F140" i="308"/>
  <c r="I142" i="254"/>
  <c r="H141" i="254"/>
  <c r="F141" i="262"/>
  <c r="I142" i="265"/>
  <c r="H141" i="265"/>
  <c r="I142" i="284"/>
  <c r="H141" i="284"/>
  <c r="F141" i="281"/>
  <c r="F141" i="313"/>
  <c r="F141" i="243"/>
  <c r="F141" i="255"/>
  <c r="F140" i="233"/>
  <c r="F140" i="291"/>
  <c r="F140" i="267"/>
  <c r="H140" i="281"/>
  <c r="I141" i="281"/>
  <c r="I142" i="304"/>
  <c r="H141" i="304"/>
  <c r="I142" i="307"/>
  <c r="H141" i="307"/>
  <c r="F141" i="246"/>
  <c r="F141" i="277"/>
  <c r="F140" i="286"/>
  <c r="F140" i="261"/>
  <c r="I142" i="263"/>
  <c r="H141" i="263"/>
  <c r="H141" i="252"/>
  <c r="G141" i="275"/>
  <c r="H140" i="256"/>
  <c r="I141" i="256"/>
  <c r="F140" i="287"/>
  <c r="F140" i="314"/>
  <c r="I142" i="246"/>
  <c r="H141" i="246"/>
  <c r="G142" i="260"/>
  <c r="I142" i="243"/>
  <c r="H141" i="243"/>
  <c r="H140" i="311"/>
  <c r="I142" i="229"/>
  <c r="H141" i="229"/>
  <c r="F141" i="309"/>
  <c r="F140" i="252"/>
  <c r="G142" i="297"/>
  <c r="F140" i="280"/>
  <c r="F140" i="284"/>
  <c r="F140" i="285"/>
  <c r="F141" i="292"/>
  <c r="I142" i="231"/>
  <c r="H141" i="231"/>
  <c r="F141" i="272"/>
  <c r="F140" i="244"/>
  <c r="F141" i="289"/>
  <c r="E139" i="241"/>
  <c r="F140" i="245"/>
  <c r="F140" i="264"/>
  <c r="F140" i="230"/>
  <c r="F140" i="262"/>
  <c r="I142" i="300"/>
  <c r="H141" i="300"/>
  <c r="F141" i="308"/>
  <c r="F140" i="295"/>
  <c r="F140" i="276"/>
  <c r="F141" i="304"/>
  <c r="G140" i="291"/>
  <c r="F141" i="282"/>
  <c r="H139" i="316"/>
  <c r="I140" i="316"/>
  <c r="F141" i="240"/>
  <c r="F141" i="231"/>
  <c r="F141" i="301"/>
  <c r="F140" i="282"/>
  <c r="H139" i="281"/>
  <c r="F141" i="236"/>
  <c r="I142" i="255"/>
  <c r="H141" i="255"/>
  <c r="H140" i="285"/>
  <c r="I141" i="285"/>
  <c r="I142" i="271"/>
  <c r="H141" i="271"/>
  <c r="F140" i="300"/>
  <c r="I142" i="259"/>
  <c r="H141" i="259"/>
  <c r="F140" i="294"/>
  <c r="I141" i="241"/>
  <c r="H140" i="241"/>
  <c r="F141" i="273"/>
  <c r="F141" i="312"/>
  <c r="F140" i="255"/>
  <c r="I142" i="293"/>
  <c r="H141" i="293"/>
  <c r="F141" i="252"/>
  <c r="I142" i="280"/>
  <c r="H141" i="280"/>
  <c r="I142" i="287"/>
  <c r="H141" i="287"/>
  <c r="F141" i="280"/>
  <c r="F140" i="235"/>
  <c r="G140" i="237"/>
  <c r="F140" i="289"/>
  <c r="I142" i="248"/>
  <c r="H141" i="248"/>
  <c r="F140" i="243"/>
  <c r="F141" i="248"/>
  <c r="G141" i="309"/>
  <c r="F140" i="268"/>
  <c r="F141" i="306"/>
  <c r="F141" i="251"/>
  <c r="F140" i="269"/>
  <c r="F140" i="303"/>
  <c r="I142" i="311"/>
  <c r="H141" i="311"/>
  <c r="I142" i="273"/>
  <c r="H141" i="273"/>
  <c r="F141" i="274"/>
  <c r="E140" i="241"/>
  <c r="I142" i="245"/>
  <c r="H141" i="245"/>
  <c r="F141" i="310"/>
  <c r="G140" i="266"/>
  <c r="I142" i="275"/>
  <c r="H141" i="275"/>
  <c r="H141" i="257"/>
  <c r="I142" i="257"/>
  <c r="F140" i="250"/>
  <c r="I141" i="267"/>
  <c r="H140" i="267"/>
  <c r="I142" i="247"/>
  <c r="H141" i="247"/>
  <c r="F141" i="242"/>
  <c r="F141" i="245"/>
  <c r="I142" i="302"/>
  <c r="H141" i="302"/>
  <c r="I142" i="294"/>
  <c r="H141" i="294"/>
  <c r="H141" i="279"/>
  <c r="I142" i="279"/>
  <c r="I142" i="268"/>
  <c r="H141" i="268"/>
  <c r="I141" i="271"/>
  <c r="H140" i="271"/>
  <c r="F140" i="248"/>
  <c r="I142" i="285"/>
  <c r="H141" i="285"/>
  <c r="G142" i="283"/>
  <c r="F140" i="301"/>
  <c r="I141" i="273"/>
  <c r="H140" i="273"/>
  <c r="F141" i="235"/>
  <c r="H141" i="232"/>
  <c r="H140" i="234"/>
  <c r="I141" i="234"/>
  <c r="I142" i="312"/>
  <c r="H141" i="312"/>
  <c r="F140" i="234"/>
  <c r="E140" i="249"/>
  <c r="I142" i="241"/>
  <c r="H141" i="241"/>
  <c r="F140" i="277"/>
  <c r="I142" i="297"/>
  <c r="H141" i="297"/>
  <c r="I142" i="295"/>
  <c r="H141" i="295"/>
  <c r="F140" i="316"/>
  <c r="G141" i="315"/>
  <c r="G142" i="285"/>
  <c r="H140" i="264"/>
  <c r="I141" i="264"/>
  <c r="F141" i="311"/>
  <c r="F141" i="259"/>
  <c r="I142" i="276"/>
  <c r="H141" i="276"/>
  <c r="F141" i="239"/>
  <c r="I142" i="306"/>
  <c r="H141" i="306"/>
  <c r="F101" i="217" l="1"/>
  <c r="I142" i="301"/>
  <c r="F140" i="305"/>
  <c r="I142" i="314"/>
  <c r="I142" i="288"/>
  <c r="F140" i="263"/>
  <c r="F140" i="265"/>
  <c r="I142" i="261"/>
  <c r="F140" i="239"/>
  <c r="G141" i="274"/>
  <c r="I142" i="299"/>
  <c r="F140" i="288"/>
  <c r="G142" i="266"/>
  <c r="F140" i="274"/>
  <c r="G141" i="290"/>
  <c r="H141" i="283"/>
  <c r="I142" i="240"/>
  <c r="H141" i="277"/>
  <c r="G142" i="267"/>
  <c r="G141" i="259"/>
  <c r="F140" i="260"/>
  <c r="F140" i="259"/>
  <c r="G142" i="258"/>
  <c r="F140" i="297"/>
  <c r="F141" i="233"/>
  <c r="F141" i="286"/>
  <c r="F141" i="295"/>
  <c r="F140" i="313"/>
  <c r="H141" i="289"/>
  <c r="F141" i="275"/>
  <c r="G142" i="239"/>
  <c r="G141" i="235"/>
  <c r="G141" i="294"/>
  <c r="G141" i="276"/>
  <c r="G141" i="262"/>
  <c r="F140" i="241"/>
  <c r="G141" i="296"/>
  <c r="G141" i="308"/>
  <c r="H143" i="287"/>
  <c r="I144" i="287"/>
  <c r="G141" i="236"/>
  <c r="G141" i="312"/>
  <c r="G142" i="294"/>
  <c r="G141" i="283"/>
  <c r="G141" i="302"/>
  <c r="H143" i="283"/>
  <c r="I144" i="283"/>
  <c r="G141" i="250"/>
  <c r="H141" i="266"/>
  <c r="F141" i="241"/>
  <c r="G141" i="268"/>
  <c r="G142" i="248"/>
  <c r="G141" i="289"/>
  <c r="G142" i="312"/>
  <c r="G142" i="236"/>
  <c r="G142" i="240"/>
  <c r="H141" i="291"/>
  <c r="G141" i="230"/>
  <c r="G141" i="245"/>
  <c r="G142" i="289"/>
  <c r="G142" i="292"/>
  <c r="G141" i="287"/>
  <c r="H142" i="275"/>
  <c r="I143" i="275"/>
  <c r="G142" i="277"/>
  <c r="G142" i="246"/>
  <c r="G141" i="267"/>
  <c r="G142" i="313"/>
  <c r="G142" i="299"/>
  <c r="H143" i="279"/>
  <c r="I142" i="262"/>
  <c r="H141" i="262"/>
  <c r="G141" i="254"/>
  <c r="G142" i="278"/>
  <c r="H140" i="260"/>
  <c r="I141" i="260"/>
  <c r="G141" i="306"/>
  <c r="G142" i="268"/>
  <c r="H140" i="262"/>
  <c r="I141" i="262"/>
  <c r="G141" i="278"/>
  <c r="G141" i="270"/>
  <c r="G141" i="256"/>
  <c r="G142" i="302"/>
  <c r="G141" i="298"/>
  <c r="G141" i="242"/>
  <c r="H143" i="316"/>
  <c r="I144" i="316"/>
  <c r="G142" i="253"/>
  <c r="G141" i="271"/>
  <c r="G141" i="246"/>
  <c r="G141" i="304"/>
  <c r="G141" i="240"/>
  <c r="G141" i="269"/>
  <c r="G141" i="313"/>
  <c r="G142" i="308"/>
  <c r="G141" i="280"/>
  <c r="G141" i="263"/>
  <c r="G141" i="261"/>
  <c r="G142" i="255"/>
  <c r="G142" i="269"/>
  <c r="I143" i="293"/>
  <c r="H142" i="293"/>
  <c r="G141" i="265"/>
  <c r="G142" i="235"/>
  <c r="G141" i="316"/>
  <c r="F141" i="249"/>
  <c r="G141" i="248"/>
  <c r="G142" i="274"/>
  <c r="G142" i="251"/>
  <c r="G142" i="252"/>
  <c r="G142" i="282"/>
  <c r="G141" i="285"/>
  <c r="I144" i="297"/>
  <c r="H143" i="297"/>
  <c r="I144" i="260"/>
  <c r="H143" i="260"/>
  <c r="G141" i="291"/>
  <c r="G141" i="281"/>
  <c r="G142" i="291"/>
  <c r="G141" i="260"/>
  <c r="G142" i="230"/>
  <c r="I142" i="260"/>
  <c r="H141" i="260"/>
  <c r="I142" i="256"/>
  <c r="H141" i="256"/>
  <c r="I142" i="264"/>
  <c r="H141" i="264"/>
  <c r="G141" i="292"/>
  <c r="G141" i="272"/>
  <c r="G142" i="244"/>
  <c r="H142" i="247"/>
  <c r="I143" i="247"/>
  <c r="G142" i="264"/>
  <c r="G141" i="266"/>
  <c r="G141" i="232"/>
  <c r="I142" i="235"/>
  <c r="H141" i="235"/>
  <c r="H143" i="232"/>
  <c r="I144" i="232"/>
  <c r="G142" i="276"/>
  <c r="G141" i="307"/>
  <c r="G141" i="273"/>
  <c r="G141" i="231"/>
  <c r="G141" i="253"/>
  <c r="G142" i="259"/>
  <c r="I143" i="315"/>
  <c r="H142" i="315"/>
  <c r="G141" i="277"/>
  <c r="G141" i="234"/>
  <c r="G142" i="280"/>
  <c r="G141" i="255"/>
  <c r="G141" i="239"/>
  <c r="G141" i="295"/>
  <c r="G142" i="272"/>
  <c r="G141" i="286"/>
  <c r="G142" i="243"/>
  <c r="G142" i="281"/>
  <c r="I142" i="236"/>
  <c r="H141" i="236"/>
  <c r="G142" i="305"/>
  <c r="H142" i="311"/>
  <c r="G142" i="229"/>
  <c r="G142" i="300"/>
  <c r="G142" i="270"/>
  <c r="H143" i="293"/>
  <c r="I144" i="293"/>
  <c r="I143" i="279"/>
  <c r="H142" i="279"/>
  <c r="G142" i="233"/>
  <c r="G141" i="301"/>
  <c r="G142" i="245"/>
  <c r="G141" i="303"/>
  <c r="G141" i="243"/>
  <c r="G141" i="300"/>
  <c r="G142" i="311"/>
  <c r="H143" i="285"/>
  <c r="I144" i="285"/>
  <c r="G142" i="242"/>
  <c r="G142" i="310"/>
  <c r="G142" i="306"/>
  <c r="H142" i="309"/>
  <c r="I143" i="309"/>
  <c r="I142" i="237"/>
  <c r="H141" i="237"/>
  <c r="G142" i="273"/>
  <c r="G141" i="305"/>
  <c r="I140" i="281"/>
  <c r="H101" i="217" s="1"/>
  <c r="G142" i="301"/>
  <c r="G142" i="231"/>
  <c r="G142" i="304"/>
  <c r="G141" i="264"/>
  <c r="G141" i="244"/>
  <c r="G141" i="284"/>
  <c r="G141" i="252"/>
  <c r="G142" i="309"/>
  <c r="I141" i="311"/>
  <c r="G141" i="314"/>
  <c r="G142" i="262"/>
  <c r="G142" i="247"/>
  <c r="G142" i="261"/>
  <c r="G142" i="271"/>
  <c r="G142" i="286"/>
  <c r="G142" i="265"/>
  <c r="G141" i="257"/>
  <c r="I142" i="253"/>
  <c r="H141" i="253"/>
  <c r="G141" i="237"/>
  <c r="H143" i="296"/>
  <c r="I144" i="296"/>
  <c r="G141" i="251"/>
  <c r="F140" i="249"/>
  <c r="G141" i="229"/>
  <c r="H142" i="299"/>
  <c r="I143" i="299"/>
  <c r="G142" i="295"/>
  <c r="G141" i="310"/>
  <c r="G101" i="217" l="1"/>
  <c r="H102" i="217"/>
  <c r="E101" i="217"/>
  <c r="G102" i="217"/>
  <c r="H142" i="290"/>
  <c r="G141" i="282"/>
  <c r="G141" i="258"/>
  <c r="G141" i="233"/>
  <c r="I143" i="274"/>
  <c r="G141" i="288"/>
  <c r="H143" i="267"/>
  <c r="H143" i="258"/>
  <c r="G141" i="297"/>
  <c r="G142" i="275"/>
  <c r="I144" i="286"/>
  <c r="H143" i="286"/>
  <c r="H143" i="273"/>
  <c r="I144" i="273"/>
  <c r="H143" i="233"/>
  <c r="H143" i="264"/>
  <c r="I144" i="266"/>
  <c r="H143" i="266"/>
  <c r="I144" i="274"/>
  <c r="H143" i="274"/>
  <c r="I144" i="278"/>
  <c r="H143" i="278"/>
  <c r="H142" i="310"/>
  <c r="H142" i="251"/>
  <c r="I143" i="251"/>
  <c r="H142" i="237"/>
  <c r="I143" i="237"/>
  <c r="I144" i="261"/>
  <c r="H143" i="261"/>
  <c r="I144" i="262"/>
  <c r="H143" i="262"/>
  <c r="I143" i="284"/>
  <c r="H142" i="284"/>
  <c r="I143" i="244"/>
  <c r="H142" i="244"/>
  <c r="H142" i="264"/>
  <c r="I143" i="264"/>
  <c r="I144" i="304"/>
  <c r="H143" i="304"/>
  <c r="H143" i="301"/>
  <c r="H143" i="311"/>
  <c r="I144" i="311"/>
  <c r="H143" i="229"/>
  <c r="H143" i="281"/>
  <c r="I144" i="281"/>
  <c r="H143" i="243"/>
  <c r="I144" i="243"/>
  <c r="I144" i="272"/>
  <c r="H143" i="272"/>
  <c r="I143" i="295"/>
  <c r="H142" i="295"/>
  <c r="H142" i="231"/>
  <c r="H142" i="273"/>
  <c r="I143" i="273"/>
  <c r="H142" i="272"/>
  <c r="H142" i="285"/>
  <c r="H142" i="316"/>
  <c r="H143" i="255"/>
  <c r="H142" i="261"/>
  <c r="I143" i="261"/>
  <c r="H142" i="269"/>
  <c r="I143" i="269"/>
  <c r="H142" i="240"/>
  <c r="H142" i="246"/>
  <c r="H142" i="271"/>
  <c r="I143" i="271"/>
  <c r="H142" i="256"/>
  <c r="I143" i="256"/>
  <c r="I144" i="279"/>
  <c r="H142" i="267"/>
  <c r="H143" i="277"/>
  <c r="I142" i="291"/>
  <c r="H142" i="268"/>
  <c r="I143" i="268"/>
  <c r="G142" i="241"/>
  <c r="I143" i="302"/>
  <c r="H142" i="302"/>
  <c r="I143" i="312"/>
  <c r="H142" i="312"/>
  <c r="I143" i="233"/>
  <c r="H142" i="233"/>
  <c r="H142" i="262"/>
  <c r="I143" i="262"/>
  <c r="H143" i="295"/>
  <c r="H143" i="306"/>
  <c r="I143" i="311"/>
  <c r="H142" i="255"/>
  <c r="H142" i="277"/>
  <c r="I143" i="277"/>
  <c r="H142" i="281"/>
  <c r="H142" i="313"/>
  <c r="I143" i="254"/>
  <c r="H142" i="254"/>
  <c r="H143" i="236"/>
  <c r="H143" i="294"/>
  <c r="I144" i="294"/>
  <c r="I143" i="294"/>
  <c r="H142" i="294"/>
  <c r="H143" i="271"/>
  <c r="I144" i="271"/>
  <c r="H143" i="309"/>
  <c r="I144" i="309"/>
  <c r="I144" i="310"/>
  <c r="H143" i="310"/>
  <c r="H142" i="243"/>
  <c r="I143" i="243"/>
  <c r="H142" i="303"/>
  <c r="H142" i="301"/>
  <c r="H143" i="270"/>
  <c r="H143" i="305"/>
  <c r="H142" i="239"/>
  <c r="H143" i="280"/>
  <c r="H142" i="266"/>
  <c r="I143" i="266"/>
  <c r="H143" i="230"/>
  <c r="I144" i="230"/>
  <c r="H142" i="260"/>
  <c r="I144" i="282"/>
  <c r="H143" i="282"/>
  <c r="H143" i="252"/>
  <c r="H143" i="251"/>
  <c r="I143" i="248"/>
  <c r="H142" i="248"/>
  <c r="H143" i="269"/>
  <c r="I144" i="269"/>
  <c r="H142" i="263"/>
  <c r="I143" i="263"/>
  <c r="I143" i="280"/>
  <c r="H142" i="280"/>
  <c r="I143" i="242"/>
  <c r="H142" i="242"/>
  <c r="H142" i="298"/>
  <c r="H142" i="258"/>
  <c r="I143" i="290"/>
  <c r="H142" i="270"/>
  <c r="H143" i="299"/>
  <c r="I144" i="299"/>
  <c r="H143" i="313"/>
  <c r="I144" i="313"/>
  <c r="H142" i="287"/>
  <c r="I144" i="292"/>
  <c r="H143" i="292"/>
  <c r="H143" i="289"/>
  <c r="H143" i="312"/>
  <c r="I143" i="289"/>
  <c r="H142" i="289"/>
  <c r="H142" i="283"/>
  <c r="H142" i="296"/>
  <c r="H143" i="239"/>
  <c r="H142" i="252"/>
  <c r="I144" i="259"/>
  <c r="H143" i="259"/>
  <c r="H142" i="232"/>
  <c r="H143" i="244"/>
  <c r="H143" i="291"/>
  <c r="I144" i="291"/>
  <c r="G142" i="249"/>
  <c r="H142" i="265"/>
  <c r="I143" i="265"/>
  <c r="H142" i="288"/>
  <c r="H143" i="308"/>
  <c r="H142" i="278"/>
  <c r="I143" i="235"/>
  <c r="H142" i="235"/>
  <c r="I143" i="229"/>
  <c r="H142" i="229"/>
  <c r="I144" i="265"/>
  <c r="H143" i="265"/>
  <c r="H142" i="314"/>
  <c r="G141" i="249"/>
  <c r="H142" i="257"/>
  <c r="I143" i="257"/>
  <c r="H143" i="247"/>
  <c r="I144" i="247"/>
  <c r="H143" i="231"/>
  <c r="I143" i="282"/>
  <c r="H142" i="282"/>
  <c r="H142" i="305"/>
  <c r="H143" i="242"/>
  <c r="I143" i="300"/>
  <c r="H142" i="300"/>
  <c r="H143" i="245"/>
  <c r="I144" i="300"/>
  <c r="H143" i="300"/>
  <c r="H142" i="286"/>
  <c r="H142" i="234"/>
  <c r="H142" i="253"/>
  <c r="I143" i="253"/>
  <c r="H142" i="307"/>
  <c r="I144" i="276"/>
  <c r="H143" i="276"/>
  <c r="I143" i="292"/>
  <c r="H142" i="292"/>
  <c r="I143" i="291"/>
  <c r="H142" i="291"/>
  <c r="I144" i="235"/>
  <c r="H143" i="235"/>
  <c r="I143" i="304"/>
  <c r="H142" i="304"/>
  <c r="H143" i="253"/>
  <c r="I144" i="302"/>
  <c r="H143" i="302"/>
  <c r="I144" i="268"/>
  <c r="H143" i="268"/>
  <c r="H142" i="306"/>
  <c r="I144" i="246"/>
  <c r="H143" i="246"/>
  <c r="H142" i="245"/>
  <c r="I143" i="245"/>
  <c r="I143" i="230"/>
  <c r="H142" i="230"/>
  <c r="I144" i="240"/>
  <c r="H143" i="240"/>
  <c r="I144" i="248"/>
  <c r="H143" i="248"/>
  <c r="I142" i="266"/>
  <c r="I143" i="250"/>
  <c r="H142" i="250"/>
  <c r="I143" i="236"/>
  <c r="H142" i="236"/>
  <c r="H142" i="308"/>
  <c r="G141" i="241"/>
  <c r="H142" i="276"/>
  <c r="H103" i="217" l="1"/>
  <c r="F102" i="217"/>
  <c r="H142" i="274"/>
  <c r="I143" i="259"/>
  <c r="H142" i="259"/>
  <c r="I144" i="267"/>
  <c r="I144" i="258"/>
  <c r="H142" i="297"/>
  <c r="I143" i="297"/>
  <c r="H143" i="275"/>
  <c r="I143" i="286"/>
  <c r="I144" i="231"/>
  <c r="H143" i="249"/>
  <c r="I144" i="249"/>
  <c r="I144" i="280"/>
  <c r="I143" i="301"/>
  <c r="I143" i="281"/>
  <c r="H142" i="241"/>
  <c r="I143" i="241"/>
  <c r="I143" i="306"/>
  <c r="I143" i="307"/>
  <c r="I144" i="242"/>
  <c r="I143" i="305"/>
  <c r="I143" i="288"/>
  <c r="I144" i="239"/>
  <c r="I143" i="296"/>
  <c r="I143" i="270"/>
  <c r="I143" i="258"/>
  <c r="I143" i="298"/>
  <c r="I144" i="236"/>
  <c r="I144" i="295"/>
  <c r="I144" i="229"/>
  <c r="I144" i="252"/>
  <c r="I143" i="267"/>
  <c r="I144" i="245"/>
  <c r="H142" i="249"/>
  <c r="I143" i="283"/>
  <c r="I144" i="289"/>
  <c r="I143" i="260"/>
  <c r="I144" i="270"/>
  <c r="I143" i="303"/>
  <c r="I143" i="313"/>
  <c r="I144" i="306"/>
  <c r="H143" i="241"/>
  <c r="I144" i="241"/>
  <c r="I144" i="255"/>
  <c r="I143" i="272"/>
  <c r="I144" i="301"/>
  <c r="I143" i="310"/>
  <c r="I144" i="233"/>
  <c r="I143" i="232"/>
  <c r="I143" i="252"/>
  <c r="I144" i="312"/>
  <c r="I143" i="240"/>
  <c r="I143" i="285"/>
  <c r="I143" i="231"/>
  <c r="I144" i="253"/>
  <c r="I143" i="276"/>
  <c r="I143" i="308"/>
  <c r="I143" i="234"/>
  <c r="I143" i="314"/>
  <c r="I143" i="278"/>
  <c r="I144" i="308"/>
  <c r="I144" i="244"/>
  <c r="I143" i="287"/>
  <c r="I144" i="251"/>
  <c r="I143" i="239"/>
  <c r="I144" i="305"/>
  <c r="I143" i="255"/>
  <c r="I144" i="277"/>
  <c r="I143" i="246"/>
  <c r="I143" i="316"/>
  <c r="I144" i="264"/>
  <c r="G103" i="217" l="1"/>
  <c r="I144" i="275"/>
  <c r="I143" i="249"/>
  <c r="H104" i="217" s="1"/>
  <c r="E63" i="230" l="1"/>
  <c r="I63" i="230"/>
  <c r="J63" i="230" s="1"/>
  <c r="E63" i="268" l="1"/>
  <c r="I63" i="268"/>
  <c r="J63" i="268" s="1"/>
  <c r="E63" i="242"/>
  <c r="I63" i="242"/>
  <c r="J63" i="242" s="1"/>
  <c r="E63" i="280"/>
  <c r="I63" i="280"/>
  <c r="J63" i="280" s="1"/>
  <c r="E63" i="269"/>
  <c r="I63" i="269"/>
  <c r="J63" i="269" s="1"/>
  <c r="E63" i="283"/>
  <c r="I63" i="283"/>
  <c r="J63" i="283" s="1"/>
  <c r="E63" i="299"/>
  <c r="I63" i="299"/>
  <c r="J63" i="299" s="1"/>
  <c r="E63" i="244"/>
  <c r="I63" i="244"/>
  <c r="J63" i="244" s="1"/>
  <c r="E63" i="288"/>
  <c r="I63" i="288"/>
  <c r="J63" i="288" s="1"/>
  <c r="E63" i="232"/>
  <c r="I63" i="232"/>
  <c r="J63" i="232" s="1"/>
  <c r="E63" i="239"/>
  <c r="I63" i="239"/>
  <c r="J63" i="239" s="1"/>
  <c r="E63" i="247"/>
  <c r="I63" i="247"/>
  <c r="J63" i="247" s="1"/>
  <c r="E63" i="282"/>
  <c r="I63" i="282"/>
  <c r="J63" i="282" s="1"/>
  <c r="E63" i="275"/>
  <c r="I63" i="275"/>
  <c r="J63" i="275" s="1"/>
  <c r="E63" i="300"/>
  <c r="I63" i="300"/>
  <c r="J63" i="300" s="1"/>
  <c r="E63" i="295"/>
  <c r="I63" i="295"/>
  <c r="J63" i="295" s="1"/>
  <c r="E63" i="281"/>
  <c r="I63" i="281"/>
  <c r="J63" i="281" s="1"/>
  <c r="E63" i="289"/>
  <c r="I63" i="289"/>
  <c r="J63" i="289" s="1"/>
  <c r="E63" i="306"/>
  <c r="I63" i="306"/>
  <c r="J63" i="306" s="1"/>
  <c r="E63" i="298"/>
  <c r="I63" i="298"/>
  <c r="J63" i="298" s="1"/>
  <c r="E63" i="305"/>
  <c r="I63" i="305"/>
  <c r="J63" i="305" s="1"/>
  <c r="E63" i="315"/>
  <c r="I63" i="315"/>
  <c r="J63" i="315" s="1"/>
  <c r="E63" i="316"/>
  <c r="I63" i="316"/>
  <c r="J63" i="316" s="1"/>
  <c r="E63" i="231"/>
  <c r="I63" i="231"/>
  <c r="J63" i="231" s="1"/>
  <c r="E63" i="263"/>
  <c r="I63" i="263"/>
  <c r="J63" i="263" s="1"/>
  <c r="E63" i="241"/>
  <c r="I63" i="241"/>
  <c r="J63" i="241" s="1"/>
  <c r="E63" i="302"/>
  <c r="I63" i="302"/>
  <c r="J63" i="302" s="1"/>
  <c r="E63" i="291"/>
  <c r="I63" i="291"/>
  <c r="J63" i="291" s="1"/>
  <c r="E63" i="311"/>
  <c r="I63" i="311"/>
  <c r="J63" i="311" s="1"/>
  <c r="E63" i="270"/>
  <c r="I63" i="270"/>
  <c r="J63" i="270" s="1"/>
  <c r="E63" i="254"/>
  <c r="I63" i="254"/>
  <c r="J63" i="254" s="1"/>
  <c r="E63" i="236"/>
  <c r="I63" i="236"/>
  <c r="J63" i="236" s="1"/>
  <c r="E63" i="229"/>
  <c r="I63" i="229"/>
  <c r="J63" i="229" s="1"/>
  <c r="E63" i="265"/>
  <c r="I63" i="265"/>
  <c r="J63" i="265" s="1"/>
  <c r="E63" i="266"/>
  <c r="I63" i="266"/>
  <c r="J63" i="266" s="1"/>
  <c r="E63" i="255"/>
  <c r="I63" i="255"/>
  <c r="J63" i="255" s="1"/>
  <c r="E63" i="278"/>
  <c r="I63" i="278"/>
  <c r="J63" i="278" s="1"/>
  <c r="E63" i="276"/>
  <c r="I63" i="276"/>
  <c r="J63" i="276" s="1"/>
  <c r="E63" i="246"/>
  <c r="I63" i="246"/>
  <c r="J63" i="246" s="1"/>
  <c r="E63" i="264"/>
  <c r="I63" i="264"/>
  <c r="J63" i="264" s="1"/>
  <c r="E63" i="237"/>
  <c r="I63" i="237"/>
  <c r="J63" i="237" s="1"/>
  <c r="E63" i="245"/>
  <c r="I63" i="245"/>
  <c r="J63" i="245" s="1"/>
  <c r="E63" i="253"/>
  <c r="I63" i="253"/>
  <c r="J63" i="253" s="1"/>
  <c r="E63" i="290"/>
  <c r="I63" i="290"/>
  <c r="J63" i="290" s="1"/>
  <c r="E63" i="292"/>
  <c r="I63" i="292"/>
  <c r="J63" i="292" s="1"/>
  <c r="E63" i="279"/>
  <c r="I63" i="279"/>
  <c r="J63" i="279" s="1"/>
  <c r="E63" i="287"/>
  <c r="I63" i="287"/>
  <c r="J63" i="287" s="1"/>
  <c r="E63" i="297"/>
  <c r="I63" i="297"/>
  <c r="J63" i="297" s="1"/>
  <c r="E63" i="296"/>
  <c r="I63" i="296"/>
  <c r="J63" i="296" s="1"/>
  <c r="E63" i="303"/>
  <c r="I63" i="303"/>
  <c r="J63" i="303" s="1"/>
  <c r="E63" i="309"/>
  <c r="I63" i="309"/>
  <c r="J63" i="309" s="1"/>
  <c r="E63" i="314"/>
  <c r="I63" i="314"/>
  <c r="J63" i="314" s="1"/>
  <c r="E63" i="250"/>
  <c r="I63" i="250"/>
  <c r="J63" i="250" s="1"/>
  <c r="E63" i="240"/>
  <c r="I63" i="240"/>
  <c r="J63" i="240" s="1"/>
  <c r="E63" i="234"/>
  <c r="I63" i="234"/>
  <c r="J63" i="234" s="1"/>
  <c r="E63" i="256"/>
  <c r="I63" i="256"/>
  <c r="J63" i="256" s="1"/>
  <c r="E63" i="249"/>
  <c r="I63" i="249"/>
  <c r="J63" i="249" s="1"/>
  <c r="E63" i="277"/>
  <c r="I63" i="277"/>
  <c r="J63" i="277" s="1"/>
  <c r="E63" i="304"/>
  <c r="I63" i="304"/>
  <c r="J63" i="304" s="1"/>
  <c r="E63" i="310"/>
  <c r="I63" i="310"/>
  <c r="J63" i="310" s="1"/>
  <c r="E63" i="312"/>
  <c r="I63" i="312"/>
  <c r="J63" i="312" s="1"/>
  <c r="E63" i="233"/>
  <c r="I63" i="233"/>
  <c r="J63" i="233" s="1"/>
  <c r="E63" i="274"/>
  <c r="I63" i="274"/>
  <c r="J63" i="274" s="1"/>
  <c r="E63" i="259"/>
  <c r="I63" i="259"/>
  <c r="J63" i="259" s="1"/>
  <c r="E63" i="272"/>
  <c r="I63" i="272"/>
  <c r="J63" i="272" s="1"/>
  <c r="E63" i="261"/>
  <c r="I63" i="261"/>
  <c r="J63" i="261" s="1"/>
  <c r="E63" i="257"/>
  <c r="I63" i="257"/>
  <c r="J63" i="257" s="1"/>
  <c r="E63" i="252"/>
  <c r="I63" i="252"/>
  <c r="J63" i="252" s="1"/>
  <c r="E63" i="258"/>
  <c r="I63" i="258"/>
  <c r="J63" i="258" s="1"/>
  <c r="E63" i="248"/>
  <c r="I63" i="248"/>
  <c r="J63" i="248" s="1"/>
  <c r="E63" i="267"/>
  <c r="I63" i="267"/>
  <c r="J63" i="267" s="1"/>
  <c r="E63" i="262"/>
  <c r="I63" i="262"/>
  <c r="J63" i="262" s="1"/>
  <c r="E63" i="260"/>
  <c r="I63" i="260"/>
  <c r="J63" i="260" s="1"/>
  <c r="E63" i="235"/>
  <c r="I63" i="235"/>
  <c r="J63" i="235" s="1"/>
  <c r="E63" i="243"/>
  <c r="I63" i="243"/>
  <c r="J63" i="243" s="1"/>
  <c r="E63" i="251"/>
  <c r="I63" i="251"/>
  <c r="J63" i="251" s="1"/>
  <c r="E63" i="271"/>
  <c r="I63" i="271"/>
  <c r="J63" i="271" s="1"/>
  <c r="E63" i="286"/>
  <c r="I63" i="286"/>
  <c r="J63" i="286" s="1"/>
  <c r="E63" i="284"/>
  <c r="I63" i="284"/>
  <c r="J63" i="284" s="1"/>
  <c r="E63" i="308"/>
  <c r="I63" i="308"/>
  <c r="J63" i="308" s="1"/>
  <c r="E63" i="285"/>
  <c r="I63" i="285"/>
  <c r="J63" i="285" s="1"/>
  <c r="E63" i="293"/>
  <c r="I63" i="293"/>
  <c r="J63" i="293" s="1"/>
  <c r="E63" i="294"/>
  <c r="I63" i="294"/>
  <c r="J63" i="294" s="1"/>
  <c r="E63" i="301"/>
  <c r="I63" i="301"/>
  <c r="J63" i="301" s="1"/>
  <c r="E63" i="307"/>
  <c r="I63" i="307"/>
  <c r="J63" i="307" s="1"/>
  <c r="E63" i="313"/>
  <c r="I63" i="313"/>
  <c r="J63" i="313" s="1"/>
  <c r="E62" i="230" l="1"/>
  <c r="E65" i="230" s="1"/>
  <c r="F70" i="230" s="1"/>
  <c r="G70" i="230" s="1"/>
  <c r="I62" i="230"/>
  <c r="J62" i="230" s="1"/>
  <c r="E62" i="237" l="1"/>
  <c r="E65" i="237" s="1"/>
  <c r="I62" i="237"/>
  <c r="J62" i="237" s="1"/>
  <c r="E62" i="251"/>
  <c r="E65" i="251" s="1"/>
  <c r="I62" i="251"/>
  <c r="J62" i="251" s="1"/>
  <c r="E62" i="252"/>
  <c r="E65" i="252" s="1"/>
  <c r="I62" i="252"/>
  <c r="J62" i="252" s="1"/>
  <c r="E62" i="276"/>
  <c r="E65" i="276" s="1"/>
  <c r="I62" i="276"/>
  <c r="J62" i="276" s="1"/>
  <c r="E62" i="290"/>
  <c r="E65" i="290" s="1"/>
  <c r="I62" i="290"/>
  <c r="J62" i="290" s="1"/>
  <c r="E62" i="307"/>
  <c r="E65" i="307" s="1"/>
  <c r="I62" i="307"/>
  <c r="J62" i="307" s="1"/>
  <c r="E62" i="256"/>
  <c r="E65" i="256" s="1"/>
  <c r="I62" i="256"/>
  <c r="J62" i="256" s="1"/>
  <c r="E62" i="260"/>
  <c r="E65" i="260" s="1"/>
  <c r="I62" i="260"/>
  <c r="J62" i="260" s="1"/>
  <c r="E62" i="268"/>
  <c r="E65" i="268" s="1"/>
  <c r="I62" i="268"/>
  <c r="J62" i="268" s="1"/>
  <c r="E62" i="258"/>
  <c r="E65" i="258" s="1"/>
  <c r="I62" i="258"/>
  <c r="J62" i="258" s="1"/>
  <c r="E62" i="257"/>
  <c r="E65" i="257" s="1"/>
  <c r="I62" i="257"/>
  <c r="J62" i="257" s="1"/>
  <c r="E62" i="229"/>
  <c r="E65" i="229" s="1"/>
  <c r="I62" i="229"/>
  <c r="J62" i="229" s="1"/>
  <c r="E62" i="243"/>
  <c r="E65" i="243" s="1"/>
  <c r="I62" i="243"/>
  <c r="J62" i="243" s="1"/>
  <c r="E62" i="263"/>
  <c r="E65" i="263" s="1"/>
  <c r="I62" i="263"/>
  <c r="J62" i="263" s="1"/>
  <c r="E62" i="279"/>
  <c r="E65" i="279" s="1"/>
  <c r="I62" i="279"/>
  <c r="J62" i="279" s="1"/>
  <c r="E62" i="242"/>
  <c r="E65" i="242" s="1"/>
  <c r="I62" i="242"/>
  <c r="J62" i="242" s="1"/>
  <c r="E62" i="250"/>
  <c r="E65" i="250" s="1"/>
  <c r="I62" i="250"/>
  <c r="J62" i="250" s="1"/>
  <c r="E62" i="287"/>
  <c r="E65" i="287" s="1"/>
  <c r="I62" i="287"/>
  <c r="J62" i="287" s="1"/>
  <c r="E62" i="274"/>
  <c r="E65" i="274" s="1"/>
  <c r="I62" i="274"/>
  <c r="J62" i="274" s="1"/>
  <c r="E62" i="291"/>
  <c r="E65" i="291" s="1"/>
  <c r="I62" i="291"/>
  <c r="J62" i="291" s="1"/>
  <c r="E62" i="281"/>
  <c r="E65" i="281" s="1"/>
  <c r="I62" i="281"/>
  <c r="J62" i="281" s="1"/>
  <c r="E62" i="280"/>
  <c r="E65" i="280" s="1"/>
  <c r="I62" i="280"/>
  <c r="J62" i="280" s="1"/>
  <c r="E62" i="288"/>
  <c r="E65" i="288" s="1"/>
  <c r="I62" i="288"/>
  <c r="J62" i="288" s="1"/>
  <c r="E62" i="295"/>
  <c r="E65" i="295" s="1"/>
  <c r="I62" i="295"/>
  <c r="J62" i="295" s="1"/>
  <c r="E62" i="304"/>
  <c r="E65" i="304" s="1"/>
  <c r="I62" i="304"/>
  <c r="J62" i="304" s="1"/>
  <c r="E62" i="309"/>
  <c r="E65" i="309" s="1"/>
  <c r="I62" i="309"/>
  <c r="J62" i="309" s="1"/>
  <c r="E62" i="313"/>
  <c r="E65" i="313" s="1"/>
  <c r="I62" i="313"/>
  <c r="J62" i="313" s="1"/>
  <c r="E62" i="232"/>
  <c r="E65" i="232" s="1"/>
  <c r="I62" i="232"/>
  <c r="J62" i="232" s="1"/>
  <c r="E62" i="231"/>
  <c r="E65" i="231" s="1"/>
  <c r="I62" i="231"/>
  <c r="J62" i="231" s="1"/>
  <c r="E62" i="236"/>
  <c r="E65" i="236" s="1"/>
  <c r="I62" i="236"/>
  <c r="J62" i="236" s="1"/>
  <c r="E62" i="293"/>
  <c r="E65" i="293" s="1"/>
  <c r="I62" i="293"/>
  <c r="J62" i="293" s="1"/>
  <c r="E62" i="297"/>
  <c r="E65" i="297" s="1"/>
  <c r="I62" i="297"/>
  <c r="J62" i="297" s="1"/>
  <c r="E62" i="311"/>
  <c r="E65" i="311" s="1"/>
  <c r="I62" i="311"/>
  <c r="J62" i="311" s="1"/>
  <c r="E62" i="234"/>
  <c r="E65" i="234" s="1"/>
  <c r="I62" i="234"/>
  <c r="J62" i="234" s="1"/>
  <c r="E62" i="241"/>
  <c r="E65" i="241" s="1"/>
  <c r="I62" i="241"/>
  <c r="J62" i="241" s="1"/>
  <c r="E62" i="265"/>
  <c r="E65" i="265" s="1"/>
  <c r="I62" i="265"/>
  <c r="J62" i="265" s="1"/>
  <c r="E62" i="253"/>
  <c r="E65" i="253" s="1"/>
  <c r="I62" i="253"/>
  <c r="J62" i="253" s="1"/>
  <c r="E62" i="275"/>
  <c r="E65" i="275" s="1"/>
  <c r="I62" i="275"/>
  <c r="J62" i="275" s="1"/>
  <c r="E62" i="235"/>
  <c r="E65" i="235" s="1"/>
  <c r="I62" i="235"/>
  <c r="J62" i="235" s="1"/>
  <c r="E62" i="259"/>
  <c r="E65" i="259" s="1"/>
  <c r="I62" i="259"/>
  <c r="J62" i="259" s="1"/>
  <c r="E62" i="277"/>
  <c r="E65" i="277" s="1"/>
  <c r="I62" i="277"/>
  <c r="J62" i="277" s="1"/>
  <c r="E62" i="240"/>
  <c r="E65" i="240" s="1"/>
  <c r="I62" i="240"/>
  <c r="J62" i="240" s="1"/>
  <c r="E62" i="248"/>
  <c r="E65" i="248" s="1"/>
  <c r="I62" i="248"/>
  <c r="J62" i="248" s="1"/>
  <c r="E62" i="285"/>
  <c r="E65" i="285" s="1"/>
  <c r="I62" i="285"/>
  <c r="J62" i="285" s="1"/>
  <c r="E62" i="272"/>
  <c r="E65" i="272" s="1"/>
  <c r="I62" i="272"/>
  <c r="J62" i="272" s="1"/>
  <c r="E62" i="283"/>
  <c r="E65" i="283" s="1"/>
  <c r="I62" i="283"/>
  <c r="J62" i="283" s="1"/>
  <c r="E62" i="301"/>
  <c r="E65" i="301" s="1"/>
  <c r="I62" i="301"/>
  <c r="J62" i="301" s="1"/>
  <c r="E62" i="303"/>
  <c r="E65" i="303" s="1"/>
  <c r="I62" i="303"/>
  <c r="J62" i="303" s="1"/>
  <c r="E62" i="286"/>
  <c r="E65" i="286" s="1"/>
  <c r="I62" i="286"/>
  <c r="J62" i="286" s="1"/>
  <c r="E62" i="298"/>
  <c r="E65" i="298" s="1"/>
  <c r="I62" i="298"/>
  <c r="J62" i="298" s="1"/>
  <c r="E62" i="302"/>
  <c r="E65" i="302" s="1"/>
  <c r="I62" i="302"/>
  <c r="J62" i="302" s="1"/>
  <c r="E62" i="308"/>
  <c r="E65" i="308" s="1"/>
  <c r="I62" i="308"/>
  <c r="J62" i="308" s="1"/>
  <c r="E62" i="312"/>
  <c r="E65" i="312" s="1"/>
  <c r="I62" i="312"/>
  <c r="J62" i="312" s="1"/>
  <c r="E62" i="315"/>
  <c r="E65" i="315" s="1"/>
  <c r="I62" i="315"/>
  <c r="J62" i="315" s="1"/>
  <c r="E62" i="239"/>
  <c r="E65" i="239" s="1"/>
  <c r="I62" i="239"/>
  <c r="J62" i="239" s="1"/>
  <c r="E62" i="264"/>
  <c r="E65" i="264" s="1"/>
  <c r="I62" i="264"/>
  <c r="J62" i="264" s="1"/>
  <c r="E62" i="262"/>
  <c r="E65" i="262" s="1"/>
  <c r="I62" i="262"/>
  <c r="J62" i="262" s="1"/>
  <c r="E62" i="261"/>
  <c r="E65" i="261" s="1"/>
  <c r="I62" i="261"/>
  <c r="J62" i="261" s="1"/>
  <c r="E62" i="267"/>
  <c r="E65" i="267" s="1"/>
  <c r="I62" i="267"/>
  <c r="J62" i="267" s="1"/>
  <c r="E62" i="244"/>
  <c r="E65" i="244" s="1"/>
  <c r="I62" i="244"/>
  <c r="J62" i="244" s="1"/>
  <c r="E62" i="299"/>
  <c r="E65" i="299" s="1"/>
  <c r="I62" i="299"/>
  <c r="J62" i="299" s="1"/>
  <c r="E62" i="289"/>
  <c r="E65" i="289" s="1"/>
  <c r="I62" i="289"/>
  <c r="J62" i="289" s="1"/>
  <c r="E62" i="282"/>
  <c r="E65" i="282" s="1"/>
  <c r="I62" i="282"/>
  <c r="J62" i="282" s="1"/>
  <c r="E62" i="316"/>
  <c r="E65" i="316" s="1"/>
  <c r="I62" i="316"/>
  <c r="J62" i="316" s="1"/>
  <c r="E62" i="249"/>
  <c r="E65" i="249" s="1"/>
  <c r="I62" i="249"/>
  <c r="J62" i="249" s="1"/>
  <c r="E62" i="296"/>
  <c r="E65" i="296" s="1"/>
  <c r="I62" i="296"/>
  <c r="J62" i="296" s="1"/>
  <c r="E62" i="247"/>
  <c r="E65" i="247" s="1"/>
  <c r="I62" i="247"/>
  <c r="J62" i="247" s="1"/>
  <c r="E62" i="245"/>
  <c r="E65" i="245" s="1"/>
  <c r="I62" i="245"/>
  <c r="J62" i="245" s="1"/>
  <c r="E62" i="266"/>
  <c r="E65" i="266" s="1"/>
  <c r="I62" i="266"/>
  <c r="J62" i="266" s="1"/>
  <c r="E62" i="269"/>
  <c r="E65" i="269" s="1"/>
  <c r="I62" i="269"/>
  <c r="J62" i="269" s="1"/>
  <c r="E62" i="233"/>
  <c r="E65" i="233" s="1"/>
  <c r="I62" i="233"/>
  <c r="J62" i="233" s="1"/>
  <c r="E62" i="255"/>
  <c r="E65" i="255" s="1"/>
  <c r="I62" i="255"/>
  <c r="J62" i="255" s="1"/>
  <c r="E62" i="271"/>
  <c r="E65" i="271" s="1"/>
  <c r="I62" i="271"/>
  <c r="J62" i="271" s="1"/>
  <c r="E62" i="246"/>
  <c r="E65" i="246" s="1"/>
  <c r="I62" i="246"/>
  <c r="J62" i="246" s="1"/>
  <c r="E62" i="254"/>
  <c r="E65" i="254" s="1"/>
  <c r="I62" i="254"/>
  <c r="J62" i="254" s="1"/>
  <c r="E62" i="270"/>
  <c r="E65" i="270" s="1"/>
  <c r="I62" i="270"/>
  <c r="J62" i="270" s="1"/>
  <c r="E62" i="278"/>
  <c r="E65" i="278" s="1"/>
  <c r="I62" i="278"/>
  <c r="J62" i="278" s="1"/>
  <c r="E62" i="294"/>
  <c r="E65" i="294" s="1"/>
  <c r="I62" i="294"/>
  <c r="J62" i="294" s="1"/>
  <c r="E62" i="305"/>
  <c r="E65" i="305" s="1"/>
  <c r="I62" i="305"/>
  <c r="J62" i="305" s="1"/>
  <c r="E62" i="284"/>
  <c r="E65" i="284" s="1"/>
  <c r="I62" i="284"/>
  <c r="J62" i="284" s="1"/>
  <c r="E62" i="292"/>
  <c r="E65" i="292" s="1"/>
  <c r="I62" i="292"/>
  <c r="J62" i="292" s="1"/>
  <c r="E62" i="300"/>
  <c r="E65" i="300" s="1"/>
  <c r="I62" i="300"/>
  <c r="J62" i="300" s="1"/>
  <c r="E62" i="306"/>
  <c r="E65" i="306" s="1"/>
  <c r="I62" i="306"/>
  <c r="J62" i="306" s="1"/>
  <c r="E62" i="310"/>
  <c r="E65" i="310" s="1"/>
  <c r="I62" i="310"/>
  <c r="J62" i="310" s="1"/>
  <c r="E62" i="314"/>
  <c r="E65" i="314" s="1"/>
  <c r="I62" i="314"/>
  <c r="J62" i="314" s="1"/>
  <c r="E60" i="230" l="1"/>
  <c r="I60" i="230"/>
  <c r="E61" i="230"/>
  <c r="I61" i="230"/>
  <c r="J61" i="230" s="1"/>
  <c r="J60" i="230" l="1"/>
  <c r="I65" i="230"/>
  <c r="E83" i="230"/>
  <c r="E81" i="230"/>
  <c r="E79" i="230"/>
  <c r="E82" i="230"/>
  <c r="E80" i="230"/>
  <c r="F80" i="230"/>
  <c r="F81" i="230"/>
  <c r="F83" i="230"/>
  <c r="F82" i="230"/>
  <c r="F79" i="230"/>
  <c r="E77" i="230"/>
  <c r="E76" i="230"/>
  <c r="E78" i="230"/>
  <c r="F77" i="230"/>
  <c r="F76" i="230"/>
  <c r="F78" i="230"/>
  <c r="E61" i="299"/>
  <c r="E61" i="308"/>
  <c r="E61" i="306"/>
  <c r="E61" i="302"/>
  <c r="E61" i="301"/>
  <c r="E60" i="301"/>
  <c r="E60" i="302"/>
  <c r="E60" i="308"/>
  <c r="E60" i="306"/>
  <c r="E61" i="263"/>
  <c r="E61" i="270"/>
  <c r="I61" i="270"/>
  <c r="J61" i="270" s="1"/>
  <c r="E61" i="258"/>
  <c r="I61" i="258"/>
  <c r="J61" i="258" s="1"/>
  <c r="E61" i="294"/>
  <c r="I61" i="294"/>
  <c r="J61" i="294" s="1"/>
  <c r="E61" i="316"/>
  <c r="I61" i="316"/>
  <c r="J61" i="316" s="1"/>
  <c r="I60" i="229"/>
  <c r="E60" i="236"/>
  <c r="I60" i="236"/>
  <c r="E60" i="265"/>
  <c r="I60" i="265"/>
  <c r="E60" i="293"/>
  <c r="I60" i="293"/>
  <c r="E60" i="295"/>
  <c r="I60" i="295"/>
  <c r="E61" i="231"/>
  <c r="I61" i="231"/>
  <c r="J61" i="231" s="1"/>
  <c r="E61" i="246"/>
  <c r="I61" i="246"/>
  <c r="J61" i="246" s="1"/>
  <c r="E61" i="242"/>
  <c r="I61" i="242"/>
  <c r="J61" i="242" s="1"/>
  <c r="E61" i="252"/>
  <c r="I61" i="252"/>
  <c r="J61" i="252" s="1"/>
  <c r="E61" i="248"/>
  <c r="I61" i="248"/>
  <c r="J61" i="248" s="1"/>
  <c r="E61" i="237"/>
  <c r="I61" i="237"/>
  <c r="J61" i="237" s="1"/>
  <c r="E61" i="245"/>
  <c r="I61" i="245"/>
  <c r="J61" i="245" s="1"/>
  <c r="E61" i="253"/>
  <c r="I61" i="253"/>
  <c r="J61" i="253" s="1"/>
  <c r="E61" i="257"/>
  <c r="I61" i="257"/>
  <c r="J61" i="257" s="1"/>
  <c r="E61" i="261"/>
  <c r="I61" i="261"/>
  <c r="J61" i="261" s="1"/>
  <c r="E61" i="265"/>
  <c r="I61" i="265"/>
  <c r="J61" i="265" s="1"/>
  <c r="E61" i="282"/>
  <c r="I61" i="282"/>
  <c r="J61" i="282" s="1"/>
  <c r="E61" i="271"/>
  <c r="I61" i="271"/>
  <c r="J61" i="271" s="1"/>
  <c r="E61" i="280"/>
  <c r="I61" i="280"/>
  <c r="J61" i="280" s="1"/>
  <c r="I61" i="308"/>
  <c r="J61" i="308" s="1"/>
  <c r="E61" i="285"/>
  <c r="I61" i="285"/>
  <c r="J61" i="285" s="1"/>
  <c r="E61" i="293"/>
  <c r="I61" i="293"/>
  <c r="J61" i="293" s="1"/>
  <c r="E61" i="304"/>
  <c r="I61" i="304"/>
  <c r="J61" i="304" s="1"/>
  <c r="I61" i="299"/>
  <c r="J61" i="299" s="1"/>
  <c r="I61" i="306"/>
  <c r="J61" i="306" s="1"/>
  <c r="E61" i="309"/>
  <c r="I61" i="309"/>
  <c r="J61" i="309" s="1"/>
  <c r="E61" i="314"/>
  <c r="I61" i="314"/>
  <c r="J61" i="314" s="1"/>
  <c r="E60" i="235"/>
  <c r="I60" i="235"/>
  <c r="E60" i="243"/>
  <c r="I60" i="243"/>
  <c r="E60" i="273"/>
  <c r="E60" i="249"/>
  <c r="I60" i="249"/>
  <c r="E60" i="237"/>
  <c r="I60" i="237"/>
  <c r="E60" i="277"/>
  <c r="I60" i="277"/>
  <c r="E60" i="242"/>
  <c r="I60" i="242"/>
  <c r="E60" i="250"/>
  <c r="I60" i="250"/>
  <c r="E60" i="256"/>
  <c r="I60" i="256"/>
  <c r="E60" i="260"/>
  <c r="I60" i="260"/>
  <c r="E60" i="264"/>
  <c r="I60" i="264"/>
  <c r="E60" i="268"/>
  <c r="I60" i="268"/>
  <c r="E60" i="272"/>
  <c r="I60" i="272"/>
  <c r="E60" i="285"/>
  <c r="I60" i="285"/>
  <c r="E60" i="291"/>
  <c r="I60" i="291"/>
  <c r="E60" i="280"/>
  <c r="I60" i="280"/>
  <c r="E60" i="288"/>
  <c r="I60" i="288"/>
  <c r="E60" i="305"/>
  <c r="I60" i="305"/>
  <c r="E60" i="300"/>
  <c r="I60" i="300"/>
  <c r="I60" i="306"/>
  <c r="E60" i="312"/>
  <c r="I60" i="312"/>
  <c r="E60" i="315"/>
  <c r="I60" i="315"/>
  <c r="E72" i="230"/>
  <c r="E71" i="230"/>
  <c r="E75" i="230"/>
  <c r="E70" i="230"/>
  <c r="E73" i="230"/>
  <c r="E74" i="230"/>
  <c r="F73" i="230"/>
  <c r="F75" i="230"/>
  <c r="F74" i="230"/>
  <c r="H70" i="230"/>
  <c r="F72" i="230"/>
  <c r="F71" i="230"/>
  <c r="E61" i="254"/>
  <c r="I61" i="254"/>
  <c r="J61" i="254" s="1"/>
  <c r="E61" i="239"/>
  <c r="I61" i="239"/>
  <c r="J61" i="239" s="1"/>
  <c r="E61" i="262"/>
  <c r="I61" i="262"/>
  <c r="J61" i="262" s="1"/>
  <c r="E61" i="288"/>
  <c r="I61" i="288"/>
  <c r="J61" i="288" s="1"/>
  <c r="E61" i="295"/>
  <c r="I61" i="295"/>
  <c r="J61" i="295" s="1"/>
  <c r="E61" i="311"/>
  <c r="I61" i="311"/>
  <c r="J61" i="311" s="1"/>
  <c r="E60" i="239"/>
  <c r="I60" i="239"/>
  <c r="E60" i="244"/>
  <c r="I60" i="244"/>
  <c r="E60" i="261"/>
  <c r="I60" i="261"/>
  <c r="E60" i="298"/>
  <c r="I60" i="298"/>
  <c r="E60" i="290"/>
  <c r="I60" i="290"/>
  <c r="E60" i="313"/>
  <c r="I60" i="313"/>
  <c r="E61" i="236"/>
  <c r="I61" i="236"/>
  <c r="J61" i="236" s="1"/>
  <c r="E61" i="229"/>
  <c r="I61" i="229"/>
  <c r="J61" i="229" s="1"/>
  <c r="E61" i="272"/>
  <c r="I61" i="272"/>
  <c r="J61" i="272" s="1"/>
  <c r="E61" i="244"/>
  <c r="I61" i="244"/>
  <c r="J61" i="244" s="1"/>
  <c r="E61" i="240"/>
  <c r="I61" i="240"/>
  <c r="J61" i="240" s="1"/>
  <c r="E61" i="235"/>
  <c r="I61" i="235"/>
  <c r="J61" i="235" s="1"/>
  <c r="E61" i="243"/>
  <c r="I61" i="243"/>
  <c r="J61" i="243" s="1"/>
  <c r="E61" i="251"/>
  <c r="I61" i="251"/>
  <c r="J61" i="251" s="1"/>
  <c r="E61" i="256"/>
  <c r="I61" i="256"/>
  <c r="J61" i="256" s="1"/>
  <c r="E61" i="260"/>
  <c r="I61" i="260"/>
  <c r="J61" i="260" s="1"/>
  <c r="E61" i="264"/>
  <c r="I61" i="264"/>
  <c r="J61" i="264" s="1"/>
  <c r="E61" i="268"/>
  <c r="I61" i="268"/>
  <c r="J61" i="268" s="1"/>
  <c r="E61" i="269"/>
  <c r="I61" i="269"/>
  <c r="J61" i="269" s="1"/>
  <c r="E61" i="277"/>
  <c r="I61" i="277"/>
  <c r="J61" i="277" s="1"/>
  <c r="E61" i="290"/>
  <c r="I61" i="290"/>
  <c r="J61" i="290" s="1"/>
  <c r="E61" i="283"/>
  <c r="I61" i="283"/>
  <c r="J61" i="283" s="1"/>
  <c r="E61" i="291"/>
  <c r="I61" i="291"/>
  <c r="J61" i="291" s="1"/>
  <c r="I61" i="302"/>
  <c r="J61" i="302" s="1"/>
  <c r="E61" i="298"/>
  <c r="I61" i="298"/>
  <c r="J61" i="298" s="1"/>
  <c r="E61" i="305"/>
  <c r="I61" i="305"/>
  <c r="J61" i="305" s="1"/>
  <c r="E61" i="312"/>
  <c r="I61" i="312"/>
  <c r="J61" i="312" s="1"/>
  <c r="E61" i="313"/>
  <c r="I61" i="313"/>
  <c r="J61" i="313" s="1"/>
  <c r="E60" i="232"/>
  <c r="I60" i="232"/>
  <c r="E60" i="279"/>
  <c r="I60" i="279"/>
  <c r="E60" i="269"/>
  <c r="I60" i="269"/>
  <c r="E60" i="275"/>
  <c r="I60" i="275"/>
  <c r="E60" i="233"/>
  <c r="I60" i="233"/>
  <c r="E60" i="271"/>
  <c r="I60" i="271"/>
  <c r="E60" i="240"/>
  <c r="I60" i="240"/>
  <c r="E60" i="248"/>
  <c r="I60" i="248"/>
  <c r="E60" i="255"/>
  <c r="I60" i="255"/>
  <c r="E60" i="259"/>
  <c r="I60" i="259"/>
  <c r="I60" i="263"/>
  <c r="E60" i="267"/>
  <c r="I60" i="267"/>
  <c r="I60" i="270"/>
  <c r="E60" i="278"/>
  <c r="I60" i="278"/>
  <c r="E60" i="283"/>
  <c r="I60" i="283"/>
  <c r="I60" i="303"/>
  <c r="E60" i="286"/>
  <c r="I60" i="286"/>
  <c r="I60" i="301"/>
  <c r="E60" i="307"/>
  <c r="I60" i="307"/>
  <c r="E60" i="309"/>
  <c r="I60" i="309"/>
  <c r="E60" i="310"/>
  <c r="I60" i="310"/>
  <c r="E60" i="314"/>
  <c r="I60" i="314"/>
  <c r="E61" i="250"/>
  <c r="I61" i="250"/>
  <c r="J61" i="250" s="1"/>
  <c r="E61" i="232"/>
  <c r="I61" i="232"/>
  <c r="J61" i="232" s="1"/>
  <c r="E61" i="247"/>
  <c r="I61" i="247"/>
  <c r="J61" i="247" s="1"/>
  <c r="E61" i="284"/>
  <c r="I61" i="284"/>
  <c r="J61" i="284" s="1"/>
  <c r="E61" i="266"/>
  <c r="I61" i="266"/>
  <c r="J61" i="266" s="1"/>
  <c r="E61" i="292"/>
  <c r="I61" i="292"/>
  <c r="J61" i="292" s="1"/>
  <c r="E61" i="279"/>
  <c r="I61" i="279"/>
  <c r="J61" i="279" s="1"/>
  <c r="E61" i="287"/>
  <c r="I61" i="287"/>
  <c r="J61" i="287" s="1"/>
  <c r="I61" i="301"/>
  <c r="J61" i="301" s="1"/>
  <c r="E61" i="307"/>
  <c r="I61" i="307"/>
  <c r="J61" i="307" s="1"/>
  <c r="E60" i="241"/>
  <c r="I60" i="241"/>
  <c r="E60" i="296"/>
  <c r="I60" i="296"/>
  <c r="E60" i="245"/>
  <c r="I60" i="245"/>
  <c r="E60" i="252"/>
  <c r="I60" i="252"/>
  <c r="E60" i="257"/>
  <c r="I60" i="257"/>
  <c r="E60" i="281"/>
  <c r="I60" i="281"/>
  <c r="E60" i="274"/>
  <c r="I60" i="274"/>
  <c r="E60" i="282"/>
  <c r="I60" i="282"/>
  <c r="I60" i="302"/>
  <c r="I60" i="308"/>
  <c r="E61" i="233"/>
  <c r="I61" i="233"/>
  <c r="J61" i="233" s="1"/>
  <c r="E61" i="278"/>
  <c r="I61" i="278"/>
  <c r="J61" i="278" s="1"/>
  <c r="E61" i="274"/>
  <c r="I61" i="274"/>
  <c r="J61" i="274" s="1"/>
  <c r="E61" i="234"/>
  <c r="I61" i="234"/>
  <c r="J61" i="234" s="1"/>
  <c r="E61" i="276"/>
  <c r="I61" i="276"/>
  <c r="J61" i="276" s="1"/>
  <c r="E61" i="241"/>
  <c r="I61" i="241"/>
  <c r="J61" i="241" s="1"/>
  <c r="E61" i="249"/>
  <c r="I61" i="249"/>
  <c r="J61" i="249" s="1"/>
  <c r="E61" i="255"/>
  <c r="I61" i="255"/>
  <c r="J61" i="255" s="1"/>
  <c r="E61" i="259"/>
  <c r="I61" i="259"/>
  <c r="J61" i="259" s="1"/>
  <c r="I61" i="263"/>
  <c r="J61" i="263" s="1"/>
  <c r="E61" i="267"/>
  <c r="I61" i="267"/>
  <c r="J61" i="267" s="1"/>
  <c r="E61" i="297"/>
  <c r="I61" i="297"/>
  <c r="J61" i="297" s="1"/>
  <c r="E61" i="275"/>
  <c r="I61" i="275"/>
  <c r="J61" i="275" s="1"/>
  <c r="E61" i="286"/>
  <c r="I61" i="286"/>
  <c r="J61" i="286" s="1"/>
  <c r="E61" i="281"/>
  <c r="I61" i="281"/>
  <c r="J61" i="281" s="1"/>
  <c r="E61" i="289"/>
  <c r="I61" i="289"/>
  <c r="J61" i="289" s="1"/>
  <c r="E61" i="300"/>
  <c r="I61" i="300"/>
  <c r="J61" i="300" s="1"/>
  <c r="E61" i="296"/>
  <c r="I61" i="296"/>
  <c r="J61" i="296" s="1"/>
  <c r="I61" i="303"/>
  <c r="J61" i="303" s="1"/>
  <c r="E61" i="310"/>
  <c r="I61" i="310"/>
  <c r="J61" i="310" s="1"/>
  <c r="E61" i="315"/>
  <c r="I61" i="315"/>
  <c r="J61" i="315" s="1"/>
  <c r="E60" i="287"/>
  <c r="I60" i="287"/>
  <c r="E60" i="251"/>
  <c r="I60" i="251"/>
  <c r="E60" i="234"/>
  <c r="I60" i="234"/>
  <c r="E60" i="247"/>
  <c r="I60" i="247"/>
  <c r="E60" i="231"/>
  <c r="I60" i="231"/>
  <c r="E60" i="253"/>
  <c r="I60" i="253"/>
  <c r="E60" i="246"/>
  <c r="I60" i="246"/>
  <c r="E60" i="254"/>
  <c r="I60" i="254"/>
  <c r="E60" i="258"/>
  <c r="I60" i="258"/>
  <c r="E60" i="262"/>
  <c r="I60" i="262"/>
  <c r="E60" i="266"/>
  <c r="I60" i="266"/>
  <c r="E60" i="289"/>
  <c r="I60" i="289"/>
  <c r="E60" i="276"/>
  <c r="I60" i="276"/>
  <c r="E60" i="299"/>
  <c r="I60" i="299"/>
  <c r="E60" i="294"/>
  <c r="I60" i="294"/>
  <c r="E60" i="284"/>
  <c r="I60" i="284"/>
  <c r="E60" i="292"/>
  <c r="I60" i="292"/>
  <c r="I60" i="297"/>
  <c r="E60" i="304"/>
  <c r="I60" i="304"/>
  <c r="E60" i="311"/>
  <c r="I60" i="311"/>
  <c r="E60" i="316"/>
  <c r="I60" i="316"/>
  <c r="I70" i="230" l="1"/>
  <c r="J70" i="230" s="1"/>
  <c r="C103" i="230" s="1"/>
  <c r="G76" i="230"/>
  <c r="G81" i="230"/>
  <c r="G75" i="230"/>
  <c r="G77" i="230"/>
  <c r="G80" i="230"/>
  <c r="G78" i="230"/>
  <c r="G83" i="230"/>
  <c r="G74" i="230"/>
  <c r="G71" i="230"/>
  <c r="G79" i="230"/>
  <c r="G72" i="230"/>
  <c r="G73" i="230"/>
  <c r="G82" i="230"/>
  <c r="J60" i="299"/>
  <c r="I65" i="299"/>
  <c r="J60" i="253"/>
  <c r="I65" i="253"/>
  <c r="J60" i="274"/>
  <c r="I65" i="274"/>
  <c r="J60" i="245"/>
  <c r="I65" i="245"/>
  <c r="J60" i="235"/>
  <c r="I65" i="235"/>
  <c r="J60" i="316"/>
  <c r="I65" i="316"/>
  <c r="J60" i="304"/>
  <c r="I65" i="304"/>
  <c r="J60" i="310"/>
  <c r="I65" i="310"/>
  <c r="J60" i="307"/>
  <c r="I65" i="307"/>
  <c r="J60" i="278"/>
  <c r="I65" i="278"/>
  <c r="J60" i="255"/>
  <c r="I65" i="255"/>
  <c r="J60" i="240"/>
  <c r="I65" i="240"/>
  <c r="J60" i="233"/>
  <c r="I65" i="233"/>
  <c r="J60" i="269"/>
  <c r="I65" i="269"/>
  <c r="J60" i="232"/>
  <c r="I65" i="232"/>
  <c r="J60" i="305"/>
  <c r="I65" i="305"/>
  <c r="J60" i="280"/>
  <c r="I65" i="280"/>
  <c r="J60" i="285"/>
  <c r="I65" i="285"/>
  <c r="J60" i="268"/>
  <c r="I65" i="268"/>
  <c r="J60" i="260"/>
  <c r="I65" i="260"/>
  <c r="J60" i="250"/>
  <c r="I65" i="250"/>
  <c r="J60" i="277"/>
  <c r="I65" i="277"/>
  <c r="J60" i="249"/>
  <c r="I65" i="249"/>
  <c r="J60" i="295"/>
  <c r="I65" i="295"/>
  <c r="J60" i="265"/>
  <c r="I65" i="265"/>
  <c r="J60" i="229"/>
  <c r="I65" i="229"/>
  <c r="J60" i="262"/>
  <c r="I65" i="262"/>
  <c r="J60" i="251"/>
  <c r="I65" i="251"/>
  <c r="J60" i="308"/>
  <c r="I65" i="308"/>
  <c r="J60" i="303"/>
  <c r="I65" i="303"/>
  <c r="J60" i="313"/>
  <c r="I65" i="313"/>
  <c r="J60" i="244"/>
  <c r="I65" i="244"/>
  <c r="J60" i="306"/>
  <c r="I65" i="306"/>
  <c r="J60" i="292"/>
  <c r="I65" i="292"/>
  <c r="J60" i="294"/>
  <c r="I65" i="294"/>
  <c r="J60" i="276"/>
  <c r="I65" i="276"/>
  <c r="J60" i="266"/>
  <c r="I65" i="266"/>
  <c r="J60" i="258"/>
  <c r="I65" i="258"/>
  <c r="J60" i="246"/>
  <c r="I65" i="246"/>
  <c r="J60" i="231"/>
  <c r="I65" i="231"/>
  <c r="J60" i="234"/>
  <c r="I65" i="234"/>
  <c r="J60" i="287"/>
  <c r="I65" i="287"/>
  <c r="J60" i="282"/>
  <c r="I65" i="282"/>
  <c r="J60" i="281"/>
  <c r="I65" i="281"/>
  <c r="J60" i="252"/>
  <c r="I65" i="252"/>
  <c r="J60" i="296"/>
  <c r="I65" i="296"/>
  <c r="J60" i="286"/>
  <c r="I65" i="286"/>
  <c r="J60" i="267"/>
  <c r="I65" i="267"/>
  <c r="J60" i="290"/>
  <c r="I65" i="290"/>
  <c r="J60" i="261"/>
  <c r="I65" i="261"/>
  <c r="J60" i="239"/>
  <c r="I65" i="239"/>
  <c r="J60" i="312"/>
  <c r="I65" i="312"/>
  <c r="J60" i="243"/>
  <c r="I65" i="243"/>
  <c r="J60" i="284"/>
  <c r="I65" i="284"/>
  <c r="J60" i="289"/>
  <c r="I65" i="289"/>
  <c r="J60" i="254"/>
  <c r="I65" i="254"/>
  <c r="J60" i="247"/>
  <c r="I65" i="247"/>
  <c r="J60" i="257"/>
  <c r="I65" i="257"/>
  <c r="J60" i="241"/>
  <c r="I65" i="241"/>
  <c r="J60" i="263"/>
  <c r="I65" i="263"/>
  <c r="J60" i="298"/>
  <c r="I65" i="298"/>
  <c r="J60" i="315"/>
  <c r="I65" i="315"/>
  <c r="J60" i="311"/>
  <c r="I65" i="311"/>
  <c r="J60" i="297"/>
  <c r="I65" i="297"/>
  <c r="J60" i="302"/>
  <c r="I65" i="302"/>
  <c r="J60" i="314"/>
  <c r="I65" i="314"/>
  <c r="J60" i="309"/>
  <c r="I65" i="309"/>
  <c r="J60" i="301"/>
  <c r="I65" i="301"/>
  <c r="J60" i="283"/>
  <c r="I65" i="283"/>
  <c r="J60" i="270"/>
  <c r="I65" i="270"/>
  <c r="J60" i="259"/>
  <c r="I65" i="259"/>
  <c r="J60" i="248"/>
  <c r="I65" i="248"/>
  <c r="J60" i="271"/>
  <c r="I65" i="271"/>
  <c r="J60" i="275"/>
  <c r="I65" i="275"/>
  <c r="J60" i="279"/>
  <c r="I65" i="279"/>
  <c r="J60" i="300"/>
  <c r="I65" i="300"/>
  <c r="J60" i="288"/>
  <c r="I65" i="288"/>
  <c r="J60" i="291"/>
  <c r="I65" i="291"/>
  <c r="J60" i="272"/>
  <c r="I65" i="272"/>
  <c r="J60" i="264"/>
  <c r="I65" i="264"/>
  <c r="J60" i="256"/>
  <c r="I65" i="256"/>
  <c r="J60" i="242"/>
  <c r="I65" i="242"/>
  <c r="J60" i="237"/>
  <c r="I65" i="237"/>
  <c r="J60" i="293"/>
  <c r="I65" i="293"/>
  <c r="J60" i="236"/>
  <c r="I65" i="236"/>
  <c r="E83" i="315"/>
  <c r="E81" i="315"/>
  <c r="E79" i="315"/>
  <c r="E82" i="315"/>
  <c r="E80" i="315"/>
  <c r="F80" i="315"/>
  <c r="F81" i="315"/>
  <c r="F82" i="315"/>
  <c r="F83" i="315"/>
  <c r="F79" i="315"/>
  <c r="E83" i="255"/>
  <c r="E81" i="255"/>
  <c r="E79" i="255"/>
  <c r="E82" i="255"/>
  <c r="E80" i="255"/>
  <c r="F80" i="255"/>
  <c r="F81" i="255"/>
  <c r="F82" i="255"/>
  <c r="F83" i="255"/>
  <c r="F79" i="255"/>
  <c r="E83" i="241"/>
  <c r="E81" i="241"/>
  <c r="E79" i="241"/>
  <c r="E82" i="241"/>
  <c r="E80" i="241"/>
  <c r="F80" i="241"/>
  <c r="F81" i="241"/>
  <c r="F83" i="241"/>
  <c r="F82" i="241"/>
  <c r="F79" i="241"/>
  <c r="E83" i="279"/>
  <c r="E81" i="279"/>
  <c r="E79" i="279"/>
  <c r="E82" i="279"/>
  <c r="E80" i="279"/>
  <c r="F80" i="279"/>
  <c r="F81" i="279"/>
  <c r="F83" i="279"/>
  <c r="F82" i="279"/>
  <c r="F79" i="279"/>
  <c r="E83" i="247"/>
  <c r="E81" i="247"/>
  <c r="E79" i="247"/>
  <c r="E82" i="247"/>
  <c r="E80" i="247"/>
  <c r="F80" i="247"/>
  <c r="F81" i="247"/>
  <c r="F82" i="247"/>
  <c r="F83" i="247"/>
  <c r="F79" i="247"/>
  <c r="E83" i="290"/>
  <c r="E79" i="290"/>
  <c r="E80" i="290"/>
  <c r="E81" i="290"/>
  <c r="E82" i="290"/>
  <c r="F80" i="290"/>
  <c r="G80" i="290" s="1"/>
  <c r="F81" i="290"/>
  <c r="G81" i="290" s="1"/>
  <c r="F82" i="290"/>
  <c r="G82" i="290" s="1"/>
  <c r="F83" i="290"/>
  <c r="G83" i="290" s="1"/>
  <c r="F79" i="290"/>
  <c r="G79" i="290" s="1"/>
  <c r="E82" i="269"/>
  <c r="E80" i="269"/>
  <c r="E83" i="269"/>
  <c r="E81" i="269"/>
  <c r="E79" i="269"/>
  <c r="F80" i="269"/>
  <c r="F81" i="269"/>
  <c r="F82" i="269"/>
  <c r="F83" i="269"/>
  <c r="F79" i="269"/>
  <c r="E83" i="243"/>
  <c r="E81" i="243"/>
  <c r="E79" i="243"/>
  <c r="E82" i="243"/>
  <c r="E80" i="243"/>
  <c r="F80" i="243"/>
  <c r="F81" i="243"/>
  <c r="F82" i="243"/>
  <c r="F83" i="243"/>
  <c r="F79" i="243"/>
  <c r="E83" i="272"/>
  <c r="E81" i="272"/>
  <c r="E79" i="272"/>
  <c r="E82" i="272"/>
  <c r="E80" i="272"/>
  <c r="F80" i="272"/>
  <c r="F81" i="272"/>
  <c r="F82" i="272"/>
  <c r="F83" i="272"/>
  <c r="F79" i="272"/>
  <c r="E83" i="257"/>
  <c r="E81" i="257"/>
  <c r="E79" i="257"/>
  <c r="E82" i="257"/>
  <c r="E80" i="257"/>
  <c r="F80" i="257"/>
  <c r="F81" i="257"/>
  <c r="G81" i="257" s="1"/>
  <c r="F82" i="257"/>
  <c r="G82" i="257" s="1"/>
  <c r="F83" i="257"/>
  <c r="G83" i="257" s="1"/>
  <c r="F79" i="257"/>
  <c r="E83" i="245"/>
  <c r="E81" i="245"/>
  <c r="E79" i="245"/>
  <c r="E82" i="245"/>
  <c r="E80" i="245"/>
  <c r="F80" i="245"/>
  <c r="F81" i="245"/>
  <c r="F82" i="245"/>
  <c r="G82" i="245" s="1"/>
  <c r="F83" i="245"/>
  <c r="G83" i="245" s="1"/>
  <c r="F79" i="245"/>
  <c r="E82" i="231"/>
  <c r="E80" i="231"/>
  <c r="E83" i="231"/>
  <c r="E81" i="231"/>
  <c r="E79" i="231"/>
  <c r="F80" i="231"/>
  <c r="F81" i="231"/>
  <c r="F82" i="231"/>
  <c r="F83" i="231"/>
  <c r="F79" i="231"/>
  <c r="E82" i="316"/>
  <c r="E80" i="316"/>
  <c r="E83" i="316"/>
  <c r="E81" i="316"/>
  <c r="E79" i="316"/>
  <c r="F80" i="316"/>
  <c r="F81" i="316"/>
  <c r="F82" i="316"/>
  <c r="F83" i="316"/>
  <c r="F79" i="316"/>
  <c r="E83" i="306"/>
  <c r="E79" i="306"/>
  <c r="E80" i="306"/>
  <c r="E81" i="306"/>
  <c r="E82" i="306"/>
  <c r="F80" i="306"/>
  <c r="G80" i="306" s="1"/>
  <c r="F81" i="306"/>
  <c r="G81" i="306" s="1"/>
  <c r="F83" i="306"/>
  <c r="G83" i="306" s="1"/>
  <c r="F82" i="306"/>
  <c r="G82" i="306" s="1"/>
  <c r="F79" i="306"/>
  <c r="G79" i="306" s="1"/>
  <c r="E82" i="300"/>
  <c r="E80" i="300"/>
  <c r="E83" i="300"/>
  <c r="E81" i="300"/>
  <c r="E79" i="300"/>
  <c r="F80" i="300"/>
  <c r="G80" i="300" s="1"/>
  <c r="F81" i="300"/>
  <c r="G81" i="300" s="1"/>
  <c r="F83" i="300"/>
  <c r="G83" i="300" s="1"/>
  <c r="F82" i="300"/>
  <c r="G82" i="300" s="1"/>
  <c r="F79" i="300"/>
  <c r="G79" i="300" s="1"/>
  <c r="E83" i="281"/>
  <c r="E81" i="281"/>
  <c r="E79" i="281"/>
  <c r="E82" i="281"/>
  <c r="E80" i="281"/>
  <c r="F80" i="281"/>
  <c r="F81" i="281"/>
  <c r="F82" i="281"/>
  <c r="F83" i="281"/>
  <c r="F79" i="281"/>
  <c r="E82" i="275"/>
  <c r="E80" i="275"/>
  <c r="E83" i="275"/>
  <c r="E81" i="275"/>
  <c r="E79" i="275"/>
  <c r="F80" i="275"/>
  <c r="G80" i="275" s="1"/>
  <c r="F81" i="275"/>
  <c r="G81" i="275" s="1"/>
  <c r="F82" i="275"/>
  <c r="G82" i="275" s="1"/>
  <c r="F83" i="275"/>
  <c r="G83" i="275" s="1"/>
  <c r="F79" i="275"/>
  <c r="G79" i="275" s="1"/>
  <c r="E81" i="267"/>
  <c r="E82" i="267"/>
  <c r="E83" i="267"/>
  <c r="E79" i="267"/>
  <c r="E80" i="267"/>
  <c r="F80" i="267"/>
  <c r="G80" i="267" s="1"/>
  <c r="F81" i="267"/>
  <c r="G81" i="267" s="1"/>
  <c r="F83" i="267"/>
  <c r="G83" i="267" s="1"/>
  <c r="F82" i="267"/>
  <c r="G82" i="267" s="1"/>
  <c r="F79" i="267"/>
  <c r="G79" i="267" s="1"/>
  <c r="E82" i="307"/>
  <c r="E80" i="307"/>
  <c r="E83" i="307"/>
  <c r="E81" i="307"/>
  <c r="E79" i="307"/>
  <c r="F80" i="307"/>
  <c r="G80" i="307" s="1"/>
  <c r="F81" i="307"/>
  <c r="G81" i="307" s="1"/>
  <c r="F82" i="307"/>
  <c r="G82" i="307" s="1"/>
  <c r="F83" i="307"/>
  <c r="G83" i="307" s="1"/>
  <c r="F79" i="307"/>
  <c r="G79" i="307" s="1"/>
  <c r="E82" i="313"/>
  <c r="E80" i="313"/>
  <c r="E83" i="313"/>
  <c r="E81" i="313"/>
  <c r="E79" i="313"/>
  <c r="F80" i="313"/>
  <c r="G80" i="313" s="1"/>
  <c r="F81" i="313"/>
  <c r="G81" i="313" s="1"/>
  <c r="F83" i="313"/>
  <c r="G83" i="313" s="1"/>
  <c r="F82" i="313"/>
  <c r="G82" i="313" s="1"/>
  <c r="F79" i="313"/>
  <c r="G79" i="313" s="1"/>
  <c r="E82" i="305"/>
  <c r="E83" i="305"/>
  <c r="E79" i="305"/>
  <c r="E80" i="305"/>
  <c r="E81" i="305"/>
  <c r="F80" i="305"/>
  <c r="G80" i="305" s="1"/>
  <c r="F81" i="305"/>
  <c r="G81" i="305" s="1"/>
  <c r="F82" i="305"/>
  <c r="G82" i="305" s="1"/>
  <c r="F83" i="305"/>
  <c r="G83" i="305" s="1"/>
  <c r="F79" i="305"/>
  <c r="G79" i="305" s="1"/>
  <c r="E82" i="311"/>
  <c r="E80" i="311"/>
  <c r="E83" i="311"/>
  <c r="E81" i="311"/>
  <c r="E79" i="311"/>
  <c r="F80" i="311"/>
  <c r="F81" i="311"/>
  <c r="F82" i="311"/>
  <c r="F83" i="311"/>
  <c r="F79" i="311"/>
  <c r="E82" i="288"/>
  <c r="E80" i="288"/>
  <c r="E83" i="288"/>
  <c r="E81" i="288"/>
  <c r="E79" i="288"/>
  <c r="F80" i="288"/>
  <c r="F81" i="288"/>
  <c r="F83" i="288"/>
  <c r="F82" i="288"/>
  <c r="F79" i="288"/>
  <c r="E83" i="239"/>
  <c r="E81" i="239"/>
  <c r="E79" i="239"/>
  <c r="E82" i="239"/>
  <c r="E80" i="239"/>
  <c r="F80" i="239"/>
  <c r="F81" i="239"/>
  <c r="F82" i="239"/>
  <c r="F83" i="239"/>
  <c r="F79" i="239"/>
  <c r="E82" i="309"/>
  <c r="E80" i="309"/>
  <c r="E83" i="309"/>
  <c r="E81" i="309"/>
  <c r="E79" i="309"/>
  <c r="F80" i="309"/>
  <c r="F81" i="309"/>
  <c r="F83" i="309"/>
  <c r="F82" i="309"/>
  <c r="F79" i="309"/>
  <c r="E82" i="304"/>
  <c r="E80" i="304"/>
  <c r="E83" i="304"/>
  <c r="E81" i="304"/>
  <c r="E79" i="304"/>
  <c r="F80" i="304"/>
  <c r="F81" i="304"/>
  <c r="F82" i="304"/>
  <c r="F83" i="304"/>
  <c r="F79" i="304"/>
  <c r="E83" i="285"/>
  <c r="E81" i="285"/>
  <c r="E79" i="285"/>
  <c r="E82" i="285"/>
  <c r="E80" i="285"/>
  <c r="F80" i="285"/>
  <c r="F81" i="285"/>
  <c r="F82" i="285"/>
  <c r="F83" i="285"/>
  <c r="F79" i="285"/>
  <c r="E82" i="302"/>
  <c r="E80" i="302"/>
  <c r="E83" i="302"/>
  <c r="E81" i="302"/>
  <c r="E79" i="302"/>
  <c r="F80" i="302"/>
  <c r="G80" i="302" s="1"/>
  <c r="F81" i="302"/>
  <c r="G81" i="302" s="1"/>
  <c r="F83" i="302"/>
  <c r="G83" i="302" s="1"/>
  <c r="F82" i="302"/>
  <c r="G82" i="302" s="1"/>
  <c r="F79" i="302"/>
  <c r="G79" i="302" s="1"/>
  <c r="E83" i="234"/>
  <c r="E81" i="234"/>
  <c r="E79" i="234"/>
  <c r="E82" i="234"/>
  <c r="E80" i="234"/>
  <c r="F80" i="234"/>
  <c r="F81" i="234"/>
  <c r="F83" i="234"/>
  <c r="F82" i="234"/>
  <c r="F79" i="234"/>
  <c r="E82" i="266"/>
  <c r="E80" i="266"/>
  <c r="E83" i="266"/>
  <c r="E81" i="266"/>
  <c r="E79" i="266"/>
  <c r="F80" i="266"/>
  <c r="F81" i="266"/>
  <c r="F83" i="266"/>
  <c r="G83" i="266" s="1"/>
  <c r="F82" i="266"/>
  <c r="F79" i="266"/>
  <c r="E82" i="256"/>
  <c r="E80" i="256"/>
  <c r="E83" i="256"/>
  <c r="E81" i="256"/>
  <c r="E79" i="256"/>
  <c r="F80" i="256"/>
  <c r="F81" i="256"/>
  <c r="F82" i="256"/>
  <c r="F83" i="256"/>
  <c r="F79" i="256"/>
  <c r="E83" i="236"/>
  <c r="E81" i="236"/>
  <c r="E79" i="236"/>
  <c r="E82" i="236"/>
  <c r="E80" i="236"/>
  <c r="F80" i="236"/>
  <c r="F81" i="236"/>
  <c r="F83" i="236"/>
  <c r="F82" i="236"/>
  <c r="F79" i="236"/>
  <c r="E83" i="265"/>
  <c r="E81" i="265"/>
  <c r="E79" i="265"/>
  <c r="E82" i="265"/>
  <c r="E80" i="265"/>
  <c r="F80" i="265"/>
  <c r="G80" i="265" s="1"/>
  <c r="F81" i="265"/>
  <c r="G81" i="265" s="1"/>
  <c r="F83" i="265"/>
  <c r="G83" i="265" s="1"/>
  <c r="F82" i="265"/>
  <c r="G82" i="265" s="1"/>
  <c r="F79" i="265"/>
  <c r="G79" i="265" s="1"/>
  <c r="E82" i="248"/>
  <c r="E80" i="248"/>
  <c r="E83" i="248"/>
  <c r="E81" i="248"/>
  <c r="E79" i="248"/>
  <c r="F80" i="248"/>
  <c r="F81" i="248"/>
  <c r="F83" i="248"/>
  <c r="G83" i="248" s="1"/>
  <c r="F82" i="248"/>
  <c r="G82" i="248" s="1"/>
  <c r="F79" i="248"/>
  <c r="E83" i="310"/>
  <c r="E81" i="310"/>
  <c r="E79" i="310"/>
  <c r="E82" i="310"/>
  <c r="E80" i="310"/>
  <c r="F80" i="310"/>
  <c r="G80" i="310" s="1"/>
  <c r="F81" i="310"/>
  <c r="G81" i="310" s="1"/>
  <c r="F83" i="310"/>
  <c r="G83" i="310" s="1"/>
  <c r="F82" i="310"/>
  <c r="G82" i="310" s="1"/>
  <c r="F79" i="310"/>
  <c r="G79" i="310" s="1"/>
  <c r="E83" i="259"/>
  <c r="E81" i="259"/>
  <c r="E79" i="259"/>
  <c r="E82" i="259"/>
  <c r="E80" i="259"/>
  <c r="F80" i="259"/>
  <c r="F81" i="259"/>
  <c r="F82" i="259"/>
  <c r="F83" i="259"/>
  <c r="F79" i="259"/>
  <c r="E83" i="249"/>
  <c r="E81" i="249"/>
  <c r="E79" i="249"/>
  <c r="E82" i="249"/>
  <c r="E80" i="249"/>
  <c r="F80" i="249"/>
  <c r="F81" i="249"/>
  <c r="F83" i="249"/>
  <c r="F82" i="249"/>
  <c r="F79" i="249"/>
  <c r="E83" i="276"/>
  <c r="E81" i="276"/>
  <c r="E79" i="276"/>
  <c r="E82" i="276"/>
  <c r="E80" i="276"/>
  <c r="F80" i="276"/>
  <c r="F81" i="276"/>
  <c r="F83" i="276"/>
  <c r="F82" i="276"/>
  <c r="F79" i="276"/>
  <c r="E83" i="274"/>
  <c r="E81" i="274"/>
  <c r="E79" i="274"/>
  <c r="E82" i="274"/>
  <c r="E80" i="274"/>
  <c r="F80" i="274"/>
  <c r="F81" i="274"/>
  <c r="F83" i="274"/>
  <c r="F82" i="274"/>
  <c r="F79" i="274"/>
  <c r="E82" i="233"/>
  <c r="E80" i="233"/>
  <c r="E83" i="233"/>
  <c r="E81" i="233"/>
  <c r="E79" i="233"/>
  <c r="F80" i="233"/>
  <c r="F81" i="233"/>
  <c r="F82" i="233"/>
  <c r="F83" i="233"/>
  <c r="F79" i="233"/>
  <c r="E83" i="287"/>
  <c r="E81" i="287"/>
  <c r="E79" i="287"/>
  <c r="E82" i="287"/>
  <c r="E80" i="287"/>
  <c r="F80" i="287"/>
  <c r="G80" i="287" s="1"/>
  <c r="F81" i="287"/>
  <c r="G81" i="287" s="1"/>
  <c r="F82" i="287"/>
  <c r="G82" i="287" s="1"/>
  <c r="F83" i="287"/>
  <c r="G83" i="287" s="1"/>
  <c r="F79" i="287"/>
  <c r="G79" i="287" s="1"/>
  <c r="E82" i="292"/>
  <c r="E83" i="292"/>
  <c r="E79" i="292"/>
  <c r="E80" i="292"/>
  <c r="E81" i="292"/>
  <c r="F80" i="292"/>
  <c r="G80" i="292" s="1"/>
  <c r="F81" i="292"/>
  <c r="G81" i="292" s="1"/>
  <c r="F83" i="292"/>
  <c r="G83" i="292" s="1"/>
  <c r="F82" i="292"/>
  <c r="G82" i="292" s="1"/>
  <c r="F79" i="292"/>
  <c r="G79" i="292" s="1"/>
  <c r="E82" i="284"/>
  <c r="E80" i="284"/>
  <c r="E83" i="284"/>
  <c r="E81" i="284"/>
  <c r="E79" i="284"/>
  <c r="F80" i="284"/>
  <c r="F81" i="284"/>
  <c r="F83" i="284"/>
  <c r="F82" i="284"/>
  <c r="F79" i="284"/>
  <c r="E83" i="232"/>
  <c r="E81" i="232"/>
  <c r="E79" i="232"/>
  <c r="E82" i="232"/>
  <c r="E80" i="232"/>
  <c r="F80" i="232"/>
  <c r="F81" i="232"/>
  <c r="F83" i="232"/>
  <c r="F82" i="232"/>
  <c r="F79" i="232"/>
  <c r="E83" i="283"/>
  <c r="E81" i="283"/>
  <c r="E79" i="283"/>
  <c r="E82" i="283"/>
  <c r="E80" i="283"/>
  <c r="F80" i="283"/>
  <c r="F81" i="283"/>
  <c r="F83" i="283"/>
  <c r="F82" i="283"/>
  <c r="F79" i="283"/>
  <c r="E83" i="277"/>
  <c r="E79" i="277"/>
  <c r="E80" i="277"/>
  <c r="E81" i="277"/>
  <c r="E82" i="277"/>
  <c r="F80" i="277"/>
  <c r="G80" i="277" s="1"/>
  <c r="F81" i="277"/>
  <c r="G81" i="277" s="1"/>
  <c r="F83" i="277"/>
  <c r="G83" i="277" s="1"/>
  <c r="F82" i="277"/>
  <c r="G82" i="277" s="1"/>
  <c r="F79" i="277"/>
  <c r="G79" i="277" s="1"/>
  <c r="E83" i="268"/>
  <c r="E81" i="268"/>
  <c r="E79" i="268"/>
  <c r="E82" i="268"/>
  <c r="E80" i="268"/>
  <c r="F80" i="268"/>
  <c r="F81" i="268"/>
  <c r="F83" i="268"/>
  <c r="F82" i="268"/>
  <c r="F79" i="268"/>
  <c r="E82" i="260"/>
  <c r="E80" i="260"/>
  <c r="E83" i="260"/>
  <c r="E81" i="260"/>
  <c r="E79" i="260"/>
  <c r="F80" i="260"/>
  <c r="F81" i="260"/>
  <c r="F83" i="260"/>
  <c r="F82" i="260"/>
  <c r="F79" i="260"/>
  <c r="E83" i="251"/>
  <c r="E81" i="251"/>
  <c r="E79" i="251"/>
  <c r="E82" i="251"/>
  <c r="E80" i="251"/>
  <c r="F80" i="251"/>
  <c r="F81" i="251"/>
  <c r="F82" i="251"/>
  <c r="F83" i="251"/>
  <c r="F79" i="251"/>
  <c r="E82" i="235"/>
  <c r="E80" i="235"/>
  <c r="E83" i="235"/>
  <c r="E81" i="235"/>
  <c r="E79" i="235"/>
  <c r="F80" i="235"/>
  <c r="F81" i="235"/>
  <c r="F82" i="235"/>
  <c r="F83" i="235"/>
  <c r="F79" i="235"/>
  <c r="E82" i="244"/>
  <c r="E80" i="244"/>
  <c r="E83" i="244"/>
  <c r="E81" i="244"/>
  <c r="E79" i="244"/>
  <c r="F80" i="244"/>
  <c r="F81" i="244"/>
  <c r="F82" i="244"/>
  <c r="F83" i="244"/>
  <c r="F79" i="244"/>
  <c r="E82" i="229"/>
  <c r="E81" i="229"/>
  <c r="E80" i="229"/>
  <c r="E78" i="229"/>
  <c r="E79" i="229"/>
  <c r="E83" i="229"/>
  <c r="F82" i="229"/>
  <c r="G82" i="229" s="1"/>
  <c r="F81" i="229"/>
  <c r="G81" i="229" s="1"/>
  <c r="F80" i="229"/>
  <c r="G80" i="229" s="1"/>
  <c r="F79" i="229"/>
  <c r="G79" i="229" s="1"/>
  <c r="F83" i="229"/>
  <c r="G83" i="229" s="1"/>
  <c r="E82" i="280"/>
  <c r="E80" i="280"/>
  <c r="E83" i="280"/>
  <c r="E81" i="280"/>
  <c r="E79" i="280"/>
  <c r="F80" i="280"/>
  <c r="F81" i="280"/>
  <c r="F82" i="280"/>
  <c r="F83" i="280"/>
  <c r="F79" i="280"/>
  <c r="E82" i="282"/>
  <c r="E80" i="282"/>
  <c r="E83" i="282"/>
  <c r="E81" i="282"/>
  <c r="E79" i="282"/>
  <c r="F80" i="282"/>
  <c r="F81" i="282"/>
  <c r="F83" i="282"/>
  <c r="F82" i="282"/>
  <c r="F79" i="282"/>
  <c r="E83" i="261"/>
  <c r="E81" i="261"/>
  <c r="E79" i="261"/>
  <c r="E82" i="261"/>
  <c r="E80" i="261"/>
  <c r="F80" i="261"/>
  <c r="F81" i="261"/>
  <c r="F83" i="261"/>
  <c r="F82" i="261"/>
  <c r="F79" i="261"/>
  <c r="E83" i="253"/>
  <c r="E81" i="253"/>
  <c r="E79" i="253"/>
  <c r="E82" i="253"/>
  <c r="E80" i="253"/>
  <c r="F80" i="253"/>
  <c r="F81" i="253"/>
  <c r="F83" i="253"/>
  <c r="F82" i="253"/>
  <c r="F79" i="253"/>
  <c r="E82" i="237"/>
  <c r="E80" i="237"/>
  <c r="E83" i="237"/>
  <c r="E81" i="237"/>
  <c r="E79" i="237"/>
  <c r="F80" i="237"/>
  <c r="F81" i="237"/>
  <c r="F83" i="237"/>
  <c r="F82" i="237"/>
  <c r="F79" i="237"/>
  <c r="E82" i="252"/>
  <c r="E80" i="252"/>
  <c r="E83" i="252"/>
  <c r="E81" i="252"/>
  <c r="E79" i="252"/>
  <c r="F80" i="252"/>
  <c r="F81" i="252"/>
  <c r="F82" i="252"/>
  <c r="F83" i="252"/>
  <c r="F79" i="252"/>
  <c r="E82" i="246"/>
  <c r="E80" i="246"/>
  <c r="E83" i="246"/>
  <c r="E81" i="246"/>
  <c r="E79" i="246"/>
  <c r="F80" i="246"/>
  <c r="F81" i="246"/>
  <c r="F82" i="246"/>
  <c r="F83" i="246"/>
  <c r="F79" i="246"/>
  <c r="E81" i="294"/>
  <c r="E82" i="294"/>
  <c r="E83" i="294"/>
  <c r="E79" i="294"/>
  <c r="E80" i="294"/>
  <c r="F80" i="294"/>
  <c r="G80" i="294" s="1"/>
  <c r="F81" i="294"/>
  <c r="G81" i="294" s="1"/>
  <c r="F83" i="294"/>
  <c r="G83" i="294" s="1"/>
  <c r="F82" i="294"/>
  <c r="G82" i="294" s="1"/>
  <c r="F79" i="294"/>
  <c r="G79" i="294" s="1"/>
  <c r="E82" i="258"/>
  <c r="E80" i="258"/>
  <c r="E83" i="258"/>
  <c r="E81" i="258"/>
  <c r="E79" i="258"/>
  <c r="F80" i="258"/>
  <c r="F81" i="258"/>
  <c r="F82" i="258"/>
  <c r="G82" i="258" s="1"/>
  <c r="F83" i="258"/>
  <c r="G83" i="258" s="1"/>
  <c r="F79" i="258"/>
  <c r="E83" i="263"/>
  <c r="E81" i="263"/>
  <c r="E79" i="263"/>
  <c r="E82" i="263"/>
  <c r="E80" i="263"/>
  <c r="F80" i="263"/>
  <c r="G80" i="263" s="1"/>
  <c r="F81" i="263"/>
  <c r="G81" i="263" s="1"/>
  <c r="F82" i="263"/>
  <c r="G82" i="263" s="1"/>
  <c r="F83" i="263"/>
  <c r="G83" i="263" s="1"/>
  <c r="F79" i="263"/>
  <c r="G79" i="263" s="1"/>
  <c r="E83" i="301"/>
  <c r="E81" i="301"/>
  <c r="E79" i="301"/>
  <c r="E82" i="301"/>
  <c r="E80" i="301"/>
  <c r="F80" i="301"/>
  <c r="F81" i="301"/>
  <c r="F83" i="301"/>
  <c r="F82" i="301"/>
  <c r="F79" i="301"/>
  <c r="E83" i="299"/>
  <c r="E81" i="299"/>
  <c r="E79" i="299"/>
  <c r="E82" i="299"/>
  <c r="E80" i="299"/>
  <c r="F80" i="299"/>
  <c r="G80" i="299" s="1"/>
  <c r="F81" i="299"/>
  <c r="G81" i="299" s="1"/>
  <c r="F82" i="299"/>
  <c r="G82" i="299" s="1"/>
  <c r="F83" i="299"/>
  <c r="G83" i="299" s="1"/>
  <c r="F79" i="299"/>
  <c r="G79" i="299" s="1"/>
  <c r="E82" i="278"/>
  <c r="E80" i="278"/>
  <c r="E83" i="278"/>
  <c r="E81" i="278"/>
  <c r="E79" i="278"/>
  <c r="F80" i="278"/>
  <c r="F81" i="278"/>
  <c r="F82" i="278"/>
  <c r="F83" i="278"/>
  <c r="F79" i="278"/>
  <c r="E82" i="250"/>
  <c r="E80" i="250"/>
  <c r="E83" i="250"/>
  <c r="E81" i="250"/>
  <c r="E79" i="250"/>
  <c r="F80" i="250"/>
  <c r="F81" i="250"/>
  <c r="F82" i="250"/>
  <c r="F83" i="250"/>
  <c r="F79" i="250"/>
  <c r="E82" i="291"/>
  <c r="E80" i="291"/>
  <c r="E83" i="291"/>
  <c r="E81" i="291"/>
  <c r="E79" i="291"/>
  <c r="F80" i="291"/>
  <c r="F81" i="291"/>
  <c r="F83" i="291"/>
  <c r="F82" i="291"/>
  <c r="F79" i="291"/>
  <c r="E80" i="264"/>
  <c r="E81" i="264"/>
  <c r="E82" i="264"/>
  <c r="E83" i="264"/>
  <c r="E79" i="264"/>
  <c r="F80" i="264"/>
  <c r="G80" i="264" s="1"/>
  <c r="F81" i="264"/>
  <c r="G81" i="264" s="1"/>
  <c r="F83" i="264"/>
  <c r="G83" i="264" s="1"/>
  <c r="F82" i="264"/>
  <c r="G82" i="264" s="1"/>
  <c r="F79" i="264"/>
  <c r="G79" i="264" s="1"/>
  <c r="E82" i="240"/>
  <c r="E80" i="240"/>
  <c r="E83" i="240"/>
  <c r="E81" i="240"/>
  <c r="E79" i="240"/>
  <c r="F80" i="240"/>
  <c r="F81" i="240"/>
  <c r="F82" i="240"/>
  <c r="F83" i="240"/>
  <c r="F79" i="240"/>
  <c r="E80" i="271"/>
  <c r="E81" i="271"/>
  <c r="E82" i="271"/>
  <c r="E79" i="271"/>
  <c r="E83" i="271"/>
  <c r="F80" i="271"/>
  <c r="G80" i="271" s="1"/>
  <c r="F81" i="271"/>
  <c r="G81" i="271" s="1"/>
  <c r="F83" i="271"/>
  <c r="G83" i="271" s="1"/>
  <c r="F82" i="271"/>
  <c r="G82" i="271" s="1"/>
  <c r="F79" i="271"/>
  <c r="E82" i="242"/>
  <c r="E80" i="242"/>
  <c r="E83" i="242"/>
  <c r="E81" i="242"/>
  <c r="E79" i="242"/>
  <c r="F80" i="242"/>
  <c r="G80" i="242" s="1"/>
  <c r="F81" i="242"/>
  <c r="G81" i="242" s="1"/>
  <c r="F82" i="242"/>
  <c r="G82" i="242" s="1"/>
  <c r="F83" i="242"/>
  <c r="G83" i="242" s="1"/>
  <c r="F79" i="242"/>
  <c r="G79" i="242" s="1"/>
  <c r="E82" i="296"/>
  <c r="E80" i="296"/>
  <c r="E83" i="296"/>
  <c r="E81" i="296"/>
  <c r="E79" i="296"/>
  <c r="F80" i="296"/>
  <c r="G80" i="296" s="1"/>
  <c r="F81" i="296"/>
  <c r="G81" i="296" s="1"/>
  <c r="F83" i="296"/>
  <c r="G83" i="296" s="1"/>
  <c r="F82" i="296"/>
  <c r="G82" i="296" s="1"/>
  <c r="F79" i="296"/>
  <c r="G79" i="296" s="1"/>
  <c r="E82" i="286"/>
  <c r="E80" i="286"/>
  <c r="E83" i="286"/>
  <c r="E81" i="286"/>
  <c r="E79" i="286"/>
  <c r="F80" i="286"/>
  <c r="F81" i="286"/>
  <c r="F83" i="286"/>
  <c r="F82" i="286"/>
  <c r="F79" i="286"/>
  <c r="E83" i="297"/>
  <c r="E81" i="297"/>
  <c r="E79" i="297"/>
  <c r="E82" i="297"/>
  <c r="E80" i="297"/>
  <c r="F80" i="297"/>
  <c r="F81" i="297"/>
  <c r="F82" i="297"/>
  <c r="G82" i="297" s="1"/>
  <c r="F83" i="297"/>
  <c r="G83" i="297" s="1"/>
  <c r="F79" i="297"/>
  <c r="E83" i="312"/>
  <c r="E81" i="312"/>
  <c r="E79" i="312"/>
  <c r="E82" i="312"/>
  <c r="E80" i="312"/>
  <c r="F80" i="312"/>
  <c r="F81" i="312"/>
  <c r="F82" i="312"/>
  <c r="F83" i="312"/>
  <c r="F79" i="312"/>
  <c r="E82" i="298"/>
  <c r="E80" i="298"/>
  <c r="E83" i="298"/>
  <c r="E81" i="298"/>
  <c r="E79" i="298"/>
  <c r="F80" i="298"/>
  <c r="G80" i="298" s="1"/>
  <c r="F81" i="298"/>
  <c r="G81" i="298" s="1"/>
  <c r="F82" i="298"/>
  <c r="G82" i="298" s="1"/>
  <c r="F83" i="298"/>
  <c r="G83" i="298" s="1"/>
  <c r="F79" i="298"/>
  <c r="G79" i="298" s="1"/>
  <c r="E83" i="295"/>
  <c r="E81" i="295"/>
  <c r="E79" i="295"/>
  <c r="E82" i="295"/>
  <c r="E80" i="295"/>
  <c r="F80" i="295"/>
  <c r="F81" i="295"/>
  <c r="F82" i="295"/>
  <c r="F83" i="295"/>
  <c r="F79" i="295"/>
  <c r="E82" i="262"/>
  <c r="E80" i="262"/>
  <c r="E83" i="262"/>
  <c r="E81" i="262"/>
  <c r="E79" i="262"/>
  <c r="F80" i="262"/>
  <c r="F81" i="262"/>
  <c r="F82" i="262"/>
  <c r="F83" i="262"/>
  <c r="F79" i="262"/>
  <c r="E82" i="254"/>
  <c r="E80" i="254"/>
  <c r="E83" i="254"/>
  <c r="E81" i="254"/>
  <c r="E79" i="254"/>
  <c r="F80" i="254"/>
  <c r="F81" i="254"/>
  <c r="F83" i="254"/>
  <c r="F82" i="254"/>
  <c r="F79" i="254"/>
  <c r="E82" i="293"/>
  <c r="E80" i="293"/>
  <c r="E83" i="293"/>
  <c r="E81" i="293"/>
  <c r="E79" i="293"/>
  <c r="F80" i="293"/>
  <c r="F81" i="293"/>
  <c r="F82" i="293"/>
  <c r="F83" i="293"/>
  <c r="F79" i="293"/>
  <c r="E83" i="270"/>
  <c r="E81" i="270"/>
  <c r="E79" i="270"/>
  <c r="E82" i="270"/>
  <c r="E80" i="270"/>
  <c r="F80" i="270"/>
  <c r="G80" i="270" s="1"/>
  <c r="F81" i="270"/>
  <c r="G81" i="270" s="1"/>
  <c r="F82" i="270"/>
  <c r="G82" i="270" s="1"/>
  <c r="F83" i="270"/>
  <c r="G83" i="270" s="1"/>
  <c r="F79" i="270"/>
  <c r="G79" i="270" s="1"/>
  <c r="E83" i="308"/>
  <c r="E81" i="308"/>
  <c r="E79" i="308"/>
  <c r="E82" i="308"/>
  <c r="E80" i="308"/>
  <c r="F80" i="308"/>
  <c r="F81" i="308"/>
  <c r="F82" i="308"/>
  <c r="F83" i="308"/>
  <c r="F79" i="308"/>
  <c r="E83" i="289"/>
  <c r="E81" i="289"/>
  <c r="E79" i="289"/>
  <c r="E82" i="289"/>
  <c r="E80" i="289"/>
  <c r="F80" i="289"/>
  <c r="G80" i="289" s="1"/>
  <c r="F81" i="289"/>
  <c r="G81" i="289" s="1"/>
  <c r="F83" i="289"/>
  <c r="G83" i="289" s="1"/>
  <c r="F82" i="289"/>
  <c r="G82" i="289" s="1"/>
  <c r="F79" i="289"/>
  <c r="G79" i="289" s="1"/>
  <c r="E80" i="314"/>
  <c r="E83" i="314"/>
  <c r="E81" i="314"/>
  <c r="E79" i="314"/>
  <c r="E82" i="314"/>
  <c r="F82" i="314"/>
  <c r="G82" i="314" s="1"/>
  <c r="F79" i="314"/>
  <c r="G79" i="314" s="1"/>
  <c r="F80" i="314"/>
  <c r="G80" i="314" s="1"/>
  <c r="F81" i="314"/>
  <c r="F83" i="314"/>
  <c r="G83" i="314" s="1"/>
  <c r="E77" i="315"/>
  <c r="E78" i="315"/>
  <c r="E76" i="315"/>
  <c r="F78" i="315"/>
  <c r="F77" i="315"/>
  <c r="F76" i="315"/>
  <c r="E78" i="234"/>
  <c r="E76" i="234"/>
  <c r="E77" i="234"/>
  <c r="F78" i="234"/>
  <c r="F77" i="234"/>
  <c r="F76" i="234"/>
  <c r="E77" i="250"/>
  <c r="E76" i="250"/>
  <c r="E78" i="250"/>
  <c r="F78" i="250"/>
  <c r="G78" i="250" s="1"/>
  <c r="F76" i="250"/>
  <c r="G76" i="250" s="1"/>
  <c r="F77" i="250"/>
  <c r="G77" i="250" s="1"/>
  <c r="E77" i="256"/>
  <c r="E76" i="256"/>
  <c r="E78" i="256"/>
  <c r="F76" i="256"/>
  <c r="F77" i="256"/>
  <c r="F78" i="256"/>
  <c r="E77" i="272"/>
  <c r="E78" i="272"/>
  <c r="E76" i="272"/>
  <c r="F76" i="272"/>
  <c r="F78" i="272"/>
  <c r="F77" i="272"/>
  <c r="E78" i="257"/>
  <c r="E76" i="257"/>
  <c r="E77" i="257"/>
  <c r="F77" i="257"/>
  <c r="F78" i="257"/>
  <c r="F76" i="257"/>
  <c r="E78" i="242"/>
  <c r="E76" i="242"/>
  <c r="E77" i="242"/>
  <c r="F77" i="242"/>
  <c r="F78" i="242"/>
  <c r="G78" i="242" s="1"/>
  <c r="F76" i="242"/>
  <c r="E78" i="306"/>
  <c r="E76" i="306"/>
  <c r="E77" i="306"/>
  <c r="F77" i="306"/>
  <c r="G77" i="306" s="1"/>
  <c r="F78" i="306"/>
  <c r="G78" i="306" s="1"/>
  <c r="F76" i="306"/>
  <c r="G76" i="306" s="1"/>
  <c r="E76" i="300"/>
  <c r="E77" i="300"/>
  <c r="E78" i="300"/>
  <c r="F76" i="300"/>
  <c r="G76" i="300" s="1"/>
  <c r="F77" i="300"/>
  <c r="G77" i="300" s="1"/>
  <c r="F78" i="300"/>
  <c r="G78" i="300" s="1"/>
  <c r="E76" i="281"/>
  <c r="E77" i="281"/>
  <c r="E78" i="281"/>
  <c r="F78" i="281"/>
  <c r="F76" i="281"/>
  <c r="F77" i="281"/>
  <c r="E77" i="275"/>
  <c r="E76" i="275"/>
  <c r="E78" i="275"/>
  <c r="F77" i="275"/>
  <c r="G77" i="275" s="1"/>
  <c r="F76" i="275"/>
  <c r="G76" i="275" s="1"/>
  <c r="F78" i="275"/>
  <c r="G78" i="275" s="1"/>
  <c r="E78" i="267"/>
  <c r="E76" i="267"/>
  <c r="E77" i="267"/>
  <c r="F76" i="267"/>
  <c r="G76" i="267" s="1"/>
  <c r="F78" i="267"/>
  <c r="G78" i="267" s="1"/>
  <c r="F77" i="267"/>
  <c r="G77" i="267" s="1"/>
  <c r="E77" i="307"/>
  <c r="E78" i="307"/>
  <c r="E76" i="307"/>
  <c r="F77" i="307"/>
  <c r="G77" i="307" s="1"/>
  <c r="F78" i="307"/>
  <c r="G78" i="307" s="1"/>
  <c r="F76" i="307"/>
  <c r="E77" i="313"/>
  <c r="E78" i="313"/>
  <c r="E76" i="313"/>
  <c r="F76" i="313"/>
  <c r="G76" i="313" s="1"/>
  <c r="F77" i="313"/>
  <c r="G77" i="313" s="1"/>
  <c r="F78" i="313"/>
  <c r="G78" i="313" s="1"/>
  <c r="E77" i="305"/>
  <c r="E78" i="305"/>
  <c r="E76" i="305"/>
  <c r="F76" i="305"/>
  <c r="G76" i="305" s="1"/>
  <c r="F77" i="305"/>
  <c r="G77" i="305" s="1"/>
  <c r="F78" i="305"/>
  <c r="G78" i="305" s="1"/>
  <c r="E77" i="311"/>
  <c r="E78" i="311"/>
  <c r="E76" i="311"/>
  <c r="F77" i="311"/>
  <c r="F76" i="311"/>
  <c r="F78" i="311"/>
  <c r="E77" i="288"/>
  <c r="E78" i="288"/>
  <c r="E76" i="288"/>
  <c r="F78" i="288"/>
  <c r="F77" i="288"/>
  <c r="F76" i="288"/>
  <c r="E77" i="239"/>
  <c r="E76" i="239"/>
  <c r="E78" i="239"/>
  <c r="F78" i="239"/>
  <c r="F76" i="239"/>
  <c r="F77" i="239"/>
  <c r="E77" i="309"/>
  <c r="E76" i="309"/>
  <c r="E78" i="309"/>
  <c r="F78" i="309"/>
  <c r="F77" i="309"/>
  <c r="F76" i="309"/>
  <c r="E78" i="304"/>
  <c r="E76" i="304"/>
  <c r="E77" i="304"/>
  <c r="F78" i="304"/>
  <c r="F76" i="304"/>
  <c r="F77" i="304"/>
  <c r="E76" i="285"/>
  <c r="E77" i="285"/>
  <c r="E78" i="285"/>
  <c r="F76" i="285"/>
  <c r="F77" i="285"/>
  <c r="F78" i="285"/>
  <c r="E78" i="302"/>
  <c r="E77" i="302"/>
  <c r="E76" i="302"/>
  <c r="F78" i="302"/>
  <c r="G78" i="302" s="1"/>
  <c r="F76" i="302"/>
  <c r="G76" i="302" s="1"/>
  <c r="F77" i="302"/>
  <c r="G77" i="302" s="1"/>
  <c r="E77" i="241"/>
  <c r="E78" i="241"/>
  <c r="E76" i="241"/>
  <c r="F77" i="241"/>
  <c r="F76" i="241"/>
  <c r="F78" i="241"/>
  <c r="E78" i="247"/>
  <c r="E76" i="247"/>
  <c r="E77" i="247"/>
  <c r="F78" i="247"/>
  <c r="F77" i="247"/>
  <c r="F76" i="247"/>
  <c r="E78" i="291"/>
  <c r="E77" i="291"/>
  <c r="E76" i="291"/>
  <c r="F76" i="291"/>
  <c r="F77" i="291"/>
  <c r="F78" i="291"/>
  <c r="E78" i="269"/>
  <c r="E76" i="269"/>
  <c r="E77" i="269"/>
  <c r="F76" i="269"/>
  <c r="G76" i="269" s="1"/>
  <c r="F77" i="269"/>
  <c r="G77" i="269" s="1"/>
  <c r="F78" i="269"/>
  <c r="E78" i="240"/>
  <c r="E76" i="240"/>
  <c r="E77" i="240"/>
  <c r="F77" i="240"/>
  <c r="F78" i="240"/>
  <c r="F76" i="240"/>
  <c r="E77" i="271"/>
  <c r="E76" i="271"/>
  <c r="E78" i="271"/>
  <c r="F77" i="271"/>
  <c r="G77" i="271" s="1"/>
  <c r="F78" i="271"/>
  <c r="G78" i="271" s="1"/>
  <c r="F76" i="271"/>
  <c r="G76" i="271" s="1"/>
  <c r="E77" i="248"/>
  <c r="E76" i="248"/>
  <c r="E78" i="248"/>
  <c r="F78" i="248"/>
  <c r="F76" i="248"/>
  <c r="G76" i="248" s="1"/>
  <c r="F77" i="248"/>
  <c r="E78" i="316"/>
  <c r="E76" i="316"/>
  <c r="E77" i="316"/>
  <c r="F76" i="316"/>
  <c r="F78" i="316"/>
  <c r="F77" i="316"/>
  <c r="E78" i="310"/>
  <c r="E76" i="310"/>
  <c r="E77" i="310"/>
  <c r="F76" i="310"/>
  <c r="G76" i="310" s="1"/>
  <c r="F77" i="310"/>
  <c r="G77" i="310" s="1"/>
  <c r="F78" i="310"/>
  <c r="G78" i="310" s="1"/>
  <c r="E78" i="259"/>
  <c r="E76" i="259"/>
  <c r="E77" i="259"/>
  <c r="F78" i="259"/>
  <c r="F77" i="259"/>
  <c r="F76" i="259"/>
  <c r="E78" i="249"/>
  <c r="E76" i="249"/>
  <c r="E77" i="249"/>
  <c r="F77" i="249"/>
  <c r="F78" i="249"/>
  <c r="F76" i="249"/>
  <c r="E78" i="276"/>
  <c r="E76" i="276"/>
  <c r="E77" i="276"/>
  <c r="F77" i="276"/>
  <c r="F76" i="276"/>
  <c r="F78" i="276"/>
  <c r="E78" i="274"/>
  <c r="E76" i="274"/>
  <c r="E77" i="274"/>
  <c r="F77" i="274"/>
  <c r="F78" i="274"/>
  <c r="F76" i="274"/>
  <c r="E77" i="233"/>
  <c r="E78" i="233"/>
  <c r="E76" i="233"/>
  <c r="F78" i="233"/>
  <c r="F76" i="233"/>
  <c r="F77" i="233"/>
  <c r="E78" i="287"/>
  <c r="E77" i="287"/>
  <c r="E76" i="287"/>
  <c r="F78" i="287"/>
  <c r="G78" i="287" s="1"/>
  <c r="F76" i="287"/>
  <c r="G76" i="287" s="1"/>
  <c r="F77" i="287"/>
  <c r="G77" i="287" s="1"/>
  <c r="E78" i="292"/>
  <c r="E76" i="292"/>
  <c r="E77" i="292"/>
  <c r="F78" i="292"/>
  <c r="G78" i="292" s="1"/>
  <c r="F76" i="292"/>
  <c r="G76" i="292" s="1"/>
  <c r="F77" i="292"/>
  <c r="G77" i="292" s="1"/>
  <c r="E77" i="284"/>
  <c r="E78" i="284"/>
  <c r="E76" i="284"/>
  <c r="F76" i="284"/>
  <c r="F77" i="284"/>
  <c r="F78" i="284"/>
  <c r="E78" i="232"/>
  <c r="E76" i="232"/>
  <c r="E77" i="232"/>
  <c r="F78" i="232"/>
  <c r="F77" i="232"/>
  <c r="F76" i="232"/>
  <c r="E78" i="283"/>
  <c r="E77" i="283"/>
  <c r="E76" i="283"/>
  <c r="F77" i="283"/>
  <c r="F78" i="283"/>
  <c r="F76" i="283"/>
  <c r="E76" i="277"/>
  <c r="E78" i="277"/>
  <c r="E77" i="277"/>
  <c r="F76" i="277"/>
  <c r="G76" i="277" s="1"/>
  <c r="F77" i="277"/>
  <c r="G77" i="277" s="1"/>
  <c r="F78" i="277"/>
  <c r="G78" i="277" s="1"/>
  <c r="E77" i="268"/>
  <c r="E78" i="268"/>
  <c r="E76" i="268"/>
  <c r="F77" i="268"/>
  <c r="F76" i="268"/>
  <c r="F78" i="268"/>
  <c r="E77" i="260"/>
  <c r="E78" i="260"/>
  <c r="E76" i="260"/>
  <c r="F78" i="260"/>
  <c r="F77" i="260"/>
  <c r="F76" i="260"/>
  <c r="E78" i="251"/>
  <c r="E76" i="251"/>
  <c r="E77" i="251"/>
  <c r="F76" i="251"/>
  <c r="G76" i="251" s="1"/>
  <c r="F77" i="251"/>
  <c r="F78" i="251"/>
  <c r="E77" i="235"/>
  <c r="E78" i="235"/>
  <c r="E76" i="235"/>
  <c r="F77" i="235"/>
  <c r="F78" i="235"/>
  <c r="F76" i="235"/>
  <c r="E78" i="244"/>
  <c r="E76" i="244"/>
  <c r="E77" i="244"/>
  <c r="F78" i="244"/>
  <c r="F77" i="244"/>
  <c r="F76" i="244"/>
  <c r="E77" i="229"/>
  <c r="E76" i="229"/>
  <c r="F76" i="229"/>
  <c r="G76" i="229" s="1"/>
  <c r="F78" i="229"/>
  <c r="G78" i="229" s="1"/>
  <c r="F77" i="229"/>
  <c r="G77" i="229" s="1"/>
  <c r="E77" i="280"/>
  <c r="E78" i="280"/>
  <c r="E76" i="280"/>
  <c r="F76" i="280"/>
  <c r="F77" i="280"/>
  <c r="F78" i="280"/>
  <c r="E78" i="282"/>
  <c r="E76" i="282"/>
  <c r="E77" i="282"/>
  <c r="F76" i="282"/>
  <c r="F77" i="282"/>
  <c r="F78" i="282"/>
  <c r="E78" i="261"/>
  <c r="E76" i="261"/>
  <c r="E77" i="261"/>
  <c r="F77" i="261"/>
  <c r="F76" i="261"/>
  <c r="F78" i="261"/>
  <c r="E78" i="253"/>
  <c r="E76" i="253"/>
  <c r="E77" i="253"/>
  <c r="F78" i="253"/>
  <c r="F76" i="253"/>
  <c r="F77" i="253"/>
  <c r="E77" i="237"/>
  <c r="E78" i="237"/>
  <c r="E76" i="237"/>
  <c r="F77" i="237"/>
  <c r="F78" i="237"/>
  <c r="F76" i="237"/>
  <c r="E77" i="252"/>
  <c r="E78" i="252"/>
  <c r="E76" i="252"/>
  <c r="F76" i="252"/>
  <c r="F77" i="252"/>
  <c r="F78" i="252"/>
  <c r="E77" i="246"/>
  <c r="E78" i="246"/>
  <c r="E76" i="246"/>
  <c r="F77" i="246"/>
  <c r="F76" i="246"/>
  <c r="F78" i="246"/>
  <c r="E77" i="294"/>
  <c r="E76" i="294"/>
  <c r="E78" i="294"/>
  <c r="F78" i="294"/>
  <c r="G78" i="294" s="1"/>
  <c r="F77" i="294"/>
  <c r="G77" i="294" s="1"/>
  <c r="F76" i="294"/>
  <c r="G76" i="294" s="1"/>
  <c r="E77" i="258"/>
  <c r="E78" i="258"/>
  <c r="E76" i="258"/>
  <c r="F78" i="258"/>
  <c r="F77" i="258"/>
  <c r="F76" i="258"/>
  <c r="E78" i="263"/>
  <c r="E76" i="263"/>
  <c r="E77" i="263"/>
  <c r="F77" i="263"/>
  <c r="G77" i="263" s="1"/>
  <c r="F76" i="263"/>
  <c r="G76" i="263" s="1"/>
  <c r="F78" i="263"/>
  <c r="G78" i="263" s="1"/>
  <c r="E78" i="301"/>
  <c r="E76" i="301"/>
  <c r="E77" i="301"/>
  <c r="F76" i="301"/>
  <c r="G76" i="301" s="1"/>
  <c r="F77" i="301"/>
  <c r="G77" i="301" s="1"/>
  <c r="F78" i="301"/>
  <c r="E78" i="299"/>
  <c r="E76" i="299"/>
  <c r="E77" i="299"/>
  <c r="F78" i="299"/>
  <c r="G78" i="299" s="1"/>
  <c r="F76" i="299"/>
  <c r="G76" i="299" s="1"/>
  <c r="F77" i="299"/>
  <c r="G77" i="299" s="1"/>
  <c r="E78" i="255"/>
  <c r="E76" i="255"/>
  <c r="E77" i="255"/>
  <c r="F77" i="255"/>
  <c r="F78" i="255"/>
  <c r="F76" i="255"/>
  <c r="E77" i="278"/>
  <c r="E78" i="278"/>
  <c r="E76" i="278"/>
  <c r="F78" i="278"/>
  <c r="F77" i="278"/>
  <c r="F76" i="278"/>
  <c r="E78" i="279"/>
  <c r="E77" i="279"/>
  <c r="E76" i="279"/>
  <c r="F78" i="279"/>
  <c r="F76" i="279"/>
  <c r="F77" i="279"/>
  <c r="E72" i="266"/>
  <c r="E77" i="266"/>
  <c r="E78" i="266"/>
  <c r="E76" i="266"/>
  <c r="F76" i="266"/>
  <c r="G76" i="266" s="1"/>
  <c r="F77" i="266"/>
  <c r="G77" i="266" s="1"/>
  <c r="F78" i="266"/>
  <c r="G78" i="266" s="1"/>
  <c r="E70" i="266"/>
  <c r="E71" i="266"/>
  <c r="E78" i="290"/>
  <c r="E76" i="290"/>
  <c r="E77" i="290"/>
  <c r="F78" i="290"/>
  <c r="G78" i="290" s="1"/>
  <c r="F76" i="290"/>
  <c r="G76" i="290" s="1"/>
  <c r="F77" i="290"/>
  <c r="G77" i="290" s="1"/>
  <c r="E76" i="264"/>
  <c r="E77" i="264"/>
  <c r="E78" i="264"/>
  <c r="F77" i="264"/>
  <c r="G77" i="264" s="1"/>
  <c r="F76" i="264"/>
  <c r="G76" i="264" s="1"/>
  <c r="F78" i="264"/>
  <c r="G78" i="264" s="1"/>
  <c r="E77" i="243"/>
  <c r="E76" i="243"/>
  <c r="E78" i="243"/>
  <c r="F78" i="243"/>
  <c r="F76" i="243"/>
  <c r="F77" i="243"/>
  <c r="E78" i="236"/>
  <c r="E76" i="236"/>
  <c r="E77" i="236"/>
  <c r="F78" i="236"/>
  <c r="G78" i="236" s="1"/>
  <c r="F76" i="236"/>
  <c r="G76" i="236" s="1"/>
  <c r="F77" i="236"/>
  <c r="G77" i="236" s="1"/>
  <c r="E78" i="265"/>
  <c r="E76" i="265"/>
  <c r="E77" i="265"/>
  <c r="F76" i="265"/>
  <c r="F78" i="265"/>
  <c r="F77" i="265"/>
  <c r="E76" i="245"/>
  <c r="E78" i="245"/>
  <c r="E77" i="245"/>
  <c r="F77" i="245"/>
  <c r="G77" i="245" s="1"/>
  <c r="F76" i="245"/>
  <c r="F78" i="245"/>
  <c r="G78" i="245" s="1"/>
  <c r="E77" i="231"/>
  <c r="E78" i="231"/>
  <c r="E76" i="231"/>
  <c r="F76" i="231"/>
  <c r="F77" i="231"/>
  <c r="F78" i="231"/>
  <c r="E78" i="296"/>
  <c r="E76" i="296"/>
  <c r="E77" i="296"/>
  <c r="F78" i="296"/>
  <c r="G78" i="296" s="1"/>
  <c r="F76" i="296"/>
  <c r="G76" i="296" s="1"/>
  <c r="F77" i="296"/>
  <c r="G77" i="296" s="1"/>
  <c r="E76" i="289"/>
  <c r="E77" i="289"/>
  <c r="E78" i="289"/>
  <c r="F78" i="289"/>
  <c r="F77" i="289"/>
  <c r="F76" i="289"/>
  <c r="E78" i="286"/>
  <c r="E76" i="286"/>
  <c r="E77" i="286"/>
  <c r="F77" i="286"/>
  <c r="F76" i="286"/>
  <c r="F78" i="286"/>
  <c r="E78" i="297"/>
  <c r="E76" i="297"/>
  <c r="E77" i="297"/>
  <c r="F77" i="297"/>
  <c r="F76" i="297"/>
  <c r="F78" i="297"/>
  <c r="E78" i="312"/>
  <c r="E76" i="312"/>
  <c r="E77" i="312"/>
  <c r="F78" i="312"/>
  <c r="F77" i="312"/>
  <c r="F76" i="312"/>
  <c r="E76" i="298"/>
  <c r="E77" i="298"/>
  <c r="E78" i="298"/>
  <c r="F77" i="298"/>
  <c r="G77" i="298" s="1"/>
  <c r="F76" i="298"/>
  <c r="G76" i="298" s="1"/>
  <c r="F78" i="298"/>
  <c r="G78" i="298" s="1"/>
  <c r="E78" i="295"/>
  <c r="E76" i="295"/>
  <c r="E77" i="295"/>
  <c r="F77" i="295"/>
  <c r="F78" i="295"/>
  <c r="F76" i="295"/>
  <c r="E77" i="262"/>
  <c r="E76" i="262"/>
  <c r="E78" i="262"/>
  <c r="F77" i="262"/>
  <c r="F78" i="262"/>
  <c r="F76" i="262"/>
  <c r="E77" i="254"/>
  <c r="E78" i="254"/>
  <c r="E76" i="254"/>
  <c r="F78" i="254"/>
  <c r="F76" i="254"/>
  <c r="F77" i="254"/>
  <c r="E78" i="314"/>
  <c r="E76" i="314"/>
  <c r="E77" i="314"/>
  <c r="F76" i="314"/>
  <c r="F78" i="314"/>
  <c r="G78" i="314" s="1"/>
  <c r="F77" i="314"/>
  <c r="G77" i="314" s="1"/>
  <c r="E78" i="293"/>
  <c r="E76" i="293"/>
  <c r="E77" i="293"/>
  <c r="F77" i="293"/>
  <c r="F76" i="293"/>
  <c r="F78" i="293"/>
  <c r="E77" i="270"/>
  <c r="E78" i="270"/>
  <c r="E76" i="270"/>
  <c r="F78" i="270"/>
  <c r="G78" i="270" s="1"/>
  <c r="F77" i="270"/>
  <c r="G77" i="270" s="1"/>
  <c r="F76" i="270"/>
  <c r="G76" i="270" s="1"/>
  <c r="E78" i="308"/>
  <c r="E76" i="308"/>
  <c r="E77" i="308"/>
  <c r="F77" i="308"/>
  <c r="F76" i="308"/>
  <c r="F78" i="308"/>
  <c r="J172" i="298"/>
  <c r="E61" i="303"/>
  <c r="E60" i="297"/>
  <c r="E60" i="303"/>
  <c r="E73" i="263"/>
  <c r="E74" i="263"/>
  <c r="E75" i="263"/>
  <c r="E60" i="270"/>
  <c r="E60" i="263"/>
  <c r="E72" i="291"/>
  <c r="E71" i="291"/>
  <c r="E75" i="291"/>
  <c r="E70" i="291"/>
  <c r="E74" i="291"/>
  <c r="E73" i="291"/>
  <c r="F74" i="291"/>
  <c r="F73" i="291"/>
  <c r="F75" i="291"/>
  <c r="F71" i="291"/>
  <c r="F70" i="291"/>
  <c r="F72" i="291"/>
  <c r="E71" i="264"/>
  <c r="E75" i="264"/>
  <c r="E72" i="264"/>
  <c r="E73" i="264"/>
  <c r="E70" i="264"/>
  <c r="E74" i="264"/>
  <c r="F75" i="264"/>
  <c r="F73" i="264"/>
  <c r="G73" i="264" s="1"/>
  <c r="F74" i="264"/>
  <c r="F70" i="264"/>
  <c r="F72" i="264"/>
  <c r="G72" i="264" s="1"/>
  <c r="F71" i="264"/>
  <c r="E71" i="240"/>
  <c r="E75" i="240"/>
  <c r="E70" i="240"/>
  <c r="E74" i="240"/>
  <c r="E73" i="240"/>
  <c r="F75" i="240"/>
  <c r="E72" i="240"/>
  <c r="F73" i="240"/>
  <c r="G73" i="240" s="1"/>
  <c r="F74" i="240"/>
  <c r="F71" i="240"/>
  <c r="F70" i="240"/>
  <c r="F72" i="240"/>
  <c r="E71" i="254"/>
  <c r="E75" i="254"/>
  <c r="E70" i="254"/>
  <c r="E74" i="254"/>
  <c r="E72" i="254"/>
  <c r="E73" i="254"/>
  <c r="F75" i="254"/>
  <c r="F73" i="254"/>
  <c r="F74" i="254"/>
  <c r="F71" i="254"/>
  <c r="F72" i="254"/>
  <c r="F70" i="254"/>
  <c r="E72" i="285"/>
  <c r="E71" i="285"/>
  <c r="E75" i="285"/>
  <c r="F73" i="285"/>
  <c r="E73" i="285"/>
  <c r="E70" i="285"/>
  <c r="E74" i="285"/>
  <c r="F74" i="285"/>
  <c r="F75" i="285"/>
  <c r="F71" i="285"/>
  <c r="F70" i="285"/>
  <c r="F72" i="285"/>
  <c r="E73" i="261"/>
  <c r="E70" i="261"/>
  <c r="E74" i="261"/>
  <c r="F73" i="261"/>
  <c r="E71" i="261"/>
  <c r="E75" i="261"/>
  <c r="E72" i="261"/>
  <c r="F75" i="261"/>
  <c r="F74" i="261"/>
  <c r="F70" i="261"/>
  <c r="F71" i="261"/>
  <c r="F72" i="261"/>
  <c r="E73" i="237"/>
  <c r="E72" i="237"/>
  <c r="E71" i="237"/>
  <c r="E75" i="237"/>
  <c r="F73" i="237"/>
  <c r="G73" i="237" s="1"/>
  <c r="F74" i="237"/>
  <c r="E74" i="237"/>
  <c r="E70" i="237"/>
  <c r="F75" i="237"/>
  <c r="F72" i="237"/>
  <c r="F70" i="237"/>
  <c r="F71" i="237"/>
  <c r="E71" i="252"/>
  <c r="E75" i="252"/>
  <c r="E70" i="252"/>
  <c r="E74" i="252"/>
  <c r="E72" i="252"/>
  <c r="E73" i="252"/>
  <c r="F75" i="252"/>
  <c r="G75" i="252" s="1"/>
  <c r="F73" i="252"/>
  <c r="G73" i="252" s="1"/>
  <c r="F74" i="252"/>
  <c r="G74" i="252" s="1"/>
  <c r="F70" i="252"/>
  <c r="G70" i="252" s="1"/>
  <c r="F72" i="252"/>
  <c r="G72" i="252" s="1"/>
  <c r="F71" i="252"/>
  <c r="G71" i="252" s="1"/>
  <c r="E71" i="258"/>
  <c r="E75" i="258"/>
  <c r="E72" i="258"/>
  <c r="E70" i="258"/>
  <c r="E74" i="258"/>
  <c r="F73" i="258"/>
  <c r="E73" i="258"/>
  <c r="F75" i="258"/>
  <c r="F74" i="258"/>
  <c r="F71" i="258"/>
  <c r="F70" i="258"/>
  <c r="F72" i="258"/>
  <c r="E71" i="310"/>
  <c r="E75" i="310"/>
  <c r="E70" i="310"/>
  <c r="E74" i="310"/>
  <c r="E72" i="310"/>
  <c r="E73" i="310"/>
  <c r="F75" i="310"/>
  <c r="G75" i="310" s="1"/>
  <c r="F74" i="310"/>
  <c r="G74" i="310" s="1"/>
  <c r="F73" i="310"/>
  <c r="F71" i="310"/>
  <c r="G71" i="310" s="1"/>
  <c r="F70" i="310"/>
  <c r="G70" i="310" s="1"/>
  <c r="F72" i="310"/>
  <c r="E72" i="296"/>
  <c r="E71" i="296"/>
  <c r="E75" i="296"/>
  <c r="E70" i="296"/>
  <c r="E73" i="296"/>
  <c r="E74" i="296"/>
  <c r="F73" i="296"/>
  <c r="G73" i="296" s="1"/>
  <c r="F75" i="296"/>
  <c r="G75" i="296" s="1"/>
  <c r="F74" i="296"/>
  <c r="G74" i="296" s="1"/>
  <c r="E72" i="289"/>
  <c r="E71" i="289"/>
  <c r="E75" i="289"/>
  <c r="E70" i="289"/>
  <c r="E73" i="289"/>
  <c r="E74" i="289"/>
  <c r="F73" i="289"/>
  <c r="G73" i="289" s="1"/>
  <c r="F74" i="289"/>
  <c r="F75" i="289"/>
  <c r="G75" i="289" s="1"/>
  <c r="F70" i="289"/>
  <c r="F71" i="289"/>
  <c r="G71" i="289" s="1"/>
  <c r="F72" i="289"/>
  <c r="E70" i="286"/>
  <c r="E74" i="286"/>
  <c r="E73" i="286"/>
  <c r="E72" i="286"/>
  <c r="E75" i="286"/>
  <c r="E71" i="286"/>
  <c r="F73" i="286"/>
  <c r="F74" i="286"/>
  <c r="F75" i="286"/>
  <c r="F72" i="286"/>
  <c r="F71" i="286"/>
  <c r="F70" i="286"/>
  <c r="E70" i="297"/>
  <c r="E74" i="297"/>
  <c r="E73" i="297"/>
  <c r="E71" i="297"/>
  <c r="E72" i="297"/>
  <c r="E75" i="297"/>
  <c r="F75" i="297"/>
  <c r="G75" i="297" s="1"/>
  <c r="F74" i="297"/>
  <c r="G74" i="297" s="1"/>
  <c r="F73" i="297"/>
  <c r="G73" i="297" s="1"/>
  <c r="E70" i="263"/>
  <c r="E71" i="263"/>
  <c r="H73" i="263"/>
  <c r="E72" i="263"/>
  <c r="H74" i="263"/>
  <c r="H75" i="263"/>
  <c r="E73" i="255"/>
  <c r="E70" i="255"/>
  <c r="E74" i="255"/>
  <c r="E71" i="255"/>
  <c r="E75" i="255"/>
  <c r="E72" i="255"/>
  <c r="F73" i="255"/>
  <c r="F74" i="255"/>
  <c r="F75" i="255"/>
  <c r="F72" i="255"/>
  <c r="F71" i="255"/>
  <c r="F70" i="255"/>
  <c r="G70" i="255" s="1"/>
  <c r="E73" i="241"/>
  <c r="E72" i="241"/>
  <c r="F74" i="241"/>
  <c r="E70" i="241"/>
  <c r="E71" i="241"/>
  <c r="E74" i="241"/>
  <c r="E75" i="241"/>
  <c r="F75" i="241"/>
  <c r="F73" i="241"/>
  <c r="F72" i="241"/>
  <c r="G72" i="241" s="1"/>
  <c r="F70" i="241"/>
  <c r="G70" i="241" s="1"/>
  <c r="F71" i="241"/>
  <c r="G71" i="241" s="1"/>
  <c r="E72" i="234"/>
  <c r="E71" i="234"/>
  <c r="E75" i="234"/>
  <c r="E70" i="234"/>
  <c r="E73" i="234"/>
  <c r="E74" i="234"/>
  <c r="F74" i="234"/>
  <c r="F73" i="234"/>
  <c r="F75" i="234"/>
  <c r="F72" i="234"/>
  <c r="F71" i="234"/>
  <c r="F70" i="234"/>
  <c r="E71" i="278"/>
  <c r="E75" i="278"/>
  <c r="E70" i="278"/>
  <c r="E74" i="278"/>
  <c r="E72" i="278"/>
  <c r="E73" i="278"/>
  <c r="F75" i="278"/>
  <c r="F74" i="278"/>
  <c r="F73" i="278"/>
  <c r="F70" i="278"/>
  <c r="F72" i="278"/>
  <c r="F71" i="278"/>
  <c r="E73" i="307"/>
  <c r="E72" i="307"/>
  <c r="E70" i="307"/>
  <c r="E71" i="307"/>
  <c r="E74" i="307"/>
  <c r="E75" i="307"/>
  <c r="F74" i="307"/>
  <c r="G74" i="307" s="1"/>
  <c r="F73" i="307"/>
  <c r="G73" i="307" s="1"/>
  <c r="F75" i="307"/>
  <c r="G75" i="307" s="1"/>
  <c r="E72" i="287"/>
  <c r="E71" i="287"/>
  <c r="E75" i="287"/>
  <c r="E70" i="287"/>
  <c r="E73" i="287"/>
  <c r="E74" i="287"/>
  <c r="F73" i="287"/>
  <c r="F75" i="287"/>
  <c r="F74" i="287"/>
  <c r="F72" i="287"/>
  <c r="F71" i="287"/>
  <c r="F70" i="287"/>
  <c r="E70" i="292"/>
  <c r="E74" i="292"/>
  <c r="E73" i="292"/>
  <c r="E71" i="292"/>
  <c r="E72" i="292"/>
  <c r="E75" i="292"/>
  <c r="F73" i="292"/>
  <c r="G73" i="292" s="1"/>
  <c r="F75" i="292"/>
  <c r="G75" i="292" s="1"/>
  <c r="F74" i="292"/>
  <c r="G74" i="292" s="1"/>
  <c r="F71" i="292"/>
  <c r="G71" i="292" s="1"/>
  <c r="F72" i="292"/>
  <c r="F70" i="292"/>
  <c r="E70" i="284"/>
  <c r="E74" i="284"/>
  <c r="E73" i="284"/>
  <c r="E71" i="284"/>
  <c r="E72" i="284"/>
  <c r="E75" i="284"/>
  <c r="F74" i="284"/>
  <c r="F75" i="284"/>
  <c r="F73" i="284"/>
  <c r="G73" i="284" s="1"/>
  <c r="F70" i="284"/>
  <c r="F71" i="284"/>
  <c r="F72" i="284"/>
  <c r="E72" i="232"/>
  <c r="E71" i="232"/>
  <c r="E75" i="232"/>
  <c r="E70" i="232"/>
  <c r="E73" i="232"/>
  <c r="E74" i="232"/>
  <c r="F73" i="232"/>
  <c r="F74" i="232"/>
  <c r="F75" i="232"/>
  <c r="F71" i="232"/>
  <c r="F72" i="232"/>
  <c r="F70" i="232"/>
  <c r="E70" i="290"/>
  <c r="E74" i="290"/>
  <c r="E73" i="290"/>
  <c r="F74" i="290"/>
  <c r="E72" i="290"/>
  <c r="E75" i="290"/>
  <c r="E71" i="290"/>
  <c r="F75" i="290"/>
  <c r="G75" i="290" s="1"/>
  <c r="F70" i="290"/>
  <c r="F73" i="290"/>
  <c r="F71" i="290"/>
  <c r="F72" i="290"/>
  <c r="E71" i="256"/>
  <c r="E75" i="256"/>
  <c r="E72" i="256"/>
  <c r="E74" i="256"/>
  <c r="E73" i="256"/>
  <c r="E70" i="256"/>
  <c r="F75" i="256"/>
  <c r="G75" i="256" s="1"/>
  <c r="F73" i="256"/>
  <c r="G73" i="256" s="1"/>
  <c r="F74" i="256"/>
  <c r="G74" i="256" s="1"/>
  <c r="F71" i="256"/>
  <c r="G71" i="256" s="1"/>
  <c r="F72" i="256"/>
  <c r="G72" i="256" s="1"/>
  <c r="F70" i="256"/>
  <c r="G70" i="256" s="1"/>
  <c r="E71" i="236"/>
  <c r="E75" i="236"/>
  <c r="E70" i="236"/>
  <c r="E74" i="236"/>
  <c r="E72" i="236"/>
  <c r="E73" i="236"/>
  <c r="F73" i="236"/>
  <c r="F75" i="236"/>
  <c r="G75" i="236" s="1"/>
  <c r="F74" i="236"/>
  <c r="F71" i="236"/>
  <c r="F72" i="236"/>
  <c r="G72" i="236" s="1"/>
  <c r="F70" i="236"/>
  <c r="E71" i="304"/>
  <c r="E75" i="304"/>
  <c r="E70" i="304"/>
  <c r="E74" i="304"/>
  <c r="E72" i="304"/>
  <c r="E73" i="304"/>
  <c r="F74" i="304"/>
  <c r="F73" i="304"/>
  <c r="F75" i="304"/>
  <c r="E70" i="282"/>
  <c r="E74" i="282"/>
  <c r="E73" i="282"/>
  <c r="E71" i="282"/>
  <c r="E72" i="282"/>
  <c r="E75" i="282"/>
  <c r="F75" i="282"/>
  <c r="F74" i="282"/>
  <c r="F73" i="282"/>
  <c r="F70" i="282"/>
  <c r="F71" i="282"/>
  <c r="F72" i="282"/>
  <c r="E73" i="253"/>
  <c r="E72" i="253"/>
  <c r="F73" i="253"/>
  <c r="E71" i="253"/>
  <c r="E74" i="253"/>
  <c r="E70" i="253"/>
  <c r="E75" i="253"/>
  <c r="F74" i="253"/>
  <c r="F75" i="253"/>
  <c r="F71" i="253"/>
  <c r="F70" i="253"/>
  <c r="F72" i="253"/>
  <c r="E71" i="246"/>
  <c r="E75" i="246"/>
  <c r="E70" i="246"/>
  <c r="E74" i="246"/>
  <c r="E72" i="246"/>
  <c r="E73" i="246"/>
  <c r="F75" i="246"/>
  <c r="F73" i="246"/>
  <c r="F74" i="246"/>
  <c r="F71" i="246"/>
  <c r="G71" i="246" s="1"/>
  <c r="F72" i="246"/>
  <c r="F70" i="246"/>
  <c r="E72" i="294"/>
  <c r="E71" i="294"/>
  <c r="E75" i="294"/>
  <c r="F73" i="294"/>
  <c r="E70" i="294"/>
  <c r="E73" i="294"/>
  <c r="E74" i="294"/>
  <c r="F75" i="294"/>
  <c r="F74" i="294"/>
  <c r="F70" i="294"/>
  <c r="F71" i="294"/>
  <c r="F72" i="294"/>
  <c r="E72" i="313"/>
  <c r="E71" i="313"/>
  <c r="E75" i="313"/>
  <c r="E70" i="313"/>
  <c r="E74" i="313"/>
  <c r="E73" i="313"/>
  <c r="F74" i="313"/>
  <c r="F73" i="313"/>
  <c r="G73" i="313" s="1"/>
  <c r="F75" i="313"/>
  <c r="G75" i="313" s="1"/>
  <c r="F72" i="313"/>
  <c r="F70" i="313"/>
  <c r="F71" i="313"/>
  <c r="E73" i="305"/>
  <c r="E72" i="305"/>
  <c r="E70" i="305"/>
  <c r="E71" i="305"/>
  <c r="E74" i="305"/>
  <c r="E75" i="305"/>
  <c r="F74" i="305"/>
  <c r="G74" i="305" s="1"/>
  <c r="F75" i="305"/>
  <c r="G75" i="305" s="1"/>
  <c r="F73" i="305"/>
  <c r="E71" i="302"/>
  <c r="E75" i="302"/>
  <c r="E70" i="302"/>
  <c r="E74" i="302"/>
  <c r="E72" i="302"/>
  <c r="E73" i="302"/>
  <c r="F75" i="302"/>
  <c r="G75" i="302" s="1"/>
  <c r="F73" i="302"/>
  <c r="G73" i="302" s="1"/>
  <c r="F74" i="302"/>
  <c r="G74" i="302" s="1"/>
  <c r="E72" i="283"/>
  <c r="E71" i="283"/>
  <c r="E75" i="283"/>
  <c r="E73" i="283"/>
  <c r="E74" i="283"/>
  <c r="E70" i="283"/>
  <c r="F74" i="283"/>
  <c r="F73" i="283"/>
  <c r="F75" i="283"/>
  <c r="F72" i="283"/>
  <c r="F71" i="283"/>
  <c r="F70" i="283"/>
  <c r="E73" i="277"/>
  <c r="E72" i="277"/>
  <c r="F74" i="277"/>
  <c r="G74" i="277" s="1"/>
  <c r="E70" i="277"/>
  <c r="E71" i="277"/>
  <c r="E74" i="277"/>
  <c r="E75" i="277"/>
  <c r="F73" i="277"/>
  <c r="G73" i="277" s="1"/>
  <c r="F75" i="277"/>
  <c r="G75" i="277" s="1"/>
  <c r="F71" i="277"/>
  <c r="F72" i="277"/>
  <c r="F70" i="277"/>
  <c r="E71" i="268"/>
  <c r="E75" i="268"/>
  <c r="E72" i="268"/>
  <c r="E73" i="268"/>
  <c r="E70" i="268"/>
  <c r="E74" i="268"/>
  <c r="F73" i="268"/>
  <c r="F74" i="268"/>
  <c r="F75" i="268"/>
  <c r="F72" i="268"/>
  <c r="F70" i="268"/>
  <c r="F71" i="268"/>
  <c r="E71" i="260"/>
  <c r="E75" i="260"/>
  <c r="E72" i="260"/>
  <c r="E74" i="260"/>
  <c r="E73" i="260"/>
  <c r="E70" i="260"/>
  <c r="F75" i="260"/>
  <c r="F74" i="260"/>
  <c r="F73" i="260"/>
  <c r="F70" i="260"/>
  <c r="F71" i="260"/>
  <c r="F72" i="260"/>
  <c r="E73" i="251"/>
  <c r="E72" i="251"/>
  <c r="E70" i="251"/>
  <c r="E71" i="251"/>
  <c r="E74" i="251"/>
  <c r="E75" i="251"/>
  <c r="F74" i="251"/>
  <c r="G74" i="251" s="1"/>
  <c r="F73" i="251"/>
  <c r="F75" i="251"/>
  <c r="G75" i="251" s="1"/>
  <c r="F71" i="251"/>
  <c r="F70" i="251"/>
  <c r="F72" i="251"/>
  <c r="G72" i="251" s="1"/>
  <c r="E73" i="235"/>
  <c r="E72" i="235"/>
  <c r="E70" i="235"/>
  <c r="E74" i="235"/>
  <c r="E71" i="235"/>
  <c r="E75" i="235"/>
  <c r="F74" i="235"/>
  <c r="F75" i="235"/>
  <c r="F73" i="235"/>
  <c r="F70" i="235"/>
  <c r="F72" i="235"/>
  <c r="F71" i="235"/>
  <c r="E71" i="244"/>
  <c r="E75" i="244"/>
  <c r="E70" i="244"/>
  <c r="E74" i="244"/>
  <c r="E72" i="244"/>
  <c r="E73" i="244"/>
  <c r="F74" i="244"/>
  <c r="F75" i="244"/>
  <c r="F73" i="244"/>
  <c r="F71" i="244"/>
  <c r="F72" i="244"/>
  <c r="F70" i="244"/>
  <c r="E70" i="229"/>
  <c r="E74" i="229"/>
  <c r="E73" i="229"/>
  <c r="E72" i="229"/>
  <c r="E75" i="229"/>
  <c r="E71" i="229"/>
  <c r="F75" i="229"/>
  <c r="G75" i="229" s="1"/>
  <c r="F73" i="229"/>
  <c r="G73" i="229" s="1"/>
  <c r="F74" i="229"/>
  <c r="G74" i="229" s="1"/>
  <c r="F70" i="229"/>
  <c r="G70" i="229" s="1"/>
  <c r="F71" i="229"/>
  <c r="G71" i="229" s="1"/>
  <c r="F72" i="229"/>
  <c r="G72" i="229" s="1"/>
  <c r="E73" i="311"/>
  <c r="E72" i="311"/>
  <c r="E70" i="311"/>
  <c r="E71" i="311"/>
  <c r="E74" i="311"/>
  <c r="E75" i="311"/>
  <c r="F74" i="311"/>
  <c r="F73" i="311"/>
  <c r="F75" i="311"/>
  <c r="F70" i="311"/>
  <c r="F71" i="311"/>
  <c r="F72" i="311"/>
  <c r="E70" i="288"/>
  <c r="E74" i="288"/>
  <c r="E73" i="288"/>
  <c r="E72" i="288"/>
  <c r="F74" i="288"/>
  <c r="E71" i="288"/>
  <c r="F75" i="288"/>
  <c r="E75" i="288"/>
  <c r="F73" i="288"/>
  <c r="F71" i="288"/>
  <c r="F70" i="288"/>
  <c r="F72" i="288"/>
  <c r="E73" i="239"/>
  <c r="E72" i="239"/>
  <c r="E70" i="239"/>
  <c r="E71" i="239"/>
  <c r="E74" i="239"/>
  <c r="E75" i="239"/>
  <c r="F74" i="239"/>
  <c r="F75" i="239"/>
  <c r="F73" i="239"/>
  <c r="G73" i="239" s="1"/>
  <c r="F70" i="239"/>
  <c r="F72" i="239"/>
  <c r="F71" i="239"/>
  <c r="E72" i="309"/>
  <c r="E71" i="309"/>
  <c r="E75" i="309"/>
  <c r="F73" i="309"/>
  <c r="E74" i="309"/>
  <c r="E70" i="309"/>
  <c r="E73" i="309"/>
  <c r="F75" i="309"/>
  <c r="F74" i="309"/>
  <c r="F71" i="309"/>
  <c r="F70" i="309"/>
  <c r="F72" i="309"/>
  <c r="E73" i="299"/>
  <c r="E72" i="299"/>
  <c r="F74" i="299"/>
  <c r="G74" i="299" s="1"/>
  <c r="E70" i="299"/>
  <c r="E71" i="299"/>
  <c r="E74" i="299"/>
  <c r="E75" i="299"/>
  <c r="F73" i="299"/>
  <c r="G73" i="299" s="1"/>
  <c r="F75" i="299"/>
  <c r="G75" i="299" s="1"/>
  <c r="E72" i="293"/>
  <c r="E71" i="293"/>
  <c r="E75" i="293"/>
  <c r="E73" i="293"/>
  <c r="E70" i="293"/>
  <c r="E74" i="293"/>
  <c r="F74" i="293"/>
  <c r="F73" i="293"/>
  <c r="F75" i="293"/>
  <c r="F70" i="293"/>
  <c r="F71" i="293"/>
  <c r="F72" i="293"/>
  <c r="E71" i="308"/>
  <c r="E75" i="308"/>
  <c r="E70" i="308"/>
  <c r="E74" i="308"/>
  <c r="E72" i="308"/>
  <c r="E73" i="308"/>
  <c r="F73" i="308"/>
  <c r="F74" i="308"/>
  <c r="F75" i="308"/>
  <c r="E73" i="271"/>
  <c r="E72" i="271"/>
  <c r="F74" i="271"/>
  <c r="E70" i="271"/>
  <c r="E71" i="271"/>
  <c r="E74" i="271"/>
  <c r="E75" i="271"/>
  <c r="F75" i="271"/>
  <c r="F73" i="271"/>
  <c r="F72" i="271"/>
  <c r="F70" i="271"/>
  <c r="G70" i="271" s="1"/>
  <c r="F71" i="271"/>
  <c r="E73" i="265"/>
  <c r="E70" i="265"/>
  <c r="E74" i="265"/>
  <c r="F73" i="265"/>
  <c r="E71" i="265"/>
  <c r="E75" i="265"/>
  <c r="E72" i="265"/>
  <c r="F74" i="265"/>
  <c r="F75" i="265"/>
  <c r="F70" i="265"/>
  <c r="F71" i="265"/>
  <c r="F72" i="265"/>
  <c r="E73" i="257"/>
  <c r="E70" i="257"/>
  <c r="E74" i="257"/>
  <c r="F73" i="257"/>
  <c r="G73" i="257" s="1"/>
  <c r="E71" i="257"/>
  <c r="E75" i="257"/>
  <c r="E72" i="257"/>
  <c r="F75" i="257"/>
  <c r="G75" i="257" s="1"/>
  <c r="F74" i="257"/>
  <c r="G74" i="257" s="1"/>
  <c r="F70" i="257"/>
  <c r="F72" i="257"/>
  <c r="G72" i="257" s="1"/>
  <c r="F71" i="257"/>
  <c r="G71" i="257" s="1"/>
  <c r="E73" i="245"/>
  <c r="E72" i="245"/>
  <c r="F73" i="245"/>
  <c r="G73" i="245" s="1"/>
  <c r="E70" i="245"/>
  <c r="E75" i="245"/>
  <c r="E71" i="245"/>
  <c r="E74" i="245"/>
  <c r="F75" i="245"/>
  <c r="F74" i="245"/>
  <c r="F72" i="245"/>
  <c r="F70" i="245"/>
  <c r="F71" i="245"/>
  <c r="E71" i="248"/>
  <c r="E75" i="248"/>
  <c r="E70" i="248"/>
  <c r="E74" i="248"/>
  <c r="F75" i="248"/>
  <c r="G75" i="248" s="1"/>
  <c r="E72" i="248"/>
  <c r="E73" i="248"/>
  <c r="F73" i="248"/>
  <c r="G73" i="248" s="1"/>
  <c r="F74" i="248"/>
  <c r="G74" i="248" s="1"/>
  <c r="F70" i="248"/>
  <c r="G70" i="248" s="1"/>
  <c r="F71" i="248"/>
  <c r="F72" i="248"/>
  <c r="G72" i="248" s="1"/>
  <c r="E71" i="242"/>
  <c r="E75" i="242"/>
  <c r="E70" i="242"/>
  <c r="E74" i="242"/>
  <c r="E72" i="242"/>
  <c r="E73" i="242"/>
  <c r="F73" i="242"/>
  <c r="G73" i="242" s="1"/>
  <c r="F75" i="242"/>
  <c r="G75" i="242" s="1"/>
  <c r="F74" i="242"/>
  <c r="G74" i="242" s="1"/>
  <c r="F70" i="242"/>
  <c r="F71" i="242"/>
  <c r="G71" i="242" s="1"/>
  <c r="F72" i="242"/>
  <c r="G72" i="242" s="1"/>
  <c r="E70" i="231"/>
  <c r="E74" i="231"/>
  <c r="E73" i="231"/>
  <c r="F74" i="231"/>
  <c r="E72" i="231"/>
  <c r="E75" i="231"/>
  <c r="E71" i="231"/>
  <c r="F75" i="231"/>
  <c r="F73" i="231"/>
  <c r="F70" i="231"/>
  <c r="F71" i="231"/>
  <c r="F72" i="231"/>
  <c r="E72" i="316"/>
  <c r="E71" i="316"/>
  <c r="E75" i="316"/>
  <c r="E73" i="316"/>
  <c r="E70" i="316"/>
  <c r="E74" i="316"/>
  <c r="F73" i="316"/>
  <c r="F75" i="316"/>
  <c r="F74" i="316"/>
  <c r="F72" i="316"/>
  <c r="F70" i="316"/>
  <c r="F71" i="316"/>
  <c r="E71" i="270"/>
  <c r="E75" i="270"/>
  <c r="E70" i="270"/>
  <c r="E74" i="270"/>
  <c r="E72" i="270"/>
  <c r="E73" i="270"/>
  <c r="F74" i="270"/>
  <c r="G74" i="270" s="1"/>
  <c r="F75" i="270"/>
  <c r="G75" i="270" s="1"/>
  <c r="F73" i="270"/>
  <c r="G73" i="270" s="1"/>
  <c r="E71" i="312"/>
  <c r="E75" i="312"/>
  <c r="E70" i="312"/>
  <c r="E74" i="312"/>
  <c r="E72" i="312"/>
  <c r="E73" i="312"/>
  <c r="F74" i="312"/>
  <c r="F73" i="312"/>
  <c r="F75" i="312"/>
  <c r="F70" i="312"/>
  <c r="F71" i="312"/>
  <c r="F72" i="312"/>
  <c r="E72" i="298"/>
  <c r="E71" i="298"/>
  <c r="E75" i="298"/>
  <c r="E70" i="298"/>
  <c r="E73" i="298"/>
  <c r="E74" i="298"/>
  <c r="F73" i="298"/>
  <c r="G73" i="298" s="1"/>
  <c r="F75" i="298"/>
  <c r="G75" i="298" s="1"/>
  <c r="F74" i="298"/>
  <c r="G74" i="298" s="1"/>
  <c r="E73" i="269"/>
  <c r="E72" i="269"/>
  <c r="F74" i="269"/>
  <c r="E70" i="269"/>
  <c r="E71" i="269"/>
  <c r="E74" i="269"/>
  <c r="E75" i="269"/>
  <c r="F73" i="269"/>
  <c r="F75" i="269"/>
  <c r="F71" i="269"/>
  <c r="F72" i="269"/>
  <c r="F70" i="269"/>
  <c r="E73" i="243"/>
  <c r="E72" i="243"/>
  <c r="E71" i="243"/>
  <c r="E74" i="243"/>
  <c r="E75" i="243"/>
  <c r="E70" i="243"/>
  <c r="F75" i="243"/>
  <c r="F74" i="243"/>
  <c r="F73" i="243"/>
  <c r="F71" i="243"/>
  <c r="F72" i="243"/>
  <c r="F70" i="243"/>
  <c r="G70" i="243" s="1"/>
  <c r="E71" i="272"/>
  <c r="E75" i="272"/>
  <c r="E70" i="272"/>
  <c r="E74" i="272"/>
  <c r="F75" i="272"/>
  <c r="E72" i="272"/>
  <c r="E73" i="272"/>
  <c r="F73" i="272"/>
  <c r="F74" i="272"/>
  <c r="F71" i="272"/>
  <c r="F70" i="272"/>
  <c r="F72" i="272"/>
  <c r="E70" i="295"/>
  <c r="E74" i="295"/>
  <c r="E73" i="295"/>
  <c r="E72" i="295"/>
  <c r="E75" i="295"/>
  <c r="E71" i="295"/>
  <c r="F75" i="295"/>
  <c r="F74" i="295"/>
  <c r="F73" i="295"/>
  <c r="F72" i="295"/>
  <c r="F71" i="295"/>
  <c r="F70" i="295"/>
  <c r="E71" i="262"/>
  <c r="E75" i="262"/>
  <c r="E72" i="262"/>
  <c r="E70" i="262"/>
  <c r="E74" i="262"/>
  <c r="F73" i="262"/>
  <c r="E73" i="262"/>
  <c r="F75" i="262"/>
  <c r="F74" i="262"/>
  <c r="F72" i="262"/>
  <c r="F71" i="262"/>
  <c r="F70" i="262"/>
  <c r="E72" i="314"/>
  <c r="E71" i="314"/>
  <c r="E75" i="314"/>
  <c r="E73" i="314"/>
  <c r="E70" i="314"/>
  <c r="E74" i="314"/>
  <c r="F73" i="314"/>
  <c r="F74" i="314"/>
  <c r="F70" i="314"/>
  <c r="F75" i="314"/>
  <c r="F71" i="314"/>
  <c r="F72" i="314"/>
  <c r="G72" i="314" s="1"/>
  <c r="E71" i="306"/>
  <c r="E75" i="306"/>
  <c r="E70" i="306"/>
  <c r="E74" i="306"/>
  <c r="E72" i="306"/>
  <c r="E73" i="306"/>
  <c r="F75" i="306"/>
  <c r="G75" i="306" s="1"/>
  <c r="F73" i="306"/>
  <c r="G73" i="306" s="1"/>
  <c r="F74" i="306"/>
  <c r="G74" i="306" s="1"/>
  <c r="E70" i="280"/>
  <c r="E74" i="280"/>
  <c r="E73" i="280"/>
  <c r="E72" i="280"/>
  <c r="F74" i="280"/>
  <c r="F75" i="280"/>
  <c r="E75" i="280"/>
  <c r="E71" i="280"/>
  <c r="F73" i="280"/>
  <c r="F70" i="280"/>
  <c r="F72" i="280"/>
  <c r="F71" i="280"/>
  <c r="E70" i="315"/>
  <c r="E74" i="315"/>
  <c r="E73" i="315"/>
  <c r="E71" i="315"/>
  <c r="E75" i="315"/>
  <c r="E72" i="315"/>
  <c r="F75" i="315"/>
  <c r="F74" i="315"/>
  <c r="F73" i="315"/>
  <c r="G73" i="315" s="1"/>
  <c r="F72" i="315"/>
  <c r="F70" i="315"/>
  <c r="F71" i="315"/>
  <c r="G71" i="315" s="1"/>
  <c r="E71" i="300"/>
  <c r="E75" i="300"/>
  <c r="E70" i="300"/>
  <c r="E74" i="300"/>
  <c r="E72" i="300"/>
  <c r="E73" i="300"/>
  <c r="F75" i="300"/>
  <c r="G75" i="300" s="1"/>
  <c r="F74" i="300"/>
  <c r="G74" i="300" s="1"/>
  <c r="F73" i="300"/>
  <c r="G73" i="300" s="1"/>
  <c r="E72" i="281"/>
  <c r="E71" i="281"/>
  <c r="E75" i="281"/>
  <c r="E70" i="281"/>
  <c r="E73" i="281"/>
  <c r="E74" i="281"/>
  <c r="F73" i="281"/>
  <c r="F74" i="281"/>
  <c r="F75" i="281"/>
  <c r="F72" i="281"/>
  <c r="F71" i="281"/>
  <c r="F70" i="281"/>
  <c r="E73" i="275"/>
  <c r="E72" i="275"/>
  <c r="F74" i="275"/>
  <c r="G74" i="275" s="1"/>
  <c r="E70" i="275"/>
  <c r="E71" i="275"/>
  <c r="E74" i="275"/>
  <c r="E75" i="275"/>
  <c r="F73" i="275"/>
  <c r="G73" i="275" s="1"/>
  <c r="F75" i="275"/>
  <c r="G75" i="275" s="1"/>
  <c r="F71" i="275"/>
  <c r="G71" i="275" s="1"/>
  <c r="F70" i="275"/>
  <c r="G70" i="275" s="1"/>
  <c r="F72" i="275"/>
  <c r="G72" i="275" s="1"/>
  <c r="E73" i="267"/>
  <c r="E70" i="267"/>
  <c r="E74" i="267"/>
  <c r="E71" i="267"/>
  <c r="E75" i="267"/>
  <c r="E72" i="267"/>
  <c r="F73" i="267"/>
  <c r="F74" i="267"/>
  <c r="F75" i="267"/>
  <c r="F72" i="267"/>
  <c r="F70" i="267"/>
  <c r="F71" i="267"/>
  <c r="E73" i="259"/>
  <c r="E70" i="259"/>
  <c r="E74" i="259"/>
  <c r="E71" i="259"/>
  <c r="E75" i="259"/>
  <c r="E72" i="259"/>
  <c r="F73" i="259"/>
  <c r="F74" i="259"/>
  <c r="F75" i="259"/>
  <c r="F71" i="259"/>
  <c r="F72" i="259"/>
  <c r="F70" i="259"/>
  <c r="E73" i="249"/>
  <c r="E72" i="249"/>
  <c r="F74" i="249"/>
  <c r="E70" i="249"/>
  <c r="E71" i="249"/>
  <c r="E74" i="249"/>
  <c r="E75" i="249"/>
  <c r="F75" i="249"/>
  <c r="F73" i="249"/>
  <c r="F70" i="249"/>
  <c r="G70" i="249" s="1"/>
  <c r="F72" i="249"/>
  <c r="F71" i="249"/>
  <c r="E71" i="276"/>
  <c r="E75" i="276"/>
  <c r="E70" i="276"/>
  <c r="E74" i="276"/>
  <c r="E72" i="276"/>
  <c r="E73" i="276"/>
  <c r="F75" i="276"/>
  <c r="F74" i="276"/>
  <c r="F73" i="276"/>
  <c r="F71" i="276"/>
  <c r="F70" i="276"/>
  <c r="F72" i="276"/>
  <c r="E71" i="274"/>
  <c r="E75" i="274"/>
  <c r="E70" i="274"/>
  <c r="E74" i="274"/>
  <c r="E72" i="274"/>
  <c r="E73" i="274"/>
  <c r="F75" i="274"/>
  <c r="F73" i="274"/>
  <c r="F74" i="274"/>
  <c r="F71" i="274"/>
  <c r="F72" i="274"/>
  <c r="F70" i="274"/>
  <c r="E70" i="233"/>
  <c r="E74" i="233"/>
  <c r="E73" i="233"/>
  <c r="E71" i="233"/>
  <c r="E72" i="233"/>
  <c r="E75" i="233"/>
  <c r="F75" i="233"/>
  <c r="F74" i="233"/>
  <c r="F73" i="233"/>
  <c r="F71" i="233"/>
  <c r="F70" i="233"/>
  <c r="F72" i="233"/>
  <c r="E73" i="301"/>
  <c r="E72" i="301"/>
  <c r="E70" i="301"/>
  <c r="E71" i="301"/>
  <c r="E74" i="301"/>
  <c r="E75" i="301"/>
  <c r="F74" i="301"/>
  <c r="F75" i="301"/>
  <c r="G75" i="301" s="1"/>
  <c r="F73" i="301"/>
  <c r="E72" i="279"/>
  <c r="E71" i="279"/>
  <c r="E75" i="279"/>
  <c r="E70" i="279"/>
  <c r="E73" i="279"/>
  <c r="E74" i="279"/>
  <c r="F73" i="279"/>
  <c r="F74" i="279"/>
  <c r="F75" i="279"/>
  <c r="F72" i="279"/>
  <c r="F71" i="279"/>
  <c r="F70" i="279"/>
  <c r="E75" i="266"/>
  <c r="E74" i="266"/>
  <c r="F73" i="266"/>
  <c r="E73" i="266"/>
  <c r="F75" i="266"/>
  <c r="F74" i="266"/>
  <c r="F70" i="266"/>
  <c r="F72" i="266"/>
  <c r="F71" i="266"/>
  <c r="E73" i="247"/>
  <c r="E72" i="247"/>
  <c r="E70" i="247"/>
  <c r="E71" i="247"/>
  <c r="E74" i="247"/>
  <c r="E75" i="247"/>
  <c r="F74" i="247"/>
  <c r="G74" i="247" s="1"/>
  <c r="F75" i="247"/>
  <c r="G75" i="247" s="1"/>
  <c r="F73" i="247"/>
  <c r="G73" i="247" s="1"/>
  <c r="F70" i="247"/>
  <c r="G70" i="247" s="1"/>
  <c r="F71" i="247"/>
  <c r="G71" i="247" s="1"/>
  <c r="F72" i="247"/>
  <c r="G72" i="247" s="1"/>
  <c r="E71" i="250"/>
  <c r="E75" i="250"/>
  <c r="E70" i="250"/>
  <c r="E74" i="250"/>
  <c r="E72" i="250"/>
  <c r="E73" i="250"/>
  <c r="F75" i="250"/>
  <c r="G75" i="250" s="1"/>
  <c r="F73" i="250"/>
  <c r="F74" i="250"/>
  <c r="F71" i="250"/>
  <c r="F72" i="250"/>
  <c r="F70" i="250"/>
  <c r="I73" i="263" l="1"/>
  <c r="J73" i="263" s="1"/>
  <c r="C106" i="263" s="1"/>
  <c r="I75" i="263"/>
  <c r="J75" i="263" s="1"/>
  <c r="C108" i="263" s="1"/>
  <c r="I74" i="263"/>
  <c r="J74" i="263" s="1"/>
  <c r="C107" i="263" s="1"/>
  <c r="C139" i="230"/>
  <c r="J139" i="230" s="1"/>
  <c r="C159" i="230" s="1"/>
  <c r="D104" i="230"/>
  <c r="J103" i="230"/>
  <c r="H77" i="230"/>
  <c r="H73" i="230"/>
  <c r="H78" i="230"/>
  <c r="I78" i="230" s="1"/>
  <c r="J78" i="230" s="1"/>
  <c r="C111" i="230" s="1"/>
  <c r="D112" i="230" s="1"/>
  <c r="H74" i="230"/>
  <c r="I74" i="230" s="1"/>
  <c r="J74" i="230" s="1"/>
  <c r="C107" i="230" s="1"/>
  <c r="C143" i="230" s="1"/>
  <c r="H79" i="230"/>
  <c r="H81" i="230"/>
  <c r="G70" i="250"/>
  <c r="G75" i="279"/>
  <c r="G72" i="281"/>
  <c r="H72" i="281" s="1"/>
  <c r="I72" i="281" s="1"/>
  <c r="G70" i="315"/>
  <c r="G72" i="280"/>
  <c r="H72" i="280" s="1"/>
  <c r="I72" i="280" s="1"/>
  <c r="G75" i="262"/>
  <c r="H75" i="262" s="1"/>
  <c r="I75" i="262" s="1"/>
  <c r="G70" i="295"/>
  <c r="G75" i="312"/>
  <c r="G73" i="316"/>
  <c r="G74" i="271"/>
  <c r="G73" i="293"/>
  <c r="G74" i="309"/>
  <c r="G73" i="288"/>
  <c r="G74" i="288"/>
  <c r="G75" i="311"/>
  <c r="G73" i="260"/>
  <c r="G75" i="268"/>
  <c r="G70" i="313"/>
  <c r="G75" i="246"/>
  <c r="G70" i="253"/>
  <c r="G73" i="253"/>
  <c r="G75" i="282"/>
  <c r="G73" i="304"/>
  <c r="G72" i="290"/>
  <c r="H72" i="290" s="1"/>
  <c r="I72" i="290" s="1"/>
  <c r="G74" i="290"/>
  <c r="H74" i="290" s="1"/>
  <c r="I74" i="290" s="1"/>
  <c r="G70" i="232"/>
  <c r="G74" i="232"/>
  <c r="G75" i="284"/>
  <c r="G70" i="292"/>
  <c r="H70" i="292" s="1"/>
  <c r="I70" i="292" s="1"/>
  <c r="G70" i="287"/>
  <c r="G75" i="287"/>
  <c r="H75" i="287" s="1"/>
  <c r="I75" i="287" s="1"/>
  <c r="G75" i="234"/>
  <c r="G70" i="286"/>
  <c r="G74" i="286"/>
  <c r="G72" i="289"/>
  <c r="G74" i="289"/>
  <c r="G74" i="254"/>
  <c r="G77" i="293"/>
  <c r="G78" i="254"/>
  <c r="G76" i="262"/>
  <c r="G77" i="295"/>
  <c r="G77" i="258"/>
  <c r="G76" i="246"/>
  <c r="G76" i="261"/>
  <c r="G77" i="280"/>
  <c r="G76" i="260"/>
  <c r="G77" i="268"/>
  <c r="G76" i="232"/>
  <c r="G77" i="233"/>
  <c r="G77" i="274"/>
  <c r="G78" i="276"/>
  <c r="G77" i="249"/>
  <c r="G76" i="259"/>
  <c r="G77" i="240"/>
  <c r="G78" i="269"/>
  <c r="G76" i="291"/>
  <c r="G76" i="247"/>
  <c r="G77" i="241"/>
  <c r="G77" i="304"/>
  <c r="G77" i="242"/>
  <c r="G76" i="257"/>
  <c r="G76" i="272"/>
  <c r="G78" i="256"/>
  <c r="G76" i="234"/>
  <c r="G79" i="308"/>
  <c r="G80" i="308"/>
  <c r="G80" i="293"/>
  <c r="G80" i="262"/>
  <c r="G79" i="297"/>
  <c r="G83" i="286"/>
  <c r="G82" i="240"/>
  <c r="G83" i="291"/>
  <c r="G79" i="250"/>
  <c r="G80" i="250"/>
  <c r="G82" i="278"/>
  <c r="G83" i="301"/>
  <c r="G80" i="252"/>
  <c r="G79" i="253"/>
  <c r="G80" i="282"/>
  <c r="H83" i="229"/>
  <c r="G81" i="235"/>
  <c r="G82" i="283"/>
  <c r="G81" i="232"/>
  <c r="G82" i="284"/>
  <c r="G81" i="233"/>
  <c r="G81" i="276"/>
  <c r="G82" i="249"/>
  <c r="G81" i="259"/>
  <c r="G81" i="236"/>
  <c r="G83" i="256"/>
  <c r="G81" i="266"/>
  <c r="G82" i="234"/>
  <c r="G81" i="304"/>
  <c r="G81" i="281"/>
  <c r="G81" i="231"/>
  <c r="G83" i="247"/>
  <c r="G82" i="241"/>
  <c r="G81" i="255"/>
  <c r="G72" i="266"/>
  <c r="G70" i="279"/>
  <c r="G73" i="301"/>
  <c r="G73" i="249"/>
  <c r="G75" i="281"/>
  <c r="G72" i="315"/>
  <c r="G70" i="280"/>
  <c r="H70" i="280" s="1"/>
  <c r="I70" i="280" s="1"/>
  <c r="G75" i="280"/>
  <c r="G71" i="314"/>
  <c r="G71" i="295"/>
  <c r="G72" i="312"/>
  <c r="G73" i="312"/>
  <c r="G72" i="316"/>
  <c r="G70" i="231"/>
  <c r="G70" i="242"/>
  <c r="G72" i="245"/>
  <c r="G75" i="309"/>
  <c r="G72" i="288"/>
  <c r="H73" i="229"/>
  <c r="I73" i="229" s="1"/>
  <c r="J73" i="229" s="1"/>
  <c r="C106" i="229" s="1"/>
  <c r="G70" i="244"/>
  <c r="G75" i="244"/>
  <c r="G71" i="235"/>
  <c r="G75" i="235"/>
  <c r="G73" i="251"/>
  <c r="G74" i="260"/>
  <c r="G71" i="268"/>
  <c r="G74" i="268"/>
  <c r="G70" i="277"/>
  <c r="G72" i="313"/>
  <c r="H72" i="313" s="1"/>
  <c r="I72" i="313" s="1"/>
  <c r="G70" i="294"/>
  <c r="H70" i="294" s="1"/>
  <c r="I70" i="294" s="1"/>
  <c r="G73" i="236"/>
  <c r="G73" i="232"/>
  <c r="G71" i="284"/>
  <c r="G72" i="292"/>
  <c r="H72" i="292" s="1"/>
  <c r="I72" i="292" s="1"/>
  <c r="G71" i="287"/>
  <c r="H71" i="287" s="1"/>
  <c r="I71" i="287" s="1"/>
  <c r="G73" i="287"/>
  <c r="G75" i="241"/>
  <c r="G72" i="310"/>
  <c r="H72" i="310" s="1"/>
  <c r="I72" i="310" s="1"/>
  <c r="G72" i="258"/>
  <c r="H72" i="258" s="1"/>
  <c r="I72" i="258" s="1"/>
  <c r="J72" i="258" s="1"/>
  <c r="C105" i="258" s="1"/>
  <c r="D106" i="258" s="1"/>
  <c r="E107" i="258" s="1"/>
  <c r="F108" i="258" s="1"/>
  <c r="G109" i="258" s="1"/>
  <c r="H110" i="258" s="1"/>
  <c r="I111" i="258" s="1"/>
  <c r="G75" i="261"/>
  <c r="G71" i="264"/>
  <c r="G76" i="297"/>
  <c r="G77" i="231"/>
  <c r="G78" i="258"/>
  <c r="H77" i="229"/>
  <c r="G78" i="235"/>
  <c r="G77" i="260"/>
  <c r="G76" i="239"/>
  <c r="G76" i="311"/>
  <c r="G76" i="281"/>
  <c r="G78" i="257"/>
  <c r="G77" i="234"/>
  <c r="G81" i="312"/>
  <c r="G81" i="240"/>
  <c r="G81" i="301"/>
  <c r="H79" i="229"/>
  <c r="I79" i="229" s="1"/>
  <c r="J79" i="229" s="1"/>
  <c r="C112" i="229" s="1"/>
  <c r="G79" i="235"/>
  <c r="G79" i="260"/>
  <c r="G83" i="268"/>
  <c r="G80" i="233"/>
  <c r="G79" i="248"/>
  <c r="G80" i="248"/>
  <c r="G80" i="236"/>
  <c r="G79" i="266"/>
  <c r="G82" i="285"/>
  <c r="G80" i="304"/>
  <c r="G83" i="309"/>
  <c r="G79" i="239"/>
  <c r="G80" i="239"/>
  <c r="G83" i="288"/>
  <c r="G79" i="311"/>
  <c r="G80" i="311"/>
  <c r="G82" i="316"/>
  <c r="G79" i="231"/>
  <c r="G80" i="231"/>
  <c r="G79" i="257"/>
  <c r="G82" i="272"/>
  <c r="G79" i="243"/>
  <c r="G82" i="269"/>
  <c r="G82" i="247"/>
  <c r="G79" i="279"/>
  <c r="G80" i="255"/>
  <c r="G71" i="250"/>
  <c r="G72" i="233"/>
  <c r="G74" i="233"/>
  <c r="G70" i="274"/>
  <c r="G73" i="274"/>
  <c r="G72" i="276"/>
  <c r="G74" i="276"/>
  <c r="G71" i="249"/>
  <c r="G75" i="249"/>
  <c r="G70" i="259"/>
  <c r="G74" i="259"/>
  <c r="G74" i="267"/>
  <c r="G74" i="250"/>
  <c r="G74" i="266"/>
  <c r="G72" i="279"/>
  <c r="G74" i="301"/>
  <c r="G70" i="233"/>
  <c r="G75" i="233"/>
  <c r="G72" i="274"/>
  <c r="G75" i="274"/>
  <c r="G70" i="276"/>
  <c r="G75" i="276"/>
  <c r="G72" i="249"/>
  <c r="G74" i="249"/>
  <c r="G72" i="259"/>
  <c r="G73" i="259"/>
  <c r="G70" i="267"/>
  <c r="G73" i="267"/>
  <c r="H73" i="267" s="1"/>
  <c r="I73" i="267" s="1"/>
  <c r="G71" i="281"/>
  <c r="G73" i="281"/>
  <c r="G74" i="315"/>
  <c r="G71" i="280"/>
  <c r="H71" i="280" s="1"/>
  <c r="I71" i="280" s="1"/>
  <c r="G70" i="314"/>
  <c r="G74" i="262"/>
  <c r="H74" i="262" s="1"/>
  <c r="I74" i="262" s="1"/>
  <c r="G73" i="295"/>
  <c r="G74" i="272"/>
  <c r="G75" i="272"/>
  <c r="G73" i="243"/>
  <c r="G75" i="269"/>
  <c r="H75" i="269" s="1"/>
  <c r="I75" i="269" s="1"/>
  <c r="G70" i="312"/>
  <c r="G71" i="316"/>
  <c r="G75" i="316"/>
  <c r="G72" i="231"/>
  <c r="G75" i="231"/>
  <c r="G74" i="231"/>
  <c r="G71" i="245"/>
  <c r="G75" i="245"/>
  <c r="G72" i="265"/>
  <c r="G74" i="265"/>
  <c r="G73" i="265"/>
  <c r="G71" i="271"/>
  <c r="H71" i="271" s="1"/>
  <c r="I71" i="271" s="1"/>
  <c r="G75" i="271"/>
  <c r="H75" i="271" s="1"/>
  <c r="I75" i="271" s="1"/>
  <c r="G75" i="308"/>
  <c r="G75" i="293"/>
  <c r="H75" i="293" s="1"/>
  <c r="I75" i="293" s="1"/>
  <c r="G71" i="309"/>
  <c r="H71" i="309" s="1"/>
  <c r="I71" i="309" s="1"/>
  <c r="G70" i="239"/>
  <c r="G71" i="288"/>
  <c r="G70" i="311"/>
  <c r="H70" i="229"/>
  <c r="G71" i="244"/>
  <c r="G70" i="235"/>
  <c r="G71" i="251"/>
  <c r="G70" i="260"/>
  <c r="G72" i="268"/>
  <c r="G71" i="277"/>
  <c r="G72" i="283"/>
  <c r="G71" i="313"/>
  <c r="G72" i="294"/>
  <c r="H72" i="294" s="1"/>
  <c r="I72" i="294" s="1"/>
  <c r="G75" i="294"/>
  <c r="G73" i="294"/>
  <c r="H73" i="294" s="1"/>
  <c r="I73" i="294" s="1"/>
  <c r="G70" i="246"/>
  <c r="G73" i="246"/>
  <c r="G72" i="253"/>
  <c r="G74" i="253"/>
  <c r="G72" i="282"/>
  <c r="G74" i="282"/>
  <c r="G75" i="304"/>
  <c r="G74" i="236"/>
  <c r="G70" i="290"/>
  <c r="G75" i="232"/>
  <c r="G74" i="287"/>
  <c r="G70" i="278"/>
  <c r="G72" i="234"/>
  <c r="G72" i="255"/>
  <c r="G75" i="286"/>
  <c r="G71" i="258"/>
  <c r="H71" i="258" s="1"/>
  <c r="I71" i="258" s="1"/>
  <c r="G73" i="258"/>
  <c r="H73" i="258" s="1"/>
  <c r="I73" i="258" s="1"/>
  <c r="G70" i="261"/>
  <c r="G71" i="285"/>
  <c r="G71" i="254"/>
  <c r="G71" i="240"/>
  <c r="G75" i="240"/>
  <c r="G70" i="264"/>
  <c r="G71" i="291"/>
  <c r="G76" i="308"/>
  <c r="G76" i="293"/>
  <c r="G76" i="254"/>
  <c r="G78" i="295"/>
  <c r="G77" i="312"/>
  <c r="G76" i="286"/>
  <c r="G76" i="245"/>
  <c r="G77" i="279"/>
  <c r="G78" i="278"/>
  <c r="G76" i="255"/>
  <c r="G78" i="301"/>
  <c r="G76" i="258"/>
  <c r="G78" i="246"/>
  <c r="G76" i="252"/>
  <c r="G78" i="253"/>
  <c r="G78" i="261"/>
  <c r="G76" i="282"/>
  <c r="G78" i="280"/>
  <c r="H76" i="229"/>
  <c r="G77" i="244"/>
  <c r="G77" i="251"/>
  <c r="G76" i="268"/>
  <c r="G78" i="283"/>
  <c r="G77" i="284"/>
  <c r="G78" i="274"/>
  <c r="G78" i="249"/>
  <c r="G78" i="240"/>
  <c r="G77" i="291"/>
  <c r="G76" i="241"/>
  <c r="G77" i="285"/>
  <c r="G77" i="309"/>
  <c r="G77" i="288"/>
  <c r="G78" i="272"/>
  <c r="G77" i="315"/>
  <c r="G81" i="308"/>
  <c r="G81" i="293"/>
  <c r="G82" i="254"/>
  <c r="G81" i="262"/>
  <c r="G83" i="295"/>
  <c r="G83" i="312"/>
  <c r="G81" i="297"/>
  <c r="G82" i="286"/>
  <c r="G83" i="240"/>
  <c r="G82" i="291"/>
  <c r="G81" i="250"/>
  <c r="G83" i="278"/>
  <c r="G82" i="301"/>
  <c r="G83" i="246"/>
  <c r="G81" i="252"/>
  <c r="G81" i="253"/>
  <c r="G82" i="261"/>
  <c r="G81" i="282"/>
  <c r="G83" i="280"/>
  <c r="H81" i="229"/>
  <c r="G79" i="244"/>
  <c r="G80" i="244"/>
  <c r="G82" i="235"/>
  <c r="G79" i="251"/>
  <c r="G80" i="251"/>
  <c r="G83" i="260"/>
  <c r="G79" i="268"/>
  <c r="G80" i="268"/>
  <c r="G79" i="283"/>
  <c r="G80" i="283"/>
  <c r="G83" i="232"/>
  <c r="G79" i="284"/>
  <c r="G80" i="284"/>
  <c r="G82" i="233"/>
  <c r="G79" i="274"/>
  <c r="G80" i="274"/>
  <c r="G83" i="276"/>
  <c r="G79" i="249"/>
  <c r="G80" i="249"/>
  <c r="G82" i="259"/>
  <c r="G83" i="236"/>
  <c r="G79" i="256"/>
  <c r="G80" i="256"/>
  <c r="G79" i="234"/>
  <c r="G80" i="234"/>
  <c r="G79" i="285"/>
  <c r="G80" i="285"/>
  <c r="G82" i="304"/>
  <c r="G79" i="309"/>
  <c r="G80" i="309"/>
  <c r="G82" i="239"/>
  <c r="G79" i="288"/>
  <c r="G80" i="288"/>
  <c r="G82" i="311"/>
  <c r="G82" i="281"/>
  <c r="G79" i="316"/>
  <c r="G80" i="316"/>
  <c r="G82" i="231"/>
  <c r="G79" i="245"/>
  <c r="G80" i="245"/>
  <c r="G79" i="272"/>
  <c r="G80" i="272"/>
  <c r="G82" i="243"/>
  <c r="G79" i="269"/>
  <c r="G80" i="269"/>
  <c r="G79" i="247"/>
  <c r="G80" i="247"/>
  <c r="G83" i="279"/>
  <c r="G79" i="241"/>
  <c r="G80" i="241"/>
  <c r="G82" i="255"/>
  <c r="G79" i="315"/>
  <c r="G80" i="315"/>
  <c r="G73" i="250"/>
  <c r="G71" i="266"/>
  <c r="G75" i="266"/>
  <c r="G71" i="233"/>
  <c r="G71" i="274"/>
  <c r="G71" i="276"/>
  <c r="G71" i="259"/>
  <c r="G72" i="267"/>
  <c r="G75" i="315"/>
  <c r="G74" i="314"/>
  <c r="G70" i="262"/>
  <c r="H70" i="262" s="1"/>
  <c r="I70" i="262" s="1"/>
  <c r="G74" i="295"/>
  <c r="G72" i="272"/>
  <c r="H72" i="272" s="1"/>
  <c r="I72" i="272" s="1"/>
  <c r="G73" i="272"/>
  <c r="G74" i="243"/>
  <c r="G70" i="269"/>
  <c r="H70" i="269" s="1"/>
  <c r="I70" i="269" s="1"/>
  <c r="G73" i="269"/>
  <c r="G70" i="316"/>
  <c r="G71" i="231"/>
  <c r="G71" i="248"/>
  <c r="G70" i="245"/>
  <c r="G71" i="265"/>
  <c r="G74" i="308"/>
  <c r="G72" i="293"/>
  <c r="H72" i="293" s="1"/>
  <c r="I72" i="293" s="1"/>
  <c r="H74" i="229"/>
  <c r="I74" i="229" s="1"/>
  <c r="J74" i="229" s="1"/>
  <c r="C107" i="229" s="1"/>
  <c r="G73" i="244"/>
  <c r="G73" i="235"/>
  <c r="G75" i="283"/>
  <c r="G74" i="313"/>
  <c r="H74" i="313" s="1"/>
  <c r="I74" i="313" s="1"/>
  <c r="G71" i="294"/>
  <c r="H71" i="294" s="1"/>
  <c r="I71" i="294" s="1"/>
  <c r="G72" i="246"/>
  <c r="G71" i="282"/>
  <c r="G70" i="236"/>
  <c r="G72" i="284"/>
  <c r="H72" i="284" s="1"/>
  <c r="I72" i="284" s="1"/>
  <c r="G73" i="278"/>
  <c r="G73" i="241"/>
  <c r="G75" i="255"/>
  <c r="G73" i="310"/>
  <c r="H73" i="310" s="1"/>
  <c r="I73" i="310" s="1"/>
  <c r="G74" i="258"/>
  <c r="G74" i="261"/>
  <c r="G75" i="285"/>
  <c r="G74" i="240"/>
  <c r="G74" i="264"/>
  <c r="G75" i="291"/>
  <c r="G77" i="308"/>
  <c r="G78" i="312"/>
  <c r="G78" i="297"/>
  <c r="G77" i="286"/>
  <c r="G76" i="289"/>
  <c r="G78" i="231"/>
  <c r="G77" i="265"/>
  <c r="G77" i="243"/>
  <c r="G76" i="279"/>
  <c r="G78" i="255"/>
  <c r="G78" i="244"/>
  <c r="G76" i="235"/>
  <c r="G77" i="283"/>
  <c r="G76" i="284"/>
  <c r="G77" i="316"/>
  <c r="G78" i="248"/>
  <c r="G76" i="285"/>
  <c r="G78" i="309"/>
  <c r="G77" i="239"/>
  <c r="G78" i="288"/>
  <c r="G78" i="311"/>
  <c r="G77" i="281"/>
  <c r="G78" i="315"/>
  <c r="G79" i="293"/>
  <c r="G83" i="254"/>
  <c r="G79" i="262"/>
  <c r="G82" i="295"/>
  <c r="G82" i="312"/>
  <c r="G80" i="297"/>
  <c r="G79" i="271"/>
  <c r="G82" i="246"/>
  <c r="G79" i="252"/>
  <c r="G80" i="253"/>
  <c r="G83" i="261"/>
  <c r="G79" i="282"/>
  <c r="G82" i="280"/>
  <c r="H82" i="229"/>
  <c r="I82" i="229" s="1"/>
  <c r="J82" i="229" s="1"/>
  <c r="C115" i="229" s="1"/>
  <c r="G83" i="244"/>
  <c r="G83" i="251"/>
  <c r="G81" i="260"/>
  <c r="G82" i="268"/>
  <c r="G82" i="274"/>
  <c r="G81" i="248"/>
  <c r="G83" i="285"/>
  <c r="G82" i="309"/>
  <c r="G81" i="239"/>
  <c r="G82" i="288"/>
  <c r="G81" i="311"/>
  <c r="G83" i="316"/>
  <c r="G83" i="272"/>
  <c r="G81" i="243"/>
  <c r="G83" i="269"/>
  <c r="G81" i="279"/>
  <c r="G83" i="315"/>
  <c r="G72" i="250"/>
  <c r="G74" i="279"/>
  <c r="G73" i="233"/>
  <c r="G74" i="274"/>
  <c r="G73" i="276"/>
  <c r="G75" i="259"/>
  <c r="G75" i="267"/>
  <c r="H75" i="267" s="1"/>
  <c r="I75" i="267" s="1"/>
  <c r="G73" i="314"/>
  <c r="G71" i="262"/>
  <c r="G75" i="295"/>
  <c r="G70" i="272"/>
  <c r="G72" i="243"/>
  <c r="G75" i="243"/>
  <c r="G72" i="269"/>
  <c r="G74" i="269"/>
  <c r="H74" i="269" s="1"/>
  <c r="I74" i="269" s="1"/>
  <c r="J74" i="269" s="1"/>
  <c r="C107" i="269" s="1"/>
  <c r="D108" i="269" s="1"/>
  <c r="E109" i="269" s="1"/>
  <c r="F110" i="269" s="1"/>
  <c r="G111" i="269" s="1"/>
  <c r="H112" i="269" s="1"/>
  <c r="I113" i="269" s="1"/>
  <c r="G70" i="257"/>
  <c r="G70" i="265"/>
  <c r="G72" i="271"/>
  <c r="G73" i="308"/>
  <c r="G71" i="293"/>
  <c r="G74" i="293"/>
  <c r="H74" i="293" s="1"/>
  <c r="I74" i="293" s="1"/>
  <c r="G72" i="309"/>
  <c r="G73" i="309"/>
  <c r="G71" i="239"/>
  <c r="G75" i="239"/>
  <c r="G72" i="311"/>
  <c r="G73" i="311"/>
  <c r="H72" i="229"/>
  <c r="G72" i="260"/>
  <c r="G70" i="283"/>
  <c r="G73" i="283"/>
  <c r="G71" i="253"/>
  <c r="G70" i="282"/>
  <c r="G74" i="304"/>
  <c r="G71" i="290"/>
  <c r="H71" i="290" s="1"/>
  <c r="I71" i="290" s="1"/>
  <c r="G72" i="232"/>
  <c r="G74" i="284"/>
  <c r="G71" i="278"/>
  <c r="G74" i="278"/>
  <c r="G70" i="234"/>
  <c r="G73" i="234"/>
  <c r="G74" i="255"/>
  <c r="G71" i="286"/>
  <c r="G73" i="286"/>
  <c r="G75" i="258"/>
  <c r="H75" i="258" s="1"/>
  <c r="I75" i="258" s="1"/>
  <c r="G71" i="237"/>
  <c r="G72" i="261"/>
  <c r="G73" i="261"/>
  <c r="G72" i="285"/>
  <c r="G74" i="285"/>
  <c r="G73" i="285"/>
  <c r="G70" i="254"/>
  <c r="G73" i="254"/>
  <c r="G72" i="240"/>
  <c r="G72" i="291"/>
  <c r="G73" i="291"/>
  <c r="G78" i="262"/>
  <c r="G77" i="289"/>
  <c r="G78" i="265"/>
  <c r="G76" i="243"/>
  <c r="G78" i="279"/>
  <c r="G76" i="278"/>
  <c r="G77" i="255"/>
  <c r="G77" i="246"/>
  <c r="G78" i="252"/>
  <c r="G77" i="253"/>
  <c r="G77" i="261"/>
  <c r="G78" i="282"/>
  <c r="G76" i="280"/>
  <c r="G77" i="232"/>
  <c r="G76" i="233"/>
  <c r="G76" i="276"/>
  <c r="G77" i="259"/>
  <c r="G78" i="316"/>
  <c r="G77" i="247"/>
  <c r="G76" i="304"/>
  <c r="G77" i="256"/>
  <c r="G81" i="314"/>
  <c r="G83" i="308"/>
  <c r="G83" i="293"/>
  <c r="G81" i="254"/>
  <c r="G83" i="262"/>
  <c r="G81" i="295"/>
  <c r="G81" i="286"/>
  <c r="G81" i="291"/>
  <c r="G83" i="250"/>
  <c r="G81" i="278"/>
  <c r="G81" i="258"/>
  <c r="G81" i="246"/>
  <c r="G83" i="252"/>
  <c r="G82" i="253"/>
  <c r="G81" i="261"/>
  <c r="G82" i="282"/>
  <c r="G81" i="280"/>
  <c r="G82" i="244"/>
  <c r="G80" i="235"/>
  <c r="G82" i="251"/>
  <c r="G80" i="260"/>
  <c r="G83" i="283"/>
  <c r="G79" i="232"/>
  <c r="G80" i="232"/>
  <c r="G83" i="284"/>
  <c r="G79" i="233"/>
  <c r="G83" i="274"/>
  <c r="G79" i="276"/>
  <c r="G80" i="276"/>
  <c r="G83" i="249"/>
  <c r="G79" i="259"/>
  <c r="G80" i="259"/>
  <c r="G79" i="236"/>
  <c r="G82" i="256"/>
  <c r="G80" i="266"/>
  <c r="G83" i="234"/>
  <c r="G79" i="304"/>
  <c r="G79" i="281"/>
  <c r="G80" i="281"/>
  <c r="G80" i="257"/>
  <c r="G80" i="243"/>
  <c r="G80" i="279"/>
  <c r="G83" i="241"/>
  <c r="G79" i="255"/>
  <c r="G82" i="315"/>
  <c r="G70" i="266"/>
  <c r="G73" i="266"/>
  <c r="G71" i="279"/>
  <c r="G73" i="279"/>
  <c r="G71" i="267"/>
  <c r="G70" i="281"/>
  <c r="H70" i="281" s="1"/>
  <c r="I70" i="281" s="1"/>
  <c r="G74" i="281"/>
  <c r="G73" i="280"/>
  <c r="H73" i="280" s="1"/>
  <c r="I73" i="280" s="1"/>
  <c r="G74" i="280"/>
  <c r="G75" i="314"/>
  <c r="G72" i="262"/>
  <c r="G73" i="262"/>
  <c r="H73" i="262" s="1"/>
  <c r="I73" i="262" s="1"/>
  <c r="G72" i="295"/>
  <c r="G71" i="272"/>
  <c r="G71" i="243"/>
  <c r="G71" i="269"/>
  <c r="H71" i="269" s="1"/>
  <c r="I71" i="269" s="1"/>
  <c r="G71" i="312"/>
  <c r="G74" i="312"/>
  <c r="G74" i="316"/>
  <c r="G73" i="231"/>
  <c r="G74" i="245"/>
  <c r="G75" i="265"/>
  <c r="G73" i="271"/>
  <c r="G70" i="293"/>
  <c r="G70" i="309"/>
  <c r="G72" i="239"/>
  <c r="G74" i="239"/>
  <c r="G70" i="288"/>
  <c r="G75" i="288"/>
  <c r="G71" i="311"/>
  <c r="G74" i="311"/>
  <c r="H71" i="229"/>
  <c r="I71" i="229" s="1"/>
  <c r="J71" i="229" s="1"/>
  <c r="C104" i="229" s="1"/>
  <c r="H75" i="229"/>
  <c r="G72" i="244"/>
  <c r="G74" i="244"/>
  <c r="G72" i="235"/>
  <c r="G74" i="235"/>
  <c r="G70" i="251"/>
  <c r="G71" i="260"/>
  <c r="G75" i="260"/>
  <c r="G70" i="268"/>
  <c r="G73" i="268"/>
  <c r="G72" i="277"/>
  <c r="G71" i="283"/>
  <c r="G74" i="283"/>
  <c r="G73" i="305"/>
  <c r="G74" i="294"/>
  <c r="H74" i="294" s="1"/>
  <c r="I74" i="294" s="1"/>
  <c r="G74" i="246"/>
  <c r="G75" i="253"/>
  <c r="G73" i="282"/>
  <c r="G71" i="236"/>
  <c r="G73" i="290"/>
  <c r="H73" i="290" s="1"/>
  <c r="I73" i="290" s="1"/>
  <c r="G71" i="232"/>
  <c r="G70" i="284"/>
  <c r="G72" i="287"/>
  <c r="G72" i="278"/>
  <c r="G75" i="278"/>
  <c r="G71" i="234"/>
  <c r="G74" i="234"/>
  <c r="G74" i="241"/>
  <c r="G71" i="255"/>
  <c r="G73" i="255"/>
  <c r="G72" i="286"/>
  <c r="G70" i="289"/>
  <c r="G70" i="258"/>
  <c r="H70" i="258" s="1"/>
  <c r="I70" i="258" s="1"/>
  <c r="G70" i="237"/>
  <c r="G71" i="261"/>
  <c r="G70" i="285"/>
  <c r="G72" i="254"/>
  <c r="G75" i="254"/>
  <c r="G70" i="240"/>
  <c r="G75" i="264"/>
  <c r="H75" i="264" s="1"/>
  <c r="I75" i="264" s="1"/>
  <c r="G70" i="291"/>
  <c r="G74" i="291"/>
  <c r="G78" i="308"/>
  <c r="G78" i="293"/>
  <c r="G76" i="314"/>
  <c r="G77" i="254"/>
  <c r="G77" i="262"/>
  <c r="G76" i="295"/>
  <c r="G76" i="312"/>
  <c r="G77" i="297"/>
  <c r="G78" i="286"/>
  <c r="G78" i="289"/>
  <c r="G76" i="231"/>
  <c r="G76" i="265"/>
  <c r="G78" i="243"/>
  <c r="G77" i="278"/>
  <c r="G77" i="252"/>
  <c r="G76" i="253"/>
  <c r="G77" i="282"/>
  <c r="H78" i="229"/>
  <c r="I78" i="229" s="1"/>
  <c r="J78" i="229" s="1"/>
  <c r="C111" i="229" s="1"/>
  <c r="G76" i="244"/>
  <c r="G77" i="235"/>
  <c r="G78" i="251"/>
  <c r="G78" i="260"/>
  <c r="G78" i="268"/>
  <c r="G76" i="283"/>
  <c r="G78" i="232"/>
  <c r="G78" i="284"/>
  <c r="G78" i="233"/>
  <c r="G76" i="274"/>
  <c r="G77" i="276"/>
  <c r="G76" i="249"/>
  <c r="G78" i="259"/>
  <c r="G76" i="316"/>
  <c r="G77" i="248"/>
  <c r="G76" i="240"/>
  <c r="G78" i="291"/>
  <c r="G78" i="247"/>
  <c r="G78" i="241"/>
  <c r="G78" i="285"/>
  <c r="G78" i="304"/>
  <c r="G76" i="309"/>
  <c r="G78" i="239"/>
  <c r="G76" i="288"/>
  <c r="G77" i="311"/>
  <c r="G76" i="307"/>
  <c r="G78" i="281"/>
  <c r="G76" i="242"/>
  <c r="G77" i="257"/>
  <c r="G77" i="272"/>
  <c r="G76" i="256"/>
  <c r="G78" i="234"/>
  <c r="G76" i="315"/>
  <c r="G82" i="308"/>
  <c r="G82" i="293"/>
  <c r="G79" i="254"/>
  <c r="G80" i="254"/>
  <c r="G82" i="262"/>
  <c r="G79" i="295"/>
  <c r="G80" i="295"/>
  <c r="G79" i="312"/>
  <c r="G80" i="312"/>
  <c r="G79" i="286"/>
  <c r="G80" i="286"/>
  <c r="G79" i="240"/>
  <c r="G80" i="240"/>
  <c r="G79" i="291"/>
  <c r="G80" i="291"/>
  <c r="G82" i="250"/>
  <c r="G79" i="278"/>
  <c r="G80" i="278"/>
  <c r="G79" i="301"/>
  <c r="G80" i="301"/>
  <c r="G79" i="258"/>
  <c r="G80" i="258"/>
  <c r="G79" i="246"/>
  <c r="G80" i="246"/>
  <c r="G82" i="252"/>
  <c r="G83" i="253"/>
  <c r="G79" i="261"/>
  <c r="G80" i="261"/>
  <c r="G83" i="282"/>
  <c r="G79" i="280"/>
  <c r="G80" i="280"/>
  <c r="H80" i="229"/>
  <c r="I80" i="229" s="1"/>
  <c r="G81" i="244"/>
  <c r="G83" i="235"/>
  <c r="G81" i="251"/>
  <c r="G82" i="260"/>
  <c r="G81" i="268"/>
  <c r="G81" i="283"/>
  <c r="G82" i="232"/>
  <c r="G81" i="284"/>
  <c r="G83" i="233"/>
  <c r="G81" i="274"/>
  <c r="G82" i="276"/>
  <c r="G81" i="249"/>
  <c r="G83" i="259"/>
  <c r="G82" i="236"/>
  <c r="G81" i="256"/>
  <c r="G82" i="266"/>
  <c r="G81" i="234"/>
  <c r="G81" i="285"/>
  <c r="G83" i="304"/>
  <c r="G81" i="309"/>
  <c r="G83" i="239"/>
  <c r="G81" i="288"/>
  <c r="G83" i="311"/>
  <c r="G83" i="281"/>
  <c r="G81" i="316"/>
  <c r="G83" i="231"/>
  <c r="G81" i="245"/>
  <c r="G81" i="272"/>
  <c r="G83" i="243"/>
  <c r="G81" i="269"/>
  <c r="G81" i="247"/>
  <c r="G82" i="279"/>
  <c r="G81" i="241"/>
  <c r="G83" i="255"/>
  <c r="G81" i="315"/>
  <c r="H82" i="230"/>
  <c r="H72" i="230"/>
  <c r="I72" i="230" s="1"/>
  <c r="J72" i="230" s="1"/>
  <c r="C105" i="230" s="1"/>
  <c r="H71" i="230"/>
  <c r="H83" i="230"/>
  <c r="H80" i="230"/>
  <c r="H75" i="230"/>
  <c r="H76" i="230"/>
  <c r="G74" i="237"/>
  <c r="H74" i="237" s="1"/>
  <c r="I74" i="237" s="1"/>
  <c r="G75" i="237"/>
  <c r="G78" i="237"/>
  <c r="G77" i="237"/>
  <c r="H77" i="237" s="1"/>
  <c r="I77" i="237" s="1"/>
  <c r="G81" i="237"/>
  <c r="G76" i="237"/>
  <c r="G82" i="237"/>
  <c r="G83" i="237"/>
  <c r="G79" i="237"/>
  <c r="H79" i="237" s="1"/>
  <c r="I79" i="237" s="1"/>
  <c r="G80" i="237"/>
  <c r="G72" i="237"/>
  <c r="H73" i="315"/>
  <c r="I73" i="315" s="1"/>
  <c r="H71" i="315"/>
  <c r="I71" i="315" s="1"/>
  <c r="H73" i="239"/>
  <c r="H75" i="251"/>
  <c r="I75" i="251" s="1"/>
  <c r="H74" i="305"/>
  <c r="I74" i="305" s="1"/>
  <c r="H77" i="301"/>
  <c r="I77" i="301" s="1"/>
  <c r="H76" i="251"/>
  <c r="H76" i="305"/>
  <c r="H77" i="307"/>
  <c r="H78" i="250"/>
  <c r="H82" i="242"/>
  <c r="H79" i="299"/>
  <c r="I79" i="299" s="1"/>
  <c r="H80" i="299"/>
  <c r="H83" i="245"/>
  <c r="I83" i="245" s="1"/>
  <c r="H81" i="257"/>
  <c r="H72" i="248"/>
  <c r="H71" i="257"/>
  <c r="H75" i="305"/>
  <c r="H73" i="313"/>
  <c r="I73" i="313" s="1"/>
  <c r="H78" i="299"/>
  <c r="H77" i="305"/>
  <c r="I77" i="305" s="1"/>
  <c r="H78" i="307"/>
  <c r="H78" i="242"/>
  <c r="H83" i="242"/>
  <c r="H81" i="299"/>
  <c r="H83" i="248"/>
  <c r="H79" i="307"/>
  <c r="H82" i="257"/>
  <c r="H75" i="301"/>
  <c r="I75" i="301" s="1"/>
  <c r="H75" i="313"/>
  <c r="I75" i="313" s="1"/>
  <c r="H73" i="296"/>
  <c r="H76" i="299"/>
  <c r="H76" i="313"/>
  <c r="I76" i="313" s="1"/>
  <c r="H77" i="250"/>
  <c r="H79" i="242"/>
  <c r="I79" i="242" s="1"/>
  <c r="H80" i="242"/>
  <c r="I80" i="242" s="1"/>
  <c r="H82" i="299"/>
  <c r="H82" i="248"/>
  <c r="H83" i="257"/>
  <c r="H72" i="251"/>
  <c r="I72" i="251" s="1"/>
  <c r="H70" i="255"/>
  <c r="H73" i="240"/>
  <c r="H77" i="299"/>
  <c r="H76" i="301"/>
  <c r="I76" i="301" s="1"/>
  <c r="H77" i="313"/>
  <c r="I77" i="313" s="1"/>
  <c r="H81" i="242"/>
  <c r="H83" i="299"/>
  <c r="H83" i="300"/>
  <c r="H82" i="245"/>
  <c r="H77" i="302"/>
  <c r="I77" i="302" s="1"/>
  <c r="H76" i="300"/>
  <c r="H79" i="298"/>
  <c r="H82" i="300"/>
  <c r="I82" i="300" s="1"/>
  <c r="H77" i="300"/>
  <c r="I77" i="300" s="1"/>
  <c r="H81" i="298"/>
  <c r="H81" i="296"/>
  <c r="H83" i="302"/>
  <c r="I83" i="302" s="1"/>
  <c r="H79" i="300"/>
  <c r="H77" i="298"/>
  <c r="H78" i="302"/>
  <c r="H78" i="300"/>
  <c r="H82" i="298"/>
  <c r="I82" i="298" s="1"/>
  <c r="H82" i="297"/>
  <c r="H83" i="296"/>
  <c r="H82" i="302"/>
  <c r="H81" i="307"/>
  <c r="H81" i="300"/>
  <c r="H75" i="300"/>
  <c r="H78" i="298"/>
  <c r="H80" i="298"/>
  <c r="H79" i="296"/>
  <c r="I79" i="296" s="1"/>
  <c r="H80" i="296"/>
  <c r="H81" i="302"/>
  <c r="H83" i="307"/>
  <c r="H80" i="307"/>
  <c r="H80" i="300"/>
  <c r="H76" i="298"/>
  <c r="H76" i="302"/>
  <c r="H83" i="298"/>
  <c r="H83" i="297"/>
  <c r="H82" i="296"/>
  <c r="H79" i="302"/>
  <c r="H80" i="302"/>
  <c r="H82" i="307"/>
  <c r="H78" i="263"/>
  <c r="I78" i="263" s="1"/>
  <c r="H81" i="263"/>
  <c r="I81" i="263" s="1"/>
  <c r="H79" i="270"/>
  <c r="H78" i="270"/>
  <c r="H76" i="263"/>
  <c r="I76" i="263" s="1"/>
  <c r="H82" i="270"/>
  <c r="H79" i="263"/>
  <c r="H80" i="263"/>
  <c r="H77" i="270"/>
  <c r="H83" i="270"/>
  <c r="I83" i="270" s="1"/>
  <c r="H74" i="270"/>
  <c r="H76" i="270"/>
  <c r="H80" i="270"/>
  <c r="H82" i="263"/>
  <c r="I82" i="263" s="1"/>
  <c r="H75" i="270"/>
  <c r="H77" i="263"/>
  <c r="I77" i="263" s="1"/>
  <c r="H81" i="270"/>
  <c r="H83" i="263"/>
  <c r="H70" i="275"/>
  <c r="I70" i="275" s="1"/>
  <c r="H74" i="275"/>
  <c r="I74" i="275" s="1"/>
  <c r="H82" i="289"/>
  <c r="H80" i="287"/>
  <c r="H79" i="310"/>
  <c r="H79" i="265"/>
  <c r="I79" i="265" s="1"/>
  <c r="H83" i="266"/>
  <c r="I83" i="266" s="1"/>
  <c r="H79" i="275"/>
  <c r="I79" i="275" s="1"/>
  <c r="H72" i="275"/>
  <c r="I72" i="275" s="1"/>
  <c r="H78" i="287"/>
  <c r="H78" i="313"/>
  <c r="I78" i="313" s="1"/>
  <c r="H79" i="289"/>
  <c r="H81" i="310"/>
  <c r="H81" i="265"/>
  <c r="H71" i="275"/>
  <c r="I71" i="275" s="1"/>
  <c r="H72" i="314"/>
  <c r="H70" i="310"/>
  <c r="H75" i="310"/>
  <c r="H72" i="264"/>
  <c r="H77" i="287"/>
  <c r="I77" i="287" s="1"/>
  <c r="H78" i="310"/>
  <c r="I78" i="310" s="1"/>
  <c r="H76" i="267"/>
  <c r="I76" i="267" s="1"/>
  <c r="H78" i="275"/>
  <c r="I78" i="275" s="1"/>
  <c r="H83" i="289"/>
  <c r="H82" i="258"/>
  <c r="H83" i="287"/>
  <c r="I83" i="287" s="1"/>
  <c r="H82" i="310"/>
  <c r="H82" i="265"/>
  <c r="I82" i="265" s="1"/>
  <c r="H81" i="313"/>
  <c r="I81" i="313" s="1"/>
  <c r="H83" i="275"/>
  <c r="I83" i="275" s="1"/>
  <c r="H74" i="310"/>
  <c r="H83" i="258"/>
  <c r="H79" i="287"/>
  <c r="H80" i="310"/>
  <c r="I80" i="310" s="1"/>
  <c r="H80" i="265"/>
  <c r="H83" i="313"/>
  <c r="I83" i="313" s="1"/>
  <c r="H80" i="275"/>
  <c r="I80" i="275" s="1"/>
  <c r="H73" i="275"/>
  <c r="I73" i="275" s="1"/>
  <c r="H70" i="271"/>
  <c r="H77" i="314"/>
  <c r="H76" i="310"/>
  <c r="H77" i="275"/>
  <c r="I77" i="275" s="1"/>
  <c r="H80" i="289"/>
  <c r="H81" i="287"/>
  <c r="I81" i="287" s="1"/>
  <c r="H82" i="313"/>
  <c r="I82" i="313" s="1"/>
  <c r="H81" i="275"/>
  <c r="I81" i="275" s="1"/>
  <c r="H75" i="275"/>
  <c r="I75" i="275" s="1"/>
  <c r="H71" i="310"/>
  <c r="I71" i="310" s="1"/>
  <c r="H76" i="287"/>
  <c r="H77" i="310"/>
  <c r="H76" i="275"/>
  <c r="I76" i="275" s="1"/>
  <c r="H81" i="289"/>
  <c r="H82" i="287"/>
  <c r="I82" i="287" s="1"/>
  <c r="H83" i="310"/>
  <c r="H83" i="265"/>
  <c r="H79" i="313"/>
  <c r="I79" i="313" s="1"/>
  <c r="H80" i="313"/>
  <c r="I80" i="313" s="1"/>
  <c r="H82" i="275"/>
  <c r="I82" i="275" s="1"/>
  <c r="H79" i="314"/>
  <c r="I79" i="314" s="1"/>
  <c r="H80" i="314"/>
  <c r="H78" i="314"/>
  <c r="H79" i="264"/>
  <c r="I79" i="264" s="1"/>
  <c r="J79" i="264" s="1"/>
  <c r="C112" i="264" s="1"/>
  <c r="D113" i="264" s="1"/>
  <c r="E114" i="264" s="1"/>
  <c r="F115" i="264" s="1"/>
  <c r="G116" i="264" s="1"/>
  <c r="H79" i="294"/>
  <c r="H83" i="305"/>
  <c r="H81" i="267"/>
  <c r="H81" i="306"/>
  <c r="H81" i="290"/>
  <c r="H81" i="271"/>
  <c r="I81" i="271" s="1"/>
  <c r="H81" i="264"/>
  <c r="I81" i="264" s="1"/>
  <c r="J81" i="264" s="1"/>
  <c r="C114" i="264" s="1"/>
  <c r="D115" i="264" s="1"/>
  <c r="E116" i="264" s="1"/>
  <c r="H81" i="294"/>
  <c r="H83" i="277"/>
  <c r="H83" i="292"/>
  <c r="H79" i="305"/>
  <c r="H80" i="305"/>
  <c r="I80" i="305" s="1"/>
  <c r="H83" i="267"/>
  <c r="I83" i="267" s="1"/>
  <c r="H83" i="306"/>
  <c r="H82" i="290"/>
  <c r="H80" i="264"/>
  <c r="H80" i="294"/>
  <c r="H81" i="277"/>
  <c r="I81" i="277" s="1"/>
  <c r="H81" i="292"/>
  <c r="E83" i="303"/>
  <c r="E81" i="303"/>
  <c r="E79" i="303"/>
  <c r="E82" i="303"/>
  <c r="E80" i="303"/>
  <c r="F80" i="303"/>
  <c r="F81" i="303"/>
  <c r="G81" i="303" s="1"/>
  <c r="F82" i="303"/>
  <c r="G82" i="303" s="1"/>
  <c r="F83" i="303"/>
  <c r="G83" i="303" s="1"/>
  <c r="F79" i="303"/>
  <c r="H83" i="271"/>
  <c r="H83" i="264"/>
  <c r="H83" i="294"/>
  <c r="I83" i="294" s="1"/>
  <c r="H82" i="277"/>
  <c r="I82" i="277" s="1"/>
  <c r="H82" i="292"/>
  <c r="I82" i="292" s="1"/>
  <c r="H81" i="305"/>
  <c r="H82" i="267"/>
  <c r="H82" i="306"/>
  <c r="H83" i="290"/>
  <c r="H80" i="271"/>
  <c r="H82" i="271"/>
  <c r="I82" i="271" s="1"/>
  <c r="H82" i="264"/>
  <c r="I82" i="264" s="1"/>
  <c r="J82" i="264" s="1"/>
  <c r="C115" i="264" s="1"/>
  <c r="D116" i="264" s="1"/>
  <c r="H82" i="294"/>
  <c r="H79" i="277"/>
  <c r="H80" i="277"/>
  <c r="I80" i="277" s="1"/>
  <c r="H79" i="292"/>
  <c r="H80" i="292"/>
  <c r="I80" i="292" s="1"/>
  <c r="H82" i="305"/>
  <c r="H79" i="267"/>
  <c r="I79" i="267" s="1"/>
  <c r="J79" i="267" s="1"/>
  <c r="C112" i="267" s="1"/>
  <c r="D113" i="267" s="1"/>
  <c r="E114" i="267" s="1"/>
  <c r="F115" i="267" s="1"/>
  <c r="G116" i="267" s="1"/>
  <c r="H80" i="267"/>
  <c r="I80" i="267" s="1"/>
  <c r="H79" i="306"/>
  <c r="H80" i="306"/>
  <c r="H79" i="290"/>
  <c r="H80" i="290"/>
  <c r="H78" i="290"/>
  <c r="H78" i="305"/>
  <c r="H77" i="306"/>
  <c r="H83" i="314"/>
  <c r="H76" i="290"/>
  <c r="H77" i="266"/>
  <c r="H77" i="269"/>
  <c r="H78" i="267"/>
  <c r="I78" i="267" s="1"/>
  <c r="H78" i="306"/>
  <c r="H76" i="248"/>
  <c r="H76" i="266"/>
  <c r="H76" i="269"/>
  <c r="I76" i="269" s="1"/>
  <c r="H82" i="314"/>
  <c r="H77" i="290"/>
  <c r="H77" i="267"/>
  <c r="H76" i="306"/>
  <c r="H76" i="250"/>
  <c r="H74" i="251"/>
  <c r="H73" i="264"/>
  <c r="H76" i="294"/>
  <c r="H77" i="294"/>
  <c r="I77" i="294" s="1"/>
  <c r="H78" i="294"/>
  <c r="H77" i="236"/>
  <c r="H76" i="236"/>
  <c r="H77" i="296"/>
  <c r="H78" i="245"/>
  <c r="I78" i="245" s="1"/>
  <c r="J78" i="245" s="1"/>
  <c r="C111" i="245" s="1"/>
  <c r="D112" i="245" s="1"/>
  <c r="E113" i="245" s="1"/>
  <c r="F114" i="245" s="1"/>
  <c r="G115" i="245" s="1"/>
  <c r="H116" i="245" s="1"/>
  <c r="H76" i="292"/>
  <c r="H78" i="271"/>
  <c r="I78" i="271" s="1"/>
  <c r="J78" i="271" s="1"/>
  <c r="C111" i="271" s="1"/>
  <c r="D112" i="271" s="1"/>
  <c r="E113" i="271" s="1"/>
  <c r="F114" i="271" s="1"/>
  <c r="G115" i="271" s="1"/>
  <c r="H116" i="271" s="1"/>
  <c r="H78" i="277"/>
  <c r="H77" i="292"/>
  <c r="H76" i="271"/>
  <c r="E78" i="303"/>
  <c r="E77" i="303"/>
  <c r="E76" i="303"/>
  <c r="F77" i="303"/>
  <c r="G77" i="303" s="1"/>
  <c r="F78" i="303"/>
  <c r="G78" i="303" s="1"/>
  <c r="F76" i="303"/>
  <c r="G76" i="303" s="1"/>
  <c r="H78" i="264"/>
  <c r="I78" i="264" s="1"/>
  <c r="J78" i="264" s="1"/>
  <c r="C111" i="264" s="1"/>
  <c r="D112" i="264" s="1"/>
  <c r="E113" i="264" s="1"/>
  <c r="F114" i="264" s="1"/>
  <c r="G115" i="264" s="1"/>
  <c r="H116" i="264" s="1"/>
  <c r="H78" i="296"/>
  <c r="H77" i="245"/>
  <c r="H78" i="236"/>
  <c r="H77" i="264"/>
  <c r="I77" i="264" s="1"/>
  <c r="J77" i="264" s="1"/>
  <c r="C110" i="264" s="1"/>
  <c r="D111" i="264" s="1"/>
  <c r="E112" i="264" s="1"/>
  <c r="F113" i="264" s="1"/>
  <c r="G114" i="264" s="1"/>
  <c r="H115" i="264" s="1"/>
  <c r="I116" i="264" s="1"/>
  <c r="H78" i="266"/>
  <c r="H77" i="277"/>
  <c r="I77" i="277" s="1"/>
  <c r="H76" i="296"/>
  <c r="H76" i="264"/>
  <c r="I76" i="264" s="1"/>
  <c r="H76" i="277"/>
  <c r="I76" i="277" s="1"/>
  <c r="H78" i="292"/>
  <c r="H77" i="271"/>
  <c r="I77" i="271" s="1"/>
  <c r="H75" i="277"/>
  <c r="I75" i="277" s="1"/>
  <c r="C70" i="298"/>
  <c r="F70" i="298" s="1"/>
  <c r="K172" i="298"/>
  <c r="C72" i="298"/>
  <c r="F72" i="298" s="1"/>
  <c r="M172" i="298"/>
  <c r="C71" i="298"/>
  <c r="F71" i="298" s="1"/>
  <c r="L172" i="298"/>
  <c r="E75" i="303"/>
  <c r="E72" i="303"/>
  <c r="F73" i="303"/>
  <c r="E71" i="303"/>
  <c r="E73" i="303"/>
  <c r="F74" i="303"/>
  <c r="E70" i="303"/>
  <c r="F75" i="303"/>
  <c r="E74" i="303"/>
  <c r="J172" i="299"/>
  <c r="J172" i="297"/>
  <c r="J172" i="308"/>
  <c r="J172" i="307"/>
  <c r="J172" i="304"/>
  <c r="J172" i="305"/>
  <c r="J172" i="302"/>
  <c r="J172" i="300"/>
  <c r="J172" i="306"/>
  <c r="J172" i="301"/>
  <c r="J172" i="296"/>
  <c r="H71" i="247"/>
  <c r="H71" i="292"/>
  <c r="I71" i="292" s="1"/>
  <c r="H73" i="292"/>
  <c r="H73" i="289"/>
  <c r="H70" i="252"/>
  <c r="H73" i="237"/>
  <c r="I73" i="237" s="1"/>
  <c r="H74" i="247"/>
  <c r="H74" i="298"/>
  <c r="H75" i="299"/>
  <c r="H75" i="247"/>
  <c r="H73" i="284"/>
  <c r="H75" i="292"/>
  <c r="H71" i="289"/>
  <c r="I71" i="289" s="1"/>
  <c r="H72" i="252"/>
  <c r="H70" i="247"/>
  <c r="H73" i="270"/>
  <c r="H73" i="277"/>
  <c r="I73" i="277" s="1"/>
  <c r="H75" i="290"/>
  <c r="H73" i="247"/>
  <c r="H75" i="298"/>
  <c r="H74" i="277"/>
  <c r="I74" i="277" s="1"/>
  <c r="H74" i="292"/>
  <c r="H75" i="289"/>
  <c r="I75" i="289" s="1"/>
  <c r="H71" i="252"/>
  <c r="H75" i="252"/>
  <c r="H73" i="252"/>
  <c r="H74" i="252"/>
  <c r="I74" i="252" s="1"/>
  <c r="H75" i="306"/>
  <c r="I75" i="306" s="1"/>
  <c r="H73" i="302"/>
  <c r="H75" i="307"/>
  <c r="H75" i="296"/>
  <c r="H74" i="300"/>
  <c r="H73" i="306"/>
  <c r="I73" i="306" s="1"/>
  <c r="H74" i="299"/>
  <c r="H74" i="302"/>
  <c r="H74" i="307"/>
  <c r="H74" i="296"/>
  <c r="I74" i="296" s="1"/>
  <c r="H73" i="297"/>
  <c r="H73" i="300"/>
  <c r="H74" i="306"/>
  <c r="H73" i="298"/>
  <c r="H73" i="299"/>
  <c r="H75" i="302"/>
  <c r="H75" i="297"/>
  <c r="H73" i="307"/>
  <c r="H74" i="297"/>
  <c r="J172" i="263"/>
  <c r="J172" i="270"/>
  <c r="H72" i="257"/>
  <c r="H73" i="257"/>
  <c r="I73" i="257" s="1"/>
  <c r="H74" i="257"/>
  <c r="H75" i="257"/>
  <c r="H72" i="247"/>
  <c r="H70" i="249"/>
  <c r="H70" i="243"/>
  <c r="H72" i="242"/>
  <c r="H75" i="242"/>
  <c r="H70" i="248"/>
  <c r="H71" i="246"/>
  <c r="H70" i="256"/>
  <c r="H73" i="256"/>
  <c r="H72" i="241"/>
  <c r="H75" i="250"/>
  <c r="H74" i="242"/>
  <c r="I74" i="242" s="1"/>
  <c r="H73" i="248"/>
  <c r="I73" i="248" s="1"/>
  <c r="H75" i="248"/>
  <c r="I75" i="248" s="1"/>
  <c r="H72" i="236"/>
  <c r="H74" i="256"/>
  <c r="H70" i="241"/>
  <c r="H73" i="245"/>
  <c r="H75" i="236"/>
  <c r="H71" i="256"/>
  <c r="H71" i="241"/>
  <c r="I71" i="241" s="1"/>
  <c r="H71" i="242"/>
  <c r="H73" i="242"/>
  <c r="H74" i="248"/>
  <c r="H72" i="256"/>
  <c r="H75" i="256"/>
  <c r="I73" i="297" l="1"/>
  <c r="J73" i="297" s="1"/>
  <c r="C106" i="297" s="1"/>
  <c r="J71" i="292"/>
  <c r="C104" i="292" s="1"/>
  <c r="D105" i="292" s="1"/>
  <c r="E106" i="292" s="1"/>
  <c r="F107" i="292" s="1"/>
  <c r="G108" i="292" s="1"/>
  <c r="H109" i="292" s="1"/>
  <c r="I110" i="292" s="1"/>
  <c r="I146" i="292" s="1"/>
  <c r="I78" i="294"/>
  <c r="J78" i="294" s="1"/>
  <c r="C111" i="294" s="1"/>
  <c r="I77" i="290"/>
  <c r="J77" i="290" s="1"/>
  <c r="C110" i="290" s="1"/>
  <c r="I80" i="306"/>
  <c r="J80" i="306" s="1"/>
  <c r="C113" i="306" s="1"/>
  <c r="I79" i="277"/>
  <c r="J79" i="277" s="1"/>
  <c r="C112" i="277" s="1"/>
  <c r="I81" i="305"/>
  <c r="J81" i="305" s="1"/>
  <c r="C114" i="305" s="1"/>
  <c r="I82" i="290"/>
  <c r="J82" i="290" s="1"/>
  <c r="C115" i="290" s="1"/>
  <c r="D116" i="290" s="1"/>
  <c r="D152" i="290" s="1"/>
  <c r="J78" i="310"/>
  <c r="C111" i="310" s="1"/>
  <c r="D112" i="310" s="1"/>
  <c r="E113" i="310" s="1"/>
  <c r="F114" i="310" s="1"/>
  <c r="G115" i="310" s="1"/>
  <c r="H116" i="310" s="1"/>
  <c r="I81" i="310"/>
  <c r="J81" i="310" s="1"/>
  <c r="C114" i="310" s="1"/>
  <c r="D115" i="310" s="1"/>
  <c r="E116" i="310" s="1"/>
  <c r="J79" i="296"/>
  <c r="C112" i="296" s="1"/>
  <c r="D113" i="296" s="1"/>
  <c r="I81" i="298"/>
  <c r="J81" i="298" s="1"/>
  <c r="C114" i="298" s="1"/>
  <c r="D115" i="298" s="1"/>
  <c r="I74" i="297"/>
  <c r="J74" i="297" s="1"/>
  <c r="C107" i="297" s="1"/>
  <c r="I73" i="299"/>
  <c r="J73" i="299" s="1"/>
  <c r="C106" i="299" s="1"/>
  <c r="I75" i="307"/>
  <c r="J75" i="307" s="1"/>
  <c r="C108" i="307" s="1"/>
  <c r="I82" i="305"/>
  <c r="J82" i="305" s="1"/>
  <c r="C115" i="305" s="1"/>
  <c r="I70" i="310"/>
  <c r="J70" i="310" s="1"/>
  <c r="C103" i="310" s="1"/>
  <c r="D104" i="310" s="1"/>
  <c r="I80" i="302"/>
  <c r="J80" i="302" s="1"/>
  <c r="C113" i="302" s="1"/>
  <c r="I80" i="307"/>
  <c r="J80" i="307" s="1"/>
  <c r="C113" i="307" s="1"/>
  <c r="C149" i="307" s="1"/>
  <c r="I81" i="300"/>
  <c r="J81" i="300" s="1"/>
  <c r="C114" i="300" s="1"/>
  <c r="I82" i="297"/>
  <c r="J82" i="297" s="1"/>
  <c r="C115" i="297" s="1"/>
  <c r="C151" i="297" s="1"/>
  <c r="I76" i="300"/>
  <c r="J76" i="300" s="1"/>
  <c r="C109" i="300" s="1"/>
  <c r="I83" i="299"/>
  <c r="J83" i="299" s="1"/>
  <c r="C116" i="299" s="1"/>
  <c r="C152" i="299" s="1"/>
  <c r="I77" i="299"/>
  <c r="J77" i="299" s="1"/>
  <c r="C110" i="299" s="1"/>
  <c r="I73" i="296"/>
  <c r="J73" i="296" s="1"/>
  <c r="C106" i="296" s="1"/>
  <c r="D107" i="296" s="1"/>
  <c r="I79" i="307"/>
  <c r="J79" i="307" s="1"/>
  <c r="C112" i="307" s="1"/>
  <c r="I76" i="310"/>
  <c r="J76" i="310" s="1"/>
  <c r="C109" i="310" s="1"/>
  <c r="I74" i="292"/>
  <c r="J74" i="292" s="1"/>
  <c r="C107" i="292" s="1"/>
  <c r="D108" i="292" s="1"/>
  <c r="E109" i="292" s="1"/>
  <c r="F110" i="292" s="1"/>
  <c r="G111" i="292" s="1"/>
  <c r="H112" i="292" s="1"/>
  <c r="I113" i="292" s="1"/>
  <c r="I74" i="299"/>
  <c r="J74" i="299" s="1"/>
  <c r="C107" i="299" s="1"/>
  <c r="I75" i="290"/>
  <c r="J75" i="290" s="1"/>
  <c r="C108" i="290" s="1"/>
  <c r="D109" i="290" s="1"/>
  <c r="I77" i="292"/>
  <c r="J77" i="292" s="1"/>
  <c r="C110" i="292" s="1"/>
  <c r="I81" i="292"/>
  <c r="J81" i="292" s="1"/>
  <c r="C114" i="292" s="1"/>
  <c r="D115" i="292" s="1"/>
  <c r="E116" i="292" s="1"/>
  <c r="I79" i="305"/>
  <c r="J79" i="305" s="1"/>
  <c r="C112" i="305" s="1"/>
  <c r="I78" i="314"/>
  <c r="J78" i="314" s="1"/>
  <c r="C111" i="314" s="1"/>
  <c r="I83" i="298"/>
  <c r="J83" i="298" s="1"/>
  <c r="C116" i="298" s="1"/>
  <c r="C152" i="298" s="1"/>
  <c r="I77" i="298"/>
  <c r="J77" i="298" s="1"/>
  <c r="C110" i="298" s="1"/>
  <c r="C146" i="298" s="1"/>
  <c r="I79" i="310"/>
  <c r="J79" i="310" s="1"/>
  <c r="C112" i="310" s="1"/>
  <c r="I78" i="305"/>
  <c r="J78" i="305" s="1"/>
  <c r="C111" i="305" s="1"/>
  <c r="I76" i="290"/>
  <c r="J76" i="290" s="1"/>
  <c r="C109" i="290" s="1"/>
  <c r="I79" i="306"/>
  <c r="J79" i="306" s="1"/>
  <c r="C112" i="306" s="1"/>
  <c r="D113" i="306" s="1"/>
  <c r="E114" i="306" s="1"/>
  <c r="F115" i="306" s="1"/>
  <c r="G116" i="306" s="1"/>
  <c r="I72" i="314"/>
  <c r="J72" i="314" s="1"/>
  <c r="C105" i="314" s="1"/>
  <c r="I79" i="302"/>
  <c r="J79" i="302" s="1"/>
  <c r="C112" i="302" s="1"/>
  <c r="I81" i="307"/>
  <c r="J81" i="307" s="1"/>
  <c r="C114" i="307" s="1"/>
  <c r="I79" i="300"/>
  <c r="J79" i="300" s="1"/>
  <c r="C112" i="300" s="1"/>
  <c r="J75" i="306"/>
  <c r="C108" i="306" s="1"/>
  <c r="D109" i="306" s="1"/>
  <c r="E110" i="306" s="1"/>
  <c r="F111" i="306" s="1"/>
  <c r="G112" i="306" s="1"/>
  <c r="H113" i="306" s="1"/>
  <c r="I114" i="306" s="1"/>
  <c r="I83" i="314"/>
  <c r="J83" i="314" s="1"/>
  <c r="C116" i="314" s="1"/>
  <c r="C152" i="314" s="1"/>
  <c r="I81" i="302"/>
  <c r="J81" i="302" s="1"/>
  <c r="C114" i="302" s="1"/>
  <c r="I78" i="300"/>
  <c r="J78" i="300" s="1"/>
  <c r="C111" i="300" s="1"/>
  <c r="I81" i="299"/>
  <c r="J81" i="299" s="1"/>
  <c r="C114" i="299" s="1"/>
  <c r="I75" i="305"/>
  <c r="J75" i="305" s="1"/>
  <c r="C108" i="305" s="1"/>
  <c r="I78" i="277"/>
  <c r="J78" i="277" s="1"/>
  <c r="C111" i="277" s="1"/>
  <c r="I73" i="307"/>
  <c r="J73" i="307" s="1"/>
  <c r="C106" i="307" s="1"/>
  <c r="D107" i="307" s="1"/>
  <c r="E108" i="307" s="1"/>
  <c r="F109" i="307" s="1"/>
  <c r="I83" i="290"/>
  <c r="J83" i="290" s="1"/>
  <c r="C116" i="290" s="1"/>
  <c r="C152" i="290" s="1"/>
  <c r="I73" i="298"/>
  <c r="J73" i="298" s="1"/>
  <c r="C106" i="298" s="1"/>
  <c r="J73" i="306"/>
  <c r="C106" i="306" s="1"/>
  <c r="D107" i="306" s="1"/>
  <c r="E108" i="306" s="1"/>
  <c r="F109" i="306" s="1"/>
  <c r="G110" i="306" s="1"/>
  <c r="H111" i="306" s="1"/>
  <c r="I112" i="306" s="1"/>
  <c r="I77" i="296"/>
  <c r="J77" i="296" s="1"/>
  <c r="C110" i="296" s="1"/>
  <c r="J77" i="294"/>
  <c r="C110" i="294" s="1"/>
  <c r="D111" i="294" s="1"/>
  <c r="E112" i="294" s="1"/>
  <c r="F113" i="294" s="1"/>
  <c r="G114" i="294" s="1"/>
  <c r="H115" i="294" s="1"/>
  <c r="I116" i="294" s="1"/>
  <c r="I82" i="314"/>
  <c r="J82" i="314" s="1"/>
  <c r="C115" i="314" s="1"/>
  <c r="I78" i="306"/>
  <c r="J78" i="306" s="1"/>
  <c r="C111" i="306" s="1"/>
  <c r="D112" i="306" s="1"/>
  <c r="E113" i="306" s="1"/>
  <c r="F114" i="306" s="1"/>
  <c r="G115" i="306" s="1"/>
  <c r="H116" i="306" s="1"/>
  <c r="I78" i="290"/>
  <c r="J78" i="290" s="1"/>
  <c r="C111" i="290" s="1"/>
  <c r="J80" i="292"/>
  <c r="C113" i="292" s="1"/>
  <c r="D114" i="292" s="1"/>
  <c r="E115" i="292" s="1"/>
  <c r="F116" i="292" s="1"/>
  <c r="J82" i="292"/>
  <c r="C115" i="292" s="1"/>
  <c r="D116" i="292" s="1"/>
  <c r="D152" i="292" s="1"/>
  <c r="I83" i="306"/>
  <c r="J83" i="306" s="1"/>
  <c r="C116" i="306" s="1"/>
  <c r="C152" i="306" s="1"/>
  <c r="J71" i="310"/>
  <c r="C104" i="310" s="1"/>
  <c r="D105" i="310" s="1"/>
  <c r="E106" i="310" s="1"/>
  <c r="F107" i="310" s="1"/>
  <c r="G108" i="310" s="1"/>
  <c r="H109" i="310" s="1"/>
  <c r="I110" i="310" s="1"/>
  <c r="I76" i="302"/>
  <c r="J76" i="302" s="1"/>
  <c r="C109" i="302" s="1"/>
  <c r="I80" i="298"/>
  <c r="J80" i="298" s="1"/>
  <c r="C113" i="298" s="1"/>
  <c r="J82" i="298"/>
  <c r="C115" i="298" s="1"/>
  <c r="C151" i="298" s="1"/>
  <c r="J77" i="300"/>
  <c r="C110" i="300" s="1"/>
  <c r="C146" i="300" s="1"/>
  <c r="I78" i="307"/>
  <c r="J78" i="307" s="1"/>
  <c r="C111" i="307" s="1"/>
  <c r="J77" i="301"/>
  <c r="C110" i="301" s="1"/>
  <c r="C146" i="301" s="1"/>
  <c r="I74" i="307"/>
  <c r="J74" i="307" s="1"/>
  <c r="C107" i="307" s="1"/>
  <c r="D108" i="307" s="1"/>
  <c r="I74" i="300"/>
  <c r="J74" i="300" s="1"/>
  <c r="C107" i="300" s="1"/>
  <c r="I75" i="298"/>
  <c r="J75" i="298" s="1"/>
  <c r="C108" i="298" s="1"/>
  <c r="I74" i="298"/>
  <c r="J74" i="298" s="1"/>
  <c r="C107" i="298" s="1"/>
  <c r="I76" i="294"/>
  <c r="J76" i="294" s="1"/>
  <c r="C109" i="294" s="1"/>
  <c r="I76" i="306"/>
  <c r="J76" i="306" s="1"/>
  <c r="C109" i="306" s="1"/>
  <c r="D110" i="306" s="1"/>
  <c r="E111" i="306" s="1"/>
  <c r="F112" i="306" s="1"/>
  <c r="G113" i="306" s="1"/>
  <c r="H114" i="306" s="1"/>
  <c r="I115" i="306" s="1"/>
  <c r="I80" i="290"/>
  <c r="J80" i="290" s="1"/>
  <c r="C113" i="290" s="1"/>
  <c r="I82" i="306"/>
  <c r="J82" i="306" s="1"/>
  <c r="C115" i="306" s="1"/>
  <c r="D116" i="306" s="1"/>
  <c r="D152" i="306" s="1"/>
  <c r="I80" i="294"/>
  <c r="J80" i="294" s="1"/>
  <c r="C113" i="294" s="1"/>
  <c r="I81" i="290"/>
  <c r="J81" i="290" s="1"/>
  <c r="C114" i="290" s="1"/>
  <c r="D115" i="290" s="1"/>
  <c r="E116" i="290" s="1"/>
  <c r="I79" i="294"/>
  <c r="J79" i="294" s="1"/>
  <c r="C112" i="294" s="1"/>
  <c r="J79" i="314"/>
  <c r="C112" i="314" s="1"/>
  <c r="D113" i="314" s="1"/>
  <c r="E114" i="314" s="1"/>
  <c r="F115" i="314" s="1"/>
  <c r="G116" i="314" s="1"/>
  <c r="I82" i="296"/>
  <c r="J82" i="296" s="1"/>
  <c r="C115" i="296" s="1"/>
  <c r="I76" i="298"/>
  <c r="J76" i="298" s="1"/>
  <c r="C109" i="298" s="1"/>
  <c r="I78" i="298"/>
  <c r="J78" i="298" s="1"/>
  <c r="C111" i="298" s="1"/>
  <c r="J83" i="302"/>
  <c r="C116" i="302" s="1"/>
  <c r="C152" i="302" s="1"/>
  <c r="J82" i="300"/>
  <c r="C115" i="300" s="1"/>
  <c r="C151" i="300" s="1"/>
  <c r="I82" i="299"/>
  <c r="J82" i="299" s="1"/>
  <c r="C115" i="299" s="1"/>
  <c r="J75" i="301"/>
  <c r="C108" i="301" s="1"/>
  <c r="C144" i="301" s="1"/>
  <c r="J77" i="305"/>
  <c r="C110" i="305" s="1"/>
  <c r="C146" i="305" s="1"/>
  <c r="I80" i="299"/>
  <c r="J80" i="299" s="1"/>
  <c r="C113" i="299" s="1"/>
  <c r="I77" i="307"/>
  <c r="J77" i="307" s="1"/>
  <c r="C110" i="307" s="1"/>
  <c r="J74" i="305"/>
  <c r="C107" i="305" s="1"/>
  <c r="D108" i="305" s="1"/>
  <c r="I75" i="302"/>
  <c r="J75" i="302" s="1"/>
  <c r="C108" i="302" s="1"/>
  <c r="I73" i="300"/>
  <c r="J73" i="300" s="1"/>
  <c r="C106" i="300" s="1"/>
  <c r="I74" i="302"/>
  <c r="J74" i="302" s="1"/>
  <c r="C107" i="302" s="1"/>
  <c r="D108" i="302" s="1"/>
  <c r="I77" i="306"/>
  <c r="J77" i="306" s="1"/>
  <c r="C110" i="306" s="1"/>
  <c r="J83" i="294"/>
  <c r="C116" i="294" s="1"/>
  <c r="C152" i="294" s="1"/>
  <c r="J80" i="305"/>
  <c r="C113" i="305" s="1"/>
  <c r="D114" i="305" s="1"/>
  <c r="E115" i="305" s="1"/>
  <c r="F116" i="305" s="1"/>
  <c r="I81" i="294"/>
  <c r="J81" i="294" s="1"/>
  <c r="C114" i="294" s="1"/>
  <c r="D115" i="294" s="1"/>
  <c r="E116" i="294" s="1"/>
  <c r="I81" i="306"/>
  <c r="J81" i="306" s="1"/>
  <c r="C114" i="306" s="1"/>
  <c r="J80" i="310"/>
  <c r="C113" i="310" s="1"/>
  <c r="D114" i="310" s="1"/>
  <c r="E115" i="310" s="1"/>
  <c r="F116" i="310" s="1"/>
  <c r="I82" i="307"/>
  <c r="J82" i="307" s="1"/>
  <c r="C115" i="307" s="1"/>
  <c r="D116" i="307" s="1"/>
  <c r="D152" i="307" s="1"/>
  <c r="I83" i="297"/>
  <c r="J83" i="297" s="1"/>
  <c r="C116" i="297" s="1"/>
  <c r="C152" i="297" s="1"/>
  <c r="I80" i="300"/>
  <c r="J80" i="300" s="1"/>
  <c r="C113" i="300" s="1"/>
  <c r="I75" i="300"/>
  <c r="J75" i="300" s="1"/>
  <c r="C108" i="300" s="1"/>
  <c r="I83" i="296"/>
  <c r="J83" i="296" s="1"/>
  <c r="C116" i="296" s="1"/>
  <c r="C152" i="296" s="1"/>
  <c r="I78" i="302"/>
  <c r="J78" i="302" s="1"/>
  <c r="C111" i="302" s="1"/>
  <c r="I81" i="296"/>
  <c r="J81" i="296" s="1"/>
  <c r="C114" i="296" s="1"/>
  <c r="I79" i="298"/>
  <c r="J79" i="298" s="1"/>
  <c r="C112" i="298" s="1"/>
  <c r="J76" i="301"/>
  <c r="C109" i="301" s="1"/>
  <c r="D110" i="301" s="1"/>
  <c r="I76" i="299"/>
  <c r="J76" i="299" s="1"/>
  <c r="C109" i="299" s="1"/>
  <c r="I78" i="299"/>
  <c r="J78" i="299" s="1"/>
  <c r="C111" i="299" s="1"/>
  <c r="J79" i="299"/>
  <c r="C112" i="299" s="1"/>
  <c r="D113" i="299" s="1"/>
  <c r="I74" i="310"/>
  <c r="J74" i="310" s="1"/>
  <c r="C107" i="310" s="1"/>
  <c r="D108" i="310" s="1"/>
  <c r="E109" i="310" s="1"/>
  <c r="F110" i="310" s="1"/>
  <c r="G111" i="310" s="1"/>
  <c r="H112" i="310" s="1"/>
  <c r="I113" i="310" s="1"/>
  <c r="I75" i="310"/>
  <c r="J75" i="310" s="1"/>
  <c r="C108" i="310" s="1"/>
  <c r="I83" i="305"/>
  <c r="J83" i="305" s="1"/>
  <c r="C116" i="305" s="1"/>
  <c r="C152" i="305" s="1"/>
  <c r="I83" i="277"/>
  <c r="J83" i="277" s="1"/>
  <c r="C116" i="277" s="1"/>
  <c r="C152" i="277" s="1"/>
  <c r="I78" i="292"/>
  <c r="J78" i="292" s="1"/>
  <c r="C111" i="292" s="1"/>
  <c r="D112" i="292" s="1"/>
  <c r="I76" i="292"/>
  <c r="J76" i="292" s="1"/>
  <c r="C109" i="292" s="1"/>
  <c r="I76" i="296"/>
  <c r="J76" i="296" s="1"/>
  <c r="C109" i="296" s="1"/>
  <c r="I75" i="296"/>
  <c r="J75" i="296" s="1"/>
  <c r="C108" i="296" s="1"/>
  <c r="I75" i="297"/>
  <c r="J75" i="297" s="1"/>
  <c r="C108" i="297" s="1"/>
  <c r="I74" i="306"/>
  <c r="J74" i="306" s="1"/>
  <c r="C107" i="306" s="1"/>
  <c r="D108" i="306" s="1"/>
  <c r="I82" i="294"/>
  <c r="J82" i="294" s="1"/>
  <c r="C115" i="294" s="1"/>
  <c r="I73" i="302"/>
  <c r="J73" i="302" s="1"/>
  <c r="C106" i="302" s="1"/>
  <c r="J74" i="296"/>
  <c r="C107" i="296" s="1"/>
  <c r="D108" i="296" s="1"/>
  <c r="E109" i="296" s="1"/>
  <c r="F110" i="296" s="1"/>
  <c r="G111" i="296" s="1"/>
  <c r="H112" i="296" s="1"/>
  <c r="I113" i="296" s="1"/>
  <c r="I77" i="314"/>
  <c r="J77" i="314" s="1"/>
  <c r="C110" i="314" s="1"/>
  <c r="D111" i="314" s="1"/>
  <c r="E112" i="314" s="1"/>
  <c r="F113" i="314" s="1"/>
  <c r="G114" i="314" s="1"/>
  <c r="H115" i="314" s="1"/>
  <c r="I116" i="314" s="1"/>
  <c r="I83" i="307"/>
  <c r="J83" i="307" s="1"/>
  <c r="C116" i="307" s="1"/>
  <c r="C152" i="307" s="1"/>
  <c r="J77" i="302"/>
  <c r="C110" i="302" s="1"/>
  <c r="C146" i="302" s="1"/>
  <c r="I77" i="310"/>
  <c r="J77" i="310" s="1"/>
  <c r="C110" i="310" s="1"/>
  <c r="I82" i="310"/>
  <c r="J82" i="310" s="1"/>
  <c r="C115" i="310" s="1"/>
  <c r="I83" i="310"/>
  <c r="J83" i="310" s="1"/>
  <c r="C116" i="310" s="1"/>
  <c r="C152" i="310" s="1"/>
  <c r="I76" i="305"/>
  <c r="J76" i="305" s="1"/>
  <c r="C109" i="305" s="1"/>
  <c r="I75" i="292"/>
  <c r="J75" i="292" s="1"/>
  <c r="C108" i="292" s="1"/>
  <c r="I79" i="292"/>
  <c r="J79" i="292" s="1"/>
  <c r="C112" i="292" s="1"/>
  <c r="I73" i="292"/>
  <c r="J73" i="292" s="1"/>
  <c r="C106" i="292" s="1"/>
  <c r="D107" i="292" s="1"/>
  <c r="E108" i="292" s="1"/>
  <c r="F109" i="292" s="1"/>
  <c r="I83" i="292"/>
  <c r="J83" i="292" s="1"/>
  <c r="C116" i="292" s="1"/>
  <c r="C152" i="292" s="1"/>
  <c r="I80" i="296"/>
  <c r="J80" i="296" s="1"/>
  <c r="C113" i="296" s="1"/>
  <c r="I78" i="296"/>
  <c r="J78" i="296" s="1"/>
  <c r="C111" i="296" s="1"/>
  <c r="I80" i="314"/>
  <c r="J80" i="314" s="1"/>
  <c r="C113" i="314" s="1"/>
  <c r="D114" i="314" s="1"/>
  <c r="E115" i="314" s="1"/>
  <c r="F116" i="314" s="1"/>
  <c r="I83" i="300"/>
  <c r="J83" i="300" s="1"/>
  <c r="C116" i="300" s="1"/>
  <c r="C152" i="300" s="1"/>
  <c r="I75" i="299"/>
  <c r="J75" i="299" s="1"/>
  <c r="C108" i="299" s="1"/>
  <c r="I79" i="290"/>
  <c r="J79" i="290" s="1"/>
  <c r="C112" i="290" s="1"/>
  <c r="I82" i="302"/>
  <c r="J82" i="302" s="1"/>
  <c r="C115" i="302" s="1"/>
  <c r="C141" i="230"/>
  <c r="D106" i="230"/>
  <c r="D142" i="230" s="1"/>
  <c r="I73" i="242"/>
  <c r="J73" i="242" s="1"/>
  <c r="C106" i="242" s="1"/>
  <c r="I75" i="250"/>
  <c r="J75" i="250" s="1"/>
  <c r="C108" i="250" s="1"/>
  <c r="I70" i="243"/>
  <c r="J70" i="243" s="1"/>
  <c r="C103" i="243" s="1"/>
  <c r="D104" i="243" s="1"/>
  <c r="E105" i="243" s="1"/>
  <c r="F106" i="243" s="1"/>
  <c r="G107" i="243" s="1"/>
  <c r="H108" i="243" s="1"/>
  <c r="I109" i="243" s="1"/>
  <c r="I145" i="243" s="1"/>
  <c r="I74" i="257"/>
  <c r="J74" i="257" s="1"/>
  <c r="C107" i="257" s="1"/>
  <c r="D108" i="257" s="1"/>
  <c r="E109" i="257" s="1"/>
  <c r="F110" i="257" s="1"/>
  <c r="G111" i="257" s="1"/>
  <c r="H112" i="257" s="1"/>
  <c r="I113" i="257" s="1"/>
  <c r="I76" i="271"/>
  <c r="J76" i="271" s="1"/>
  <c r="C109" i="271" s="1"/>
  <c r="D110" i="271" s="1"/>
  <c r="E111" i="271" s="1"/>
  <c r="F112" i="271" s="1"/>
  <c r="G113" i="271" s="1"/>
  <c r="H114" i="271" s="1"/>
  <c r="I115" i="271" s="1"/>
  <c r="I77" i="236"/>
  <c r="J77" i="236" s="1"/>
  <c r="C110" i="236" s="1"/>
  <c r="I73" i="264"/>
  <c r="J73" i="264" s="1"/>
  <c r="C106" i="264" s="1"/>
  <c r="D107" i="264" s="1"/>
  <c r="E108" i="264" s="1"/>
  <c r="F109" i="264" s="1"/>
  <c r="G110" i="264" s="1"/>
  <c r="H111" i="264" s="1"/>
  <c r="I112" i="264" s="1"/>
  <c r="I76" i="266"/>
  <c r="J76" i="266" s="1"/>
  <c r="C109" i="266" s="1"/>
  <c r="D110" i="266" s="1"/>
  <c r="E111" i="266" s="1"/>
  <c r="F112" i="266" s="1"/>
  <c r="G113" i="266" s="1"/>
  <c r="H114" i="266" s="1"/>
  <c r="I115" i="266" s="1"/>
  <c r="I77" i="269"/>
  <c r="J77" i="269" s="1"/>
  <c r="C110" i="269" s="1"/>
  <c r="D111" i="269" s="1"/>
  <c r="E112" i="269" s="1"/>
  <c r="F113" i="269" s="1"/>
  <c r="G114" i="269" s="1"/>
  <c r="H115" i="269" s="1"/>
  <c r="I116" i="269" s="1"/>
  <c r="I76" i="250"/>
  <c r="J76" i="250" s="1"/>
  <c r="C109" i="250" s="1"/>
  <c r="D110" i="250" s="1"/>
  <c r="E111" i="250" s="1"/>
  <c r="F112" i="250" s="1"/>
  <c r="G113" i="250" s="1"/>
  <c r="H114" i="250" s="1"/>
  <c r="I115" i="250" s="1"/>
  <c r="I80" i="271"/>
  <c r="J80" i="271" s="1"/>
  <c r="C113" i="271" s="1"/>
  <c r="D114" i="271" s="1"/>
  <c r="E115" i="271" s="1"/>
  <c r="F116" i="271" s="1"/>
  <c r="I82" i="267"/>
  <c r="J82" i="267" s="1"/>
  <c r="C115" i="267" s="1"/>
  <c r="D116" i="267" s="1"/>
  <c r="D152" i="267" s="1"/>
  <c r="J82" i="277"/>
  <c r="C115" i="277" s="1"/>
  <c r="D116" i="277" s="1"/>
  <c r="D152" i="277" s="1"/>
  <c r="J81" i="277"/>
  <c r="C114" i="277" s="1"/>
  <c r="I72" i="229"/>
  <c r="J72" i="229" s="1"/>
  <c r="C105" i="229" s="1"/>
  <c r="I81" i="229"/>
  <c r="J81" i="229" s="1"/>
  <c r="C114" i="229" s="1"/>
  <c r="I72" i="236"/>
  <c r="J72" i="236" s="1"/>
  <c r="C105" i="236" s="1"/>
  <c r="D106" i="236" s="1"/>
  <c r="E107" i="236" s="1"/>
  <c r="F108" i="236" s="1"/>
  <c r="G109" i="236" s="1"/>
  <c r="H110" i="236" s="1"/>
  <c r="I111" i="236" s="1"/>
  <c r="I74" i="248"/>
  <c r="J74" i="248" s="1"/>
  <c r="C107" i="248" s="1"/>
  <c r="I71" i="256"/>
  <c r="J71" i="256" s="1"/>
  <c r="C104" i="256" s="1"/>
  <c r="D105" i="256" s="1"/>
  <c r="E106" i="256" s="1"/>
  <c r="F107" i="256" s="1"/>
  <c r="G108" i="256" s="1"/>
  <c r="H109" i="256" s="1"/>
  <c r="I110" i="256" s="1"/>
  <c r="I146" i="256" s="1"/>
  <c r="I74" i="256"/>
  <c r="J74" i="256" s="1"/>
  <c r="C107" i="256" s="1"/>
  <c r="D108" i="256" s="1"/>
  <c r="E109" i="256" s="1"/>
  <c r="F110" i="256" s="1"/>
  <c r="G111" i="256" s="1"/>
  <c r="H112" i="256" s="1"/>
  <c r="I113" i="256" s="1"/>
  <c r="J74" i="242"/>
  <c r="C107" i="242" s="1"/>
  <c r="D108" i="242" s="1"/>
  <c r="E109" i="242" s="1"/>
  <c r="F110" i="242" s="1"/>
  <c r="G111" i="242" s="1"/>
  <c r="H112" i="242" s="1"/>
  <c r="I113" i="242" s="1"/>
  <c r="I70" i="256"/>
  <c r="J70" i="256" s="1"/>
  <c r="C103" i="256" s="1"/>
  <c r="I72" i="242"/>
  <c r="J72" i="242" s="1"/>
  <c r="C105" i="242" s="1"/>
  <c r="I75" i="257"/>
  <c r="J75" i="257" s="1"/>
  <c r="C108" i="257" s="1"/>
  <c r="I73" i="252"/>
  <c r="J73" i="252" s="1"/>
  <c r="C106" i="252" s="1"/>
  <c r="I75" i="247"/>
  <c r="J75" i="247" s="1"/>
  <c r="C108" i="247" s="1"/>
  <c r="D109" i="247" s="1"/>
  <c r="J73" i="237"/>
  <c r="C106" i="237" s="1"/>
  <c r="D107" i="237" s="1"/>
  <c r="E108" i="237" s="1"/>
  <c r="F109" i="237" s="1"/>
  <c r="G110" i="237" s="1"/>
  <c r="H111" i="237" s="1"/>
  <c r="I112" i="237" s="1"/>
  <c r="J75" i="277"/>
  <c r="C108" i="277" s="1"/>
  <c r="J76" i="264"/>
  <c r="C109" i="264" s="1"/>
  <c r="D110" i="264" s="1"/>
  <c r="E111" i="264" s="1"/>
  <c r="F112" i="264" s="1"/>
  <c r="G113" i="264" s="1"/>
  <c r="H114" i="264" s="1"/>
  <c r="I115" i="264" s="1"/>
  <c r="I78" i="266"/>
  <c r="J78" i="266" s="1"/>
  <c r="C111" i="266" s="1"/>
  <c r="I77" i="245"/>
  <c r="J77" i="245" s="1"/>
  <c r="C110" i="245" s="1"/>
  <c r="D111" i="245" s="1"/>
  <c r="E112" i="245" s="1"/>
  <c r="F113" i="245" s="1"/>
  <c r="G114" i="245" s="1"/>
  <c r="H115" i="245" s="1"/>
  <c r="I116" i="245" s="1"/>
  <c r="J76" i="275"/>
  <c r="C109" i="275" s="1"/>
  <c r="J75" i="275"/>
  <c r="C108" i="275" s="1"/>
  <c r="I70" i="271"/>
  <c r="J70" i="271" s="1"/>
  <c r="C103" i="271" s="1"/>
  <c r="I80" i="265"/>
  <c r="J80" i="265" s="1"/>
  <c r="C113" i="265" s="1"/>
  <c r="D114" i="265" s="1"/>
  <c r="E115" i="265" s="1"/>
  <c r="F116" i="265" s="1"/>
  <c r="J78" i="275"/>
  <c r="C111" i="275" s="1"/>
  <c r="D112" i="275" s="1"/>
  <c r="E113" i="275" s="1"/>
  <c r="F114" i="275" s="1"/>
  <c r="G115" i="275" s="1"/>
  <c r="H116" i="275" s="1"/>
  <c r="I72" i="264"/>
  <c r="J72" i="264" s="1"/>
  <c r="C105" i="264" s="1"/>
  <c r="D106" i="264" s="1"/>
  <c r="E107" i="264" s="1"/>
  <c r="F108" i="264" s="1"/>
  <c r="G109" i="264" s="1"/>
  <c r="H110" i="264" s="1"/>
  <c r="I111" i="264" s="1"/>
  <c r="J71" i="275"/>
  <c r="C104" i="275" s="1"/>
  <c r="D105" i="275" s="1"/>
  <c r="E106" i="275" s="1"/>
  <c r="F107" i="275" s="1"/>
  <c r="G108" i="275" s="1"/>
  <c r="H109" i="275" s="1"/>
  <c r="I110" i="275" s="1"/>
  <c r="J78" i="313"/>
  <c r="C111" i="313" s="1"/>
  <c r="D112" i="313" s="1"/>
  <c r="E113" i="313" s="1"/>
  <c r="F114" i="313" s="1"/>
  <c r="G115" i="313" s="1"/>
  <c r="H116" i="313" s="1"/>
  <c r="J83" i="266"/>
  <c r="C116" i="266" s="1"/>
  <c r="C152" i="266" s="1"/>
  <c r="I82" i="289"/>
  <c r="J82" i="289" s="1"/>
  <c r="C115" i="289" s="1"/>
  <c r="I81" i="270"/>
  <c r="J81" i="270" s="1"/>
  <c r="C114" i="270" s="1"/>
  <c r="I80" i="270"/>
  <c r="J80" i="270" s="1"/>
  <c r="C113" i="270" s="1"/>
  <c r="I77" i="270"/>
  <c r="J77" i="270" s="1"/>
  <c r="C110" i="270" s="1"/>
  <c r="J76" i="263"/>
  <c r="C109" i="263" s="1"/>
  <c r="D110" i="263" s="1"/>
  <c r="E111" i="263" s="1"/>
  <c r="F112" i="263" s="1"/>
  <c r="G113" i="263" s="1"/>
  <c r="H114" i="263" s="1"/>
  <c r="I115" i="263" s="1"/>
  <c r="J78" i="263"/>
  <c r="C111" i="263" s="1"/>
  <c r="D112" i="263" s="1"/>
  <c r="E113" i="263" s="1"/>
  <c r="F114" i="263" s="1"/>
  <c r="G115" i="263" s="1"/>
  <c r="H116" i="263" s="1"/>
  <c r="I82" i="245"/>
  <c r="J82" i="245" s="1"/>
  <c r="C115" i="245" s="1"/>
  <c r="I70" i="255"/>
  <c r="J70" i="255" s="1"/>
  <c r="C103" i="255" s="1"/>
  <c r="J76" i="313"/>
  <c r="C109" i="313" s="1"/>
  <c r="I71" i="257"/>
  <c r="J71" i="257" s="1"/>
  <c r="C104" i="257" s="1"/>
  <c r="J71" i="315"/>
  <c r="C104" i="315" s="1"/>
  <c r="I83" i="230"/>
  <c r="J83" i="230" s="1"/>
  <c r="C116" i="230" s="1"/>
  <c r="C152" i="230" s="1"/>
  <c r="I75" i="229"/>
  <c r="J75" i="229" s="1"/>
  <c r="C108" i="229" s="1"/>
  <c r="C147" i="230"/>
  <c r="I83" i="229"/>
  <c r="J83" i="229" s="1"/>
  <c r="C116" i="229" s="1"/>
  <c r="C152" i="229" s="1"/>
  <c r="I81" i="230"/>
  <c r="J81" i="230" s="1"/>
  <c r="C114" i="230" s="1"/>
  <c r="I73" i="230"/>
  <c r="J73" i="230" s="1"/>
  <c r="C106" i="230" s="1"/>
  <c r="I83" i="265"/>
  <c r="J83" i="265" s="1"/>
  <c r="C116" i="265" s="1"/>
  <c r="C152" i="265" s="1"/>
  <c r="J77" i="313"/>
  <c r="C110" i="313" s="1"/>
  <c r="I71" i="246"/>
  <c r="J71" i="246" s="1"/>
  <c r="C104" i="246" s="1"/>
  <c r="I72" i="252"/>
  <c r="J72" i="252" s="1"/>
  <c r="C105" i="252" s="1"/>
  <c r="I80" i="289"/>
  <c r="J80" i="289" s="1"/>
  <c r="C113" i="289" s="1"/>
  <c r="I83" i="271"/>
  <c r="J83" i="271" s="1"/>
  <c r="C116" i="271" s="1"/>
  <c r="C152" i="271" s="1"/>
  <c r="I77" i="267"/>
  <c r="J77" i="267" s="1"/>
  <c r="C110" i="267" s="1"/>
  <c r="I80" i="264"/>
  <c r="J80" i="264" s="1"/>
  <c r="C113" i="264" s="1"/>
  <c r="J83" i="267"/>
  <c r="C116" i="267" s="1"/>
  <c r="C152" i="267" s="1"/>
  <c r="I81" i="267"/>
  <c r="J81" i="267" s="1"/>
  <c r="C114" i="267" s="1"/>
  <c r="D115" i="267" s="1"/>
  <c r="E116" i="267" s="1"/>
  <c r="I75" i="256"/>
  <c r="J75" i="256" s="1"/>
  <c r="C108" i="256" s="1"/>
  <c r="D109" i="256" s="1"/>
  <c r="E110" i="256" s="1"/>
  <c r="F111" i="256" s="1"/>
  <c r="G112" i="256" s="1"/>
  <c r="H113" i="256" s="1"/>
  <c r="I114" i="256" s="1"/>
  <c r="I71" i="242"/>
  <c r="J71" i="242" s="1"/>
  <c r="C104" i="242" s="1"/>
  <c r="D105" i="242" s="1"/>
  <c r="E106" i="242" s="1"/>
  <c r="F107" i="242" s="1"/>
  <c r="G108" i="242" s="1"/>
  <c r="H109" i="242" s="1"/>
  <c r="I73" i="245"/>
  <c r="J73" i="245" s="1"/>
  <c r="C106" i="245" s="1"/>
  <c r="J75" i="248"/>
  <c r="C108" i="248" s="1"/>
  <c r="C144" i="248" s="1"/>
  <c r="I72" i="241"/>
  <c r="J72" i="241" s="1"/>
  <c r="C105" i="241" s="1"/>
  <c r="I70" i="248"/>
  <c r="J70" i="248" s="1"/>
  <c r="C103" i="248" s="1"/>
  <c r="I70" i="249"/>
  <c r="J70" i="249" s="1"/>
  <c r="C103" i="249" s="1"/>
  <c r="J73" i="257"/>
  <c r="C106" i="257" s="1"/>
  <c r="D107" i="257" s="1"/>
  <c r="E108" i="257" s="1"/>
  <c r="F109" i="257" s="1"/>
  <c r="G110" i="257" s="1"/>
  <c r="H111" i="257" s="1"/>
  <c r="I112" i="257" s="1"/>
  <c r="I71" i="252"/>
  <c r="J71" i="252" s="1"/>
  <c r="C104" i="252" s="1"/>
  <c r="D105" i="252" s="1"/>
  <c r="E106" i="252" s="1"/>
  <c r="F107" i="252" s="1"/>
  <c r="G108" i="252" s="1"/>
  <c r="H109" i="252" s="1"/>
  <c r="I110" i="252" s="1"/>
  <c r="I146" i="252" s="1"/>
  <c r="I73" i="289"/>
  <c r="J73" i="289" s="1"/>
  <c r="C106" i="289" s="1"/>
  <c r="J80" i="267"/>
  <c r="C113" i="267" s="1"/>
  <c r="D114" i="267" s="1"/>
  <c r="E115" i="267" s="1"/>
  <c r="F116" i="267" s="1"/>
  <c r="J80" i="313"/>
  <c r="C113" i="313" s="1"/>
  <c r="D114" i="313" s="1"/>
  <c r="E115" i="313" s="1"/>
  <c r="F116" i="313" s="1"/>
  <c r="J82" i="287"/>
  <c r="C115" i="287" s="1"/>
  <c r="D116" i="287" s="1"/>
  <c r="D152" i="287" s="1"/>
  <c r="I76" i="287"/>
  <c r="J76" i="287" s="1"/>
  <c r="C109" i="287" s="1"/>
  <c r="J82" i="313"/>
  <c r="C115" i="313" s="1"/>
  <c r="J80" i="275"/>
  <c r="C113" i="275" s="1"/>
  <c r="D114" i="275" s="1"/>
  <c r="E115" i="275" s="1"/>
  <c r="F116" i="275" s="1"/>
  <c r="I79" i="287"/>
  <c r="J79" i="287" s="1"/>
  <c r="C112" i="287" s="1"/>
  <c r="J81" i="313"/>
  <c r="C114" i="313" s="1"/>
  <c r="I82" i="258"/>
  <c r="J82" i="258" s="1"/>
  <c r="C115" i="258" s="1"/>
  <c r="D116" i="258" s="1"/>
  <c r="D152" i="258" s="1"/>
  <c r="J72" i="275"/>
  <c r="C105" i="275" s="1"/>
  <c r="J70" i="275"/>
  <c r="C103" i="275" s="1"/>
  <c r="I75" i="270"/>
  <c r="J75" i="270" s="1"/>
  <c r="C108" i="270" s="1"/>
  <c r="D109" i="270" s="1"/>
  <c r="E110" i="270" s="1"/>
  <c r="F111" i="270" s="1"/>
  <c r="G112" i="270" s="1"/>
  <c r="H113" i="270" s="1"/>
  <c r="I114" i="270" s="1"/>
  <c r="I74" i="270"/>
  <c r="J74" i="270" s="1"/>
  <c r="C107" i="270" s="1"/>
  <c r="I79" i="263"/>
  <c r="J79" i="263" s="1"/>
  <c r="C112" i="263" s="1"/>
  <c r="D113" i="263" s="1"/>
  <c r="E114" i="263" s="1"/>
  <c r="F115" i="263" s="1"/>
  <c r="G116" i="263" s="1"/>
  <c r="I79" i="270"/>
  <c r="J79" i="270" s="1"/>
  <c r="C112" i="270" s="1"/>
  <c r="D113" i="270" s="1"/>
  <c r="E114" i="270" s="1"/>
  <c r="F115" i="270" s="1"/>
  <c r="G116" i="270" s="1"/>
  <c r="I83" i="257"/>
  <c r="J83" i="257" s="1"/>
  <c r="C116" i="257" s="1"/>
  <c r="C152" i="257" s="1"/>
  <c r="J79" i="242"/>
  <c r="C112" i="242" s="1"/>
  <c r="D113" i="242" s="1"/>
  <c r="I78" i="242"/>
  <c r="J78" i="242" s="1"/>
  <c r="C111" i="242" s="1"/>
  <c r="J73" i="313"/>
  <c r="C106" i="313" s="1"/>
  <c r="I81" i="257"/>
  <c r="J81" i="257" s="1"/>
  <c r="C114" i="257" s="1"/>
  <c r="I82" i="242"/>
  <c r="J82" i="242" s="1"/>
  <c r="C115" i="242" s="1"/>
  <c r="I76" i="251"/>
  <c r="J76" i="251" s="1"/>
  <c r="C109" i="251" s="1"/>
  <c r="I75" i="230"/>
  <c r="J75" i="230" s="1"/>
  <c r="C108" i="230" s="1"/>
  <c r="D109" i="230" s="1"/>
  <c r="I73" i="270"/>
  <c r="J73" i="270" s="1"/>
  <c r="C106" i="270" s="1"/>
  <c r="I73" i="239"/>
  <c r="J73" i="239" s="1"/>
  <c r="C106" i="239" s="1"/>
  <c r="I75" i="236"/>
  <c r="J75" i="236" s="1"/>
  <c r="C108" i="236" s="1"/>
  <c r="J71" i="241"/>
  <c r="C104" i="241" s="1"/>
  <c r="D105" i="241" s="1"/>
  <c r="E106" i="241" s="1"/>
  <c r="F107" i="241" s="1"/>
  <c r="G108" i="241" s="1"/>
  <c r="H109" i="241" s="1"/>
  <c r="I110" i="241" s="1"/>
  <c r="I146" i="241" s="1"/>
  <c r="J73" i="248"/>
  <c r="C106" i="248" s="1"/>
  <c r="D107" i="248" s="1"/>
  <c r="E108" i="248" s="1"/>
  <c r="F109" i="248" s="1"/>
  <c r="G110" i="248" s="1"/>
  <c r="H111" i="248" s="1"/>
  <c r="I112" i="248" s="1"/>
  <c r="I73" i="256"/>
  <c r="J73" i="256" s="1"/>
  <c r="C106" i="256" s="1"/>
  <c r="I72" i="257"/>
  <c r="J72" i="257" s="1"/>
  <c r="C105" i="257" s="1"/>
  <c r="J74" i="252"/>
  <c r="C107" i="252" s="1"/>
  <c r="D108" i="252" s="1"/>
  <c r="E109" i="252" s="1"/>
  <c r="F110" i="252" s="1"/>
  <c r="G111" i="252" s="1"/>
  <c r="H112" i="252" s="1"/>
  <c r="I113" i="252" s="1"/>
  <c r="J75" i="289"/>
  <c r="C108" i="289" s="1"/>
  <c r="C144" i="289" s="1"/>
  <c r="I73" i="247"/>
  <c r="J73" i="247" s="1"/>
  <c r="C106" i="247" s="1"/>
  <c r="I70" i="247"/>
  <c r="J70" i="247" s="1"/>
  <c r="C103" i="247" s="1"/>
  <c r="I73" i="284"/>
  <c r="J73" i="284" s="1"/>
  <c r="C106" i="284" s="1"/>
  <c r="I74" i="247"/>
  <c r="J74" i="247" s="1"/>
  <c r="C107" i="247" s="1"/>
  <c r="J76" i="277"/>
  <c r="C109" i="277" s="1"/>
  <c r="D110" i="277" s="1"/>
  <c r="E111" i="277" s="1"/>
  <c r="F112" i="277" s="1"/>
  <c r="G113" i="277" s="1"/>
  <c r="H114" i="277" s="1"/>
  <c r="I115" i="277" s="1"/>
  <c r="I76" i="248"/>
  <c r="J76" i="248" s="1"/>
  <c r="C109" i="248" s="1"/>
  <c r="I77" i="266"/>
  <c r="J77" i="266" s="1"/>
  <c r="C110" i="266" s="1"/>
  <c r="J81" i="271"/>
  <c r="C114" i="271" s="1"/>
  <c r="D115" i="271" s="1"/>
  <c r="E116" i="271" s="1"/>
  <c r="J82" i="275"/>
  <c r="C115" i="275" s="1"/>
  <c r="D116" i="275" s="1"/>
  <c r="D152" i="275" s="1"/>
  <c r="J81" i="275"/>
  <c r="C114" i="275" s="1"/>
  <c r="D115" i="275" s="1"/>
  <c r="E116" i="275" s="1"/>
  <c r="J77" i="275"/>
  <c r="C110" i="275" s="1"/>
  <c r="D111" i="275" s="1"/>
  <c r="E112" i="275" s="1"/>
  <c r="F113" i="275" s="1"/>
  <c r="G114" i="275" s="1"/>
  <c r="H115" i="275" s="1"/>
  <c r="I116" i="275" s="1"/>
  <c r="J73" i="275"/>
  <c r="C106" i="275" s="1"/>
  <c r="J83" i="275"/>
  <c r="C116" i="275" s="1"/>
  <c r="C152" i="275" s="1"/>
  <c r="J83" i="287"/>
  <c r="C116" i="287" s="1"/>
  <c r="C152" i="287" s="1"/>
  <c r="J76" i="267"/>
  <c r="C109" i="267" s="1"/>
  <c r="D110" i="267" s="1"/>
  <c r="E111" i="267" s="1"/>
  <c r="F112" i="267" s="1"/>
  <c r="G113" i="267" s="1"/>
  <c r="H114" i="267" s="1"/>
  <c r="I115" i="267" s="1"/>
  <c r="I81" i="265"/>
  <c r="J81" i="265" s="1"/>
  <c r="C114" i="265" s="1"/>
  <c r="J79" i="265"/>
  <c r="C112" i="265" s="1"/>
  <c r="D113" i="265" s="1"/>
  <c r="E114" i="265" s="1"/>
  <c r="F115" i="265" s="1"/>
  <c r="G116" i="265" s="1"/>
  <c r="J74" i="275"/>
  <c r="C107" i="275" s="1"/>
  <c r="J77" i="263"/>
  <c r="C110" i="263" s="1"/>
  <c r="D111" i="263" s="1"/>
  <c r="E112" i="263" s="1"/>
  <c r="F113" i="263" s="1"/>
  <c r="G114" i="263" s="1"/>
  <c r="H115" i="263" s="1"/>
  <c r="I116" i="263" s="1"/>
  <c r="I76" i="270"/>
  <c r="J76" i="270" s="1"/>
  <c r="C109" i="270" s="1"/>
  <c r="I80" i="263"/>
  <c r="J80" i="263" s="1"/>
  <c r="C113" i="263" s="1"/>
  <c r="I78" i="270"/>
  <c r="J78" i="270" s="1"/>
  <c r="C111" i="270" s="1"/>
  <c r="J72" i="251"/>
  <c r="C105" i="251" s="1"/>
  <c r="C141" i="251" s="1"/>
  <c r="J80" i="242"/>
  <c r="C113" i="242" s="1"/>
  <c r="C149" i="242" s="1"/>
  <c r="I82" i="257"/>
  <c r="J82" i="257" s="1"/>
  <c r="C115" i="257" s="1"/>
  <c r="I83" i="242"/>
  <c r="J83" i="242" s="1"/>
  <c r="C116" i="242" s="1"/>
  <c r="C152" i="242" s="1"/>
  <c r="J75" i="251"/>
  <c r="C108" i="251" s="1"/>
  <c r="C144" i="251" s="1"/>
  <c r="J73" i="315"/>
  <c r="C106" i="315" s="1"/>
  <c r="I76" i="230"/>
  <c r="J76" i="230" s="1"/>
  <c r="C109" i="230" s="1"/>
  <c r="I71" i="230"/>
  <c r="J71" i="230" s="1"/>
  <c r="C104" i="230" s="1"/>
  <c r="I77" i="229"/>
  <c r="J77" i="229" s="1"/>
  <c r="C110" i="229" s="1"/>
  <c r="I79" i="230"/>
  <c r="J79" i="230" s="1"/>
  <c r="C112" i="230" s="1"/>
  <c r="C148" i="230" s="1"/>
  <c r="I77" i="230"/>
  <c r="J77" i="230" s="1"/>
  <c r="C110" i="230" s="1"/>
  <c r="J80" i="277"/>
  <c r="C113" i="277" s="1"/>
  <c r="I75" i="242"/>
  <c r="J75" i="242" s="1"/>
  <c r="C108" i="242" s="1"/>
  <c r="I72" i="247"/>
  <c r="J72" i="247" s="1"/>
  <c r="C105" i="247" s="1"/>
  <c r="J74" i="277"/>
  <c r="C107" i="277" s="1"/>
  <c r="C143" i="277" s="1"/>
  <c r="J73" i="277"/>
  <c r="C106" i="277" s="1"/>
  <c r="D107" i="277" s="1"/>
  <c r="E108" i="277" s="1"/>
  <c r="F109" i="277" s="1"/>
  <c r="G110" i="277" s="1"/>
  <c r="H111" i="277" s="1"/>
  <c r="I112" i="277" s="1"/>
  <c r="J71" i="289"/>
  <c r="C104" i="289" s="1"/>
  <c r="D105" i="289" s="1"/>
  <c r="E106" i="289" s="1"/>
  <c r="F107" i="289" s="1"/>
  <c r="G108" i="289" s="1"/>
  <c r="H109" i="289" s="1"/>
  <c r="I110" i="289" s="1"/>
  <c r="I146" i="289" s="1"/>
  <c r="I70" i="252"/>
  <c r="J70" i="252" s="1"/>
  <c r="C103" i="252" s="1"/>
  <c r="I71" i="247"/>
  <c r="J71" i="247" s="1"/>
  <c r="C104" i="247" s="1"/>
  <c r="J77" i="271"/>
  <c r="C110" i="271" s="1"/>
  <c r="D111" i="271" s="1"/>
  <c r="E112" i="271" s="1"/>
  <c r="F113" i="271" s="1"/>
  <c r="G114" i="271" s="1"/>
  <c r="H115" i="271" s="1"/>
  <c r="I116" i="271" s="1"/>
  <c r="I76" i="236"/>
  <c r="J76" i="236" s="1"/>
  <c r="C109" i="236" s="1"/>
  <c r="D110" i="236" s="1"/>
  <c r="E111" i="236" s="1"/>
  <c r="F112" i="236" s="1"/>
  <c r="G113" i="236" s="1"/>
  <c r="H114" i="236" s="1"/>
  <c r="I115" i="236" s="1"/>
  <c r="J76" i="269"/>
  <c r="C109" i="269" s="1"/>
  <c r="D110" i="269" s="1"/>
  <c r="E111" i="269" s="1"/>
  <c r="F112" i="269" s="1"/>
  <c r="G113" i="269" s="1"/>
  <c r="H114" i="269" s="1"/>
  <c r="I115" i="269" s="1"/>
  <c r="J78" i="267"/>
  <c r="C111" i="267" s="1"/>
  <c r="D112" i="267" s="1"/>
  <c r="E113" i="267" s="1"/>
  <c r="F114" i="267" s="1"/>
  <c r="G115" i="267" s="1"/>
  <c r="H116" i="267" s="1"/>
  <c r="J82" i="271"/>
  <c r="C115" i="271" s="1"/>
  <c r="D116" i="271" s="1"/>
  <c r="D152" i="271" s="1"/>
  <c r="I83" i="264"/>
  <c r="J83" i="264" s="1"/>
  <c r="C116" i="264" s="1"/>
  <c r="C152" i="264" s="1"/>
  <c r="J79" i="313"/>
  <c r="C112" i="313" s="1"/>
  <c r="D113" i="313" s="1"/>
  <c r="E114" i="313" s="1"/>
  <c r="F115" i="313" s="1"/>
  <c r="G116" i="313" s="1"/>
  <c r="I81" i="289"/>
  <c r="J81" i="289" s="1"/>
  <c r="C114" i="289" s="1"/>
  <c r="J81" i="287"/>
  <c r="C114" i="287" s="1"/>
  <c r="D115" i="287" s="1"/>
  <c r="E116" i="287" s="1"/>
  <c r="J83" i="313"/>
  <c r="C116" i="313" s="1"/>
  <c r="C152" i="313" s="1"/>
  <c r="I83" i="258"/>
  <c r="J83" i="258" s="1"/>
  <c r="C116" i="258" s="1"/>
  <c r="C152" i="258" s="1"/>
  <c r="J82" i="265"/>
  <c r="C115" i="265" s="1"/>
  <c r="D116" i="265" s="1"/>
  <c r="D152" i="265" s="1"/>
  <c r="I83" i="289"/>
  <c r="J83" i="289" s="1"/>
  <c r="C116" i="289" s="1"/>
  <c r="C152" i="289" s="1"/>
  <c r="J77" i="287"/>
  <c r="C110" i="287" s="1"/>
  <c r="D111" i="287" s="1"/>
  <c r="E112" i="287" s="1"/>
  <c r="F113" i="287" s="1"/>
  <c r="G114" i="287" s="1"/>
  <c r="H115" i="287" s="1"/>
  <c r="I116" i="287" s="1"/>
  <c r="I79" i="289"/>
  <c r="J79" i="289" s="1"/>
  <c r="C112" i="289" s="1"/>
  <c r="J79" i="275"/>
  <c r="C112" i="275" s="1"/>
  <c r="D113" i="275" s="1"/>
  <c r="E114" i="275" s="1"/>
  <c r="F115" i="275" s="1"/>
  <c r="G116" i="275" s="1"/>
  <c r="I83" i="263"/>
  <c r="J83" i="263" s="1"/>
  <c r="C116" i="263" s="1"/>
  <c r="C152" i="263" s="1"/>
  <c r="J82" i="263"/>
  <c r="C115" i="263" s="1"/>
  <c r="D116" i="263" s="1"/>
  <c r="D152" i="263" s="1"/>
  <c r="J83" i="270"/>
  <c r="C116" i="270" s="1"/>
  <c r="C152" i="270" s="1"/>
  <c r="I82" i="270"/>
  <c r="J82" i="270" s="1"/>
  <c r="C115" i="270" s="1"/>
  <c r="J81" i="263"/>
  <c r="C114" i="263" s="1"/>
  <c r="D115" i="263" s="1"/>
  <c r="E116" i="263" s="1"/>
  <c r="I82" i="248"/>
  <c r="J82" i="248" s="1"/>
  <c r="C115" i="248" s="1"/>
  <c r="I77" i="250"/>
  <c r="J77" i="250" s="1"/>
  <c r="C110" i="250" s="1"/>
  <c r="J75" i="313"/>
  <c r="C108" i="313" s="1"/>
  <c r="C144" i="313" s="1"/>
  <c r="I83" i="248"/>
  <c r="J83" i="248" s="1"/>
  <c r="C116" i="248" s="1"/>
  <c r="C152" i="248" s="1"/>
  <c r="J83" i="245"/>
  <c r="C116" i="245" s="1"/>
  <c r="C152" i="245" s="1"/>
  <c r="I80" i="230"/>
  <c r="J80" i="230" s="1"/>
  <c r="C113" i="230" s="1"/>
  <c r="I82" i="230"/>
  <c r="J82" i="230" s="1"/>
  <c r="C115" i="230" s="1"/>
  <c r="J80" i="229"/>
  <c r="C113" i="229" s="1"/>
  <c r="D114" i="229" s="1"/>
  <c r="I70" i="229"/>
  <c r="J70" i="229" s="1"/>
  <c r="C103" i="229" s="1"/>
  <c r="J77" i="277"/>
  <c r="C110" i="277" s="1"/>
  <c r="I74" i="251"/>
  <c r="J74" i="251" s="1"/>
  <c r="C107" i="251" s="1"/>
  <c r="D108" i="251" s="1"/>
  <c r="E109" i="251" s="1"/>
  <c r="F110" i="251" s="1"/>
  <c r="G111" i="251" s="1"/>
  <c r="H112" i="251" s="1"/>
  <c r="I113" i="251" s="1"/>
  <c r="I81" i="242"/>
  <c r="J81" i="242" s="1"/>
  <c r="C114" i="242" s="1"/>
  <c r="I78" i="250"/>
  <c r="J78" i="250" s="1"/>
  <c r="C111" i="250" s="1"/>
  <c r="C147" i="250" s="1"/>
  <c r="I75" i="252"/>
  <c r="J75" i="252" s="1"/>
  <c r="C108" i="252" s="1"/>
  <c r="I70" i="241"/>
  <c r="J70" i="241" s="1"/>
  <c r="C103" i="241" s="1"/>
  <c r="I72" i="256"/>
  <c r="J72" i="256" s="1"/>
  <c r="C105" i="256" s="1"/>
  <c r="I78" i="236"/>
  <c r="J78" i="236" s="1"/>
  <c r="C111" i="236" s="1"/>
  <c r="I73" i="240"/>
  <c r="J73" i="240" s="1"/>
  <c r="C106" i="240" s="1"/>
  <c r="I76" i="229"/>
  <c r="J76" i="229" s="1"/>
  <c r="C109" i="229" s="1"/>
  <c r="I80" i="287"/>
  <c r="J80" i="287" s="1"/>
  <c r="C113" i="287" s="1"/>
  <c r="I78" i="287"/>
  <c r="J78" i="287" s="1"/>
  <c r="C111" i="287" s="1"/>
  <c r="I72" i="248"/>
  <c r="J72" i="248" s="1"/>
  <c r="C105" i="248" s="1"/>
  <c r="D108" i="230"/>
  <c r="E109" i="230" s="1"/>
  <c r="C143" i="263"/>
  <c r="D108" i="263"/>
  <c r="E7" i="217"/>
  <c r="C160" i="230"/>
  <c r="E105" i="230"/>
  <c r="D140" i="230"/>
  <c r="J73" i="290"/>
  <c r="C106" i="290" s="1"/>
  <c r="D107" i="290" s="1"/>
  <c r="E108" i="290" s="1"/>
  <c r="F109" i="290" s="1"/>
  <c r="G110" i="290" s="1"/>
  <c r="H111" i="290" s="1"/>
  <c r="I112" i="290" s="1"/>
  <c r="J75" i="287"/>
  <c r="C108" i="287" s="1"/>
  <c r="C144" i="287" s="1"/>
  <c r="J75" i="264"/>
  <c r="C108" i="264" s="1"/>
  <c r="D109" i="264" s="1"/>
  <c r="E110" i="264" s="1"/>
  <c r="F111" i="264" s="1"/>
  <c r="G112" i="264" s="1"/>
  <c r="H113" i="264" s="1"/>
  <c r="I114" i="264" s="1"/>
  <c r="J72" i="281"/>
  <c r="C105" i="281" s="1"/>
  <c r="C141" i="281" s="1"/>
  <c r="J71" i="287"/>
  <c r="C104" i="287" s="1"/>
  <c r="D105" i="287" s="1"/>
  <c r="E106" i="287" s="1"/>
  <c r="F107" i="287" s="1"/>
  <c r="G108" i="287" s="1"/>
  <c r="H109" i="287" s="1"/>
  <c r="I110" i="287" s="1"/>
  <c r="I146" i="287" s="1"/>
  <c r="J75" i="269"/>
  <c r="C108" i="269" s="1"/>
  <c r="D109" i="269" s="1"/>
  <c r="E110" i="269" s="1"/>
  <c r="F111" i="269" s="1"/>
  <c r="G112" i="269" s="1"/>
  <c r="H113" i="269" s="1"/>
  <c r="I114" i="269" s="1"/>
  <c r="J79" i="237"/>
  <c r="C112" i="237" s="1"/>
  <c r="D113" i="237" s="1"/>
  <c r="J71" i="294"/>
  <c r="C104" i="294" s="1"/>
  <c r="D105" i="294" s="1"/>
  <c r="E106" i="294" s="1"/>
  <c r="F107" i="294" s="1"/>
  <c r="G108" i="294" s="1"/>
  <c r="H109" i="294" s="1"/>
  <c r="I110" i="294" s="1"/>
  <c r="I146" i="294" s="1"/>
  <c r="J70" i="292"/>
  <c r="C103" i="292" s="1"/>
  <c r="C139" i="292" s="1"/>
  <c r="J139" i="292" s="1"/>
  <c r="C159" i="292" s="1"/>
  <c r="J77" i="237"/>
  <c r="C110" i="237" s="1"/>
  <c r="D111" i="237" s="1"/>
  <c r="J74" i="237"/>
  <c r="C107" i="237" s="1"/>
  <c r="D108" i="237" s="1"/>
  <c r="J70" i="281"/>
  <c r="C103" i="281" s="1"/>
  <c r="J103" i="281" s="1"/>
  <c r="J70" i="280"/>
  <c r="C103" i="280" s="1"/>
  <c r="J103" i="280" s="1"/>
  <c r="J75" i="262"/>
  <c r="C108" i="262" s="1"/>
  <c r="C144" i="262" s="1"/>
  <c r="J74" i="313"/>
  <c r="C107" i="313" s="1"/>
  <c r="C143" i="313" s="1"/>
  <c r="J72" i="294"/>
  <c r="C105" i="294" s="1"/>
  <c r="D106" i="294" s="1"/>
  <c r="E107" i="294" s="1"/>
  <c r="F108" i="294" s="1"/>
  <c r="G109" i="294" s="1"/>
  <c r="H110" i="294" s="1"/>
  <c r="I111" i="294" s="1"/>
  <c r="J70" i="258"/>
  <c r="C103" i="258" s="1"/>
  <c r="D104" i="258" s="1"/>
  <c r="E105" i="258" s="1"/>
  <c r="F106" i="258" s="1"/>
  <c r="G107" i="258" s="1"/>
  <c r="H108" i="258" s="1"/>
  <c r="I109" i="258" s="1"/>
  <c r="I145" i="258" s="1"/>
  <c r="J74" i="262"/>
  <c r="C107" i="262" s="1"/>
  <c r="D108" i="262" s="1"/>
  <c r="E109" i="262" s="1"/>
  <c r="F110" i="262" s="1"/>
  <c r="G111" i="262" s="1"/>
  <c r="H112" i="262" s="1"/>
  <c r="I113" i="262" s="1"/>
  <c r="J72" i="313"/>
  <c r="C105" i="313" s="1"/>
  <c r="D106" i="313" s="1"/>
  <c r="E107" i="313" s="1"/>
  <c r="F108" i="313" s="1"/>
  <c r="G109" i="313" s="1"/>
  <c r="H110" i="313" s="1"/>
  <c r="I111" i="313" s="1"/>
  <c r="J72" i="272"/>
  <c r="C105" i="272" s="1"/>
  <c r="D106" i="272" s="1"/>
  <c r="E107" i="272" s="1"/>
  <c r="F108" i="272" s="1"/>
  <c r="G109" i="272" s="1"/>
  <c r="H110" i="272" s="1"/>
  <c r="I111" i="272" s="1"/>
  <c r="J74" i="293"/>
  <c r="C107" i="293" s="1"/>
  <c r="D108" i="293" s="1"/>
  <c r="E109" i="293" s="1"/>
  <c r="F110" i="293" s="1"/>
  <c r="G111" i="293" s="1"/>
  <c r="H112" i="293" s="1"/>
  <c r="I113" i="293" s="1"/>
  <c r="J71" i="269"/>
  <c r="C104" i="269" s="1"/>
  <c r="D105" i="269" s="1"/>
  <c r="E106" i="269" s="1"/>
  <c r="F107" i="269" s="1"/>
  <c r="G108" i="269" s="1"/>
  <c r="H109" i="269" s="1"/>
  <c r="I110" i="269" s="1"/>
  <c r="I146" i="269" s="1"/>
  <c r="J72" i="290"/>
  <c r="C105" i="290" s="1"/>
  <c r="D106" i="290" s="1"/>
  <c r="E107" i="290" s="1"/>
  <c r="F108" i="290" s="1"/>
  <c r="G109" i="290" s="1"/>
  <c r="H110" i="290" s="1"/>
  <c r="I111" i="290" s="1"/>
  <c r="J73" i="294"/>
  <c r="C106" i="294" s="1"/>
  <c r="D107" i="294" s="1"/>
  <c r="E108" i="294" s="1"/>
  <c r="F109" i="294" s="1"/>
  <c r="G110" i="294" s="1"/>
  <c r="H111" i="294" s="1"/>
  <c r="I112" i="294" s="1"/>
  <c r="J73" i="310"/>
  <c r="C106" i="310" s="1"/>
  <c r="D107" i="310" s="1"/>
  <c r="E108" i="310" s="1"/>
  <c r="F109" i="310" s="1"/>
  <c r="G110" i="310" s="1"/>
  <c r="H111" i="310" s="1"/>
  <c r="I112" i="310" s="1"/>
  <c r="J75" i="258"/>
  <c r="C108" i="258" s="1"/>
  <c r="D109" i="258" s="1"/>
  <c r="E110" i="258" s="1"/>
  <c r="F111" i="258" s="1"/>
  <c r="G112" i="258" s="1"/>
  <c r="H113" i="258" s="1"/>
  <c r="I114" i="258" s="1"/>
  <c r="J71" i="309"/>
  <c r="C104" i="309" s="1"/>
  <c r="D105" i="309" s="1"/>
  <c r="E106" i="309" s="1"/>
  <c r="F107" i="309" s="1"/>
  <c r="G108" i="309" s="1"/>
  <c r="H109" i="309" s="1"/>
  <c r="I110" i="309" s="1"/>
  <c r="I146" i="309" s="1"/>
  <c r="J71" i="258"/>
  <c r="C104" i="258" s="1"/>
  <c r="D105" i="258" s="1"/>
  <c r="E106" i="258" s="1"/>
  <c r="F107" i="258" s="1"/>
  <c r="G108" i="258" s="1"/>
  <c r="H109" i="258" s="1"/>
  <c r="I110" i="258" s="1"/>
  <c r="I146" i="258" s="1"/>
  <c r="J73" i="267"/>
  <c r="C106" i="267" s="1"/>
  <c r="D107" i="267" s="1"/>
  <c r="E108" i="267" s="1"/>
  <c r="F109" i="267" s="1"/>
  <c r="G110" i="267" s="1"/>
  <c r="H111" i="267" s="1"/>
  <c r="I112" i="267" s="1"/>
  <c r="J72" i="280"/>
  <c r="C105" i="280" s="1"/>
  <c r="D106" i="280" s="1"/>
  <c r="E107" i="280" s="1"/>
  <c r="F108" i="280" s="1"/>
  <c r="G109" i="280" s="1"/>
  <c r="H110" i="280" s="1"/>
  <c r="I111" i="280" s="1"/>
  <c r="J74" i="290"/>
  <c r="C107" i="290" s="1"/>
  <c r="D108" i="290" s="1"/>
  <c r="E109" i="290" s="1"/>
  <c r="F110" i="290" s="1"/>
  <c r="G111" i="290" s="1"/>
  <c r="H112" i="290" s="1"/>
  <c r="I113" i="290" s="1"/>
  <c r="J72" i="293"/>
  <c r="C105" i="293" s="1"/>
  <c r="D106" i="293" s="1"/>
  <c r="E107" i="293" s="1"/>
  <c r="F108" i="293" s="1"/>
  <c r="G109" i="293" s="1"/>
  <c r="H110" i="293" s="1"/>
  <c r="I111" i="293" s="1"/>
  <c r="J71" i="271"/>
  <c r="C104" i="271" s="1"/>
  <c r="D105" i="271" s="1"/>
  <c r="E106" i="271" s="1"/>
  <c r="F107" i="271" s="1"/>
  <c r="G108" i="271" s="1"/>
  <c r="H109" i="271" s="1"/>
  <c r="I110" i="271" s="1"/>
  <c r="I146" i="271" s="1"/>
  <c r="J71" i="280"/>
  <c r="C104" i="280" s="1"/>
  <c r="D105" i="280" s="1"/>
  <c r="E106" i="280" s="1"/>
  <c r="F107" i="280" s="1"/>
  <c r="G108" i="280" s="1"/>
  <c r="H109" i="280" s="1"/>
  <c r="I110" i="280" s="1"/>
  <c r="I146" i="280" s="1"/>
  <c r="J70" i="269"/>
  <c r="C103" i="269" s="1"/>
  <c r="C139" i="269" s="1"/>
  <c r="J139" i="269" s="1"/>
  <c r="C159" i="269" s="1"/>
  <c r="H81" i="237"/>
  <c r="H83" i="253"/>
  <c r="I83" i="253" s="1"/>
  <c r="J83" i="253" s="1"/>
  <c r="C116" i="253" s="1"/>
  <c r="H80" i="258"/>
  <c r="I80" i="258" s="1"/>
  <c r="J80" i="258" s="1"/>
  <c r="C113" i="258" s="1"/>
  <c r="H79" i="291"/>
  <c r="H79" i="295"/>
  <c r="H76" i="256"/>
  <c r="I76" i="256" s="1"/>
  <c r="J76" i="256" s="1"/>
  <c r="C109" i="256" s="1"/>
  <c r="H78" i="239"/>
  <c r="I78" i="239" s="1"/>
  <c r="J78" i="239" s="1"/>
  <c r="C111" i="239" s="1"/>
  <c r="H77" i="248"/>
  <c r="I77" i="248" s="1"/>
  <c r="J77" i="248" s="1"/>
  <c r="C110" i="248" s="1"/>
  <c r="H78" i="232"/>
  <c r="I78" i="232" s="1"/>
  <c r="J78" i="232" s="1"/>
  <c r="C111" i="232" s="1"/>
  <c r="H71" i="239"/>
  <c r="I71" i="239" s="1"/>
  <c r="J71" i="239" s="1"/>
  <c r="C104" i="239" s="1"/>
  <c r="H71" i="293"/>
  <c r="H72" i="243"/>
  <c r="I72" i="243" s="1"/>
  <c r="J72" i="243" s="1"/>
  <c r="C105" i="243" s="1"/>
  <c r="H74" i="274"/>
  <c r="I74" i="274" s="1"/>
  <c r="J74" i="274" s="1"/>
  <c r="C107" i="274" s="1"/>
  <c r="H80" i="297"/>
  <c r="H78" i="311"/>
  <c r="H77" i="283"/>
  <c r="I77" i="283" s="1"/>
  <c r="J77" i="283" s="1"/>
  <c r="C110" i="283" s="1"/>
  <c r="H76" i="289"/>
  <c r="I76" i="289" s="1"/>
  <c r="J76" i="289" s="1"/>
  <c r="C109" i="289" s="1"/>
  <c r="H82" i="279"/>
  <c r="H83" i="281"/>
  <c r="I83" i="281" s="1"/>
  <c r="J83" i="281" s="1"/>
  <c r="C116" i="281" s="1"/>
  <c r="H82" i="266"/>
  <c r="I82" i="266" s="1"/>
  <c r="J82" i="266" s="1"/>
  <c r="C115" i="266" s="1"/>
  <c r="H81" i="284"/>
  <c r="I81" i="284" s="1"/>
  <c r="J81" i="284" s="1"/>
  <c r="C114" i="284" s="1"/>
  <c r="H77" i="282"/>
  <c r="I77" i="282" s="1"/>
  <c r="J77" i="282" s="1"/>
  <c r="C110" i="282" s="1"/>
  <c r="H78" i="286"/>
  <c r="I78" i="286" s="1"/>
  <c r="J78" i="286" s="1"/>
  <c r="C111" i="286" s="1"/>
  <c r="H78" i="308"/>
  <c r="H71" i="261"/>
  <c r="I71" i="261" s="1"/>
  <c r="J71" i="261" s="1"/>
  <c r="C104" i="261" s="1"/>
  <c r="H74" i="234"/>
  <c r="I74" i="234" s="1"/>
  <c r="J74" i="234" s="1"/>
  <c r="C107" i="234" s="1"/>
  <c r="H71" i="260"/>
  <c r="I71" i="260" s="1"/>
  <c r="J71" i="260" s="1"/>
  <c r="C104" i="260" s="1"/>
  <c r="H74" i="244"/>
  <c r="I74" i="244" s="1"/>
  <c r="J74" i="244" s="1"/>
  <c r="C107" i="244" s="1"/>
  <c r="H75" i="288"/>
  <c r="I75" i="288" s="1"/>
  <c r="J75" i="288" s="1"/>
  <c r="C108" i="288" s="1"/>
  <c r="H71" i="312"/>
  <c r="H71" i="267"/>
  <c r="I71" i="267" s="1"/>
  <c r="J71" i="267" s="1"/>
  <c r="C104" i="267" s="1"/>
  <c r="H82" i="315"/>
  <c r="H79" i="236"/>
  <c r="I79" i="236" s="1"/>
  <c r="J79" i="236" s="1"/>
  <c r="C112" i="236" s="1"/>
  <c r="H83" i="284"/>
  <c r="I83" i="284" s="1"/>
  <c r="J83" i="284" s="1"/>
  <c r="C116" i="284" s="1"/>
  <c r="H81" i="280"/>
  <c r="H83" i="252"/>
  <c r="I83" i="252" s="1"/>
  <c r="J83" i="252" s="1"/>
  <c r="C116" i="252" s="1"/>
  <c r="H83" i="262"/>
  <c r="I83" i="262" s="1"/>
  <c r="J83" i="262" s="1"/>
  <c r="C116" i="262" s="1"/>
  <c r="H78" i="316"/>
  <c r="H77" i="253"/>
  <c r="I77" i="253" s="1"/>
  <c r="J77" i="253" s="1"/>
  <c r="C110" i="253" s="1"/>
  <c r="H77" i="289"/>
  <c r="I77" i="289" s="1"/>
  <c r="J77" i="289" s="1"/>
  <c r="C110" i="289" s="1"/>
  <c r="H74" i="285"/>
  <c r="I74" i="285" s="1"/>
  <c r="J74" i="285" s="1"/>
  <c r="C107" i="285" s="1"/>
  <c r="H74" i="255"/>
  <c r="I74" i="255" s="1"/>
  <c r="J74" i="255" s="1"/>
  <c r="C107" i="255" s="1"/>
  <c r="H70" i="283"/>
  <c r="I70" i="283" s="1"/>
  <c r="J70" i="283" s="1"/>
  <c r="C103" i="283" s="1"/>
  <c r="H81" i="243"/>
  <c r="I81" i="243" s="1"/>
  <c r="J81" i="243" s="1"/>
  <c r="C114" i="243" s="1"/>
  <c r="H81" i="248"/>
  <c r="I81" i="248" s="1"/>
  <c r="J81" i="248" s="1"/>
  <c r="C114" i="248" s="1"/>
  <c r="G75" i="303"/>
  <c r="H75" i="303" s="1"/>
  <c r="I75" i="303" s="1"/>
  <c r="G79" i="303"/>
  <c r="J74" i="294"/>
  <c r="C107" i="294" s="1"/>
  <c r="D108" i="294" s="1"/>
  <c r="E109" i="294" s="1"/>
  <c r="F110" i="294" s="1"/>
  <c r="G111" i="294" s="1"/>
  <c r="H112" i="294" s="1"/>
  <c r="I113" i="294" s="1"/>
  <c r="H83" i="255"/>
  <c r="H81" i="269"/>
  <c r="H83" i="231"/>
  <c r="H81" i="288"/>
  <c r="H81" i="285"/>
  <c r="H82" i="236"/>
  <c r="H81" i="274"/>
  <c r="H81" i="283"/>
  <c r="H83" i="235"/>
  <c r="H77" i="252"/>
  <c r="H76" i="231"/>
  <c r="H76" i="312"/>
  <c r="H76" i="314"/>
  <c r="H70" i="291"/>
  <c r="H72" i="254"/>
  <c r="H71" i="255"/>
  <c r="H75" i="278"/>
  <c r="I75" i="278" s="1"/>
  <c r="H71" i="232"/>
  <c r="H75" i="253"/>
  <c r="H74" i="283"/>
  <c r="H70" i="268"/>
  <c r="H74" i="235"/>
  <c r="H74" i="311"/>
  <c r="H74" i="239"/>
  <c r="H73" i="271"/>
  <c r="H74" i="316"/>
  <c r="H71" i="243"/>
  <c r="H72" i="262"/>
  <c r="I72" i="262" s="1"/>
  <c r="J72" i="262" s="1"/>
  <c r="C105" i="262" s="1"/>
  <c r="D106" i="262" s="1"/>
  <c r="E107" i="262" s="1"/>
  <c r="F108" i="262" s="1"/>
  <c r="G109" i="262" s="1"/>
  <c r="H110" i="262" s="1"/>
  <c r="I111" i="262" s="1"/>
  <c r="H74" i="281"/>
  <c r="H71" i="279"/>
  <c r="I71" i="279" s="1"/>
  <c r="H83" i="241"/>
  <c r="H80" i="281"/>
  <c r="H80" i="266"/>
  <c r="H79" i="259"/>
  <c r="H83" i="274"/>
  <c r="H79" i="232"/>
  <c r="H80" i="235"/>
  <c r="H81" i="261"/>
  <c r="H81" i="258"/>
  <c r="H81" i="286"/>
  <c r="H83" i="293"/>
  <c r="H76" i="304"/>
  <c r="H76" i="276"/>
  <c r="I76" i="276" s="1"/>
  <c r="H78" i="282"/>
  <c r="H77" i="246"/>
  <c r="H76" i="243"/>
  <c r="H73" i="291"/>
  <c r="H70" i="254"/>
  <c r="H73" i="261"/>
  <c r="H73" i="286"/>
  <c r="H70" i="234"/>
  <c r="H72" i="232"/>
  <c r="H71" i="253"/>
  <c r="H81" i="279"/>
  <c r="I81" i="279" s="1"/>
  <c r="H83" i="316"/>
  <c r="H82" i="309"/>
  <c r="H82" i="268"/>
  <c r="H79" i="280"/>
  <c r="I79" i="280" s="1"/>
  <c r="H80" i="278"/>
  <c r="I80" i="278" s="1"/>
  <c r="H79" i="286"/>
  <c r="H82" i="293"/>
  <c r="H78" i="281"/>
  <c r="H78" i="241"/>
  <c r="H77" i="276"/>
  <c r="I77" i="276" s="1"/>
  <c r="H78" i="251"/>
  <c r="H70" i="257"/>
  <c r="H73" i="314"/>
  <c r="H80" i="253"/>
  <c r="H83" i="254"/>
  <c r="H76" i="285"/>
  <c r="H76" i="279"/>
  <c r="I76" i="279" s="1"/>
  <c r="H83" i="237"/>
  <c r="I83" i="237" s="1"/>
  <c r="J83" i="237" s="1"/>
  <c r="C116" i="237" s="1"/>
  <c r="C152" i="237" s="1"/>
  <c r="H81" i="272"/>
  <c r="H81" i="309"/>
  <c r="H81" i="249"/>
  <c r="H82" i="260"/>
  <c r="H78" i="243"/>
  <c r="H77" i="262"/>
  <c r="H70" i="240"/>
  <c r="H72" i="286"/>
  <c r="H72" i="287"/>
  <c r="I72" i="287" s="1"/>
  <c r="J72" i="287" s="1"/>
  <c r="C105" i="287" s="1"/>
  <c r="D106" i="287" s="1"/>
  <c r="E107" i="287" s="1"/>
  <c r="F108" i="287" s="1"/>
  <c r="G109" i="287" s="1"/>
  <c r="H110" i="287" s="1"/>
  <c r="I111" i="287" s="1"/>
  <c r="H71" i="236"/>
  <c r="H72" i="277"/>
  <c r="I72" i="277" s="1"/>
  <c r="H70" i="309"/>
  <c r="H74" i="245"/>
  <c r="H72" i="295"/>
  <c r="H74" i="280"/>
  <c r="H70" i="266"/>
  <c r="H80" i="243"/>
  <c r="H79" i="304"/>
  <c r="H80" i="276"/>
  <c r="I80" i="276" s="1"/>
  <c r="H80" i="260"/>
  <c r="H83" i="250"/>
  <c r="H81" i="314"/>
  <c r="H77" i="232"/>
  <c r="H76" i="278"/>
  <c r="I76" i="278" s="1"/>
  <c r="H72" i="240"/>
  <c r="H71" i="237"/>
  <c r="H71" i="278"/>
  <c r="I71" i="278" s="1"/>
  <c r="H74" i="304"/>
  <c r="H82" i="288"/>
  <c r="H83" i="251"/>
  <c r="G80" i="303"/>
  <c r="H80" i="261"/>
  <c r="I80" i="261" s="1"/>
  <c r="J80" i="261" s="1"/>
  <c r="C113" i="261" s="1"/>
  <c r="H80" i="246"/>
  <c r="I80" i="246" s="1"/>
  <c r="J80" i="246" s="1"/>
  <c r="C113" i="246" s="1"/>
  <c r="H80" i="301"/>
  <c r="H82" i="250"/>
  <c r="I82" i="250" s="1"/>
  <c r="J82" i="250" s="1"/>
  <c r="C115" i="250" s="1"/>
  <c r="H79" i="240"/>
  <c r="I79" i="240" s="1"/>
  <c r="J79" i="240" s="1"/>
  <c r="C112" i="240" s="1"/>
  <c r="H79" i="312"/>
  <c r="H80" i="254"/>
  <c r="I80" i="254" s="1"/>
  <c r="J80" i="254" s="1"/>
  <c r="C113" i="254" s="1"/>
  <c r="H76" i="315"/>
  <c r="H77" i="257"/>
  <c r="I77" i="257" s="1"/>
  <c r="J77" i="257" s="1"/>
  <c r="C110" i="257" s="1"/>
  <c r="H77" i="311"/>
  <c r="H78" i="304"/>
  <c r="H78" i="291"/>
  <c r="H78" i="259"/>
  <c r="I78" i="259" s="1"/>
  <c r="J78" i="259" s="1"/>
  <c r="C111" i="259" s="1"/>
  <c r="H78" i="233"/>
  <c r="I78" i="233" s="1"/>
  <c r="J78" i="233" s="1"/>
  <c r="C111" i="233" s="1"/>
  <c r="H78" i="268"/>
  <c r="I78" i="268" s="1"/>
  <c r="J78" i="268" s="1"/>
  <c r="C111" i="268" s="1"/>
  <c r="H76" i="244"/>
  <c r="I76" i="244" s="1"/>
  <c r="J76" i="244" s="1"/>
  <c r="C109" i="244" s="1"/>
  <c r="H72" i="311"/>
  <c r="H72" i="309"/>
  <c r="H72" i="271"/>
  <c r="I72" i="271" s="1"/>
  <c r="J72" i="271" s="1"/>
  <c r="C105" i="271" s="1"/>
  <c r="D106" i="271" s="1"/>
  <c r="E107" i="271" s="1"/>
  <c r="F108" i="271" s="1"/>
  <c r="G109" i="271" s="1"/>
  <c r="H110" i="271" s="1"/>
  <c r="I111" i="271" s="1"/>
  <c r="H72" i="269"/>
  <c r="I72" i="269" s="1"/>
  <c r="J72" i="269" s="1"/>
  <c r="C105" i="269" s="1"/>
  <c r="D106" i="269" s="1"/>
  <c r="E107" i="269" s="1"/>
  <c r="F108" i="269" s="1"/>
  <c r="G109" i="269" s="1"/>
  <c r="H110" i="269" s="1"/>
  <c r="I111" i="269" s="1"/>
  <c r="H75" i="295"/>
  <c r="H75" i="259"/>
  <c r="I75" i="259" s="1"/>
  <c r="J75" i="259" s="1"/>
  <c r="C108" i="259" s="1"/>
  <c r="H74" i="279"/>
  <c r="H79" i="282"/>
  <c r="I79" i="282" s="1"/>
  <c r="J79" i="282" s="1"/>
  <c r="C112" i="282" s="1"/>
  <c r="H82" i="246"/>
  <c r="I82" i="246" s="1"/>
  <c r="J82" i="246" s="1"/>
  <c r="C115" i="246" s="1"/>
  <c r="H82" i="295"/>
  <c r="H78" i="315"/>
  <c r="H77" i="239"/>
  <c r="I77" i="239" s="1"/>
  <c r="J77" i="239" s="1"/>
  <c r="C110" i="239" s="1"/>
  <c r="H77" i="316"/>
  <c r="H78" i="244"/>
  <c r="I78" i="244" s="1"/>
  <c r="J78" i="244" s="1"/>
  <c r="C111" i="244" s="1"/>
  <c r="H77" i="265"/>
  <c r="I77" i="265" s="1"/>
  <c r="J77" i="265" s="1"/>
  <c r="C110" i="265" s="1"/>
  <c r="H78" i="297"/>
  <c r="C143" i="229"/>
  <c r="D108" i="229"/>
  <c r="C148" i="229"/>
  <c r="D113" i="229"/>
  <c r="J72" i="310"/>
  <c r="C105" i="310" s="1"/>
  <c r="D106" i="310" s="1"/>
  <c r="E107" i="310" s="1"/>
  <c r="F108" i="310" s="1"/>
  <c r="G109" i="310" s="1"/>
  <c r="H110" i="310" s="1"/>
  <c r="I111" i="310" s="1"/>
  <c r="J72" i="292"/>
  <c r="C105" i="292" s="1"/>
  <c r="D106" i="292" s="1"/>
  <c r="E107" i="292" s="1"/>
  <c r="F108" i="292" s="1"/>
  <c r="G109" i="292" s="1"/>
  <c r="H110" i="292" s="1"/>
  <c r="I111" i="292" s="1"/>
  <c r="J70" i="262"/>
  <c r="C103" i="262" s="1"/>
  <c r="C139" i="262" s="1"/>
  <c r="J139" i="262" s="1"/>
  <c r="C159" i="262" s="1"/>
  <c r="G71" i="298"/>
  <c r="H71" i="298" s="1"/>
  <c r="I71" i="298" s="1"/>
  <c r="H77" i="308"/>
  <c r="H75" i="285"/>
  <c r="H73" i="278"/>
  <c r="I73" i="278" s="1"/>
  <c r="H72" i="246"/>
  <c r="H73" i="235"/>
  <c r="H74" i="308"/>
  <c r="H71" i="231"/>
  <c r="H74" i="243"/>
  <c r="H71" i="259"/>
  <c r="H75" i="266"/>
  <c r="H73" i="250"/>
  <c r="H80" i="315"/>
  <c r="I80" i="315" s="1"/>
  <c r="H79" i="241"/>
  <c r="H80" i="269"/>
  <c r="H79" i="272"/>
  <c r="H80" i="316"/>
  <c r="H80" i="288"/>
  <c r="H79" i="309"/>
  <c r="H80" i="234"/>
  <c r="H83" i="236"/>
  <c r="H83" i="276"/>
  <c r="I83" i="276" s="1"/>
  <c r="H80" i="284"/>
  <c r="H79" i="283"/>
  <c r="H80" i="251"/>
  <c r="H83" i="280"/>
  <c r="I83" i="280" s="1"/>
  <c r="H81" i="252"/>
  <c r="I81" i="252" s="1"/>
  <c r="J81" i="252" s="1"/>
  <c r="C114" i="252" s="1"/>
  <c r="H81" i="250"/>
  <c r="H81" i="297"/>
  <c r="H82" i="254"/>
  <c r="H78" i="272"/>
  <c r="I78" i="272" s="1"/>
  <c r="J78" i="272" s="1"/>
  <c r="C111" i="272" s="1"/>
  <c r="C147" i="272" s="1"/>
  <c r="H76" i="241"/>
  <c r="H78" i="274"/>
  <c r="I78" i="274" s="1"/>
  <c r="J78" i="274" s="1"/>
  <c r="C111" i="274" s="1"/>
  <c r="H77" i="251"/>
  <c r="H76" i="282"/>
  <c r="I76" i="282" s="1"/>
  <c r="J76" i="282" s="1"/>
  <c r="C109" i="282" s="1"/>
  <c r="C145" i="282" s="1"/>
  <c r="H78" i="246"/>
  <c r="H78" i="278"/>
  <c r="H77" i="312"/>
  <c r="H70" i="264"/>
  <c r="H71" i="285"/>
  <c r="H75" i="286"/>
  <c r="H74" i="287"/>
  <c r="H75" i="304"/>
  <c r="H72" i="253"/>
  <c r="H75" i="294"/>
  <c r="H71" i="313"/>
  <c r="I71" i="313" s="1"/>
  <c r="H70" i="260"/>
  <c r="H70" i="235"/>
  <c r="H72" i="231"/>
  <c r="H73" i="295"/>
  <c r="H74" i="315"/>
  <c r="I74" i="315" s="1"/>
  <c r="H70" i="267"/>
  <c r="H72" i="249"/>
  <c r="H70" i="276"/>
  <c r="I70" i="276" s="1"/>
  <c r="H70" i="233"/>
  <c r="H74" i="250"/>
  <c r="H75" i="249"/>
  <c r="H73" i="274"/>
  <c r="H82" i="247"/>
  <c r="H79" i="257"/>
  <c r="H80" i="311"/>
  <c r="H79" i="239"/>
  <c r="H79" i="266"/>
  <c r="H80" i="233"/>
  <c r="H79" i="260"/>
  <c r="H81" i="240"/>
  <c r="H76" i="281"/>
  <c r="I76" i="281" s="1"/>
  <c r="J76" i="281" s="1"/>
  <c r="C109" i="281" s="1"/>
  <c r="C145" i="281" s="1"/>
  <c r="H78" i="235"/>
  <c r="H78" i="258"/>
  <c r="H75" i="261"/>
  <c r="H73" i="287"/>
  <c r="H73" i="232"/>
  <c r="H71" i="268"/>
  <c r="I71" i="268" s="1"/>
  <c r="J71" i="268" s="1"/>
  <c r="C104" i="268" s="1"/>
  <c r="H71" i="235"/>
  <c r="H72" i="288"/>
  <c r="I72" i="288" s="1"/>
  <c r="J72" i="288" s="1"/>
  <c r="C105" i="288" s="1"/>
  <c r="H70" i="231"/>
  <c r="H71" i="295"/>
  <c r="H72" i="315"/>
  <c r="I72" i="315" s="1"/>
  <c r="H70" i="279"/>
  <c r="H83" i="247"/>
  <c r="H81" i="281"/>
  <c r="H83" i="256"/>
  <c r="H81" i="276"/>
  <c r="I81" i="276" s="1"/>
  <c r="H79" i="253"/>
  <c r="H80" i="250"/>
  <c r="I80" i="250" s="1"/>
  <c r="J80" i="250" s="1"/>
  <c r="C113" i="250" s="1"/>
  <c r="H83" i="286"/>
  <c r="H80" i="262"/>
  <c r="I80" i="262" s="1"/>
  <c r="J80" i="262" s="1"/>
  <c r="C113" i="262" s="1"/>
  <c r="H76" i="234"/>
  <c r="H76" i="272"/>
  <c r="H77" i="242"/>
  <c r="H76" i="291"/>
  <c r="H77" i="240"/>
  <c r="H77" i="249"/>
  <c r="I77" i="249" s="1"/>
  <c r="J77" i="249" s="1"/>
  <c r="C110" i="249" s="1"/>
  <c r="H77" i="274"/>
  <c r="H76" i="232"/>
  <c r="H76" i="260"/>
  <c r="H76" i="261"/>
  <c r="I76" i="261" s="1"/>
  <c r="J76" i="261" s="1"/>
  <c r="C109" i="261" s="1"/>
  <c r="H77" i="258"/>
  <c r="H76" i="262"/>
  <c r="H77" i="293"/>
  <c r="H74" i="289"/>
  <c r="I74" i="289" s="1"/>
  <c r="J74" i="289" s="1"/>
  <c r="C107" i="289" s="1"/>
  <c r="C143" i="289" s="1"/>
  <c r="H74" i="286"/>
  <c r="H75" i="234"/>
  <c r="H70" i="287"/>
  <c r="H75" i="284"/>
  <c r="I75" i="284" s="1"/>
  <c r="J75" i="284" s="1"/>
  <c r="C108" i="284" s="1"/>
  <c r="H70" i="232"/>
  <c r="H75" i="282"/>
  <c r="H70" i="253"/>
  <c r="H70" i="313"/>
  <c r="H73" i="260"/>
  <c r="H74" i="288"/>
  <c r="H74" i="309"/>
  <c r="H74" i="271"/>
  <c r="I74" i="271" s="1"/>
  <c r="J74" i="271" s="1"/>
  <c r="C107" i="271" s="1"/>
  <c r="H75" i="312"/>
  <c r="H75" i="279"/>
  <c r="I75" i="279" s="1"/>
  <c r="J73" i="258"/>
  <c r="C106" i="258" s="1"/>
  <c r="D107" i="258" s="1"/>
  <c r="E108" i="258" s="1"/>
  <c r="F109" i="258" s="1"/>
  <c r="G110" i="258" s="1"/>
  <c r="H111" i="258" s="1"/>
  <c r="I112" i="258" s="1"/>
  <c r="G74" i="303"/>
  <c r="C142" i="229"/>
  <c r="D107" i="229"/>
  <c r="J70" i="294"/>
  <c r="C103" i="294" s="1"/>
  <c r="D104" i="294" s="1"/>
  <c r="E105" i="294" s="1"/>
  <c r="F106" i="294" s="1"/>
  <c r="G107" i="294" s="1"/>
  <c r="H108" i="294" s="1"/>
  <c r="I109" i="294" s="1"/>
  <c r="I145" i="294" s="1"/>
  <c r="G73" i="303"/>
  <c r="G70" i="298"/>
  <c r="C151" i="229"/>
  <c r="D116" i="229"/>
  <c r="D152" i="229" s="1"/>
  <c r="H74" i="264"/>
  <c r="H74" i="258"/>
  <c r="H75" i="255"/>
  <c r="H70" i="236"/>
  <c r="H70" i="245"/>
  <c r="H73" i="269"/>
  <c r="I73" i="269" s="1"/>
  <c r="J73" i="269" s="1"/>
  <c r="C106" i="269" s="1"/>
  <c r="H75" i="315"/>
  <c r="I75" i="315" s="1"/>
  <c r="H71" i="274"/>
  <c r="I71" i="274" s="1"/>
  <c r="J71" i="274" s="1"/>
  <c r="C104" i="274" s="1"/>
  <c r="C140" i="274" s="1"/>
  <c r="E113" i="230"/>
  <c r="D148" i="230"/>
  <c r="H82" i="255"/>
  <c r="H80" i="247"/>
  <c r="H82" i="243"/>
  <c r="H79" i="245"/>
  <c r="H82" i="281"/>
  <c r="H82" i="239"/>
  <c r="H80" i="285"/>
  <c r="H80" i="256"/>
  <c r="H80" i="249"/>
  <c r="H79" i="274"/>
  <c r="H83" i="232"/>
  <c r="H79" i="268"/>
  <c r="H82" i="235"/>
  <c r="H79" i="244"/>
  <c r="I79" i="244" s="1"/>
  <c r="J79" i="244" s="1"/>
  <c r="C112" i="244" s="1"/>
  <c r="D113" i="244" s="1"/>
  <c r="H82" i="261"/>
  <c r="H82" i="301"/>
  <c r="H83" i="240"/>
  <c r="H83" i="295"/>
  <c r="H81" i="308"/>
  <c r="H77" i="309"/>
  <c r="H78" i="240"/>
  <c r="H78" i="283"/>
  <c r="I78" i="283" s="1"/>
  <c r="J78" i="283" s="1"/>
  <c r="C111" i="283" s="1"/>
  <c r="C147" i="283" s="1"/>
  <c r="H78" i="253"/>
  <c r="H78" i="301"/>
  <c r="H76" i="245"/>
  <c r="H76" i="254"/>
  <c r="I76" i="254" s="1"/>
  <c r="J76" i="254" s="1"/>
  <c r="C109" i="254" s="1"/>
  <c r="C145" i="254" s="1"/>
  <c r="H76" i="308"/>
  <c r="H71" i="240"/>
  <c r="H72" i="234"/>
  <c r="H70" i="290"/>
  <c r="H72" i="282"/>
  <c r="H70" i="246"/>
  <c r="H71" i="277"/>
  <c r="I71" i="277" s="1"/>
  <c r="H71" i="288"/>
  <c r="H75" i="308"/>
  <c r="H74" i="265"/>
  <c r="H75" i="245"/>
  <c r="I75" i="245" s="1"/>
  <c r="J75" i="245" s="1"/>
  <c r="C108" i="245" s="1"/>
  <c r="H74" i="231"/>
  <c r="H71" i="316"/>
  <c r="H75" i="272"/>
  <c r="H70" i="314"/>
  <c r="H71" i="281"/>
  <c r="H72" i="259"/>
  <c r="H72" i="274"/>
  <c r="H72" i="279"/>
  <c r="I72" i="279" s="1"/>
  <c r="H74" i="259"/>
  <c r="H74" i="276"/>
  <c r="I74" i="276" s="1"/>
  <c r="H74" i="233"/>
  <c r="H71" i="250"/>
  <c r="H80" i="255"/>
  <c r="H79" i="243"/>
  <c r="I79" i="243" s="1"/>
  <c r="J79" i="243" s="1"/>
  <c r="C112" i="243" s="1"/>
  <c r="H79" i="231"/>
  <c r="H83" i="288"/>
  <c r="I83" i="288" s="1"/>
  <c r="J83" i="288" s="1"/>
  <c r="C116" i="288" s="1"/>
  <c r="C152" i="288" s="1"/>
  <c r="H80" i="304"/>
  <c r="H80" i="248"/>
  <c r="I80" i="248" s="1"/>
  <c r="J80" i="248" s="1"/>
  <c r="C113" i="248" s="1"/>
  <c r="H77" i="234"/>
  <c r="H76" i="239"/>
  <c r="H76" i="297"/>
  <c r="H70" i="277"/>
  <c r="I70" i="277" s="1"/>
  <c r="H73" i="251"/>
  <c r="H70" i="244"/>
  <c r="H72" i="245"/>
  <c r="H73" i="312"/>
  <c r="H75" i="280"/>
  <c r="I75" i="280" s="1"/>
  <c r="H73" i="249"/>
  <c r="H81" i="255"/>
  <c r="H82" i="234"/>
  <c r="I82" i="234" s="1"/>
  <c r="J82" i="234" s="1"/>
  <c r="C115" i="234" s="1"/>
  <c r="H81" i="259"/>
  <c r="H82" i="284"/>
  <c r="I82" i="284" s="1"/>
  <c r="J82" i="284" s="1"/>
  <c r="C115" i="284" s="1"/>
  <c r="C151" i="284" s="1"/>
  <c r="H82" i="283"/>
  <c r="H83" i="301"/>
  <c r="H83" i="291"/>
  <c r="H80" i="308"/>
  <c r="H77" i="241"/>
  <c r="H70" i="315"/>
  <c r="I70" i="315" s="1"/>
  <c r="C147" i="229"/>
  <c r="D112" i="229"/>
  <c r="C140" i="229"/>
  <c r="D105" i="229"/>
  <c r="J75" i="267"/>
  <c r="C108" i="267" s="1"/>
  <c r="D109" i="267" s="1"/>
  <c r="E110" i="267" s="1"/>
  <c r="F111" i="267" s="1"/>
  <c r="G112" i="267" s="1"/>
  <c r="H113" i="267" s="1"/>
  <c r="I114" i="267" s="1"/>
  <c r="J71" i="290"/>
  <c r="C104" i="290" s="1"/>
  <c r="D105" i="290" s="1"/>
  <c r="E106" i="290" s="1"/>
  <c r="F107" i="290" s="1"/>
  <c r="G108" i="290" s="1"/>
  <c r="H109" i="290" s="1"/>
  <c r="I110" i="290" s="1"/>
  <c r="I146" i="290" s="1"/>
  <c r="J75" i="293"/>
  <c r="C108" i="293" s="1"/>
  <c r="D109" i="293" s="1"/>
  <c r="E110" i="293" s="1"/>
  <c r="F111" i="293" s="1"/>
  <c r="G112" i="293" s="1"/>
  <c r="H113" i="293" s="1"/>
  <c r="I114" i="293" s="1"/>
  <c r="J75" i="271"/>
  <c r="C108" i="271" s="1"/>
  <c r="D109" i="271" s="1"/>
  <c r="E110" i="271" s="1"/>
  <c r="F111" i="271" s="1"/>
  <c r="G112" i="271" s="1"/>
  <c r="H113" i="271" s="1"/>
  <c r="I114" i="271" s="1"/>
  <c r="J73" i="280"/>
  <c r="C106" i="280" s="1"/>
  <c r="D107" i="280" s="1"/>
  <c r="E108" i="280" s="1"/>
  <c r="F109" i="280" s="1"/>
  <c r="G110" i="280" s="1"/>
  <c r="H111" i="280" s="1"/>
  <c r="I112" i="280" s="1"/>
  <c r="J73" i="262"/>
  <c r="C106" i="262" s="1"/>
  <c r="D107" i="262" s="1"/>
  <c r="E108" i="262" s="1"/>
  <c r="F109" i="262" s="1"/>
  <c r="G110" i="262" s="1"/>
  <c r="H111" i="262" s="1"/>
  <c r="I112" i="262" s="1"/>
  <c r="J72" i="284"/>
  <c r="C105" i="284" s="1"/>
  <c r="D106" i="284" s="1"/>
  <c r="E107" i="284" s="1"/>
  <c r="F108" i="284" s="1"/>
  <c r="G109" i="284" s="1"/>
  <c r="H110" i="284" s="1"/>
  <c r="I111" i="284" s="1"/>
  <c r="G72" i="298"/>
  <c r="H72" i="298" s="1"/>
  <c r="I72" i="298" s="1"/>
  <c r="H81" i="315"/>
  <c r="I81" i="315" s="1"/>
  <c r="H81" i="241"/>
  <c r="I81" i="241" s="1"/>
  <c r="J81" i="241" s="1"/>
  <c r="C114" i="241" s="1"/>
  <c r="D115" i="241" s="1"/>
  <c r="H81" i="247"/>
  <c r="H83" i="243"/>
  <c r="H81" i="245"/>
  <c r="H81" i="316"/>
  <c r="H83" i="311"/>
  <c r="H83" i="239"/>
  <c r="H83" i="304"/>
  <c r="H81" i="234"/>
  <c r="I81" i="234" s="1"/>
  <c r="J81" i="234" s="1"/>
  <c r="C114" i="234" s="1"/>
  <c r="D115" i="234" s="1"/>
  <c r="H81" i="256"/>
  <c r="H83" i="259"/>
  <c r="H82" i="276"/>
  <c r="I82" i="276" s="1"/>
  <c r="H83" i="233"/>
  <c r="I83" i="233" s="1"/>
  <c r="J83" i="233" s="1"/>
  <c r="C116" i="233" s="1"/>
  <c r="C152" i="233" s="1"/>
  <c r="H82" i="232"/>
  <c r="H81" i="268"/>
  <c r="H81" i="251"/>
  <c r="H81" i="244"/>
  <c r="I81" i="244" s="1"/>
  <c r="J81" i="244" s="1"/>
  <c r="C114" i="244" s="1"/>
  <c r="D115" i="244" s="1"/>
  <c r="H80" i="280"/>
  <c r="I80" i="280" s="1"/>
  <c r="H83" i="282"/>
  <c r="H79" i="261"/>
  <c r="H82" i="252"/>
  <c r="I82" i="252" s="1"/>
  <c r="J82" i="252" s="1"/>
  <c r="C115" i="252" s="1"/>
  <c r="H79" i="246"/>
  <c r="H79" i="258"/>
  <c r="H79" i="301"/>
  <c r="H79" i="278"/>
  <c r="H80" i="291"/>
  <c r="H80" i="240"/>
  <c r="H80" i="286"/>
  <c r="H80" i="312"/>
  <c r="H80" i="295"/>
  <c r="H82" i="262"/>
  <c r="H79" i="254"/>
  <c r="H82" i="308"/>
  <c r="H78" i="234"/>
  <c r="H77" i="272"/>
  <c r="H76" i="242"/>
  <c r="H76" i="307"/>
  <c r="H76" i="288"/>
  <c r="H76" i="309"/>
  <c r="H78" i="285"/>
  <c r="H78" i="247"/>
  <c r="I78" i="247" s="1"/>
  <c r="J78" i="247" s="1"/>
  <c r="C111" i="247" s="1"/>
  <c r="H76" i="240"/>
  <c r="H76" i="316"/>
  <c r="H76" i="249"/>
  <c r="H76" i="274"/>
  <c r="I76" i="274" s="1"/>
  <c r="J76" i="274" s="1"/>
  <c r="C109" i="274" s="1"/>
  <c r="H78" i="284"/>
  <c r="H76" i="283"/>
  <c r="H78" i="260"/>
  <c r="H77" i="235"/>
  <c r="I77" i="235" s="1"/>
  <c r="J77" i="235" s="1"/>
  <c r="C110" i="235" s="1"/>
  <c r="D111" i="235" s="1"/>
  <c r="H76" i="253"/>
  <c r="H77" i="278"/>
  <c r="I77" i="278" s="1"/>
  <c r="H76" i="265"/>
  <c r="H78" i="289"/>
  <c r="I78" i="289" s="1"/>
  <c r="J78" i="289" s="1"/>
  <c r="C111" i="289" s="1"/>
  <c r="H77" i="297"/>
  <c r="H76" i="295"/>
  <c r="H77" i="254"/>
  <c r="H78" i="293"/>
  <c r="H74" i="291"/>
  <c r="H75" i="254"/>
  <c r="I75" i="254" s="1"/>
  <c r="J75" i="254" s="1"/>
  <c r="C108" i="254" s="1"/>
  <c r="H70" i="285"/>
  <c r="H70" i="237"/>
  <c r="H70" i="289"/>
  <c r="H73" i="255"/>
  <c r="I73" i="255" s="1"/>
  <c r="J73" i="255" s="1"/>
  <c r="C106" i="255" s="1"/>
  <c r="D107" i="255" s="1"/>
  <c r="H74" i="241"/>
  <c r="H71" i="234"/>
  <c r="H72" i="278"/>
  <c r="I72" i="278" s="1"/>
  <c r="H70" i="284"/>
  <c r="I70" i="284" s="1"/>
  <c r="J70" i="284" s="1"/>
  <c r="C103" i="284" s="1"/>
  <c r="H73" i="282"/>
  <c r="H74" i="246"/>
  <c r="H73" i="305"/>
  <c r="H71" i="283"/>
  <c r="I71" i="283" s="1"/>
  <c r="J71" i="283" s="1"/>
  <c r="C104" i="283" s="1"/>
  <c r="H73" i="268"/>
  <c r="H75" i="260"/>
  <c r="H70" i="251"/>
  <c r="H72" i="235"/>
  <c r="I72" i="235" s="1"/>
  <c r="J72" i="235" s="1"/>
  <c r="C105" i="235" s="1"/>
  <c r="D106" i="235" s="1"/>
  <c r="H72" i="244"/>
  <c r="H71" i="311"/>
  <c r="H70" i="288"/>
  <c r="H72" i="239"/>
  <c r="I72" i="239" s="1"/>
  <c r="J72" i="239" s="1"/>
  <c r="C105" i="239" s="1"/>
  <c r="H70" i="293"/>
  <c r="H75" i="265"/>
  <c r="H73" i="231"/>
  <c r="H74" i="312"/>
  <c r="H71" i="272"/>
  <c r="H75" i="314"/>
  <c r="H73" i="279"/>
  <c r="I73" i="279" s="1"/>
  <c r="H73" i="266"/>
  <c r="H79" i="255"/>
  <c r="H80" i="279"/>
  <c r="I80" i="279" s="1"/>
  <c r="H80" i="257"/>
  <c r="H79" i="281"/>
  <c r="I79" i="281" s="1"/>
  <c r="J79" i="281" s="1"/>
  <c r="C112" i="281" s="1"/>
  <c r="H83" i="234"/>
  <c r="H82" i="256"/>
  <c r="H80" i="259"/>
  <c r="H83" i="249"/>
  <c r="I83" i="249" s="1"/>
  <c r="J83" i="249" s="1"/>
  <c r="C116" i="249" s="1"/>
  <c r="C152" i="249" s="1"/>
  <c r="H79" i="276"/>
  <c r="I79" i="276" s="1"/>
  <c r="H79" i="233"/>
  <c r="H80" i="232"/>
  <c r="H83" i="283"/>
  <c r="I83" i="283" s="1"/>
  <c r="J83" i="283" s="1"/>
  <c r="C116" i="283" s="1"/>
  <c r="C152" i="283" s="1"/>
  <c r="H82" i="251"/>
  <c r="H82" i="244"/>
  <c r="H82" i="282"/>
  <c r="H82" i="253"/>
  <c r="I82" i="253" s="1"/>
  <c r="J82" i="253" s="1"/>
  <c r="C115" i="253" s="1"/>
  <c r="H81" i="246"/>
  <c r="H81" i="278"/>
  <c r="I81" i="278" s="1"/>
  <c r="H81" i="291"/>
  <c r="H81" i="295"/>
  <c r="H81" i="254"/>
  <c r="H83" i="308"/>
  <c r="H77" i="256"/>
  <c r="H77" i="247"/>
  <c r="I77" i="247" s="1"/>
  <c r="J77" i="247" s="1"/>
  <c r="C110" i="247" s="1"/>
  <c r="H77" i="259"/>
  <c r="H76" i="233"/>
  <c r="H76" i="280"/>
  <c r="I76" i="280" s="1"/>
  <c r="H77" i="261"/>
  <c r="I77" i="261" s="1"/>
  <c r="J77" i="261" s="1"/>
  <c r="C110" i="261" s="1"/>
  <c r="H78" i="252"/>
  <c r="H77" i="255"/>
  <c r="H78" i="279"/>
  <c r="I78" i="279" s="1"/>
  <c r="H78" i="265"/>
  <c r="I78" i="265" s="1"/>
  <c r="J78" i="265" s="1"/>
  <c r="C111" i="265" s="1"/>
  <c r="H78" i="262"/>
  <c r="H72" i="291"/>
  <c r="H73" i="254"/>
  <c r="H73" i="285"/>
  <c r="I73" i="285" s="1"/>
  <c r="J73" i="285" s="1"/>
  <c r="C106" i="285" s="1"/>
  <c r="H72" i="285"/>
  <c r="H72" i="261"/>
  <c r="H71" i="286"/>
  <c r="H73" i="234"/>
  <c r="I73" i="234" s="1"/>
  <c r="J73" i="234" s="1"/>
  <c r="C106" i="234" s="1"/>
  <c r="H74" i="278"/>
  <c r="I74" i="278" s="1"/>
  <c r="H74" i="284"/>
  <c r="H70" i="282"/>
  <c r="H73" i="283"/>
  <c r="I73" i="283" s="1"/>
  <c r="J73" i="283" s="1"/>
  <c r="C106" i="283" s="1"/>
  <c r="D107" i="283" s="1"/>
  <c r="H72" i="260"/>
  <c r="H73" i="311"/>
  <c r="H75" i="239"/>
  <c r="H73" i="309"/>
  <c r="H73" i="308"/>
  <c r="H70" i="265"/>
  <c r="H75" i="243"/>
  <c r="H70" i="272"/>
  <c r="H71" i="262"/>
  <c r="H73" i="276"/>
  <c r="H73" i="233"/>
  <c r="H72" i="250"/>
  <c r="H83" i="315"/>
  <c r="I83" i="315" s="1"/>
  <c r="H83" i="269"/>
  <c r="I83" i="269" s="1"/>
  <c r="J83" i="269" s="1"/>
  <c r="C116" i="269" s="1"/>
  <c r="C152" i="269" s="1"/>
  <c r="H83" i="272"/>
  <c r="H81" i="311"/>
  <c r="H81" i="239"/>
  <c r="H83" i="285"/>
  <c r="I83" i="285" s="1"/>
  <c r="J83" i="285" s="1"/>
  <c r="C116" i="285" s="1"/>
  <c r="C152" i="285" s="1"/>
  <c r="H82" i="274"/>
  <c r="H81" i="260"/>
  <c r="H83" i="244"/>
  <c r="H82" i="280"/>
  <c r="I82" i="280" s="1"/>
  <c r="H83" i="261"/>
  <c r="H79" i="252"/>
  <c r="I79" i="252" s="1"/>
  <c r="J79" i="252" s="1"/>
  <c r="C112" i="252" s="1"/>
  <c r="H79" i="271"/>
  <c r="H82" i="312"/>
  <c r="H79" i="262"/>
  <c r="H79" i="293"/>
  <c r="H77" i="281"/>
  <c r="H78" i="288"/>
  <c r="H78" i="309"/>
  <c r="H78" i="248"/>
  <c r="I78" i="248" s="1"/>
  <c r="J78" i="248" s="1"/>
  <c r="C111" i="248" s="1"/>
  <c r="H76" i="284"/>
  <c r="H76" i="235"/>
  <c r="H78" i="255"/>
  <c r="H77" i="243"/>
  <c r="I77" i="243" s="1"/>
  <c r="J77" i="243" s="1"/>
  <c r="C110" i="243" s="1"/>
  <c r="H78" i="231"/>
  <c r="H77" i="286"/>
  <c r="H78" i="312"/>
  <c r="H75" i="291"/>
  <c r="H74" i="240"/>
  <c r="H74" i="261"/>
  <c r="H73" i="241"/>
  <c r="H71" i="282"/>
  <c r="H75" i="283"/>
  <c r="H73" i="244"/>
  <c r="I73" i="244" s="1"/>
  <c r="J73" i="244" s="1"/>
  <c r="C106" i="244" s="1"/>
  <c r="H71" i="265"/>
  <c r="H71" i="248"/>
  <c r="H70" i="316"/>
  <c r="H73" i="272"/>
  <c r="I73" i="272" s="1"/>
  <c r="J73" i="272" s="1"/>
  <c r="C106" i="272" s="1"/>
  <c r="H74" i="295"/>
  <c r="H74" i="314"/>
  <c r="H72" i="267"/>
  <c r="H71" i="276"/>
  <c r="H71" i="233"/>
  <c r="H71" i="266"/>
  <c r="H79" i="315"/>
  <c r="I79" i="315" s="1"/>
  <c r="H80" i="241"/>
  <c r="I80" i="241" s="1"/>
  <c r="J80" i="241" s="1"/>
  <c r="C113" i="241" s="1"/>
  <c r="D114" i="241" s="1"/>
  <c r="H83" i="279"/>
  <c r="I83" i="279" s="1"/>
  <c r="H79" i="247"/>
  <c r="H79" i="269"/>
  <c r="H80" i="272"/>
  <c r="I80" i="272" s="1"/>
  <c r="J80" i="272" s="1"/>
  <c r="C113" i="272" s="1"/>
  <c r="H80" i="245"/>
  <c r="H82" i="231"/>
  <c r="H79" i="316"/>
  <c r="H82" i="311"/>
  <c r="H79" i="288"/>
  <c r="H80" i="309"/>
  <c r="H82" i="304"/>
  <c r="H79" i="285"/>
  <c r="I79" i="285" s="1"/>
  <c r="J79" i="285" s="1"/>
  <c r="C112" i="285" s="1"/>
  <c r="H79" i="234"/>
  <c r="H79" i="256"/>
  <c r="H82" i="259"/>
  <c r="H79" i="249"/>
  <c r="I79" i="249" s="1"/>
  <c r="J79" i="249" s="1"/>
  <c r="C112" i="249" s="1"/>
  <c r="D113" i="249" s="1"/>
  <c r="H80" i="274"/>
  <c r="H82" i="233"/>
  <c r="H79" i="284"/>
  <c r="H80" i="283"/>
  <c r="I80" i="283" s="1"/>
  <c r="J80" i="283" s="1"/>
  <c r="C113" i="283" s="1"/>
  <c r="H80" i="268"/>
  <c r="H83" i="260"/>
  <c r="H79" i="251"/>
  <c r="H80" i="244"/>
  <c r="I80" i="244" s="1"/>
  <c r="J80" i="244" s="1"/>
  <c r="C113" i="244" s="1"/>
  <c r="H81" i="282"/>
  <c r="H81" i="253"/>
  <c r="H83" i="246"/>
  <c r="H83" i="278"/>
  <c r="H82" i="291"/>
  <c r="H82" i="286"/>
  <c r="H83" i="312"/>
  <c r="H81" i="262"/>
  <c r="I81" i="262" s="1"/>
  <c r="J81" i="262" s="1"/>
  <c r="C114" i="262" s="1"/>
  <c r="C150" i="262" s="1"/>
  <c r="H81" i="293"/>
  <c r="H77" i="315"/>
  <c r="I77" i="315" s="1"/>
  <c r="H77" i="288"/>
  <c r="H77" i="285"/>
  <c r="I77" i="285" s="1"/>
  <c r="J77" i="285" s="1"/>
  <c r="C110" i="285" s="1"/>
  <c r="H77" i="291"/>
  <c r="H78" i="249"/>
  <c r="H77" i="284"/>
  <c r="H76" i="268"/>
  <c r="I76" i="268" s="1"/>
  <c r="J76" i="268" s="1"/>
  <c r="C109" i="268" s="1"/>
  <c r="C145" i="268" s="1"/>
  <c r="H77" i="244"/>
  <c r="H78" i="280"/>
  <c r="H78" i="261"/>
  <c r="H76" i="252"/>
  <c r="H76" i="258"/>
  <c r="H76" i="255"/>
  <c r="I76" i="255" s="1"/>
  <c r="J76" i="255" s="1"/>
  <c r="C109" i="255" s="1"/>
  <c r="C145" i="255" s="1"/>
  <c r="H77" i="279"/>
  <c r="I77" i="279" s="1"/>
  <c r="H76" i="286"/>
  <c r="H78" i="295"/>
  <c r="H76" i="293"/>
  <c r="H71" i="291"/>
  <c r="H75" i="240"/>
  <c r="H71" i="254"/>
  <c r="H70" i="261"/>
  <c r="I70" i="261" s="1"/>
  <c r="J70" i="261" s="1"/>
  <c r="C103" i="261" s="1"/>
  <c r="C139" i="261" s="1"/>
  <c r="J139" i="261" s="1"/>
  <c r="C159" i="261" s="1"/>
  <c r="H72" i="255"/>
  <c r="H70" i="278"/>
  <c r="I70" i="278" s="1"/>
  <c r="H75" i="232"/>
  <c r="H74" i="236"/>
  <c r="I74" i="236" s="1"/>
  <c r="J74" i="236" s="1"/>
  <c r="C107" i="236" s="1"/>
  <c r="D108" i="236" s="1"/>
  <c r="H74" i="282"/>
  <c r="H74" i="253"/>
  <c r="H73" i="246"/>
  <c r="H72" i="283"/>
  <c r="I72" i="283" s="1"/>
  <c r="J72" i="283" s="1"/>
  <c r="C105" i="283" s="1"/>
  <c r="H72" i="268"/>
  <c r="H71" i="251"/>
  <c r="H71" i="244"/>
  <c r="H70" i="311"/>
  <c r="H70" i="239"/>
  <c r="H73" i="265"/>
  <c r="H72" i="265"/>
  <c r="H71" i="245"/>
  <c r="I71" i="245" s="1"/>
  <c r="J71" i="245" s="1"/>
  <c r="C104" i="245" s="1"/>
  <c r="D105" i="245" s="1"/>
  <c r="H75" i="231"/>
  <c r="H75" i="316"/>
  <c r="H70" i="312"/>
  <c r="H73" i="243"/>
  <c r="I73" i="243" s="1"/>
  <c r="J73" i="243" s="1"/>
  <c r="C106" i="243" s="1"/>
  <c r="H74" i="272"/>
  <c r="H73" i="281"/>
  <c r="H73" i="259"/>
  <c r="H74" i="249"/>
  <c r="H75" i="276"/>
  <c r="I75" i="276" s="1"/>
  <c r="H75" i="274"/>
  <c r="I75" i="274" s="1"/>
  <c r="J75" i="274" s="1"/>
  <c r="C108" i="274" s="1"/>
  <c r="H75" i="233"/>
  <c r="H74" i="301"/>
  <c r="H74" i="266"/>
  <c r="H74" i="267"/>
  <c r="I74" i="267" s="1"/>
  <c r="J74" i="267" s="1"/>
  <c r="C107" i="267" s="1"/>
  <c r="C143" i="267" s="1"/>
  <c r="H70" i="259"/>
  <c r="H71" i="249"/>
  <c r="H72" i="276"/>
  <c r="I72" i="276" s="1"/>
  <c r="H70" i="274"/>
  <c r="I70" i="274" s="1"/>
  <c r="J70" i="274" s="1"/>
  <c r="C103" i="274" s="1"/>
  <c r="H72" i="233"/>
  <c r="H79" i="279"/>
  <c r="I79" i="279" s="1"/>
  <c r="H82" i="269"/>
  <c r="H82" i="272"/>
  <c r="I82" i="272" s="1"/>
  <c r="J82" i="272" s="1"/>
  <c r="C115" i="272" s="1"/>
  <c r="C151" i="272" s="1"/>
  <c r="H80" i="231"/>
  <c r="H82" i="316"/>
  <c r="H79" i="311"/>
  <c r="H80" i="239"/>
  <c r="H83" i="309"/>
  <c r="H82" i="285"/>
  <c r="I82" i="285" s="1"/>
  <c r="J82" i="285" s="1"/>
  <c r="C115" i="285" s="1"/>
  <c r="D116" i="285" s="1"/>
  <c r="D152" i="285" s="1"/>
  <c r="H80" i="236"/>
  <c r="H79" i="248"/>
  <c r="H83" i="268"/>
  <c r="H79" i="235"/>
  <c r="I79" i="235" s="1"/>
  <c r="J79" i="235" s="1"/>
  <c r="C112" i="235" s="1"/>
  <c r="H81" i="301"/>
  <c r="H81" i="312"/>
  <c r="H78" i="257"/>
  <c r="H76" i="311"/>
  <c r="H77" i="260"/>
  <c r="H77" i="231"/>
  <c r="I77" i="231" s="1"/>
  <c r="J77" i="231" s="1"/>
  <c r="C110" i="231" s="1"/>
  <c r="H71" i="264"/>
  <c r="H75" i="241"/>
  <c r="H71" i="284"/>
  <c r="H73" i="236"/>
  <c r="H74" i="268"/>
  <c r="H74" i="260"/>
  <c r="H75" i="235"/>
  <c r="H75" i="244"/>
  <c r="I75" i="244" s="1"/>
  <c r="J75" i="244" s="1"/>
  <c r="C108" i="244" s="1"/>
  <c r="C144" i="244" s="1"/>
  <c r="H75" i="309"/>
  <c r="H70" i="242"/>
  <c r="H72" i="316"/>
  <c r="H72" i="312"/>
  <c r="H71" i="314"/>
  <c r="H75" i="281"/>
  <c r="I75" i="281" s="1"/>
  <c r="J75" i="281" s="1"/>
  <c r="C108" i="281" s="1"/>
  <c r="H73" i="301"/>
  <c r="H72" i="266"/>
  <c r="H82" i="241"/>
  <c r="H81" i="231"/>
  <c r="I81" i="231" s="1"/>
  <c r="J81" i="231" s="1"/>
  <c r="C114" i="231" s="1"/>
  <c r="D115" i="231" s="1"/>
  <c r="H81" i="304"/>
  <c r="H81" i="266"/>
  <c r="H81" i="236"/>
  <c r="H82" i="249"/>
  <c r="I82" i="249" s="1"/>
  <c r="J82" i="249" s="1"/>
  <c r="C115" i="249" s="1"/>
  <c r="D116" i="249" s="1"/>
  <c r="D152" i="249" s="1"/>
  <c r="H81" i="233"/>
  <c r="H81" i="232"/>
  <c r="H81" i="235"/>
  <c r="H80" i="282"/>
  <c r="H80" i="252"/>
  <c r="H82" i="278"/>
  <c r="H79" i="250"/>
  <c r="H82" i="240"/>
  <c r="H79" i="297"/>
  <c r="H80" i="293"/>
  <c r="H79" i="308"/>
  <c r="H78" i="256"/>
  <c r="H76" i="257"/>
  <c r="H77" i="304"/>
  <c r="H76" i="247"/>
  <c r="H78" i="269"/>
  <c r="H76" i="259"/>
  <c r="H78" i="276"/>
  <c r="H77" i="233"/>
  <c r="H77" i="268"/>
  <c r="H77" i="280"/>
  <c r="I77" i="280" s="1"/>
  <c r="H76" i="246"/>
  <c r="I76" i="246" s="1"/>
  <c r="J76" i="246" s="1"/>
  <c r="C109" i="246" s="1"/>
  <c r="H77" i="295"/>
  <c r="H78" i="254"/>
  <c r="H74" i="254"/>
  <c r="H72" i="289"/>
  <c r="I72" i="289" s="1"/>
  <c r="J72" i="289" s="1"/>
  <c r="C105" i="289" s="1"/>
  <c r="H70" i="286"/>
  <c r="H74" i="232"/>
  <c r="H73" i="304"/>
  <c r="H73" i="253"/>
  <c r="H75" i="246"/>
  <c r="H75" i="268"/>
  <c r="I75" i="268" s="1"/>
  <c r="J75" i="268" s="1"/>
  <c r="C108" i="268" s="1"/>
  <c r="H75" i="311"/>
  <c r="H73" i="288"/>
  <c r="H73" i="293"/>
  <c r="H73" i="316"/>
  <c r="H70" i="295"/>
  <c r="H70" i="250"/>
  <c r="H80" i="237"/>
  <c r="H76" i="237"/>
  <c r="I76" i="237" s="1"/>
  <c r="J76" i="237" s="1"/>
  <c r="C109" i="237" s="1"/>
  <c r="H75" i="237"/>
  <c r="H78" i="237"/>
  <c r="H82" i="237"/>
  <c r="I82" i="237" s="1"/>
  <c r="J82" i="237" s="1"/>
  <c r="C115" i="237" s="1"/>
  <c r="H72" i="237"/>
  <c r="C144" i="263"/>
  <c r="D109" i="263"/>
  <c r="D107" i="263"/>
  <c r="C142" i="263"/>
  <c r="H81" i="303"/>
  <c r="H82" i="303"/>
  <c r="H83" i="303"/>
  <c r="C151" i="264"/>
  <c r="D152" i="264"/>
  <c r="C148" i="264"/>
  <c r="C148" i="267"/>
  <c r="C150" i="264"/>
  <c r="C147" i="264"/>
  <c r="D148" i="264"/>
  <c r="C147" i="271"/>
  <c r="D148" i="271"/>
  <c r="C147" i="245"/>
  <c r="D148" i="245"/>
  <c r="H78" i="303"/>
  <c r="H76" i="303"/>
  <c r="C146" i="264"/>
  <c r="H77" i="303"/>
  <c r="E145" i="269"/>
  <c r="G145" i="258"/>
  <c r="C71" i="297"/>
  <c r="F71" i="297" s="1"/>
  <c r="L172" i="297"/>
  <c r="C71" i="301"/>
  <c r="F71" i="301" s="1"/>
  <c r="G71" i="301" s="1"/>
  <c r="L172" i="301"/>
  <c r="C71" i="302"/>
  <c r="F71" i="302" s="1"/>
  <c r="L172" i="302"/>
  <c r="C71" i="299"/>
  <c r="F71" i="299" s="1"/>
  <c r="G71" i="299" s="1"/>
  <c r="L172" i="299"/>
  <c r="C71" i="307"/>
  <c r="F71" i="307" s="1"/>
  <c r="L172" i="307"/>
  <c r="C71" i="263"/>
  <c r="F71" i="263" s="1"/>
  <c r="L172" i="263"/>
  <c r="C72" i="307"/>
  <c r="F72" i="307" s="1"/>
  <c r="G72" i="307" s="1"/>
  <c r="M172" i="307"/>
  <c r="C70" i="296"/>
  <c r="F70" i="296" s="1"/>
  <c r="G70" i="296" s="1"/>
  <c r="K172" i="296"/>
  <c r="C72" i="305"/>
  <c r="F72" i="305" s="1"/>
  <c r="M172" i="305"/>
  <c r="C72" i="300"/>
  <c r="F72" i="300" s="1"/>
  <c r="M172" i="300"/>
  <c r="C71" i="306"/>
  <c r="F71" i="306" s="1"/>
  <c r="L172" i="306"/>
  <c r="C72" i="270"/>
  <c r="F72" i="270" s="1"/>
  <c r="G72" i="270" s="1"/>
  <c r="M172" i="270"/>
  <c r="C70" i="263"/>
  <c r="F70" i="263" s="1"/>
  <c r="K172" i="263"/>
  <c r="C72" i="297"/>
  <c r="F72" i="297" s="1"/>
  <c r="M172" i="297"/>
  <c r="C72" i="302"/>
  <c r="F72" i="302" s="1"/>
  <c r="M172" i="302"/>
  <c r="C70" i="299"/>
  <c r="F70" i="299" s="1"/>
  <c r="G70" i="299" s="1"/>
  <c r="K172" i="299"/>
  <c r="C70" i="301"/>
  <c r="F70" i="301" s="1"/>
  <c r="K172" i="301"/>
  <c r="C70" i="297"/>
  <c r="F70" i="297" s="1"/>
  <c r="K172" i="297"/>
  <c r="C70" i="302"/>
  <c r="F70" i="302" s="1"/>
  <c r="K172" i="302"/>
  <c r="C72" i="299"/>
  <c r="F72" i="299" s="1"/>
  <c r="M172" i="299"/>
  <c r="C72" i="301"/>
  <c r="F72" i="301" s="1"/>
  <c r="M172" i="301"/>
  <c r="C70" i="304"/>
  <c r="F70" i="304" s="1"/>
  <c r="K172" i="304"/>
  <c r="C70" i="308"/>
  <c r="F70" i="308" s="1"/>
  <c r="K172" i="308"/>
  <c r="C71" i="270"/>
  <c r="F71" i="270" s="1"/>
  <c r="L172" i="270"/>
  <c r="C70" i="270"/>
  <c r="F70" i="270" s="1"/>
  <c r="K172" i="270"/>
  <c r="C71" i="304"/>
  <c r="F71" i="304" s="1"/>
  <c r="L172" i="304"/>
  <c r="C72" i="304"/>
  <c r="F72" i="304" s="1"/>
  <c r="M172" i="304"/>
  <c r="C70" i="305"/>
  <c r="F70" i="305" s="1"/>
  <c r="G70" i="305" s="1"/>
  <c r="K172" i="305"/>
  <c r="C70" i="306"/>
  <c r="F70" i="306" s="1"/>
  <c r="K172" i="306"/>
  <c r="C72" i="263"/>
  <c r="F72" i="263" s="1"/>
  <c r="G72" i="263" s="1"/>
  <c r="M172" i="263"/>
  <c r="C72" i="308"/>
  <c r="F72" i="308" s="1"/>
  <c r="M172" i="308"/>
  <c r="C70" i="300"/>
  <c r="F70" i="300" s="1"/>
  <c r="K172" i="300"/>
  <c r="C71" i="296"/>
  <c r="F71" i="296" s="1"/>
  <c r="G71" i="296" s="1"/>
  <c r="L172" i="296"/>
  <c r="C71" i="308"/>
  <c r="F71" i="308" s="1"/>
  <c r="L172" i="308"/>
  <c r="C71" i="300"/>
  <c r="F71" i="300" s="1"/>
  <c r="L172" i="300"/>
  <c r="C72" i="306"/>
  <c r="F72" i="306" s="1"/>
  <c r="M172" i="306"/>
  <c r="C72" i="296"/>
  <c r="F72" i="296" s="1"/>
  <c r="G72" i="296" s="1"/>
  <c r="M172" i="296"/>
  <c r="C71" i="305"/>
  <c r="F71" i="305" s="1"/>
  <c r="G71" i="305" s="1"/>
  <c r="L172" i="305"/>
  <c r="C70" i="307"/>
  <c r="F70" i="307" s="1"/>
  <c r="G70" i="307" s="1"/>
  <c r="K172" i="307"/>
  <c r="D139" i="263"/>
  <c r="D139" i="315"/>
  <c r="D139" i="288"/>
  <c r="D139" i="307"/>
  <c r="D139" i="254"/>
  <c r="D139" i="314"/>
  <c r="D139" i="234"/>
  <c r="D139" i="250"/>
  <c r="D139" i="257"/>
  <c r="D139" i="256"/>
  <c r="D139" i="284"/>
  <c r="D139" i="298"/>
  <c r="D139" i="237"/>
  <c r="J172" i="303"/>
  <c r="D139" i="290"/>
  <c r="C141" i="258"/>
  <c r="C143" i="269"/>
  <c r="D144" i="269"/>
  <c r="C148" i="296" l="1"/>
  <c r="C149" i="305"/>
  <c r="D109" i="301"/>
  <c r="D145" i="301" s="1"/>
  <c r="C145" i="301"/>
  <c r="D116" i="300"/>
  <c r="D152" i="300" s="1"/>
  <c r="C148" i="299"/>
  <c r="C151" i="292"/>
  <c r="C144" i="306"/>
  <c r="C147" i="307"/>
  <c r="D112" i="307"/>
  <c r="D148" i="307" s="1"/>
  <c r="C149" i="298"/>
  <c r="D114" i="298"/>
  <c r="E115" i="298" s="1"/>
  <c r="C144" i="305"/>
  <c r="D109" i="305"/>
  <c r="D145" i="305" s="1"/>
  <c r="D114" i="300"/>
  <c r="E115" i="300" s="1"/>
  <c r="C149" i="300"/>
  <c r="E109" i="302"/>
  <c r="D144" i="302"/>
  <c r="D144" i="296"/>
  <c r="C148" i="314"/>
  <c r="C151" i="302"/>
  <c r="D116" i="302"/>
  <c r="D152" i="302" s="1"/>
  <c r="G110" i="292"/>
  <c r="H111" i="292" s="1"/>
  <c r="I112" i="292" s="1"/>
  <c r="F145" i="292"/>
  <c r="C150" i="296"/>
  <c r="D115" i="296"/>
  <c r="D151" i="296" s="1"/>
  <c r="G110" i="307"/>
  <c r="H111" i="307" s="1"/>
  <c r="I112" i="307" s="1"/>
  <c r="F145" i="307"/>
  <c r="D106" i="314"/>
  <c r="E107" i="314" s="1"/>
  <c r="F108" i="314" s="1"/>
  <c r="G109" i="314" s="1"/>
  <c r="H110" i="314" s="1"/>
  <c r="I111" i="314" s="1"/>
  <c r="C141" i="314"/>
  <c r="D111" i="290"/>
  <c r="E112" i="290" s="1"/>
  <c r="F113" i="290" s="1"/>
  <c r="G114" i="290" s="1"/>
  <c r="H115" i="290" s="1"/>
  <c r="I116" i="290" s="1"/>
  <c r="C146" i="290"/>
  <c r="C150" i="302"/>
  <c r="D115" i="302"/>
  <c r="E116" i="302" s="1"/>
  <c r="E152" i="302" s="1"/>
  <c r="E109" i="307"/>
  <c r="F110" i="307" s="1"/>
  <c r="G111" i="307" s="1"/>
  <c r="H112" i="307" s="1"/>
  <c r="I113" i="307" s="1"/>
  <c r="D144" i="307"/>
  <c r="C150" i="292"/>
  <c r="D116" i="298"/>
  <c r="D152" i="298" s="1"/>
  <c r="C150" i="298"/>
  <c r="C140" i="310"/>
  <c r="D111" i="305"/>
  <c r="E112" i="305" s="1"/>
  <c r="D111" i="301"/>
  <c r="E112" i="301" s="1"/>
  <c r="E113" i="292"/>
  <c r="F114" i="292" s="1"/>
  <c r="G115" i="292" s="1"/>
  <c r="H116" i="292" s="1"/>
  <c r="D148" i="292"/>
  <c r="D116" i="299"/>
  <c r="D152" i="299" s="1"/>
  <c r="C151" i="299"/>
  <c r="E110" i="290"/>
  <c r="F111" i="290" s="1"/>
  <c r="G112" i="290" s="1"/>
  <c r="H113" i="290" s="1"/>
  <c r="I114" i="290" s="1"/>
  <c r="D145" i="290"/>
  <c r="D116" i="305"/>
  <c r="D152" i="305" s="1"/>
  <c r="C151" i="305"/>
  <c r="D114" i="299"/>
  <c r="D150" i="299" s="1"/>
  <c r="C149" i="299"/>
  <c r="C145" i="298"/>
  <c r="D110" i="298"/>
  <c r="E111" i="298" s="1"/>
  <c r="D108" i="298"/>
  <c r="E109" i="298" s="1"/>
  <c r="F110" i="298" s="1"/>
  <c r="G111" i="298" s="1"/>
  <c r="H112" i="298" s="1"/>
  <c r="I113" i="298" s="1"/>
  <c r="C143" i="298"/>
  <c r="D113" i="277"/>
  <c r="E114" i="277" s="1"/>
  <c r="F115" i="277" s="1"/>
  <c r="G116" i="277" s="1"/>
  <c r="C148" i="277"/>
  <c r="D112" i="299"/>
  <c r="D148" i="299" s="1"/>
  <c r="C147" i="299"/>
  <c r="C144" i="302"/>
  <c r="D109" i="302"/>
  <c r="E110" i="302" s="1"/>
  <c r="F111" i="302" s="1"/>
  <c r="G112" i="302" s="1"/>
  <c r="H113" i="302" s="1"/>
  <c r="I114" i="302" s="1"/>
  <c r="D109" i="298"/>
  <c r="C144" i="298"/>
  <c r="D115" i="299"/>
  <c r="D151" i="299" s="1"/>
  <c r="C150" i="299"/>
  <c r="C150" i="307"/>
  <c r="D115" i="307"/>
  <c r="E116" i="307" s="1"/>
  <c r="E152" i="307" s="1"/>
  <c r="D113" i="290"/>
  <c r="E114" i="290" s="1"/>
  <c r="F115" i="290" s="1"/>
  <c r="G116" i="290" s="1"/>
  <c r="C148" i="290"/>
  <c r="D112" i="296"/>
  <c r="C147" i="296"/>
  <c r="E109" i="306"/>
  <c r="D144" i="306"/>
  <c r="D112" i="314"/>
  <c r="E113" i="314" s="1"/>
  <c r="F114" i="314" s="1"/>
  <c r="G115" i="314" s="1"/>
  <c r="H116" i="314" s="1"/>
  <c r="C147" i="314"/>
  <c r="E105" i="310"/>
  <c r="F106" i="310" s="1"/>
  <c r="G107" i="310" s="1"/>
  <c r="H108" i="310" s="1"/>
  <c r="I109" i="310" s="1"/>
  <c r="J104" i="310"/>
  <c r="D107" i="299"/>
  <c r="E108" i="299" s="1"/>
  <c r="F109" i="299" s="1"/>
  <c r="C142" i="299"/>
  <c r="C143" i="296"/>
  <c r="C142" i="306"/>
  <c r="C143" i="307"/>
  <c r="E145" i="296"/>
  <c r="F145" i="306"/>
  <c r="H145" i="292"/>
  <c r="C146" i="294"/>
  <c r="C150" i="290"/>
  <c r="C148" i="306"/>
  <c r="C149" i="310"/>
  <c r="C147" i="310"/>
  <c r="D111" i="302"/>
  <c r="D147" i="302" s="1"/>
  <c r="C143" i="305"/>
  <c r="C143" i="302"/>
  <c r="C140" i="292"/>
  <c r="C151" i="290"/>
  <c r="D109" i="299"/>
  <c r="C144" i="299"/>
  <c r="D109" i="292"/>
  <c r="C144" i="292"/>
  <c r="D110" i="292"/>
  <c r="E111" i="292" s="1"/>
  <c r="F112" i="292" s="1"/>
  <c r="G113" i="292" s="1"/>
  <c r="H114" i="292" s="1"/>
  <c r="I115" i="292" s="1"/>
  <c r="C145" i="292"/>
  <c r="D113" i="292"/>
  <c r="E114" i="292" s="1"/>
  <c r="F115" i="292" s="1"/>
  <c r="G116" i="292" s="1"/>
  <c r="C148" i="292"/>
  <c r="D116" i="310"/>
  <c r="D152" i="310" s="1"/>
  <c r="C151" i="310"/>
  <c r="D116" i="294"/>
  <c r="D152" i="294" s="1"/>
  <c r="C151" i="294"/>
  <c r="D110" i="296"/>
  <c r="E111" i="296" s="1"/>
  <c r="F112" i="296" s="1"/>
  <c r="G113" i="296" s="1"/>
  <c r="H114" i="296" s="1"/>
  <c r="I115" i="296" s="1"/>
  <c r="C145" i="296"/>
  <c r="D113" i="298"/>
  <c r="E114" i="298" s="1"/>
  <c r="C148" i="298"/>
  <c r="D111" i="306"/>
  <c r="E112" i="306" s="1"/>
  <c r="F113" i="306" s="1"/>
  <c r="G114" i="306" s="1"/>
  <c r="H115" i="306" s="1"/>
  <c r="I116" i="306" s="1"/>
  <c r="C146" i="306"/>
  <c r="D113" i="294"/>
  <c r="E114" i="294" s="1"/>
  <c r="F115" i="294" s="1"/>
  <c r="G116" i="294" s="1"/>
  <c r="C148" i="294"/>
  <c r="D112" i="277"/>
  <c r="C147" i="277"/>
  <c r="C147" i="300"/>
  <c r="D112" i="300"/>
  <c r="D148" i="300" s="1"/>
  <c r="D113" i="302"/>
  <c r="E114" i="302" s="1"/>
  <c r="C148" i="302"/>
  <c r="D113" i="305"/>
  <c r="E114" i="305" s="1"/>
  <c r="F115" i="305" s="1"/>
  <c r="G116" i="305" s="1"/>
  <c r="C148" i="305"/>
  <c r="D110" i="310"/>
  <c r="E111" i="310" s="1"/>
  <c r="F112" i="310" s="1"/>
  <c r="G113" i="310" s="1"/>
  <c r="H114" i="310" s="1"/>
  <c r="I115" i="310" s="1"/>
  <c r="C145" i="310"/>
  <c r="D111" i="299"/>
  <c r="D147" i="299" s="1"/>
  <c r="C146" i="299"/>
  <c r="D114" i="296"/>
  <c r="E115" i="296" s="1"/>
  <c r="C149" i="296"/>
  <c r="D111" i="310"/>
  <c r="E112" i="310" s="1"/>
  <c r="F113" i="310" s="1"/>
  <c r="G114" i="310" s="1"/>
  <c r="H115" i="310" s="1"/>
  <c r="I116" i="310" s="1"/>
  <c r="C146" i="310"/>
  <c r="D109" i="310"/>
  <c r="E110" i="310" s="1"/>
  <c r="F111" i="310" s="1"/>
  <c r="G112" i="310" s="1"/>
  <c r="H113" i="310" s="1"/>
  <c r="I114" i="310" s="1"/>
  <c r="C144" i="310"/>
  <c r="D107" i="300"/>
  <c r="E108" i="300" s="1"/>
  <c r="F109" i="300" s="1"/>
  <c r="C142" i="300"/>
  <c r="C146" i="307"/>
  <c r="D111" i="307"/>
  <c r="D147" i="307" s="1"/>
  <c r="D110" i="294"/>
  <c r="E111" i="294" s="1"/>
  <c r="F112" i="294" s="1"/>
  <c r="G113" i="294" s="1"/>
  <c r="H114" i="294" s="1"/>
  <c r="I115" i="294" s="1"/>
  <c r="C145" i="294"/>
  <c r="C145" i="302"/>
  <c r="D110" i="302"/>
  <c r="D146" i="302" s="1"/>
  <c r="D116" i="314"/>
  <c r="D152" i="314" s="1"/>
  <c r="C151" i="314"/>
  <c r="D107" i="298"/>
  <c r="E108" i="298" s="1"/>
  <c r="F109" i="298" s="1"/>
  <c r="C142" i="298"/>
  <c r="C148" i="300"/>
  <c r="D113" i="300"/>
  <c r="D149" i="300" s="1"/>
  <c r="D112" i="305"/>
  <c r="E113" i="305" s="1"/>
  <c r="F114" i="305" s="1"/>
  <c r="G115" i="305" s="1"/>
  <c r="H116" i="305" s="1"/>
  <c r="C147" i="305"/>
  <c r="D113" i="307"/>
  <c r="D149" i="307" s="1"/>
  <c r="C148" i="307"/>
  <c r="C149" i="302"/>
  <c r="D114" i="302"/>
  <c r="E115" i="302" s="1"/>
  <c r="D112" i="294"/>
  <c r="C147" i="294"/>
  <c r="D110" i="305"/>
  <c r="D146" i="305" s="1"/>
  <c r="C145" i="305"/>
  <c r="D109" i="297"/>
  <c r="E110" i="297" s="1"/>
  <c r="F111" i="297" s="1"/>
  <c r="G112" i="297" s="1"/>
  <c r="H113" i="297" s="1"/>
  <c r="I114" i="297" s="1"/>
  <c r="C144" i="297"/>
  <c r="C145" i="299"/>
  <c r="D110" i="299"/>
  <c r="D146" i="299" s="1"/>
  <c r="C144" i="300"/>
  <c r="D109" i="300"/>
  <c r="E110" i="300" s="1"/>
  <c r="D115" i="306"/>
  <c r="E116" i="306" s="1"/>
  <c r="E152" i="306" s="1"/>
  <c r="C150" i="306"/>
  <c r="D116" i="296"/>
  <c r="D152" i="296" s="1"/>
  <c r="C151" i="296"/>
  <c r="D114" i="290"/>
  <c r="E115" i="290" s="1"/>
  <c r="F116" i="290" s="1"/>
  <c r="C149" i="290"/>
  <c r="D108" i="300"/>
  <c r="E109" i="300" s="1"/>
  <c r="F110" i="300" s="1"/>
  <c r="G111" i="300" s="1"/>
  <c r="H112" i="300" s="1"/>
  <c r="I113" i="300" s="1"/>
  <c r="C143" i="300"/>
  <c r="D112" i="290"/>
  <c r="E113" i="290" s="1"/>
  <c r="F114" i="290" s="1"/>
  <c r="G115" i="290" s="1"/>
  <c r="H116" i="290" s="1"/>
  <c r="C147" i="290"/>
  <c r="D113" i="310"/>
  <c r="E114" i="310" s="1"/>
  <c r="F115" i="310" s="1"/>
  <c r="G116" i="310" s="1"/>
  <c r="C148" i="310"/>
  <c r="D108" i="299"/>
  <c r="E109" i="299" s="1"/>
  <c r="C143" i="299"/>
  <c r="C150" i="300"/>
  <c r="D115" i="300"/>
  <c r="D151" i="300" s="1"/>
  <c r="D108" i="297"/>
  <c r="C143" i="297"/>
  <c r="D114" i="306"/>
  <c r="E115" i="306" s="1"/>
  <c r="F116" i="306" s="1"/>
  <c r="C149" i="306"/>
  <c r="D107" i="302"/>
  <c r="E108" i="302" s="1"/>
  <c r="F109" i="302" s="1"/>
  <c r="C142" i="302"/>
  <c r="D109" i="296"/>
  <c r="E110" i="296" s="1"/>
  <c r="F111" i="296" s="1"/>
  <c r="G112" i="296" s="1"/>
  <c r="H113" i="296" s="1"/>
  <c r="I114" i="296" s="1"/>
  <c r="C144" i="296"/>
  <c r="C147" i="302"/>
  <c r="D112" i="302"/>
  <c r="D148" i="302" s="1"/>
  <c r="D112" i="298"/>
  <c r="D148" i="298" s="1"/>
  <c r="C147" i="298"/>
  <c r="D114" i="294"/>
  <c r="E115" i="294" s="1"/>
  <c r="F116" i="294" s="1"/>
  <c r="C149" i="294"/>
  <c r="D111" i="296"/>
  <c r="E112" i="296" s="1"/>
  <c r="F113" i="296" s="1"/>
  <c r="G114" i="296" s="1"/>
  <c r="H115" i="296" s="1"/>
  <c r="I116" i="296" s="1"/>
  <c r="C146" i="296"/>
  <c r="D110" i="290"/>
  <c r="E111" i="290" s="1"/>
  <c r="F112" i="290" s="1"/>
  <c r="G113" i="290" s="1"/>
  <c r="H114" i="290" s="1"/>
  <c r="I115" i="290" s="1"/>
  <c r="C145" i="290"/>
  <c r="D111" i="292"/>
  <c r="E112" i="292" s="1"/>
  <c r="F113" i="292" s="1"/>
  <c r="G114" i="292" s="1"/>
  <c r="H115" i="292" s="1"/>
  <c r="I116" i="292" s="1"/>
  <c r="C146" i="292"/>
  <c r="C145" i="300"/>
  <c r="D110" i="300"/>
  <c r="D146" i="300" s="1"/>
  <c r="C144" i="307"/>
  <c r="D109" i="307"/>
  <c r="E110" i="307" s="1"/>
  <c r="F111" i="307" s="1"/>
  <c r="G112" i="307" s="1"/>
  <c r="H113" i="307" s="1"/>
  <c r="I114" i="307" s="1"/>
  <c r="D115" i="305"/>
  <c r="E116" i="305" s="1"/>
  <c r="E152" i="305" s="1"/>
  <c r="C150" i="305"/>
  <c r="D107" i="297"/>
  <c r="E108" i="297" s="1"/>
  <c r="F109" i="297" s="1"/>
  <c r="C142" i="297"/>
  <c r="I70" i="295"/>
  <c r="J70" i="295" s="1"/>
  <c r="C103" i="295" s="1"/>
  <c r="C139" i="295" s="1"/>
  <c r="J139" i="295" s="1"/>
  <c r="C159" i="295" s="1"/>
  <c r="C160" i="295" s="1"/>
  <c r="I73" i="304"/>
  <c r="J73" i="304" s="1"/>
  <c r="C106" i="304" s="1"/>
  <c r="I81" i="301"/>
  <c r="J81" i="301" s="1"/>
  <c r="C114" i="301" s="1"/>
  <c r="I79" i="311"/>
  <c r="J79" i="311" s="1"/>
  <c r="C112" i="311" s="1"/>
  <c r="I71" i="291"/>
  <c r="J71" i="291" s="1"/>
  <c r="C104" i="291" s="1"/>
  <c r="I82" i="304"/>
  <c r="J82" i="304" s="1"/>
  <c r="C115" i="304" s="1"/>
  <c r="I73" i="308"/>
  <c r="J73" i="308" s="1"/>
  <c r="C106" i="308" s="1"/>
  <c r="I83" i="304"/>
  <c r="J83" i="304" s="1"/>
  <c r="C116" i="304" s="1"/>
  <c r="C152" i="304" s="1"/>
  <c r="I77" i="309"/>
  <c r="J77" i="309" s="1"/>
  <c r="C110" i="309" s="1"/>
  <c r="I82" i="301"/>
  <c r="J82" i="301" s="1"/>
  <c r="C115" i="301" s="1"/>
  <c r="I76" i="312"/>
  <c r="J76" i="312" s="1"/>
  <c r="C109" i="312" s="1"/>
  <c r="C145" i="312" s="1"/>
  <c r="I82" i="315"/>
  <c r="J82" i="315" s="1"/>
  <c r="C115" i="315" s="1"/>
  <c r="I78" i="308"/>
  <c r="J78" i="308" s="1"/>
  <c r="C111" i="308" s="1"/>
  <c r="C143" i="306"/>
  <c r="I78" i="303"/>
  <c r="J78" i="303" s="1"/>
  <c r="C111" i="303" s="1"/>
  <c r="D112" i="303" s="1"/>
  <c r="E113" i="303" s="1"/>
  <c r="F114" i="303" s="1"/>
  <c r="G115" i="303" s="1"/>
  <c r="H116" i="303" s="1"/>
  <c r="C146" i="314"/>
  <c r="C139" i="310"/>
  <c r="J139" i="310" s="1"/>
  <c r="C159" i="310" s="1"/>
  <c r="C160" i="310" s="1"/>
  <c r="E145" i="292"/>
  <c r="C151" i="306"/>
  <c r="C150" i="310"/>
  <c r="D111" i="298"/>
  <c r="E112" i="298" s="1"/>
  <c r="D116" i="297"/>
  <c r="D152" i="297" s="1"/>
  <c r="D114" i="307"/>
  <c r="E115" i="307" s="1"/>
  <c r="C151" i="307"/>
  <c r="D111" i="300"/>
  <c r="D147" i="300" s="1"/>
  <c r="I81" i="303"/>
  <c r="J81" i="303" s="1"/>
  <c r="C114" i="303" s="1"/>
  <c r="C150" i="303" s="1"/>
  <c r="C142" i="296"/>
  <c r="I73" i="293"/>
  <c r="J73" i="293" s="1"/>
  <c r="C106" i="293" s="1"/>
  <c r="C142" i="293" s="1"/>
  <c r="I77" i="295"/>
  <c r="J77" i="295" s="1"/>
  <c r="C110" i="295" s="1"/>
  <c r="I79" i="308"/>
  <c r="J79" i="308" s="1"/>
  <c r="C112" i="308" s="1"/>
  <c r="C148" i="308" s="1"/>
  <c r="I71" i="314"/>
  <c r="J71" i="314" s="1"/>
  <c r="C104" i="314" s="1"/>
  <c r="I75" i="309"/>
  <c r="J75" i="309" s="1"/>
  <c r="C108" i="309" s="1"/>
  <c r="C144" i="309" s="1"/>
  <c r="I83" i="309"/>
  <c r="J83" i="309" s="1"/>
  <c r="C116" i="309" s="1"/>
  <c r="C152" i="309" s="1"/>
  <c r="I70" i="312"/>
  <c r="J70" i="312" s="1"/>
  <c r="C103" i="312" s="1"/>
  <c r="I78" i="295"/>
  <c r="J78" i="295" s="1"/>
  <c r="C111" i="295" s="1"/>
  <c r="I77" i="291"/>
  <c r="J77" i="291" s="1"/>
  <c r="C110" i="291" s="1"/>
  <c r="C146" i="291" s="1"/>
  <c r="I81" i="293"/>
  <c r="J81" i="293" s="1"/>
  <c r="C114" i="293" s="1"/>
  <c r="I82" i="291"/>
  <c r="J82" i="291" s="1"/>
  <c r="C115" i="291" s="1"/>
  <c r="D116" i="291" s="1"/>
  <c r="D152" i="291" s="1"/>
  <c r="I74" i="295"/>
  <c r="J74" i="295" s="1"/>
  <c r="C107" i="295" s="1"/>
  <c r="I78" i="312"/>
  <c r="J78" i="312" s="1"/>
  <c r="C111" i="312" s="1"/>
  <c r="D112" i="312" s="1"/>
  <c r="D148" i="312" s="1"/>
  <c r="I78" i="309"/>
  <c r="J78" i="309" s="1"/>
  <c r="C111" i="309" s="1"/>
  <c r="I81" i="291"/>
  <c r="J81" i="291" s="1"/>
  <c r="C114" i="291" s="1"/>
  <c r="C150" i="291" s="1"/>
  <c r="I73" i="305"/>
  <c r="J73" i="305" s="1"/>
  <c r="C106" i="305" s="1"/>
  <c r="I74" i="291"/>
  <c r="J74" i="291" s="1"/>
  <c r="C107" i="291" s="1"/>
  <c r="C143" i="291" s="1"/>
  <c r="I77" i="297"/>
  <c r="J77" i="297" s="1"/>
  <c r="C110" i="297" s="1"/>
  <c r="I80" i="295"/>
  <c r="J80" i="295" s="1"/>
  <c r="C113" i="295" s="1"/>
  <c r="C149" i="295" s="1"/>
  <c r="I80" i="291"/>
  <c r="J80" i="291" s="1"/>
  <c r="C113" i="291" s="1"/>
  <c r="I83" i="311"/>
  <c r="J83" i="311" s="1"/>
  <c r="C116" i="311" s="1"/>
  <c r="C152" i="311" s="1"/>
  <c r="I76" i="297"/>
  <c r="J76" i="297" s="1"/>
  <c r="C109" i="297" s="1"/>
  <c r="I80" i="304"/>
  <c r="J80" i="304" s="1"/>
  <c r="C113" i="304" s="1"/>
  <c r="I70" i="290"/>
  <c r="J70" i="290" s="1"/>
  <c r="C103" i="290" s="1"/>
  <c r="I83" i="295"/>
  <c r="J83" i="295" s="1"/>
  <c r="C116" i="295" s="1"/>
  <c r="C152" i="295" s="1"/>
  <c r="I74" i="309"/>
  <c r="J74" i="309" s="1"/>
  <c r="C107" i="309" s="1"/>
  <c r="I77" i="293"/>
  <c r="J77" i="293" s="1"/>
  <c r="C110" i="293" s="1"/>
  <c r="D111" i="293" s="1"/>
  <c r="I78" i="315"/>
  <c r="J78" i="315" s="1"/>
  <c r="C111" i="315" s="1"/>
  <c r="I74" i="279"/>
  <c r="J74" i="279" s="1"/>
  <c r="C107" i="279" s="1"/>
  <c r="I78" i="304"/>
  <c r="J78" i="304" s="1"/>
  <c r="C111" i="304" s="1"/>
  <c r="I80" i="301"/>
  <c r="J80" i="301" s="1"/>
  <c r="C113" i="301" s="1"/>
  <c r="C149" i="301" s="1"/>
  <c r="I81" i="314"/>
  <c r="J81" i="314" s="1"/>
  <c r="C114" i="314" s="1"/>
  <c r="I79" i="304"/>
  <c r="J79" i="304" s="1"/>
  <c r="C112" i="304" s="1"/>
  <c r="C148" i="304" s="1"/>
  <c r="I72" i="295"/>
  <c r="J72" i="295" s="1"/>
  <c r="C105" i="295" s="1"/>
  <c r="I81" i="309"/>
  <c r="J81" i="309" s="1"/>
  <c r="C114" i="309" s="1"/>
  <c r="D115" i="309" s="1"/>
  <c r="I76" i="304"/>
  <c r="J76" i="304" s="1"/>
  <c r="C109" i="304" s="1"/>
  <c r="I74" i="316"/>
  <c r="J74" i="316" s="1"/>
  <c r="C107" i="316" s="1"/>
  <c r="I70" i="291"/>
  <c r="J70" i="291" s="1"/>
  <c r="C103" i="291" s="1"/>
  <c r="I78" i="316"/>
  <c r="J78" i="316" s="1"/>
  <c r="C111" i="316" s="1"/>
  <c r="I71" i="312"/>
  <c r="J71" i="312" s="1"/>
  <c r="C104" i="312" s="1"/>
  <c r="I82" i="279"/>
  <c r="J82" i="279" s="1"/>
  <c r="C115" i="279" s="1"/>
  <c r="I80" i="297"/>
  <c r="J80" i="297" s="1"/>
  <c r="C113" i="297" s="1"/>
  <c r="I75" i="311"/>
  <c r="J75" i="311" s="1"/>
  <c r="C108" i="311" s="1"/>
  <c r="D109" i="311" s="1"/>
  <c r="I79" i="297"/>
  <c r="J79" i="297" s="1"/>
  <c r="C112" i="297" s="1"/>
  <c r="I73" i="301"/>
  <c r="J73" i="301" s="1"/>
  <c r="C106" i="301" s="1"/>
  <c r="I72" i="316"/>
  <c r="J72" i="316" s="1"/>
  <c r="C105" i="316" s="1"/>
  <c r="I83" i="312"/>
  <c r="J83" i="312" s="1"/>
  <c r="C116" i="312" s="1"/>
  <c r="C152" i="312" s="1"/>
  <c r="I79" i="301"/>
  <c r="J79" i="301" s="1"/>
  <c r="C112" i="301" s="1"/>
  <c r="I78" i="301"/>
  <c r="J78" i="301" s="1"/>
  <c r="C111" i="301" s="1"/>
  <c r="D112" i="301" s="1"/>
  <c r="E113" i="301" s="1"/>
  <c r="I75" i="312"/>
  <c r="J75" i="312" s="1"/>
  <c r="C108" i="312" s="1"/>
  <c r="I75" i="295"/>
  <c r="J75" i="295" s="1"/>
  <c r="C108" i="295" s="1"/>
  <c r="D109" i="295" s="1"/>
  <c r="I74" i="304"/>
  <c r="J74" i="304" s="1"/>
  <c r="C107" i="304" s="1"/>
  <c r="I82" i="309"/>
  <c r="J82" i="309" s="1"/>
  <c r="C115" i="309" s="1"/>
  <c r="I79" i="291"/>
  <c r="J79" i="291" s="1"/>
  <c r="C112" i="291" s="1"/>
  <c r="C144" i="290"/>
  <c r="C147" i="306"/>
  <c r="C150" i="294"/>
  <c r="C143" i="310"/>
  <c r="I73" i="316"/>
  <c r="J73" i="316" s="1"/>
  <c r="C106" i="316" s="1"/>
  <c r="C142" i="316" s="1"/>
  <c r="C143" i="292"/>
  <c r="C142" i="292"/>
  <c r="I77" i="303"/>
  <c r="J77" i="303" s="1"/>
  <c r="C110" i="303" s="1"/>
  <c r="I76" i="303"/>
  <c r="J76" i="303" s="1"/>
  <c r="C109" i="303" s="1"/>
  <c r="C149" i="314"/>
  <c r="J103" i="310"/>
  <c r="I83" i="303"/>
  <c r="J83" i="303" s="1"/>
  <c r="C116" i="303" s="1"/>
  <c r="C152" i="303" s="1"/>
  <c r="I78" i="276"/>
  <c r="J78" i="276" s="1"/>
  <c r="C111" i="276" s="1"/>
  <c r="I77" i="304"/>
  <c r="J77" i="304" s="1"/>
  <c r="C110" i="304" s="1"/>
  <c r="I80" i="293"/>
  <c r="J80" i="293" s="1"/>
  <c r="C113" i="293" s="1"/>
  <c r="C149" i="293" s="1"/>
  <c r="I82" i="278"/>
  <c r="J82" i="278" s="1"/>
  <c r="C115" i="278" s="1"/>
  <c r="I72" i="312"/>
  <c r="J72" i="312" s="1"/>
  <c r="C105" i="312" s="1"/>
  <c r="I81" i="312"/>
  <c r="J81" i="312" s="1"/>
  <c r="C114" i="312" s="1"/>
  <c r="I75" i="316"/>
  <c r="J75" i="316" s="1"/>
  <c r="C108" i="316" s="1"/>
  <c r="I83" i="278"/>
  <c r="J83" i="278" s="1"/>
  <c r="C116" i="278" s="1"/>
  <c r="C152" i="278" s="1"/>
  <c r="I82" i="311"/>
  <c r="J82" i="311" s="1"/>
  <c r="C115" i="311" s="1"/>
  <c r="I71" i="276"/>
  <c r="J71" i="276" s="1"/>
  <c r="C104" i="276" s="1"/>
  <c r="I82" i="312"/>
  <c r="J82" i="312" s="1"/>
  <c r="C115" i="312" s="1"/>
  <c r="I73" i="276"/>
  <c r="J73" i="276" s="1"/>
  <c r="C106" i="276" s="1"/>
  <c r="I73" i="311"/>
  <c r="J73" i="311" s="1"/>
  <c r="C106" i="311" s="1"/>
  <c r="I72" i="291"/>
  <c r="J72" i="291" s="1"/>
  <c r="C105" i="291" s="1"/>
  <c r="I83" i="308"/>
  <c r="J83" i="308" s="1"/>
  <c r="C116" i="308" s="1"/>
  <c r="C152" i="308" s="1"/>
  <c r="I75" i="314"/>
  <c r="J75" i="314" s="1"/>
  <c r="C108" i="314" s="1"/>
  <c r="I71" i="311"/>
  <c r="J71" i="311" s="1"/>
  <c r="C104" i="311" s="1"/>
  <c r="I78" i="293"/>
  <c r="J78" i="293" s="1"/>
  <c r="C111" i="293" s="1"/>
  <c r="I76" i="307"/>
  <c r="J76" i="307" s="1"/>
  <c r="C109" i="307" s="1"/>
  <c r="I82" i="308"/>
  <c r="J82" i="308" s="1"/>
  <c r="C115" i="308" s="1"/>
  <c r="I80" i="312"/>
  <c r="J80" i="312" s="1"/>
  <c r="C113" i="312" s="1"/>
  <c r="C149" i="312" s="1"/>
  <c r="I79" i="278"/>
  <c r="J79" i="278" s="1"/>
  <c r="C112" i="278" s="1"/>
  <c r="I81" i="316"/>
  <c r="J81" i="316" s="1"/>
  <c r="C114" i="316" s="1"/>
  <c r="I80" i="308"/>
  <c r="J80" i="308" s="1"/>
  <c r="C113" i="308" s="1"/>
  <c r="I70" i="314"/>
  <c r="J70" i="314" s="1"/>
  <c r="C103" i="314" s="1"/>
  <c r="J103" i="314" s="1"/>
  <c r="I76" i="291"/>
  <c r="J76" i="291" s="1"/>
  <c r="C109" i="291" s="1"/>
  <c r="I70" i="279"/>
  <c r="J70" i="279" s="1"/>
  <c r="C103" i="279" s="1"/>
  <c r="I75" i="304"/>
  <c r="J75" i="304" s="1"/>
  <c r="C108" i="304" s="1"/>
  <c r="I79" i="309"/>
  <c r="J79" i="309" s="1"/>
  <c r="C112" i="309" s="1"/>
  <c r="I74" i="308"/>
  <c r="J74" i="308" s="1"/>
  <c r="C107" i="308" s="1"/>
  <c r="I82" i="295"/>
  <c r="J82" i="295" s="1"/>
  <c r="C115" i="295" s="1"/>
  <c r="I72" i="309"/>
  <c r="J72" i="309" s="1"/>
  <c r="C105" i="309" s="1"/>
  <c r="I77" i="311"/>
  <c r="J77" i="311" s="1"/>
  <c r="C110" i="311" s="1"/>
  <c r="I79" i="312"/>
  <c r="J79" i="312" s="1"/>
  <c r="C112" i="312" s="1"/>
  <c r="I82" i="293"/>
  <c r="J82" i="293" s="1"/>
  <c r="C115" i="293" s="1"/>
  <c r="C151" i="293" s="1"/>
  <c r="I83" i="293"/>
  <c r="J83" i="293" s="1"/>
  <c r="C116" i="293" s="1"/>
  <c r="C152" i="293" s="1"/>
  <c r="I76" i="314"/>
  <c r="J76" i="314" s="1"/>
  <c r="C109" i="314" s="1"/>
  <c r="I79" i="295"/>
  <c r="J79" i="295" s="1"/>
  <c r="C112" i="295" s="1"/>
  <c r="I81" i="304"/>
  <c r="J81" i="304" s="1"/>
  <c r="C114" i="304" s="1"/>
  <c r="I79" i="316"/>
  <c r="J79" i="316" s="1"/>
  <c r="C112" i="316" s="1"/>
  <c r="I70" i="316"/>
  <c r="J70" i="316" s="1"/>
  <c r="C103" i="316" s="1"/>
  <c r="I70" i="293"/>
  <c r="J70" i="293" s="1"/>
  <c r="C103" i="293" s="1"/>
  <c r="I83" i="291"/>
  <c r="J83" i="291" s="1"/>
  <c r="C116" i="291" s="1"/>
  <c r="C152" i="291" s="1"/>
  <c r="I73" i="295"/>
  <c r="J73" i="295" s="1"/>
  <c r="C106" i="295" s="1"/>
  <c r="I77" i="312"/>
  <c r="J77" i="312" s="1"/>
  <c r="C110" i="312" s="1"/>
  <c r="I77" i="308"/>
  <c r="J77" i="308" s="1"/>
  <c r="C110" i="308" s="1"/>
  <c r="I77" i="316"/>
  <c r="J77" i="316" s="1"/>
  <c r="C110" i="316" s="1"/>
  <c r="C146" i="316" s="1"/>
  <c r="I72" i="311"/>
  <c r="J72" i="311" s="1"/>
  <c r="C105" i="311" s="1"/>
  <c r="I70" i="309"/>
  <c r="J70" i="309" s="1"/>
  <c r="C103" i="309" s="1"/>
  <c r="J103" i="309" s="1"/>
  <c r="C142" i="307"/>
  <c r="D144" i="292"/>
  <c r="C147" i="292"/>
  <c r="C145" i="306"/>
  <c r="C149" i="292"/>
  <c r="I82" i="303"/>
  <c r="J82" i="303" s="1"/>
  <c r="C115" i="303" s="1"/>
  <c r="I76" i="311"/>
  <c r="J76" i="311" s="1"/>
  <c r="C109" i="311" s="1"/>
  <c r="I82" i="316"/>
  <c r="J82" i="316" s="1"/>
  <c r="C115" i="316" s="1"/>
  <c r="I74" i="301"/>
  <c r="J74" i="301" s="1"/>
  <c r="C107" i="301" s="1"/>
  <c r="I70" i="311"/>
  <c r="J70" i="311" s="1"/>
  <c r="C103" i="311" s="1"/>
  <c r="I76" i="293"/>
  <c r="J76" i="293" s="1"/>
  <c r="C109" i="293" s="1"/>
  <c r="I78" i="280"/>
  <c r="J78" i="280" s="1"/>
  <c r="C111" i="280" s="1"/>
  <c r="I80" i="309"/>
  <c r="J80" i="309" s="1"/>
  <c r="C113" i="309" s="1"/>
  <c r="I74" i="314"/>
  <c r="J74" i="314" s="1"/>
  <c r="C107" i="314" s="1"/>
  <c r="I75" i="291"/>
  <c r="J75" i="291" s="1"/>
  <c r="C108" i="291" s="1"/>
  <c r="I79" i="293"/>
  <c r="J79" i="293" s="1"/>
  <c r="C112" i="293" s="1"/>
  <c r="I81" i="311"/>
  <c r="J81" i="311" s="1"/>
  <c r="C114" i="311" s="1"/>
  <c r="I73" i="309"/>
  <c r="J73" i="309" s="1"/>
  <c r="C106" i="309" s="1"/>
  <c r="I81" i="295"/>
  <c r="J81" i="295" s="1"/>
  <c r="C114" i="295" s="1"/>
  <c r="I74" i="312"/>
  <c r="J74" i="312" s="1"/>
  <c r="C107" i="312" s="1"/>
  <c r="I76" i="295"/>
  <c r="J76" i="295" s="1"/>
  <c r="C109" i="295" s="1"/>
  <c r="I76" i="316"/>
  <c r="J76" i="316" s="1"/>
  <c r="C109" i="316" s="1"/>
  <c r="I76" i="309"/>
  <c r="J76" i="309" s="1"/>
  <c r="C109" i="309" s="1"/>
  <c r="I83" i="301"/>
  <c r="J83" i="301" s="1"/>
  <c r="C116" i="301" s="1"/>
  <c r="C152" i="301" s="1"/>
  <c r="I73" i="312"/>
  <c r="J73" i="312" s="1"/>
  <c r="C106" i="312" s="1"/>
  <c r="I71" i="316"/>
  <c r="J71" i="316" s="1"/>
  <c r="C104" i="316" s="1"/>
  <c r="I75" i="308"/>
  <c r="J75" i="308" s="1"/>
  <c r="C108" i="308" s="1"/>
  <c r="I76" i="308"/>
  <c r="J76" i="308" s="1"/>
  <c r="C109" i="308" s="1"/>
  <c r="I81" i="308"/>
  <c r="J81" i="308" s="1"/>
  <c r="C114" i="308" s="1"/>
  <c r="I70" i="313"/>
  <c r="J70" i="313" s="1"/>
  <c r="C103" i="313" s="1"/>
  <c r="I71" i="295"/>
  <c r="J71" i="295" s="1"/>
  <c r="C104" i="295" s="1"/>
  <c r="I80" i="311"/>
  <c r="J80" i="311" s="1"/>
  <c r="C113" i="311" s="1"/>
  <c r="I75" i="294"/>
  <c r="J75" i="294" s="1"/>
  <c r="C108" i="294" s="1"/>
  <c r="I78" i="278"/>
  <c r="J78" i="278" s="1"/>
  <c r="C111" i="278" s="1"/>
  <c r="I81" i="297"/>
  <c r="J81" i="297" s="1"/>
  <c r="C114" i="297" s="1"/>
  <c r="I80" i="316"/>
  <c r="J80" i="316" s="1"/>
  <c r="C113" i="316" s="1"/>
  <c r="I78" i="297"/>
  <c r="J78" i="297" s="1"/>
  <c r="C111" i="297" s="1"/>
  <c r="I78" i="291"/>
  <c r="J78" i="291" s="1"/>
  <c r="C111" i="291" s="1"/>
  <c r="I76" i="315"/>
  <c r="J76" i="315" s="1"/>
  <c r="C109" i="315" s="1"/>
  <c r="I74" i="280"/>
  <c r="J74" i="280" s="1"/>
  <c r="C107" i="280" s="1"/>
  <c r="I73" i="314"/>
  <c r="J73" i="314" s="1"/>
  <c r="C106" i="314" s="1"/>
  <c r="I83" i="316"/>
  <c r="J83" i="316" s="1"/>
  <c r="C116" i="316" s="1"/>
  <c r="C152" i="316" s="1"/>
  <c r="I73" i="291"/>
  <c r="J73" i="291" s="1"/>
  <c r="C106" i="291" s="1"/>
  <c r="I74" i="311"/>
  <c r="J74" i="311" s="1"/>
  <c r="C107" i="311" s="1"/>
  <c r="I81" i="280"/>
  <c r="J81" i="280" s="1"/>
  <c r="C114" i="280" s="1"/>
  <c r="I78" i="311"/>
  <c r="J78" i="311" s="1"/>
  <c r="C111" i="311" s="1"/>
  <c r="D112" i="311" s="1"/>
  <c r="I71" i="293"/>
  <c r="J71" i="293" s="1"/>
  <c r="C104" i="293" s="1"/>
  <c r="D109" i="251"/>
  <c r="D145" i="251" s="1"/>
  <c r="D106" i="251"/>
  <c r="D142" i="251" s="1"/>
  <c r="C151" i="263"/>
  <c r="E107" i="230"/>
  <c r="F108" i="230" s="1"/>
  <c r="D108" i="277"/>
  <c r="E109" i="277" s="1"/>
  <c r="F110" i="277" s="1"/>
  <c r="G111" i="277" s="1"/>
  <c r="H112" i="277" s="1"/>
  <c r="I113" i="277" s="1"/>
  <c r="D108" i="248"/>
  <c r="E109" i="248" s="1"/>
  <c r="F110" i="248" s="1"/>
  <c r="G111" i="248" s="1"/>
  <c r="H112" i="248" s="1"/>
  <c r="I113" i="248" s="1"/>
  <c r="C143" i="248"/>
  <c r="D111" i="236"/>
  <c r="E112" i="236" s="1"/>
  <c r="F113" i="236" s="1"/>
  <c r="G114" i="236" s="1"/>
  <c r="H115" i="236" s="1"/>
  <c r="I116" i="236" s="1"/>
  <c r="C146" i="236"/>
  <c r="D114" i="242"/>
  <c r="E115" i="242" s="1"/>
  <c r="C151" i="265"/>
  <c r="F145" i="257"/>
  <c r="C151" i="267"/>
  <c r="C148" i="275"/>
  <c r="C148" i="242"/>
  <c r="C142" i="257"/>
  <c r="C151" i="275"/>
  <c r="D109" i="287"/>
  <c r="E110" i="287" s="1"/>
  <c r="F111" i="287" s="1"/>
  <c r="G112" i="287" s="1"/>
  <c r="H113" i="287" s="1"/>
  <c r="I114" i="287" s="1"/>
  <c r="D110" i="246"/>
  <c r="E111" i="246" s="1"/>
  <c r="C145" i="246"/>
  <c r="C143" i="237"/>
  <c r="C142" i="248"/>
  <c r="C142" i="290"/>
  <c r="F145" i="277"/>
  <c r="C146" i="271"/>
  <c r="C150" i="271"/>
  <c r="C150" i="287"/>
  <c r="C145" i="263"/>
  <c r="C143" i="242"/>
  <c r="C149" i="229"/>
  <c r="D107" i="245"/>
  <c r="E108" i="245" s="1"/>
  <c r="F109" i="245" s="1"/>
  <c r="G110" i="245" s="1"/>
  <c r="H111" i="245" s="1"/>
  <c r="I112" i="245" s="1"/>
  <c r="I148" i="245" s="1"/>
  <c r="C142" i="245"/>
  <c r="C147" i="266"/>
  <c r="D112" i="266"/>
  <c r="E113" i="266" s="1"/>
  <c r="F114" i="266" s="1"/>
  <c r="G115" i="266" s="1"/>
  <c r="H116" i="266" s="1"/>
  <c r="I110" i="242"/>
  <c r="I146" i="242" s="1"/>
  <c r="H145" i="242"/>
  <c r="D104" i="229"/>
  <c r="D140" i="229" s="1"/>
  <c r="J140" i="229" s="1"/>
  <c r="D159" i="229" s="1"/>
  <c r="C139" i="229"/>
  <c r="C142" i="237"/>
  <c r="E145" i="257"/>
  <c r="D109" i="313"/>
  <c r="D145" i="313" s="1"/>
  <c r="C146" i="237"/>
  <c r="D144" i="252"/>
  <c r="C142" i="277"/>
  <c r="E145" i="252"/>
  <c r="C145" i="264"/>
  <c r="C147" i="267"/>
  <c r="C145" i="266"/>
  <c r="D144" i="230"/>
  <c r="D112" i="287"/>
  <c r="E113" i="287" s="1"/>
  <c r="F114" i="287" s="1"/>
  <c r="G115" i="287" s="1"/>
  <c r="H116" i="287" s="1"/>
  <c r="C147" i="287"/>
  <c r="D115" i="289"/>
  <c r="E116" i="289" s="1"/>
  <c r="C150" i="289"/>
  <c r="D104" i="275"/>
  <c r="E105" i="275" s="1"/>
  <c r="F106" i="275" s="1"/>
  <c r="G107" i="275" s="1"/>
  <c r="H108" i="275" s="1"/>
  <c r="I109" i="275" s="1"/>
  <c r="C139" i="275"/>
  <c r="J139" i="275" s="1"/>
  <c r="C159" i="275" s="1"/>
  <c r="E52" i="217" s="1"/>
  <c r="D113" i="287"/>
  <c r="E114" i="287" s="1"/>
  <c r="F115" i="287" s="1"/>
  <c r="G116" i="287" s="1"/>
  <c r="C148" i="287"/>
  <c r="C146" i="250"/>
  <c r="D111" i="250"/>
  <c r="C146" i="230"/>
  <c r="D111" i="230"/>
  <c r="C140" i="315"/>
  <c r="D105" i="315"/>
  <c r="E106" i="315" s="1"/>
  <c r="E110" i="247"/>
  <c r="F111" i="247" s="1"/>
  <c r="G112" i="247" s="1"/>
  <c r="H113" i="247" s="1"/>
  <c r="I114" i="247" s="1"/>
  <c r="D145" i="247"/>
  <c r="C151" i="248"/>
  <c r="D116" i="248"/>
  <c r="D152" i="248" s="1"/>
  <c r="D115" i="265"/>
  <c r="E116" i="265" s="1"/>
  <c r="E152" i="265" s="1"/>
  <c r="C150" i="265"/>
  <c r="D108" i="270"/>
  <c r="E109" i="270" s="1"/>
  <c r="F110" i="270" s="1"/>
  <c r="G111" i="270" s="1"/>
  <c r="H112" i="270" s="1"/>
  <c r="I113" i="270" s="1"/>
  <c r="C143" i="270"/>
  <c r="D105" i="257"/>
  <c r="E106" i="257" s="1"/>
  <c r="C140" i="257"/>
  <c r="D104" i="271"/>
  <c r="E105" i="271" s="1"/>
  <c r="F106" i="271" s="1"/>
  <c r="G107" i="271" s="1"/>
  <c r="H108" i="271" s="1"/>
  <c r="I109" i="271" s="1"/>
  <c r="C139" i="271"/>
  <c r="J139" i="271" s="1"/>
  <c r="C159" i="271" s="1"/>
  <c r="E48" i="217" s="1"/>
  <c r="D108" i="275"/>
  <c r="E109" i="275" s="1"/>
  <c r="F110" i="275" s="1"/>
  <c r="G111" i="275" s="1"/>
  <c r="H112" i="275" s="1"/>
  <c r="I113" i="275" s="1"/>
  <c r="C143" i="275"/>
  <c r="E110" i="230"/>
  <c r="F111" i="230" s="1"/>
  <c r="D145" i="230"/>
  <c r="D104" i="255"/>
  <c r="E105" i="255" s="1"/>
  <c r="C139" i="255"/>
  <c r="J139" i="255" s="1"/>
  <c r="C159" i="255" s="1"/>
  <c r="E32" i="217" s="1"/>
  <c r="D106" i="275"/>
  <c r="E107" i="275" s="1"/>
  <c r="F108" i="275" s="1"/>
  <c r="G109" i="275" s="1"/>
  <c r="H110" i="275" s="1"/>
  <c r="I111" i="275" s="1"/>
  <c r="C141" i="275"/>
  <c r="C144" i="268"/>
  <c r="D109" i="268"/>
  <c r="D145" i="268" s="1"/>
  <c r="D111" i="229"/>
  <c r="E112" i="229" s="1"/>
  <c r="C146" i="229"/>
  <c r="D115" i="313"/>
  <c r="E116" i="313" s="1"/>
  <c r="E152" i="313" s="1"/>
  <c r="C150" i="313"/>
  <c r="C144" i="229"/>
  <c r="D109" i="229"/>
  <c r="D110" i="313"/>
  <c r="E111" i="313" s="1"/>
  <c r="C145" i="313"/>
  <c r="D144" i="256"/>
  <c r="J103" i="243"/>
  <c r="D144" i="257"/>
  <c r="H145" i="256"/>
  <c r="G145" i="236"/>
  <c r="C145" i="277"/>
  <c r="C145" i="271"/>
  <c r="C149" i="267"/>
  <c r="C145" i="267"/>
  <c r="C148" i="313"/>
  <c r="D112" i="250"/>
  <c r="D148" i="250" s="1"/>
  <c r="C140" i="242"/>
  <c r="C144" i="256"/>
  <c r="C143" i="252"/>
  <c r="C145" i="250"/>
  <c r="C150" i="267"/>
  <c r="C151" i="271"/>
  <c r="C148" i="265"/>
  <c r="C149" i="275"/>
  <c r="C150" i="263"/>
  <c r="D109" i="248"/>
  <c r="J103" i="229"/>
  <c r="D106" i="239"/>
  <c r="C141" i="239"/>
  <c r="D105" i="283"/>
  <c r="E106" i="283" s="1"/>
  <c r="C140" i="283"/>
  <c r="C139" i="284"/>
  <c r="J139" i="284" s="1"/>
  <c r="C159" i="284" s="1"/>
  <c r="C160" i="284" s="1"/>
  <c r="D104" i="284"/>
  <c r="D140" i="284" s="1"/>
  <c r="D109" i="254"/>
  <c r="E110" i="254" s="1"/>
  <c r="C144" i="254"/>
  <c r="D114" i="287"/>
  <c r="E115" i="287" s="1"/>
  <c r="F116" i="287" s="1"/>
  <c r="C149" i="287"/>
  <c r="D106" i="256"/>
  <c r="E107" i="256" s="1"/>
  <c r="F108" i="256" s="1"/>
  <c r="G109" i="256" s="1"/>
  <c r="C141" i="256"/>
  <c r="D115" i="242"/>
  <c r="E116" i="242" s="1"/>
  <c r="E152" i="242" s="1"/>
  <c r="C150" i="242"/>
  <c r="D105" i="247"/>
  <c r="E106" i="247" s="1"/>
  <c r="F107" i="247" s="1"/>
  <c r="G108" i="247" s="1"/>
  <c r="H109" i="247" s="1"/>
  <c r="C140" i="247"/>
  <c r="D107" i="315"/>
  <c r="C142" i="315"/>
  <c r="D110" i="270"/>
  <c r="E111" i="270" s="1"/>
  <c r="F112" i="270" s="1"/>
  <c r="G113" i="270" s="1"/>
  <c r="H114" i="270" s="1"/>
  <c r="I115" i="270" s="1"/>
  <c r="C145" i="270"/>
  <c r="D107" i="247"/>
  <c r="C142" i="247"/>
  <c r="D107" i="256"/>
  <c r="E108" i="256" s="1"/>
  <c r="F109" i="256" s="1"/>
  <c r="C142" i="256"/>
  <c r="D107" i="239"/>
  <c r="E108" i="239" s="1"/>
  <c r="C142" i="239"/>
  <c r="D110" i="251"/>
  <c r="D146" i="251" s="1"/>
  <c r="C145" i="251"/>
  <c r="D112" i="242"/>
  <c r="E113" i="242" s="1"/>
  <c r="C147" i="242"/>
  <c r="D110" i="287"/>
  <c r="C145" i="287"/>
  <c r="D111" i="313"/>
  <c r="E112" i="313" s="1"/>
  <c r="C146" i="313"/>
  <c r="D116" i="289"/>
  <c r="D152" i="289" s="1"/>
  <c r="C151" i="289"/>
  <c r="D106" i="242"/>
  <c r="C141" i="242"/>
  <c r="D115" i="277"/>
  <c r="E116" i="277" s="1"/>
  <c r="E152" i="277" s="1"/>
  <c r="C150" i="277"/>
  <c r="D106" i="289"/>
  <c r="C141" i="289"/>
  <c r="C146" i="231"/>
  <c r="D111" i="231"/>
  <c r="D147" i="231" s="1"/>
  <c r="D104" i="274"/>
  <c r="J104" i="274" s="1"/>
  <c r="C139" i="274"/>
  <c r="J139" i="274" s="1"/>
  <c r="C159" i="274" s="1"/>
  <c r="E51" i="217" s="1"/>
  <c r="J103" i="274"/>
  <c r="C144" i="274"/>
  <c r="D109" i="274"/>
  <c r="D145" i="274" s="1"/>
  <c r="C146" i="285"/>
  <c r="D111" i="285"/>
  <c r="E112" i="285" s="1"/>
  <c r="D114" i="244"/>
  <c r="D150" i="244" s="1"/>
  <c r="C149" i="244"/>
  <c r="D114" i="283"/>
  <c r="E115" i="283" s="1"/>
  <c r="C149" i="283"/>
  <c r="D113" i="285"/>
  <c r="D149" i="285" s="1"/>
  <c r="C148" i="285"/>
  <c r="D114" i="272"/>
  <c r="D150" i="272" s="1"/>
  <c r="C149" i="272"/>
  <c r="C142" i="272"/>
  <c r="D107" i="272"/>
  <c r="D143" i="272" s="1"/>
  <c r="C142" i="244"/>
  <c r="D107" i="244"/>
  <c r="D143" i="244" s="1"/>
  <c r="C151" i="234"/>
  <c r="D116" i="234"/>
  <c r="D152" i="234" s="1"/>
  <c r="D114" i="248"/>
  <c r="E115" i="248" s="1"/>
  <c r="C149" i="248"/>
  <c r="D113" i="243"/>
  <c r="D149" i="243" s="1"/>
  <c r="C148" i="243"/>
  <c r="C149" i="262"/>
  <c r="D114" i="262"/>
  <c r="E115" i="262" s="1"/>
  <c r="D106" i="288"/>
  <c r="E107" i="288" s="1"/>
  <c r="C141" i="288"/>
  <c r="D115" i="252"/>
  <c r="E116" i="252" s="1"/>
  <c r="E152" i="252" s="1"/>
  <c r="C150" i="252"/>
  <c r="C145" i="229"/>
  <c r="D110" i="229"/>
  <c r="E111" i="229" s="1"/>
  <c r="C139" i="241"/>
  <c r="J139" i="241" s="1"/>
  <c r="C159" i="241" s="1"/>
  <c r="D104" i="241"/>
  <c r="J103" i="241"/>
  <c r="D116" i="270"/>
  <c r="D152" i="270" s="1"/>
  <c r="C151" i="270"/>
  <c r="D104" i="252"/>
  <c r="C139" i="252"/>
  <c r="J139" i="252" s="1"/>
  <c r="C159" i="252" s="1"/>
  <c r="C160" i="252" s="1"/>
  <c r="J103" i="252"/>
  <c r="D106" i="247"/>
  <c r="E107" i="247" s="1"/>
  <c r="F108" i="247" s="1"/>
  <c r="G109" i="247" s="1"/>
  <c r="C141" i="247"/>
  <c r="D111" i="266"/>
  <c r="E112" i="266" s="1"/>
  <c r="F113" i="266" s="1"/>
  <c r="G114" i="266" s="1"/>
  <c r="H115" i="266" s="1"/>
  <c r="I116" i="266" s="1"/>
  <c r="C146" i="266"/>
  <c r="D108" i="247"/>
  <c r="C143" i="247"/>
  <c r="D107" i="270"/>
  <c r="E108" i="270" s="1"/>
  <c r="F109" i="270" s="1"/>
  <c r="G110" i="270" s="1"/>
  <c r="H111" i="270" s="1"/>
  <c r="I112" i="270" s="1"/>
  <c r="C142" i="270"/>
  <c r="D116" i="242"/>
  <c r="D152" i="242" s="1"/>
  <c r="C151" i="242"/>
  <c r="D107" i="289"/>
  <c r="E108" i="289" s="1"/>
  <c r="F109" i="289" s="1"/>
  <c r="C142" i="289"/>
  <c r="D104" i="249"/>
  <c r="E105" i="249" s="1"/>
  <c r="F106" i="249" s="1"/>
  <c r="G107" i="249" s="1"/>
  <c r="H108" i="249" s="1"/>
  <c r="I109" i="249" s="1"/>
  <c r="I145" i="249" s="1"/>
  <c r="J103" i="249"/>
  <c r="C139" i="249"/>
  <c r="J139" i="249" s="1"/>
  <c r="C159" i="249" s="1"/>
  <c r="E26" i="217" s="1"/>
  <c r="D114" i="289"/>
  <c r="E115" i="289" s="1"/>
  <c r="F116" i="289" s="1"/>
  <c r="C149" i="289"/>
  <c r="D111" i="270"/>
  <c r="C146" i="270"/>
  <c r="C139" i="256"/>
  <c r="J139" i="256" s="1"/>
  <c r="C159" i="256" s="1"/>
  <c r="D104" i="256"/>
  <c r="E105" i="256" s="1"/>
  <c r="F106" i="256" s="1"/>
  <c r="G107" i="256" s="1"/>
  <c r="H108" i="256" s="1"/>
  <c r="I109" i="256" s="1"/>
  <c r="I145" i="256" s="1"/>
  <c r="J103" i="256"/>
  <c r="D107" i="242"/>
  <c r="E108" i="242" s="1"/>
  <c r="F109" i="242" s="1"/>
  <c r="C142" i="242"/>
  <c r="C147" i="289"/>
  <c r="D112" i="289"/>
  <c r="D110" i="274"/>
  <c r="D146" i="274" s="1"/>
  <c r="C145" i="274"/>
  <c r="D112" i="247"/>
  <c r="D148" i="247" s="1"/>
  <c r="C147" i="247"/>
  <c r="C151" i="252"/>
  <c r="D116" i="252"/>
  <c r="D152" i="252" s="1"/>
  <c r="D107" i="269"/>
  <c r="E108" i="269" s="1"/>
  <c r="F109" i="269" s="1"/>
  <c r="C142" i="269"/>
  <c r="D106" i="248"/>
  <c r="D142" i="248" s="1"/>
  <c r="C141" i="248"/>
  <c r="D107" i="240"/>
  <c r="E108" i="240" s="1"/>
  <c r="C142" i="240"/>
  <c r="D109" i="252"/>
  <c r="E110" i="252" s="1"/>
  <c r="F111" i="252" s="1"/>
  <c r="G112" i="252" s="1"/>
  <c r="H113" i="252" s="1"/>
  <c r="I114" i="252" s="1"/>
  <c r="C144" i="252"/>
  <c r="D111" i="277"/>
  <c r="E112" i="277" s="1"/>
  <c r="F113" i="277" s="1"/>
  <c r="G114" i="277" s="1"/>
  <c r="H115" i="277" s="1"/>
  <c r="I116" i="277" s="1"/>
  <c r="C146" i="277"/>
  <c r="D116" i="230"/>
  <c r="D152" i="230" s="1"/>
  <c r="C151" i="230"/>
  <c r="D113" i="289"/>
  <c r="E114" i="289" s="1"/>
  <c r="F115" i="289" s="1"/>
  <c r="G116" i="289" s="1"/>
  <c r="C148" i="289"/>
  <c r="D109" i="242"/>
  <c r="E110" i="242" s="1"/>
  <c r="F111" i="242" s="1"/>
  <c r="G112" i="242" s="1"/>
  <c r="H113" i="242" s="1"/>
  <c r="I114" i="242" s="1"/>
  <c r="C144" i="242"/>
  <c r="D105" i="230"/>
  <c r="J105" i="230" s="1"/>
  <c r="J104" i="230"/>
  <c r="C140" i="230"/>
  <c r="J140" i="230" s="1"/>
  <c r="D159" i="230" s="1"/>
  <c r="D112" i="270"/>
  <c r="C147" i="270"/>
  <c r="D110" i="248"/>
  <c r="E111" i="248" s="1"/>
  <c r="F112" i="248" s="1"/>
  <c r="G113" i="248" s="1"/>
  <c r="H114" i="248" s="1"/>
  <c r="I115" i="248" s="1"/>
  <c r="C145" i="248"/>
  <c r="D107" i="284"/>
  <c r="C142" i="284"/>
  <c r="D115" i="257"/>
  <c r="E116" i="257" s="1"/>
  <c r="C150" i="257"/>
  <c r="C139" i="248"/>
  <c r="J139" i="248" s="1"/>
  <c r="C159" i="248" s="1"/>
  <c r="C160" i="248" s="1"/>
  <c r="J103" i="248"/>
  <c r="D104" i="248"/>
  <c r="E105" i="248" s="1"/>
  <c r="F106" i="248" s="1"/>
  <c r="G107" i="248" s="1"/>
  <c r="H108" i="248" s="1"/>
  <c r="I109" i="248" s="1"/>
  <c r="I145" i="248" s="1"/>
  <c r="D114" i="264"/>
  <c r="E115" i="264" s="1"/>
  <c r="F116" i="264" s="1"/>
  <c r="C149" i="264"/>
  <c r="D106" i="252"/>
  <c r="E107" i="252" s="1"/>
  <c r="F108" i="252" s="1"/>
  <c r="G109" i="252" s="1"/>
  <c r="C141" i="252"/>
  <c r="D107" i="230"/>
  <c r="C142" i="230"/>
  <c r="D116" i="245"/>
  <c r="D152" i="245" s="1"/>
  <c r="C151" i="245"/>
  <c r="D114" i="270"/>
  <c r="E115" i="270" s="1"/>
  <c r="F116" i="270" s="1"/>
  <c r="C149" i="270"/>
  <c r="D109" i="275"/>
  <c r="E110" i="275" s="1"/>
  <c r="F111" i="275" s="1"/>
  <c r="G112" i="275" s="1"/>
  <c r="H113" i="275" s="1"/>
  <c r="I114" i="275" s="1"/>
  <c r="C144" i="275"/>
  <c r="D109" i="277"/>
  <c r="E110" i="277" s="1"/>
  <c r="F111" i="277" s="1"/>
  <c r="G112" i="277" s="1"/>
  <c r="H113" i="277" s="1"/>
  <c r="I114" i="277" s="1"/>
  <c r="C144" i="277"/>
  <c r="D107" i="252"/>
  <c r="E108" i="252" s="1"/>
  <c r="F109" i="252" s="1"/>
  <c r="C142" i="252"/>
  <c r="C150" i="229"/>
  <c r="D115" i="229"/>
  <c r="D151" i="229" s="1"/>
  <c r="C151" i="237"/>
  <c r="D116" i="237"/>
  <c r="D152" i="237" s="1"/>
  <c r="C145" i="237"/>
  <c r="D110" i="237"/>
  <c r="D146" i="237" s="1"/>
  <c r="D109" i="281"/>
  <c r="E110" i="281" s="1"/>
  <c r="C144" i="281"/>
  <c r="C148" i="235"/>
  <c r="D113" i="235"/>
  <c r="D149" i="235" s="1"/>
  <c r="C142" i="243"/>
  <c r="D107" i="243"/>
  <c r="D143" i="243" s="1"/>
  <c r="D106" i="283"/>
  <c r="E107" i="283" s="1"/>
  <c r="C141" i="283"/>
  <c r="C146" i="243"/>
  <c r="D111" i="243"/>
  <c r="E112" i="243" s="1"/>
  <c r="D112" i="248"/>
  <c r="E113" i="248" s="1"/>
  <c r="C147" i="248"/>
  <c r="C148" i="252"/>
  <c r="D113" i="252"/>
  <c r="D149" i="252" s="1"/>
  <c r="D107" i="234"/>
  <c r="D143" i="234" s="1"/>
  <c r="C142" i="234"/>
  <c r="D107" i="285"/>
  <c r="E108" i="285" s="1"/>
  <c r="C142" i="285"/>
  <c r="C147" i="265"/>
  <c r="D112" i="265"/>
  <c r="D111" i="261"/>
  <c r="E112" i="261" s="1"/>
  <c r="C146" i="261"/>
  <c r="D111" i="247"/>
  <c r="E112" i="247" s="1"/>
  <c r="C146" i="247"/>
  <c r="C151" i="253"/>
  <c r="D116" i="253"/>
  <c r="D152" i="253" s="1"/>
  <c r="C148" i="281"/>
  <c r="D113" i="281"/>
  <c r="D149" i="281" s="1"/>
  <c r="D109" i="245"/>
  <c r="D145" i="245" s="1"/>
  <c r="C144" i="245"/>
  <c r="D108" i="271"/>
  <c r="C143" i="271"/>
  <c r="C144" i="284"/>
  <c r="D109" i="284"/>
  <c r="E110" i="284" s="1"/>
  <c r="C145" i="261"/>
  <c r="D110" i="261"/>
  <c r="E111" i="261" s="1"/>
  <c r="C146" i="249"/>
  <c r="D111" i="249"/>
  <c r="D147" i="249" s="1"/>
  <c r="D114" i="250"/>
  <c r="D150" i="250" s="1"/>
  <c r="C149" i="250"/>
  <c r="D105" i="268"/>
  <c r="D141" i="268" s="1"/>
  <c r="C140" i="268"/>
  <c r="D112" i="274"/>
  <c r="E113" i="274" s="1"/>
  <c r="C147" i="274"/>
  <c r="D112" i="236"/>
  <c r="C147" i="236"/>
  <c r="D114" i="230"/>
  <c r="C149" i="230"/>
  <c r="D114" i="277"/>
  <c r="E115" i="277" s="1"/>
  <c r="F116" i="277" s="1"/>
  <c r="C149" i="277"/>
  <c r="D110" i="230"/>
  <c r="C145" i="230"/>
  <c r="C151" i="257"/>
  <c r="D116" i="257"/>
  <c r="D152" i="257" s="1"/>
  <c r="D114" i="263"/>
  <c r="E115" i="263" s="1"/>
  <c r="F116" i="263" s="1"/>
  <c r="C149" i="263"/>
  <c r="D107" i="275"/>
  <c r="C142" i="275"/>
  <c r="D104" i="247"/>
  <c r="D140" i="247" s="1"/>
  <c r="C139" i="247"/>
  <c r="J139" i="247" s="1"/>
  <c r="C159" i="247" s="1"/>
  <c r="E24" i="217" s="1"/>
  <c r="J103" i="247"/>
  <c r="D106" i="257"/>
  <c r="E107" i="257" s="1"/>
  <c r="F108" i="257" s="1"/>
  <c r="G109" i="257" s="1"/>
  <c r="C141" i="257"/>
  <c r="D109" i="236"/>
  <c r="E110" i="236" s="1"/>
  <c r="F111" i="236" s="1"/>
  <c r="G112" i="236" s="1"/>
  <c r="H113" i="236" s="1"/>
  <c r="I114" i="236" s="1"/>
  <c r="C144" i="236"/>
  <c r="D107" i="313"/>
  <c r="D143" i="313" s="1"/>
  <c r="C142" i="313"/>
  <c r="D116" i="313"/>
  <c r="D152" i="313" s="1"/>
  <c r="C151" i="313"/>
  <c r="D106" i="241"/>
  <c r="E107" i="241" s="1"/>
  <c r="F108" i="241" s="1"/>
  <c r="G109" i="241" s="1"/>
  <c r="H110" i="241" s="1"/>
  <c r="I111" i="241" s="1"/>
  <c r="C141" i="241"/>
  <c r="D111" i="267"/>
  <c r="E112" i="267" s="1"/>
  <c r="F113" i="267" s="1"/>
  <c r="G114" i="267" s="1"/>
  <c r="H115" i="267" s="1"/>
  <c r="I116" i="267" s="1"/>
  <c r="C146" i="267"/>
  <c r="D105" i="246"/>
  <c r="E106" i="246" s="1"/>
  <c r="F107" i="246" s="1"/>
  <c r="G108" i="246" s="1"/>
  <c r="H109" i="246" s="1"/>
  <c r="I110" i="246" s="1"/>
  <c r="I146" i="246" s="1"/>
  <c r="C140" i="246"/>
  <c r="C150" i="230"/>
  <c r="D115" i="230"/>
  <c r="D115" i="270"/>
  <c r="E116" i="270" s="1"/>
  <c r="C150" i="270"/>
  <c r="D110" i="275"/>
  <c r="E111" i="275" s="1"/>
  <c r="F112" i="275" s="1"/>
  <c r="G113" i="275" s="1"/>
  <c r="H114" i="275" s="1"/>
  <c r="I115" i="275" s="1"/>
  <c r="C145" i="275"/>
  <c r="D109" i="257"/>
  <c r="E110" i="257" s="1"/>
  <c r="F111" i="257" s="1"/>
  <c r="G112" i="257" s="1"/>
  <c r="H113" i="257" s="1"/>
  <c r="I114" i="257" s="1"/>
  <c r="C144" i="257"/>
  <c r="C141" i="229"/>
  <c r="D106" i="229"/>
  <c r="E107" i="229" s="1"/>
  <c r="C144" i="250"/>
  <c r="D109" i="250"/>
  <c r="E110" i="250" s="1"/>
  <c r="I80" i="237"/>
  <c r="J80" i="237" s="1"/>
  <c r="C113" i="237" s="1"/>
  <c r="C149" i="237" s="1"/>
  <c r="I75" i="246"/>
  <c r="J75" i="246" s="1"/>
  <c r="C108" i="246" s="1"/>
  <c r="I70" i="286"/>
  <c r="J70" i="286" s="1"/>
  <c r="C103" i="286" s="1"/>
  <c r="I77" i="233"/>
  <c r="J77" i="233" s="1"/>
  <c r="C110" i="233" s="1"/>
  <c r="I76" i="247"/>
  <c r="J76" i="247" s="1"/>
  <c r="C109" i="247" s="1"/>
  <c r="D110" i="247" s="1"/>
  <c r="I79" i="250"/>
  <c r="J79" i="250" s="1"/>
  <c r="C112" i="250" s="1"/>
  <c r="I81" i="235"/>
  <c r="J81" i="235" s="1"/>
  <c r="C114" i="235" s="1"/>
  <c r="D115" i="235" s="1"/>
  <c r="I81" i="236"/>
  <c r="J81" i="236" s="1"/>
  <c r="C114" i="236" s="1"/>
  <c r="I82" i="241"/>
  <c r="J82" i="241" s="1"/>
  <c r="C115" i="241" s="1"/>
  <c r="D116" i="241" s="1"/>
  <c r="D152" i="241" s="1"/>
  <c r="I74" i="268"/>
  <c r="J74" i="268" s="1"/>
  <c r="C107" i="268" s="1"/>
  <c r="I71" i="264"/>
  <c r="J71" i="264" s="1"/>
  <c r="C104" i="264" s="1"/>
  <c r="I78" i="257"/>
  <c r="J78" i="257" s="1"/>
  <c r="C111" i="257" s="1"/>
  <c r="D112" i="257" s="1"/>
  <c r="I83" i="268"/>
  <c r="J83" i="268" s="1"/>
  <c r="C116" i="268" s="1"/>
  <c r="C152" i="268" s="1"/>
  <c r="I80" i="231"/>
  <c r="J80" i="231" s="1"/>
  <c r="C113" i="231" s="1"/>
  <c r="D114" i="231" s="1"/>
  <c r="I71" i="249"/>
  <c r="J71" i="249" s="1"/>
  <c r="C104" i="249" s="1"/>
  <c r="D105" i="249" s="1"/>
  <c r="D141" i="249" s="1"/>
  <c r="I74" i="249"/>
  <c r="J74" i="249" s="1"/>
  <c r="C107" i="249" s="1"/>
  <c r="D108" i="249" s="1"/>
  <c r="I78" i="249"/>
  <c r="J78" i="249" s="1"/>
  <c r="C111" i="249" s="1"/>
  <c r="D112" i="249" s="1"/>
  <c r="D148" i="249" s="1"/>
  <c r="J77" i="315"/>
  <c r="C110" i="315" s="1"/>
  <c r="D111" i="315" s="1"/>
  <c r="I82" i="286"/>
  <c r="J82" i="286" s="1"/>
  <c r="C115" i="286" s="1"/>
  <c r="D116" i="286" s="1"/>
  <c r="D152" i="286" s="1"/>
  <c r="I81" i="253"/>
  <c r="J81" i="253" s="1"/>
  <c r="C114" i="253" s="1"/>
  <c r="C150" i="253" s="1"/>
  <c r="I83" i="260"/>
  <c r="J83" i="260" s="1"/>
  <c r="C116" i="260" s="1"/>
  <c r="C152" i="260" s="1"/>
  <c r="I82" i="233"/>
  <c r="J82" i="233" s="1"/>
  <c r="C115" i="233" s="1"/>
  <c r="I79" i="256"/>
  <c r="J79" i="256" s="1"/>
  <c r="C112" i="256" s="1"/>
  <c r="C148" i="256" s="1"/>
  <c r="I82" i="231"/>
  <c r="J82" i="231" s="1"/>
  <c r="C115" i="231" s="1"/>
  <c r="C151" i="231" s="1"/>
  <c r="I79" i="247"/>
  <c r="J79" i="247" s="1"/>
  <c r="C112" i="247" s="1"/>
  <c r="C148" i="247" s="1"/>
  <c r="I74" i="261"/>
  <c r="J74" i="261" s="1"/>
  <c r="C107" i="261" s="1"/>
  <c r="I77" i="286"/>
  <c r="J77" i="286" s="1"/>
  <c r="C110" i="286" s="1"/>
  <c r="C146" i="286" s="1"/>
  <c r="I76" i="235"/>
  <c r="J76" i="235" s="1"/>
  <c r="C109" i="235" s="1"/>
  <c r="C145" i="235" s="1"/>
  <c r="I78" i="288"/>
  <c r="J78" i="288" s="1"/>
  <c r="C111" i="288" s="1"/>
  <c r="D112" i="288" s="1"/>
  <c r="J82" i="280"/>
  <c r="C115" i="280" s="1"/>
  <c r="I70" i="265"/>
  <c r="J70" i="265" s="1"/>
  <c r="C103" i="265" s="1"/>
  <c r="J103" i="265" s="1"/>
  <c r="I74" i="284"/>
  <c r="J74" i="284" s="1"/>
  <c r="C107" i="284" s="1"/>
  <c r="I72" i="261"/>
  <c r="J72" i="261" s="1"/>
  <c r="C105" i="261" s="1"/>
  <c r="D106" i="261" s="1"/>
  <c r="E107" i="261" s="1"/>
  <c r="I77" i="255"/>
  <c r="J77" i="255" s="1"/>
  <c r="C110" i="255" s="1"/>
  <c r="I76" i="233"/>
  <c r="J76" i="233" s="1"/>
  <c r="C109" i="233" s="1"/>
  <c r="C145" i="233" s="1"/>
  <c r="J81" i="278"/>
  <c r="C114" i="278" s="1"/>
  <c r="C150" i="278" s="1"/>
  <c r="I82" i="244"/>
  <c r="J82" i="244" s="1"/>
  <c r="C115" i="244" s="1"/>
  <c r="C151" i="244" s="1"/>
  <c r="I79" i="233"/>
  <c r="J79" i="233" s="1"/>
  <c r="C112" i="233" s="1"/>
  <c r="D113" i="233" s="1"/>
  <c r="D149" i="233" s="1"/>
  <c r="I82" i="256"/>
  <c r="J82" i="256" s="1"/>
  <c r="C115" i="256" s="1"/>
  <c r="C151" i="256" s="1"/>
  <c r="J80" i="279"/>
  <c r="C113" i="279" s="1"/>
  <c r="I75" i="265"/>
  <c r="J75" i="265" s="1"/>
  <c r="C108" i="265" s="1"/>
  <c r="C144" i="265" s="1"/>
  <c r="I75" i="260"/>
  <c r="J75" i="260" s="1"/>
  <c r="C108" i="260" s="1"/>
  <c r="C144" i="260" s="1"/>
  <c r="I74" i="246"/>
  <c r="J74" i="246" s="1"/>
  <c r="C107" i="246" s="1"/>
  <c r="C143" i="246" s="1"/>
  <c r="I71" i="234"/>
  <c r="J71" i="234" s="1"/>
  <c r="C104" i="234" s="1"/>
  <c r="C140" i="234" s="1"/>
  <c r="I70" i="237"/>
  <c r="J70" i="237" s="1"/>
  <c r="C103" i="237" s="1"/>
  <c r="D104" i="237" s="1"/>
  <c r="D140" i="237" s="1"/>
  <c r="J70" i="315"/>
  <c r="C103" i="315" s="1"/>
  <c r="J70" i="277"/>
  <c r="C103" i="277" s="1"/>
  <c r="C139" i="277" s="1"/>
  <c r="J139" i="277" s="1"/>
  <c r="C159" i="277" s="1"/>
  <c r="E54" i="217" s="1"/>
  <c r="J74" i="276"/>
  <c r="C107" i="276" s="1"/>
  <c r="C143" i="276" s="1"/>
  <c r="I72" i="259"/>
  <c r="J72" i="259" s="1"/>
  <c r="C105" i="259" s="1"/>
  <c r="C141" i="259" s="1"/>
  <c r="I79" i="274"/>
  <c r="J79" i="274" s="1"/>
  <c r="C112" i="274" s="1"/>
  <c r="D113" i="274" s="1"/>
  <c r="E114" i="274" s="1"/>
  <c r="I82" i="239"/>
  <c r="J82" i="239" s="1"/>
  <c r="C115" i="239" s="1"/>
  <c r="D116" i="239" s="1"/>
  <c r="D152" i="239" s="1"/>
  <c r="I80" i="247"/>
  <c r="J80" i="247" s="1"/>
  <c r="C113" i="247" s="1"/>
  <c r="D114" i="247" s="1"/>
  <c r="D150" i="247" s="1"/>
  <c r="I70" i="236"/>
  <c r="J70" i="236" s="1"/>
  <c r="C103" i="236" s="1"/>
  <c r="J103" i="236" s="1"/>
  <c r="I76" i="272"/>
  <c r="J76" i="272" s="1"/>
  <c r="C109" i="272" s="1"/>
  <c r="I81" i="281"/>
  <c r="J81" i="281" s="1"/>
  <c r="C114" i="281" s="1"/>
  <c r="C150" i="281" s="1"/>
  <c r="I78" i="258"/>
  <c r="J78" i="258" s="1"/>
  <c r="C111" i="258" s="1"/>
  <c r="D112" i="258" s="1"/>
  <c r="E113" i="258" s="1"/>
  <c r="I79" i="260"/>
  <c r="J79" i="260" s="1"/>
  <c r="C112" i="260" s="1"/>
  <c r="C148" i="260" s="1"/>
  <c r="I75" i="249"/>
  <c r="J75" i="249" s="1"/>
  <c r="C108" i="249" s="1"/>
  <c r="I72" i="249"/>
  <c r="J72" i="249" s="1"/>
  <c r="C105" i="249" s="1"/>
  <c r="C141" i="249" s="1"/>
  <c r="I72" i="231"/>
  <c r="J72" i="231" s="1"/>
  <c r="C105" i="231" s="1"/>
  <c r="I75" i="286"/>
  <c r="J75" i="286" s="1"/>
  <c r="C108" i="286" s="1"/>
  <c r="C144" i="286" s="1"/>
  <c r="I80" i="251"/>
  <c r="J80" i="251" s="1"/>
  <c r="C113" i="251" s="1"/>
  <c r="C149" i="251" s="1"/>
  <c r="I83" i="236"/>
  <c r="J83" i="236" s="1"/>
  <c r="C116" i="236" s="1"/>
  <c r="C152" i="236" s="1"/>
  <c r="J80" i="315"/>
  <c r="C113" i="315" s="1"/>
  <c r="D114" i="315" s="1"/>
  <c r="E115" i="315" s="1"/>
  <c r="I74" i="243"/>
  <c r="J74" i="243" s="1"/>
  <c r="C107" i="243" s="1"/>
  <c r="C143" i="243" s="1"/>
  <c r="I72" i="246"/>
  <c r="J72" i="246" s="1"/>
  <c r="C105" i="246" s="1"/>
  <c r="D106" i="246" s="1"/>
  <c r="E107" i="246" s="1"/>
  <c r="J76" i="278"/>
  <c r="C109" i="278" s="1"/>
  <c r="D110" i="278" s="1"/>
  <c r="I80" i="260"/>
  <c r="J80" i="260" s="1"/>
  <c r="C113" i="260" s="1"/>
  <c r="D114" i="260" s="1"/>
  <c r="I70" i="266"/>
  <c r="J70" i="266" s="1"/>
  <c r="C103" i="266" s="1"/>
  <c r="D104" i="266" s="1"/>
  <c r="I74" i="245"/>
  <c r="J74" i="245" s="1"/>
  <c r="C107" i="245" s="1"/>
  <c r="I77" i="262"/>
  <c r="J77" i="262" s="1"/>
  <c r="C110" i="262" s="1"/>
  <c r="C146" i="262" s="1"/>
  <c r="J76" i="279"/>
  <c r="C109" i="279" s="1"/>
  <c r="C145" i="279" s="1"/>
  <c r="I78" i="241"/>
  <c r="J78" i="241" s="1"/>
  <c r="C111" i="241" s="1"/>
  <c r="D112" i="241" s="1"/>
  <c r="J80" i="278"/>
  <c r="C113" i="278" s="1"/>
  <c r="D114" i="278" s="1"/>
  <c r="I71" i="253"/>
  <c r="J71" i="253" s="1"/>
  <c r="C104" i="253" s="1"/>
  <c r="C140" i="253" s="1"/>
  <c r="I73" i="261"/>
  <c r="J73" i="261" s="1"/>
  <c r="C106" i="261" s="1"/>
  <c r="C142" i="261" s="1"/>
  <c r="I77" i="246"/>
  <c r="J77" i="246" s="1"/>
  <c r="C110" i="246" s="1"/>
  <c r="C146" i="246" s="1"/>
  <c r="I80" i="235"/>
  <c r="J80" i="235" s="1"/>
  <c r="C113" i="235" s="1"/>
  <c r="D114" i="235" s="1"/>
  <c r="I80" i="266"/>
  <c r="J80" i="266" s="1"/>
  <c r="C113" i="266" s="1"/>
  <c r="C149" i="266" s="1"/>
  <c r="I74" i="281"/>
  <c r="J74" i="281" s="1"/>
  <c r="C107" i="281" s="1"/>
  <c r="C143" i="281" s="1"/>
  <c r="I74" i="235"/>
  <c r="J74" i="235" s="1"/>
  <c r="C107" i="235" s="1"/>
  <c r="D108" i="235" s="1"/>
  <c r="I71" i="232"/>
  <c r="J71" i="232" s="1"/>
  <c r="C104" i="232" s="1"/>
  <c r="I77" i="252"/>
  <c r="J77" i="252" s="1"/>
  <c r="C110" i="252" s="1"/>
  <c r="C146" i="252" s="1"/>
  <c r="I82" i="236"/>
  <c r="J82" i="236" s="1"/>
  <c r="C115" i="236" s="1"/>
  <c r="C151" i="236" s="1"/>
  <c r="I81" i="269"/>
  <c r="J81" i="269" s="1"/>
  <c r="C114" i="269" s="1"/>
  <c r="C150" i="269" s="1"/>
  <c r="C140" i="256"/>
  <c r="C141" i="236"/>
  <c r="C140" i="241"/>
  <c r="C143" i="257"/>
  <c r="C140" i="252"/>
  <c r="C140" i="289"/>
  <c r="H145" i="241"/>
  <c r="C145" i="236"/>
  <c r="C143" i="251"/>
  <c r="C145" i="269"/>
  <c r="C146" i="269"/>
  <c r="C146" i="287"/>
  <c r="C146" i="275"/>
  <c r="J103" i="275"/>
  <c r="C140" i="275"/>
  <c r="C141" i="264"/>
  <c r="C151" i="258"/>
  <c r="C151" i="287"/>
  <c r="C146" i="263"/>
  <c r="C148" i="263"/>
  <c r="D109" i="289"/>
  <c r="E110" i="289" s="1"/>
  <c r="F111" i="289" s="1"/>
  <c r="G112" i="289" s="1"/>
  <c r="H113" i="289" s="1"/>
  <c r="I114" i="289" s="1"/>
  <c r="J103" i="255"/>
  <c r="I70" i="250"/>
  <c r="J70" i="250" s="1"/>
  <c r="C103" i="250" s="1"/>
  <c r="I73" i="288"/>
  <c r="J73" i="288" s="1"/>
  <c r="C106" i="288" s="1"/>
  <c r="D107" i="288" s="1"/>
  <c r="I73" i="253"/>
  <c r="J73" i="253" s="1"/>
  <c r="C106" i="253" s="1"/>
  <c r="D107" i="253" s="1"/>
  <c r="D143" i="253" s="1"/>
  <c r="I81" i="232"/>
  <c r="J81" i="232" s="1"/>
  <c r="C114" i="232" s="1"/>
  <c r="I81" i="266"/>
  <c r="J81" i="266" s="1"/>
  <c r="C114" i="266" s="1"/>
  <c r="C150" i="266" s="1"/>
  <c r="I72" i="266"/>
  <c r="J72" i="266" s="1"/>
  <c r="C105" i="266" s="1"/>
  <c r="I73" i="236"/>
  <c r="J73" i="236" s="1"/>
  <c r="C106" i="236" s="1"/>
  <c r="D107" i="236" s="1"/>
  <c r="I79" i="248"/>
  <c r="J79" i="248" s="1"/>
  <c r="C112" i="248" s="1"/>
  <c r="I80" i="239"/>
  <c r="J80" i="239" s="1"/>
  <c r="C113" i="239" s="1"/>
  <c r="D114" i="239" s="1"/>
  <c r="E115" i="239" s="1"/>
  <c r="I72" i="233"/>
  <c r="J72" i="233" s="1"/>
  <c r="C105" i="233" s="1"/>
  <c r="D106" i="233" s="1"/>
  <c r="I70" i="259"/>
  <c r="J70" i="259" s="1"/>
  <c r="C103" i="259" s="1"/>
  <c r="C139" i="259" s="1"/>
  <c r="J139" i="259" s="1"/>
  <c r="C159" i="259" s="1"/>
  <c r="C160" i="259" s="1"/>
  <c r="I75" i="233"/>
  <c r="J75" i="233" s="1"/>
  <c r="C108" i="233" s="1"/>
  <c r="C144" i="233" s="1"/>
  <c r="I73" i="259"/>
  <c r="J73" i="259" s="1"/>
  <c r="C106" i="259" s="1"/>
  <c r="C142" i="259" s="1"/>
  <c r="I72" i="265"/>
  <c r="J72" i="265" s="1"/>
  <c r="C105" i="265" s="1"/>
  <c r="I71" i="244"/>
  <c r="J71" i="244" s="1"/>
  <c r="C104" i="244" s="1"/>
  <c r="D105" i="244" s="1"/>
  <c r="D141" i="244" s="1"/>
  <c r="I73" i="246"/>
  <c r="J73" i="246" s="1"/>
  <c r="C106" i="246" s="1"/>
  <c r="I75" i="232"/>
  <c r="J75" i="232" s="1"/>
  <c r="C108" i="232" s="1"/>
  <c r="D109" i="232" s="1"/>
  <c r="D145" i="232" s="1"/>
  <c r="I71" i="254"/>
  <c r="J71" i="254" s="1"/>
  <c r="C104" i="254" s="1"/>
  <c r="D105" i="254" s="1"/>
  <c r="D141" i="254" s="1"/>
  <c r="I76" i="258"/>
  <c r="J76" i="258" s="1"/>
  <c r="C109" i="258" s="1"/>
  <c r="D110" i="258" s="1"/>
  <c r="D146" i="258" s="1"/>
  <c r="I77" i="244"/>
  <c r="J77" i="244" s="1"/>
  <c r="C110" i="244" s="1"/>
  <c r="I81" i="282"/>
  <c r="J81" i="282" s="1"/>
  <c r="C114" i="282" s="1"/>
  <c r="D115" i="282" s="1"/>
  <c r="I80" i="268"/>
  <c r="J80" i="268" s="1"/>
  <c r="C113" i="268" s="1"/>
  <c r="C149" i="268" s="1"/>
  <c r="I80" i="274"/>
  <c r="J80" i="274" s="1"/>
  <c r="C113" i="274" s="1"/>
  <c r="C149" i="274" s="1"/>
  <c r="I79" i="234"/>
  <c r="J79" i="234" s="1"/>
  <c r="C112" i="234" s="1"/>
  <c r="I79" i="288"/>
  <c r="J79" i="288" s="1"/>
  <c r="C112" i="288" s="1"/>
  <c r="C148" i="288" s="1"/>
  <c r="I80" i="245"/>
  <c r="J80" i="245" s="1"/>
  <c r="C113" i="245" s="1"/>
  <c r="J83" i="279"/>
  <c r="C116" i="279" s="1"/>
  <c r="C152" i="279" s="1"/>
  <c r="I72" i="267"/>
  <c r="J72" i="267" s="1"/>
  <c r="C105" i="267" s="1"/>
  <c r="I75" i="283"/>
  <c r="J75" i="283" s="1"/>
  <c r="C108" i="283" s="1"/>
  <c r="D109" i="283" s="1"/>
  <c r="I74" i="240"/>
  <c r="J74" i="240" s="1"/>
  <c r="C107" i="240" s="1"/>
  <c r="D108" i="240" s="1"/>
  <c r="D144" i="240" s="1"/>
  <c r="I78" i="231"/>
  <c r="J78" i="231" s="1"/>
  <c r="C111" i="231" s="1"/>
  <c r="D112" i="231" s="1"/>
  <c r="D148" i="231" s="1"/>
  <c r="I76" i="284"/>
  <c r="J76" i="284" s="1"/>
  <c r="C109" i="284" s="1"/>
  <c r="I77" i="281"/>
  <c r="J77" i="281" s="1"/>
  <c r="C110" i="281" s="1"/>
  <c r="D111" i="281" s="1"/>
  <c r="D147" i="281" s="1"/>
  <c r="I79" i="271"/>
  <c r="J79" i="271" s="1"/>
  <c r="C112" i="271" s="1"/>
  <c r="I83" i="244"/>
  <c r="J83" i="244" s="1"/>
  <c r="C116" i="244" s="1"/>
  <c r="C152" i="244" s="1"/>
  <c r="I81" i="239"/>
  <c r="J81" i="239" s="1"/>
  <c r="C114" i="239" s="1"/>
  <c r="D115" i="239" s="1"/>
  <c r="E116" i="239" s="1"/>
  <c r="J83" i="315"/>
  <c r="C116" i="315" s="1"/>
  <c r="C152" i="315" s="1"/>
  <c r="I71" i="262"/>
  <c r="J71" i="262" s="1"/>
  <c r="C104" i="262" s="1"/>
  <c r="D105" i="262" s="1"/>
  <c r="D141" i="262" s="1"/>
  <c r="I72" i="260"/>
  <c r="J72" i="260" s="1"/>
  <c r="C105" i="260" s="1"/>
  <c r="C141" i="260" s="1"/>
  <c r="J74" i="278"/>
  <c r="C107" i="278" s="1"/>
  <c r="I72" i="285"/>
  <c r="J72" i="285" s="1"/>
  <c r="C105" i="285" s="1"/>
  <c r="D106" i="285" s="1"/>
  <c r="I78" i="262"/>
  <c r="J78" i="262" s="1"/>
  <c r="C111" i="262" s="1"/>
  <c r="D112" i="262" s="1"/>
  <c r="I78" i="252"/>
  <c r="J78" i="252" s="1"/>
  <c r="C111" i="252" s="1"/>
  <c r="C147" i="252" s="1"/>
  <c r="I77" i="259"/>
  <c r="J77" i="259" s="1"/>
  <c r="C110" i="259" s="1"/>
  <c r="D111" i="259" s="1"/>
  <c r="E112" i="259" s="1"/>
  <c r="I81" i="254"/>
  <c r="J81" i="254" s="1"/>
  <c r="C114" i="254" s="1"/>
  <c r="D115" i="254" s="1"/>
  <c r="E116" i="254" s="1"/>
  <c r="E152" i="254" s="1"/>
  <c r="I81" i="246"/>
  <c r="J81" i="246" s="1"/>
  <c r="C114" i="246" s="1"/>
  <c r="I82" i="251"/>
  <c r="J82" i="251" s="1"/>
  <c r="C115" i="251" s="1"/>
  <c r="D116" i="251" s="1"/>
  <c r="D152" i="251" s="1"/>
  <c r="J79" i="276"/>
  <c r="C112" i="276" s="1"/>
  <c r="D113" i="276" s="1"/>
  <c r="D149" i="276" s="1"/>
  <c r="I83" i="234"/>
  <c r="J83" i="234" s="1"/>
  <c r="C116" i="234" s="1"/>
  <c r="C152" i="234" s="1"/>
  <c r="I79" i="255"/>
  <c r="J79" i="255" s="1"/>
  <c r="C112" i="255" s="1"/>
  <c r="I71" i="272"/>
  <c r="J71" i="272" s="1"/>
  <c r="C104" i="272" s="1"/>
  <c r="D105" i="272" s="1"/>
  <c r="D141" i="272" s="1"/>
  <c r="I72" i="244"/>
  <c r="J72" i="244" s="1"/>
  <c r="C105" i="244" s="1"/>
  <c r="I73" i="268"/>
  <c r="J73" i="268" s="1"/>
  <c r="C106" i="268" s="1"/>
  <c r="C142" i="268" s="1"/>
  <c r="I73" i="282"/>
  <c r="J73" i="282" s="1"/>
  <c r="C106" i="282" s="1"/>
  <c r="D107" i="282" s="1"/>
  <c r="E108" i="282" s="1"/>
  <c r="I74" i="241"/>
  <c r="J74" i="241" s="1"/>
  <c r="C107" i="241" s="1"/>
  <c r="C143" i="241" s="1"/>
  <c r="I70" i="285"/>
  <c r="J70" i="285" s="1"/>
  <c r="C103" i="285" s="1"/>
  <c r="I77" i="254"/>
  <c r="J77" i="254" s="1"/>
  <c r="C110" i="254" s="1"/>
  <c r="C146" i="254" s="1"/>
  <c r="I76" i="265"/>
  <c r="J76" i="265" s="1"/>
  <c r="C109" i="265" s="1"/>
  <c r="C145" i="265" s="1"/>
  <c r="I78" i="260"/>
  <c r="J78" i="260" s="1"/>
  <c r="C111" i="260" s="1"/>
  <c r="C147" i="260" s="1"/>
  <c r="I76" i="249"/>
  <c r="J76" i="249" s="1"/>
  <c r="C109" i="249" s="1"/>
  <c r="C145" i="249" s="1"/>
  <c r="I78" i="285"/>
  <c r="J78" i="285" s="1"/>
  <c r="C111" i="285" s="1"/>
  <c r="C147" i="285" s="1"/>
  <c r="I76" i="242"/>
  <c r="J76" i="242" s="1"/>
  <c r="C109" i="242" s="1"/>
  <c r="D110" i="242" s="1"/>
  <c r="E111" i="242" s="1"/>
  <c r="I79" i="254"/>
  <c r="J79" i="254" s="1"/>
  <c r="C112" i="254" s="1"/>
  <c r="D113" i="254" s="1"/>
  <c r="D149" i="254" s="1"/>
  <c r="I80" i="286"/>
  <c r="J80" i="286" s="1"/>
  <c r="C113" i="286" s="1"/>
  <c r="I79" i="261"/>
  <c r="J79" i="261" s="1"/>
  <c r="C112" i="261" s="1"/>
  <c r="D113" i="261" s="1"/>
  <c r="E114" i="261" s="1"/>
  <c r="I81" i="251"/>
  <c r="J81" i="251" s="1"/>
  <c r="C114" i="251" s="1"/>
  <c r="D115" i="251" s="1"/>
  <c r="E116" i="251" s="1"/>
  <c r="E152" i="251" s="1"/>
  <c r="J82" i="276"/>
  <c r="C115" i="276" s="1"/>
  <c r="D116" i="276" s="1"/>
  <c r="D152" i="276" s="1"/>
  <c r="I81" i="245"/>
  <c r="J81" i="245" s="1"/>
  <c r="C114" i="245" s="1"/>
  <c r="J81" i="315"/>
  <c r="C114" i="315" s="1"/>
  <c r="D115" i="315" s="1"/>
  <c r="D151" i="315" s="1"/>
  <c r="I77" i="241"/>
  <c r="J77" i="241" s="1"/>
  <c r="C110" i="241" s="1"/>
  <c r="I82" i="283"/>
  <c r="J82" i="283" s="1"/>
  <c r="C115" i="283" s="1"/>
  <c r="C151" i="283" s="1"/>
  <c r="I81" i="255"/>
  <c r="J81" i="255" s="1"/>
  <c r="C114" i="255" s="1"/>
  <c r="C150" i="255" s="1"/>
  <c r="I72" i="245"/>
  <c r="J72" i="245" s="1"/>
  <c r="C105" i="245" s="1"/>
  <c r="D106" i="245" s="1"/>
  <c r="E107" i="245" s="1"/>
  <c r="I80" i="255"/>
  <c r="J80" i="255" s="1"/>
  <c r="C113" i="255" s="1"/>
  <c r="C149" i="255" s="1"/>
  <c r="I74" i="259"/>
  <c r="J74" i="259" s="1"/>
  <c r="C107" i="259" s="1"/>
  <c r="C143" i="259" s="1"/>
  <c r="I71" i="281"/>
  <c r="J71" i="281" s="1"/>
  <c r="C104" i="281" s="1"/>
  <c r="D105" i="281" s="1"/>
  <c r="E106" i="281" s="1"/>
  <c r="F107" i="281" s="1"/>
  <c r="G108" i="281" s="1"/>
  <c r="H109" i="281" s="1"/>
  <c r="I74" i="231"/>
  <c r="J74" i="231" s="1"/>
  <c r="C107" i="231" s="1"/>
  <c r="D108" i="231" s="1"/>
  <c r="D144" i="231" s="1"/>
  <c r="I71" i="288"/>
  <c r="J71" i="288" s="1"/>
  <c r="C104" i="288" s="1"/>
  <c r="J71" i="277"/>
  <c r="C104" i="277" s="1"/>
  <c r="C140" i="277" s="1"/>
  <c r="I72" i="234"/>
  <c r="J72" i="234" s="1"/>
  <c r="C105" i="234" s="1"/>
  <c r="D106" i="234" s="1"/>
  <c r="I76" i="245"/>
  <c r="J76" i="245" s="1"/>
  <c r="C109" i="245" s="1"/>
  <c r="D110" i="245" s="1"/>
  <c r="I78" i="240"/>
  <c r="J78" i="240" s="1"/>
  <c r="C111" i="240" s="1"/>
  <c r="I83" i="240"/>
  <c r="J83" i="240" s="1"/>
  <c r="C116" i="240" s="1"/>
  <c r="C152" i="240" s="1"/>
  <c r="I82" i="235"/>
  <c r="J82" i="235" s="1"/>
  <c r="C115" i="235" s="1"/>
  <c r="D116" i="235" s="1"/>
  <c r="D152" i="235" s="1"/>
  <c r="I80" i="249"/>
  <c r="J80" i="249" s="1"/>
  <c r="C113" i="249" s="1"/>
  <c r="C149" i="249" s="1"/>
  <c r="I82" i="281"/>
  <c r="J82" i="281" s="1"/>
  <c r="C115" i="281" s="1"/>
  <c r="I82" i="255"/>
  <c r="J82" i="255" s="1"/>
  <c r="C115" i="255" s="1"/>
  <c r="J75" i="315"/>
  <c r="C108" i="315" s="1"/>
  <c r="D109" i="315" s="1"/>
  <c r="D145" i="315" s="1"/>
  <c r="I75" i="255"/>
  <c r="J75" i="255" s="1"/>
  <c r="C108" i="255" s="1"/>
  <c r="C144" i="255" s="1"/>
  <c r="C151" i="285"/>
  <c r="I70" i="253"/>
  <c r="J70" i="253" s="1"/>
  <c r="C103" i="253" s="1"/>
  <c r="I70" i="287"/>
  <c r="J70" i="287" s="1"/>
  <c r="C103" i="287" s="1"/>
  <c r="I76" i="260"/>
  <c r="J76" i="260" s="1"/>
  <c r="C109" i="260" s="1"/>
  <c r="C145" i="260" s="1"/>
  <c r="I77" i="240"/>
  <c r="J77" i="240" s="1"/>
  <c r="C110" i="240" s="1"/>
  <c r="I76" i="234"/>
  <c r="J76" i="234" s="1"/>
  <c r="C109" i="234" s="1"/>
  <c r="I79" i="253"/>
  <c r="J79" i="253" s="1"/>
  <c r="C112" i="253" s="1"/>
  <c r="C148" i="253" s="1"/>
  <c r="I83" i="247"/>
  <c r="J83" i="247" s="1"/>
  <c r="C116" i="247" s="1"/>
  <c r="C152" i="247" s="1"/>
  <c r="I70" i="231"/>
  <c r="J70" i="231" s="1"/>
  <c r="C103" i="231" s="1"/>
  <c r="D104" i="231" s="1"/>
  <c r="E105" i="231" s="1"/>
  <c r="I73" i="232"/>
  <c r="J73" i="232" s="1"/>
  <c r="C106" i="232" s="1"/>
  <c r="D107" i="232" s="1"/>
  <c r="I78" i="235"/>
  <c r="J78" i="235" s="1"/>
  <c r="C111" i="235" s="1"/>
  <c r="I80" i="233"/>
  <c r="J80" i="233" s="1"/>
  <c r="C113" i="233" s="1"/>
  <c r="D114" i="233" s="1"/>
  <c r="I79" i="257"/>
  <c r="J79" i="257" s="1"/>
  <c r="C112" i="257" s="1"/>
  <c r="C148" i="257" s="1"/>
  <c r="I74" i="250"/>
  <c r="J74" i="250" s="1"/>
  <c r="C107" i="250" s="1"/>
  <c r="D108" i="250" s="1"/>
  <c r="D144" i="250" s="1"/>
  <c r="I70" i="267"/>
  <c r="J70" i="267" s="1"/>
  <c r="C103" i="267" s="1"/>
  <c r="I70" i="235"/>
  <c r="J70" i="235" s="1"/>
  <c r="C103" i="235" s="1"/>
  <c r="I72" i="253"/>
  <c r="J72" i="253" s="1"/>
  <c r="C105" i="253" s="1"/>
  <c r="I71" i="285"/>
  <c r="J71" i="285" s="1"/>
  <c r="C104" i="285" s="1"/>
  <c r="C140" i="285" s="1"/>
  <c r="I78" i="246"/>
  <c r="J78" i="246" s="1"/>
  <c r="C111" i="246" s="1"/>
  <c r="I76" i="241"/>
  <c r="J76" i="241" s="1"/>
  <c r="C109" i="241" s="1"/>
  <c r="C145" i="241" s="1"/>
  <c r="I81" i="250"/>
  <c r="J81" i="250" s="1"/>
  <c r="C114" i="250" s="1"/>
  <c r="C150" i="250" s="1"/>
  <c r="I79" i="283"/>
  <c r="J79" i="283" s="1"/>
  <c r="C112" i="283" s="1"/>
  <c r="D113" i="283" s="1"/>
  <c r="I80" i="234"/>
  <c r="J80" i="234" s="1"/>
  <c r="C113" i="234" s="1"/>
  <c r="I79" i="272"/>
  <c r="J79" i="272" s="1"/>
  <c r="C112" i="272" s="1"/>
  <c r="C148" i="272" s="1"/>
  <c r="I73" i="250"/>
  <c r="J73" i="250" s="1"/>
  <c r="C106" i="250" s="1"/>
  <c r="C142" i="250" s="1"/>
  <c r="I71" i="231"/>
  <c r="J71" i="231" s="1"/>
  <c r="C104" i="231" s="1"/>
  <c r="J73" i="278"/>
  <c r="C106" i="278" s="1"/>
  <c r="D107" i="278" s="1"/>
  <c r="D143" i="278" s="1"/>
  <c r="J71" i="278"/>
  <c r="C104" i="278" s="1"/>
  <c r="D105" i="278" s="1"/>
  <c r="I77" i="232"/>
  <c r="J77" i="232" s="1"/>
  <c r="C110" i="232" s="1"/>
  <c r="C146" i="232" s="1"/>
  <c r="J80" i="276"/>
  <c r="C113" i="276" s="1"/>
  <c r="I78" i="243"/>
  <c r="J78" i="243" s="1"/>
  <c r="C111" i="243" s="1"/>
  <c r="D112" i="243" s="1"/>
  <c r="I81" i="272"/>
  <c r="J81" i="272" s="1"/>
  <c r="C114" i="272" s="1"/>
  <c r="I76" i="285"/>
  <c r="J76" i="285" s="1"/>
  <c r="C109" i="285" s="1"/>
  <c r="C145" i="285" s="1"/>
  <c r="I70" i="257"/>
  <c r="J70" i="257" s="1"/>
  <c r="C103" i="257" s="1"/>
  <c r="I78" i="281"/>
  <c r="J78" i="281" s="1"/>
  <c r="C111" i="281" s="1"/>
  <c r="C147" i="281" s="1"/>
  <c r="J79" i="280"/>
  <c r="C112" i="280" s="1"/>
  <c r="C148" i="280" s="1"/>
  <c r="J81" i="279"/>
  <c r="C114" i="279" s="1"/>
  <c r="C150" i="279" s="1"/>
  <c r="I72" i="232"/>
  <c r="J72" i="232" s="1"/>
  <c r="C105" i="232" s="1"/>
  <c r="D106" i="232" s="1"/>
  <c r="I70" i="254"/>
  <c r="J70" i="254" s="1"/>
  <c r="C103" i="254" s="1"/>
  <c r="C139" i="254" s="1"/>
  <c r="J139" i="254" s="1"/>
  <c r="C159" i="254" s="1"/>
  <c r="E31" i="217" s="1"/>
  <c r="I78" i="282"/>
  <c r="J78" i="282" s="1"/>
  <c r="C111" i="282" s="1"/>
  <c r="D112" i="282" s="1"/>
  <c r="I81" i="286"/>
  <c r="J81" i="286" s="1"/>
  <c r="C114" i="286" s="1"/>
  <c r="D115" i="286" s="1"/>
  <c r="I79" i="232"/>
  <c r="J79" i="232" s="1"/>
  <c r="C112" i="232" s="1"/>
  <c r="D113" i="232" s="1"/>
  <c r="I80" i="281"/>
  <c r="J80" i="281" s="1"/>
  <c r="C113" i="281" s="1"/>
  <c r="I73" i="271"/>
  <c r="J73" i="271" s="1"/>
  <c r="C106" i="271" s="1"/>
  <c r="I70" i="268"/>
  <c r="J70" i="268" s="1"/>
  <c r="C103" i="268" s="1"/>
  <c r="J75" i="278"/>
  <c r="C108" i="278" s="1"/>
  <c r="C144" i="278" s="1"/>
  <c r="I83" i="235"/>
  <c r="J83" i="235" s="1"/>
  <c r="C116" i="235" s="1"/>
  <c r="C152" i="235" s="1"/>
  <c r="I81" i="285"/>
  <c r="J81" i="285" s="1"/>
  <c r="C114" i="285" s="1"/>
  <c r="I83" i="255"/>
  <c r="J83" i="255" s="1"/>
  <c r="C116" i="255" s="1"/>
  <c r="C152" i="255" s="1"/>
  <c r="I81" i="237"/>
  <c r="J81" i="237" s="1"/>
  <c r="C114" i="237" s="1"/>
  <c r="D115" i="237" s="1"/>
  <c r="E116" i="237" s="1"/>
  <c r="C144" i="230"/>
  <c r="D113" i="230"/>
  <c r="I75" i="237"/>
  <c r="J75" i="237" s="1"/>
  <c r="C108" i="237" s="1"/>
  <c r="C144" i="237" s="1"/>
  <c r="I74" i="254"/>
  <c r="J74" i="254" s="1"/>
  <c r="C107" i="254" s="1"/>
  <c r="J77" i="280"/>
  <c r="C110" i="280" s="1"/>
  <c r="C146" i="280" s="1"/>
  <c r="I76" i="259"/>
  <c r="J76" i="259" s="1"/>
  <c r="C109" i="259" s="1"/>
  <c r="C145" i="259" s="1"/>
  <c r="I76" i="257"/>
  <c r="J76" i="257" s="1"/>
  <c r="C109" i="257" s="1"/>
  <c r="C145" i="257" s="1"/>
  <c r="I80" i="252"/>
  <c r="J80" i="252" s="1"/>
  <c r="C113" i="252" s="1"/>
  <c r="C149" i="252" s="1"/>
  <c r="I81" i="233"/>
  <c r="J81" i="233" s="1"/>
  <c r="C114" i="233" s="1"/>
  <c r="C150" i="233" s="1"/>
  <c r="I75" i="235"/>
  <c r="J75" i="235" s="1"/>
  <c r="C108" i="235" s="1"/>
  <c r="C144" i="235" s="1"/>
  <c r="I71" i="284"/>
  <c r="J71" i="284" s="1"/>
  <c r="C104" i="284" s="1"/>
  <c r="C140" i="284" s="1"/>
  <c r="I77" i="260"/>
  <c r="J77" i="260" s="1"/>
  <c r="C110" i="260" s="1"/>
  <c r="I80" i="236"/>
  <c r="J80" i="236" s="1"/>
  <c r="C113" i="236" s="1"/>
  <c r="C149" i="236" s="1"/>
  <c r="I82" i="269"/>
  <c r="J82" i="269" s="1"/>
  <c r="C115" i="269" s="1"/>
  <c r="I73" i="281"/>
  <c r="J73" i="281" s="1"/>
  <c r="C106" i="281" s="1"/>
  <c r="C142" i="281" s="1"/>
  <c r="I73" i="265"/>
  <c r="J73" i="265" s="1"/>
  <c r="C106" i="265" s="1"/>
  <c r="C142" i="265" s="1"/>
  <c r="I71" i="251"/>
  <c r="J71" i="251" s="1"/>
  <c r="C104" i="251" s="1"/>
  <c r="D105" i="251" s="1"/>
  <c r="I74" i="253"/>
  <c r="J74" i="253" s="1"/>
  <c r="C107" i="253" s="1"/>
  <c r="D108" i="253" s="1"/>
  <c r="D144" i="253" s="1"/>
  <c r="J70" i="278"/>
  <c r="C103" i="278" s="1"/>
  <c r="C139" i="278" s="1"/>
  <c r="J139" i="278" s="1"/>
  <c r="C159" i="278" s="1"/>
  <c r="I75" i="240"/>
  <c r="J75" i="240" s="1"/>
  <c r="C108" i="240" s="1"/>
  <c r="I76" i="286"/>
  <c r="J76" i="286" s="1"/>
  <c r="C109" i="286" s="1"/>
  <c r="D110" i="286" s="1"/>
  <c r="E111" i="286" s="1"/>
  <c r="I76" i="252"/>
  <c r="J76" i="252" s="1"/>
  <c r="C109" i="252" s="1"/>
  <c r="C145" i="252" s="1"/>
  <c r="I71" i="266"/>
  <c r="J71" i="266" s="1"/>
  <c r="C104" i="266" s="1"/>
  <c r="C140" i="266" s="1"/>
  <c r="I71" i="248"/>
  <c r="J71" i="248" s="1"/>
  <c r="C104" i="248" s="1"/>
  <c r="D105" i="248" s="1"/>
  <c r="I71" i="282"/>
  <c r="J71" i="282" s="1"/>
  <c r="C104" i="282" s="1"/>
  <c r="C140" i="282" s="1"/>
  <c r="I81" i="260"/>
  <c r="J81" i="260" s="1"/>
  <c r="C114" i="260" s="1"/>
  <c r="C150" i="260" s="1"/>
  <c r="I72" i="250"/>
  <c r="J72" i="250" s="1"/>
  <c r="C105" i="250" s="1"/>
  <c r="D106" i="250" s="1"/>
  <c r="E107" i="250" s="1"/>
  <c r="I70" i="272"/>
  <c r="J70" i="272" s="1"/>
  <c r="C103" i="272" s="1"/>
  <c r="D104" i="272" s="1"/>
  <c r="I73" i="266"/>
  <c r="J73" i="266" s="1"/>
  <c r="C106" i="266" s="1"/>
  <c r="C142" i="266" s="1"/>
  <c r="J77" i="278"/>
  <c r="C110" i="278" s="1"/>
  <c r="I76" i="283"/>
  <c r="J76" i="283" s="1"/>
  <c r="C109" i="283" s="1"/>
  <c r="C145" i="283" s="1"/>
  <c r="I77" i="272"/>
  <c r="J77" i="272" s="1"/>
  <c r="C110" i="272" s="1"/>
  <c r="I82" i="262"/>
  <c r="J82" i="262" s="1"/>
  <c r="C115" i="262" s="1"/>
  <c r="C151" i="262" s="1"/>
  <c r="I80" i="240"/>
  <c r="J80" i="240" s="1"/>
  <c r="C113" i="240" s="1"/>
  <c r="I79" i="258"/>
  <c r="J79" i="258" s="1"/>
  <c r="C112" i="258" s="1"/>
  <c r="C148" i="258" s="1"/>
  <c r="I83" i="282"/>
  <c r="J83" i="282" s="1"/>
  <c r="C116" i="282" s="1"/>
  <c r="C152" i="282" s="1"/>
  <c r="I81" i="268"/>
  <c r="J81" i="268" s="1"/>
  <c r="C114" i="268" s="1"/>
  <c r="D115" i="268" s="1"/>
  <c r="I83" i="259"/>
  <c r="J83" i="259" s="1"/>
  <c r="C116" i="259" s="1"/>
  <c r="C152" i="259" s="1"/>
  <c r="I83" i="239"/>
  <c r="J83" i="239" s="1"/>
  <c r="C116" i="239" s="1"/>
  <c r="C152" i="239" s="1"/>
  <c r="I83" i="243"/>
  <c r="J83" i="243" s="1"/>
  <c r="C116" i="243" s="1"/>
  <c r="C152" i="243" s="1"/>
  <c r="I73" i="249"/>
  <c r="J73" i="249" s="1"/>
  <c r="C106" i="249" s="1"/>
  <c r="C142" i="249" s="1"/>
  <c r="I70" i="244"/>
  <c r="J70" i="244" s="1"/>
  <c r="C103" i="244" s="1"/>
  <c r="D104" i="244" s="1"/>
  <c r="I76" i="239"/>
  <c r="J76" i="239" s="1"/>
  <c r="C109" i="239" s="1"/>
  <c r="D110" i="239" s="1"/>
  <c r="I71" i="250"/>
  <c r="J71" i="250" s="1"/>
  <c r="C104" i="250" s="1"/>
  <c r="J72" i="279"/>
  <c r="C105" i="279" s="1"/>
  <c r="C141" i="279" s="1"/>
  <c r="I70" i="246"/>
  <c r="J70" i="246" s="1"/>
  <c r="C103" i="246" s="1"/>
  <c r="J103" i="246" s="1"/>
  <c r="I71" i="240"/>
  <c r="J71" i="240" s="1"/>
  <c r="C104" i="240" s="1"/>
  <c r="C140" i="240" s="1"/>
  <c r="I79" i="268"/>
  <c r="J79" i="268" s="1"/>
  <c r="C112" i="268" s="1"/>
  <c r="C148" i="268" s="1"/>
  <c r="I80" i="256"/>
  <c r="J80" i="256" s="1"/>
  <c r="C113" i="256" s="1"/>
  <c r="C149" i="256" s="1"/>
  <c r="I79" i="245"/>
  <c r="J79" i="245" s="1"/>
  <c r="C112" i="245" s="1"/>
  <c r="I74" i="258"/>
  <c r="J74" i="258" s="1"/>
  <c r="C107" i="258" s="1"/>
  <c r="D108" i="258" s="1"/>
  <c r="J75" i="279"/>
  <c r="C108" i="279" s="1"/>
  <c r="C144" i="279" s="1"/>
  <c r="I74" i="288"/>
  <c r="J74" i="288" s="1"/>
  <c r="C107" i="288" s="1"/>
  <c r="D108" i="288" s="1"/>
  <c r="E109" i="288" s="1"/>
  <c r="I75" i="282"/>
  <c r="J75" i="282" s="1"/>
  <c r="C108" i="282" s="1"/>
  <c r="D109" i="282" s="1"/>
  <c r="I75" i="234"/>
  <c r="J75" i="234" s="1"/>
  <c r="C108" i="234" s="1"/>
  <c r="D109" i="234" s="1"/>
  <c r="D145" i="234" s="1"/>
  <c r="I76" i="262"/>
  <c r="J76" i="262" s="1"/>
  <c r="C109" i="262" s="1"/>
  <c r="D110" i="262" s="1"/>
  <c r="I76" i="232"/>
  <c r="J76" i="232" s="1"/>
  <c r="C109" i="232" s="1"/>
  <c r="D110" i="232" s="1"/>
  <c r="D146" i="232" s="1"/>
  <c r="J81" i="276"/>
  <c r="C114" i="276" s="1"/>
  <c r="D115" i="276" s="1"/>
  <c r="I73" i="287"/>
  <c r="J73" i="287" s="1"/>
  <c r="C106" i="287" s="1"/>
  <c r="C142" i="287" s="1"/>
  <c r="I79" i="266"/>
  <c r="J79" i="266" s="1"/>
  <c r="C112" i="266" s="1"/>
  <c r="D113" i="266" s="1"/>
  <c r="D149" i="266" s="1"/>
  <c r="I82" i="247"/>
  <c r="J82" i="247" s="1"/>
  <c r="C115" i="247" s="1"/>
  <c r="D116" i="247" s="1"/>
  <c r="D152" i="247" s="1"/>
  <c r="I70" i="233"/>
  <c r="J70" i="233" s="1"/>
  <c r="C103" i="233" s="1"/>
  <c r="J74" i="315"/>
  <c r="C107" i="315" s="1"/>
  <c r="D108" i="315" s="1"/>
  <c r="E109" i="315" s="1"/>
  <c r="I70" i="260"/>
  <c r="J70" i="260" s="1"/>
  <c r="C103" i="260" s="1"/>
  <c r="D104" i="260" s="1"/>
  <c r="D140" i="260" s="1"/>
  <c r="I70" i="264"/>
  <c r="J70" i="264" s="1"/>
  <c r="C103" i="264" s="1"/>
  <c r="C139" i="264" s="1"/>
  <c r="J139" i="264" s="1"/>
  <c r="C159" i="264" s="1"/>
  <c r="E41" i="217" s="1"/>
  <c r="I80" i="284"/>
  <c r="J80" i="284" s="1"/>
  <c r="C113" i="284" s="1"/>
  <c r="C149" i="284" s="1"/>
  <c r="I80" i="269"/>
  <c r="J80" i="269" s="1"/>
  <c r="C113" i="269" s="1"/>
  <c r="C149" i="269" s="1"/>
  <c r="I75" i="266"/>
  <c r="J75" i="266" s="1"/>
  <c r="C108" i="266" s="1"/>
  <c r="C144" i="266" s="1"/>
  <c r="I75" i="285"/>
  <c r="J75" i="285" s="1"/>
  <c r="C108" i="285" s="1"/>
  <c r="D109" i="285" s="1"/>
  <c r="E110" i="285" s="1"/>
  <c r="I83" i="251"/>
  <c r="J83" i="251" s="1"/>
  <c r="C116" i="251" s="1"/>
  <c r="C152" i="251" s="1"/>
  <c r="I71" i="237"/>
  <c r="J71" i="237" s="1"/>
  <c r="C104" i="237" s="1"/>
  <c r="D105" i="237" s="1"/>
  <c r="J72" i="277"/>
  <c r="C105" i="277" s="1"/>
  <c r="C141" i="277" s="1"/>
  <c r="I72" i="286"/>
  <c r="J72" i="286" s="1"/>
  <c r="C105" i="286" s="1"/>
  <c r="C141" i="286" s="1"/>
  <c r="I82" i="260"/>
  <c r="J82" i="260" s="1"/>
  <c r="C115" i="260" s="1"/>
  <c r="C151" i="260" s="1"/>
  <c r="I83" i="254"/>
  <c r="J83" i="254" s="1"/>
  <c r="C116" i="254" s="1"/>
  <c r="C152" i="254" s="1"/>
  <c r="I78" i="251"/>
  <c r="J78" i="251" s="1"/>
  <c r="C111" i="251" s="1"/>
  <c r="I82" i="268"/>
  <c r="J82" i="268" s="1"/>
  <c r="C115" i="268" s="1"/>
  <c r="D116" i="268" s="1"/>
  <c r="I70" i="234"/>
  <c r="J70" i="234" s="1"/>
  <c r="C103" i="234" s="1"/>
  <c r="D104" i="234" s="1"/>
  <c r="J76" i="276"/>
  <c r="C109" i="276" s="1"/>
  <c r="C145" i="276" s="1"/>
  <c r="I81" i="258"/>
  <c r="J81" i="258" s="1"/>
  <c r="C114" i="258" s="1"/>
  <c r="I83" i="274"/>
  <c r="J83" i="274" s="1"/>
  <c r="C116" i="274" s="1"/>
  <c r="C152" i="274" s="1"/>
  <c r="I83" i="241"/>
  <c r="J83" i="241" s="1"/>
  <c r="C116" i="241" s="1"/>
  <c r="C152" i="241" s="1"/>
  <c r="I74" i="239"/>
  <c r="J74" i="239" s="1"/>
  <c r="C107" i="239" s="1"/>
  <c r="D108" i="239" s="1"/>
  <c r="I74" i="283"/>
  <c r="J74" i="283" s="1"/>
  <c r="C107" i="283" s="1"/>
  <c r="I71" i="255"/>
  <c r="J71" i="255" s="1"/>
  <c r="C104" i="255" s="1"/>
  <c r="D105" i="255" s="1"/>
  <c r="I81" i="283"/>
  <c r="J81" i="283" s="1"/>
  <c r="C114" i="283" s="1"/>
  <c r="I81" i="288"/>
  <c r="J81" i="288" s="1"/>
  <c r="C114" i="288" s="1"/>
  <c r="C150" i="288" s="1"/>
  <c r="D144" i="242"/>
  <c r="C143" i="256"/>
  <c r="C139" i="243"/>
  <c r="J139" i="243" s="1"/>
  <c r="C159" i="243" s="1"/>
  <c r="E20" i="217" s="1"/>
  <c r="C144" i="247"/>
  <c r="E145" i="256"/>
  <c r="F145" i="248"/>
  <c r="H145" i="289"/>
  <c r="E145" i="242"/>
  <c r="H145" i="252"/>
  <c r="C146" i="245"/>
  <c r="C142" i="264"/>
  <c r="C151" i="277"/>
  <c r="C149" i="271"/>
  <c r="C150" i="275"/>
  <c r="J103" i="271"/>
  <c r="C147" i="313"/>
  <c r="C147" i="275"/>
  <c r="C149" i="265"/>
  <c r="C149" i="313"/>
  <c r="C148" i="270"/>
  <c r="C147" i="263"/>
  <c r="C144" i="270"/>
  <c r="I72" i="237"/>
  <c r="J72" i="237" s="1"/>
  <c r="C105" i="237" s="1"/>
  <c r="I78" i="237"/>
  <c r="J78" i="237" s="1"/>
  <c r="C111" i="237" s="1"/>
  <c r="C147" i="237" s="1"/>
  <c r="I74" i="232"/>
  <c r="J74" i="232" s="1"/>
  <c r="C107" i="232" s="1"/>
  <c r="D108" i="232" s="1"/>
  <c r="I78" i="254"/>
  <c r="J78" i="254" s="1"/>
  <c r="C111" i="254" s="1"/>
  <c r="C147" i="254" s="1"/>
  <c r="I77" i="268"/>
  <c r="J77" i="268" s="1"/>
  <c r="C110" i="268" s="1"/>
  <c r="D111" i="268" s="1"/>
  <c r="I78" i="269"/>
  <c r="J78" i="269" s="1"/>
  <c r="C111" i="269" s="1"/>
  <c r="D112" i="269" s="1"/>
  <c r="D148" i="269" s="1"/>
  <c r="I78" i="256"/>
  <c r="J78" i="256" s="1"/>
  <c r="C111" i="256" s="1"/>
  <c r="C147" i="256" s="1"/>
  <c r="I82" i="240"/>
  <c r="J82" i="240" s="1"/>
  <c r="C115" i="240" s="1"/>
  <c r="D116" i="240" s="1"/>
  <c r="D152" i="240" s="1"/>
  <c r="I80" i="282"/>
  <c r="J80" i="282" s="1"/>
  <c r="C113" i="282" s="1"/>
  <c r="I70" i="242"/>
  <c r="J70" i="242" s="1"/>
  <c r="C103" i="242" s="1"/>
  <c r="I74" i="260"/>
  <c r="J74" i="260" s="1"/>
  <c r="C107" i="260" s="1"/>
  <c r="C143" i="260" s="1"/>
  <c r="I75" i="241"/>
  <c r="J75" i="241" s="1"/>
  <c r="C108" i="241" s="1"/>
  <c r="C144" i="241" s="1"/>
  <c r="J79" i="279"/>
  <c r="C112" i="279" s="1"/>
  <c r="C148" i="279" s="1"/>
  <c r="J72" i="276"/>
  <c r="C105" i="276" s="1"/>
  <c r="D106" i="276" s="1"/>
  <c r="D142" i="276" s="1"/>
  <c r="I74" i="266"/>
  <c r="J74" i="266" s="1"/>
  <c r="C107" i="266" s="1"/>
  <c r="J75" i="276"/>
  <c r="C108" i="276" s="1"/>
  <c r="C144" i="276" s="1"/>
  <c r="I74" i="272"/>
  <c r="J74" i="272" s="1"/>
  <c r="C107" i="272" s="1"/>
  <c r="C143" i="272" s="1"/>
  <c r="I75" i="231"/>
  <c r="J75" i="231" s="1"/>
  <c r="C108" i="231" s="1"/>
  <c r="C144" i="231" s="1"/>
  <c r="I70" i="239"/>
  <c r="J70" i="239" s="1"/>
  <c r="C103" i="239" s="1"/>
  <c r="C139" i="239" s="1"/>
  <c r="J139" i="239" s="1"/>
  <c r="C159" i="239" s="1"/>
  <c r="I72" i="268"/>
  <c r="J72" i="268" s="1"/>
  <c r="C105" i="268" s="1"/>
  <c r="C141" i="268" s="1"/>
  <c r="I74" i="282"/>
  <c r="J74" i="282" s="1"/>
  <c r="C107" i="282" s="1"/>
  <c r="C143" i="282" s="1"/>
  <c r="I72" i="255"/>
  <c r="J72" i="255" s="1"/>
  <c r="C105" i="255" s="1"/>
  <c r="C141" i="255" s="1"/>
  <c r="J77" i="279"/>
  <c r="C110" i="279" s="1"/>
  <c r="D111" i="279" s="1"/>
  <c r="D147" i="279" s="1"/>
  <c r="I78" i="261"/>
  <c r="J78" i="261" s="1"/>
  <c r="C111" i="261" s="1"/>
  <c r="I77" i="284"/>
  <c r="J77" i="284" s="1"/>
  <c r="C110" i="284" s="1"/>
  <c r="I77" i="288"/>
  <c r="J77" i="288" s="1"/>
  <c r="C110" i="288" s="1"/>
  <c r="D111" i="288" s="1"/>
  <c r="D147" i="288" s="1"/>
  <c r="I83" i="246"/>
  <c r="J83" i="246" s="1"/>
  <c r="C116" i="246" s="1"/>
  <c r="C152" i="246" s="1"/>
  <c r="I79" i="251"/>
  <c r="J79" i="251" s="1"/>
  <c r="C112" i="251" s="1"/>
  <c r="C148" i="251" s="1"/>
  <c r="I79" i="284"/>
  <c r="J79" i="284" s="1"/>
  <c r="C112" i="284" s="1"/>
  <c r="I82" i="259"/>
  <c r="J82" i="259" s="1"/>
  <c r="C115" i="259" s="1"/>
  <c r="C151" i="259" s="1"/>
  <c r="I79" i="269"/>
  <c r="J79" i="269" s="1"/>
  <c r="C112" i="269" s="1"/>
  <c r="D113" i="269" s="1"/>
  <c r="J79" i="315"/>
  <c r="C112" i="315" s="1"/>
  <c r="C148" i="315" s="1"/>
  <c r="I71" i="233"/>
  <c r="J71" i="233" s="1"/>
  <c r="C104" i="233" s="1"/>
  <c r="I71" i="265"/>
  <c r="J71" i="265" s="1"/>
  <c r="C104" i="265" s="1"/>
  <c r="D105" i="265" s="1"/>
  <c r="I73" i="241"/>
  <c r="J73" i="241" s="1"/>
  <c r="C106" i="241" s="1"/>
  <c r="D107" i="241" s="1"/>
  <c r="I78" i="255"/>
  <c r="J78" i="255" s="1"/>
  <c r="C111" i="255" s="1"/>
  <c r="I79" i="262"/>
  <c r="J79" i="262" s="1"/>
  <c r="C112" i="262" s="1"/>
  <c r="C148" i="262" s="1"/>
  <c r="I83" i="261"/>
  <c r="J83" i="261" s="1"/>
  <c r="C116" i="261" s="1"/>
  <c r="C152" i="261" s="1"/>
  <c r="I82" i="274"/>
  <c r="J82" i="274" s="1"/>
  <c r="C115" i="274" s="1"/>
  <c r="I83" i="272"/>
  <c r="J83" i="272" s="1"/>
  <c r="C116" i="272" s="1"/>
  <c r="C152" i="272" s="1"/>
  <c r="I73" i="233"/>
  <c r="J73" i="233" s="1"/>
  <c r="C106" i="233" s="1"/>
  <c r="D107" i="233" s="1"/>
  <c r="E108" i="233" s="1"/>
  <c r="I75" i="243"/>
  <c r="J75" i="243" s="1"/>
  <c r="C108" i="243" s="1"/>
  <c r="D109" i="243" s="1"/>
  <c r="I75" i="239"/>
  <c r="J75" i="239" s="1"/>
  <c r="C108" i="239" s="1"/>
  <c r="D109" i="239" s="1"/>
  <c r="I70" i="282"/>
  <c r="J70" i="282" s="1"/>
  <c r="C103" i="282" s="1"/>
  <c r="D104" i="282" s="1"/>
  <c r="J104" i="282" s="1"/>
  <c r="I71" i="286"/>
  <c r="J71" i="286" s="1"/>
  <c r="C104" i="286" s="1"/>
  <c r="C140" i="286" s="1"/>
  <c r="I73" i="254"/>
  <c r="J73" i="254" s="1"/>
  <c r="C106" i="254" s="1"/>
  <c r="C142" i="254" s="1"/>
  <c r="J78" i="279"/>
  <c r="C111" i="279" s="1"/>
  <c r="C147" i="279" s="1"/>
  <c r="J76" i="280"/>
  <c r="C109" i="280" s="1"/>
  <c r="C145" i="280" s="1"/>
  <c r="I77" i="256"/>
  <c r="J77" i="256" s="1"/>
  <c r="C110" i="256" s="1"/>
  <c r="I82" i="282"/>
  <c r="J82" i="282" s="1"/>
  <c r="C115" i="282" s="1"/>
  <c r="C151" i="282" s="1"/>
  <c r="I80" i="232"/>
  <c r="J80" i="232" s="1"/>
  <c r="C113" i="232" s="1"/>
  <c r="C149" i="232" s="1"/>
  <c r="I80" i="259"/>
  <c r="J80" i="259" s="1"/>
  <c r="C113" i="259" s="1"/>
  <c r="C149" i="259" s="1"/>
  <c r="I80" i="257"/>
  <c r="J80" i="257" s="1"/>
  <c r="C113" i="257" s="1"/>
  <c r="J73" i="279"/>
  <c r="C106" i="279" s="1"/>
  <c r="C142" i="279" s="1"/>
  <c r="I73" i="231"/>
  <c r="J73" i="231" s="1"/>
  <c r="C106" i="231" s="1"/>
  <c r="I70" i="288"/>
  <c r="J70" i="288" s="1"/>
  <c r="C103" i="288" s="1"/>
  <c r="I70" i="251"/>
  <c r="J70" i="251" s="1"/>
  <c r="C103" i="251" s="1"/>
  <c r="J72" i="278"/>
  <c r="C105" i="278" s="1"/>
  <c r="D106" i="278" s="1"/>
  <c r="D142" i="278" s="1"/>
  <c r="I70" i="289"/>
  <c r="J70" i="289" s="1"/>
  <c r="C103" i="289" s="1"/>
  <c r="I76" i="253"/>
  <c r="J76" i="253" s="1"/>
  <c r="C109" i="253" s="1"/>
  <c r="D110" i="253" s="1"/>
  <c r="E111" i="253" s="1"/>
  <c r="I78" i="284"/>
  <c r="J78" i="284" s="1"/>
  <c r="C111" i="284" s="1"/>
  <c r="D112" i="284" s="1"/>
  <c r="D148" i="284" s="1"/>
  <c r="I76" i="240"/>
  <c r="J76" i="240" s="1"/>
  <c r="C109" i="240" s="1"/>
  <c r="D110" i="240" s="1"/>
  <c r="E111" i="240" s="1"/>
  <c r="I76" i="288"/>
  <c r="J76" i="288" s="1"/>
  <c r="C109" i="288" s="1"/>
  <c r="D110" i="288" s="1"/>
  <c r="D146" i="288" s="1"/>
  <c r="I78" i="234"/>
  <c r="J78" i="234" s="1"/>
  <c r="C111" i="234" s="1"/>
  <c r="D112" i="234" s="1"/>
  <c r="D148" i="234" s="1"/>
  <c r="I79" i="246"/>
  <c r="J79" i="246" s="1"/>
  <c r="C112" i="246" s="1"/>
  <c r="D113" i="246" s="1"/>
  <c r="E114" i="246" s="1"/>
  <c r="J80" i="280"/>
  <c r="C113" i="280" s="1"/>
  <c r="D114" i="280" s="1"/>
  <c r="I82" i="232"/>
  <c r="J82" i="232" s="1"/>
  <c r="C115" i="232" s="1"/>
  <c r="D116" i="232" s="1"/>
  <c r="D152" i="232" s="1"/>
  <c r="I81" i="256"/>
  <c r="J81" i="256" s="1"/>
  <c r="C114" i="256" s="1"/>
  <c r="D115" i="256" s="1"/>
  <c r="E116" i="256" s="1"/>
  <c r="E152" i="256" s="1"/>
  <c r="I81" i="247"/>
  <c r="J81" i="247" s="1"/>
  <c r="C114" i="247" s="1"/>
  <c r="D115" i="247" s="1"/>
  <c r="E116" i="247" s="1"/>
  <c r="I81" i="259"/>
  <c r="J81" i="259" s="1"/>
  <c r="C114" i="259" s="1"/>
  <c r="C150" i="259" s="1"/>
  <c r="J75" i="280"/>
  <c r="C108" i="280" s="1"/>
  <c r="D109" i="280" s="1"/>
  <c r="E110" i="280" s="1"/>
  <c r="F111" i="280" s="1"/>
  <c r="G112" i="280" s="1"/>
  <c r="H113" i="280" s="1"/>
  <c r="I114" i="280" s="1"/>
  <c r="I73" i="251"/>
  <c r="J73" i="251" s="1"/>
  <c r="C106" i="251" s="1"/>
  <c r="C142" i="251" s="1"/>
  <c r="I77" i="234"/>
  <c r="J77" i="234" s="1"/>
  <c r="C110" i="234" s="1"/>
  <c r="I79" i="231"/>
  <c r="J79" i="231" s="1"/>
  <c r="C112" i="231" s="1"/>
  <c r="C148" i="231" s="1"/>
  <c r="I74" i="233"/>
  <c r="J74" i="233" s="1"/>
  <c r="C107" i="233" s="1"/>
  <c r="I72" i="274"/>
  <c r="J72" i="274" s="1"/>
  <c r="C105" i="274" s="1"/>
  <c r="D106" i="274" s="1"/>
  <c r="E107" i="274" s="1"/>
  <c r="I75" i="272"/>
  <c r="J75" i="272" s="1"/>
  <c r="C108" i="272" s="1"/>
  <c r="I74" i="265"/>
  <c r="J74" i="265" s="1"/>
  <c r="C107" i="265" s="1"/>
  <c r="C143" i="265" s="1"/>
  <c r="I72" i="282"/>
  <c r="J72" i="282" s="1"/>
  <c r="C105" i="282" s="1"/>
  <c r="I78" i="253"/>
  <c r="J78" i="253" s="1"/>
  <c r="C111" i="253" s="1"/>
  <c r="C147" i="253" s="1"/>
  <c r="I82" i="261"/>
  <c r="J82" i="261" s="1"/>
  <c r="C115" i="261" s="1"/>
  <c r="I83" i="232"/>
  <c r="J83" i="232" s="1"/>
  <c r="C116" i="232" s="1"/>
  <c r="C152" i="232" s="1"/>
  <c r="I80" i="285"/>
  <c r="J80" i="285" s="1"/>
  <c r="C113" i="285" s="1"/>
  <c r="C149" i="285" s="1"/>
  <c r="I82" i="243"/>
  <c r="J82" i="243" s="1"/>
  <c r="C115" i="243" s="1"/>
  <c r="C151" i="243" s="1"/>
  <c r="I70" i="245"/>
  <c r="J70" i="245" s="1"/>
  <c r="C103" i="245" s="1"/>
  <c r="J103" i="245" s="1"/>
  <c r="I74" i="264"/>
  <c r="J74" i="264" s="1"/>
  <c r="C107" i="264" s="1"/>
  <c r="C143" i="264" s="1"/>
  <c r="C150" i="231"/>
  <c r="I73" i="260"/>
  <c r="J73" i="260" s="1"/>
  <c r="C106" i="260" s="1"/>
  <c r="D107" i="260" s="1"/>
  <c r="E108" i="260" s="1"/>
  <c r="I70" i="232"/>
  <c r="J70" i="232" s="1"/>
  <c r="C103" i="232" s="1"/>
  <c r="D104" i="232" s="1"/>
  <c r="D140" i="232" s="1"/>
  <c r="I74" i="286"/>
  <c r="J74" i="286" s="1"/>
  <c r="C107" i="286" s="1"/>
  <c r="D108" i="286" s="1"/>
  <c r="E109" i="286" s="1"/>
  <c r="I77" i="258"/>
  <c r="J77" i="258" s="1"/>
  <c r="C110" i="258" s="1"/>
  <c r="D111" i="258" s="1"/>
  <c r="E112" i="258" s="1"/>
  <c r="I77" i="274"/>
  <c r="J77" i="274" s="1"/>
  <c r="C110" i="274" s="1"/>
  <c r="D111" i="274" s="1"/>
  <c r="E112" i="274" s="1"/>
  <c r="I77" i="242"/>
  <c r="J77" i="242" s="1"/>
  <c r="C110" i="242" s="1"/>
  <c r="D111" i="242" s="1"/>
  <c r="I83" i="286"/>
  <c r="J83" i="286" s="1"/>
  <c r="C116" i="286" s="1"/>
  <c r="C152" i="286" s="1"/>
  <c r="I83" i="256"/>
  <c r="J83" i="256" s="1"/>
  <c r="C116" i="256" s="1"/>
  <c r="C152" i="256" s="1"/>
  <c r="J72" i="315"/>
  <c r="C105" i="315" s="1"/>
  <c r="D106" i="315" s="1"/>
  <c r="E107" i="315" s="1"/>
  <c r="I71" i="235"/>
  <c r="J71" i="235" s="1"/>
  <c r="C104" i="235" s="1"/>
  <c r="I75" i="261"/>
  <c r="J75" i="261" s="1"/>
  <c r="C108" i="261" s="1"/>
  <c r="D109" i="261" s="1"/>
  <c r="I81" i="240"/>
  <c r="J81" i="240" s="1"/>
  <c r="C114" i="240" s="1"/>
  <c r="I79" i="239"/>
  <c r="J79" i="239" s="1"/>
  <c r="C112" i="239" s="1"/>
  <c r="D113" i="239" s="1"/>
  <c r="I73" i="274"/>
  <c r="J73" i="274" s="1"/>
  <c r="C106" i="274" s="1"/>
  <c r="J70" i="276"/>
  <c r="C103" i="276" s="1"/>
  <c r="J71" i="313"/>
  <c r="C104" i="313" s="1"/>
  <c r="I74" i="287"/>
  <c r="J74" i="287" s="1"/>
  <c r="C107" i="287" s="1"/>
  <c r="C143" i="287" s="1"/>
  <c r="I77" i="251"/>
  <c r="J77" i="251" s="1"/>
  <c r="C110" i="251" s="1"/>
  <c r="D111" i="251" s="1"/>
  <c r="D147" i="251" s="1"/>
  <c r="I82" i="254"/>
  <c r="J82" i="254" s="1"/>
  <c r="C115" i="254" s="1"/>
  <c r="D116" i="254" s="1"/>
  <c r="D152" i="254" s="1"/>
  <c r="J83" i="280"/>
  <c r="C116" i="280" s="1"/>
  <c r="C152" i="280" s="1"/>
  <c r="J83" i="276"/>
  <c r="C116" i="276" s="1"/>
  <c r="C152" i="276" s="1"/>
  <c r="I80" i="288"/>
  <c r="J80" i="288" s="1"/>
  <c r="C113" i="288" s="1"/>
  <c r="I79" i="241"/>
  <c r="J79" i="241" s="1"/>
  <c r="C112" i="241" s="1"/>
  <c r="D113" i="241" s="1"/>
  <c r="E114" i="241" s="1"/>
  <c r="I71" i="259"/>
  <c r="J71" i="259" s="1"/>
  <c r="C104" i="259" s="1"/>
  <c r="D105" i="259" s="1"/>
  <c r="E106" i="259" s="1"/>
  <c r="I73" i="235"/>
  <c r="J73" i="235" s="1"/>
  <c r="C106" i="235" s="1"/>
  <c r="C142" i="235" s="1"/>
  <c r="I82" i="288"/>
  <c r="J82" i="288" s="1"/>
  <c r="C115" i="288" s="1"/>
  <c r="C151" i="288" s="1"/>
  <c r="I72" i="240"/>
  <c r="J72" i="240" s="1"/>
  <c r="C105" i="240" s="1"/>
  <c r="C141" i="240" s="1"/>
  <c r="I83" i="250"/>
  <c r="J83" i="250" s="1"/>
  <c r="C116" i="250" s="1"/>
  <c r="C152" i="250" s="1"/>
  <c r="I80" i="243"/>
  <c r="J80" i="243" s="1"/>
  <c r="C113" i="243" s="1"/>
  <c r="D114" i="243" s="1"/>
  <c r="I71" i="236"/>
  <c r="J71" i="236" s="1"/>
  <c r="C104" i="236" s="1"/>
  <c r="I70" i="240"/>
  <c r="J70" i="240" s="1"/>
  <c r="C103" i="240" s="1"/>
  <c r="D104" i="240" s="1"/>
  <c r="I81" i="249"/>
  <c r="J81" i="249" s="1"/>
  <c r="C114" i="249" s="1"/>
  <c r="D115" i="249" s="1"/>
  <c r="I80" i="253"/>
  <c r="J80" i="253" s="1"/>
  <c r="C113" i="253" s="1"/>
  <c r="D114" i="253" s="1"/>
  <c r="J77" i="276"/>
  <c r="C110" i="276" s="1"/>
  <c r="D111" i="276" s="1"/>
  <c r="I79" i="286"/>
  <c r="J79" i="286" s="1"/>
  <c r="C112" i="286" s="1"/>
  <c r="I73" i="286"/>
  <c r="J73" i="286" s="1"/>
  <c r="C106" i="286" s="1"/>
  <c r="C142" i="286" s="1"/>
  <c r="I76" i="243"/>
  <c r="J76" i="243" s="1"/>
  <c r="C109" i="243" s="1"/>
  <c r="C145" i="243" s="1"/>
  <c r="I81" i="261"/>
  <c r="J81" i="261" s="1"/>
  <c r="C114" i="261" s="1"/>
  <c r="D115" i="261" s="1"/>
  <c r="I79" i="259"/>
  <c r="J79" i="259" s="1"/>
  <c r="C112" i="259" s="1"/>
  <c r="D113" i="259" s="1"/>
  <c r="J71" i="279"/>
  <c r="C104" i="279" s="1"/>
  <c r="D105" i="279" s="1"/>
  <c r="I71" i="243"/>
  <c r="J71" i="243" s="1"/>
  <c r="C104" i="243" s="1"/>
  <c r="C140" i="243" s="1"/>
  <c r="I75" i="253"/>
  <c r="J75" i="253" s="1"/>
  <c r="C108" i="253" s="1"/>
  <c r="D109" i="253" s="1"/>
  <c r="I72" i="254"/>
  <c r="J72" i="254" s="1"/>
  <c r="C105" i="254" s="1"/>
  <c r="D106" i="254" s="1"/>
  <c r="I76" i="231"/>
  <c r="J76" i="231" s="1"/>
  <c r="C109" i="231" s="1"/>
  <c r="D110" i="231" s="1"/>
  <c r="I81" i="274"/>
  <c r="J81" i="274" s="1"/>
  <c r="C114" i="274" s="1"/>
  <c r="D115" i="274" s="1"/>
  <c r="I83" i="231"/>
  <c r="J83" i="231" s="1"/>
  <c r="C116" i="231" s="1"/>
  <c r="C152" i="231" s="1"/>
  <c r="D108" i="289"/>
  <c r="E109" i="289" s="1"/>
  <c r="D116" i="284"/>
  <c r="D152" i="284" s="1"/>
  <c r="C142" i="283"/>
  <c r="D112" i="283"/>
  <c r="D110" i="282"/>
  <c r="D146" i="282" s="1"/>
  <c r="D110" i="281"/>
  <c r="D146" i="281" s="1"/>
  <c r="D105" i="274"/>
  <c r="E106" i="274" s="1"/>
  <c r="D116" i="272"/>
  <c r="D152" i="272" s="1"/>
  <c r="D112" i="272"/>
  <c r="D110" i="268"/>
  <c r="D146" i="268" s="1"/>
  <c r="D108" i="267"/>
  <c r="D144" i="267" s="1"/>
  <c r="D115" i="262"/>
  <c r="D104" i="261"/>
  <c r="D110" i="255"/>
  <c r="E111" i="255" s="1"/>
  <c r="C142" i="255"/>
  <c r="D110" i="254"/>
  <c r="E111" i="254" s="1"/>
  <c r="C148" i="249"/>
  <c r="C151" i="249"/>
  <c r="C140" i="245"/>
  <c r="C150" i="244"/>
  <c r="D109" i="244"/>
  <c r="C148" i="244"/>
  <c r="C150" i="241"/>
  <c r="C149" i="241"/>
  <c r="C143" i="236"/>
  <c r="C146" i="235"/>
  <c r="C141" i="235"/>
  <c r="C150" i="234"/>
  <c r="J103" i="261"/>
  <c r="F106" i="230"/>
  <c r="E141" i="230"/>
  <c r="C140" i="280"/>
  <c r="J103" i="284"/>
  <c r="F145" i="290"/>
  <c r="E109" i="263"/>
  <c r="D144" i="263"/>
  <c r="C139" i="281"/>
  <c r="J139" i="281" s="1"/>
  <c r="C159" i="281" s="1"/>
  <c r="C160" i="281" s="1"/>
  <c r="C142" i="262"/>
  <c r="H74" i="303"/>
  <c r="C141" i="313"/>
  <c r="G145" i="292"/>
  <c r="D145" i="264"/>
  <c r="D106" i="281"/>
  <c r="E107" i="281" s="1"/>
  <c r="F108" i="281" s="1"/>
  <c r="G109" i="281" s="1"/>
  <c r="H110" i="281" s="1"/>
  <c r="I111" i="281" s="1"/>
  <c r="C140" i="294"/>
  <c r="C144" i="267"/>
  <c r="C144" i="264"/>
  <c r="D144" i="262"/>
  <c r="C141" i="280"/>
  <c r="H145" i="287"/>
  <c r="J103" i="292"/>
  <c r="G145" i="313"/>
  <c r="G145" i="271"/>
  <c r="D104" i="281"/>
  <c r="E105" i="281" s="1"/>
  <c r="F106" i="281" s="1"/>
  <c r="G107" i="281" s="1"/>
  <c r="H108" i="281" s="1"/>
  <c r="I109" i="281" s="1"/>
  <c r="I145" i="281" s="1"/>
  <c r="D104" i="292"/>
  <c r="E105" i="292" s="1"/>
  <c r="F106" i="292" s="1"/>
  <c r="G107" i="292" s="1"/>
  <c r="H108" i="292" s="1"/>
  <c r="I109" i="292" s="1"/>
  <c r="I145" i="292" s="1"/>
  <c r="D104" i="269"/>
  <c r="E105" i="269" s="1"/>
  <c r="F106" i="269" s="1"/>
  <c r="G107" i="269" s="1"/>
  <c r="H108" i="269" s="1"/>
  <c r="I109" i="269" s="1"/>
  <c r="I145" i="269" s="1"/>
  <c r="C141" i="294"/>
  <c r="G145" i="272"/>
  <c r="C140" i="287"/>
  <c r="J103" i="262"/>
  <c r="C141" i="271"/>
  <c r="C140" i="309"/>
  <c r="C141" i="272"/>
  <c r="E145" i="290"/>
  <c r="H145" i="294"/>
  <c r="G145" i="294"/>
  <c r="D104" i="280"/>
  <c r="E105" i="280" s="1"/>
  <c r="F106" i="280" s="1"/>
  <c r="G107" i="280" s="1"/>
  <c r="H108" i="280" s="1"/>
  <c r="I109" i="280" s="1"/>
  <c r="I145" i="280" s="1"/>
  <c r="J103" i="258"/>
  <c r="C139" i="280"/>
  <c r="J139" i="280" s="1"/>
  <c r="C159" i="280" s="1"/>
  <c r="C160" i="280" s="1"/>
  <c r="D104" i="262"/>
  <c r="E105" i="262" s="1"/>
  <c r="F106" i="262" s="1"/>
  <c r="G107" i="262" s="1"/>
  <c r="H108" i="262" s="1"/>
  <c r="I109" i="262" s="1"/>
  <c r="I145" i="262" s="1"/>
  <c r="D108" i="313"/>
  <c r="C144" i="269"/>
  <c r="C143" i="293"/>
  <c r="C144" i="271"/>
  <c r="C140" i="271"/>
  <c r="E145" i="262"/>
  <c r="G145" i="280"/>
  <c r="D109" i="262"/>
  <c r="E110" i="262" s="1"/>
  <c r="F111" i="262" s="1"/>
  <c r="G112" i="262" s="1"/>
  <c r="H113" i="262" s="1"/>
  <c r="I114" i="262" s="1"/>
  <c r="C148" i="237"/>
  <c r="C143" i="262"/>
  <c r="C144" i="258"/>
  <c r="H145" i="280"/>
  <c r="G145" i="287"/>
  <c r="C140" i="269"/>
  <c r="H145" i="269"/>
  <c r="C139" i="258"/>
  <c r="J139" i="258" s="1"/>
  <c r="C159" i="258" s="1"/>
  <c r="C160" i="258" s="1"/>
  <c r="D144" i="293"/>
  <c r="C141" i="284"/>
  <c r="F145" i="262"/>
  <c r="C142" i="310"/>
  <c r="C142" i="267"/>
  <c r="F145" i="267"/>
  <c r="E145" i="293"/>
  <c r="C140" i="258"/>
  <c r="G145" i="293"/>
  <c r="C141" i="269"/>
  <c r="C141" i="287"/>
  <c r="C141" i="290"/>
  <c r="C143" i="290"/>
  <c r="F145" i="294"/>
  <c r="H145" i="290"/>
  <c r="H80" i="303"/>
  <c r="J75" i="303"/>
  <c r="C108" i="303" s="1"/>
  <c r="C141" i="293"/>
  <c r="C142" i="258"/>
  <c r="J103" i="269"/>
  <c r="C144" i="293"/>
  <c r="C140" i="290"/>
  <c r="C142" i="294"/>
  <c r="C139" i="294"/>
  <c r="J139" i="294" s="1"/>
  <c r="C159" i="294" s="1"/>
  <c r="E71" i="217" s="1"/>
  <c r="H145" i="309"/>
  <c r="G145" i="290"/>
  <c r="H145" i="271"/>
  <c r="H145" i="258"/>
  <c r="H73" i="303"/>
  <c r="C141" i="292"/>
  <c r="G145" i="269"/>
  <c r="G71" i="300"/>
  <c r="G72" i="308"/>
  <c r="G72" i="304"/>
  <c r="E109" i="236"/>
  <c r="D144" i="236"/>
  <c r="E113" i="229"/>
  <c r="D148" i="229"/>
  <c r="C145" i="244"/>
  <c r="D110" i="244"/>
  <c r="C151" i="250"/>
  <c r="D116" i="250"/>
  <c r="D152" i="250" s="1"/>
  <c r="C150" i="243"/>
  <c r="D115" i="243"/>
  <c r="C143" i="255"/>
  <c r="D108" i="255"/>
  <c r="C152" i="284"/>
  <c r="C143" i="234"/>
  <c r="D108" i="234"/>
  <c r="C146" i="282"/>
  <c r="D111" i="282"/>
  <c r="C151" i="266"/>
  <c r="D116" i="266"/>
  <c r="D152" i="266" s="1"/>
  <c r="D144" i="294"/>
  <c r="C141" i="262"/>
  <c r="G70" i="308"/>
  <c r="G70" i="302"/>
  <c r="G70" i="301"/>
  <c r="G72" i="302"/>
  <c r="G70" i="263"/>
  <c r="H70" i="263" s="1"/>
  <c r="I70" i="263" s="1"/>
  <c r="G71" i="306"/>
  <c r="H71" i="306" s="1"/>
  <c r="I71" i="306" s="1"/>
  <c r="G72" i="305"/>
  <c r="G71" i="307"/>
  <c r="G71" i="297"/>
  <c r="F145" i="280"/>
  <c r="G145" i="310"/>
  <c r="E106" i="229"/>
  <c r="D141" i="229"/>
  <c r="C146" i="283"/>
  <c r="D111" i="283"/>
  <c r="C141" i="243"/>
  <c r="D106" i="243"/>
  <c r="C140" i="239"/>
  <c r="D105" i="239"/>
  <c r="C146" i="248"/>
  <c r="D111" i="248"/>
  <c r="C145" i="256"/>
  <c r="D110" i="256"/>
  <c r="C152" i="253"/>
  <c r="C142" i="280"/>
  <c r="C143" i="294"/>
  <c r="C141" i="310"/>
  <c r="G72" i="306"/>
  <c r="G71" i="308"/>
  <c r="G70" i="300"/>
  <c r="G71" i="304"/>
  <c r="G71" i="270"/>
  <c r="H71" i="270" s="1"/>
  <c r="I71" i="270" s="1"/>
  <c r="H70" i="298"/>
  <c r="E145" i="294"/>
  <c r="G145" i="262"/>
  <c r="E108" i="255"/>
  <c r="D143" i="255"/>
  <c r="E114" i="244"/>
  <c r="D149" i="244"/>
  <c r="E116" i="234"/>
  <c r="D151" i="234"/>
  <c r="F110" i="230"/>
  <c r="E145" i="230"/>
  <c r="C147" i="244"/>
  <c r="D112" i="244"/>
  <c r="C146" i="239"/>
  <c r="D111" i="239"/>
  <c r="C148" i="282"/>
  <c r="D113" i="282"/>
  <c r="C144" i="259"/>
  <c r="D109" i="259"/>
  <c r="C147" i="268"/>
  <c r="D112" i="268"/>
  <c r="C147" i="259"/>
  <c r="D112" i="259"/>
  <c r="C146" i="257"/>
  <c r="D111" i="257"/>
  <c r="C149" i="254"/>
  <c r="D114" i="254"/>
  <c r="C148" i="240"/>
  <c r="D113" i="240"/>
  <c r="C149" i="261"/>
  <c r="D114" i="261"/>
  <c r="H79" i="303"/>
  <c r="C150" i="248"/>
  <c r="D115" i="248"/>
  <c r="C139" i="283"/>
  <c r="J139" i="283" s="1"/>
  <c r="C159" i="283" s="1"/>
  <c r="D104" i="283"/>
  <c r="J103" i="283"/>
  <c r="C143" i="285"/>
  <c r="D108" i="285"/>
  <c r="C146" i="253"/>
  <c r="D111" i="253"/>
  <c r="C152" i="262"/>
  <c r="C148" i="236"/>
  <c r="D113" i="236"/>
  <c r="C140" i="267"/>
  <c r="D105" i="267"/>
  <c r="C144" i="288"/>
  <c r="D109" i="288"/>
  <c r="C140" i="260"/>
  <c r="D105" i="260"/>
  <c r="C140" i="261"/>
  <c r="D105" i="261"/>
  <c r="C147" i="286"/>
  <c r="D112" i="286"/>
  <c r="C150" i="284"/>
  <c r="D115" i="284"/>
  <c r="C152" i="281"/>
  <c r="G70" i="306"/>
  <c r="G70" i="270"/>
  <c r="F114" i="230"/>
  <c r="E149" i="230"/>
  <c r="E106" i="245"/>
  <c r="D141" i="245"/>
  <c r="E116" i="244"/>
  <c r="D151" i="244"/>
  <c r="C146" i="265"/>
  <c r="D111" i="265"/>
  <c r="C151" i="246"/>
  <c r="D116" i="246"/>
  <c r="C147" i="233"/>
  <c r="D112" i="233"/>
  <c r="C149" i="246"/>
  <c r="D114" i="246"/>
  <c r="C146" i="289"/>
  <c r="D111" i="289"/>
  <c r="C152" i="252"/>
  <c r="C143" i="244"/>
  <c r="D108" i="244"/>
  <c r="G72" i="301"/>
  <c r="G71" i="302"/>
  <c r="H71" i="302" s="1"/>
  <c r="I71" i="302" s="1"/>
  <c r="J72" i="298"/>
  <c r="C105" i="298" s="1"/>
  <c r="E108" i="283"/>
  <c r="D143" i="283"/>
  <c r="E116" i="231"/>
  <c r="E152" i="231" s="1"/>
  <c r="D151" i="231"/>
  <c r="J71" i="298"/>
  <c r="C104" i="298" s="1"/>
  <c r="J103" i="294"/>
  <c r="G70" i="304"/>
  <c r="G72" i="299"/>
  <c r="G70" i="297"/>
  <c r="G72" i="297"/>
  <c r="G72" i="300"/>
  <c r="G71" i="263"/>
  <c r="F145" i="258"/>
  <c r="D149" i="249"/>
  <c r="E114" i="249"/>
  <c r="E115" i="241"/>
  <c r="D150" i="241"/>
  <c r="E107" i="235"/>
  <c r="D142" i="235"/>
  <c r="E112" i="235"/>
  <c r="D147" i="235"/>
  <c r="D151" i="241"/>
  <c r="E116" i="241"/>
  <c r="E152" i="241" s="1"/>
  <c r="E115" i="229"/>
  <c r="D150" i="229"/>
  <c r="E108" i="229"/>
  <c r="D143" i="229"/>
  <c r="C160" i="261"/>
  <c r="E38" i="217"/>
  <c r="E114" i="229"/>
  <c r="D149" i="229"/>
  <c r="E109" i="229"/>
  <c r="D144" i="229"/>
  <c r="C145" i="289"/>
  <c r="D110" i="289"/>
  <c r="C143" i="274"/>
  <c r="D108" i="274"/>
  <c r="C147" i="232"/>
  <c r="D112" i="232"/>
  <c r="C147" i="239"/>
  <c r="D112" i="239"/>
  <c r="C149" i="258"/>
  <c r="D114" i="258"/>
  <c r="E112" i="237"/>
  <c r="D147" i="237"/>
  <c r="E109" i="237"/>
  <c r="D144" i="237"/>
  <c r="E114" i="237"/>
  <c r="D149" i="237"/>
  <c r="E110" i="263"/>
  <c r="D145" i="263"/>
  <c r="E108" i="263"/>
  <c r="D143" i="263"/>
  <c r="H72" i="307"/>
  <c r="H72" i="296"/>
  <c r="H71" i="296"/>
  <c r="E108" i="296"/>
  <c r="D143" i="296"/>
  <c r="E114" i="242"/>
  <c r="D149" i="242"/>
  <c r="E114" i="299"/>
  <c r="D149" i="299"/>
  <c r="H70" i="299"/>
  <c r="H71" i="299"/>
  <c r="H71" i="301"/>
  <c r="E109" i="305"/>
  <c r="D144" i="305"/>
  <c r="E111" i="301"/>
  <c r="D146" i="301"/>
  <c r="H71" i="305"/>
  <c r="H70" i="305"/>
  <c r="D145" i="256"/>
  <c r="E146" i="269"/>
  <c r="E146" i="256"/>
  <c r="D145" i="306"/>
  <c r="G146" i="310"/>
  <c r="D145" i="269"/>
  <c r="E146" i="271"/>
  <c r="E146" i="258"/>
  <c r="D145" i="267"/>
  <c r="J104" i="294"/>
  <c r="D145" i="258"/>
  <c r="D145" i="271"/>
  <c r="E146" i="293"/>
  <c r="E146" i="306"/>
  <c r="F145" i="237"/>
  <c r="E146" i="267"/>
  <c r="E116" i="298"/>
  <c r="E152" i="298" s="1"/>
  <c r="D151" i="298"/>
  <c r="G146" i="237"/>
  <c r="F145" i="310"/>
  <c r="D145" i="293"/>
  <c r="H70" i="307"/>
  <c r="H70" i="296"/>
  <c r="E114" i="296"/>
  <c r="D149" i="296"/>
  <c r="J104" i="258"/>
  <c r="E146" i="264"/>
  <c r="H72" i="270"/>
  <c r="D146" i="263"/>
  <c r="D147" i="263"/>
  <c r="D149" i="270"/>
  <c r="D145" i="270"/>
  <c r="D151" i="263"/>
  <c r="E152" i="263"/>
  <c r="D148" i="263"/>
  <c r="H72" i="263"/>
  <c r="D149" i="263"/>
  <c r="D149" i="265"/>
  <c r="D147" i="314"/>
  <c r="D141" i="275"/>
  <c r="D148" i="310"/>
  <c r="D150" i="313"/>
  <c r="D149" i="275"/>
  <c r="D147" i="275"/>
  <c r="D141" i="310"/>
  <c r="D149" i="313"/>
  <c r="D140" i="310"/>
  <c r="D148" i="275"/>
  <c r="D150" i="265"/>
  <c r="D151" i="287"/>
  <c r="E152" i="287"/>
  <c r="D151" i="310"/>
  <c r="D147" i="287"/>
  <c r="D150" i="310"/>
  <c r="D151" i="275"/>
  <c r="D146" i="267"/>
  <c r="D148" i="313"/>
  <c r="D142" i="264"/>
  <c r="D144" i="310"/>
  <c r="D150" i="275"/>
  <c r="D149" i="314"/>
  <c r="D150" i="314"/>
  <c r="D151" i="290"/>
  <c r="E152" i="290"/>
  <c r="D150" i="305"/>
  <c r="D149" i="267"/>
  <c r="D151" i="294"/>
  <c r="E152" i="294"/>
  <c r="D150" i="271"/>
  <c r="D150" i="267"/>
  <c r="D149" i="264"/>
  <c r="E152" i="264"/>
  <c r="D151" i="264"/>
  <c r="D151" i="271"/>
  <c r="E152" i="271"/>
  <c r="D151" i="267"/>
  <c r="E152" i="267"/>
  <c r="D151" i="292"/>
  <c r="E152" i="292"/>
  <c r="D150" i="292"/>
  <c r="D149" i="306"/>
  <c r="D146" i="266"/>
  <c r="D148" i="267"/>
  <c r="D148" i="306"/>
  <c r="D146" i="269"/>
  <c r="D146" i="306"/>
  <c r="D147" i="269"/>
  <c r="D147" i="245"/>
  <c r="D147" i="271"/>
  <c r="D147" i="294"/>
  <c r="E149" i="271"/>
  <c r="D147" i="264"/>
  <c r="E149" i="245"/>
  <c r="E149" i="264"/>
  <c r="D143" i="264"/>
  <c r="D146" i="250"/>
  <c r="D144" i="251"/>
  <c r="D146" i="236"/>
  <c r="D146" i="271"/>
  <c r="D146" i="264"/>
  <c r="D146" i="277"/>
  <c r="F146" i="296"/>
  <c r="G146" i="280"/>
  <c r="G146" i="257"/>
  <c r="F146" i="294"/>
  <c r="I147" i="310"/>
  <c r="H146" i="310"/>
  <c r="I147" i="287"/>
  <c r="H146" i="287"/>
  <c r="G145" i="284"/>
  <c r="G146" i="277"/>
  <c r="F146" i="252"/>
  <c r="G146" i="306"/>
  <c r="F146" i="269"/>
  <c r="F146" i="290"/>
  <c r="F146" i="242"/>
  <c r="I147" i="269"/>
  <c r="H146" i="269"/>
  <c r="I147" i="313"/>
  <c r="H146" i="313"/>
  <c r="I147" i="293"/>
  <c r="H146" i="293"/>
  <c r="F146" i="262"/>
  <c r="G146" i="248"/>
  <c r="I147" i="292"/>
  <c r="H146" i="292"/>
  <c r="I147" i="294"/>
  <c r="H146" i="294"/>
  <c r="G146" i="294"/>
  <c r="G146" i="267"/>
  <c r="G146" i="258"/>
  <c r="F146" i="293"/>
  <c r="I147" i="236"/>
  <c r="H146" i="236"/>
  <c r="I147" i="262"/>
  <c r="H146" i="262"/>
  <c r="I147" i="290"/>
  <c r="H146" i="290"/>
  <c r="G146" i="262"/>
  <c r="I147" i="258"/>
  <c r="H146" i="258"/>
  <c r="G146" i="290"/>
  <c r="F146" i="256"/>
  <c r="F146" i="292"/>
  <c r="F146" i="257"/>
  <c r="I147" i="280"/>
  <c r="H146" i="280"/>
  <c r="I147" i="271"/>
  <c r="H146" i="271"/>
  <c r="G148" i="258"/>
  <c r="G148" i="256"/>
  <c r="G148" i="293"/>
  <c r="G148" i="306"/>
  <c r="G148" i="269"/>
  <c r="G148" i="267"/>
  <c r="H146" i="272"/>
  <c r="C71" i="303"/>
  <c r="F71" i="303" s="1"/>
  <c r="L172" i="303"/>
  <c r="C70" i="303"/>
  <c r="F70" i="303" s="1"/>
  <c r="K172" i="303"/>
  <c r="C72" i="303"/>
  <c r="F72" i="303" s="1"/>
  <c r="M172" i="303"/>
  <c r="E140" i="263"/>
  <c r="E140" i="284"/>
  <c r="E140" i="237"/>
  <c r="E140" i="298"/>
  <c r="E140" i="234"/>
  <c r="E140" i="254"/>
  <c r="E140" i="307"/>
  <c r="E140" i="315"/>
  <c r="E140" i="256"/>
  <c r="E140" i="314"/>
  <c r="E140" i="288"/>
  <c r="E140" i="257"/>
  <c r="E140" i="250"/>
  <c r="D139" i="303"/>
  <c r="C100" i="217" s="1"/>
  <c r="E140" i="290"/>
  <c r="E140" i="303"/>
  <c r="D142" i="284"/>
  <c r="D141" i="292"/>
  <c r="D141" i="289"/>
  <c r="E144" i="292"/>
  <c r="D143" i="292"/>
  <c r="D143" i="237"/>
  <c r="D141" i="252"/>
  <c r="E144" i="277"/>
  <c r="D143" i="277"/>
  <c r="D143" i="307"/>
  <c r="D143" i="306"/>
  <c r="E144" i="306"/>
  <c r="D142" i="272"/>
  <c r="D143" i="262"/>
  <c r="D143" i="310"/>
  <c r="D142" i="313"/>
  <c r="D141" i="271"/>
  <c r="D143" i="258"/>
  <c r="E144" i="258"/>
  <c r="D141" i="287"/>
  <c r="D141" i="280"/>
  <c r="E143" i="272"/>
  <c r="D142" i="258"/>
  <c r="C160" i="262"/>
  <c r="E39" i="217"/>
  <c r="D143" i="267"/>
  <c r="D143" i="280"/>
  <c r="D142" i="271"/>
  <c r="D141" i="294"/>
  <c r="D141" i="309"/>
  <c r="D140" i="294"/>
  <c r="J105" i="294"/>
  <c r="D142" i="310"/>
  <c r="D144" i="290"/>
  <c r="D141" i="258"/>
  <c r="D142" i="280"/>
  <c r="C160" i="269"/>
  <c r="E46" i="217"/>
  <c r="C160" i="292"/>
  <c r="E69" i="217"/>
  <c r="D141" i="290"/>
  <c r="D141" i="269"/>
  <c r="E144" i="294"/>
  <c r="D143" i="294"/>
  <c r="D142" i="290"/>
  <c r="D142" i="262"/>
  <c r="D142" i="269"/>
  <c r="D142" i="287"/>
  <c r="J105" i="258"/>
  <c r="D140" i="258"/>
  <c r="D143" i="290"/>
  <c r="E144" i="290"/>
  <c r="D142" i="294"/>
  <c r="D142" i="292"/>
  <c r="D142" i="293"/>
  <c r="D143" i="257"/>
  <c r="D141" i="242"/>
  <c r="D143" i="248"/>
  <c r="D141" i="256"/>
  <c r="D140" i="243"/>
  <c r="D142" i="236"/>
  <c r="D141" i="241"/>
  <c r="E113" i="302" l="1"/>
  <c r="E149" i="302" s="1"/>
  <c r="E110" i="301"/>
  <c r="E146" i="301" s="1"/>
  <c r="D150" i="300"/>
  <c r="E144" i="299"/>
  <c r="E114" i="307"/>
  <c r="F115" i="307" s="1"/>
  <c r="E115" i="299"/>
  <c r="F116" i="299" s="1"/>
  <c r="F152" i="299" s="1"/>
  <c r="D150" i="298"/>
  <c r="D151" i="307"/>
  <c r="E112" i="302"/>
  <c r="E148" i="302" s="1"/>
  <c r="E111" i="300"/>
  <c r="F112" i="300" s="1"/>
  <c r="D150" i="302"/>
  <c r="E111" i="299"/>
  <c r="F112" i="299" s="1"/>
  <c r="E113" i="307"/>
  <c r="F114" i="307" s="1"/>
  <c r="E111" i="302"/>
  <c r="E147" i="302" s="1"/>
  <c r="E112" i="307"/>
  <c r="E148" i="307" s="1"/>
  <c r="E110" i="251"/>
  <c r="F111" i="251" s="1"/>
  <c r="D143" i="300"/>
  <c r="F146" i="298"/>
  <c r="F146" i="307"/>
  <c r="D149" i="294"/>
  <c r="D150" i="306"/>
  <c r="D149" i="310"/>
  <c r="E113" i="298"/>
  <c r="F114" i="298" s="1"/>
  <c r="E145" i="300"/>
  <c r="E149" i="292"/>
  <c r="E113" i="299"/>
  <c r="E149" i="299" s="1"/>
  <c r="E58" i="217"/>
  <c r="D143" i="299"/>
  <c r="E87" i="217"/>
  <c r="E145" i="298"/>
  <c r="E145" i="307"/>
  <c r="E146" i="290"/>
  <c r="G146" i="292"/>
  <c r="G146" i="307"/>
  <c r="D147" i="290"/>
  <c r="D148" i="314"/>
  <c r="E112" i="300"/>
  <c r="F113" i="300" s="1"/>
  <c r="D144" i="298"/>
  <c r="D143" i="302"/>
  <c r="D147" i="296"/>
  <c r="D149" i="292"/>
  <c r="E146" i="296"/>
  <c r="E112" i="299"/>
  <c r="F113" i="299" s="1"/>
  <c r="E144" i="297"/>
  <c r="J140" i="310"/>
  <c r="D159" i="310" s="1"/>
  <c r="D160" i="310" s="1"/>
  <c r="D149" i="298"/>
  <c r="D111" i="311"/>
  <c r="D147" i="311" s="1"/>
  <c r="C146" i="311"/>
  <c r="E113" i="300"/>
  <c r="F114" i="300" s="1"/>
  <c r="E116" i="299"/>
  <c r="E152" i="299" s="1"/>
  <c r="E116" i="300"/>
  <c r="E152" i="300" s="1"/>
  <c r="D116" i="293"/>
  <c r="D152" i="293" s="1"/>
  <c r="G148" i="307"/>
  <c r="D110" i="316"/>
  <c r="D146" i="316" s="1"/>
  <c r="C145" i="316"/>
  <c r="C151" i="303"/>
  <c r="D116" i="303"/>
  <c r="D152" i="303" s="1"/>
  <c r="C140" i="311"/>
  <c r="D105" i="311"/>
  <c r="D141" i="311" s="1"/>
  <c r="D108" i="280"/>
  <c r="E109" i="280" s="1"/>
  <c r="F110" i="280" s="1"/>
  <c r="G111" i="280" s="1"/>
  <c r="H112" i="280" s="1"/>
  <c r="I113" i="280" s="1"/>
  <c r="C143" i="280"/>
  <c r="D149" i="277"/>
  <c r="D147" i="305"/>
  <c r="D148" i="303"/>
  <c r="D149" i="290"/>
  <c r="D145" i="300"/>
  <c r="C146" i="293"/>
  <c r="D142" i="314"/>
  <c r="E114" i="300"/>
  <c r="F115" i="300" s="1"/>
  <c r="C149" i="311"/>
  <c r="D114" i="311"/>
  <c r="D150" i="311" s="1"/>
  <c r="C144" i="316"/>
  <c r="D109" i="316"/>
  <c r="D145" i="316" s="1"/>
  <c r="D104" i="316"/>
  <c r="D140" i="316" s="1"/>
  <c r="J103" i="316"/>
  <c r="D108" i="314"/>
  <c r="D144" i="314" s="1"/>
  <c r="C143" i="314"/>
  <c r="E110" i="305"/>
  <c r="F111" i="305" s="1"/>
  <c r="D145" i="302"/>
  <c r="D104" i="295"/>
  <c r="D140" i="295" s="1"/>
  <c r="D148" i="290"/>
  <c r="D147" i="306"/>
  <c r="D146" i="310"/>
  <c r="D150" i="296"/>
  <c r="E116" i="296"/>
  <c r="E152" i="296" s="1"/>
  <c r="D150" i="307"/>
  <c r="C144" i="311"/>
  <c r="D104" i="309"/>
  <c r="D140" i="309" s="1"/>
  <c r="J140" i="309" s="1"/>
  <c r="D159" i="309" s="1"/>
  <c r="F110" i="302"/>
  <c r="E145" i="302"/>
  <c r="D104" i="312"/>
  <c r="E105" i="312" s="1"/>
  <c r="F106" i="312" s="1"/>
  <c r="C139" i="312"/>
  <c r="J139" i="312" s="1"/>
  <c r="C159" i="312" s="1"/>
  <c r="E89" i="217" s="1"/>
  <c r="D114" i="316"/>
  <c r="E115" i="316" s="1"/>
  <c r="F116" i="316" s="1"/>
  <c r="F152" i="316" s="1"/>
  <c r="C149" i="316"/>
  <c r="D107" i="309"/>
  <c r="D143" i="309" s="1"/>
  <c r="C142" i="309"/>
  <c r="D113" i="309"/>
  <c r="E114" i="309" s="1"/>
  <c r="F115" i="309" s="1"/>
  <c r="C148" i="309"/>
  <c r="D116" i="312"/>
  <c r="D152" i="312" s="1"/>
  <c r="C151" i="312"/>
  <c r="D114" i="304"/>
  <c r="D150" i="304" s="1"/>
  <c r="C149" i="304"/>
  <c r="D112" i="316"/>
  <c r="E113" i="316" s="1"/>
  <c r="C147" i="316"/>
  <c r="C139" i="311"/>
  <c r="J139" i="311" s="1"/>
  <c r="C159" i="311" s="1"/>
  <c r="C160" i="311" s="1"/>
  <c r="J103" i="311"/>
  <c r="D104" i="311"/>
  <c r="E105" i="311" s="1"/>
  <c r="E141" i="311" s="1"/>
  <c r="D105" i="291"/>
  <c r="D141" i="291" s="1"/>
  <c r="C140" i="291"/>
  <c r="C146" i="312"/>
  <c r="D111" i="312"/>
  <c r="E112" i="312" s="1"/>
  <c r="F113" i="312" s="1"/>
  <c r="D108" i="311"/>
  <c r="D144" i="311" s="1"/>
  <c r="C143" i="311"/>
  <c r="C140" i="316"/>
  <c r="J140" i="316" s="1"/>
  <c r="D159" i="316" s="1"/>
  <c r="D160" i="316" s="1"/>
  <c r="D105" i="316"/>
  <c r="E106" i="316" s="1"/>
  <c r="F107" i="316" s="1"/>
  <c r="D110" i="314"/>
  <c r="E111" i="314" s="1"/>
  <c r="C145" i="314"/>
  <c r="D110" i="312"/>
  <c r="E111" i="312" s="1"/>
  <c r="E111" i="305"/>
  <c r="F112" i="305" s="1"/>
  <c r="D111" i="316"/>
  <c r="E112" i="316" s="1"/>
  <c r="G148" i="302"/>
  <c r="D151" i="302"/>
  <c r="D146" i="298"/>
  <c r="D147" i="301"/>
  <c r="C144" i="295"/>
  <c r="C150" i="309"/>
  <c r="D104" i="314"/>
  <c r="D140" i="314" s="1"/>
  <c r="D143" i="298"/>
  <c r="D150" i="290"/>
  <c r="D150" i="294"/>
  <c r="D149" i="302"/>
  <c r="D104" i="259"/>
  <c r="E105" i="259" s="1"/>
  <c r="J105" i="259" s="1"/>
  <c r="D144" i="299"/>
  <c r="C139" i="316"/>
  <c r="J139" i="316" s="1"/>
  <c r="C159" i="316" s="1"/>
  <c r="C160" i="316" s="1"/>
  <c r="J103" i="295"/>
  <c r="D112" i="291"/>
  <c r="D148" i="291" s="1"/>
  <c r="C147" i="291"/>
  <c r="C147" i="280"/>
  <c r="D112" i="280"/>
  <c r="D148" i="280" s="1"/>
  <c r="D104" i="313"/>
  <c r="J104" i="313" s="1"/>
  <c r="C139" i="313"/>
  <c r="J139" i="313" s="1"/>
  <c r="C159" i="313" s="1"/>
  <c r="C160" i="313" s="1"/>
  <c r="J103" i="313"/>
  <c r="D108" i="312"/>
  <c r="D144" i="312" s="1"/>
  <c r="C143" i="312"/>
  <c r="C151" i="295"/>
  <c r="D116" i="295"/>
  <c r="D152" i="295" s="1"/>
  <c r="D106" i="312"/>
  <c r="C141" i="312"/>
  <c r="D116" i="279"/>
  <c r="D152" i="279" s="1"/>
  <c r="C151" i="279"/>
  <c r="C147" i="311"/>
  <c r="C148" i="293"/>
  <c r="D113" i="293"/>
  <c r="E114" i="293" s="1"/>
  <c r="E150" i="293" s="1"/>
  <c r="D104" i="279"/>
  <c r="D140" i="279" s="1"/>
  <c r="J103" i="279"/>
  <c r="C139" i="279"/>
  <c r="J139" i="279" s="1"/>
  <c r="C159" i="279" s="1"/>
  <c r="E56" i="217" s="1"/>
  <c r="D112" i="276"/>
  <c r="D148" i="276" s="1"/>
  <c r="C147" i="276"/>
  <c r="D116" i="309"/>
  <c r="D152" i="309" s="1"/>
  <c r="C151" i="309"/>
  <c r="C143" i="316"/>
  <c r="D108" i="316"/>
  <c r="D144" i="316" s="1"/>
  <c r="D115" i="301"/>
  <c r="D151" i="301" s="1"/>
  <c r="C150" i="301"/>
  <c r="C150" i="304"/>
  <c r="D115" i="304"/>
  <c r="E116" i="304" s="1"/>
  <c r="E152" i="304" s="1"/>
  <c r="D115" i="316"/>
  <c r="D151" i="316" s="1"/>
  <c r="C150" i="316"/>
  <c r="D107" i="311"/>
  <c r="D143" i="311" s="1"/>
  <c r="C142" i="311"/>
  <c r="D111" i="303"/>
  <c r="E112" i="303" s="1"/>
  <c r="F113" i="303" s="1"/>
  <c r="G114" i="303" s="1"/>
  <c r="H115" i="303" s="1"/>
  <c r="I116" i="303" s="1"/>
  <c r="C146" i="303"/>
  <c r="D111" i="309"/>
  <c r="E112" i="309" s="1"/>
  <c r="F113" i="309" s="1"/>
  <c r="C146" i="309"/>
  <c r="D115" i="303"/>
  <c r="D151" i="303" s="1"/>
  <c r="D113" i="304"/>
  <c r="E114" i="304" s="1"/>
  <c r="C147" i="278"/>
  <c r="D112" i="278"/>
  <c r="D148" i="278" s="1"/>
  <c r="C151" i="316"/>
  <c r="D116" i="316"/>
  <c r="D152" i="316" s="1"/>
  <c r="C145" i="307"/>
  <c r="D110" i="307"/>
  <c r="D146" i="307" s="1"/>
  <c r="D116" i="311"/>
  <c r="D152" i="311" s="1"/>
  <c r="C151" i="311"/>
  <c r="C142" i="301"/>
  <c r="D107" i="301"/>
  <c r="E108" i="301" s="1"/>
  <c r="F109" i="301" s="1"/>
  <c r="C143" i="279"/>
  <c r="D108" i="279"/>
  <c r="D144" i="279" s="1"/>
  <c r="D143" i="297"/>
  <c r="E144" i="302"/>
  <c r="E144" i="300"/>
  <c r="G148" i="297"/>
  <c r="D146" i="296"/>
  <c r="D146" i="294"/>
  <c r="D148" i="305"/>
  <c r="D151" i="306"/>
  <c r="D151" i="305"/>
  <c r="D147" i="298"/>
  <c r="E146" i="302"/>
  <c r="E146" i="297"/>
  <c r="D145" i="297"/>
  <c r="C139" i="309"/>
  <c r="J139" i="309" s="1"/>
  <c r="C159" i="309" s="1"/>
  <c r="C160" i="309" s="1"/>
  <c r="D114" i="301"/>
  <c r="E115" i="301" s="1"/>
  <c r="C139" i="314"/>
  <c r="J139" i="314" s="1"/>
  <c r="C159" i="314" s="1"/>
  <c r="E91" i="217" s="1"/>
  <c r="D114" i="312"/>
  <c r="D114" i="293"/>
  <c r="D150" i="293" s="1"/>
  <c r="F110" i="306"/>
  <c r="E145" i="306"/>
  <c r="D144" i="300"/>
  <c r="H148" i="300"/>
  <c r="D146" i="292"/>
  <c r="D147" i="292"/>
  <c r="D146" i="290"/>
  <c r="D149" i="305"/>
  <c r="D145" i="310"/>
  <c r="D147" i="310"/>
  <c r="D145" i="296"/>
  <c r="F146" i="300"/>
  <c r="D107" i="316"/>
  <c r="D143" i="316" s="1"/>
  <c r="G110" i="299"/>
  <c r="F145" i="299"/>
  <c r="E113" i="296"/>
  <c r="D148" i="296"/>
  <c r="E110" i="298"/>
  <c r="D145" i="298"/>
  <c r="C145" i="308"/>
  <c r="D110" i="308"/>
  <c r="D146" i="308" s="1"/>
  <c r="D107" i="308"/>
  <c r="D143" i="308" s="1"/>
  <c r="C142" i="308"/>
  <c r="C147" i="308"/>
  <c r="D112" i="308"/>
  <c r="E113" i="308" s="1"/>
  <c r="C140" i="295"/>
  <c r="D105" i="295"/>
  <c r="E106" i="295" s="1"/>
  <c r="F107" i="295" s="1"/>
  <c r="C145" i="311"/>
  <c r="D110" i="311"/>
  <c r="D146" i="311" s="1"/>
  <c r="C148" i="312"/>
  <c r="D113" i="312"/>
  <c r="D149" i="312" s="1"/>
  <c r="C141" i="295"/>
  <c r="D106" i="295"/>
  <c r="D142" i="295" s="1"/>
  <c r="D115" i="293"/>
  <c r="E116" i="293" s="1"/>
  <c r="E152" i="293" s="1"/>
  <c r="C150" i="293"/>
  <c r="C151" i="301"/>
  <c r="D116" i="301"/>
  <c r="D152" i="301" s="1"/>
  <c r="C150" i="280"/>
  <c r="D115" i="280"/>
  <c r="E116" i="280" s="1"/>
  <c r="C147" i="297"/>
  <c r="D112" i="297"/>
  <c r="E113" i="297" s="1"/>
  <c r="C150" i="308"/>
  <c r="D115" i="308"/>
  <c r="D151" i="308" s="1"/>
  <c r="D110" i="295"/>
  <c r="E111" i="295" s="1"/>
  <c r="F112" i="295" s="1"/>
  <c r="C145" i="295"/>
  <c r="D114" i="309"/>
  <c r="D150" i="309" s="1"/>
  <c r="C149" i="309"/>
  <c r="D106" i="311"/>
  <c r="E107" i="311" s="1"/>
  <c r="C141" i="311"/>
  <c r="C148" i="316"/>
  <c r="D113" i="316"/>
  <c r="D149" i="316" s="1"/>
  <c r="D106" i="309"/>
  <c r="C141" i="309"/>
  <c r="D114" i="308"/>
  <c r="D150" i="308" s="1"/>
  <c r="C149" i="308"/>
  <c r="C144" i="314"/>
  <c r="D109" i="314"/>
  <c r="E110" i="314" s="1"/>
  <c r="E146" i="314" s="1"/>
  <c r="D113" i="301"/>
  <c r="E114" i="301" s="1"/>
  <c r="E150" i="301" s="1"/>
  <c r="C148" i="301"/>
  <c r="D105" i="312"/>
  <c r="E106" i="312" s="1"/>
  <c r="C140" i="312"/>
  <c r="C150" i="314"/>
  <c r="D115" i="314"/>
  <c r="D151" i="314" s="1"/>
  <c r="C139" i="290"/>
  <c r="J139" i="290" s="1"/>
  <c r="C159" i="290" s="1"/>
  <c r="E67" i="217" s="1"/>
  <c r="D104" i="290"/>
  <c r="E105" i="290" s="1"/>
  <c r="F106" i="290" s="1"/>
  <c r="G107" i="290" s="1"/>
  <c r="H108" i="290" s="1"/>
  <c r="I109" i="290" s="1"/>
  <c r="I145" i="290" s="1"/>
  <c r="J145" i="290" s="1"/>
  <c r="I159" i="290" s="1"/>
  <c r="I160" i="290" s="1"/>
  <c r="J103" i="290"/>
  <c r="D107" i="305"/>
  <c r="E108" i="305" s="1"/>
  <c r="F109" i="305" s="1"/>
  <c r="C142" i="305"/>
  <c r="D112" i="295"/>
  <c r="D148" i="295" s="1"/>
  <c r="C147" i="295"/>
  <c r="D105" i="293"/>
  <c r="D141" i="293" s="1"/>
  <c r="C140" i="293"/>
  <c r="C145" i="309"/>
  <c r="D110" i="309"/>
  <c r="D146" i="309" s="1"/>
  <c r="D110" i="291"/>
  <c r="D146" i="291" s="1"/>
  <c r="C145" i="291"/>
  <c r="C140" i="276"/>
  <c r="D105" i="276"/>
  <c r="E106" i="276" s="1"/>
  <c r="E142" i="276" s="1"/>
  <c r="C144" i="312"/>
  <c r="D109" i="312"/>
  <c r="D145" i="312" s="1"/>
  <c r="D108" i="309"/>
  <c r="D144" i="309" s="1"/>
  <c r="C143" i="309"/>
  <c r="D111" i="297"/>
  <c r="D147" i="297" s="1"/>
  <c r="C146" i="297"/>
  <c r="D111" i="295"/>
  <c r="E112" i="295" s="1"/>
  <c r="E148" i="295" s="1"/>
  <c r="C146" i="295"/>
  <c r="D107" i="304"/>
  <c r="D143" i="304" s="1"/>
  <c r="C142" i="304"/>
  <c r="C142" i="314"/>
  <c r="D107" i="314"/>
  <c r="E108" i="314" s="1"/>
  <c r="D109" i="294"/>
  <c r="E110" i="294" s="1"/>
  <c r="F111" i="294" s="1"/>
  <c r="G112" i="294" s="1"/>
  <c r="H113" i="294" s="1"/>
  <c r="I114" i="294" s="1"/>
  <c r="C144" i="294"/>
  <c r="C142" i="312"/>
  <c r="D107" i="312"/>
  <c r="D143" i="312" s="1"/>
  <c r="C150" i="311"/>
  <c r="D115" i="311"/>
  <c r="D151" i="311" s="1"/>
  <c r="D108" i="301"/>
  <c r="E109" i="301" s="1"/>
  <c r="E145" i="301" s="1"/>
  <c r="C143" i="301"/>
  <c r="D107" i="295"/>
  <c r="D143" i="295" s="1"/>
  <c r="C142" i="295"/>
  <c r="C144" i="304"/>
  <c r="D109" i="304"/>
  <c r="D145" i="304" s="1"/>
  <c r="C151" i="308"/>
  <c r="D116" i="308"/>
  <c r="D152" i="308" s="1"/>
  <c r="C142" i="276"/>
  <c r="D107" i="276"/>
  <c r="E108" i="276" s="1"/>
  <c r="E144" i="276" s="1"/>
  <c r="D116" i="278"/>
  <c r="D152" i="278" s="1"/>
  <c r="C151" i="278"/>
  <c r="D108" i="304"/>
  <c r="E109" i="304" s="1"/>
  <c r="C143" i="304"/>
  <c r="C148" i="297"/>
  <c r="D113" i="297"/>
  <c r="E114" i="297" s="1"/>
  <c r="F115" i="297" s="1"/>
  <c r="C145" i="304"/>
  <c r="D110" i="304"/>
  <c r="D146" i="304" s="1"/>
  <c r="D112" i="315"/>
  <c r="D148" i="315" s="1"/>
  <c r="C147" i="315"/>
  <c r="D114" i="291"/>
  <c r="D150" i="291" s="1"/>
  <c r="C149" i="291"/>
  <c r="C143" i="295"/>
  <c r="D108" i="295"/>
  <c r="D144" i="295" s="1"/>
  <c r="D105" i="314"/>
  <c r="D141" i="314" s="1"/>
  <c r="C140" i="314"/>
  <c r="C151" i="315"/>
  <c r="D116" i="315"/>
  <c r="D152" i="315" s="1"/>
  <c r="D113" i="311"/>
  <c r="D149" i="311" s="1"/>
  <c r="C148" i="311"/>
  <c r="C145" i="315"/>
  <c r="D110" i="315"/>
  <c r="D146" i="315" s="1"/>
  <c r="C144" i="291"/>
  <c r="D109" i="291"/>
  <c r="D145" i="291" s="1"/>
  <c r="C139" i="293"/>
  <c r="J139" i="293" s="1"/>
  <c r="C159" i="293" s="1"/>
  <c r="C160" i="293" s="1"/>
  <c r="D104" i="293"/>
  <c r="E105" i="293" s="1"/>
  <c r="F106" i="293" s="1"/>
  <c r="J103" i="293"/>
  <c r="C147" i="293"/>
  <c r="D112" i="293"/>
  <c r="D148" i="293" s="1"/>
  <c r="C146" i="304"/>
  <c r="D111" i="304"/>
  <c r="D147" i="304" s="1"/>
  <c r="C149" i="297"/>
  <c r="D114" i="297"/>
  <c r="D150" i="297" s="1"/>
  <c r="D107" i="291"/>
  <c r="E108" i="291" s="1"/>
  <c r="C142" i="291"/>
  <c r="C150" i="297"/>
  <c r="D115" i="297"/>
  <c r="D151" i="297" s="1"/>
  <c r="C144" i="308"/>
  <c r="D109" i="308"/>
  <c r="E110" i="308" s="1"/>
  <c r="E146" i="308" s="1"/>
  <c r="C150" i="295"/>
  <c r="D115" i="295"/>
  <c r="D151" i="295" s="1"/>
  <c r="C145" i="293"/>
  <c r="D110" i="293"/>
  <c r="E111" i="293" s="1"/>
  <c r="F112" i="293" s="1"/>
  <c r="C146" i="308"/>
  <c r="D111" i="308"/>
  <c r="E112" i="308" s="1"/>
  <c r="F113" i="308" s="1"/>
  <c r="C148" i="295"/>
  <c r="D113" i="295"/>
  <c r="E114" i="295" s="1"/>
  <c r="C143" i="308"/>
  <c r="D108" i="308"/>
  <c r="D144" i="308" s="1"/>
  <c r="C148" i="278"/>
  <c r="D113" i="278"/>
  <c r="E114" i="278" s="1"/>
  <c r="F115" i="278" s="1"/>
  <c r="D106" i="291"/>
  <c r="D142" i="291" s="1"/>
  <c r="C141" i="291"/>
  <c r="C150" i="312"/>
  <c r="D115" i="312"/>
  <c r="E116" i="312" s="1"/>
  <c r="E152" i="312" s="1"/>
  <c r="D110" i="303"/>
  <c r="E111" i="303" s="1"/>
  <c r="F112" i="303" s="1"/>
  <c r="G113" i="303" s="1"/>
  <c r="H114" i="303" s="1"/>
  <c r="I115" i="303" s="1"/>
  <c r="C145" i="303"/>
  <c r="D113" i="291"/>
  <c r="D149" i="291" s="1"/>
  <c r="C148" i="291"/>
  <c r="D106" i="316"/>
  <c r="E107" i="316" s="1"/>
  <c r="E143" i="316" s="1"/>
  <c r="C141" i="316"/>
  <c r="D104" i="291"/>
  <c r="E105" i="291" s="1"/>
  <c r="J103" i="291"/>
  <c r="C139" i="291"/>
  <c r="J139" i="291" s="1"/>
  <c r="C159" i="291" s="1"/>
  <c r="E68" i="217" s="1"/>
  <c r="D112" i="304"/>
  <c r="D148" i="304" s="1"/>
  <c r="C147" i="304"/>
  <c r="C145" i="297"/>
  <c r="D110" i="297"/>
  <c r="D146" i="297" s="1"/>
  <c r="D112" i="309"/>
  <c r="E113" i="309" s="1"/>
  <c r="F114" i="309" s="1"/>
  <c r="C147" i="309"/>
  <c r="C151" i="304"/>
  <c r="D116" i="304"/>
  <c r="D152" i="304" s="1"/>
  <c r="I71" i="296"/>
  <c r="J71" i="296" s="1"/>
  <c r="C104" i="296" s="1"/>
  <c r="I72" i="307"/>
  <c r="J72" i="307" s="1"/>
  <c r="C105" i="307" s="1"/>
  <c r="C139" i="315"/>
  <c r="J139" i="315" s="1"/>
  <c r="C159" i="315" s="1"/>
  <c r="D104" i="315"/>
  <c r="J103" i="315"/>
  <c r="C147" i="303"/>
  <c r="D145" i="307"/>
  <c r="E146" i="307"/>
  <c r="I71" i="301"/>
  <c r="J71" i="301" s="1"/>
  <c r="C104" i="301" s="1"/>
  <c r="I72" i="296"/>
  <c r="J72" i="296" s="1"/>
  <c r="C105" i="296" s="1"/>
  <c r="I79" i="303"/>
  <c r="J79" i="303" s="1"/>
  <c r="C112" i="303" s="1"/>
  <c r="D114" i="295"/>
  <c r="E115" i="295" s="1"/>
  <c r="E151" i="295" s="1"/>
  <c r="D108" i="291"/>
  <c r="E109" i="291" s="1"/>
  <c r="F110" i="291" s="1"/>
  <c r="D115" i="291"/>
  <c r="D151" i="291" s="1"/>
  <c r="C147" i="312"/>
  <c r="C151" i="291"/>
  <c r="D111" i="291"/>
  <c r="D147" i="291" s="1"/>
  <c r="J103" i="312"/>
  <c r="D109" i="309"/>
  <c r="E110" i="309" s="1"/>
  <c r="F111" i="309" s="1"/>
  <c r="D113" i="308"/>
  <c r="E114" i="308" s="1"/>
  <c r="F115" i="308" s="1"/>
  <c r="D107" i="293"/>
  <c r="E108" i="293" s="1"/>
  <c r="F109" i="293" s="1"/>
  <c r="G110" i="297"/>
  <c r="F145" i="297"/>
  <c r="E113" i="294"/>
  <c r="D148" i="294"/>
  <c r="G110" i="300"/>
  <c r="F145" i="300"/>
  <c r="E110" i="292"/>
  <c r="J110" i="292" s="1"/>
  <c r="D145" i="292"/>
  <c r="J145" i="292" s="1"/>
  <c r="I159" i="292" s="1"/>
  <c r="I160" i="292" s="1"/>
  <c r="I70" i="298"/>
  <c r="J70" i="298" s="1"/>
  <c r="C103" i="298" s="1"/>
  <c r="I73" i="303"/>
  <c r="J73" i="303" s="1"/>
  <c r="C106" i="303" s="1"/>
  <c r="I70" i="307"/>
  <c r="J70" i="307" s="1"/>
  <c r="C103" i="307" s="1"/>
  <c r="I71" i="299"/>
  <c r="J71" i="299" s="1"/>
  <c r="C104" i="299" s="1"/>
  <c r="I80" i="303"/>
  <c r="J80" i="303" s="1"/>
  <c r="C113" i="303" s="1"/>
  <c r="J104" i="314"/>
  <c r="C147" i="301"/>
  <c r="I71" i="305"/>
  <c r="J71" i="305" s="1"/>
  <c r="C104" i="305" s="1"/>
  <c r="I70" i="296"/>
  <c r="J70" i="296" s="1"/>
  <c r="C103" i="296" s="1"/>
  <c r="I70" i="305"/>
  <c r="J70" i="305" s="1"/>
  <c r="C103" i="305" s="1"/>
  <c r="I70" i="299"/>
  <c r="J70" i="299" s="1"/>
  <c r="C103" i="299" s="1"/>
  <c r="I74" i="303"/>
  <c r="J74" i="303" s="1"/>
  <c r="C107" i="303" s="1"/>
  <c r="G110" i="302"/>
  <c r="F145" i="302"/>
  <c r="E109" i="297"/>
  <c r="D144" i="297"/>
  <c r="F110" i="299"/>
  <c r="E145" i="299"/>
  <c r="G110" i="298"/>
  <c r="F145" i="298"/>
  <c r="E113" i="277"/>
  <c r="D148" i="277"/>
  <c r="E110" i="299"/>
  <c r="D145" i="299"/>
  <c r="D147" i="236"/>
  <c r="D150" i="262"/>
  <c r="E114" i="235"/>
  <c r="F115" i="235" s="1"/>
  <c r="D114" i="269"/>
  <c r="D150" i="269" s="1"/>
  <c r="D112" i="252"/>
  <c r="D148" i="252" s="1"/>
  <c r="E107" i="251"/>
  <c r="E143" i="251" s="1"/>
  <c r="D150" i="277"/>
  <c r="D115" i="233"/>
  <c r="D151" i="233" s="1"/>
  <c r="D147" i="229"/>
  <c r="C149" i="315"/>
  <c r="F146" i="277"/>
  <c r="E106" i="268"/>
  <c r="F107" i="268" s="1"/>
  <c r="E145" i="277"/>
  <c r="D150" i="289"/>
  <c r="E146" i="289"/>
  <c r="D144" i="277"/>
  <c r="E143" i="230"/>
  <c r="D105" i="266"/>
  <c r="E106" i="266" s="1"/>
  <c r="F107" i="266" s="1"/>
  <c r="E144" i="270"/>
  <c r="E146" i="287"/>
  <c r="D145" i="287"/>
  <c r="G148" i="287"/>
  <c r="J104" i="275"/>
  <c r="E114" i="243"/>
  <c r="F115" i="243" s="1"/>
  <c r="E145" i="248"/>
  <c r="F145" i="245"/>
  <c r="D151" i="237"/>
  <c r="C148" i="232"/>
  <c r="D107" i="259"/>
  <c r="E108" i="259" s="1"/>
  <c r="E144" i="259" s="1"/>
  <c r="D150" i="270"/>
  <c r="E108" i="313"/>
  <c r="F109" i="313" s="1"/>
  <c r="D150" i="242"/>
  <c r="D108" i="281"/>
  <c r="E109" i="281" s="1"/>
  <c r="D146" i="246"/>
  <c r="C142" i="260"/>
  <c r="D112" i="285"/>
  <c r="E113" i="285" s="1"/>
  <c r="E149" i="285" s="1"/>
  <c r="C141" i="245"/>
  <c r="D144" i="248"/>
  <c r="J104" i="234"/>
  <c r="D145" i="250"/>
  <c r="C147" i="269"/>
  <c r="J104" i="243"/>
  <c r="F146" i="248"/>
  <c r="J104" i="271"/>
  <c r="D151" i="270"/>
  <c r="G146" i="245"/>
  <c r="E112" i="281"/>
  <c r="E148" i="281" s="1"/>
  <c r="E108" i="272"/>
  <c r="F109" i="272" s="1"/>
  <c r="C150" i="237"/>
  <c r="C150" i="315"/>
  <c r="C150" i="254"/>
  <c r="D111" i="254"/>
  <c r="E112" i="254" s="1"/>
  <c r="E148" i="254" s="1"/>
  <c r="C141" i="276"/>
  <c r="C143" i="231"/>
  <c r="D104" i="265"/>
  <c r="E105" i="265" s="1"/>
  <c r="J105" i="265" s="1"/>
  <c r="E106" i="244"/>
  <c r="E142" i="244" s="1"/>
  <c r="E108" i="244"/>
  <c r="E144" i="244" s="1"/>
  <c r="D106" i="260"/>
  <c r="D142" i="260" s="1"/>
  <c r="E144" i="256"/>
  <c r="E113" i="250"/>
  <c r="F114" i="250" s="1"/>
  <c r="D151" i="257"/>
  <c r="D143" i="240"/>
  <c r="E109" i="267"/>
  <c r="E145" i="267" s="1"/>
  <c r="D141" i="283"/>
  <c r="D108" i="241"/>
  <c r="E109" i="241" s="1"/>
  <c r="E145" i="241" s="1"/>
  <c r="C147" i="231"/>
  <c r="D146" i="270"/>
  <c r="E111" i="281"/>
  <c r="E147" i="281" s="1"/>
  <c r="E108" i="253"/>
  <c r="F109" i="253" s="1"/>
  <c r="D141" i="247"/>
  <c r="D146" i="248"/>
  <c r="D151" i="313"/>
  <c r="D141" i="257"/>
  <c r="E115" i="250"/>
  <c r="E151" i="250" s="1"/>
  <c r="E111" i="258"/>
  <c r="E147" i="258" s="1"/>
  <c r="D113" i="280"/>
  <c r="D149" i="280" s="1"/>
  <c r="D142" i="283"/>
  <c r="E72" i="217"/>
  <c r="D148" i="274"/>
  <c r="E36" i="217"/>
  <c r="D146" i="229"/>
  <c r="C145" i="232"/>
  <c r="D148" i="283"/>
  <c r="E113" i="283"/>
  <c r="E149" i="283" s="1"/>
  <c r="D145" i="243"/>
  <c r="E110" i="243"/>
  <c r="F111" i="243" s="1"/>
  <c r="C139" i="242"/>
  <c r="J139" i="242" s="1"/>
  <c r="C159" i="242" s="1"/>
  <c r="E19" i="217" s="1"/>
  <c r="D104" i="242"/>
  <c r="J104" i="242" s="1"/>
  <c r="D112" i="251"/>
  <c r="E113" i="251" s="1"/>
  <c r="C147" i="251"/>
  <c r="C143" i="254"/>
  <c r="D108" i="254"/>
  <c r="E109" i="254" s="1"/>
  <c r="F110" i="254" s="1"/>
  <c r="C139" i="257"/>
  <c r="J139" i="257" s="1"/>
  <c r="C159" i="257" s="1"/>
  <c r="C160" i="257" s="1"/>
  <c r="D104" i="257"/>
  <c r="E105" i="257" s="1"/>
  <c r="J105" i="257" s="1"/>
  <c r="C149" i="276"/>
  <c r="D114" i="276"/>
  <c r="E115" i="276" s="1"/>
  <c r="C140" i="231"/>
  <c r="D105" i="231"/>
  <c r="D141" i="231" s="1"/>
  <c r="C145" i="234"/>
  <c r="D110" i="234"/>
  <c r="E111" i="234" s="1"/>
  <c r="F112" i="234" s="1"/>
  <c r="E108" i="315"/>
  <c r="F109" i="315" s="1"/>
  <c r="D143" i="315"/>
  <c r="E107" i="239"/>
  <c r="E143" i="239" s="1"/>
  <c r="D142" i="239"/>
  <c r="J104" i="229"/>
  <c r="E105" i="229"/>
  <c r="J105" i="229" s="1"/>
  <c r="D143" i="245"/>
  <c r="C160" i="255"/>
  <c r="E109" i="250"/>
  <c r="E145" i="250" s="1"/>
  <c r="D147" i="285"/>
  <c r="E111" i="268"/>
  <c r="E147" i="268" s="1"/>
  <c r="D147" i="247"/>
  <c r="C147" i="234"/>
  <c r="D149" i="239"/>
  <c r="E114" i="239"/>
  <c r="F115" i="239" s="1"/>
  <c r="C151" i="255"/>
  <c r="D116" i="255"/>
  <c r="D152" i="255" s="1"/>
  <c r="D112" i="255"/>
  <c r="D148" i="255" s="1"/>
  <c r="C147" i="255"/>
  <c r="C147" i="261"/>
  <c r="D112" i="261"/>
  <c r="E113" i="261" s="1"/>
  <c r="E149" i="261" s="1"/>
  <c r="C139" i="233"/>
  <c r="J139" i="233" s="1"/>
  <c r="C159" i="233" s="1"/>
  <c r="E10" i="217" s="1"/>
  <c r="D104" i="233"/>
  <c r="D140" i="233" s="1"/>
  <c r="E114" i="230"/>
  <c r="F115" i="230" s="1"/>
  <c r="G116" i="230" s="1"/>
  <c r="D149" i="230"/>
  <c r="C150" i="285"/>
  <c r="D115" i="285"/>
  <c r="D151" i="285" s="1"/>
  <c r="D115" i="272"/>
  <c r="E116" i="272" s="1"/>
  <c r="C150" i="272"/>
  <c r="D104" i="235"/>
  <c r="J104" i="235" s="1"/>
  <c r="C139" i="235"/>
  <c r="J139" i="235" s="1"/>
  <c r="C159" i="235" s="1"/>
  <c r="C160" i="235" s="1"/>
  <c r="E108" i="275"/>
  <c r="F109" i="275" s="1"/>
  <c r="G110" i="275" s="1"/>
  <c r="H111" i="275" s="1"/>
  <c r="I112" i="275" s="1"/>
  <c r="D143" i="275"/>
  <c r="E109" i="271"/>
  <c r="F110" i="271" s="1"/>
  <c r="D144" i="271"/>
  <c r="E111" i="287"/>
  <c r="F112" i="287" s="1"/>
  <c r="G113" i="287" s="1"/>
  <c r="H114" i="287" s="1"/>
  <c r="I115" i="287" s="1"/>
  <c r="D146" i="287"/>
  <c r="D142" i="256"/>
  <c r="D143" i="256"/>
  <c r="D140" i="248"/>
  <c r="D151" i="277"/>
  <c r="C160" i="275"/>
  <c r="E110" i="313"/>
  <c r="E146" i="313" s="1"/>
  <c r="E111" i="251"/>
  <c r="F112" i="251" s="1"/>
  <c r="D141" i="315"/>
  <c r="D109" i="278"/>
  <c r="D145" i="278" s="1"/>
  <c r="D142" i="229"/>
  <c r="D140" i="274"/>
  <c r="J140" i="274" s="1"/>
  <c r="D159" i="274" s="1"/>
  <c r="F51" i="217" s="1"/>
  <c r="E108" i="243"/>
  <c r="E144" i="243" s="1"/>
  <c r="D145" i="254"/>
  <c r="E108" i="234"/>
  <c r="E144" i="234" s="1"/>
  <c r="E110" i="268"/>
  <c r="F111" i="268" s="1"/>
  <c r="D146" i="253"/>
  <c r="C148" i="283"/>
  <c r="D112" i="254"/>
  <c r="D148" i="254" s="1"/>
  <c r="D113" i="286"/>
  <c r="E114" i="286" s="1"/>
  <c r="C148" i="286"/>
  <c r="C141" i="282"/>
  <c r="D106" i="282"/>
  <c r="E107" i="282" s="1"/>
  <c r="F108" i="282" s="1"/>
  <c r="E113" i="288"/>
  <c r="F114" i="288" s="1"/>
  <c r="D148" i="288"/>
  <c r="D140" i="249"/>
  <c r="D145" i="277"/>
  <c r="D147" i="277"/>
  <c r="D149" i="289"/>
  <c r="D149" i="287"/>
  <c r="C151" i="268"/>
  <c r="D149" i="241"/>
  <c r="D105" i="253"/>
  <c r="D141" i="253" s="1"/>
  <c r="C145" i="278"/>
  <c r="D146" i="261"/>
  <c r="D104" i="277"/>
  <c r="E105" i="277" s="1"/>
  <c r="F106" i="277" s="1"/>
  <c r="G107" i="277" s="1"/>
  <c r="H108" i="277" s="1"/>
  <c r="I109" i="277" s="1"/>
  <c r="I145" i="277" s="1"/>
  <c r="C145" i="253"/>
  <c r="C141" i="250"/>
  <c r="C147" i="249"/>
  <c r="C145" i="245"/>
  <c r="J104" i="256"/>
  <c r="E29" i="217"/>
  <c r="E146" i="247"/>
  <c r="D151" i="265"/>
  <c r="D144" i="275"/>
  <c r="J105" i="275"/>
  <c r="D146" i="275"/>
  <c r="D146" i="313"/>
  <c r="D140" i="255"/>
  <c r="C150" i="274"/>
  <c r="E113" i="234"/>
  <c r="F114" i="234" s="1"/>
  <c r="C141" i="315"/>
  <c r="C151" i="239"/>
  <c r="D116" i="256"/>
  <c r="D152" i="256" s="1"/>
  <c r="D108" i="264"/>
  <c r="D144" i="264" s="1"/>
  <c r="D105" i="284"/>
  <c r="E106" i="284" s="1"/>
  <c r="F107" i="284" s="1"/>
  <c r="E55" i="217"/>
  <c r="C160" i="278"/>
  <c r="D143" i="242"/>
  <c r="D148" i="287"/>
  <c r="D140" i="275"/>
  <c r="J140" i="275" s="1"/>
  <c r="D159" i="275" s="1"/>
  <c r="D160" i="275" s="1"/>
  <c r="D144" i="270"/>
  <c r="D148" i="266"/>
  <c r="G146" i="270"/>
  <c r="J104" i="255"/>
  <c r="C147" i="241"/>
  <c r="E108" i="278"/>
  <c r="E144" i="278" s="1"/>
  <c r="D148" i="301"/>
  <c r="D143" i="260"/>
  <c r="D115" i="288"/>
  <c r="E116" i="288" s="1"/>
  <c r="E152" i="288" s="1"/>
  <c r="E114" i="252"/>
  <c r="E150" i="252" s="1"/>
  <c r="D110" i="276"/>
  <c r="D146" i="276" s="1"/>
  <c r="C139" i="266"/>
  <c r="J139" i="266" s="1"/>
  <c r="C159" i="266" s="1"/>
  <c r="C160" i="266" s="1"/>
  <c r="C146" i="274"/>
  <c r="D104" i="236"/>
  <c r="J104" i="236" s="1"/>
  <c r="C145" i="240"/>
  <c r="D115" i="281"/>
  <c r="E116" i="281" s="1"/>
  <c r="E152" i="281" s="1"/>
  <c r="D104" i="264"/>
  <c r="E105" i="264" s="1"/>
  <c r="E141" i="264" s="1"/>
  <c r="C151" i="247"/>
  <c r="C143" i="288"/>
  <c r="C150" i="268"/>
  <c r="D105" i="282"/>
  <c r="D141" i="282" s="1"/>
  <c r="D141" i="246"/>
  <c r="E144" i="269"/>
  <c r="C160" i="249"/>
  <c r="C160" i="247"/>
  <c r="D143" i="289"/>
  <c r="F150" i="266"/>
  <c r="D147" i="266"/>
  <c r="D150" i="264"/>
  <c r="D151" i="289"/>
  <c r="H145" i="246"/>
  <c r="E149" i="266"/>
  <c r="D151" i="256"/>
  <c r="D110" i="243"/>
  <c r="E111" i="243" s="1"/>
  <c r="D144" i="289"/>
  <c r="D111" i="262"/>
  <c r="D147" i="262" s="1"/>
  <c r="C160" i="274"/>
  <c r="C149" i="253"/>
  <c r="D146" i="240"/>
  <c r="C146" i="251"/>
  <c r="C150" i="256"/>
  <c r="C144" i="243"/>
  <c r="D114" i="268"/>
  <c r="D150" i="268" s="1"/>
  <c r="D113" i="257"/>
  <c r="E114" i="257" s="1"/>
  <c r="F115" i="257" s="1"/>
  <c r="C145" i="239"/>
  <c r="D114" i="255"/>
  <c r="D111" i="286"/>
  <c r="D147" i="286" s="1"/>
  <c r="D116" i="243"/>
  <c r="D152" i="243" s="1"/>
  <c r="C151" i="286"/>
  <c r="C140" i="249"/>
  <c r="C143" i="258"/>
  <c r="D110" i="257"/>
  <c r="E111" i="257" s="1"/>
  <c r="F112" i="257" s="1"/>
  <c r="E109" i="313"/>
  <c r="F110" i="313" s="1"/>
  <c r="G111" i="313" s="1"/>
  <c r="H112" i="313" s="1"/>
  <c r="D144" i="313"/>
  <c r="D145" i="244"/>
  <c r="E110" i="244"/>
  <c r="E146" i="244" s="1"/>
  <c r="D140" i="261"/>
  <c r="J140" i="261" s="1"/>
  <c r="D159" i="261" s="1"/>
  <c r="F38" i="217" s="1"/>
  <c r="J104" i="261"/>
  <c r="C140" i="313"/>
  <c r="D105" i="313"/>
  <c r="E106" i="313" s="1"/>
  <c r="F107" i="313" s="1"/>
  <c r="G108" i="313" s="1"/>
  <c r="H109" i="313" s="1"/>
  <c r="I110" i="313" s="1"/>
  <c r="I146" i="313" s="1"/>
  <c r="C150" i="240"/>
  <c r="D115" i="240"/>
  <c r="C140" i="235"/>
  <c r="D147" i="242"/>
  <c r="E112" i="242"/>
  <c r="F113" i="242" s="1"/>
  <c r="D104" i="251"/>
  <c r="J104" i="251" s="1"/>
  <c r="C139" i="251"/>
  <c r="J139" i="251" s="1"/>
  <c r="C159" i="251" s="1"/>
  <c r="D114" i="257"/>
  <c r="E115" i="257" s="1"/>
  <c r="C149" i="257"/>
  <c r="D149" i="269"/>
  <c r="E114" i="269"/>
  <c r="F115" i="269" s="1"/>
  <c r="D111" i="284"/>
  <c r="C146" i="284"/>
  <c r="C160" i="239"/>
  <c r="E16" i="217"/>
  <c r="D115" i="258"/>
  <c r="E116" i="258" s="1"/>
  <c r="C150" i="258"/>
  <c r="D145" i="282"/>
  <c r="E110" i="282"/>
  <c r="F111" i="282" s="1"/>
  <c r="D113" i="245"/>
  <c r="D149" i="245" s="1"/>
  <c r="C148" i="245"/>
  <c r="C140" i="250"/>
  <c r="D105" i="250"/>
  <c r="E106" i="250" s="1"/>
  <c r="C149" i="240"/>
  <c r="D114" i="240"/>
  <c r="E115" i="240" s="1"/>
  <c r="F116" i="240" s="1"/>
  <c r="C144" i="240"/>
  <c r="D109" i="240"/>
  <c r="E110" i="240" s="1"/>
  <c r="E146" i="240" s="1"/>
  <c r="C146" i="260"/>
  <c r="D111" i="260"/>
  <c r="C139" i="268"/>
  <c r="J139" i="268" s="1"/>
  <c r="C159" i="268" s="1"/>
  <c r="C160" i="268" s="1"/>
  <c r="D104" i="268"/>
  <c r="E105" i="268" s="1"/>
  <c r="D106" i="253"/>
  <c r="E107" i="253" s="1"/>
  <c r="F108" i="253" s="1"/>
  <c r="C141" i="253"/>
  <c r="D116" i="281"/>
  <c r="D152" i="281" s="1"/>
  <c r="C151" i="281"/>
  <c r="C146" i="241"/>
  <c r="D111" i="241"/>
  <c r="C150" i="245"/>
  <c r="D115" i="245"/>
  <c r="E116" i="245" s="1"/>
  <c r="E152" i="245" s="1"/>
  <c r="D113" i="255"/>
  <c r="E114" i="255" s="1"/>
  <c r="F115" i="255" s="1"/>
  <c r="C148" i="255"/>
  <c r="C143" i="278"/>
  <c r="D108" i="278"/>
  <c r="D113" i="271"/>
  <c r="E114" i="271" s="1"/>
  <c r="F115" i="271" s="1"/>
  <c r="C148" i="271"/>
  <c r="D110" i="284"/>
  <c r="C145" i="284"/>
  <c r="D106" i="267"/>
  <c r="D142" i="267" s="1"/>
  <c r="C141" i="267"/>
  <c r="C148" i="234"/>
  <c r="D113" i="234"/>
  <c r="E114" i="234" s="1"/>
  <c r="D111" i="244"/>
  <c r="D147" i="244" s="1"/>
  <c r="C146" i="244"/>
  <c r="D107" i="246"/>
  <c r="D143" i="246" s="1"/>
  <c r="C142" i="246"/>
  <c r="C148" i="248"/>
  <c r="D113" i="248"/>
  <c r="D149" i="248" s="1"/>
  <c r="D108" i="245"/>
  <c r="E109" i="245" s="1"/>
  <c r="C143" i="245"/>
  <c r="C146" i="255"/>
  <c r="D111" i="255"/>
  <c r="D147" i="255" s="1"/>
  <c r="D108" i="261"/>
  <c r="C143" i="261"/>
  <c r="C151" i="233"/>
  <c r="D116" i="233"/>
  <c r="D152" i="233" s="1"/>
  <c r="D150" i="231"/>
  <c r="E115" i="231"/>
  <c r="F116" i="231" s="1"/>
  <c r="D108" i="268"/>
  <c r="E109" i="268" s="1"/>
  <c r="F110" i="268" s="1"/>
  <c r="C143" i="268"/>
  <c r="F111" i="250"/>
  <c r="G112" i="250" s="1"/>
  <c r="H113" i="250" s="1"/>
  <c r="I114" i="250" s="1"/>
  <c r="E146" i="250"/>
  <c r="E105" i="247"/>
  <c r="F106" i="247" s="1"/>
  <c r="G107" i="247" s="1"/>
  <c r="H108" i="247" s="1"/>
  <c r="I109" i="247" s="1"/>
  <c r="I145" i="247" s="1"/>
  <c r="J104" i="247"/>
  <c r="E108" i="284"/>
  <c r="D143" i="284"/>
  <c r="E113" i="270"/>
  <c r="F114" i="270" s="1"/>
  <c r="G115" i="270" s="1"/>
  <c r="H116" i="270" s="1"/>
  <c r="D148" i="270"/>
  <c r="D148" i="289"/>
  <c r="E113" i="289"/>
  <c r="F114" i="289" s="1"/>
  <c r="E112" i="270"/>
  <c r="F113" i="270" s="1"/>
  <c r="G114" i="270" s="1"/>
  <c r="H115" i="270" s="1"/>
  <c r="I116" i="270" s="1"/>
  <c r="D147" i="270"/>
  <c r="E105" i="252"/>
  <c r="F106" i="252" s="1"/>
  <c r="G107" i="252" s="1"/>
  <c r="H108" i="252" s="1"/>
  <c r="I109" i="252" s="1"/>
  <c r="J104" i="252"/>
  <c r="E105" i="241"/>
  <c r="F106" i="241" s="1"/>
  <c r="G107" i="241" s="1"/>
  <c r="H108" i="241" s="1"/>
  <c r="I109" i="241" s="1"/>
  <c r="I145" i="241" s="1"/>
  <c r="D140" i="241"/>
  <c r="J140" i="241" s="1"/>
  <c r="D159" i="241" s="1"/>
  <c r="E107" i="289"/>
  <c r="F108" i="289" s="1"/>
  <c r="D142" i="289"/>
  <c r="E107" i="242"/>
  <c r="F108" i="242" s="1"/>
  <c r="G109" i="242" s="1"/>
  <c r="H110" i="242" s="1"/>
  <c r="D142" i="242"/>
  <c r="E108" i="247"/>
  <c r="D143" i="247"/>
  <c r="E110" i="248"/>
  <c r="D145" i="248"/>
  <c r="E110" i="229"/>
  <c r="E146" i="229" s="1"/>
  <c r="D145" i="229"/>
  <c r="E112" i="250"/>
  <c r="F113" i="250" s="1"/>
  <c r="D147" i="250"/>
  <c r="J104" i="241"/>
  <c r="C160" i="243"/>
  <c r="E25" i="217"/>
  <c r="D150" i="287"/>
  <c r="E111" i="237"/>
  <c r="F112" i="237" s="1"/>
  <c r="C145" i="231"/>
  <c r="C144" i="253"/>
  <c r="E110" i="245"/>
  <c r="F111" i="245" s="1"/>
  <c r="E116" i="229"/>
  <c r="E152" i="229" s="1"/>
  <c r="E105" i="274"/>
  <c r="E141" i="274" s="1"/>
  <c r="D143" i="285"/>
  <c r="E105" i="261"/>
  <c r="F106" i="261" s="1"/>
  <c r="E110" i="274"/>
  <c r="E146" i="274" s="1"/>
  <c r="C150" i="286"/>
  <c r="D108" i="276"/>
  <c r="D144" i="276" s="1"/>
  <c r="C140" i="254"/>
  <c r="C144" i="280"/>
  <c r="C144" i="246"/>
  <c r="D109" i="246"/>
  <c r="E110" i="246" s="1"/>
  <c r="F111" i="246" s="1"/>
  <c r="D140" i="252"/>
  <c r="J140" i="252" s="1"/>
  <c r="D159" i="252" s="1"/>
  <c r="D160" i="252" s="1"/>
  <c r="D150" i="263"/>
  <c r="D148" i="242"/>
  <c r="D147" i="313"/>
  <c r="D151" i="242"/>
  <c r="D148" i="258"/>
  <c r="D147" i="261"/>
  <c r="D107" i="261"/>
  <c r="D143" i="261" s="1"/>
  <c r="D148" i="248"/>
  <c r="D112" i="279"/>
  <c r="D148" i="279" s="1"/>
  <c r="C142" i="288"/>
  <c r="D107" i="265"/>
  <c r="E108" i="265" s="1"/>
  <c r="D111" i="233"/>
  <c r="E112" i="233" s="1"/>
  <c r="F113" i="233" s="1"/>
  <c r="C146" i="233"/>
  <c r="D148" i="272"/>
  <c r="E113" i="272"/>
  <c r="F114" i="272" s="1"/>
  <c r="D105" i="236"/>
  <c r="E106" i="236" s="1"/>
  <c r="D114" i="288"/>
  <c r="E115" i="288" s="1"/>
  <c r="F116" i="288" s="1"/>
  <c r="F152" i="288" s="1"/>
  <c r="C149" i="288"/>
  <c r="C142" i="274"/>
  <c r="D107" i="274"/>
  <c r="E108" i="274" s="1"/>
  <c r="D116" i="261"/>
  <c r="D152" i="261" s="1"/>
  <c r="C151" i="261"/>
  <c r="D109" i="272"/>
  <c r="E110" i="272" s="1"/>
  <c r="E146" i="272" s="1"/>
  <c r="C144" i="272"/>
  <c r="D108" i="233"/>
  <c r="E109" i="233" s="1"/>
  <c r="C143" i="233"/>
  <c r="C146" i="234"/>
  <c r="D111" i="234"/>
  <c r="E112" i="234" s="1"/>
  <c r="C142" i="231"/>
  <c r="D107" i="231"/>
  <c r="E108" i="231" s="1"/>
  <c r="F109" i="231" s="1"/>
  <c r="C146" i="256"/>
  <c r="D111" i="256"/>
  <c r="D147" i="256" s="1"/>
  <c r="D116" i="274"/>
  <c r="D152" i="274" s="1"/>
  <c r="C151" i="274"/>
  <c r="D113" i="284"/>
  <c r="C148" i="284"/>
  <c r="C143" i="266"/>
  <c r="D108" i="266"/>
  <c r="E109" i="266" s="1"/>
  <c r="F110" i="266" s="1"/>
  <c r="C149" i="282"/>
  <c r="D114" i="282"/>
  <c r="D106" i="237"/>
  <c r="C141" i="237"/>
  <c r="C150" i="283"/>
  <c r="D115" i="283"/>
  <c r="E116" i="283" s="1"/>
  <c r="D108" i="283"/>
  <c r="D144" i="283" s="1"/>
  <c r="C143" i="283"/>
  <c r="E111" i="262"/>
  <c r="F112" i="262" s="1"/>
  <c r="D146" i="262"/>
  <c r="C146" i="272"/>
  <c r="D111" i="272"/>
  <c r="D111" i="278"/>
  <c r="E112" i="278" s="1"/>
  <c r="F113" i="278" s="1"/>
  <c r="C146" i="278"/>
  <c r="C151" i="269"/>
  <c r="D116" i="269"/>
  <c r="D152" i="269" s="1"/>
  <c r="D114" i="281"/>
  <c r="D150" i="281" s="1"/>
  <c r="C149" i="281"/>
  <c r="C149" i="234"/>
  <c r="D114" i="234"/>
  <c r="E115" i="234" s="1"/>
  <c r="F116" i="234" s="1"/>
  <c r="F152" i="234" s="1"/>
  <c r="C147" i="246"/>
  <c r="D112" i="246"/>
  <c r="C139" i="267"/>
  <c r="J139" i="267" s="1"/>
  <c r="C159" i="267" s="1"/>
  <c r="C160" i="267" s="1"/>
  <c r="D104" i="267"/>
  <c r="E105" i="267" s="1"/>
  <c r="D112" i="235"/>
  <c r="E113" i="235" s="1"/>
  <c r="E149" i="235" s="1"/>
  <c r="C147" i="235"/>
  <c r="D111" i="240"/>
  <c r="C146" i="240"/>
  <c r="C139" i="287"/>
  <c r="J139" i="287" s="1"/>
  <c r="C159" i="287" s="1"/>
  <c r="C160" i="287" s="1"/>
  <c r="D104" i="287"/>
  <c r="J104" i="287" s="1"/>
  <c r="C147" i="240"/>
  <c r="D112" i="240"/>
  <c r="C140" i="288"/>
  <c r="D105" i="288"/>
  <c r="D141" i="288" s="1"/>
  <c r="D114" i="286"/>
  <c r="E115" i="286" s="1"/>
  <c r="F116" i="286" s="1"/>
  <c r="F152" i="286" s="1"/>
  <c r="C149" i="286"/>
  <c r="D104" i="285"/>
  <c r="E105" i="285" s="1"/>
  <c r="F106" i="285" s="1"/>
  <c r="C139" i="285"/>
  <c r="J139" i="285" s="1"/>
  <c r="C159" i="285" s="1"/>
  <c r="E62" i="217" s="1"/>
  <c r="D106" i="244"/>
  <c r="E107" i="244" s="1"/>
  <c r="E143" i="244" s="1"/>
  <c r="C141" i="244"/>
  <c r="D115" i="246"/>
  <c r="E116" i="246" s="1"/>
  <c r="E152" i="246" s="1"/>
  <c r="C150" i="246"/>
  <c r="D148" i="262"/>
  <c r="E113" i="262"/>
  <c r="F114" i="262" s="1"/>
  <c r="C149" i="245"/>
  <c r="D114" i="245"/>
  <c r="D150" i="245" s="1"/>
  <c r="D106" i="265"/>
  <c r="E107" i="265" s="1"/>
  <c r="F108" i="265" s="1"/>
  <c r="C141" i="265"/>
  <c r="C141" i="266"/>
  <c r="D106" i="266"/>
  <c r="C150" i="232"/>
  <c r="D115" i="232"/>
  <c r="E116" i="232" s="1"/>
  <c r="E152" i="232" s="1"/>
  <c r="E108" i="288"/>
  <c r="E144" i="288" s="1"/>
  <c r="D143" i="288"/>
  <c r="D105" i="232"/>
  <c r="D141" i="232" s="1"/>
  <c r="C140" i="232"/>
  <c r="J140" i="232" s="1"/>
  <c r="D159" i="232" s="1"/>
  <c r="D106" i="231"/>
  <c r="E107" i="231" s="1"/>
  <c r="E143" i="231" s="1"/>
  <c r="C141" i="231"/>
  <c r="D109" i="249"/>
  <c r="D145" i="249" s="1"/>
  <c r="C144" i="249"/>
  <c r="D110" i="272"/>
  <c r="E111" i="272" s="1"/>
  <c r="F112" i="272" s="1"/>
  <c r="C145" i="272"/>
  <c r="C149" i="279"/>
  <c r="D114" i="279"/>
  <c r="C143" i="284"/>
  <c r="D108" i="284"/>
  <c r="E109" i="284" s="1"/>
  <c r="F110" i="284" s="1"/>
  <c r="D116" i="280"/>
  <c r="D152" i="280" s="1"/>
  <c r="C151" i="280"/>
  <c r="D115" i="236"/>
  <c r="E116" i="236" s="1"/>
  <c r="E152" i="236" s="1"/>
  <c r="C150" i="236"/>
  <c r="D141" i="281"/>
  <c r="D143" i="239"/>
  <c r="D110" i="279"/>
  <c r="E111" i="279" s="1"/>
  <c r="C140" i="259"/>
  <c r="D114" i="232"/>
  <c r="D105" i="286"/>
  <c r="C141" i="233"/>
  <c r="C142" i="278"/>
  <c r="D110" i="249"/>
  <c r="D146" i="249" s="1"/>
  <c r="D108" i="260"/>
  <c r="D144" i="260" s="1"/>
  <c r="D114" i="251"/>
  <c r="E115" i="251" s="1"/>
  <c r="F116" i="251" s="1"/>
  <c r="D109" i="260"/>
  <c r="J103" i="272"/>
  <c r="D116" i="231"/>
  <c r="D152" i="231" s="1"/>
  <c r="C147" i="257"/>
  <c r="C150" i="251"/>
  <c r="D115" i="278"/>
  <c r="D113" i="250"/>
  <c r="E114" i="250" s="1"/>
  <c r="F115" i="250" s="1"/>
  <c r="C148" i="250"/>
  <c r="G145" i="241"/>
  <c r="E107" i="248"/>
  <c r="F108" i="248" s="1"/>
  <c r="E146" i="230"/>
  <c r="E113" i="247"/>
  <c r="E149" i="247" s="1"/>
  <c r="E116" i="262"/>
  <c r="E152" i="262" s="1"/>
  <c r="D151" i="262"/>
  <c r="E113" i="265"/>
  <c r="F114" i="265" s="1"/>
  <c r="D148" i="265"/>
  <c r="D142" i="241"/>
  <c r="D142" i="275"/>
  <c r="D140" i="271"/>
  <c r="J140" i="271" s="1"/>
  <c r="D159" i="271" s="1"/>
  <c r="F48" i="217" s="1"/>
  <c r="E146" i="257"/>
  <c r="E146" i="242"/>
  <c r="H146" i="241"/>
  <c r="E112" i="231"/>
  <c r="F113" i="231" s="1"/>
  <c r="E114" i="285"/>
  <c r="F115" i="285" s="1"/>
  <c r="D150" i="248"/>
  <c r="D106" i="240"/>
  <c r="E107" i="240" s="1"/>
  <c r="D140" i="282"/>
  <c r="J140" i="282" s="1"/>
  <c r="D159" i="282" s="1"/>
  <c r="F59" i="217" s="1"/>
  <c r="D146" i="255"/>
  <c r="C143" i="286"/>
  <c r="C149" i="280"/>
  <c r="C141" i="278"/>
  <c r="C139" i="282"/>
  <c r="J139" i="282" s="1"/>
  <c r="C159" i="282" s="1"/>
  <c r="C140" i="265"/>
  <c r="D116" i="259"/>
  <c r="D152" i="259" s="1"/>
  <c r="D109" i="231"/>
  <c r="D145" i="231" s="1"/>
  <c r="D112" i="237"/>
  <c r="C144" i="285"/>
  <c r="D107" i="287"/>
  <c r="E108" i="287" s="1"/>
  <c r="C144" i="234"/>
  <c r="D105" i="240"/>
  <c r="E106" i="240" s="1"/>
  <c r="F107" i="240" s="1"/>
  <c r="D106" i="255"/>
  <c r="D142" i="255" s="1"/>
  <c r="E112" i="230"/>
  <c r="D147" i="230"/>
  <c r="J104" i="244"/>
  <c r="E105" i="244"/>
  <c r="F106" i="244" s="1"/>
  <c r="D140" i="244"/>
  <c r="E105" i="260"/>
  <c r="F106" i="260" s="1"/>
  <c r="J104" i="260"/>
  <c r="J103" i="240"/>
  <c r="C139" i="240"/>
  <c r="J139" i="240" s="1"/>
  <c r="C159" i="240" s="1"/>
  <c r="E17" i="217" s="1"/>
  <c r="D104" i="276"/>
  <c r="E105" i="276" s="1"/>
  <c r="C139" i="276"/>
  <c r="J139" i="276" s="1"/>
  <c r="C159" i="276" s="1"/>
  <c r="D150" i="280"/>
  <c r="E115" i="280"/>
  <c r="F116" i="280" s="1"/>
  <c r="F152" i="280" s="1"/>
  <c r="C139" i="288"/>
  <c r="J139" i="288" s="1"/>
  <c r="C159" i="288" s="1"/>
  <c r="C160" i="288" s="1"/>
  <c r="D104" i="288"/>
  <c r="J104" i="288" s="1"/>
  <c r="D141" i="265"/>
  <c r="E106" i="265"/>
  <c r="F107" i="265" s="1"/>
  <c r="D146" i="239"/>
  <c r="E111" i="239"/>
  <c r="E147" i="239" s="1"/>
  <c r="E116" i="268"/>
  <c r="E152" i="268" s="1"/>
  <c r="D151" i="268"/>
  <c r="D104" i="278"/>
  <c r="E105" i="278" s="1"/>
  <c r="F106" i="278" s="1"/>
  <c r="J103" i="278"/>
  <c r="D141" i="251"/>
  <c r="E106" i="251"/>
  <c r="F107" i="251" s="1"/>
  <c r="D107" i="271"/>
  <c r="C142" i="271"/>
  <c r="C140" i="278"/>
  <c r="D149" i="283"/>
  <c r="E114" i="283"/>
  <c r="F115" i="283" s="1"/>
  <c r="E115" i="233"/>
  <c r="F116" i="233" s="1"/>
  <c r="D150" i="233"/>
  <c r="C139" i="253"/>
  <c r="J139" i="253" s="1"/>
  <c r="C159" i="253" s="1"/>
  <c r="J103" i="253"/>
  <c r="D142" i="285"/>
  <c r="E107" i="285"/>
  <c r="E143" i="285" s="1"/>
  <c r="E110" i="283"/>
  <c r="F111" i="283" s="1"/>
  <c r="D145" i="283"/>
  <c r="D151" i="282"/>
  <c r="E116" i="282"/>
  <c r="E152" i="282" s="1"/>
  <c r="D143" i="236"/>
  <c r="E108" i="236"/>
  <c r="E144" i="236" s="1"/>
  <c r="D104" i="250"/>
  <c r="J103" i="250"/>
  <c r="C139" i="237"/>
  <c r="J139" i="237" s="1"/>
  <c r="C159" i="237" s="1"/>
  <c r="C160" i="237" s="1"/>
  <c r="J103" i="237"/>
  <c r="D105" i="264"/>
  <c r="E116" i="235"/>
  <c r="E152" i="235" s="1"/>
  <c r="D151" i="235"/>
  <c r="D146" i="247"/>
  <c r="E111" i="247"/>
  <c r="E147" i="247" s="1"/>
  <c r="C139" i="286"/>
  <c r="J139" i="286" s="1"/>
  <c r="C159" i="286" s="1"/>
  <c r="J103" i="286"/>
  <c r="G110" i="252"/>
  <c r="F145" i="252"/>
  <c r="H110" i="252"/>
  <c r="G145" i="252"/>
  <c r="E106" i="230"/>
  <c r="J106" i="230" s="1"/>
  <c r="D141" i="230"/>
  <c r="J141" i="230" s="1"/>
  <c r="E159" i="230" s="1"/>
  <c r="E160" i="230" s="1"/>
  <c r="G110" i="269"/>
  <c r="F145" i="269"/>
  <c r="J145" i="269" s="1"/>
  <c r="I159" i="269" s="1"/>
  <c r="I160" i="269" s="1"/>
  <c r="G110" i="242"/>
  <c r="F145" i="242"/>
  <c r="G110" i="289"/>
  <c r="F145" i="289"/>
  <c r="J104" i="249"/>
  <c r="J104" i="248"/>
  <c r="D142" i="247"/>
  <c r="D140" i="256"/>
  <c r="J140" i="256" s="1"/>
  <c r="D159" i="256" s="1"/>
  <c r="D143" i="269"/>
  <c r="C160" i="277"/>
  <c r="D142" i="252"/>
  <c r="D143" i="270"/>
  <c r="J104" i="237"/>
  <c r="G148" i="257"/>
  <c r="D147" i="267"/>
  <c r="I72" i="263"/>
  <c r="J72" i="263" s="1"/>
  <c r="C105" i="263" s="1"/>
  <c r="D145" i="242"/>
  <c r="E146" i="236"/>
  <c r="D145" i="280"/>
  <c r="D145" i="257"/>
  <c r="J109" i="256"/>
  <c r="D145" i="252"/>
  <c r="D145" i="236"/>
  <c r="D141" i="274"/>
  <c r="E106" i="262"/>
  <c r="F107" i="262" s="1"/>
  <c r="E115" i="247"/>
  <c r="F116" i="247" s="1"/>
  <c r="F152" i="247" s="1"/>
  <c r="J103" i="257"/>
  <c r="D115" i="269"/>
  <c r="E116" i="269" s="1"/>
  <c r="E152" i="269" s="1"/>
  <c r="D111" i="252"/>
  <c r="E112" i="252" s="1"/>
  <c r="C140" i="255"/>
  <c r="D115" i="279"/>
  <c r="E116" i="279" s="1"/>
  <c r="E152" i="279" s="1"/>
  <c r="D110" i="285"/>
  <c r="E111" i="285" s="1"/>
  <c r="D142" i="274"/>
  <c r="E116" i="315"/>
  <c r="E152" i="315" s="1"/>
  <c r="E111" i="282"/>
  <c r="F112" i="282" s="1"/>
  <c r="D149" i="261"/>
  <c r="D142" i="261"/>
  <c r="C150" i="249"/>
  <c r="C149" i="235"/>
  <c r="D111" i="246"/>
  <c r="E112" i="246" s="1"/>
  <c r="D116" i="260"/>
  <c r="D152" i="260" s="1"/>
  <c r="C140" i="236"/>
  <c r="D143" i="282"/>
  <c r="D151" i="254"/>
  <c r="D147" i="243"/>
  <c r="J104" i="232"/>
  <c r="C146" i="276"/>
  <c r="D150" i="283"/>
  <c r="C148" i="259"/>
  <c r="C147" i="282"/>
  <c r="C147" i="243"/>
  <c r="D111" i="232"/>
  <c r="E112" i="232" s="1"/>
  <c r="D142" i="245"/>
  <c r="E114" i="233"/>
  <c r="E150" i="233" s="1"/>
  <c r="E112" i="249"/>
  <c r="E148" i="249" s="1"/>
  <c r="D107" i="235"/>
  <c r="C151" i="254"/>
  <c r="D108" i="287"/>
  <c r="E109" i="287" s="1"/>
  <c r="J103" i="276"/>
  <c r="C144" i="261"/>
  <c r="C146" i="242"/>
  <c r="C139" i="236"/>
  <c r="J139" i="236" s="1"/>
  <c r="C159" i="236" s="1"/>
  <c r="C148" i="274"/>
  <c r="J103" i="277"/>
  <c r="C150" i="247"/>
  <c r="C148" i="246"/>
  <c r="C147" i="284"/>
  <c r="J103" i="288"/>
  <c r="D114" i="259"/>
  <c r="D107" i="254"/>
  <c r="E108" i="254" s="1"/>
  <c r="C144" i="239"/>
  <c r="D113" i="262"/>
  <c r="D149" i="262" s="1"/>
  <c r="D113" i="288"/>
  <c r="C150" i="282"/>
  <c r="C145" i="258"/>
  <c r="C144" i="232"/>
  <c r="D109" i="233"/>
  <c r="C149" i="239"/>
  <c r="C142" i="236"/>
  <c r="C142" i="253"/>
  <c r="D107" i="250"/>
  <c r="D105" i="285"/>
  <c r="C149" i="233"/>
  <c r="D110" i="260"/>
  <c r="D106" i="279"/>
  <c r="C148" i="261"/>
  <c r="D110" i="265"/>
  <c r="C147" i="262"/>
  <c r="C150" i="239"/>
  <c r="D108" i="272"/>
  <c r="C151" i="240"/>
  <c r="D108" i="243"/>
  <c r="D113" i="260"/>
  <c r="D114" i="249"/>
  <c r="C140" i="281"/>
  <c r="D115" i="255"/>
  <c r="D109" i="265"/>
  <c r="C141" i="261"/>
  <c r="D110" i="252"/>
  <c r="E111" i="252" s="1"/>
  <c r="E147" i="252" s="1"/>
  <c r="D107" i="281"/>
  <c r="E108" i="281" s="1"/>
  <c r="F109" i="281" s="1"/>
  <c r="D109" i="235"/>
  <c r="J103" i="264"/>
  <c r="C143" i="315"/>
  <c r="C148" i="266"/>
  <c r="C144" i="282"/>
  <c r="C141" i="274"/>
  <c r="D107" i="251"/>
  <c r="D113" i="258"/>
  <c r="D110" i="283"/>
  <c r="D107" i="266"/>
  <c r="C139" i="272"/>
  <c r="J139" i="272" s="1"/>
  <c r="C159" i="272" s="1"/>
  <c r="D115" i="260"/>
  <c r="D115" i="253"/>
  <c r="C143" i="249"/>
  <c r="C149" i="231"/>
  <c r="C151" i="241"/>
  <c r="D113" i="272"/>
  <c r="J103" i="235"/>
  <c r="C142" i="232"/>
  <c r="D104" i="253"/>
  <c r="J104" i="253" s="1"/>
  <c r="D112" i="260"/>
  <c r="C142" i="282"/>
  <c r="C148" i="276"/>
  <c r="C141" i="285"/>
  <c r="C146" i="281"/>
  <c r="C148" i="269"/>
  <c r="C146" i="288"/>
  <c r="D108" i="282"/>
  <c r="D109" i="241"/>
  <c r="D112" i="256"/>
  <c r="C141" i="246"/>
  <c r="C144" i="315"/>
  <c r="D105" i="277"/>
  <c r="E106" i="277" s="1"/>
  <c r="F107" i="277" s="1"/>
  <c r="G108" i="277" s="1"/>
  <c r="H109" i="277" s="1"/>
  <c r="I110" i="277" s="1"/>
  <c r="I146" i="277" s="1"/>
  <c r="D108" i="246"/>
  <c r="C148" i="233"/>
  <c r="C145" i="286"/>
  <c r="D111" i="280"/>
  <c r="I72" i="270"/>
  <c r="J72" i="270" s="1"/>
  <c r="C105" i="270" s="1"/>
  <c r="D106" i="270" s="1"/>
  <c r="E107" i="270" s="1"/>
  <c r="F108" i="270" s="1"/>
  <c r="G109" i="270" s="1"/>
  <c r="H110" i="270" s="1"/>
  <c r="I111" i="270" s="1"/>
  <c r="C140" i="279"/>
  <c r="C139" i="232"/>
  <c r="J139" i="232" s="1"/>
  <c r="C159" i="232" s="1"/>
  <c r="E9" i="217" s="1"/>
  <c r="J103" i="232"/>
  <c r="D104" i="245"/>
  <c r="C139" i="245"/>
  <c r="J139" i="245" s="1"/>
  <c r="C159" i="245" s="1"/>
  <c r="C139" i="289"/>
  <c r="J139" i="289" s="1"/>
  <c r="C159" i="289" s="1"/>
  <c r="E66" i="217" s="1"/>
  <c r="D104" i="289"/>
  <c r="J104" i="289" s="1"/>
  <c r="E110" i="239"/>
  <c r="F111" i="239" s="1"/>
  <c r="D145" i="239"/>
  <c r="D105" i="233"/>
  <c r="J103" i="239"/>
  <c r="D104" i="239"/>
  <c r="E112" i="268"/>
  <c r="E148" i="268" s="1"/>
  <c r="D147" i="268"/>
  <c r="E109" i="232"/>
  <c r="F110" i="232" s="1"/>
  <c r="D144" i="232"/>
  <c r="J103" i="234"/>
  <c r="C139" i="234"/>
  <c r="J139" i="234" s="1"/>
  <c r="C159" i="234" s="1"/>
  <c r="E11" i="217" s="1"/>
  <c r="C139" i="260"/>
  <c r="J139" i="260" s="1"/>
  <c r="C159" i="260" s="1"/>
  <c r="C160" i="260" s="1"/>
  <c r="J103" i="260"/>
  <c r="C139" i="246"/>
  <c r="J139" i="246" s="1"/>
  <c r="C159" i="246" s="1"/>
  <c r="E23" i="217" s="1"/>
  <c r="D104" i="246"/>
  <c r="J103" i="244"/>
  <c r="C139" i="244"/>
  <c r="J139" i="244" s="1"/>
  <c r="C159" i="244" s="1"/>
  <c r="J104" i="272"/>
  <c r="D140" i="272"/>
  <c r="D141" i="248"/>
  <c r="E106" i="248"/>
  <c r="F107" i="248" s="1"/>
  <c r="D104" i="254"/>
  <c r="J104" i="254" s="1"/>
  <c r="J103" i="254"/>
  <c r="C139" i="231"/>
  <c r="J139" i="231" s="1"/>
  <c r="C159" i="231" s="1"/>
  <c r="J103" i="231"/>
  <c r="D142" i="233"/>
  <c r="E107" i="233"/>
  <c r="E143" i="233" s="1"/>
  <c r="D144" i="249"/>
  <c r="E109" i="249"/>
  <c r="F110" i="249" s="1"/>
  <c r="H110" i="257"/>
  <c r="G145" i="257"/>
  <c r="E108" i="230"/>
  <c r="D143" i="230"/>
  <c r="E109" i="247"/>
  <c r="D144" i="247"/>
  <c r="H110" i="247"/>
  <c r="G145" i="247"/>
  <c r="E144" i="242"/>
  <c r="D142" i="257"/>
  <c r="D143" i="252"/>
  <c r="J140" i="247"/>
  <c r="D159" i="247" s="1"/>
  <c r="F24" i="217" s="1"/>
  <c r="J104" i="284"/>
  <c r="G148" i="252"/>
  <c r="G148" i="280"/>
  <c r="G148" i="289"/>
  <c r="G148" i="242"/>
  <c r="D145" i="275"/>
  <c r="D145" i="289"/>
  <c r="F145" i="270"/>
  <c r="E146" i="252"/>
  <c r="E146" i="280"/>
  <c r="C141" i="254"/>
  <c r="J103" i="268"/>
  <c r="D105" i="243"/>
  <c r="E106" i="243" s="1"/>
  <c r="C149" i="278"/>
  <c r="D151" i="252"/>
  <c r="E111" i="288"/>
  <c r="F112" i="288" s="1"/>
  <c r="E109" i="240"/>
  <c r="F110" i="240" s="1"/>
  <c r="E115" i="272"/>
  <c r="F116" i="272" s="1"/>
  <c r="F152" i="272" s="1"/>
  <c r="D145" i="281"/>
  <c r="D145" i="285"/>
  <c r="E114" i="276"/>
  <c r="F115" i="276" s="1"/>
  <c r="D116" i="236"/>
  <c r="D152" i="236" s="1"/>
  <c r="C143" i="239"/>
  <c r="D112" i="281"/>
  <c r="E113" i="281" s="1"/>
  <c r="E111" i="274"/>
  <c r="E147" i="274" s="1"/>
  <c r="E113" i="249"/>
  <c r="E149" i="249" s="1"/>
  <c r="D107" i="286"/>
  <c r="E108" i="286" s="1"/>
  <c r="C149" i="243"/>
  <c r="D144" i="288"/>
  <c r="E105" i="284"/>
  <c r="E141" i="284" s="1"/>
  <c r="C160" i="264"/>
  <c r="E114" i="281"/>
  <c r="E150" i="281" s="1"/>
  <c r="D142" i="250"/>
  <c r="D114" i="266"/>
  <c r="E115" i="266" s="1"/>
  <c r="D106" i="286"/>
  <c r="E107" i="286" s="1"/>
  <c r="J103" i="266"/>
  <c r="C149" i="260"/>
  <c r="C140" i="237"/>
  <c r="J140" i="237" s="1"/>
  <c r="D159" i="237" s="1"/>
  <c r="D160" i="237" s="1"/>
  <c r="E113" i="312"/>
  <c r="E149" i="312" s="1"/>
  <c r="E112" i="288"/>
  <c r="F113" i="288" s="1"/>
  <c r="E106" i="249"/>
  <c r="E142" i="249" s="1"/>
  <c r="E113" i="269"/>
  <c r="F114" i="269" s="1"/>
  <c r="D150" i="315"/>
  <c r="D142" i="288"/>
  <c r="E109" i="253"/>
  <c r="F110" i="253" s="1"/>
  <c r="C143" i="235"/>
  <c r="E110" i="315"/>
  <c r="F111" i="315" s="1"/>
  <c r="D144" i="315"/>
  <c r="D147" i="259"/>
  <c r="E113" i="231"/>
  <c r="F114" i="231" s="1"/>
  <c r="E110" i="232"/>
  <c r="E146" i="232" s="1"/>
  <c r="C150" i="261"/>
  <c r="C141" i="232"/>
  <c r="D106" i="277"/>
  <c r="D142" i="277" s="1"/>
  <c r="D116" i="288"/>
  <c r="D152" i="288" s="1"/>
  <c r="D145" i="284"/>
  <c r="E115" i="244"/>
  <c r="E151" i="244" s="1"/>
  <c r="E106" i="272"/>
  <c r="F107" i="272" s="1"/>
  <c r="C148" i="241"/>
  <c r="C148" i="239"/>
  <c r="D105" i="235"/>
  <c r="C146" i="258"/>
  <c r="C149" i="247"/>
  <c r="D106" i="259"/>
  <c r="C151" i="232"/>
  <c r="C145" i="288"/>
  <c r="J103" i="289"/>
  <c r="J103" i="251"/>
  <c r="D107" i="279"/>
  <c r="D116" i="282"/>
  <c r="D152" i="282" s="1"/>
  <c r="D110" i="280"/>
  <c r="J103" i="282"/>
  <c r="C142" i="233"/>
  <c r="C142" i="241"/>
  <c r="C140" i="233"/>
  <c r="D114" i="274"/>
  <c r="C140" i="244"/>
  <c r="J103" i="259"/>
  <c r="D115" i="266"/>
  <c r="C139" i="250"/>
  <c r="J139" i="250" s="1"/>
  <c r="C159" i="250" s="1"/>
  <c r="D115" i="250"/>
  <c r="J103" i="267"/>
  <c r="D113" i="253"/>
  <c r="J103" i="287"/>
  <c r="D113" i="268"/>
  <c r="D107" i="249"/>
  <c r="C145" i="242"/>
  <c r="D107" i="268"/>
  <c r="C151" i="251"/>
  <c r="C143" i="240"/>
  <c r="D113" i="315"/>
  <c r="D113" i="251"/>
  <c r="E114" i="251" s="1"/>
  <c r="D106" i="268"/>
  <c r="D113" i="279"/>
  <c r="C146" i="268"/>
  <c r="D106" i="249"/>
  <c r="D109" i="255"/>
  <c r="C141" i="234"/>
  <c r="D105" i="234"/>
  <c r="E106" i="234" s="1"/>
  <c r="D116" i="244"/>
  <c r="D152" i="244" s="1"/>
  <c r="C147" i="288"/>
  <c r="C143" i="253"/>
  <c r="D114" i="236"/>
  <c r="D110" i="259"/>
  <c r="D109" i="237"/>
  <c r="D109" i="266"/>
  <c r="D114" i="284"/>
  <c r="J103" i="233"/>
  <c r="C150" i="276"/>
  <c r="C145" i="262"/>
  <c r="D109" i="279"/>
  <c r="D114" i="285"/>
  <c r="D112" i="253"/>
  <c r="D108" i="265"/>
  <c r="D113" i="231"/>
  <c r="D115" i="259"/>
  <c r="D116" i="262"/>
  <c r="D152" i="262" s="1"/>
  <c r="C140" i="248"/>
  <c r="D113" i="247"/>
  <c r="D149" i="247" s="1"/>
  <c r="D113" i="256"/>
  <c r="C146" i="315"/>
  <c r="C140" i="264"/>
  <c r="C150" i="235"/>
  <c r="C145" i="247"/>
  <c r="D104" i="286"/>
  <c r="D140" i="286" s="1"/>
  <c r="J140" i="286" s="1"/>
  <c r="D159" i="286" s="1"/>
  <c r="D114" i="237"/>
  <c r="D110" i="241"/>
  <c r="C143" i="250"/>
  <c r="D114" i="256"/>
  <c r="E115" i="256" s="1"/>
  <c r="C151" i="276"/>
  <c r="C148" i="254"/>
  <c r="J103" i="285"/>
  <c r="C140" i="272"/>
  <c r="C146" i="259"/>
  <c r="C140" i="262"/>
  <c r="C144" i="283"/>
  <c r="C146" i="279"/>
  <c r="D109" i="276"/>
  <c r="J103" i="242"/>
  <c r="C143" i="232"/>
  <c r="D109" i="286"/>
  <c r="C147" i="258"/>
  <c r="C151" i="235"/>
  <c r="D108" i="259"/>
  <c r="D116" i="283"/>
  <c r="D152" i="283" s="1"/>
  <c r="D110" i="233"/>
  <c r="D146" i="233" s="1"/>
  <c r="C139" i="265"/>
  <c r="J139" i="265" s="1"/>
  <c r="C159" i="265" s="1"/>
  <c r="D110" i="235"/>
  <c r="C140" i="251"/>
  <c r="D114" i="252"/>
  <c r="E111" i="230"/>
  <c r="D146" i="230"/>
  <c r="E115" i="230"/>
  <c r="D150" i="230"/>
  <c r="E116" i="230"/>
  <c r="E152" i="230" s="1"/>
  <c r="D151" i="230"/>
  <c r="E113" i="236"/>
  <c r="D148" i="236"/>
  <c r="G110" i="256"/>
  <c r="F145" i="256"/>
  <c r="I110" i="247"/>
  <c r="I146" i="247" s="1"/>
  <c r="H145" i="247"/>
  <c r="H110" i="256"/>
  <c r="G145" i="256"/>
  <c r="D146" i="286"/>
  <c r="E105" i="282"/>
  <c r="F106" i="282" s="1"/>
  <c r="E112" i="279"/>
  <c r="E148" i="279" s="1"/>
  <c r="E107" i="278"/>
  <c r="F108" i="278" s="1"/>
  <c r="E107" i="276"/>
  <c r="E143" i="276" s="1"/>
  <c r="E105" i="272"/>
  <c r="J105" i="272" s="1"/>
  <c r="D147" i="258"/>
  <c r="D146" i="254"/>
  <c r="E114" i="254"/>
  <c r="F115" i="254" s="1"/>
  <c r="E112" i="251"/>
  <c r="F113" i="251" s="1"/>
  <c r="D151" i="239"/>
  <c r="D150" i="239"/>
  <c r="E105" i="237"/>
  <c r="E141" i="237" s="1"/>
  <c r="E110" i="234"/>
  <c r="F111" i="234" s="1"/>
  <c r="E105" i="232"/>
  <c r="E141" i="232" s="1"/>
  <c r="D140" i="231"/>
  <c r="J104" i="231"/>
  <c r="D160" i="230"/>
  <c r="F7" i="217"/>
  <c r="E110" i="261"/>
  <c r="F111" i="261" s="1"/>
  <c r="D145" i="261"/>
  <c r="E108" i="241"/>
  <c r="F109" i="241" s="1"/>
  <c r="D143" i="241"/>
  <c r="E107" i="234"/>
  <c r="F108" i="234" s="1"/>
  <c r="D142" i="234"/>
  <c r="I110" i="281"/>
  <c r="I146" i="281" s="1"/>
  <c r="H145" i="281"/>
  <c r="E116" i="276"/>
  <c r="E152" i="276" s="1"/>
  <c r="D151" i="276"/>
  <c r="E112" i="315"/>
  <c r="E148" i="315" s="1"/>
  <c r="D147" i="315"/>
  <c r="E113" i="257"/>
  <c r="E149" i="257" s="1"/>
  <c r="D148" i="257"/>
  <c r="E108" i="232"/>
  <c r="F109" i="232" s="1"/>
  <c r="D143" i="232"/>
  <c r="E112" i="293"/>
  <c r="F113" i="293" s="1"/>
  <c r="D147" i="293"/>
  <c r="E111" i="245"/>
  <c r="F112" i="245" s="1"/>
  <c r="D146" i="245"/>
  <c r="D141" i="259"/>
  <c r="D142" i="246"/>
  <c r="D147" i="274"/>
  <c r="D151" i="247"/>
  <c r="D142" i="315"/>
  <c r="D149" i="246"/>
  <c r="D146" i="242"/>
  <c r="D143" i="233"/>
  <c r="E109" i="231"/>
  <c r="F110" i="231" s="1"/>
  <c r="E111" i="232"/>
  <c r="E147" i="232" s="1"/>
  <c r="D151" i="251"/>
  <c r="E110" i="311"/>
  <c r="E146" i="311" s="1"/>
  <c r="D145" i="311"/>
  <c r="E113" i="284"/>
  <c r="F114" i="284" s="1"/>
  <c r="D144" i="286"/>
  <c r="E106" i="254"/>
  <c r="F107" i="254" s="1"/>
  <c r="F142" i="230"/>
  <c r="G107" i="230"/>
  <c r="D149" i="274"/>
  <c r="E114" i="266"/>
  <c r="E150" i="266" s="1"/>
  <c r="F110" i="263"/>
  <c r="E145" i="263"/>
  <c r="E109" i="258"/>
  <c r="D144" i="258"/>
  <c r="H146" i="281"/>
  <c r="D142" i="281"/>
  <c r="J104" i="262"/>
  <c r="D140" i="269"/>
  <c r="J140" i="269" s="1"/>
  <c r="D159" i="269" s="1"/>
  <c r="D160" i="269" s="1"/>
  <c r="D145" i="262"/>
  <c r="J109" i="269"/>
  <c r="J104" i="269"/>
  <c r="J105" i="281"/>
  <c r="D140" i="262"/>
  <c r="J105" i="269"/>
  <c r="G145" i="281"/>
  <c r="J140" i="294"/>
  <c r="D159" i="294" s="1"/>
  <c r="D160" i="294" s="1"/>
  <c r="E61" i="217"/>
  <c r="C160" i="294"/>
  <c r="J104" i="281"/>
  <c r="D140" i="280"/>
  <c r="J140" i="280" s="1"/>
  <c r="D159" i="280" s="1"/>
  <c r="D160" i="280" s="1"/>
  <c r="D140" i="281"/>
  <c r="J104" i="292"/>
  <c r="J109" i="292"/>
  <c r="D140" i="292"/>
  <c r="J140" i="292" s="1"/>
  <c r="D159" i="292" s="1"/>
  <c r="F69" i="217" s="1"/>
  <c r="J104" i="280"/>
  <c r="E57" i="217"/>
  <c r="E35" i="217"/>
  <c r="H72" i="306"/>
  <c r="G148" i="262"/>
  <c r="E146" i="262"/>
  <c r="H70" i="304"/>
  <c r="H71" i="300"/>
  <c r="H72" i="297"/>
  <c r="H70" i="302"/>
  <c r="H72" i="300"/>
  <c r="J140" i="260"/>
  <c r="D159" i="260" s="1"/>
  <c r="F37" i="217" s="1"/>
  <c r="H72" i="302"/>
  <c r="J140" i="243"/>
  <c r="D159" i="243" s="1"/>
  <c r="D160" i="243" s="1"/>
  <c r="H70" i="306"/>
  <c r="J71" i="270"/>
  <c r="C104" i="270" s="1"/>
  <c r="J140" i="258"/>
  <c r="D159" i="258" s="1"/>
  <c r="F35" i="217" s="1"/>
  <c r="H71" i="263"/>
  <c r="D109" i="303"/>
  <c r="C144" i="303"/>
  <c r="J71" i="306"/>
  <c r="C104" i="306" s="1"/>
  <c r="D105" i="306" s="1"/>
  <c r="E106" i="306" s="1"/>
  <c r="F107" i="306" s="1"/>
  <c r="G108" i="306" s="1"/>
  <c r="H109" i="306" s="1"/>
  <c r="I110" i="306" s="1"/>
  <c r="H70" i="300"/>
  <c r="H72" i="301"/>
  <c r="H71" i="307"/>
  <c r="J140" i="284"/>
  <c r="D159" i="284" s="1"/>
  <c r="D160" i="284" s="1"/>
  <c r="F6" i="217"/>
  <c r="D160" i="229"/>
  <c r="G72" i="303"/>
  <c r="H72" i="303" s="1"/>
  <c r="I72" i="303" s="1"/>
  <c r="G71" i="303"/>
  <c r="E110" i="253"/>
  <c r="D145" i="253"/>
  <c r="F109" i="229"/>
  <c r="E144" i="229"/>
  <c r="E106" i="279"/>
  <c r="D141" i="279"/>
  <c r="F108" i="274"/>
  <c r="E143" i="274"/>
  <c r="E111" i="278"/>
  <c r="D146" i="278"/>
  <c r="E107" i="243"/>
  <c r="D142" i="243"/>
  <c r="F110" i="315"/>
  <c r="E145" i="315"/>
  <c r="E116" i="286"/>
  <c r="D151" i="286"/>
  <c r="E113" i="239"/>
  <c r="D148" i="239"/>
  <c r="E113" i="311"/>
  <c r="D148" i="311"/>
  <c r="E116" i="274"/>
  <c r="D151" i="274"/>
  <c r="D152" i="268"/>
  <c r="F115" i="241"/>
  <c r="E150" i="241"/>
  <c r="F109" i="260"/>
  <c r="E144" i="260"/>
  <c r="F108" i="235"/>
  <c r="E143" i="235"/>
  <c r="H72" i="299"/>
  <c r="E109" i="239"/>
  <c r="D144" i="239"/>
  <c r="F112" i="286"/>
  <c r="E147" i="286"/>
  <c r="E106" i="278"/>
  <c r="D141" i="278"/>
  <c r="E113" i="233"/>
  <c r="D148" i="233"/>
  <c r="D152" i="246"/>
  <c r="E105" i="283"/>
  <c r="D140" i="283"/>
  <c r="J140" i="283" s="1"/>
  <c r="D159" i="283" s="1"/>
  <c r="J104" i="283"/>
  <c r="E115" i="235"/>
  <c r="D150" i="235"/>
  <c r="E116" i="309"/>
  <c r="E152" i="309" s="1"/>
  <c r="D151" i="309"/>
  <c r="E105" i="266"/>
  <c r="D140" i="266"/>
  <c r="J140" i="266" s="1"/>
  <c r="D159" i="266" s="1"/>
  <c r="J104" i="266"/>
  <c r="E115" i="261"/>
  <c r="D150" i="261"/>
  <c r="E114" i="282"/>
  <c r="D149" i="282"/>
  <c r="E152" i="234"/>
  <c r="F114" i="248"/>
  <c r="E149" i="248"/>
  <c r="F112" i="254"/>
  <c r="E147" i="254"/>
  <c r="F108" i="288"/>
  <c r="E143" i="288"/>
  <c r="H71" i="308"/>
  <c r="E111" i="256"/>
  <c r="D146" i="256"/>
  <c r="E112" i="283"/>
  <c r="D147" i="283"/>
  <c r="F107" i="229"/>
  <c r="E142" i="229"/>
  <c r="E105" i="240"/>
  <c r="D140" i="240"/>
  <c r="J140" i="240" s="1"/>
  <c r="D159" i="240" s="1"/>
  <c r="J104" i="240"/>
  <c r="E111" i="244"/>
  <c r="D146" i="244"/>
  <c r="F108" i="245"/>
  <c r="E143" i="245"/>
  <c r="F111" i="284"/>
  <c r="E146" i="284"/>
  <c r="J71" i="302"/>
  <c r="C104" i="302" s="1"/>
  <c r="D105" i="302" s="1"/>
  <c r="E106" i="302" s="1"/>
  <c r="F107" i="302" s="1"/>
  <c r="G108" i="302" s="1"/>
  <c r="H109" i="302" s="1"/>
  <c r="I110" i="302" s="1"/>
  <c r="J70" i="263"/>
  <c r="C103" i="263" s="1"/>
  <c r="D104" i="263" s="1"/>
  <c r="E105" i="263" s="1"/>
  <c r="F106" i="263" s="1"/>
  <c r="G107" i="263" s="1"/>
  <c r="H108" i="263" s="1"/>
  <c r="I109" i="263" s="1"/>
  <c r="I145" i="263" s="1"/>
  <c r="H70" i="270"/>
  <c r="E111" i="289"/>
  <c r="D146" i="289"/>
  <c r="F110" i="229"/>
  <c r="E145" i="229"/>
  <c r="F111" i="285"/>
  <c r="E146" i="285"/>
  <c r="F113" i="235"/>
  <c r="E148" i="235"/>
  <c r="F113" i="261"/>
  <c r="E148" i="261"/>
  <c r="F115" i="249"/>
  <c r="E150" i="249"/>
  <c r="H70" i="297"/>
  <c r="F108" i="283"/>
  <c r="E143" i="283"/>
  <c r="E110" i="295"/>
  <c r="D145" i="295"/>
  <c r="F108" i="246"/>
  <c r="E143" i="246"/>
  <c r="F110" i="289"/>
  <c r="E145" i="289"/>
  <c r="F107" i="245"/>
  <c r="E142" i="245"/>
  <c r="F109" i="285"/>
  <c r="E144" i="285"/>
  <c r="F108" i="250"/>
  <c r="E143" i="250"/>
  <c r="E113" i="286"/>
  <c r="D148" i="286"/>
  <c r="E110" i="288"/>
  <c r="D145" i="288"/>
  <c r="E112" i="253"/>
  <c r="D147" i="253"/>
  <c r="E116" i="248"/>
  <c r="D151" i="248"/>
  <c r="E115" i="260"/>
  <c r="D150" i="260"/>
  <c r="E113" i="268"/>
  <c r="D148" i="268"/>
  <c r="F114" i="274"/>
  <c r="E149" i="274"/>
  <c r="F113" i="274"/>
  <c r="E148" i="274"/>
  <c r="F112" i="246"/>
  <c r="E147" i="246"/>
  <c r="F116" i="315"/>
  <c r="F152" i="315" s="1"/>
  <c r="E151" i="315"/>
  <c r="F116" i="262"/>
  <c r="E151" i="262"/>
  <c r="F112" i="261"/>
  <c r="E147" i="261"/>
  <c r="F112" i="242"/>
  <c r="E147" i="242"/>
  <c r="E112" i="248"/>
  <c r="D147" i="248"/>
  <c r="E115" i="253"/>
  <c r="D150" i="253"/>
  <c r="F113" i="259"/>
  <c r="E148" i="259"/>
  <c r="F110" i="286"/>
  <c r="E145" i="286"/>
  <c r="F107" i="283"/>
  <c r="E142" i="283"/>
  <c r="E114" i="259"/>
  <c r="D149" i="259"/>
  <c r="E113" i="282"/>
  <c r="D148" i="282"/>
  <c r="F113" i="258"/>
  <c r="E148" i="258"/>
  <c r="H72" i="304"/>
  <c r="E115" i="258"/>
  <c r="D150" i="258"/>
  <c r="E113" i="232"/>
  <c r="D148" i="232"/>
  <c r="E115" i="278"/>
  <c r="D150" i="278"/>
  <c r="F114" i="301"/>
  <c r="E149" i="301"/>
  <c r="F114" i="258"/>
  <c r="E149" i="258"/>
  <c r="F116" i="229"/>
  <c r="E151" i="229"/>
  <c r="G112" i="230"/>
  <c r="F147" i="230"/>
  <c r="E106" i="255"/>
  <c r="D141" i="255"/>
  <c r="F115" i="261"/>
  <c r="E150" i="261"/>
  <c r="F108" i="261"/>
  <c r="E143" i="261"/>
  <c r="E112" i="289"/>
  <c r="D147" i="289"/>
  <c r="E115" i="246"/>
  <c r="D150" i="246"/>
  <c r="E112" i="265"/>
  <c r="D147" i="265"/>
  <c r="E152" i="244"/>
  <c r="E116" i="284"/>
  <c r="D151" i="284"/>
  <c r="E114" i="236"/>
  <c r="D149" i="236"/>
  <c r="E115" i="254"/>
  <c r="D150" i="254"/>
  <c r="E113" i="259"/>
  <c r="D148" i="259"/>
  <c r="F113" i="229"/>
  <c r="E148" i="229"/>
  <c r="F108" i="315"/>
  <c r="E143" i="315"/>
  <c r="F109" i="255"/>
  <c r="E144" i="255"/>
  <c r="E109" i="235"/>
  <c r="D144" i="235"/>
  <c r="E112" i="276"/>
  <c r="D147" i="276"/>
  <c r="E109" i="234"/>
  <c r="D144" i="234"/>
  <c r="E107" i="232"/>
  <c r="D142" i="232"/>
  <c r="F112" i="255"/>
  <c r="E147" i="255"/>
  <c r="F110" i="236"/>
  <c r="E145" i="236"/>
  <c r="C160" i="254"/>
  <c r="F108" i="229"/>
  <c r="E143" i="229"/>
  <c r="E113" i="241"/>
  <c r="D148" i="241"/>
  <c r="F107" i="274"/>
  <c r="E142" i="274"/>
  <c r="F115" i="229"/>
  <c r="E150" i="229"/>
  <c r="E109" i="244"/>
  <c r="D144" i="244"/>
  <c r="E116" i="249"/>
  <c r="D151" i="249"/>
  <c r="G115" i="230"/>
  <c r="F150" i="230"/>
  <c r="E106" i="260"/>
  <c r="D141" i="260"/>
  <c r="E114" i="240"/>
  <c r="D149" i="240"/>
  <c r="E113" i="244"/>
  <c r="D148" i="244"/>
  <c r="E152" i="247"/>
  <c r="F115" i="246"/>
  <c r="E150" i="246"/>
  <c r="H71" i="304"/>
  <c r="F113" i="247"/>
  <c r="E148" i="247"/>
  <c r="F116" i="283"/>
  <c r="F152" i="283" s="1"/>
  <c r="E151" i="283"/>
  <c r="E116" i="243"/>
  <c r="D151" i="243"/>
  <c r="E116" i="261"/>
  <c r="D151" i="261"/>
  <c r="F116" i="248"/>
  <c r="F152" i="248" s="1"/>
  <c r="E151" i="248"/>
  <c r="F112" i="253"/>
  <c r="E147" i="253"/>
  <c r="F106" i="231"/>
  <c r="E141" i="231"/>
  <c r="F114" i="229"/>
  <c r="E149" i="229"/>
  <c r="H72" i="308"/>
  <c r="G70" i="303"/>
  <c r="E109" i="274"/>
  <c r="D144" i="274"/>
  <c r="E111" i="231"/>
  <c r="D146" i="231"/>
  <c r="E107" i="254"/>
  <c r="D142" i="254"/>
  <c r="F111" i="281"/>
  <c r="E146" i="281"/>
  <c r="F107" i="259"/>
  <c r="E142" i="259"/>
  <c r="F116" i="241"/>
  <c r="F152" i="241" s="1"/>
  <c r="E151" i="241"/>
  <c r="F115" i="274"/>
  <c r="E150" i="274"/>
  <c r="D105" i="298"/>
  <c r="C140" i="298"/>
  <c r="F109" i="283"/>
  <c r="E144" i="283"/>
  <c r="D106" i="298"/>
  <c r="C141" i="298"/>
  <c r="E115" i="243"/>
  <c r="D150" i="243"/>
  <c r="F110" i="288"/>
  <c r="E145" i="288"/>
  <c r="G109" i="230"/>
  <c r="F144" i="230"/>
  <c r="F113" i="285"/>
  <c r="E148" i="285"/>
  <c r="E106" i="261"/>
  <c r="D141" i="261"/>
  <c r="E106" i="267"/>
  <c r="D141" i="267"/>
  <c r="E109" i="285"/>
  <c r="D144" i="285"/>
  <c r="C160" i="283"/>
  <c r="E60" i="217"/>
  <c r="E105" i="234"/>
  <c r="D140" i="234"/>
  <c r="J140" i="234" s="1"/>
  <c r="D159" i="234" s="1"/>
  <c r="E106" i="237"/>
  <c r="D141" i="237"/>
  <c r="E112" i="257"/>
  <c r="D147" i="257"/>
  <c r="E110" i="259"/>
  <c r="D145" i="259"/>
  <c r="E112" i="239"/>
  <c r="D147" i="239"/>
  <c r="G111" i="230"/>
  <c r="F146" i="230"/>
  <c r="F109" i="282"/>
  <c r="E144" i="282"/>
  <c r="E152" i="239"/>
  <c r="F115" i="244"/>
  <c r="E150" i="244"/>
  <c r="F111" i="254"/>
  <c r="E146" i="254"/>
  <c r="F113" i="243"/>
  <c r="E148" i="243"/>
  <c r="E106" i="239"/>
  <c r="D141" i="239"/>
  <c r="F112" i="229"/>
  <c r="E147" i="229"/>
  <c r="F112" i="240"/>
  <c r="E147" i="240"/>
  <c r="F109" i="233"/>
  <c r="E144" i="233"/>
  <c r="H71" i="297"/>
  <c r="H72" i="305"/>
  <c r="H70" i="301"/>
  <c r="H70" i="308"/>
  <c r="E112" i="282"/>
  <c r="D147" i="282"/>
  <c r="E109" i="255"/>
  <c r="D144" i="255"/>
  <c r="E114" i="232"/>
  <c r="D149" i="232"/>
  <c r="E113" i="243"/>
  <c r="D148" i="243"/>
  <c r="F116" i="239"/>
  <c r="F152" i="239" s="1"/>
  <c r="E151" i="239"/>
  <c r="F115" i="237"/>
  <c r="E150" i="237"/>
  <c r="F110" i="237"/>
  <c r="E145" i="237"/>
  <c r="F113" i="237"/>
  <c r="E148" i="237"/>
  <c r="E152" i="237"/>
  <c r="F107" i="315"/>
  <c r="E142" i="315"/>
  <c r="F109" i="263"/>
  <c r="E144" i="263"/>
  <c r="F111" i="263"/>
  <c r="E146" i="263"/>
  <c r="F109" i="240"/>
  <c r="E144" i="240"/>
  <c r="F113" i="313"/>
  <c r="E148" i="313"/>
  <c r="F113" i="305"/>
  <c r="E148" i="305"/>
  <c r="F112" i="301"/>
  <c r="E147" i="301"/>
  <c r="F110" i="305"/>
  <c r="E145" i="305"/>
  <c r="F106" i="255"/>
  <c r="E141" i="255"/>
  <c r="J105" i="255"/>
  <c r="F109" i="296"/>
  <c r="E144" i="296"/>
  <c r="F116" i="242"/>
  <c r="F152" i="242" s="1"/>
  <c r="E151" i="242"/>
  <c r="E152" i="257"/>
  <c r="F115" i="299"/>
  <c r="E150" i="299"/>
  <c r="F109" i="239"/>
  <c r="E144" i="239"/>
  <c r="F112" i="313"/>
  <c r="E147" i="313"/>
  <c r="F113" i="301"/>
  <c r="E148" i="301"/>
  <c r="F114" i="242"/>
  <c r="E149" i="242"/>
  <c r="F115" i="242"/>
  <c r="E150" i="242"/>
  <c r="F107" i="257"/>
  <c r="E142" i="257"/>
  <c r="F116" i="296"/>
  <c r="F152" i="296" s="1"/>
  <c r="E151" i="296"/>
  <c r="F115" i="302"/>
  <c r="E150" i="302"/>
  <c r="F113" i="298"/>
  <c r="E148" i="298"/>
  <c r="F116" i="300"/>
  <c r="F152" i="300" s="1"/>
  <c r="E151" i="300"/>
  <c r="F115" i="298"/>
  <c r="E150" i="298"/>
  <c r="F115" i="296"/>
  <c r="E150" i="296"/>
  <c r="F116" i="302"/>
  <c r="F152" i="302" s="1"/>
  <c r="E151" i="302"/>
  <c r="F112" i="298"/>
  <c r="E147" i="298"/>
  <c r="F116" i="307"/>
  <c r="E151" i="307"/>
  <c r="F111" i="300"/>
  <c r="E146" i="300"/>
  <c r="F116" i="298"/>
  <c r="E151" i="298"/>
  <c r="C160" i="271"/>
  <c r="D101" i="217"/>
  <c r="E33" i="217"/>
  <c r="E18" i="217"/>
  <c r="E145" i="270"/>
  <c r="E152" i="270"/>
  <c r="E151" i="263"/>
  <c r="E150" i="270"/>
  <c r="E147" i="270"/>
  <c r="E148" i="263"/>
  <c r="E150" i="263"/>
  <c r="F152" i="270"/>
  <c r="E151" i="270"/>
  <c r="E149" i="263"/>
  <c r="E146" i="270"/>
  <c r="E147" i="263"/>
  <c r="E151" i="287"/>
  <c r="E150" i="313"/>
  <c r="E142" i="310"/>
  <c r="E151" i="313"/>
  <c r="E143" i="275"/>
  <c r="E149" i="287"/>
  <c r="E147" i="310"/>
  <c r="E150" i="265"/>
  <c r="E151" i="275"/>
  <c r="F152" i="275"/>
  <c r="E147" i="267"/>
  <c r="E152" i="275"/>
  <c r="E148" i="287"/>
  <c r="E152" i="310"/>
  <c r="E149" i="275"/>
  <c r="E141" i="310"/>
  <c r="J141" i="310" s="1"/>
  <c r="E159" i="310" s="1"/>
  <c r="J105" i="310"/>
  <c r="E150" i="275"/>
  <c r="E150" i="287"/>
  <c r="E149" i="310"/>
  <c r="E142" i="275"/>
  <c r="J106" i="275"/>
  <c r="E141" i="275"/>
  <c r="J141" i="275" s="1"/>
  <c r="E159" i="275" s="1"/>
  <c r="E143" i="314"/>
  <c r="J106" i="271"/>
  <c r="E141" i="271"/>
  <c r="J141" i="271" s="1"/>
  <c r="E159" i="271" s="1"/>
  <c r="J105" i="271"/>
  <c r="E151" i="289"/>
  <c r="F152" i="289"/>
  <c r="E151" i="310"/>
  <c r="F152" i="310"/>
  <c r="E150" i="289"/>
  <c r="E148" i="314"/>
  <c r="E150" i="310"/>
  <c r="E143" i="264"/>
  <c r="E148" i="310"/>
  <c r="E145" i="310"/>
  <c r="E149" i="313"/>
  <c r="E146" i="310"/>
  <c r="E145" i="275"/>
  <c r="E151" i="265"/>
  <c r="E152" i="289"/>
  <c r="E148" i="275"/>
  <c r="E146" i="275"/>
  <c r="E147" i="275"/>
  <c r="E151" i="314"/>
  <c r="E150" i="314"/>
  <c r="E149" i="314"/>
  <c r="E151" i="306"/>
  <c r="F152" i="306"/>
  <c r="F152" i="292"/>
  <c r="E151" i="292"/>
  <c r="E150" i="305"/>
  <c r="E150" i="294"/>
  <c r="F152" i="271"/>
  <c r="E151" i="271"/>
  <c r="E150" i="277"/>
  <c r="E151" i="290"/>
  <c r="F152" i="290"/>
  <c r="F152" i="277"/>
  <c r="E151" i="277"/>
  <c r="E150" i="306"/>
  <c r="F152" i="294"/>
  <c r="E151" i="294"/>
  <c r="E150" i="264"/>
  <c r="F152" i="264"/>
  <c r="E151" i="264"/>
  <c r="E150" i="292"/>
  <c r="E151" i="267"/>
  <c r="F152" i="267"/>
  <c r="E150" i="267"/>
  <c r="E151" i="305"/>
  <c r="F152" i="305"/>
  <c r="E150" i="290"/>
  <c r="E149" i="305"/>
  <c r="E147" i="266"/>
  <c r="E148" i="290"/>
  <c r="E147" i="306"/>
  <c r="E149" i="267"/>
  <c r="E148" i="269"/>
  <c r="E147" i="269"/>
  <c r="E147" i="248"/>
  <c r="E149" i="306"/>
  <c r="E148" i="267"/>
  <c r="E148" i="266"/>
  <c r="E148" i="306"/>
  <c r="E149" i="290"/>
  <c r="E147" i="290"/>
  <c r="G148" i="271"/>
  <c r="I148" i="237"/>
  <c r="E148" i="264"/>
  <c r="E148" i="236"/>
  <c r="E148" i="271"/>
  <c r="E148" i="292"/>
  <c r="E148" i="296"/>
  <c r="G148" i="296"/>
  <c r="G148" i="264"/>
  <c r="I148" i="310"/>
  <c r="E148" i="277"/>
  <c r="E148" i="294"/>
  <c r="E148" i="245"/>
  <c r="I149" i="277"/>
  <c r="H148" i="277"/>
  <c r="I148" i="270"/>
  <c r="G148" i="236"/>
  <c r="H149" i="287"/>
  <c r="H149" i="302"/>
  <c r="H149" i="262"/>
  <c r="H149" i="297"/>
  <c r="G147" i="290"/>
  <c r="G147" i="252"/>
  <c r="G147" i="307"/>
  <c r="H147" i="280"/>
  <c r="I148" i="280"/>
  <c r="E147" i="236"/>
  <c r="E147" i="294"/>
  <c r="F148" i="294"/>
  <c r="E147" i="250"/>
  <c r="F148" i="250"/>
  <c r="F150" i="245"/>
  <c r="H149" i="269"/>
  <c r="H149" i="306"/>
  <c r="H149" i="256"/>
  <c r="H149" i="252"/>
  <c r="H149" i="257"/>
  <c r="G147" i="242"/>
  <c r="G147" i="269"/>
  <c r="H147" i="306"/>
  <c r="I148" i="306"/>
  <c r="H147" i="277"/>
  <c r="I148" i="277"/>
  <c r="G147" i="294"/>
  <c r="H147" i="257"/>
  <c r="G147" i="296"/>
  <c r="E147" i="271"/>
  <c r="F150" i="264"/>
  <c r="F150" i="292"/>
  <c r="F150" i="271"/>
  <c r="G151" i="266"/>
  <c r="H149" i="267"/>
  <c r="H149" i="307"/>
  <c r="H149" i="293"/>
  <c r="H147" i="292"/>
  <c r="I148" i="292"/>
  <c r="G147" i="257"/>
  <c r="G147" i="292"/>
  <c r="H147" i="290"/>
  <c r="I148" i="290"/>
  <c r="H147" i="262"/>
  <c r="I148" i="262"/>
  <c r="G147" i="293"/>
  <c r="H147" i="267"/>
  <c r="H147" i="248"/>
  <c r="I148" i="248"/>
  <c r="E147" i="277"/>
  <c r="F148" i="277"/>
  <c r="E147" i="264"/>
  <c r="H149" i="280"/>
  <c r="H149" i="289"/>
  <c r="H149" i="258"/>
  <c r="H149" i="242"/>
  <c r="G147" i="248"/>
  <c r="G147" i="256"/>
  <c r="H147" i="307"/>
  <c r="I148" i="307"/>
  <c r="G147" i="298"/>
  <c r="H147" i="258"/>
  <c r="I148" i="258"/>
  <c r="H147" i="294"/>
  <c r="I148" i="294"/>
  <c r="G147" i="262"/>
  <c r="E147" i="292"/>
  <c r="E147" i="296"/>
  <c r="F148" i="296"/>
  <c r="E149" i="303"/>
  <c r="E144" i="264"/>
  <c r="E145" i="251"/>
  <c r="F147" i="302"/>
  <c r="F147" i="262"/>
  <c r="G147" i="300"/>
  <c r="F147" i="236"/>
  <c r="F147" i="267"/>
  <c r="F147" i="269"/>
  <c r="F147" i="307"/>
  <c r="F147" i="287"/>
  <c r="H147" i="237"/>
  <c r="F147" i="289"/>
  <c r="F147" i="258"/>
  <c r="F147" i="242"/>
  <c r="H147" i="245"/>
  <c r="F147" i="252"/>
  <c r="F147" i="257"/>
  <c r="F147" i="280"/>
  <c r="H147" i="270"/>
  <c r="I147" i="281"/>
  <c r="E146" i="277"/>
  <c r="G147" i="277"/>
  <c r="I147" i="241"/>
  <c r="F147" i="271"/>
  <c r="F147" i="296"/>
  <c r="F147" i="306"/>
  <c r="F147" i="293"/>
  <c r="F147" i="256"/>
  <c r="H147" i="310"/>
  <c r="F147" i="264"/>
  <c r="F147" i="297"/>
  <c r="H146" i="284"/>
  <c r="G148" i="247"/>
  <c r="J110" i="290"/>
  <c r="G148" i="290"/>
  <c r="C160" i="241"/>
  <c r="F141" i="263"/>
  <c r="C160" i="256"/>
  <c r="F141" i="250"/>
  <c r="F141" i="315"/>
  <c r="F141" i="234"/>
  <c r="F141" i="284"/>
  <c r="F141" i="307"/>
  <c r="F141" i="298"/>
  <c r="F141" i="288"/>
  <c r="F141" i="257"/>
  <c r="F141" i="314"/>
  <c r="F141" i="256"/>
  <c r="F141" i="254"/>
  <c r="F141" i="237"/>
  <c r="F141" i="290"/>
  <c r="F141" i="303"/>
  <c r="E143" i="284"/>
  <c r="E144" i="237"/>
  <c r="E144" i="289"/>
  <c r="E142" i="247"/>
  <c r="E142" i="252"/>
  <c r="F144" i="252"/>
  <c r="E143" i="252"/>
  <c r="E142" i="289"/>
  <c r="E142" i="292"/>
  <c r="E144" i="252"/>
  <c r="E144" i="307"/>
  <c r="E144" i="298"/>
  <c r="E143" i="269"/>
  <c r="F144" i="269"/>
  <c r="E142" i="290"/>
  <c r="E141" i="280"/>
  <c r="J141" i="280" s="1"/>
  <c r="E159" i="280" s="1"/>
  <c r="J106" i="280"/>
  <c r="F144" i="258"/>
  <c r="E143" i="258"/>
  <c r="E143" i="293"/>
  <c r="E142" i="269"/>
  <c r="E143" i="310"/>
  <c r="F144" i="310"/>
  <c r="E141" i="294"/>
  <c r="J141" i="294" s="1"/>
  <c r="E159" i="294" s="1"/>
  <c r="J106" i="294"/>
  <c r="E144" i="280"/>
  <c r="E143" i="287"/>
  <c r="F144" i="287"/>
  <c r="E143" i="281"/>
  <c r="E142" i="281"/>
  <c r="E141" i="269"/>
  <c r="J141" i="269" s="1"/>
  <c r="E159" i="269" s="1"/>
  <c r="F144" i="290"/>
  <c r="E143" i="290"/>
  <c r="F144" i="280"/>
  <c r="E143" i="280"/>
  <c r="E143" i="271"/>
  <c r="F144" i="271"/>
  <c r="E144" i="267"/>
  <c r="E143" i="313"/>
  <c r="J105" i="280"/>
  <c r="E143" i="292"/>
  <c r="E143" i="294"/>
  <c r="E142" i="280"/>
  <c r="E141" i="281"/>
  <c r="E144" i="310"/>
  <c r="E141" i="292"/>
  <c r="J141" i="292" s="1"/>
  <c r="E159" i="292" s="1"/>
  <c r="J105" i="292"/>
  <c r="E143" i="262"/>
  <c r="F144" i="262"/>
  <c r="E142" i="258"/>
  <c r="E142" i="294"/>
  <c r="E142" i="287"/>
  <c r="E144" i="262"/>
  <c r="E141" i="258"/>
  <c r="J141" i="258" s="1"/>
  <c r="E159" i="258" s="1"/>
  <c r="J106" i="258"/>
  <c r="E142" i="309"/>
  <c r="F144" i="272"/>
  <c r="E142" i="271"/>
  <c r="E141" i="262"/>
  <c r="J141" i="262" s="1"/>
  <c r="E159" i="262" s="1"/>
  <c r="J105" i="262"/>
  <c r="F144" i="257"/>
  <c r="E143" i="257"/>
  <c r="E144" i="257"/>
  <c r="E143" i="256"/>
  <c r="F144" i="256"/>
  <c r="E141" i="248"/>
  <c r="J105" i="248"/>
  <c r="E144" i="245"/>
  <c r="E143" i="241"/>
  <c r="E142" i="241"/>
  <c r="E141" i="243"/>
  <c r="E144" i="248"/>
  <c r="E142" i="242"/>
  <c r="E141" i="249"/>
  <c r="J141" i="249" s="1"/>
  <c r="E159" i="249" s="1"/>
  <c r="J105" i="249"/>
  <c r="E143" i="236"/>
  <c r="E142" i="246"/>
  <c r="E142" i="256"/>
  <c r="E143" i="247"/>
  <c r="E141" i="256"/>
  <c r="J105" i="256"/>
  <c r="F114" i="302" l="1"/>
  <c r="G115" i="302" s="1"/>
  <c r="E150" i="307"/>
  <c r="E115" i="304"/>
  <c r="F116" i="304" s="1"/>
  <c r="F152" i="304" s="1"/>
  <c r="F111" i="301"/>
  <c r="F147" i="301" s="1"/>
  <c r="E151" i="299"/>
  <c r="E149" i="298"/>
  <c r="D148" i="316"/>
  <c r="E148" i="299"/>
  <c r="E109" i="314"/>
  <c r="E145" i="314" s="1"/>
  <c r="E116" i="285"/>
  <c r="E152" i="285" s="1"/>
  <c r="D150" i="301"/>
  <c r="E111" i="308"/>
  <c r="F112" i="308" s="1"/>
  <c r="F148" i="308" s="1"/>
  <c r="D149" i="278"/>
  <c r="F113" i="307"/>
  <c r="G114" i="307" s="1"/>
  <c r="E107" i="295"/>
  <c r="E143" i="295" s="1"/>
  <c r="E115" i="291"/>
  <c r="F116" i="291" s="1"/>
  <c r="F152" i="291" s="1"/>
  <c r="E146" i="251"/>
  <c r="E147" i="299"/>
  <c r="C160" i="279"/>
  <c r="E147" i="300"/>
  <c r="E113" i="291"/>
  <c r="F114" i="291" s="1"/>
  <c r="E146" i="309"/>
  <c r="E112" i="311"/>
  <c r="F113" i="311" s="1"/>
  <c r="D148" i="297"/>
  <c r="F110" i="301"/>
  <c r="G111" i="301" s="1"/>
  <c r="D147" i="295"/>
  <c r="E113" i="280"/>
  <c r="F114" i="280" s="1"/>
  <c r="F150" i="280" s="1"/>
  <c r="E105" i="314"/>
  <c r="F106" i="314" s="1"/>
  <c r="G107" i="314" s="1"/>
  <c r="E111" i="311"/>
  <c r="F112" i="311" s="1"/>
  <c r="F148" i="311" s="1"/>
  <c r="E114" i="311"/>
  <c r="E150" i="311" s="1"/>
  <c r="J109" i="290"/>
  <c r="E112" i="304"/>
  <c r="F113" i="304" s="1"/>
  <c r="G114" i="304" s="1"/>
  <c r="D145" i="314"/>
  <c r="E113" i="295"/>
  <c r="E149" i="295" s="1"/>
  <c r="F113" i="302"/>
  <c r="G114" i="302" s="1"/>
  <c r="E114" i="291"/>
  <c r="E150" i="291" s="1"/>
  <c r="D148" i="309"/>
  <c r="F112" i="302"/>
  <c r="F148" i="302" s="1"/>
  <c r="E116" i="291"/>
  <c r="E152" i="291" s="1"/>
  <c r="F114" i="299"/>
  <c r="F150" i="299" s="1"/>
  <c r="E149" i="300"/>
  <c r="E148" i="300"/>
  <c r="F87" i="217"/>
  <c r="E150" i="300"/>
  <c r="E149" i="307"/>
  <c r="E150" i="309"/>
  <c r="D141" i="295"/>
  <c r="D143" i="259"/>
  <c r="E110" i="316"/>
  <c r="F111" i="316" s="1"/>
  <c r="G112" i="316" s="1"/>
  <c r="D149" i="309"/>
  <c r="D150" i="316"/>
  <c r="E88" i="217"/>
  <c r="D143" i="305"/>
  <c r="E144" i="272"/>
  <c r="E141" i="290"/>
  <c r="J141" i="290" s="1"/>
  <c r="E159" i="290" s="1"/>
  <c r="E109" i="279"/>
  <c r="F110" i="279" s="1"/>
  <c r="D144" i="304"/>
  <c r="E141" i="259"/>
  <c r="J141" i="259" s="1"/>
  <c r="E159" i="259" s="1"/>
  <c r="E160" i="259" s="1"/>
  <c r="D149" i="304"/>
  <c r="J104" i="259"/>
  <c r="E106" i="311"/>
  <c r="F107" i="311" s="1"/>
  <c r="G108" i="311" s="1"/>
  <c r="C160" i="314"/>
  <c r="E147" i="293"/>
  <c r="D149" i="295"/>
  <c r="E116" i="301"/>
  <c r="E152" i="301" s="1"/>
  <c r="E106" i="314"/>
  <c r="F107" i="314" s="1"/>
  <c r="F143" i="314" s="1"/>
  <c r="E115" i="311"/>
  <c r="E151" i="311" s="1"/>
  <c r="E146" i="305"/>
  <c r="D146" i="312"/>
  <c r="E150" i="297"/>
  <c r="F106" i="259"/>
  <c r="F142" i="259" s="1"/>
  <c r="J104" i="316"/>
  <c r="E111" i="316"/>
  <c r="F112" i="316" s="1"/>
  <c r="G113" i="316" s="1"/>
  <c r="D146" i="295"/>
  <c r="D149" i="297"/>
  <c r="J146" i="290"/>
  <c r="J159" i="290" s="1"/>
  <c r="J160" i="290" s="1"/>
  <c r="E141" i="293"/>
  <c r="J141" i="293" s="1"/>
  <c r="E159" i="293" s="1"/>
  <c r="D140" i="259"/>
  <c r="J140" i="259" s="1"/>
  <c r="D159" i="259" s="1"/>
  <c r="E113" i="252"/>
  <c r="E149" i="252" s="1"/>
  <c r="E105" i="279"/>
  <c r="J105" i="279" s="1"/>
  <c r="E110" i="312"/>
  <c r="E146" i="312" s="1"/>
  <c r="E113" i="304"/>
  <c r="E149" i="304" s="1"/>
  <c r="E112" i="297"/>
  <c r="E148" i="297" s="1"/>
  <c r="D144" i="254"/>
  <c r="J104" i="290"/>
  <c r="D145" i="309"/>
  <c r="D140" i="290"/>
  <c r="J140" i="290" s="1"/>
  <c r="D159" i="290" s="1"/>
  <c r="D160" i="290" s="1"/>
  <c r="J105" i="290"/>
  <c r="E116" i="303"/>
  <c r="E152" i="303" s="1"/>
  <c r="J104" i="309"/>
  <c r="E105" i="316"/>
  <c r="E141" i="316" s="1"/>
  <c r="D151" i="312"/>
  <c r="D146" i="293"/>
  <c r="E109" i="309"/>
  <c r="E145" i="309" s="1"/>
  <c r="E108" i="316"/>
  <c r="E144" i="316" s="1"/>
  <c r="D144" i="301"/>
  <c r="E145" i="280"/>
  <c r="J145" i="280" s="1"/>
  <c r="I159" i="280" s="1"/>
  <c r="I160" i="280" s="1"/>
  <c r="D147" i="316"/>
  <c r="E108" i="304"/>
  <c r="F109" i="304" s="1"/>
  <c r="F145" i="304" s="1"/>
  <c r="D143" i="301"/>
  <c r="E106" i="291"/>
  <c r="E142" i="291" s="1"/>
  <c r="E105" i="309"/>
  <c r="E141" i="309" s="1"/>
  <c r="J141" i="309" s="1"/>
  <c r="E159" i="309" s="1"/>
  <c r="G147" i="280"/>
  <c r="E115" i="297"/>
  <c r="F116" i="297" s="1"/>
  <c r="D151" i="280"/>
  <c r="E109" i="311"/>
  <c r="F110" i="311" s="1"/>
  <c r="E116" i="314"/>
  <c r="E152" i="314" s="1"/>
  <c r="E106" i="293"/>
  <c r="F107" i="293" s="1"/>
  <c r="E142" i="295"/>
  <c r="J110" i="280"/>
  <c r="F146" i="280"/>
  <c r="D146" i="314"/>
  <c r="J109" i="280"/>
  <c r="C160" i="312"/>
  <c r="E105" i="295"/>
  <c r="F106" i="295" s="1"/>
  <c r="J106" i="295" s="1"/>
  <c r="J104" i="295"/>
  <c r="J140" i="295"/>
  <c r="D159" i="295" s="1"/>
  <c r="D160" i="295" s="1"/>
  <c r="D144" i="280"/>
  <c r="J141" i="311"/>
  <c r="E159" i="311" s="1"/>
  <c r="E160" i="311" s="1"/>
  <c r="D151" i="293"/>
  <c r="D141" i="316"/>
  <c r="E113" i="276"/>
  <c r="E149" i="276" s="1"/>
  <c r="F106" i="229"/>
  <c r="F142" i="229" s="1"/>
  <c r="J142" i="229" s="1"/>
  <c r="F159" i="229" s="1"/>
  <c r="E148" i="312"/>
  <c r="F113" i="254"/>
  <c r="G114" i="254" s="1"/>
  <c r="F110" i="267"/>
  <c r="F146" i="267" s="1"/>
  <c r="D146" i="234"/>
  <c r="D140" i="242"/>
  <c r="J140" i="242" s="1"/>
  <c r="D159" i="242" s="1"/>
  <c r="F19" i="217" s="1"/>
  <c r="D147" i="312"/>
  <c r="E147" i="305"/>
  <c r="E148" i="309"/>
  <c r="F115" i="301"/>
  <c r="F151" i="301" s="1"/>
  <c r="E141" i="312"/>
  <c r="D149" i="293"/>
  <c r="D140" i="312"/>
  <c r="J140" i="312" s="1"/>
  <c r="D159" i="312" s="1"/>
  <c r="D160" i="312" s="1"/>
  <c r="J104" i="311"/>
  <c r="E108" i="309"/>
  <c r="F109" i="309" s="1"/>
  <c r="G110" i="309" s="1"/>
  <c r="E111" i="297"/>
  <c r="F112" i="297" s="1"/>
  <c r="G113" i="297" s="1"/>
  <c r="E90" i="217"/>
  <c r="G111" i="302"/>
  <c r="F146" i="302"/>
  <c r="E111" i="304"/>
  <c r="F112" i="304" s="1"/>
  <c r="C160" i="291"/>
  <c r="D143" i="314"/>
  <c r="D150" i="295"/>
  <c r="D140" i="311"/>
  <c r="J140" i="311" s="1"/>
  <c r="D159" i="311" s="1"/>
  <c r="F88" i="217" s="1"/>
  <c r="E110" i="304"/>
  <c r="E146" i="304" s="1"/>
  <c r="E108" i="312"/>
  <c r="F109" i="312" s="1"/>
  <c r="G110" i="312" s="1"/>
  <c r="F115" i="293"/>
  <c r="G116" i="293" s="1"/>
  <c r="G152" i="293" s="1"/>
  <c r="F108" i="316"/>
  <c r="G109" i="316" s="1"/>
  <c r="E150" i="308"/>
  <c r="F107" i="276"/>
  <c r="F143" i="276" s="1"/>
  <c r="E108" i="311"/>
  <c r="E144" i="311" s="1"/>
  <c r="J104" i="312"/>
  <c r="J140" i="314"/>
  <c r="D159" i="314" s="1"/>
  <c r="F91" i="217" s="1"/>
  <c r="E111" i="309"/>
  <c r="F112" i="309" s="1"/>
  <c r="G113" i="309" s="1"/>
  <c r="D143" i="276"/>
  <c r="E107" i="291"/>
  <c r="E143" i="291" s="1"/>
  <c r="J111" i="294"/>
  <c r="E114" i="312"/>
  <c r="F115" i="312" s="1"/>
  <c r="J105" i="293"/>
  <c r="E86" i="217"/>
  <c r="E144" i="305"/>
  <c r="D151" i="304"/>
  <c r="E114" i="316"/>
  <c r="F115" i="316" s="1"/>
  <c r="F151" i="316" s="1"/>
  <c r="J104" i="279"/>
  <c r="E70" i="217"/>
  <c r="E108" i="295"/>
  <c r="F109" i="295" s="1"/>
  <c r="G110" i="295" s="1"/>
  <c r="E115" i="293"/>
  <c r="F116" i="293" s="1"/>
  <c r="F152" i="293" s="1"/>
  <c r="E93" i="217"/>
  <c r="E113" i="278"/>
  <c r="E149" i="278" s="1"/>
  <c r="E113" i="293"/>
  <c r="D145" i="294"/>
  <c r="J145" i="294" s="1"/>
  <c r="I159" i="294" s="1"/>
  <c r="K71" i="217" s="1"/>
  <c r="E116" i="297"/>
  <c r="E152" i="297" s="1"/>
  <c r="F147" i="294"/>
  <c r="J147" i="294" s="1"/>
  <c r="K159" i="294" s="1"/>
  <c r="E109" i="316"/>
  <c r="F110" i="316" s="1"/>
  <c r="E113" i="315"/>
  <c r="F114" i="315" s="1"/>
  <c r="E116" i="295"/>
  <c r="E152" i="295" s="1"/>
  <c r="E111" i="291"/>
  <c r="E147" i="291" s="1"/>
  <c r="G148" i="294"/>
  <c r="E145" i="291"/>
  <c r="E111" i="307"/>
  <c r="F112" i="307" s="1"/>
  <c r="J112" i="307" s="1"/>
  <c r="E146" i="294"/>
  <c r="J146" i="294" s="1"/>
  <c r="J159" i="294" s="1"/>
  <c r="J160" i="294" s="1"/>
  <c r="J110" i="294"/>
  <c r="J109" i="294"/>
  <c r="F114" i="296"/>
  <c r="E149" i="296"/>
  <c r="G111" i="306"/>
  <c r="F146" i="306"/>
  <c r="E107" i="312"/>
  <c r="D142" i="312"/>
  <c r="C160" i="290"/>
  <c r="D147" i="303"/>
  <c r="D140" i="291"/>
  <c r="J140" i="291" s="1"/>
  <c r="D159" i="291" s="1"/>
  <c r="D160" i="291" s="1"/>
  <c r="E115" i="309"/>
  <c r="E151" i="309" s="1"/>
  <c r="E110" i="291"/>
  <c r="F111" i="291" s="1"/>
  <c r="G112" i="291" s="1"/>
  <c r="E116" i="316"/>
  <c r="E152" i="316" s="1"/>
  <c r="E115" i="308"/>
  <c r="F116" i="308" s="1"/>
  <c r="F152" i="308" s="1"/>
  <c r="D142" i="316"/>
  <c r="D149" i="301"/>
  <c r="D141" i="276"/>
  <c r="D149" i="308"/>
  <c r="E109" i="312"/>
  <c r="F110" i="312" s="1"/>
  <c r="G111" i="312" s="1"/>
  <c r="F111" i="298"/>
  <c r="G112" i="298" s="1"/>
  <c r="E146" i="298"/>
  <c r="H111" i="299"/>
  <c r="G146" i="299"/>
  <c r="E115" i="312"/>
  <c r="D150" i="312"/>
  <c r="D146" i="303"/>
  <c r="E142" i="316"/>
  <c r="J105" i="312"/>
  <c r="D147" i="309"/>
  <c r="E109" i="295"/>
  <c r="E145" i="295" s="1"/>
  <c r="E108" i="308"/>
  <c r="F109" i="308" s="1"/>
  <c r="G110" i="308" s="1"/>
  <c r="E105" i="313"/>
  <c r="D140" i="313"/>
  <c r="J140" i="313" s="1"/>
  <c r="D159" i="313" s="1"/>
  <c r="D147" i="308"/>
  <c r="E109" i="308"/>
  <c r="E145" i="308" s="1"/>
  <c r="F111" i="308"/>
  <c r="F147" i="308" s="1"/>
  <c r="D148" i="308"/>
  <c r="E116" i="308"/>
  <c r="E152" i="308" s="1"/>
  <c r="D145" i="308"/>
  <c r="D106" i="307"/>
  <c r="E107" i="307" s="1"/>
  <c r="C141" i="307"/>
  <c r="D104" i="305"/>
  <c r="D140" i="305" s="1"/>
  <c r="J103" i="305"/>
  <c r="C139" i="305"/>
  <c r="J139" i="305" s="1"/>
  <c r="C159" i="305" s="1"/>
  <c r="E82" i="217" s="1"/>
  <c r="D107" i="303"/>
  <c r="C142" i="303"/>
  <c r="C148" i="303"/>
  <c r="D113" i="303"/>
  <c r="E114" i="303" s="1"/>
  <c r="F115" i="303" s="1"/>
  <c r="D114" i="303"/>
  <c r="E115" i="303" s="1"/>
  <c r="E151" i="303" s="1"/>
  <c r="C149" i="303"/>
  <c r="D106" i="296"/>
  <c r="D142" i="296" s="1"/>
  <c r="C141" i="296"/>
  <c r="D108" i="303"/>
  <c r="C143" i="303"/>
  <c r="D105" i="305"/>
  <c r="D141" i="305" s="1"/>
  <c r="C140" i="305"/>
  <c r="D105" i="299"/>
  <c r="E106" i="299" s="1"/>
  <c r="C140" i="299"/>
  <c r="C140" i="301"/>
  <c r="D105" i="301"/>
  <c r="E106" i="301" s="1"/>
  <c r="D105" i="296"/>
  <c r="E106" i="296" s="1"/>
  <c r="C140" i="296"/>
  <c r="J103" i="296"/>
  <c r="C139" i="296"/>
  <c r="J139" i="296" s="1"/>
  <c r="C159" i="296" s="1"/>
  <c r="E73" i="217" s="1"/>
  <c r="D104" i="296"/>
  <c r="E105" i="296" s="1"/>
  <c r="D104" i="298"/>
  <c r="E105" i="298" s="1"/>
  <c r="F106" i="298" s="1"/>
  <c r="G107" i="298" s="1"/>
  <c r="H108" i="298" s="1"/>
  <c r="I109" i="298" s="1"/>
  <c r="I145" i="298" s="1"/>
  <c r="C139" i="298"/>
  <c r="J139" i="298" s="1"/>
  <c r="C159" i="298" s="1"/>
  <c r="C160" i="298" s="1"/>
  <c r="J103" i="298"/>
  <c r="D104" i="299"/>
  <c r="J104" i="299" s="1"/>
  <c r="C139" i="299"/>
  <c r="J139" i="299" s="1"/>
  <c r="C159" i="299" s="1"/>
  <c r="E76" i="217" s="1"/>
  <c r="J103" i="299"/>
  <c r="C139" i="307"/>
  <c r="J139" i="307" s="1"/>
  <c r="C159" i="307" s="1"/>
  <c r="E84" i="217" s="1"/>
  <c r="D104" i="307"/>
  <c r="E105" i="307" s="1"/>
  <c r="J103" i="307"/>
  <c r="I70" i="301"/>
  <c r="J70" i="301" s="1"/>
  <c r="C103" i="301" s="1"/>
  <c r="I71" i="304"/>
  <c r="J71" i="304" s="1"/>
  <c r="C104" i="304" s="1"/>
  <c r="I72" i="302"/>
  <c r="J72" i="302" s="1"/>
  <c r="C105" i="302" s="1"/>
  <c r="I70" i="308"/>
  <c r="J70" i="308" s="1"/>
  <c r="C103" i="308" s="1"/>
  <c r="J104" i="291"/>
  <c r="E111" i="315"/>
  <c r="E147" i="315" s="1"/>
  <c r="I72" i="299"/>
  <c r="J72" i="299" s="1"/>
  <c r="C105" i="299" s="1"/>
  <c r="I70" i="300"/>
  <c r="J70" i="300" s="1"/>
  <c r="C103" i="300" s="1"/>
  <c r="I70" i="302"/>
  <c r="J70" i="302" s="1"/>
  <c r="C103" i="302" s="1"/>
  <c r="I70" i="304"/>
  <c r="J70" i="304" s="1"/>
  <c r="C103" i="304" s="1"/>
  <c r="I72" i="306"/>
  <c r="J72" i="306" s="1"/>
  <c r="C105" i="306" s="1"/>
  <c r="F111" i="299"/>
  <c r="G112" i="299" s="1"/>
  <c r="E146" i="299"/>
  <c r="H111" i="298"/>
  <c r="G146" i="298"/>
  <c r="F110" i="297"/>
  <c r="E145" i="297"/>
  <c r="H111" i="300"/>
  <c r="G146" i="300"/>
  <c r="H111" i="297"/>
  <c r="G146" i="297"/>
  <c r="E105" i="315"/>
  <c r="D140" i="315"/>
  <c r="J140" i="315" s="1"/>
  <c r="D159" i="315" s="1"/>
  <c r="F92" i="217" s="1"/>
  <c r="J104" i="315"/>
  <c r="E107" i="309"/>
  <c r="D142" i="309"/>
  <c r="D141" i="312"/>
  <c r="I70" i="297"/>
  <c r="J70" i="297" s="1"/>
  <c r="C103" i="297" s="1"/>
  <c r="I71" i="308"/>
  <c r="J71" i="308" s="1"/>
  <c r="C104" i="308" s="1"/>
  <c r="D142" i="311"/>
  <c r="I71" i="307"/>
  <c r="J71" i="307" s="1"/>
  <c r="C104" i="307" s="1"/>
  <c r="I72" i="297"/>
  <c r="J72" i="297" s="1"/>
  <c r="C105" i="297" s="1"/>
  <c r="D106" i="297" s="1"/>
  <c r="E107" i="297" s="1"/>
  <c r="E112" i="291"/>
  <c r="J104" i="293"/>
  <c r="D140" i="293"/>
  <c r="J140" i="293" s="1"/>
  <c r="D159" i="293" s="1"/>
  <c r="D144" i="291"/>
  <c r="D143" i="293"/>
  <c r="F114" i="277"/>
  <c r="E149" i="277"/>
  <c r="G111" i="299"/>
  <c r="F146" i="299"/>
  <c r="H111" i="302"/>
  <c r="G146" i="302"/>
  <c r="F111" i="292"/>
  <c r="G112" i="292" s="1"/>
  <c r="H113" i="292" s="1"/>
  <c r="I114" i="292" s="1"/>
  <c r="E146" i="292"/>
  <c r="J146" i="292" s="1"/>
  <c r="J159" i="292" s="1"/>
  <c r="J160" i="292" s="1"/>
  <c r="F114" i="294"/>
  <c r="E149" i="294"/>
  <c r="C160" i="315"/>
  <c r="E92" i="217"/>
  <c r="I72" i="305"/>
  <c r="J72" i="305" s="1"/>
  <c r="C105" i="305" s="1"/>
  <c r="D143" i="291"/>
  <c r="E144" i="293"/>
  <c r="I72" i="304"/>
  <c r="J72" i="304" s="1"/>
  <c r="C105" i="304" s="1"/>
  <c r="I71" i="297"/>
  <c r="J71" i="297" s="1"/>
  <c r="C104" i="297" s="1"/>
  <c r="I72" i="308"/>
  <c r="J72" i="308" s="1"/>
  <c r="C105" i="308" s="1"/>
  <c r="E151" i="286"/>
  <c r="I72" i="301"/>
  <c r="J72" i="301" s="1"/>
  <c r="C105" i="301" s="1"/>
  <c r="I70" i="306"/>
  <c r="J70" i="306" s="1"/>
  <c r="C103" i="306" s="1"/>
  <c r="I72" i="300"/>
  <c r="J72" i="300" s="1"/>
  <c r="C105" i="300" s="1"/>
  <c r="I71" i="300"/>
  <c r="J71" i="300" s="1"/>
  <c r="C104" i="300" s="1"/>
  <c r="E116" i="311"/>
  <c r="E152" i="311" s="1"/>
  <c r="E146" i="243"/>
  <c r="D151" i="288"/>
  <c r="F114" i="247"/>
  <c r="G115" i="247" s="1"/>
  <c r="E142" i="268"/>
  <c r="F108" i="244"/>
  <c r="F144" i="244" s="1"/>
  <c r="F108" i="251"/>
  <c r="G109" i="251" s="1"/>
  <c r="D146" i="279"/>
  <c r="E146" i="282"/>
  <c r="D143" i="287"/>
  <c r="D150" i="251"/>
  <c r="E142" i="284"/>
  <c r="D141" i="284"/>
  <c r="J141" i="284" s="1"/>
  <c r="E159" i="284" s="1"/>
  <c r="G61" i="217" s="1"/>
  <c r="E144" i="253"/>
  <c r="E147" i="251"/>
  <c r="F109" i="276"/>
  <c r="F145" i="276" s="1"/>
  <c r="J104" i="257"/>
  <c r="E150" i="239"/>
  <c r="E150" i="235"/>
  <c r="E113" i="254"/>
  <c r="E149" i="254" s="1"/>
  <c r="E115" i="269"/>
  <c r="E151" i="269" s="1"/>
  <c r="D148" i="261"/>
  <c r="E144" i="313"/>
  <c r="F112" i="281"/>
  <c r="G113" i="281" s="1"/>
  <c r="E147" i="295"/>
  <c r="E114" i="280"/>
  <c r="E150" i="280" s="1"/>
  <c r="F114" i="283"/>
  <c r="F150" i="283" s="1"/>
  <c r="F112" i="268"/>
  <c r="G113" i="268" s="1"/>
  <c r="F116" i="250"/>
  <c r="F152" i="250" s="1"/>
  <c r="E146" i="245"/>
  <c r="F107" i="244"/>
  <c r="G108" i="244" s="1"/>
  <c r="E105" i="242"/>
  <c r="J105" i="242" s="1"/>
  <c r="D144" i="281"/>
  <c r="D150" i="276"/>
  <c r="D160" i="274"/>
  <c r="F109" i="234"/>
  <c r="F145" i="234" s="1"/>
  <c r="E141" i="229"/>
  <c r="J141" i="229" s="1"/>
  <c r="E159" i="229" s="1"/>
  <c r="G6" i="217" s="1"/>
  <c r="E141" i="265"/>
  <c r="J141" i="265" s="1"/>
  <c r="E159" i="265" s="1"/>
  <c r="G42" i="217" s="1"/>
  <c r="J104" i="265"/>
  <c r="E143" i="234"/>
  <c r="F111" i="229"/>
  <c r="G112" i="229" s="1"/>
  <c r="E114" i="245"/>
  <c r="F115" i="245" s="1"/>
  <c r="G116" i="245" s="1"/>
  <c r="G152" i="245" s="1"/>
  <c r="E107" i="267"/>
  <c r="F108" i="267" s="1"/>
  <c r="F144" i="267" s="1"/>
  <c r="E116" i="233"/>
  <c r="E152" i="233" s="1"/>
  <c r="E141" i="241"/>
  <c r="J141" i="241" s="1"/>
  <c r="E159" i="241" s="1"/>
  <c r="J141" i="231"/>
  <c r="E159" i="231" s="1"/>
  <c r="G8" i="217" s="1"/>
  <c r="E149" i="231"/>
  <c r="D146" i="243"/>
  <c r="E113" i="255"/>
  <c r="E149" i="255" s="1"/>
  <c r="D141" i="266"/>
  <c r="D144" i="241"/>
  <c r="E151" i="280"/>
  <c r="F115" i="281"/>
  <c r="F151" i="281" s="1"/>
  <c r="E146" i="246"/>
  <c r="E142" i="266"/>
  <c r="E150" i="276"/>
  <c r="F113" i="281"/>
  <c r="G114" i="281" s="1"/>
  <c r="D142" i="253"/>
  <c r="F115" i="233"/>
  <c r="F151" i="233" s="1"/>
  <c r="E43" i="217"/>
  <c r="F112" i="239"/>
  <c r="F148" i="239" s="1"/>
  <c r="E148" i="250"/>
  <c r="E144" i="315"/>
  <c r="D147" i="246"/>
  <c r="F115" i="252"/>
  <c r="G116" i="252" s="1"/>
  <c r="E146" i="261"/>
  <c r="F114" i="312"/>
  <c r="G115" i="312" s="1"/>
  <c r="D141" i="236"/>
  <c r="E142" i="265"/>
  <c r="F113" i="268"/>
  <c r="G114" i="268" s="1"/>
  <c r="E146" i="315"/>
  <c r="E149" i="265"/>
  <c r="F106" i="265"/>
  <c r="G107" i="265" s="1"/>
  <c r="F106" i="274"/>
  <c r="J106" i="274" s="1"/>
  <c r="E149" i="269"/>
  <c r="D140" i="265"/>
  <c r="J140" i="265" s="1"/>
  <c r="D159" i="265" s="1"/>
  <c r="C160" i="242"/>
  <c r="F114" i="285"/>
  <c r="F150" i="285" s="1"/>
  <c r="C160" i="246"/>
  <c r="J104" i="267"/>
  <c r="F109" i="244"/>
  <c r="G110" i="244" s="1"/>
  <c r="D151" i="272"/>
  <c r="E142" i="240"/>
  <c r="E109" i="264"/>
  <c r="E145" i="264" s="1"/>
  <c r="D148" i="285"/>
  <c r="E149" i="250"/>
  <c r="E147" i="234"/>
  <c r="F109" i="288"/>
  <c r="G110" i="288" s="1"/>
  <c r="E150" i="243"/>
  <c r="E147" i="245"/>
  <c r="F109" i="243"/>
  <c r="F145" i="243" s="1"/>
  <c r="E150" i="278"/>
  <c r="E108" i="261"/>
  <c r="F109" i="261" s="1"/>
  <c r="E114" i="248"/>
  <c r="F115" i="248" s="1"/>
  <c r="F151" i="248" s="1"/>
  <c r="D149" i="255"/>
  <c r="G145" i="242"/>
  <c r="D147" i="254"/>
  <c r="E12" i="217"/>
  <c r="D149" i="286"/>
  <c r="E148" i="242"/>
  <c r="F112" i="258"/>
  <c r="G113" i="258" s="1"/>
  <c r="F29" i="217"/>
  <c r="F111" i="313"/>
  <c r="F147" i="313" s="1"/>
  <c r="F111" i="232"/>
  <c r="G112" i="232" s="1"/>
  <c r="F111" i="244"/>
  <c r="F147" i="244" s="1"/>
  <c r="D151" i="258"/>
  <c r="F114" i="235"/>
  <c r="F150" i="235" s="1"/>
  <c r="F116" i="244"/>
  <c r="F152" i="244" s="1"/>
  <c r="E141" i="272"/>
  <c r="J141" i="272" s="1"/>
  <c r="E159" i="272" s="1"/>
  <c r="G49" i="217" s="1"/>
  <c r="E146" i="234"/>
  <c r="E105" i="289"/>
  <c r="J105" i="289" s="1"/>
  <c r="D150" i="257"/>
  <c r="D146" i="257"/>
  <c r="J105" i="231"/>
  <c r="J105" i="278"/>
  <c r="F93" i="217"/>
  <c r="E105" i="233"/>
  <c r="E141" i="233" s="1"/>
  <c r="D142" i="282"/>
  <c r="E149" i="234"/>
  <c r="F110" i="250"/>
  <c r="G111" i="250" s="1"/>
  <c r="D140" i="257"/>
  <c r="J140" i="257" s="1"/>
  <c r="D159" i="257" s="1"/>
  <c r="F34" i="217" s="1"/>
  <c r="E110" i="278"/>
  <c r="F111" i="278" s="1"/>
  <c r="E150" i="283"/>
  <c r="E143" i="282"/>
  <c r="F111" i="314"/>
  <c r="G112" i="314" s="1"/>
  <c r="E151" i="247"/>
  <c r="D141" i="243"/>
  <c r="J141" i="243" s="1"/>
  <c r="E159" i="243" s="1"/>
  <c r="G20" i="217" s="1"/>
  <c r="D140" i="264"/>
  <c r="J140" i="264" s="1"/>
  <c r="D159" i="264" s="1"/>
  <c r="C160" i="285"/>
  <c r="J104" i="233"/>
  <c r="E107" i="260"/>
  <c r="F107" i="249"/>
  <c r="G108" i="249" s="1"/>
  <c r="F109" i="236"/>
  <c r="F145" i="236" s="1"/>
  <c r="J104" i="277"/>
  <c r="J140" i="231"/>
  <c r="D159" i="231" s="1"/>
  <c r="F8" i="217" s="1"/>
  <c r="J105" i="243"/>
  <c r="E141" i="277"/>
  <c r="E141" i="278"/>
  <c r="J141" i="278" s="1"/>
  <c r="E159" i="278" s="1"/>
  <c r="D144" i="245"/>
  <c r="D148" i="251"/>
  <c r="D151" i="283"/>
  <c r="E141" i="282"/>
  <c r="J141" i="282" s="1"/>
  <c r="E159" i="282" s="1"/>
  <c r="G59" i="217" s="1"/>
  <c r="E105" i="286"/>
  <c r="E141" i="286" s="1"/>
  <c r="D144" i="287"/>
  <c r="D151" i="236"/>
  <c r="J104" i="285"/>
  <c r="D140" i="285"/>
  <c r="J140" i="285" s="1"/>
  <c r="D159" i="285" s="1"/>
  <c r="D160" i="285" s="1"/>
  <c r="J140" i="233"/>
  <c r="D159" i="233" s="1"/>
  <c r="F10" i="217" s="1"/>
  <c r="D140" i="287"/>
  <c r="J140" i="287" s="1"/>
  <c r="D159" i="287" s="1"/>
  <c r="D160" i="287" s="1"/>
  <c r="D144" i="284"/>
  <c r="D148" i="235"/>
  <c r="D151" i="246"/>
  <c r="E106" i="231"/>
  <c r="F107" i="231" s="1"/>
  <c r="F143" i="231" s="1"/>
  <c r="J105" i="264"/>
  <c r="E115" i="268"/>
  <c r="F116" i="268" s="1"/>
  <c r="F152" i="268" s="1"/>
  <c r="E147" i="287"/>
  <c r="E149" i="270"/>
  <c r="E146" i="268"/>
  <c r="E148" i="293"/>
  <c r="F108" i="231"/>
  <c r="F144" i="231" s="1"/>
  <c r="E151" i="304"/>
  <c r="E144" i="241"/>
  <c r="E147" i="262"/>
  <c r="J147" i="262" s="1"/>
  <c r="K159" i="262" s="1"/>
  <c r="F109" i="278"/>
  <c r="G110" i="278" s="1"/>
  <c r="E109" i="283"/>
  <c r="F110" i="283" s="1"/>
  <c r="E115" i="281"/>
  <c r="F116" i="281" s="1"/>
  <c r="F112" i="274"/>
  <c r="F148" i="274" s="1"/>
  <c r="E142" i="262"/>
  <c r="E145" i="313"/>
  <c r="F146" i="313"/>
  <c r="J140" i="262"/>
  <c r="D159" i="262" s="1"/>
  <c r="F39" i="217" s="1"/>
  <c r="D143" i="254"/>
  <c r="D146" i="272"/>
  <c r="J140" i="248"/>
  <c r="D159" i="248" s="1"/>
  <c r="F25" i="217" s="1"/>
  <c r="D149" i="271"/>
  <c r="D145" i="272"/>
  <c r="E105" i="236"/>
  <c r="E141" i="236" s="1"/>
  <c r="E150" i="230"/>
  <c r="J141" i="281"/>
  <c r="E159" i="281" s="1"/>
  <c r="E160" i="281" s="1"/>
  <c r="J105" i="247"/>
  <c r="J111" i="262"/>
  <c r="E144" i="275"/>
  <c r="E144" i="281"/>
  <c r="F111" i="311"/>
  <c r="G112" i="311" s="1"/>
  <c r="E112" i="262"/>
  <c r="J112" i="262" s="1"/>
  <c r="E150" i="255"/>
  <c r="E149" i="288"/>
  <c r="E106" i="232"/>
  <c r="F107" i="232" s="1"/>
  <c r="E106" i="253"/>
  <c r="E142" i="253" s="1"/>
  <c r="E143" i="253"/>
  <c r="F108" i="239"/>
  <c r="G109" i="239" s="1"/>
  <c r="J105" i="274"/>
  <c r="E143" i="289"/>
  <c r="E145" i="268"/>
  <c r="F113" i="295"/>
  <c r="G114" i="295" s="1"/>
  <c r="E147" i="272"/>
  <c r="D140" i="253"/>
  <c r="J140" i="253" s="1"/>
  <c r="D159" i="253" s="1"/>
  <c r="D160" i="253" s="1"/>
  <c r="D141" i="234"/>
  <c r="D145" i="246"/>
  <c r="D144" i="268"/>
  <c r="D151" i="281"/>
  <c r="E145" i="271"/>
  <c r="E112" i="244"/>
  <c r="D147" i="278"/>
  <c r="E111" i="249"/>
  <c r="E147" i="249" s="1"/>
  <c r="J106" i="244"/>
  <c r="F116" i="257"/>
  <c r="F152" i="257" s="1"/>
  <c r="E151" i="257"/>
  <c r="J105" i="241"/>
  <c r="E141" i="247"/>
  <c r="J141" i="247" s="1"/>
  <c r="E159" i="247" s="1"/>
  <c r="G24" i="217" s="1"/>
  <c r="G147" i="313"/>
  <c r="E148" i="270"/>
  <c r="F112" i="247"/>
  <c r="F148" i="247" s="1"/>
  <c r="F113" i="279"/>
  <c r="G114" i="279" s="1"/>
  <c r="E148" i="231"/>
  <c r="E45" i="217"/>
  <c r="E107" i="277"/>
  <c r="E143" i="277" s="1"/>
  <c r="F114" i="261"/>
  <c r="G115" i="261" s="1"/>
  <c r="D150" i="266"/>
  <c r="E34" i="217"/>
  <c r="E111" i="233"/>
  <c r="E147" i="233" s="1"/>
  <c r="D146" i="252"/>
  <c r="E109" i="276"/>
  <c r="E145" i="276" s="1"/>
  <c r="C160" i="289"/>
  <c r="D142" i="265"/>
  <c r="E64" i="217"/>
  <c r="D144" i="233"/>
  <c r="E105" i="235"/>
  <c r="J105" i="235" s="1"/>
  <c r="D140" i="235"/>
  <c r="J140" i="235" s="1"/>
  <c r="D159" i="235" s="1"/>
  <c r="E143" i="242"/>
  <c r="J106" i="252"/>
  <c r="J105" i="252"/>
  <c r="C160" i="240"/>
  <c r="E142" i="251"/>
  <c r="E141" i="244"/>
  <c r="J141" i="244" s="1"/>
  <c r="E159" i="244" s="1"/>
  <c r="E149" i="284"/>
  <c r="D147" i="252"/>
  <c r="F106" i="232"/>
  <c r="F142" i="232" s="1"/>
  <c r="E143" i="265"/>
  <c r="C160" i="233"/>
  <c r="D142" i="231"/>
  <c r="E108" i="246"/>
  <c r="D140" i="236"/>
  <c r="J140" i="236" s="1"/>
  <c r="D159" i="236" s="1"/>
  <c r="J140" i="255"/>
  <c r="D159" i="255" s="1"/>
  <c r="F32" i="217" s="1"/>
  <c r="E112" i="286"/>
  <c r="F113" i="286" s="1"/>
  <c r="F149" i="286" s="1"/>
  <c r="D141" i="240"/>
  <c r="J140" i="249"/>
  <c r="D159" i="249" s="1"/>
  <c r="D160" i="249" s="1"/>
  <c r="J110" i="256"/>
  <c r="F111" i="272"/>
  <c r="F147" i="272" s="1"/>
  <c r="D160" i="282"/>
  <c r="E150" i="257"/>
  <c r="F106" i="311"/>
  <c r="F115" i="266"/>
  <c r="G116" i="266" s="1"/>
  <c r="G152" i="266" s="1"/>
  <c r="F151" i="230"/>
  <c r="J104" i="268"/>
  <c r="F109" i="259"/>
  <c r="F145" i="259" s="1"/>
  <c r="E151" i="233"/>
  <c r="E144" i="301"/>
  <c r="E111" i="276"/>
  <c r="E147" i="276" s="1"/>
  <c r="D146" i="285"/>
  <c r="C160" i="232"/>
  <c r="E109" i="260"/>
  <c r="F110" i="260" s="1"/>
  <c r="G111" i="260" s="1"/>
  <c r="D140" i="277"/>
  <c r="J140" i="277" s="1"/>
  <c r="D159" i="277" s="1"/>
  <c r="D160" i="277" s="1"/>
  <c r="J105" i="284"/>
  <c r="D143" i="274"/>
  <c r="E106" i="282"/>
  <c r="J106" i="282" s="1"/>
  <c r="J140" i="279"/>
  <c r="D159" i="279" s="1"/>
  <c r="D160" i="279" s="1"/>
  <c r="J106" i="277"/>
  <c r="F52" i="217"/>
  <c r="E151" i="316"/>
  <c r="E151" i="240"/>
  <c r="D151" i="269"/>
  <c r="E150" i="285"/>
  <c r="E141" i="260"/>
  <c r="J141" i="260" s="1"/>
  <c r="E159" i="260" s="1"/>
  <c r="E145" i="240"/>
  <c r="F108" i="233"/>
  <c r="F144" i="233" s="1"/>
  <c r="E142" i="248"/>
  <c r="F106" i="264"/>
  <c r="F142" i="264" s="1"/>
  <c r="E145" i="284"/>
  <c r="J140" i="281"/>
  <c r="D159" i="281" s="1"/>
  <c r="F58" i="217" s="1"/>
  <c r="D147" i="234"/>
  <c r="J105" i="311"/>
  <c r="E105" i="287"/>
  <c r="J105" i="287" s="1"/>
  <c r="E106" i="288"/>
  <c r="E148" i="234"/>
  <c r="F113" i="234"/>
  <c r="F149" i="234" s="1"/>
  <c r="F109" i="274"/>
  <c r="G110" i="274" s="1"/>
  <c r="E144" i="274"/>
  <c r="D150" i="255"/>
  <c r="E115" i="255"/>
  <c r="F108" i="285"/>
  <c r="F144" i="285" s="1"/>
  <c r="E145" i="254"/>
  <c r="E144" i="231"/>
  <c r="E142" i="272"/>
  <c r="F114" i="257"/>
  <c r="G115" i="257" s="1"/>
  <c r="E150" i="250"/>
  <c r="F113" i="315"/>
  <c r="F149" i="315" s="1"/>
  <c r="E151" i="251"/>
  <c r="F113" i="249"/>
  <c r="G114" i="249" s="1"/>
  <c r="E105" i="254"/>
  <c r="J105" i="254" s="1"/>
  <c r="F111" i="240"/>
  <c r="G112" i="240" s="1"/>
  <c r="E149" i="309"/>
  <c r="D151" i="245"/>
  <c r="D149" i="234"/>
  <c r="E37" i="217"/>
  <c r="J145" i="256"/>
  <c r="I159" i="256" s="1"/>
  <c r="I160" i="256" s="1"/>
  <c r="E115" i="245"/>
  <c r="D150" i="240"/>
  <c r="J104" i="264"/>
  <c r="J141" i="248"/>
  <c r="E159" i="248" s="1"/>
  <c r="G25" i="217" s="1"/>
  <c r="K69" i="217"/>
  <c r="D143" i="286"/>
  <c r="D148" i="281"/>
  <c r="F116" i="295"/>
  <c r="F152" i="295" s="1"/>
  <c r="D142" i="286"/>
  <c r="J105" i="282"/>
  <c r="E105" i="253"/>
  <c r="D140" i="278"/>
  <c r="J140" i="278" s="1"/>
  <c r="D159" i="278" s="1"/>
  <c r="F55" i="217" s="1"/>
  <c r="D143" i="281"/>
  <c r="E113" i="279"/>
  <c r="E112" i="256"/>
  <c r="D149" i="257"/>
  <c r="E112" i="255"/>
  <c r="E148" i="255" s="1"/>
  <c r="E107" i="255"/>
  <c r="D141" i="250"/>
  <c r="F115" i="251"/>
  <c r="F151" i="251" s="1"/>
  <c r="E150" i="251"/>
  <c r="F106" i="267"/>
  <c r="G107" i="267" s="1"/>
  <c r="J105" i="267"/>
  <c r="E141" i="267"/>
  <c r="J141" i="267" s="1"/>
  <c r="E159" i="267" s="1"/>
  <c r="E150" i="234"/>
  <c r="F115" i="234"/>
  <c r="G116" i="234" s="1"/>
  <c r="G152" i="234" s="1"/>
  <c r="E142" i="250"/>
  <c r="F107" i="250"/>
  <c r="G108" i="250" s="1"/>
  <c r="E145" i="233"/>
  <c r="F110" i="233"/>
  <c r="G111" i="233" s="1"/>
  <c r="E110" i="260"/>
  <c r="D145" i="260"/>
  <c r="D141" i="286"/>
  <c r="E106" i="286"/>
  <c r="E113" i="240"/>
  <c r="D148" i="240"/>
  <c r="F109" i="265"/>
  <c r="E144" i="265"/>
  <c r="E109" i="278"/>
  <c r="D144" i="278"/>
  <c r="E143" i="248"/>
  <c r="E147" i="288"/>
  <c r="E149" i="272"/>
  <c r="E149" i="262"/>
  <c r="E150" i="269"/>
  <c r="E145" i="253"/>
  <c r="E145" i="266"/>
  <c r="E146" i="283"/>
  <c r="D140" i="268"/>
  <c r="J140" i="268" s="1"/>
  <c r="D159" i="268" s="1"/>
  <c r="D160" i="268" s="1"/>
  <c r="E145" i="232"/>
  <c r="F110" i="241"/>
  <c r="F146" i="241" s="1"/>
  <c r="F113" i="230"/>
  <c r="E148" i="230"/>
  <c r="D150" i="232"/>
  <c r="E115" i="232"/>
  <c r="D142" i="237"/>
  <c r="E107" i="237"/>
  <c r="F109" i="247"/>
  <c r="J109" i="247" s="1"/>
  <c r="E144" i="247"/>
  <c r="I145" i="252"/>
  <c r="J145" i="252" s="1"/>
  <c r="I159" i="252" s="1"/>
  <c r="J109" i="252"/>
  <c r="F109" i="284"/>
  <c r="E144" i="284"/>
  <c r="E109" i="261"/>
  <c r="D144" i="261"/>
  <c r="E111" i="284"/>
  <c r="D146" i="284"/>
  <c r="E142" i="313"/>
  <c r="E142" i="277"/>
  <c r="E141" i="252"/>
  <c r="J141" i="252" s="1"/>
  <c r="E159" i="252" s="1"/>
  <c r="G29" i="217" s="1"/>
  <c r="C160" i="234"/>
  <c r="E147" i="237"/>
  <c r="E148" i="278"/>
  <c r="E146" i="239"/>
  <c r="J105" i="244"/>
  <c r="E151" i="272"/>
  <c r="E144" i="232"/>
  <c r="E147" i="257"/>
  <c r="E151" i="231"/>
  <c r="E149" i="289"/>
  <c r="E148" i="251"/>
  <c r="D142" i="240"/>
  <c r="E148" i="233"/>
  <c r="E141" i="261"/>
  <c r="J141" i="261" s="1"/>
  <c r="E159" i="261" s="1"/>
  <c r="G38" i="217" s="1"/>
  <c r="E151" i="234"/>
  <c r="E141" i="285"/>
  <c r="E150" i="254"/>
  <c r="E148" i="308"/>
  <c r="F114" i="249"/>
  <c r="G115" i="249" s="1"/>
  <c r="D151" i="279"/>
  <c r="E65" i="217"/>
  <c r="E151" i="288"/>
  <c r="D147" i="232"/>
  <c r="E148" i="288"/>
  <c r="E145" i="231"/>
  <c r="F111" i="274"/>
  <c r="G112" i="274" s="1"/>
  <c r="F108" i="276"/>
  <c r="F144" i="276" s="1"/>
  <c r="J105" i="232"/>
  <c r="H145" i="313"/>
  <c r="H145" i="277"/>
  <c r="D150" i="256"/>
  <c r="E114" i="247"/>
  <c r="D150" i="288"/>
  <c r="D149" i="251"/>
  <c r="D142" i="244"/>
  <c r="E44" i="217"/>
  <c r="G7" i="217"/>
  <c r="D150" i="234"/>
  <c r="D145" i="240"/>
  <c r="E114" i="262"/>
  <c r="D150" i="286"/>
  <c r="D143" i="265"/>
  <c r="D149" i="250"/>
  <c r="E110" i="231"/>
  <c r="D143" i="231"/>
  <c r="E107" i="266"/>
  <c r="D142" i="266"/>
  <c r="E113" i="246"/>
  <c r="D148" i="246"/>
  <c r="E115" i="282"/>
  <c r="D150" i="282"/>
  <c r="D147" i="241"/>
  <c r="E112" i="241"/>
  <c r="D147" i="260"/>
  <c r="E112" i="260"/>
  <c r="D151" i="240"/>
  <c r="E116" i="240"/>
  <c r="E152" i="240" s="1"/>
  <c r="E115" i="279"/>
  <c r="D150" i="279"/>
  <c r="E112" i="272"/>
  <c r="D147" i="272"/>
  <c r="C160" i="251"/>
  <c r="E28" i="217"/>
  <c r="F112" i="252"/>
  <c r="F148" i="252" s="1"/>
  <c r="E147" i="282"/>
  <c r="F106" i="284"/>
  <c r="F142" i="284" s="1"/>
  <c r="E142" i="254"/>
  <c r="D140" i="267"/>
  <c r="J140" i="267" s="1"/>
  <c r="D159" i="267" s="1"/>
  <c r="F44" i="217" s="1"/>
  <c r="D151" i="232"/>
  <c r="F109" i="287"/>
  <c r="E144" i="287"/>
  <c r="E116" i="278"/>
  <c r="E152" i="278" s="1"/>
  <c r="D151" i="278"/>
  <c r="E112" i="240"/>
  <c r="D147" i="240"/>
  <c r="D160" i="247"/>
  <c r="F147" i="250"/>
  <c r="G148" i="250"/>
  <c r="E143" i="278"/>
  <c r="J105" i="234"/>
  <c r="J105" i="261"/>
  <c r="E145" i="249"/>
  <c r="E150" i="271"/>
  <c r="J109" i="241"/>
  <c r="D140" i="254"/>
  <c r="J140" i="254" s="1"/>
  <c r="D159" i="254" s="1"/>
  <c r="D160" i="254" s="1"/>
  <c r="E105" i="251"/>
  <c r="D140" i="251"/>
  <c r="J140" i="251" s="1"/>
  <c r="D159" i="251" s="1"/>
  <c r="E14" i="217"/>
  <c r="D147" i="233"/>
  <c r="D141" i="277"/>
  <c r="D144" i="266"/>
  <c r="E110" i="249"/>
  <c r="D141" i="313"/>
  <c r="D148" i="237"/>
  <c r="E113" i="237"/>
  <c r="C160" i="282"/>
  <c r="E59" i="217"/>
  <c r="D149" i="284"/>
  <c r="E114" i="284"/>
  <c r="F111" i="248"/>
  <c r="E146" i="248"/>
  <c r="E112" i="284"/>
  <c r="D147" i="284"/>
  <c r="I113" i="313"/>
  <c r="I149" i="313" s="1"/>
  <c r="H148" i="313"/>
  <c r="F116" i="256"/>
  <c r="F152" i="256" s="1"/>
  <c r="E151" i="256"/>
  <c r="D160" i="286"/>
  <c r="F63" i="217"/>
  <c r="F107" i="234"/>
  <c r="G108" i="234" s="1"/>
  <c r="E142" i="234"/>
  <c r="J105" i="276"/>
  <c r="E141" i="276"/>
  <c r="F109" i="254"/>
  <c r="G110" i="254" s="1"/>
  <c r="E144" i="254"/>
  <c r="D106" i="263"/>
  <c r="E107" i="263" s="1"/>
  <c r="F108" i="263" s="1"/>
  <c r="G109" i="263" s="1"/>
  <c r="H110" i="263" s="1"/>
  <c r="I111" i="263" s="1"/>
  <c r="C141" i="263"/>
  <c r="F116" i="230"/>
  <c r="F152" i="230" s="1"/>
  <c r="E151" i="230"/>
  <c r="E110" i="286"/>
  <c r="D145" i="286"/>
  <c r="D148" i="253"/>
  <c r="E113" i="253"/>
  <c r="E110" i="237"/>
  <c r="D145" i="237"/>
  <c r="D145" i="255"/>
  <c r="E110" i="255"/>
  <c r="E107" i="268"/>
  <c r="D142" i="268"/>
  <c r="E114" i="268"/>
  <c r="D149" i="268"/>
  <c r="D151" i="250"/>
  <c r="E116" i="250"/>
  <c r="E152" i="250" s="1"/>
  <c r="D143" i="279"/>
  <c r="E108" i="279"/>
  <c r="D141" i="235"/>
  <c r="E106" i="235"/>
  <c r="J140" i="272"/>
  <c r="D159" i="272" s="1"/>
  <c r="E21" i="217"/>
  <c r="C160" i="244"/>
  <c r="J104" i="239"/>
  <c r="D140" i="239"/>
  <c r="J140" i="239" s="1"/>
  <c r="D159" i="239" s="1"/>
  <c r="D160" i="239" s="1"/>
  <c r="E109" i="282"/>
  <c r="D144" i="282"/>
  <c r="E116" i="260"/>
  <c r="E152" i="260" s="1"/>
  <c r="D151" i="260"/>
  <c r="D149" i="258"/>
  <c r="E114" i="258"/>
  <c r="D151" i="255"/>
  <c r="E116" i="255"/>
  <c r="E152" i="255" s="1"/>
  <c r="D144" i="243"/>
  <c r="E109" i="243"/>
  <c r="D141" i="285"/>
  <c r="E106" i="285"/>
  <c r="J106" i="285" s="1"/>
  <c r="C160" i="236"/>
  <c r="E13" i="217"/>
  <c r="H111" i="289"/>
  <c r="G146" i="289"/>
  <c r="H111" i="269"/>
  <c r="G146" i="269"/>
  <c r="J146" i="269" s="1"/>
  <c r="J159" i="269" s="1"/>
  <c r="J160" i="269" s="1"/>
  <c r="J110" i="269"/>
  <c r="I111" i="252"/>
  <c r="I147" i="252" s="1"/>
  <c r="H146" i="252"/>
  <c r="C160" i="286"/>
  <c r="E63" i="217"/>
  <c r="E30" i="217"/>
  <c r="C160" i="253"/>
  <c r="E108" i="271"/>
  <c r="D143" i="271"/>
  <c r="J105" i="260"/>
  <c r="I70" i="270"/>
  <c r="J70" i="270" s="1"/>
  <c r="C103" i="270" s="1"/>
  <c r="J104" i="286"/>
  <c r="E105" i="239"/>
  <c r="D140" i="289"/>
  <c r="J140" i="289" s="1"/>
  <c r="D159" i="289" s="1"/>
  <c r="G111" i="271"/>
  <c r="F146" i="271"/>
  <c r="E111" i="235"/>
  <c r="D146" i="235"/>
  <c r="E109" i="259"/>
  <c r="D144" i="259"/>
  <c r="E114" i="256"/>
  <c r="D149" i="256"/>
  <c r="D151" i="259"/>
  <c r="E116" i="259"/>
  <c r="E152" i="259" s="1"/>
  <c r="E115" i="285"/>
  <c r="D150" i="285"/>
  <c r="D146" i="259"/>
  <c r="E111" i="259"/>
  <c r="D142" i="249"/>
  <c r="E107" i="249"/>
  <c r="D143" i="268"/>
  <c r="E108" i="268"/>
  <c r="E27" i="217"/>
  <c r="C160" i="250"/>
  <c r="D150" i="274"/>
  <c r="E115" i="274"/>
  <c r="D142" i="259"/>
  <c r="E107" i="259"/>
  <c r="F110" i="247"/>
  <c r="E145" i="247"/>
  <c r="I111" i="257"/>
  <c r="H146" i="257"/>
  <c r="E49" i="217"/>
  <c r="C160" i="272"/>
  <c r="E108" i="251"/>
  <c r="D143" i="251"/>
  <c r="J110" i="252"/>
  <c r="E107" i="279"/>
  <c r="D142" i="279"/>
  <c r="D143" i="250"/>
  <c r="E108" i="250"/>
  <c r="D145" i="233"/>
  <c r="E110" i="233"/>
  <c r="E114" i="288"/>
  <c r="D149" i="288"/>
  <c r="D150" i="259"/>
  <c r="E115" i="259"/>
  <c r="J105" i="277"/>
  <c r="D141" i="264"/>
  <c r="J141" i="264" s="1"/>
  <c r="E159" i="264" s="1"/>
  <c r="E106" i="264"/>
  <c r="E105" i="288"/>
  <c r="D140" i="288"/>
  <c r="J140" i="288" s="1"/>
  <c r="D159" i="288" s="1"/>
  <c r="D160" i="288" s="1"/>
  <c r="C160" i="276"/>
  <c r="E53" i="217"/>
  <c r="J140" i="244"/>
  <c r="D159" i="244" s="1"/>
  <c r="I111" i="242"/>
  <c r="I147" i="242" s="1"/>
  <c r="H146" i="242"/>
  <c r="E147" i="230"/>
  <c r="F112" i="230"/>
  <c r="E42" i="217"/>
  <c r="C160" i="265"/>
  <c r="D146" i="241"/>
  <c r="E111" i="241"/>
  <c r="D149" i="231"/>
  <c r="E114" i="231"/>
  <c r="D145" i="279"/>
  <c r="E110" i="279"/>
  <c r="E115" i="284"/>
  <c r="D150" i="284"/>
  <c r="D150" i="236"/>
  <c r="E115" i="236"/>
  <c r="E114" i="315"/>
  <c r="D149" i="315"/>
  <c r="E114" i="253"/>
  <c r="D149" i="253"/>
  <c r="E116" i="266"/>
  <c r="E152" i="266" s="1"/>
  <c r="D151" i="266"/>
  <c r="D146" i="280"/>
  <c r="E111" i="280"/>
  <c r="J104" i="246"/>
  <c r="D140" i="246"/>
  <c r="J140" i="246" s="1"/>
  <c r="D159" i="246" s="1"/>
  <c r="E105" i="246"/>
  <c r="C160" i="245"/>
  <c r="E22" i="217"/>
  <c r="D144" i="246"/>
  <c r="E109" i="246"/>
  <c r="D148" i="256"/>
  <c r="E113" i="256"/>
  <c r="E108" i="266"/>
  <c r="D143" i="266"/>
  <c r="E115" i="249"/>
  <c r="D150" i="249"/>
  <c r="D144" i="272"/>
  <c r="E109" i="272"/>
  <c r="D146" i="260"/>
  <c r="E111" i="260"/>
  <c r="E108" i="235"/>
  <c r="D143" i="235"/>
  <c r="H111" i="242"/>
  <c r="G146" i="242"/>
  <c r="J110" i="242"/>
  <c r="F107" i="230"/>
  <c r="E142" i="230"/>
  <c r="J142" i="230" s="1"/>
  <c r="F159" i="230" s="1"/>
  <c r="H111" i="252"/>
  <c r="G146" i="252"/>
  <c r="D140" i="250"/>
  <c r="J140" i="250" s="1"/>
  <c r="D159" i="250" s="1"/>
  <c r="F27" i="217" s="1"/>
  <c r="E105" i="250"/>
  <c r="J104" i="250"/>
  <c r="J104" i="278"/>
  <c r="J104" i="276"/>
  <c r="D140" i="276"/>
  <c r="J140" i="276" s="1"/>
  <c r="D159" i="276" s="1"/>
  <c r="C141" i="270"/>
  <c r="J141" i="274"/>
  <c r="E159" i="274" s="1"/>
  <c r="G51" i="217" s="1"/>
  <c r="I71" i="263"/>
  <c r="J71" i="263" s="1"/>
  <c r="C104" i="263" s="1"/>
  <c r="J105" i="285"/>
  <c r="I111" i="256"/>
  <c r="I147" i="256" s="1"/>
  <c r="H146" i="256"/>
  <c r="H111" i="256"/>
  <c r="G146" i="256"/>
  <c r="F114" i="236"/>
  <c r="E149" i="236"/>
  <c r="E115" i="252"/>
  <c r="D150" i="252"/>
  <c r="D145" i="276"/>
  <c r="E110" i="276"/>
  <c r="E115" i="237"/>
  <c r="D150" i="237"/>
  <c r="D144" i="265"/>
  <c r="E109" i="265"/>
  <c r="E110" i="266"/>
  <c r="D145" i="266"/>
  <c r="D149" i="279"/>
  <c r="E114" i="279"/>
  <c r="D143" i="249"/>
  <c r="E108" i="249"/>
  <c r="I111" i="247"/>
  <c r="I147" i="247" s="1"/>
  <c r="H146" i="247"/>
  <c r="F109" i="230"/>
  <c r="E144" i="230"/>
  <c r="C160" i="231"/>
  <c r="E8" i="217"/>
  <c r="E106" i="233"/>
  <c r="D141" i="233"/>
  <c r="E105" i="245"/>
  <c r="D140" i="245"/>
  <c r="J140" i="245" s="1"/>
  <c r="D159" i="245" s="1"/>
  <c r="J104" i="245"/>
  <c r="E112" i="280"/>
  <c r="D147" i="280"/>
  <c r="E110" i="241"/>
  <c r="D145" i="241"/>
  <c r="E113" i="260"/>
  <c r="D148" i="260"/>
  <c r="E114" i="272"/>
  <c r="D149" i="272"/>
  <c r="D151" i="253"/>
  <c r="E116" i="253"/>
  <c r="E152" i="253" s="1"/>
  <c r="E111" i="283"/>
  <c r="D146" i="283"/>
  <c r="D145" i="235"/>
  <c r="E110" i="235"/>
  <c r="D145" i="265"/>
  <c r="E110" i="265"/>
  <c r="E114" i="260"/>
  <c r="D149" i="260"/>
  <c r="D146" i="265"/>
  <c r="E111" i="265"/>
  <c r="F106" i="276"/>
  <c r="F142" i="276" s="1"/>
  <c r="J142" i="276" s="1"/>
  <c r="F159" i="276" s="1"/>
  <c r="F106" i="272"/>
  <c r="F142" i="272" s="1"/>
  <c r="J105" i="237"/>
  <c r="F106" i="237"/>
  <c r="F142" i="237" s="1"/>
  <c r="F112" i="232"/>
  <c r="F148" i="232" s="1"/>
  <c r="G111" i="263"/>
  <c r="F146" i="263"/>
  <c r="F110" i="287"/>
  <c r="E145" i="287"/>
  <c r="F110" i="258"/>
  <c r="E145" i="258"/>
  <c r="J145" i="258" s="1"/>
  <c r="I159" i="258" s="1"/>
  <c r="I160" i="258" s="1"/>
  <c r="J109" i="258"/>
  <c r="H108" i="230"/>
  <c r="G143" i="230"/>
  <c r="F71" i="217"/>
  <c r="K46" i="217"/>
  <c r="F57" i="217"/>
  <c r="D160" i="271"/>
  <c r="D160" i="292"/>
  <c r="H145" i="302"/>
  <c r="F46" i="217"/>
  <c r="K67" i="217"/>
  <c r="D160" i="260"/>
  <c r="D160" i="258"/>
  <c r="F14" i="217"/>
  <c r="H145" i="306"/>
  <c r="D141" i="306"/>
  <c r="F61" i="217"/>
  <c r="C140" i="306"/>
  <c r="E142" i="306"/>
  <c r="D141" i="302"/>
  <c r="F20" i="217"/>
  <c r="H71" i="303"/>
  <c r="C140" i="270"/>
  <c r="J141" i="232"/>
  <c r="E159" i="232" s="1"/>
  <c r="G9" i="217" s="1"/>
  <c r="E110" i="303"/>
  <c r="D145" i="303"/>
  <c r="D105" i="270"/>
  <c r="E106" i="270" s="1"/>
  <c r="F107" i="270" s="1"/>
  <c r="G108" i="270" s="1"/>
  <c r="H109" i="270" s="1"/>
  <c r="I110" i="270" s="1"/>
  <c r="I146" i="270" s="1"/>
  <c r="D160" i="261"/>
  <c r="J72" i="303"/>
  <c r="C105" i="303" s="1"/>
  <c r="D106" i="303" s="1"/>
  <c r="E107" i="303" s="1"/>
  <c r="F108" i="303" s="1"/>
  <c r="G109" i="303" s="1"/>
  <c r="H110" i="303" s="1"/>
  <c r="I111" i="303" s="1"/>
  <c r="G115" i="234"/>
  <c r="F150" i="234"/>
  <c r="G116" i="274"/>
  <c r="G152" i="274" s="1"/>
  <c r="F151" i="274"/>
  <c r="G108" i="251"/>
  <c r="F143" i="251"/>
  <c r="F112" i="231"/>
  <c r="E147" i="231"/>
  <c r="G107" i="231"/>
  <c r="F142" i="231"/>
  <c r="G114" i="247"/>
  <c r="F149" i="247"/>
  <c r="G108" i="316"/>
  <c r="F143" i="316"/>
  <c r="F107" i="260"/>
  <c r="E142" i="260"/>
  <c r="J106" i="260"/>
  <c r="G109" i="253"/>
  <c r="F144" i="253"/>
  <c r="F106" i="257"/>
  <c r="J106" i="257" s="1"/>
  <c r="E141" i="257"/>
  <c r="J141" i="257" s="1"/>
  <c r="E159" i="257" s="1"/>
  <c r="G34" i="217" s="1"/>
  <c r="F110" i="234"/>
  <c r="E145" i="234"/>
  <c r="G108" i="268"/>
  <c r="F143" i="268"/>
  <c r="E152" i="284"/>
  <c r="G111" i="291"/>
  <c r="F146" i="291"/>
  <c r="G116" i="239"/>
  <c r="F151" i="239"/>
  <c r="F152" i="229"/>
  <c r="F115" i="259"/>
  <c r="E150" i="259"/>
  <c r="F113" i="253"/>
  <c r="E148" i="253"/>
  <c r="F114" i="286"/>
  <c r="E149" i="286"/>
  <c r="F114" i="281"/>
  <c r="E149" i="281"/>
  <c r="G108" i="248"/>
  <c r="F143" i="248"/>
  <c r="G111" i="229"/>
  <c r="F146" i="229"/>
  <c r="G113" i="254"/>
  <c r="F148" i="254"/>
  <c r="F43" i="217"/>
  <c r="D160" i="266"/>
  <c r="F107" i="278"/>
  <c r="E142" i="278"/>
  <c r="J106" i="278"/>
  <c r="G113" i="286"/>
  <c r="F148" i="286"/>
  <c r="F152" i="233"/>
  <c r="G111" i="232"/>
  <c r="F146" i="232"/>
  <c r="F114" i="311"/>
  <c r="E149" i="311"/>
  <c r="G116" i="278"/>
  <c r="G152" i="278" s="1"/>
  <c r="F151" i="278"/>
  <c r="F107" i="243"/>
  <c r="E142" i="243"/>
  <c r="G112" i="309"/>
  <c r="F147" i="309"/>
  <c r="F110" i="285"/>
  <c r="E145" i="285"/>
  <c r="F152" i="240"/>
  <c r="H70" i="303"/>
  <c r="E152" i="261"/>
  <c r="F109" i="291"/>
  <c r="E144" i="291"/>
  <c r="F110" i="244"/>
  <c r="E145" i="244"/>
  <c r="F152" i="231"/>
  <c r="G111" i="236"/>
  <c r="F146" i="236"/>
  <c r="G112" i="261"/>
  <c r="F147" i="261"/>
  <c r="E145" i="235"/>
  <c r="F110" i="235"/>
  <c r="F107" i="236"/>
  <c r="E142" i="236"/>
  <c r="F107" i="255"/>
  <c r="E142" i="255"/>
  <c r="F114" i="282"/>
  <c r="E149" i="282"/>
  <c r="G114" i="242"/>
  <c r="F149" i="242"/>
  <c r="G111" i="253"/>
  <c r="F146" i="253"/>
  <c r="G111" i="266"/>
  <c r="F146" i="266"/>
  <c r="G115" i="274"/>
  <c r="F150" i="274"/>
  <c r="G110" i="285"/>
  <c r="F145" i="285"/>
  <c r="G108" i="245"/>
  <c r="F143" i="245"/>
  <c r="F113" i="252"/>
  <c r="E148" i="252"/>
  <c r="G108" i="284"/>
  <c r="F143" i="284"/>
  <c r="G116" i="243"/>
  <c r="G152" i="243" s="1"/>
  <c r="F151" i="243"/>
  <c r="G108" i="229"/>
  <c r="F143" i="229"/>
  <c r="F113" i="283"/>
  <c r="E148" i="283"/>
  <c r="F115" i="282"/>
  <c r="E150" i="282"/>
  <c r="F106" i="283"/>
  <c r="E141" i="283"/>
  <c r="J141" i="283" s="1"/>
  <c r="E159" i="283" s="1"/>
  <c r="J105" i="283"/>
  <c r="F114" i="233"/>
  <c r="E149" i="233"/>
  <c r="E152" i="283"/>
  <c r="G110" i="260"/>
  <c r="F145" i="260"/>
  <c r="E152" i="274"/>
  <c r="G108" i="254"/>
  <c r="F143" i="254"/>
  <c r="G110" i="301"/>
  <c r="F145" i="301"/>
  <c r="G107" i="293"/>
  <c r="F142" i="293"/>
  <c r="F116" i="266"/>
  <c r="F152" i="266" s="1"/>
  <c r="E151" i="266"/>
  <c r="G109" i="274"/>
  <c r="F144" i="274"/>
  <c r="F107" i="279"/>
  <c r="E142" i="279"/>
  <c r="G110" i="229"/>
  <c r="F145" i="229"/>
  <c r="E142" i="302"/>
  <c r="D140" i="263"/>
  <c r="J141" i="237"/>
  <c r="E159" i="237" s="1"/>
  <c r="E160" i="237" s="1"/>
  <c r="C140" i="302"/>
  <c r="F116" i="276"/>
  <c r="E151" i="276"/>
  <c r="G113" i="240"/>
  <c r="F148" i="240"/>
  <c r="F112" i="312"/>
  <c r="E147" i="312"/>
  <c r="G109" i="278"/>
  <c r="F144" i="278"/>
  <c r="G116" i="244"/>
  <c r="F151" i="244"/>
  <c r="F107" i="237"/>
  <c r="E142" i="237"/>
  <c r="F106" i="234"/>
  <c r="J106" i="234" s="1"/>
  <c r="E141" i="234"/>
  <c r="F113" i="246"/>
  <c r="E148" i="246"/>
  <c r="G114" i="285"/>
  <c r="F149" i="285"/>
  <c r="F113" i="316"/>
  <c r="E148" i="316"/>
  <c r="F116" i="243"/>
  <c r="F152" i="243" s="1"/>
  <c r="E151" i="243"/>
  <c r="E107" i="298"/>
  <c r="D142" i="298"/>
  <c r="G114" i="278"/>
  <c r="F149" i="278"/>
  <c r="G110" i="231"/>
  <c r="F145" i="231"/>
  <c r="G108" i="259"/>
  <c r="F143" i="259"/>
  <c r="G112" i="281"/>
  <c r="F147" i="281"/>
  <c r="G116" i="271"/>
  <c r="G152" i="271" s="1"/>
  <c r="F151" i="271"/>
  <c r="G115" i="229"/>
  <c r="F150" i="229"/>
  <c r="G115" i="272"/>
  <c r="F150" i="272"/>
  <c r="G115" i="288"/>
  <c r="F150" i="288"/>
  <c r="G116" i="246"/>
  <c r="G152" i="246" s="1"/>
  <c r="F151" i="246"/>
  <c r="F114" i="244"/>
  <c r="E149" i="244"/>
  <c r="E152" i="249"/>
  <c r="G115" i="289"/>
  <c r="F150" i="289"/>
  <c r="G108" i="274"/>
  <c r="F143" i="274"/>
  <c r="G112" i="282"/>
  <c r="F147" i="282"/>
  <c r="F108" i="240"/>
  <c r="E143" i="240"/>
  <c r="F114" i="316"/>
  <c r="E149" i="316"/>
  <c r="F113" i="276"/>
  <c r="E148" i="276"/>
  <c r="G116" i="269"/>
  <c r="G152" i="269" s="1"/>
  <c r="F151" i="269"/>
  <c r="G110" i="255"/>
  <c r="F145" i="255"/>
  <c r="G109" i="315"/>
  <c r="F144" i="315"/>
  <c r="F113" i="289"/>
  <c r="E148" i="289"/>
  <c r="G109" i="261"/>
  <c r="F144" i="261"/>
  <c r="G116" i="261"/>
  <c r="G152" i="261" s="1"/>
  <c r="F151" i="261"/>
  <c r="G107" i="260"/>
  <c r="F142" i="260"/>
  <c r="G113" i="262"/>
  <c r="F148" i="262"/>
  <c r="G112" i="246"/>
  <c r="F147" i="246"/>
  <c r="G116" i="250"/>
  <c r="G152" i="250" s="1"/>
  <c r="F151" i="250"/>
  <c r="G114" i="231"/>
  <c r="F149" i="231"/>
  <c r="G111" i="240"/>
  <c r="F146" i="240"/>
  <c r="G115" i="301"/>
  <c r="F150" i="301"/>
  <c r="G107" i="285"/>
  <c r="F142" i="285"/>
  <c r="G114" i="259"/>
  <c r="F149" i="259"/>
  <c r="G112" i="315"/>
  <c r="F147" i="315"/>
  <c r="G113" i="261"/>
  <c r="F148" i="261"/>
  <c r="G116" i="308"/>
  <c r="G152" i="308" s="1"/>
  <c r="F151" i="308"/>
  <c r="G116" i="235"/>
  <c r="G152" i="235" s="1"/>
  <c r="F151" i="235"/>
  <c r="F114" i="297"/>
  <c r="E149" i="297"/>
  <c r="F116" i="260"/>
  <c r="E151" i="260"/>
  <c r="E152" i="258"/>
  <c r="F111" i="295"/>
  <c r="E146" i="295"/>
  <c r="F109" i="286"/>
  <c r="E144" i="286"/>
  <c r="G109" i="283"/>
  <c r="F144" i="283"/>
  <c r="G116" i="249"/>
  <c r="G152" i="249" s="1"/>
  <c r="F151" i="249"/>
  <c r="G114" i="235"/>
  <c r="F149" i="235"/>
  <c r="G116" i="283"/>
  <c r="G152" i="283" s="1"/>
  <c r="F151" i="283"/>
  <c r="F112" i="289"/>
  <c r="E147" i="289"/>
  <c r="F115" i="295"/>
  <c r="E150" i="295"/>
  <c r="G113" i="245"/>
  <c r="F148" i="245"/>
  <c r="G112" i="284"/>
  <c r="F147" i="284"/>
  <c r="F113" i="232"/>
  <c r="E148" i="232"/>
  <c r="G115" i="269"/>
  <c r="F150" i="269"/>
  <c r="F116" i="235"/>
  <c r="E151" i="235"/>
  <c r="F110" i="239"/>
  <c r="E145" i="239"/>
  <c r="G116" i="276"/>
  <c r="G152" i="276" s="1"/>
  <c r="F151" i="276"/>
  <c r="F109" i="314"/>
  <c r="E144" i="314"/>
  <c r="F114" i="239"/>
  <c r="E149" i="239"/>
  <c r="G107" i="282"/>
  <c r="F142" i="282"/>
  <c r="E152" i="286"/>
  <c r="F108" i="243"/>
  <c r="E143" i="243"/>
  <c r="G112" i="234"/>
  <c r="F147" i="234"/>
  <c r="F108" i="311"/>
  <c r="E143" i="311"/>
  <c r="F112" i="243"/>
  <c r="E147" i="243"/>
  <c r="G115" i="309"/>
  <c r="F150" i="309"/>
  <c r="F112" i="285"/>
  <c r="E147" i="285"/>
  <c r="G110" i="305"/>
  <c r="F145" i="305"/>
  <c r="F115" i="232"/>
  <c r="E150" i="232"/>
  <c r="G110" i="233"/>
  <c r="F145" i="233"/>
  <c r="F107" i="239"/>
  <c r="E142" i="239"/>
  <c r="G114" i="243"/>
  <c r="F149" i="243"/>
  <c r="G111" i="254"/>
  <c r="F146" i="254"/>
  <c r="G110" i="282"/>
  <c r="F145" i="282"/>
  <c r="G114" i="293"/>
  <c r="F149" i="293"/>
  <c r="F113" i="239"/>
  <c r="E148" i="239"/>
  <c r="F111" i="259"/>
  <c r="E146" i="259"/>
  <c r="F113" i="257"/>
  <c r="E148" i="257"/>
  <c r="E152" i="280"/>
  <c r="F107" i="261"/>
  <c r="E142" i="261"/>
  <c r="J106" i="261"/>
  <c r="F114" i="308"/>
  <c r="E149" i="308"/>
  <c r="F106" i="291"/>
  <c r="E141" i="291"/>
  <c r="J141" i="291" s="1"/>
  <c r="E159" i="291" s="1"/>
  <c r="J105" i="291"/>
  <c r="F112" i="279"/>
  <c r="E147" i="279"/>
  <c r="G113" i="253"/>
  <c r="F148" i="253"/>
  <c r="E152" i="243"/>
  <c r="G110" i="241"/>
  <c r="F145" i="241"/>
  <c r="G116" i="297"/>
  <c r="G152" i="297" s="1"/>
  <c r="F151" i="297"/>
  <c r="G113" i="255"/>
  <c r="F148" i="255"/>
  <c r="G110" i="293"/>
  <c r="F145" i="293"/>
  <c r="F114" i="259"/>
  <c r="E149" i="259"/>
  <c r="G108" i="265"/>
  <c r="F143" i="265"/>
  <c r="G107" i="244"/>
  <c r="F142" i="244"/>
  <c r="G115" i="258"/>
  <c r="F150" i="258"/>
  <c r="G113" i="295"/>
  <c r="F148" i="295"/>
  <c r="G108" i="283"/>
  <c r="F143" i="283"/>
  <c r="G115" i="231"/>
  <c r="F150" i="231"/>
  <c r="F113" i="248"/>
  <c r="E148" i="248"/>
  <c r="E152" i="248"/>
  <c r="F111" i="288"/>
  <c r="E146" i="288"/>
  <c r="G109" i="245"/>
  <c r="F144" i="245"/>
  <c r="F17" i="217"/>
  <c r="D160" i="240"/>
  <c r="F60" i="217"/>
  <c r="D160" i="283"/>
  <c r="G109" i="235"/>
  <c r="F144" i="235"/>
  <c r="G116" i="241"/>
  <c r="F151" i="241"/>
  <c r="G109" i="282"/>
  <c r="F144" i="282"/>
  <c r="G111" i="284"/>
  <c r="F146" i="284"/>
  <c r="F112" i="278"/>
  <c r="E147" i="278"/>
  <c r="G109" i="265"/>
  <c r="F144" i="265"/>
  <c r="G108" i="262"/>
  <c r="F143" i="262"/>
  <c r="G110" i="281"/>
  <c r="F145" i="281"/>
  <c r="F113" i="282"/>
  <c r="E148" i="282"/>
  <c r="G113" i="229"/>
  <c r="F148" i="229"/>
  <c r="G112" i="254"/>
  <c r="F147" i="254"/>
  <c r="H112" i="230"/>
  <c r="G147" i="230"/>
  <c r="G111" i="288"/>
  <c r="F146" i="288"/>
  <c r="G111" i="249"/>
  <c r="F146" i="249"/>
  <c r="F108" i="254"/>
  <c r="E143" i="254"/>
  <c r="G110" i="232"/>
  <c r="F145" i="232"/>
  <c r="G115" i="262"/>
  <c r="F150" i="262"/>
  <c r="G113" i="257"/>
  <c r="F148" i="257"/>
  <c r="G112" i="243"/>
  <c r="F147" i="243"/>
  <c r="G109" i="229"/>
  <c r="F144" i="229"/>
  <c r="F108" i="232"/>
  <c r="E143" i="232"/>
  <c r="G114" i="229"/>
  <c r="F149" i="229"/>
  <c r="F110" i="304"/>
  <c r="E145" i="304"/>
  <c r="F115" i="236"/>
  <c r="E150" i="236"/>
  <c r="H113" i="230"/>
  <c r="G148" i="230"/>
  <c r="F114" i="232"/>
  <c r="E149" i="232"/>
  <c r="F116" i="253"/>
  <c r="E151" i="253"/>
  <c r="F152" i="262"/>
  <c r="G110" i="253"/>
  <c r="F145" i="253"/>
  <c r="F86" i="217"/>
  <c r="D160" i="309"/>
  <c r="G113" i="234"/>
  <c r="F148" i="234"/>
  <c r="G111" i="289"/>
  <c r="F146" i="289"/>
  <c r="F110" i="245"/>
  <c r="E145" i="245"/>
  <c r="G115" i="284"/>
  <c r="F150" i="284"/>
  <c r="G108" i="240"/>
  <c r="F143" i="240"/>
  <c r="F106" i="240"/>
  <c r="E141" i="240"/>
  <c r="J105" i="240"/>
  <c r="F116" i="261"/>
  <c r="F152" i="261" s="1"/>
  <c r="E151" i="261"/>
  <c r="F106" i="266"/>
  <c r="E141" i="266"/>
  <c r="J105" i="266"/>
  <c r="J103" i="263"/>
  <c r="C139" i="263"/>
  <c r="J139" i="263" s="1"/>
  <c r="C159" i="263" s="1"/>
  <c r="J141" i="255"/>
  <c r="E159" i="255" s="1"/>
  <c r="E160" i="255" s="1"/>
  <c r="F114" i="243"/>
  <c r="E149" i="243"/>
  <c r="F110" i="255"/>
  <c r="E145" i="255"/>
  <c r="G112" i="268"/>
  <c r="F147" i="268"/>
  <c r="D160" i="232"/>
  <c r="F9" i="217"/>
  <c r="G113" i="293"/>
  <c r="F148" i="293"/>
  <c r="F107" i="267"/>
  <c r="E142" i="267"/>
  <c r="H110" i="230"/>
  <c r="G145" i="230"/>
  <c r="G110" i="283"/>
  <c r="F145" i="283"/>
  <c r="E106" i="298"/>
  <c r="D141" i="298"/>
  <c r="G112" i="239"/>
  <c r="F147" i="239"/>
  <c r="G116" i="255"/>
  <c r="G152" i="255" s="1"/>
  <c r="F151" i="255"/>
  <c r="G113" i="288"/>
  <c r="F148" i="288"/>
  <c r="F110" i="281"/>
  <c r="E145" i="281"/>
  <c r="J109" i="281"/>
  <c r="F110" i="274"/>
  <c r="E145" i="274"/>
  <c r="G108" i="272"/>
  <c r="F143" i="272"/>
  <c r="F115" i="286"/>
  <c r="E150" i="286"/>
  <c r="G114" i="309"/>
  <c r="F149" i="309"/>
  <c r="F115" i="240"/>
  <c r="E150" i="240"/>
  <c r="H116" i="230"/>
  <c r="H152" i="230" s="1"/>
  <c r="G151" i="230"/>
  <c r="G116" i="257"/>
  <c r="G152" i="257" s="1"/>
  <c r="F151" i="257"/>
  <c r="G113" i="282"/>
  <c r="F148" i="282"/>
  <c r="G116" i="229"/>
  <c r="G152" i="229" s="1"/>
  <c r="F151" i="229"/>
  <c r="G114" i="251"/>
  <c r="F149" i="251"/>
  <c r="F114" i="241"/>
  <c r="E149" i="241"/>
  <c r="G114" i="312"/>
  <c r="F149" i="312"/>
  <c r="G114" i="233"/>
  <c r="F149" i="233"/>
  <c r="G107" i="261"/>
  <c r="F142" i="261"/>
  <c r="F116" i="254"/>
  <c r="E151" i="254"/>
  <c r="G116" i="285"/>
  <c r="G152" i="285" s="1"/>
  <c r="F151" i="285"/>
  <c r="F113" i="265"/>
  <c r="E148" i="265"/>
  <c r="F116" i="246"/>
  <c r="E151" i="246"/>
  <c r="G107" i="278"/>
  <c r="F142" i="278"/>
  <c r="F116" i="278"/>
  <c r="E151" i="278"/>
  <c r="F112" i="314"/>
  <c r="E147" i="314"/>
  <c r="F116" i="258"/>
  <c r="F152" i="258" s="1"/>
  <c r="E151" i="258"/>
  <c r="G114" i="258"/>
  <c r="F149" i="258"/>
  <c r="G109" i="234"/>
  <c r="F144" i="234"/>
  <c r="E152" i="272"/>
  <c r="F107" i="312"/>
  <c r="E142" i="312"/>
  <c r="J106" i="312"/>
  <c r="G111" i="286"/>
  <c r="F146" i="286"/>
  <c r="G152" i="230"/>
  <c r="G113" i="242"/>
  <c r="F148" i="242"/>
  <c r="G113" i="246"/>
  <c r="F148" i="246"/>
  <c r="G112" i="283"/>
  <c r="F147" i="283"/>
  <c r="G115" i="265"/>
  <c r="F150" i="265"/>
  <c r="G114" i="274"/>
  <c r="F149" i="274"/>
  <c r="F114" i="268"/>
  <c r="E149" i="268"/>
  <c r="F116" i="301"/>
  <c r="F152" i="301" s="1"/>
  <c r="E151" i="301"/>
  <c r="G109" i="250"/>
  <c r="F144" i="250"/>
  <c r="G116" i="254"/>
  <c r="G152" i="254" s="1"/>
  <c r="F151" i="254"/>
  <c r="F152" i="251"/>
  <c r="G109" i="246"/>
  <c r="F144" i="246"/>
  <c r="G114" i="308"/>
  <c r="F149" i="308"/>
  <c r="G114" i="261"/>
  <c r="F149" i="261"/>
  <c r="G112" i="285"/>
  <c r="F147" i="285"/>
  <c r="G107" i="312"/>
  <c r="F142" i="312"/>
  <c r="G112" i="245"/>
  <c r="F147" i="245"/>
  <c r="F114" i="251"/>
  <c r="E149" i="251"/>
  <c r="F106" i="268"/>
  <c r="E141" i="268"/>
  <c r="J141" i="268" s="1"/>
  <c r="E159" i="268" s="1"/>
  <c r="J105" i="268"/>
  <c r="F112" i="244"/>
  <c r="E147" i="244"/>
  <c r="G108" i="266"/>
  <c r="F143" i="266"/>
  <c r="G110" i="272"/>
  <c r="F145" i="272"/>
  <c r="F112" i="256"/>
  <c r="E147" i="256"/>
  <c r="G109" i="288"/>
  <c r="F144" i="288"/>
  <c r="G114" i="288"/>
  <c r="F149" i="288"/>
  <c r="G115" i="248"/>
  <c r="F150" i="248"/>
  <c r="F108" i="286"/>
  <c r="E143" i="286"/>
  <c r="G109" i="289"/>
  <c r="F144" i="289"/>
  <c r="G111" i="268"/>
  <c r="F146" i="268"/>
  <c r="G111" i="231"/>
  <c r="F146" i="231"/>
  <c r="G111" i="315"/>
  <c r="F146" i="315"/>
  <c r="F115" i="304"/>
  <c r="E150" i="304"/>
  <c r="G113" i="272"/>
  <c r="F148" i="272"/>
  <c r="G108" i="295"/>
  <c r="F143" i="295"/>
  <c r="G116" i="309"/>
  <c r="F151" i="309"/>
  <c r="F111" i="253"/>
  <c r="E146" i="253"/>
  <c r="G116" i="237"/>
  <c r="F151" i="237"/>
  <c r="G114" i="237"/>
  <c r="F149" i="237"/>
  <c r="G111" i="237"/>
  <c r="F146" i="237"/>
  <c r="G113" i="237"/>
  <c r="F148" i="237"/>
  <c r="G112" i="263"/>
  <c r="F147" i="263"/>
  <c r="G110" i="315"/>
  <c r="F145" i="315"/>
  <c r="G110" i="263"/>
  <c r="F145" i="263"/>
  <c r="G108" i="315"/>
  <c r="F143" i="315"/>
  <c r="G108" i="257"/>
  <c r="F143" i="257"/>
  <c r="G114" i="301"/>
  <c r="F149" i="301"/>
  <c r="G111" i="305"/>
  <c r="F146" i="305"/>
  <c r="G110" i="239"/>
  <c r="F145" i="239"/>
  <c r="G116" i="299"/>
  <c r="F151" i="299"/>
  <c r="G114" i="313"/>
  <c r="F149" i="313"/>
  <c r="G107" i="255"/>
  <c r="F142" i="255"/>
  <c r="J106" i="255"/>
  <c r="G113" i="301"/>
  <c r="F148" i="301"/>
  <c r="G110" i="313"/>
  <c r="F145" i="313"/>
  <c r="G112" i="305"/>
  <c r="F147" i="305"/>
  <c r="G116" i="242"/>
  <c r="G152" i="242" s="1"/>
  <c r="F151" i="242"/>
  <c r="G113" i="313"/>
  <c r="F148" i="313"/>
  <c r="G115" i="250"/>
  <c r="F150" i="250"/>
  <c r="G116" i="307"/>
  <c r="G152" i="307" s="1"/>
  <c r="F151" i="307"/>
  <c r="G113" i="299"/>
  <c r="F148" i="299"/>
  <c r="G110" i="240"/>
  <c r="F145" i="240"/>
  <c r="G109" i="248"/>
  <c r="F144" i="248"/>
  <c r="G115" i="242"/>
  <c r="F150" i="242"/>
  <c r="G114" i="250"/>
  <c r="F149" i="250"/>
  <c r="G113" i="251"/>
  <c r="F148" i="251"/>
  <c r="G114" i="299"/>
  <c r="F149" i="299"/>
  <c r="G115" i="307"/>
  <c r="F150" i="307"/>
  <c r="G113" i="305"/>
  <c r="F148" i="305"/>
  <c r="G112" i="251"/>
  <c r="F147" i="251"/>
  <c r="G110" i="296"/>
  <c r="F145" i="296"/>
  <c r="G114" i="305"/>
  <c r="F149" i="305"/>
  <c r="G112" i="300"/>
  <c r="F147" i="300"/>
  <c r="F152" i="307"/>
  <c r="G116" i="300"/>
  <c r="F151" i="300"/>
  <c r="G115" i="298"/>
  <c r="F150" i="298"/>
  <c r="G114" i="300"/>
  <c r="F149" i="300"/>
  <c r="G115" i="300"/>
  <c r="F150" i="300"/>
  <c r="F152" i="298"/>
  <c r="G113" i="298"/>
  <c r="F148" i="298"/>
  <c r="G113" i="300"/>
  <c r="F148" i="300"/>
  <c r="G116" i="296"/>
  <c r="G152" i="296" s="1"/>
  <c r="F151" i="296"/>
  <c r="G116" i="298"/>
  <c r="G152" i="298" s="1"/>
  <c r="F151" i="298"/>
  <c r="G114" i="298"/>
  <c r="F149" i="298"/>
  <c r="G116" i="302"/>
  <c r="F151" i="302"/>
  <c r="E102" i="217"/>
  <c r="D160" i="234"/>
  <c r="D160" i="241"/>
  <c r="F33" i="217"/>
  <c r="F152" i="263"/>
  <c r="D142" i="270"/>
  <c r="F146" i="270"/>
  <c r="F150" i="263"/>
  <c r="F147" i="270"/>
  <c r="F149" i="263"/>
  <c r="G152" i="263"/>
  <c r="F151" i="263"/>
  <c r="F150" i="270"/>
  <c r="F148" i="263"/>
  <c r="F148" i="270"/>
  <c r="F151" i="270"/>
  <c r="G152" i="270"/>
  <c r="F149" i="270"/>
  <c r="E160" i="271"/>
  <c r="G48" i="217"/>
  <c r="E160" i="310"/>
  <c r="G87" i="217"/>
  <c r="F147" i="275"/>
  <c r="F152" i="265"/>
  <c r="F151" i="310"/>
  <c r="F142" i="310"/>
  <c r="J142" i="310" s="1"/>
  <c r="F159" i="310" s="1"/>
  <c r="F151" i="265"/>
  <c r="G152" i="265"/>
  <c r="F152" i="313"/>
  <c r="F143" i="310"/>
  <c r="F150" i="313"/>
  <c r="F149" i="310"/>
  <c r="F149" i="314"/>
  <c r="F144" i="314"/>
  <c r="F151" i="287"/>
  <c r="G152" i="287"/>
  <c r="F151" i="275"/>
  <c r="F148" i="287"/>
  <c r="J107" i="310"/>
  <c r="F146" i="275"/>
  <c r="F151" i="289"/>
  <c r="G152" i="289"/>
  <c r="F150" i="310"/>
  <c r="F149" i="275"/>
  <c r="F145" i="275"/>
  <c r="F147" i="310"/>
  <c r="F146" i="310"/>
  <c r="J107" i="271"/>
  <c r="F142" i="271"/>
  <c r="J142" i="271" s="1"/>
  <c r="F159" i="271" s="1"/>
  <c r="F142" i="275"/>
  <c r="J142" i="275" s="1"/>
  <c r="F159" i="275" s="1"/>
  <c r="F150" i="275"/>
  <c r="F148" i="267"/>
  <c r="F148" i="310"/>
  <c r="F150" i="287"/>
  <c r="F144" i="275"/>
  <c r="F152" i="287"/>
  <c r="F148" i="275"/>
  <c r="F144" i="264"/>
  <c r="G52" i="217"/>
  <c r="E160" i="275"/>
  <c r="F143" i="275"/>
  <c r="F149" i="287"/>
  <c r="G152" i="313"/>
  <c r="F151" i="313"/>
  <c r="J106" i="310"/>
  <c r="F150" i="314"/>
  <c r="G152" i="314"/>
  <c r="F151" i="314"/>
  <c r="F152" i="314"/>
  <c r="F151" i="290"/>
  <c r="G152" i="290"/>
  <c r="G152" i="292"/>
  <c r="F151" i="292"/>
  <c r="G152" i="264"/>
  <c r="F151" i="264"/>
  <c r="F151" i="267"/>
  <c r="G152" i="267"/>
  <c r="F151" i="306"/>
  <c r="G152" i="306"/>
  <c r="G152" i="305"/>
  <c r="F151" i="305"/>
  <c r="G152" i="277"/>
  <c r="F151" i="277"/>
  <c r="G152" i="294"/>
  <c r="F151" i="294"/>
  <c r="F150" i="306"/>
  <c r="F149" i="306"/>
  <c r="F148" i="269"/>
  <c r="F148" i="306"/>
  <c r="F149" i="266"/>
  <c r="F150" i="305"/>
  <c r="F150" i="290"/>
  <c r="F148" i="248"/>
  <c r="F148" i="290"/>
  <c r="F149" i="267"/>
  <c r="F149" i="269"/>
  <c r="F150" i="267"/>
  <c r="F149" i="290"/>
  <c r="F148" i="266"/>
  <c r="I149" i="298"/>
  <c r="H148" i="298"/>
  <c r="I149" i="256"/>
  <c r="H148" i="256"/>
  <c r="I149" i="296"/>
  <c r="H148" i="296"/>
  <c r="F148" i="236"/>
  <c r="I150" i="236"/>
  <c r="H149" i="236"/>
  <c r="I149" i="293"/>
  <c r="H148" i="293"/>
  <c r="I149" i="292"/>
  <c r="H148" i="292"/>
  <c r="F149" i="294"/>
  <c r="I150" i="294"/>
  <c r="H149" i="294"/>
  <c r="I150" i="250"/>
  <c r="H149" i="250"/>
  <c r="I150" i="296"/>
  <c r="H149" i="296"/>
  <c r="F149" i="296"/>
  <c r="F149" i="271"/>
  <c r="F149" i="264"/>
  <c r="I150" i="271"/>
  <c r="H149" i="271"/>
  <c r="F148" i="292"/>
  <c r="I149" i="294"/>
  <c r="H148" i="294"/>
  <c r="I149" i="269"/>
  <c r="H148" i="269"/>
  <c r="I149" i="300"/>
  <c r="I149" i="262"/>
  <c r="H148" i="262"/>
  <c r="I149" i="280"/>
  <c r="H148" i="280"/>
  <c r="F148" i="271"/>
  <c r="J112" i="257"/>
  <c r="I148" i="257"/>
  <c r="I149" i="242"/>
  <c r="H148" i="242"/>
  <c r="I149" i="307"/>
  <c r="H148" i="307"/>
  <c r="I149" i="252"/>
  <c r="H148" i="252"/>
  <c r="I149" i="290"/>
  <c r="H148" i="290"/>
  <c r="E148" i="303"/>
  <c r="I149" i="248"/>
  <c r="H148" i="248"/>
  <c r="F148" i="264"/>
  <c r="I148" i="267"/>
  <c r="I149" i="257"/>
  <c r="H148" i="257"/>
  <c r="F149" i="245"/>
  <c r="F149" i="277"/>
  <c r="I150" i="264"/>
  <c r="H149" i="264"/>
  <c r="F149" i="292"/>
  <c r="F149" i="236"/>
  <c r="G149" i="277"/>
  <c r="G151" i="292"/>
  <c r="G151" i="245"/>
  <c r="E147" i="303"/>
  <c r="F148" i="303"/>
  <c r="F150" i="303"/>
  <c r="G149" i="294"/>
  <c r="J112" i="294"/>
  <c r="H149" i="290"/>
  <c r="J112" i="290"/>
  <c r="F147" i="277"/>
  <c r="G149" i="296"/>
  <c r="G151" i="271"/>
  <c r="G151" i="264"/>
  <c r="H149" i="247"/>
  <c r="G149" i="250"/>
  <c r="F146" i="251"/>
  <c r="H148" i="251"/>
  <c r="F145" i="264"/>
  <c r="F11" i="217"/>
  <c r="F18" i="217"/>
  <c r="I147" i="272"/>
  <c r="I147" i="284"/>
  <c r="I146" i="306"/>
  <c r="I146" i="302"/>
  <c r="J111" i="290"/>
  <c r="F147" i="290"/>
  <c r="J147" i="290" s="1"/>
  <c r="K159" i="290" s="1"/>
  <c r="F147" i="247"/>
  <c r="G142" i="263"/>
  <c r="J141" i="256"/>
  <c r="E159" i="256" s="1"/>
  <c r="D160" i="256"/>
  <c r="J107" i="256"/>
  <c r="G142" i="256"/>
  <c r="G142" i="237"/>
  <c r="G142" i="314"/>
  <c r="G142" i="288"/>
  <c r="G142" i="298"/>
  <c r="G142" i="307"/>
  <c r="G142" i="234"/>
  <c r="G142" i="250"/>
  <c r="J106" i="256"/>
  <c r="G142" i="315"/>
  <c r="G142" i="254"/>
  <c r="G142" i="257"/>
  <c r="G142" i="284"/>
  <c r="F144" i="284"/>
  <c r="G142" i="290"/>
  <c r="G142" i="303"/>
  <c r="J106" i="290"/>
  <c r="G144" i="292"/>
  <c r="F143" i="292"/>
  <c r="G144" i="252"/>
  <c r="F143" i="252"/>
  <c r="G144" i="247"/>
  <c r="F143" i="247"/>
  <c r="F143" i="289"/>
  <c r="J107" i="252"/>
  <c r="F142" i="252"/>
  <c r="J142" i="252" s="1"/>
  <c r="F159" i="252" s="1"/>
  <c r="F142" i="247"/>
  <c r="J142" i="247" s="1"/>
  <c r="F159" i="247" s="1"/>
  <c r="J106" i="247"/>
  <c r="G144" i="306"/>
  <c r="F143" i="306"/>
  <c r="E141" i="263"/>
  <c r="G144" i="302"/>
  <c r="F143" i="302"/>
  <c r="F142" i="292"/>
  <c r="J142" i="292" s="1"/>
  <c r="F159" i="292" s="1"/>
  <c r="J106" i="292"/>
  <c r="F143" i="313"/>
  <c r="G144" i="313"/>
  <c r="F143" i="277"/>
  <c r="E160" i="294"/>
  <c r="G71" i="217"/>
  <c r="E160" i="258"/>
  <c r="G35" i="217"/>
  <c r="F143" i="287"/>
  <c r="E160" i="292"/>
  <c r="G69" i="217"/>
  <c r="F143" i="269"/>
  <c r="F142" i="290"/>
  <c r="E160" i="249"/>
  <c r="G26" i="217"/>
  <c r="F142" i="262"/>
  <c r="J106" i="262"/>
  <c r="F142" i="258"/>
  <c r="J142" i="258" s="1"/>
  <c r="F159" i="258" s="1"/>
  <c r="G144" i="258"/>
  <c r="F143" i="258"/>
  <c r="F144" i="294"/>
  <c r="F144" i="313"/>
  <c r="F144" i="281"/>
  <c r="E160" i="280"/>
  <c r="G57" i="217"/>
  <c r="F143" i="309"/>
  <c r="G144" i="309"/>
  <c r="G144" i="280"/>
  <c r="F143" i="280"/>
  <c r="F143" i="281"/>
  <c r="G144" i="281"/>
  <c r="F142" i="294"/>
  <c r="J142" i="294" s="1"/>
  <c r="F159" i="294" s="1"/>
  <c r="G144" i="290"/>
  <c r="F143" i="290"/>
  <c r="E160" i="262"/>
  <c r="G39" i="217"/>
  <c r="G144" i="271"/>
  <c r="F143" i="271"/>
  <c r="F143" i="294"/>
  <c r="G144" i="294"/>
  <c r="F142" i="281"/>
  <c r="J142" i="281" s="1"/>
  <c r="F159" i="281" s="1"/>
  <c r="J107" i="281"/>
  <c r="J106" i="281"/>
  <c r="F144" i="292"/>
  <c r="F142" i="277"/>
  <c r="F142" i="269"/>
  <c r="J142" i="269" s="1"/>
  <c r="F159" i="269" s="1"/>
  <c r="J106" i="269"/>
  <c r="F144" i="293"/>
  <c r="J107" i="280"/>
  <c r="F142" i="280"/>
  <c r="J142" i="280" s="1"/>
  <c r="F159" i="280" s="1"/>
  <c r="E160" i="269"/>
  <c r="G46" i="217"/>
  <c r="F143" i="246"/>
  <c r="F142" i="256"/>
  <c r="F144" i="247"/>
  <c r="F144" i="236"/>
  <c r="F142" i="249"/>
  <c r="J106" i="249"/>
  <c r="G144" i="241"/>
  <c r="F143" i="241"/>
  <c r="F142" i="248"/>
  <c r="J106" i="248"/>
  <c r="F143" i="256"/>
  <c r="G144" i="256"/>
  <c r="F144" i="241"/>
  <c r="J107" i="241"/>
  <c r="F142" i="241"/>
  <c r="J106" i="241"/>
  <c r="F144" i="242"/>
  <c r="F143" i="242"/>
  <c r="G144" i="242"/>
  <c r="F142" i="243"/>
  <c r="J106" i="243"/>
  <c r="F150" i="302" l="1"/>
  <c r="G112" i="301"/>
  <c r="G148" i="301" s="1"/>
  <c r="F110" i="314"/>
  <c r="G111" i="314" s="1"/>
  <c r="H112" i="314" s="1"/>
  <c r="F108" i="295"/>
  <c r="F144" i="295" s="1"/>
  <c r="F113" i="297"/>
  <c r="F149" i="297" s="1"/>
  <c r="G113" i="307"/>
  <c r="J113" i="307" s="1"/>
  <c r="E105" i="305"/>
  <c r="F106" i="305" s="1"/>
  <c r="F149" i="307"/>
  <c r="G113" i="302"/>
  <c r="H114" i="302" s="1"/>
  <c r="F68" i="217"/>
  <c r="F115" i="311"/>
  <c r="G116" i="311" s="1"/>
  <c r="G152" i="311" s="1"/>
  <c r="G108" i="314"/>
  <c r="G144" i="314" s="1"/>
  <c r="E147" i="304"/>
  <c r="D160" i="311"/>
  <c r="F114" i="295"/>
  <c r="G115" i="295" s="1"/>
  <c r="H116" i="295" s="1"/>
  <c r="H152" i="295" s="1"/>
  <c r="E147" i="308"/>
  <c r="E149" i="280"/>
  <c r="G113" i="308"/>
  <c r="H114" i="308" s="1"/>
  <c r="F149" i="302"/>
  <c r="D141" i="296"/>
  <c r="E151" i="291"/>
  <c r="E149" i="291"/>
  <c r="E147" i="316"/>
  <c r="F149" i="304"/>
  <c r="F147" i="298"/>
  <c r="E141" i="314"/>
  <c r="J141" i="314" s="1"/>
  <c r="E159" i="314" s="1"/>
  <c r="E160" i="314" s="1"/>
  <c r="J105" i="314"/>
  <c r="E148" i="304"/>
  <c r="F142" i="314"/>
  <c r="F147" i="291"/>
  <c r="D160" i="242"/>
  <c r="F106" i="279"/>
  <c r="G107" i="279" s="1"/>
  <c r="H108" i="279" s="1"/>
  <c r="E141" i="279"/>
  <c r="J141" i="279" s="1"/>
  <c r="E159" i="279" s="1"/>
  <c r="G56" i="217" s="1"/>
  <c r="L67" i="217"/>
  <c r="F115" i="291"/>
  <c r="F151" i="291" s="1"/>
  <c r="G113" i="311"/>
  <c r="H114" i="311" s="1"/>
  <c r="E148" i="311"/>
  <c r="F109" i="316"/>
  <c r="G110" i="316" s="1"/>
  <c r="H111" i="316" s="1"/>
  <c r="F106" i="316"/>
  <c r="F142" i="316" s="1"/>
  <c r="J142" i="316" s="1"/>
  <c r="F159" i="316" s="1"/>
  <c r="F160" i="316" s="1"/>
  <c r="F146" i="301"/>
  <c r="G115" i="280"/>
  <c r="G151" i="280" s="1"/>
  <c r="J141" i="316"/>
  <c r="E159" i="316" s="1"/>
  <c r="G93" i="217" s="1"/>
  <c r="G107" i="259"/>
  <c r="H108" i="259" s="1"/>
  <c r="F116" i="311"/>
  <c r="F152" i="311" s="1"/>
  <c r="J111" i="292"/>
  <c r="E147" i="311"/>
  <c r="E151" i="308"/>
  <c r="J105" i="295"/>
  <c r="D142" i="307"/>
  <c r="G115" i="299"/>
  <c r="H116" i="299" s="1"/>
  <c r="H152" i="299" s="1"/>
  <c r="G108" i="276"/>
  <c r="G144" i="276" s="1"/>
  <c r="F143" i="311"/>
  <c r="G116" i="301"/>
  <c r="G152" i="301" s="1"/>
  <c r="J106" i="293"/>
  <c r="J105" i="309"/>
  <c r="F145" i="309"/>
  <c r="F110" i="309"/>
  <c r="G111" i="309" s="1"/>
  <c r="G147" i="309" s="1"/>
  <c r="E145" i="311"/>
  <c r="E151" i="297"/>
  <c r="E142" i="293"/>
  <c r="J142" i="293" s="1"/>
  <c r="F159" i="293" s="1"/>
  <c r="E150" i="312"/>
  <c r="E145" i="279"/>
  <c r="F148" i="309"/>
  <c r="F145" i="312"/>
  <c r="E144" i="312"/>
  <c r="E147" i="309"/>
  <c r="G112" i="308"/>
  <c r="H113" i="308" s="1"/>
  <c r="E150" i="303"/>
  <c r="F147" i="316"/>
  <c r="G112" i="244"/>
  <c r="G148" i="244" s="1"/>
  <c r="E146" i="316"/>
  <c r="J148" i="294"/>
  <c r="L159" i="294" s="1"/>
  <c r="N71" i="217" s="1"/>
  <c r="C160" i="305"/>
  <c r="E149" i="315"/>
  <c r="E151" i="293"/>
  <c r="E147" i="297"/>
  <c r="C160" i="296"/>
  <c r="C160" i="307"/>
  <c r="D141" i="301"/>
  <c r="G111" i="267"/>
  <c r="H112" i="267" s="1"/>
  <c r="F144" i="316"/>
  <c r="F106" i="309"/>
  <c r="F142" i="309" s="1"/>
  <c r="J142" i="309" s="1"/>
  <c r="F159" i="309" s="1"/>
  <c r="F112" i="315"/>
  <c r="F148" i="315" s="1"/>
  <c r="F148" i="297"/>
  <c r="F114" i="304"/>
  <c r="F150" i="304" s="1"/>
  <c r="E146" i="291"/>
  <c r="J106" i="311"/>
  <c r="D149" i="303"/>
  <c r="E142" i="311"/>
  <c r="F108" i="291"/>
  <c r="F144" i="291" s="1"/>
  <c r="F114" i="276"/>
  <c r="F150" i="276" s="1"/>
  <c r="I160" i="294"/>
  <c r="E142" i="314"/>
  <c r="J142" i="314" s="1"/>
  <c r="F159" i="314" s="1"/>
  <c r="F160" i="314" s="1"/>
  <c r="J106" i="314"/>
  <c r="G109" i="244"/>
  <c r="H110" i="244" s="1"/>
  <c r="F148" i="316"/>
  <c r="F107" i="291"/>
  <c r="G108" i="291" s="1"/>
  <c r="H109" i="291" s="1"/>
  <c r="D160" i="257"/>
  <c r="E141" i="289"/>
  <c r="J141" i="289" s="1"/>
  <c r="E159" i="289" s="1"/>
  <c r="G66" i="217" s="1"/>
  <c r="J106" i="259"/>
  <c r="F114" i="252"/>
  <c r="G115" i="252" s="1"/>
  <c r="G151" i="252" s="1"/>
  <c r="F67" i="217"/>
  <c r="F111" i="312"/>
  <c r="G112" i="312" s="1"/>
  <c r="H113" i="312" s="1"/>
  <c r="E160" i="247"/>
  <c r="D140" i="299"/>
  <c r="J140" i="299" s="1"/>
  <c r="D159" i="299" s="1"/>
  <c r="D160" i="299" s="1"/>
  <c r="F151" i="293"/>
  <c r="J105" i="316"/>
  <c r="F72" i="217"/>
  <c r="G107" i="229"/>
  <c r="G143" i="229" s="1"/>
  <c r="J143" i="229" s="1"/>
  <c r="G159" i="229" s="1"/>
  <c r="E75" i="217"/>
  <c r="F110" i="308"/>
  <c r="G111" i="308" s="1"/>
  <c r="H112" i="308" s="1"/>
  <c r="F112" i="291"/>
  <c r="F148" i="291" s="1"/>
  <c r="J106" i="229"/>
  <c r="G110" i="304"/>
  <c r="G146" i="304" s="1"/>
  <c r="G88" i="217"/>
  <c r="J146" i="280"/>
  <c r="J159" i="280" s="1"/>
  <c r="L57" i="217" s="1"/>
  <c r="J104" i="296"/>
  <c r="D141" i="299"/>
  <c r="E141" i="295"/>
  <c r="J141" i="295" s="1"/>
  <c r="E159" i="295" s="1"/>
  <c r="G72" i="217" s="1"/>
  <c r="F115" i="280"/>
  <c r="G116" i="280" s="1"/>
  <c r="D150" i="303"/>
  <c r="E144" i="304"/>
  <c r="L69" i="217"/>
  <c r="E107" i="296"/>
  <c r="E143" i="296" s="1"/>
  <c r="E106" i="305"/>
  <c r="E142" i="305" s="1"/>
  <c r="G116" i="316"/>
  <c r="G152" i="316" s="1"/>
  <c r="F145" i="308"/>
  <c r="F145" i="295"/>
  <c r="E145" i="316"/>
  <c r="F149" i="254"/>
  <c r="E150" i="316"/>
  <c r="F109" i="311"/>
  <c r="G110" i="311" s="1"/>
  <c r="H111" i="311" s="1"/>
  <c r="E144" i="295"/>
  <c r="E144" i="308"/>
  <c r="J141" i="312"/>
  <c r="E159" i="312" s="1"/>
  <c r="G89" i="217" s="1"/>
  <c r="L71" i="217"/>
  <c r="F146" i="312"/>
  <c r="E144" i="309"/>
  <c r="F89" i="217"/>
  <c r="D140" i="307"/>
  <c r="D140" i="296"/>
  <c r="J140" i="296" s="1"/>
  <c r="D159" i="296" s="1"/>
  <c r="F111" i="304"/>
  <c r="G112" i="304" s="1"/>
  <c r="G148" i="304" s="1"/>
  <c r="J140" i="305"/>
  <c r="D159" i="305" s="1"/>
  <c r="F82" i="217" s="1"/>
  <c r="H112" i="302"/>
  <c r="G147" i="302"/>
  <c r="E105" i="299"/>
  <c r="E141" i="299" s="1"/>
  <c r="F149" i="295"/>
  <c r="K57" i="217"/>
  <c r="F116" i="303"/>
  <c r="F152" i="303" s="1"/>
  <c r="D160" i="314"/>
  <c r="F150" i="247"/>
  <c r="F114" i="278"/>
  <c r="G148" i="292"/>
  <c r="J148" i="292" s="1"/>
  <c r="L159" i="292" s="1"/>
  <c r="F147" i="292"/>
  <c r="J147" i="292" s="1"/>
  <c r="K159" i="292" s="1"/>
  <c r="K160" i="292" s="1"/>
  <c r="J112" i="292"/>
  <c r="C160" i="299"/>
  <c r="F148" i="307"/>
  <c r="J148" i="307" s="1"/>
  <c r="L159" i="307" s="1"/>
  <c r="N84" i="217" s="1"/>
  <c r="E149" i="293"/>
  <c r="F114" i="293"/>
  <c r="F147" i="299"/>
  <c r="F110" i="295"/>
  <c r="G111" i="295" s="1"/>
  <c r="G147" i="295" s="1"/>
  <c r="E147" i="307"/>
  <c r="D106" i="300"/>
  <c r="D142" i="300" s="1"/>
  <c r="C141" i="300"/>
  <c r="J104" i="307"/>
  <c r="C140" i="307"/>
  <c r="D105" i="307"/>
  <c r="D141" i="307" s="1"/>
  <c r="D160" i="313"/>
  <c r="F90" i="217"/>
  <c r="J103" i="306"/>
  <c r="D104" i="306"/>
  <c r="E105" i="306" s="1"/>
  <c r="F106" i="306" s="1"/>
  <c r="G107" i="306" s="1"/>
  <c r="H108" i="306" s="1"/>
  <c r="I109" i="306" s="1"/>
  <c r="I145" i="306" s="1"/>
  <c r="D106" i="301"/>
  <c r="D142" i="301" s="1"/>
  <c r="C141" i="301"/>
  <c r="D105" i="300"/>
  <c r="D141" i="300" s="1"/>
  <c r="C140" i="300"/>
  <c r="F147" i="229"/>
  <c r="F116" i="269"/>
  <c r="F152" i="269" s="1"/>
  <c r="F106" i="313"/>
  <c r="E141" i="313"/>
  <c r="J141" i="313" s="1"/>
  <c r="E159" i="313" s="1"/>
  <c r="F142" i="298"/>
  <c r="J104" i="305"/>
  <c r="J104" i="298"/>
  <c r="F116" i="309"/>
  <c r="F152" i="309" s="1"/>
  <c r="D160" i="315"/>
  <c r="E151" i="312"/>
  <c r="F116" i="312"/>
  <c r="F152" i="312" s="1"/>
  <c r="H113" i="298"/>
  <c r="J113" i="298" s="1"/>
  <c r="G148" i="298"/>
  <c r="H112" i="306"/>
  <c r="G147" i="306"/>
  <c r="G108" i="231"/>
  <c r="G144" i="231" s="1"/>
  <c r="J141" i="276"/>
  <c r="E159" i="276" s="1"/>
  <c r="G53" i="217" s="1"/>
  <c r="J105" i="313"/>
  <c r="F106" i="289"/>
  <c r="G107" i="289" s="1"/>
  <c r="J107" i="289" s="1"/>
  <c r="E145" i="312"/>
  <c r="I112" i="299"/>
  <c r="I148" i="299" s="1"/>
  <c r="H147" i="299"/>
  <c r="F108" i="312"/>
  <c r="E143" i="312"/>
  <c r="G115" i="296"/>
  <c r="F150" i="296"/>
  <c r="D105" i="297"/>
  <c r="D141" i="297" s="1"/>
  <c r="C140" i="297"/>
  <c r="D106" i="308"/>
  <c r="D142" i="308" s="1"/>
  <c r="C141" i="308"/>
  <c r="D160" i="293"/>
  <c r="F70" i="217"/>
  <c r="D105" i="308"/>
  <c r="D141" i="308" s="1"/>
  <c r="C140" i="308"/>
  <c r="C139" i="302"/>
  <c r="J139" i="302" s="1"/>
  <c r="C159" i="302" s="1"/>
  <c r="E79" i="217" s="1"/>
  <c r="D104" i="302"/>
  <c r="E105" i="302" s="1"/>
  <c r="F106" i="302" s="1"/>
  <c r="G107" i="302" s="1"/>
  <c r="H108" i="302" s="1"/>
  <c r="I109" i="302" s="1"/>
  <c r="I145" i="302" s="1"/>
  <c r="J103" i="302"/>
  <c r="C139" i="301"/>
  <c r="J139" i="301" s="1"/>
  <c r="C159" i="301" s="1"/>
  <c r="J103" i="301"/>
  <c r="D104" i="301"/>
  <c r="J104" i="301" s="1"/>
  <c r="C141" i="305"/>
  <c r="D106" i="305"/>
  <c r="E107" i="305" s="1"/>
  <c r="F108" i="305" s="1"/>
  <c r="D106" i="304"/>
  <c r="D142" i="304" s="1"/>
  <c r="C141" i="304"/>
  <c r="C141" i="306"/>
  <c r="D106" i="306"/>
  <c r="D142" i="306" s="1"/>
  <c r="D106" i="299"/>
  <c r="D142" i="299" s="1"/>
  <c r="C141" i="299"/>
  <c r="D106" i="302"/>
  <c r="E107" i="302" s="1"/>
  <c r="C141" i="302"/>
  <c r="J103" i="297"/>
  <c r="D104" i="297"/>
  <c r="J104" i="297" s="1"/>
  <c r="C139" i="297"/>
  <c r="J139" i="297" s="1"/>
  <c r="C159" i="297" s="1"/>
  <c r="C160" i="297" s="1"/>
  <c r="C139" i="300"/>
  <c r="J139" i="300" s="1"/>
  <c r="C159" i="300" s="1"/>
  <c r="C160" i="300" s="1"/>
  <c r="D104" i="300"/>
  <c r="E105" i="300" s="1"/>
  <c r="F106" i="300" s="1"/>
  <c r="G107" i="300" s="1"/>
  <c r="H108" i="300" s="1"/>
  <c r="I109" i="300" s="1"/>
  <c r="I145" i="300" s="1"/>
  <c r="J103" i="300"/>
  <c r="C139" i="308"/>
  <c r="J139" i="308" s="1"/>
  <c r="C159" i="308" s="1"/>
  <c r="C160" i="308" s="1"/>
  <c r="D104" i="308"/>
  <c r="D140" i="308" s="1"/>
  <c r="J103" i="308"/>
  <c r="C139" i="304"/>
  <c r="J139" i="304" s="1"/>
  <c r="C159" i="304" s="1"/>
  <c r="C160" i="304" s="1"/>
  <c r="D104" i="304"/>
  <c r="J104" i="304" s="1"/>
  <c r="J103" i="304"/>
  <c r="D105" i="304"/>
  <c r="E106" i="304" s="1"/>
  <c r="F107" i="304" s="1"/>
  <c r="C140" i="304"/>
  <c r="F151" i="252"/>
  <c r="I70" i="303"/>
  <c r="J70" i="303" s="1"/>
  <c r="C103" i="303" s="1"/>
  <c r="I71" i="303"/>
  <c r="J71" i="303" s="1"/>
  <c r="C104" i="303" s="1"/>
  <c r="C139" i="306"/>
  <c r="J139" i="306" s="1"/>
  <c r="C159" i="306" s="1"/>
  <c r="E83" i="217" s="1"/>
  <c r="D140" i="298"/>
  <c r="J140" i="298" s="1"/>
  <c r="D159" i="298" s="1"/>
  <c r="F75" i="217" s="1"/>
  <c r="G115" i="294"/>
  <c r="F150" i="294"/>
  <c r="I112" i="302"/>
  <c r="H147" i="302"/>
  <c r="G115" i="277"/>
  <c r="F150" i="277"/>
  <c r="F106" i="315"/>
  <c r="E141" i="315"/>
  <c r="J141" i="315" s="1"/>
  <c r="E159" i="315" s="1"/>
  <c r="E160" i="315" s="1"/>
  <c r="J105" i="315"/>
  <c r="I112" i="300"/>
  <c r="I148" i="300" s="1"/>
  <c r="H147" i="300"/>
  <c r="I112" i="298"/>
  <c r="H147" i="298"/>
  <c r="E109" i="303"/>
  <c r="D144" i="303"/>
  <c r="E108" i="303"/>
  <c r="D143" i="303"/>
  <c r="G115" i="283"/>
  <c r="H116" i="283" s="1"/>
  <c r="H152" i="283" s="1"/>
  <c r="C141" i="297"/>
  <c r="J105" i="298"/>
  <c r="E148" i="291"/>
  <c r="F113" i="291"/>
  <c r="F108" i="309"/>
  <c r="E143" i="309"/>
  <c r="E141" i="298"/>
  <c r="J141" i="298" s="1"/>
  <c r="E159" i="298" s="1"/>
  <c r="E160" i="298" s="1"/>
  <c r="H112" i="299"/>
  <c r="G147" i="299"/>
  <c r="I112" i="297"/>
  <c r="I148" i="297" s="1"/>
  <c r="H147" i="297"/>
  <c r="G111" i="297"/>
  <c r="F146" i="297"/>
  <c r="H113" i="299"/>
  <c r="G148" i="299"/>
  <c r="J141" i="266"/>
  <c r="E159" i="266" s="1"/>
  <c r="E160" i="266" s="1"/>
  <c r="E144" i="261"/>
  <c r="F144" i="251"/>
  <c r="E160" i="272"/>
  <c r="F142" i="267"/>
  <c r="J142" i="267" s="1"/>
  <c r="F159" i="267" s="1"/>
  <c r="F148" i="281"/>
  <c r="F151" i="245"/>
  <c r="F142" i="274"/>
  <c r="J142" i="274" s="1"/>
  <c r="F159" i="274" s="1"/>
  <c r="H51" i="217" s="1"/>
  <c r="G110" i="234"/>
  <c r="H111" i="234" s="1"/>
  <c r="F143" i="244"/>
  <c r="G110" i="276"/>
  <c r="H111" i="276" s="1"/>
  <c r="F114" i="254"/>
  <c r="F150" i="254" s="1"/>
  <c r="F150" i="312"/>
  <c r="E160" i="231"/>
  <c r="G115" i="285"/>
  <c r="G151" i="285" s="1"/>
  <c r="E150" i="245"/>
  <c r="F106" i="242"/>
  <c r="J106" i="242" s="1"/>
  <c r="F147" i="314"/>
  <c r="F148" i="268"/>
  <c r="F108" i="277"/>
  <c r="G109" i="277" s="1"/>
  <c r="G115" i="235"/>
  <c r="H116" i="235" s="1"/>
  <c r="H152" i="235" s="1"/>
  <c r="F147" i="232"/>
  <c r="E151" i="281"/>
  <c r="G107" i="264"/>
  <c r="H108" i="264" s="1"/>
  <c r="G107" i="274"/>
  <c r="J107" i="274" s="1"/>
  <c r="G110" i="243"/>
  <c r="H111" i="243" s="1"/>
  <c r="J106" i="231"/>
  <c r="F110" i="264"/>
  <c r="G111" i="264" s="1"/>
  <c r="G112" i="313"/>
  <c r="H113" i="313" s="1"/>
  <c r="G116" i="251"/>
  <c r="G152" i="251" s="1"/>
  <c r="E160" i="229"/>
  <c r="E141" i="242"/>
  <c r="J141" i="242" s="1"/>
  <c r="E159" i="242" s="1"/>
  <c r="G19" i="217" s="1"/>
  <c r="G109" i="267"/>
  <c r="G145" i="267" s="1"/>
  <c r="F142" i="311"/>
  <c r="F149" i="281"/>
  <c r="F147" i="240"/>
  <c r="F150" i="257"/>
  <c r="F106" i="254"/>
  <c r="F142" i="254" s="1"/>
  <c r="J142" i="254" s="1"/>
  <c r="F159" i="254" s="1"/>
  <c r="G109" i="285"/>
  <c r="H110" i="285" s="1"/>
  <c r="G114" i="297"/>
  <c r="H115" i="297" s="1"/>
  <c r="G36" i="217"/>
  <c r="F106" i="236"/>
  <c r="G107" i="236" s="1"/>
  <c r="H108" i="236" s="1"/>
  <c r="G110" i="236"/>
  <c r="H111" i="236" s="1"/>
  <c r="J111" i="236" s="1"/>
  <c r="G116" i="281"/>
  <c r="G152" i="281" s="1"/>
  <c r="F145" i="288"/>
  <c r="F151" i="266"/>
  <c r="F114" i="255"/>
  <c r="F150" i="255" s="1"/>
  <c r="J141" i="233"/>
  <c r="E159" i="233" s="1"/>
  <c r="G10" i="217" s="1"/>
  <c r="F142" i="265"/>
  <c r="J142" i="265" s="1"/>
  <c r="F159" i="265" s="1"/>
  <c r="H42" i="217" s="1"/>
  <c r="G113" i="239"/>
  <c r="H114" i="239" s="1"/>
  <c r="F148" i="258"/>
  <c r="F107" i="253"/>
  <c r="F143" i="253" s="1"/>
  <c r="G116" i="233"/>
  <c r="G152" i="233" s="1"/>
  <c r="J142" i="272"/>
  <c r="F159" i="272" s="1"/>
  <c r="H49" i="217" s="1"/>
  <c r="D160" i="233"/>
  <c r="E143" i="267"/>
  <c r="J142" i="277"/>
  <c r="F159" i="277" s="1"/>
  <c r="F160" i="277" s="1"/>
  <c r="G113" i="274"/>
  <c r="G149" i="274" s="1"/>
  <c r="J141" i="236"/>
  <c r="E159" i="236" s="1"/>
  <c r="G13" i="217" s="1"/>
  <c r="E160" i="248"/>
  <c r="G58" i="217"/>
  <c r="E145" i="283"/>
  <c r="F147" i="311"/>
  <c r="F145" i="244"/>
  <c r="G116" i="248"/>
  <c r="G152" i="248" s="1"/>
  <c r="G109" i="231"/>
  <c r="G145" i="231" s="1"/>
  <c r="F149" i="268"/>
  <c r="F112" i="249"/>
  <c r="F148" i="249" s="1"/>
  <c r="J106" i="265"/>
  <c r="E150" i="248"/>
  <c r="G114" i="286"/>
  <c r="H115" i="286" s="1"/>
  <c r="E160" i="282"/>
  <c r="J141" i="277"/>
  <c r="E159" i="277" s="1"/>
  <c r="E160" i="277" s="1"/>
  <c r="E148" i="286"/>
  <c r="F106" i="233"/>
  <c r="F142" i="233" s="1"/>
  <c r="J105" i="233"/>
  <c r="G114" i="234"/>
  <c r="H115" i="234" s="1"/>
  <c r="G113" i="232"/>
  <c r="G149" i="232" s="1"/>
  <c r="J141" i="234"/>
  <c r="E159" i="234" s="1"/>
  <c r="G11" i="217" s="1"/>
  <c r="G107" i="232"/>
  <c r="G143" i="232" s="1"/>
  <c r="J105" i="236"/>
  <c r="D160" i="262"/>
  <c r="G107" i="284"/>
  <c r="G143" i="284" s="1"/>
  <c r="F144" i="239"/>
  <c r="F146" i="260"/>
  <c r="D160" i="248"/>
  <c r="F110" i="276"/>
  <c r="G111" i="276" s="1"/>
  <c r="G147" i="276" s="1"/>
  <c r="E142" i="231"/>
  <c r="J142" i="231" s="1"/>
  <c r="F159" i="231" s="1"/>
  <c r="E148" i="262"/>
  <c r="J148" i="262" s="1"/>
  <c r="L159" i="262" s="1"/>
  <c r="L160" i="262" s="1"/>
  <c r="G112" i="272"/>
  <c r="H113" i="272" s="1"/>
  <c r="J106" i="264"/>
  <c r="F64" i="217"/>
  <c r="F13" i="217"/>
  <c r="D160" i="236"/>
  <c r="D160" i="264"/>
  <c r="F41" i="217"/>
  <c r="F146" i="250"/>
  <c r="D160" i="281"/>
  <c r="F106" i="286"/>
  <c r="G107" i="286" s="1"/>
  <c r="G143" i="286" s="1"/>
  <c r="J105" i="286"/>
  <c r="E143" i="260"/>
  <c r="F108" i="260"/>
  <c r="F112" i="276"/>
  <c r="G113" i="276" s="1"/>
  <c r="F143" i="249"/>
  <c r="E146" i="278"/>
  <c r="G109" i="233"/>
  <c r="H110" i="233" s="1"/>
  <c r="F30" i="217"/>
  <c r="F56" i="217"/>
  <c r="F62" i="217"/>
  <c r="D160" i="231"/>
  <c r="J141" i="286"/>
  <c r="E159" i="286" s="1"/>
  <c r="E160" i="286" s="1"/>
  <c r="F26" i="217"/>
  <c r="E151" i="268"/>
  <c r="J106" i="232"/>
  <c r="G114" i="315"/>
  <c r="H115" i="315" s="1"/>
  <c r="J107" i="277"/>
  <c r="F149" i="249"/>
  <c r="F143" i="250"/>
  <c r="J141" i="240"/>
  <c r="E159" i="240" s="1"/>
  <c r="G17" i="217" s="1"/>
  <c r="F145" i="278"/>
  <c r="D160" i="235"/>
  <c r="F12" i="217"/>
  <c r="D142" i="297"/>
  <c r="J106" i="267"/>
  <c r="F113" i="262"/>
  <c r="G114" i="262" s="1"/>
  <c r="E142" i="232"/>
  <c r="J142" i="232" s="1"/>
  <c r="F159" i="232" s="1"/>
  <c r="F160" i="232" s="1"/>
  <c r="G110" i="259"/>
  <c r="G146" i="259" s="1"/>
  <c r="G113" i="247"/>
  <c r="H114" i="247" s="1"/>
  <c r="F143" i="234"/>
  <c r="D160" i="267"/>
  <c r="F113" i="244"/>
  <c r="E148" i="244"/>
  <c r="J142" i="262"/>
  <c r="F159" i="262" s="1"/>
  <c r="F160" i="262" s="1"/>
  <c r="F150" i="261"/>
  <c r="F149" i="279"/>
  <c r="F146" i="233"/>
  <c r="F151" i="234"/>
  <c r="E160" i="274"/>
  <c r="E160" i="244"/>
  <c r="G21" i="217"/>
  <c r="J106" i="237"/>
  <c r="G109" i="276"/>
  <c r="H110" i="276" s="1"/>
  <c r="G107" i="295"/>
  <c r="J107" i="295" s="1"/>
  <c r="G107" i="311"/>
  <c r="H108" i="311" s="1"/>
  <c r="J108" i="311" s="1"/>
  <c r="J142" i="244"/>
  <c r="F159" i="244" s="1"/>
  <c r="F160" i="244" s="1"/>
  <c r="D160" i="250"/>
  <c r="F145" i="274"/>
  <c r="D160" i="255"/>
  <c r="F65" i="217"/>
  <c r="E141" i="235"/>
  <c r="J141" i="235" s="1"/>
  <c r="E159" i="235" s="1"/>
  <c r="F106" i="235"/>
  <c r="G111" i="241"/>
  <c r="H112" i="241" s="1"/>
  <c r="G107" i="237"/>
  <c r="H108" i="237" s="1"/>
  <c r="G107" i="276"/>
  <c r="H108" i="276" s="1"/>
  <c r="F112" i="233"/>
  <c r="G113" i="233" s="1"/>
  <c r="H114" i="233" s="1"/>
  <c r="F106" i="287"/>
  <c r="E145" i="260"/>
  <c r="F109" i="246"/>
  <c r="E144" i="246"/>
  <c r="J142" i="248"/>
  <c r="F159" i="248" s="1"/>
  <c r="H25" i="217" s="1"/>
  <c r="J142" i="249"/>
  <c r="F159" i="249" s="1"/>
  <c r="H26" i="217" s="1"/>
  <c r="F150" i="249"/>
  <c r="J145" i="281"/>
  <c r="I159" i="281" s="1"/>
  <c r="K58" i="217" s="1"/>
  <c r="J142" i="259"/>
  <c r="F159" i="259" s="1"/>
  <c r="F160" i="259" s="1"/>
  <c r="G113" i="252"/>
  <c r="G149" i="252" s="1"/>
  <c r="F147" i="274"/>
  <c r="F113" i="255"/>
  <c r="F107" i="282"/>
  <c r="E142" i="282"/>
  <c r="J142" i="282" s="1"/>
  <c r="F159" i="282" s="1"/>
  <c r="E160" i="252"/>
  <c r="E141" i="254"/>
  <c r="J141" i="254" s="1"/>
  <c r="E159" i="254" s="1"/>
  <c r="G31" i="217" s="1"/>
  <c r="J145" i="241"/>
  <c r="I159" i="241" s="1"/>
  <c r="K18" i="217" s="1"/>
  <c r="F45" i="217"/>
  <c r="E160" i="265"/>
  <c r="K33" i="217"/>
  <c r="F54" i="217"/>
  <c r="E141" i="287"/>
  <c r="J141" i="287" s="1"/>
  <c r="E159" i="287" s="1"/>
  <c r="F107" i="288"/>
  <c r="E142" i="288"/>
  <c r="L46" i="217"/>
  <c r="F142" i="295"/>
  <c r="J142" i="295" s="1"/>
  <c r="F159" i="295" s="1"/>
  <c r="F160" i="295" s="1"/>
  <c r="J106" i="272"/>
  <c r="F16" i="217"/>
  <c r="F145" i="254"/>
  <c r="K35" i="217"/>
  <c r="D160" i="278"/>
  <c r="F113" i="256"/>
  <c r="E148" i="256"/>
  <c r="F106" i="253"/>
  <c r="J105" i="253"/>
  <c r="E141" i="253"/>
  <c r="J141" i="253" s="1"/>
  <c r="E159" i="253" s="1"/>
  <c r="E160" i="253" s="1"/>
  <c r="F42" i="217"/>
  <c r="D160" i="265"/>
  <c r="F108" i="255"/>
  <c r="E143" i="255"/>
  <c r="F114" i="279"/>
  <c r="E149" i="279"/>
  <c r="F116" i="255"/>
  <c r="F152" i="255" s="1"/>
  <c r="E151" i="255"/>
  <c r="E151" i="245"/>
  <c r="F116" i="245"/>
  <c r="F152" i="245" s="1"/>
  <c r="D105" i="263"/>
  <c r="D141" i="263" s="1"/>
  <c r="J141" i="263" s="1"/>
  <c r="E159" i="263" s="1"/>
  <c r="G40" i="217" s="1"/>
  <c r="C140" i="263"/>
  <c r="J140" i="263" s="1"/>
  <c r="D159" i="263" s="1"/>
  <c r="J146" i="256"/>
  <c r="J159" i="256" s="1"/>
  <c r="L33" i="217" s="1"/>
  <c r="G112" i="248"/>
  <c r="F147" i="248"/>
  <c r="F111" i="249"/>
  <c r="E146" i="249"/>
  <c r="E151" i="279"/>
  <c r="F116" i="279"/>
  <c r="F152" i="279" s="1"/>
  <c r="E148" i="260"/>
  <c r="F113" i="260"/>
  <c r="E150" i="262"/>
  <c r="F115" i="262"/>
  <c r="E143" i="237"/>
  <c r="F108" i="237"/>
  <c r="F107" i="286"/>
  <c r="E142" i="286"/>
  <c r="J110" i="241"/>
  <c r="F31" i="217"/>
  <c r="J111" i="252"/>
  <c r="J146" i="242"/>
  <c r="J159" i="242" s="1"/>
  <c r="J160" i="242" s="1"/>
  <c r="F115" i="284"/>
  <c r="E150" i="284"/>
  <c r="E149" i="237"/>
  <c r="F114" i="237"/>
  <c r="I160" i="252"/>
  <c r="K29" i="217"/>
  <c r="E151" i="282"/>
  <c r="F116" i="282"/>
  <c r="F152" i="282" s="1"/>
  <c r="F108" i="266"/>
  <c r="E143" i="266"/>
  <c r="E150" i="247"/>
  <c r="F115" i="247"/>
  <c r="F110" i="261"/>
  <c r="E145" i="261"/>
  <c r="G114" i="230"/>
  <c r="F149" i="230"/>
  <c r="F145" i="265"/>
  <c r="G110" i="265"/>
  <c r="E148" i="284"/>
  <c r="F113" i="284"/>
  <c r="E141" i="251"/>
  <c r="J141" i="251" s="1"/>
  <c r="E159" i="251" s="1"/>
  <c r="F106" i="251"/>
  <c r="J105" i="251"/>
  <c r="F113" i="272"/>
  <c r="E148" i="272"/>
  <c r="F113" i="241"/>
  <c r="E148" i="241"/>
  <c r="D160" i="259"/>
  <c r="F36" i="217"/>
  <c r="F116" i="232"/>
  <c r="F152" i="232" s="1"/>
  <c r="E151" i="232"/>
  <c r="J106" i="284"/>
  <c r="D142" i="263"/>
  <c r="G107" i="272"/>
  <c r="H108" i="272" s="1"/>
  <c r="J108" i="272" s="1"/>
  <c r="J141" i="285"/>
  <c r="E159" i="285" s="1"/>
  <c r="E160" i="285" s="1"/>
  <c r="E148" i="240"/>
  <c r="F113" i="240"/>
  <c r="G110" i="287"/>
  <c r="F145" i="287"/>
  <c r="E149" i="246"/>
  <c r="F114" i="246"/>
  <c r="E146" i="231"/>
  <c r="F111" i="231"/>
  <c r="F112" i="284"/>
  <c r="E147" i="284"/>
  <c r="G110" i="284"/>
  <c r="F145" i="284"/>
  <c r="G110" i="247"/>
  <c r="J110" i="247" s="1"/>
  <c r="F145" i="247"/>
  <c r="J145" i="247" s="1"/>
  <c r="I159" i="247" s="1"/>
  <c r="K24" i="217" s="1"/>
  <c r="E145" i="278"/>
  <c r="F110" i="278"/>
  <c r="E149" i="240"/>
  <c r="F114" i="240"/>
  <c r="F111" i="260"/>
  <c r="E146" i="260"/>
  <c r="G41" i="217"/>
  <c r="E160" i="264"/>
  <c r="C139" i="270"/>
  <c r="J139" i="270" s="1"/>
  <c r="C159" i="270" s="1"/>
  <c r="E47" i="217" s="1"/>
  <c r="J103" i="270"/>
  <c r="D104" i="270"/>
  <c r="F160" i="230"/>
  <c r="H7" i="217"/>
  <c r="E160" i="232"/>
  <c r="E147" i="265"/>
  <c r="F112" i="265"/>
  <c r="F111" i="265"/>
  <c r="E146" i="265"/>
  <c r="F107" i="233"/>
  <c r="E142" i="233"/>
  <c r="G110" i="230"/>
  <c r="F145" i="230"/>
  <c r="F111" i="266"/>
  <c r="E146" i="266"/>
  <c r="E151" i="237"/>
  <c r="F116" i="237"/>
  <c r="F152" i="237" s="1"/>
  <c r="F116" i="252"/>
  <c r="F152" i="252" s="1"/>
  <c r="E151" i="252"/>
  <c r="I112" i="256"/>
  <c r="I148" i="256" s="1"/>
  <c r="H147" i="256"/>
  <c r="J147" i="256" s="1"/>
  <c r="K159" i="256" s="1"/>
  <c r="M33" i="217" s="1"/>
  <c r="F28" i="217"/>
  <c r="D160" i="251"/>
  <c r="J107" i="230"/>
  <c r="G108" i="230"/>
  <c r="F143" i="230"/>
  <c r="J143" i="230" s="1"/>
  <c r="G159" i="230" s="1"/>
  <c r="E145" i="272"/>
  <c r="F110" i="272"/>
  <c r="E145" i="246"/>
  <c r="F110" i="246"/>
  <c r="J105" i="246"/>
  <c r="F106" i="246"/>
  <c r="E141" i="246"/>
  <c r="J141" i="246" s="1"/>
  <c r="E159" i="246" s="1"/>
  <c r="F115" i="253"/>
  <c r="E150" i="253"/>
  <c r="F21" i="217"/>
  <c r="D160" i="244"/>
  <c r="J105" i="288"/>
  <c r="F106" i="288"/>
  <c r="E141" i="288"/>
  <c r="J141" i="288" s="1"/>
  <c r="E159" i="288" s="1"/>
  <c r="E160" i="288" s="1"/>
  <c r="E151" i="259"/>
  <c r="F116" i="259"/>
  <c r="F152" i="259" s="1"/>
  <c r="E146" i="233"/>
  <c r="F111" i="233"/>
  <c r="E144" i="251"/>
  <c r="F109" i="251"/>
  <c r="I147" i="257"/>
  <c r="J147" i="257" s="1"/>
  <c r="K159" i="257" s="1"/>
  <c r="K160" i="257" s="1"/>
  <c r="J111" i="257"/>
  <c r="E151" i="285"/>
  <c r="F116" i="285"/>
  <c r="F152" i="285" s="1"/>
  <c r="F115" i="256"/>
  <c r="E150" i="256"/>
  <c r="H112" i="271"/>
  <c r="G147" i="271"/>
  <c r="I112" i="289"/>
  <c r="I148" i="289" s="1"/>
  <c r="H147" i="289"/>
  <c r="F107" i="235"/>
  <c r="E142" i="235"/>
  <c r="J104" i="263"/>
  <c r="E147" i="283"/>
  <c r="F112" i="283"/>
  <c r="F115" i="272"/>
  <c r="E150" i="272"/>
  <c r="E146" i="241"/>
  <c r="F111" i="241"/>
  <c r="D160" i="245"/>
  <c r="F22" i="217"/>
  <c r="E150" i="279"/>
  <c r="F115" i="279"/>
  <c r="F110" i="265"/>
  <c r="E145" i="265"/>
  <c r="F111" i="276"/>
  <c r="E146" i="276"/>
  <c r="J111" i="256"/>
  <c r="J146" i="252"/>
  <c r="J159" i="252" s="1"/>
  <c r="E144" i="235"/>
  <c r="F109" i="235"/>
  <c r="F109" i="266"/>
  <c r="E144" i="266"/>
  <c r="D160" i="246"/>
  <c r="F23" i="217"/>
  <c r="E150" i="231"/>
  <c r="F115" i="231"/>
  <c r="F107" i="264"/>
  <c r="E142" i="264"/>
  <c r="J142" i="264" s="1"/>
  <c r="F159" i="264" s="1"/>
  <c r="E143" i="279"/>
  <c r="F108" i="279"/>
  <c r="F116" i="274"/>
  <c r="F152" i="274" s="1"/>
  <c r="E151" i="274"/>
  <c r="E144" i="268"/>
  <c r="F109" i="268"/>
  <c r="F112" i="259"/>
  <c r="E147" i="259"/>
  <c r="E147" i="235"/>
  <c r="F112" i="235"/>
  <c r="F66" i="217"/>
  <c r="D160" i="289"/>
  <c r="F109" i="271"/>
  <c r="E144" i="271"/>
  <c r="F110" i="243"/>
  <c r="E145" i="243"/>
  <c r="E150" i="258"/>
  <c r="F115" i="258"/>
  <c r="F108" i="268"/>
  <c r="E143" i="268"/>
  <c r="F111" i="237"/>
  <c r="E146" i="237"/>
  <c r="F111" i="286"/>
  <c r="E146" i="286"/>
  <c r="F111" i="235"/>
  <c r="E146" i="235"/>
  <c r="J105" i="245"/>
  <c r="F106" i="245"/>
  <c r="E141" i="245"/>
  <c r="J141" i="245" s="1"/>
  <c r="E159" i="245" s="1"/>
  <c r="G115" i="236"/>
  <c r="F150" i="236"/>
  <c r="I112" i="252"/>
  <c r="H147" i="252"/>
  <c r="J147" i="252" s="1"/>
  <c r="K159" i="252" s="1"/>
  <c r="M29" i="217" s="1"/>
  <c r="F112" i="260"/>
  <c r="E147" i="260"/>
  <c r="F114" i="256"/>
  <c r="E149" i="256"/>
  <c r="F115" i="315"/>
  <c r="E150" i="315"/>
  <c r="F116" i="284"/>
  <c r="F152" i="284" s="1"/>
  <c r="E151" i="284"/>
  <c r="E144" i="250"/>
  <c r="F109" i="250"/>
  <c r="G111" i="247"/>
  <c r="F146" i="247"/>
  <c r="F106" i="239"/>
  <c r="E141" i="239"/>
  <c r="J141" i="239" s="1"/>
  <c r="E159" i="239" s="1"/>
  <c r="E160" i="239" s="1"/>
  <c r="J105" i="239"/>
  <c r="I112" i="269"/>
  <c r="J111" i="269"/>
  <c r="H147" i="269"/>
  <c r="J147" i="269" s="1"/>
  <c r="K159" i="269" s="1"/>
  <c r="K160" i="269" s="1"/>
  <c r="E145" i="282"/>
  <c r="F110" i="282"/>
  <c r="F109" i="279"/>
  <c r="E144" i="279"/>
  <c r="F111" i="255"/>
  <c r="E146" i="255"/>
  <c r="F114" i="253"/>
  <c r="E149" i="253"/>
  <c r="E160" i="284"/>
  <c r="J106" i="276"/>
  <c r="E150" i="260"/>
  <c r="F115" i="260"/>
  <c r="F114" i="260"/>
  <c r="E149" i="260"/>
  <c r="F113" i="280"/>
  <c r="E148" i="280"/>
  <c r="F109" i="249"/>
  <c r="E144" i="249"/>
  <c r="D160" i="276"/>
  <c r="F53" i="217"/>
  <c r="E141" i="250"/>
  <c r="J141" i="250" s="1"/>
  <c r="E159" i="250" s="1"/>
  <c r="E160" i="250" s="1"/>
  <c r="J105" i="250"/>
  <c r="F106" i="250"/>
  <c r="I112" i="242"/>
  <c r="J111" i="242"/>
  <c r="H147" i="242"/>
  <c r="J147" i="242" s="1"/>
  <c r="K159" i="242" s="1"/>
  <c r="M19" i="217" s="1"/>
  <c r="F116" i="249"/>
  <c r="F152" i="249" s="1"/>
  <c r="E151" i="249"/>
  <c r="J111" i="280"/>
  <c r="F112" i="280"/>
  <c r="E147" i="280"/>
  <c r="J147" i="280" s="1"/>
  <c r="K159" i="280" s="1"/>
  <c r="K160" i="280" s="1"/>
  <c r="E151" i="236"/>
  <c r="F116" i="236"/>
  <c r="F152" i="236" s="1"/>
  <c r="F111" i="279"/>
  <c r="E146" i="279"/>
  <c r="E147" i="241"/>
  <c r="F112" i="241"/>
  <c r="F148" i="230"/>
  <c r="G113" i="230"/>
  <c r="F115" i="288"/>
  <c r="E150" i="288"/>
  <c r="F108" i="259"/>
  <c r="E143" i="259"/>
  <c r="F108" i="249"/>
  <c r="E143" i="249"/>
  <c r="F110" i="259"/>
  <c r="E145" i="259"/>
  <c r="E142" i="285"/>
  <c r="J142" i="285" s="1"/>
  <c r="F159" i="285" s="1"/>
  <c r="F107" i="285"/>
  <c r="J107" i="285" s="1"/>
  <c r="D160" i="272"/>
  <c r="F49" i="217"/>
  <c r="F115" i="268"/>
  <c r="E150" i="268"/>
  <c r="G111" i="258"/>
  <c r="F146" i="258"/>
  <c r="J146" i="258" s="1"/>
  <c r="J159" i="258" s="1"/>
  <c r="J110" i="258"/>
  <c r="G111" i="287"/>
  <c r="F146" i="287"/>
  <c r="H144" i="230"/>
  <c r="I109" i="230"/>
  <c r="H112" i="263"/>
  <c r="G147" i="263"/>
  <c r="J142" i="237"/>
  <c r="F159" i="237" s="1"/>
  <c r="F160" i="237" s="1"/>
  <c r="E160" i="243"/>
  <c r="D141" i="270"/>
  <c r="H145" i="270"/>
  <c r="E142" i="270"/>
  <c r="C141" i="303"/>
  <c r="E160" i="261"/>
  <c r="F111" i="303"/>
  <c r="E146" i="303"/>
  <c r="G14" i="217"/>
  <c r="J142" i="260"/>
  <c r="F159" i="260" s="1"/>
  <c r="H37" i="217" s="1"/>
  <c r="J142" i="312"/>
  <c r="F159" i="312" s="1"/>
  <c r="F160" i="312" s="1"/>
  <c r="G32" i="217"/>
  <c r="F160" i="229"/>
  <c r="H6" i="217"/>
  <c r="G112" i="253"/>
  <c r="F147" i="253"/>
  <c r="H109" i="295"/>
  <c r="G144" i="295"/>
  <c r="H109" i="266"/>
  <c r="G144" i="266"/>
  <c r="H115" i="258"/>
  <c r="G150" i="258"/>
  <c r="H108" i="278"/>
  <c r="G143" i="278"/>
  <c r="H108" i="261"/>
  <c r="G143" i="261"/>
  <c r="G111" i="274"/>
  <c r="F146" i="274"/>
  <c r="H114" i="288"/>
  <c r="G149" i="288"/>
  <c r="F107" i="298"/>
  <c r="J107" i="298" s="1"/>
  <c r="E142" i="298"/>
  <c r="F152" i="253"/>
  <c r="H113" i="243"/>
  <c r="G148" i="243"/>
  <c r="H112" i="249"/>
  <c r="G147" i="249"/>
  <c r="H116" i="231"/>
  <c r="G151" i="231"/>
  <c r="H108" i="244"/>
  <c r="G143" i="244"/>
  <c r="G112" i="259"/>
  <c r="F147" i="259"/>
  <c r="H112" i="254"/>
  <c r="G147" i="254"/>
  <c r="H115" i="281"/>
  <c r="G150" i="281"/>
  <c r="G109" i="311"/>
  <c r="F144" i="311"/>
  <c r="G114" i="232"/>
  <c r="F149" i="232"/>
  <c r="G116" i="295"/>
  <c r="F151" i="295"/>
  <c r="H112" i="312"/>
  <c r="G147" i="312"/>
  <c r="G115" i="316"/>
  <c r="F150" i="316"/>
  <c r="H109" i="244"/>
  <c r="G144" i="244"/>
  <c r="H112" i="250"/>
  <c r="G147" i="250"/>
  <c r="G44" i="217"/>
  <c r="E160" i="267"/>
  <c r="H112" i="260"/>
  <c r="G147" i="260"/>
  <c r="E160" i="283"/>
  <c r="G60" i="217"/>
  <c r="G115" i="282"/>
  <c r="F150" i="282"/>
  <c r="H112" i="233"/>
  <c r="G147" i="233"/>
  <c r="G110" i="291"/>
  <c r="F145" i="291"/>
  <c r="H109" i="248"/>
  <c r="J109" i="248" s="1"/>
  <c r="G144" i="248"/>
  <c r="G115" i="286"/>
  <c r="F150" i="286"/>
  <c r="G116" i="259"/>
  <c r="F151" i="259"/>
  <c r="H109" i="311"/>
  <c r="G144" i="311"/>
  <c r="H112" i="291"/>
  <c r="G147" i="291"/>
  <c r="H114" i="268"/>
  <c r="G149" i="268"/>
  <c r="H108" i="231"/>
  <c r="G143" i="231"/>
  <c r="J143" i="231" s="1"/>
  <c r="G159" i="231" s="1"/>
  <c r="J107" i="231"/>
  <c r="H109" i="251"/>
  <c r="G144" i="251"/>
  <c r="F108" i="297"/>
  <c r="E143" i="297"/>
  <c r="H112" i="231"/>
  <c r="G147" i="231"/>
  <c r="H112" i="268"/>
  <c r="G147" i="268"/>
  <c r="H115" i="288"/>
  <c r="G150" i="288"/>
  <c r="H115" i="308"/>
  <c r="G150" i="308"/>
  <c r="H115" i="274"/>
  <c r="G150" i="274"/>
  <c r="G113" i="314"/>
  <c r="F148" i="314"/>
  <c r="H115" i="251"/>
  <c r="G150" i="251"/>
  <c r="H114" i="282"/>
  <c r="G149" i="282"/>
  <c r="G152" i="252"/>
  <c r="H109" i="272"/>
  <c r="G144" i="272"/>
  <c r="I111" i="230"/>
  <c r="H146" i="230"/>
  <c r="H113" i="268"/>
  <c r="G148" i="268"/>
  <c r="H109" i="240"/>
  <c r="G144" i="240"/>
  <c r="H114" i="234"/>
  <c r="G149" i="234"/>
  <c r="G116" i="303"/>
  <c r="G152" i="303" s="1"/>
  <c r="F151" i="303"/>
  <c r="G108" i="232"/>
  <c r="F143" i="232"/>
  <c r="F152" i="297"/>
  <c r="H116" i="258"/>
  <c r="H152" i="258" s="1"/>
  <c r="G151" i="258"/>
  <c r="H115" i="243"/>
  <c r="G150" i="243"/>
  <c r="H111" i="233"/>
  <c r="G146" i="233"/>
  <c r="G110" i="314"/>
  <c r="F145" i="314"/>
  <c r="H113" i="284"/>
  <c r="G148" i="284"/>
  <c r="H108" i="314"/>
  <c r="G143" i="314"/>
  <c r="H116" i="301"/>
  <c r="H152" i="301" s="1"/>
  <c r="G151" i="301"/>
  <c r="H113" i="246"/>
  <c r="G148" i="246"/>
  <c r="H108" i="267"/>
  <c r="G143" i="267"/>
  <c r="G114" i="276"/>
  <c r="F149" i="276"/>
  <c r="H113" i="316"/>
  <c r="G148" i="316"/>
  <c r="H116" i="229"/>
  <c r="H152" i="229" s="1"/>
  <c r="G151" i="229"/>
  <c r="H114" i="240"/>
  <c r="G149" i="240"/>
  <c r="H110" i="274"/>
  <c r="G145" i="274"/>
  <c r="H111" i="260"/>
  <c r="G146" i="260"/>
  <c r="G115" i="233"/>
  <c r="F150" i="233"/>
  <c r="G107" i="283"/>
  <c r="F142" i="283"/>
  <c r="J142" i="283" s="1"/>
  <c r="F159" i="283" s="1"/>
  <c r="J106" i="283"/>
  <c r="E160" i="293"/>
  <c r="G70" i="217"/>
  <c r="G108" i="255"/>
  <c r="F143" i="255"/>
  <c r="G111" i="244"/>
  <c r="F146" i="244"/>
  <c r="H113" i="274"/>
  <c r="G148" i="274"/>
  <c r="G115" i="311"/>
  <c r="F150" i="311"/>
  <c r="G115" i="281"/>
  <c r="F150" i="281"/>
  <c r="G108" i="260"/>
  <c r="F143" i="260"/>
  <c r="J107" i="260"/>
  <c r="E160" i="257"/>
  <c r="J142" i="243"/>
  <c r="F159" i="243" s="1"/>
  <c r="F160" i="243" s="1"/>
  <c r="J106" i="298"/>
  <c r="J142" i="255"/>
  <c r="F159" i="255" s="1"/>
  <c r="F160" i="255" s="1"/>
  <c r="H114" i="272"/>
  <c r="G149" i="272"/>
  <c r="H112" i="315"/>
  <c r="G147" i="315"/>
  <c r="H112" i="301"/>
  <c r="G147" i="301"/>
  <c r="H110" i="289"/>
  <c r="G145" i="289"/>
  <c r="G109" i="286"/>
  <c r="F144" i="286"/>
  <c r="H116" i="248"/>
  <c r="G151" i="248"/>
  <c r="G113" i="244"/>
  <c r="F148" i="244"/>
  <c r="H113" i="245"/>
  <c r="G148" i="245"/>
  <c r="H108" i="312"/>
  <c r="G143" i="312"/>
  <c r="H113" i="285"/>
  <c r="G148" i="285"/>
  <c r="H115" i="261"/>
  <c r="G150" i="261"/>
  <c r="H116" i="249"/>
  <c r="H152" i="249" s="1"/>
  <c r="G151" i="249"/>
  <c r="H110" i="246"/>
  <c r="G145" i="246"/>
  <c r="H110" i="250"/>
  <c r="G145" i="250"/>
  <c r="H116" i="265"/>
  <c r="H152" i="265" s="1"/>
  <c r="G151" i="265"/>
  <c r="H116" i="261"/>
  <c r="H152" i="261" s="1"/>
  <c r="G151" i="261"/>
  <c r="H109" i="249"/>
  <c r="G144" i="249"/>
  <c r="H114" i="242"/>
  <c r="J114" i="242" s="1"/>
  <c r="G149" i="242"/>
  <c r="J149" i="242" s="1"/>
  <c r="M159" i="242" s="1"/>
  <c r="J142" i="278"/>
  <c r="F159" i="278" s="1"/>
  <c r="G114" i="265"/>
  <c r="F149" i="265"/>
  <c r="G115" i="241"/>
  <c r="F150" i="241"/>
  <c r="H115" i="309"/>
  <c r="G150" i="309"/>
  <c r="G116" i="286"/>
  <c r="F151" i="286"/>
  <c r="H111" i="283"/>
  <c r="G146" i="283"/>
  <c r="G113" i="304"/>
  <c r="F148" i="304"/>
  <c r="G107" i="240"/>
  <c r="F142" i="240"/>
  <c r="J142" i="240" s="1"/>
  <c r="F159" i="240" s="1"/>
  <c r="J106" i="240"/>
  <c r="H111" i="253"/>
  <c r="G146" i="253"/>
  <c r="G116" i="236"/>
  <c r="G152" i="236" s="1"/>
  <c r="F151" i="236"/>
  <c r="H115" i="229"/>
  <c r="G150" i="229"/>
  <c r="H111" i="232"/>
  <c r="G146" i="232"/>
  <c r="I113" i="230"/>
  <c r="H148" i="230"/>
  <c r="H114" i="229"/>
  <c r="G149" i="229"/>
  <c r="H112" i="284"/>
  <c r="G147" i="284"/>
  <c r="G112" i="288"/>
  <c r="F147" i="288"/>
  <c r="H113" i="229"/>
  <c r="G148" i="229"/>
  <c r="H109" i="283"/>
  <c r="G144" i="283"/>
  <c r="H115" i="304"/>
  <c r="G150" i="304"/>
  <c r="H114" i="253"/>
  <c r="G149" i="253"/>
  <c r="G107" i="291"/>
  <c r="F142" i="291"/>
  <c r="J142" i="291" s="1"/>
  <c r="F159" i="291" s="1"/>
  <c r="J106" i="291"/>
  <c r="J142" i="261"/>
  <c r="F159" i="261" s="1"/>
  <c r="H111" i="244"/>
  <c r="G146" i="244"/>
  <c r="G113" i="285"/>
  <c r="F148" i="285"/>
  <c r="G111" i="239"/>
  <c r="F146" i="239"/>
  <c r="F152" i="235"/>
  <c r="H111" i="308"/>
  <c r="G146" i="308"/>
  <c r="H111" i="295"/>
  <c r="G146" i="295"/>
  <c r="H114" i="245"/>
  <c r="G149" i="245"/>
  <c r="G108" i="293"/>
  <c r="F143" i="293"/>
  <c r="J107" i="293"/>
  <c r="G112" i="295"/>
  <c r="F147" i="295"/>
  <c r="H114" i="261"/>
  <c r="G149" i="261"/>
  <c r="H112" i="240"/>
  <c r="G147" i="240"/>
  <c r="H108" i="260"/>
  <c r="G143" i="260"/>
  <c r="G114" i="289"/>
  <c r="F149" i="289"/>
  <c r="G109" i="240"/>
  <c r="F144" i="240"/>
  <c r="H109" i="274"/>
  <c r="G144" i="274"/>
  <c r="H111" i="254"/>
  <c r="G146" i="254"/>
  <c r="H116" i="272"/>
  <c r="G151" i="272"/>
  <c r="H111" i="312"/>
  <c r="G146" i="312"/>
  <c r="F108" i="298"/>
  <c r="E143" i="298"/>
  <c r="H115" i="285"/>
  <c r="G150" i="285"/>
  <c r="G114" i="246"/>
  <c r="F149" i="246"/>
  <c r="G108" i="237"/>
  <c r="F143" i="237"/>
  <c r="G152" i="244"/>
  <c r="H113" i="232"/>
  <c r="G148" i="232"/>
  <c r="G110" i="261"/>
  <c r="F145" i="261"/>
  <c r="H109" i="254"/>
  <c r="G144" i="254"/>
  <c r="H109" i="245"/>
  <c r="G144" i="245"/>
  <c r="H111" i="285"/>
  <c r="G146" i="285"/>
  <c r="H111" i="309"/>
  <c r="G146" i="309"/>
  <c r="H112" i="253"/>
  <c r="G147" i="253"/>
  <c r="H53" i="217"/>
  <c r="F160" i="276"/>
  <c r="H113" i="309"/>
  <c r="G148" i="309"/>
  <c r="G114" i="253"/>
  <c r="F149" i="253"/>
  <c r="H113" i="291"/>
  <c r="G148" i="291"/>
  <c r="G107" i="257"/>
  <c r="J107" i="257" s="1"/>
  <c r="F142" i="257"/>
  <c r="J142" i="257" s="1"/>
  <c r="F159" i="257" s="1"/>
  <c r="H109" i="316"/>
  <c r="G144" i="316"/>
  <c r="H115" i="247"/>
  <c r="G150" i="247"/>
  <c r="G116" i="304"/>
  <c r="F151" i="304"/>
  <c r="G113" i="256"/>
  <c r="F148" i="256"/>
  <c r="G115" i="251"/>
  <c r="F150" i="251"/>
  <c r="G115" i="268"/>
  <c r="F150" i="268"/>
  <c r="H112" i="286"/>
  <c r="G147" i="286"/>
  <c r="H110" i="234"/>
  <c r="G145" i="234"/>
  <c r="F152" i="278"/>
  <c r="F152" i="246"/>
  <c r="H115" i="312"/>
  <c r="G150" i="312"/>
  <c r="G112" i="278"/>
  <c r="F147" i="278"/>
  <c r="G115" i="243"/>
  <c r="F150" i="243"/>
  <c r="H111" i="288"/>
  <c r="G146" i="288"/>
  <c r="H112" i="289"/>
  <c r="G147" i="289"/>
  <c r="H110" i="239"/>
  <c r="G145" i="239"/>
  <c r="I114" i="230"/>
  <c r="I150" i="230" s="1"/>
  <c r="H149" i="230"/>
  <c r="H116" i="262"/>
  <c r="G151" i="262"/>
  <c r="H112" i="288"/>
  <c r="G147" i="288"/>
  <c r="H113" i="311"/>
  <c r="G148" i="311"/>
  <c r="G115" i="291"/>
  <c r="F150" i="291"/>
  <c r="H110" i="265"/>
  <c r="G145" i="265"/>
  <c r="G152" i="241"/>
  <c r="G115" i="259"/>
  <c r="F150" i="259"/>
  <c r="G113" i="279"/>
  <c r="F148" i="279"/>
  <c r="G108" i="261"/>
  <c r="F143" i="261"/>
  <c r="J107" i="261"/>
  <c r="H115" i="293"/>
  <c r="G150" i="293"/>
  <c r="H110" i="283"/>
  <c r="G145" i="283"/>
  <c r="G116" i="312"/>
  <c r="F151" i="312"/>
  <c r="H115" i="259"/>
  <c r="G150" i="259"/>
  <c r="H114" i="262"/>
  <c r="G149" i="262"/>
  <c r="H111" i="255"/>
  <c r="G146" i="255"/>
  <c r="H115" i="279"/>
  <c r="G150" i="279"/>
  <c r="H109" i="259"/>
  <c r="G144" i="259"/>
  <c r="G114" i="316"/>
  <c r="F149" i="316"/>
  <c r="F152" i="276"/>
  <c r="H111" i="229"/>
  <c r="G146" i="229"/>
  <c r="G116" i="282"/>
  <c r="F151" i="282"/>
  <c r="H112" i="266"/>
  <c r="G147" i="266"/>
  <c r="H115" i="242"/>
  <c r="G150" i="242"/>
  <c r="G108" i="236"/>
  <c r="F143" i="236"/>
  <c r="H114" i="297"/>
  <c r="G149" i="297"/>
  <c r="H109" i="268"/>
  <c r="G144" i="268"/>
  <c r="G111" i="234"/>
  <c r="F146" i="234"/>
  <c r="G113" i="231"/>
  <c r="F148" i="231"/>
  <c r="H114" i="281"/>
  <c r="G149" i="281"/>
  <c r="J142" i="284"/>
  <c r="F159" i="284" s="1"/>
  <c r="F160" i="284" s="1"/>
  <c r="H115" i="295"/>
  <c r="G150" i="295"/>
  <c r="H110" i="288"/>
  <c r="G145" i="288"/>
  <c r="G45" i="217"/>
  <c r="E160" i="268"/>
  <c r="H108" i="265"/>
  <c r="G143" i="265"/>
  <c r="J143" i="265" s="1"/>
  <c r="G159" i="265" s="1"/>
  <c r="H113" i="283"/>
  <c r="G148" i="283"/>
  <c r="G116" i="240"/>
  <c r="F151" i="240"/>
  <c r="G111" i="255"/>
  <c r="F146" i="255"/>
  <c r="H116" i="284"/>
  <c r="G151" i="284"/>
  <c r="G109" i="232"/>
  <c r="F144" i="232"/>
  <c r="H109" i="262"/>
  <c r="G144" i="262"/>
  <c r="H110" i="282"/>
  <c r="G145" i="282"/>
  <c r="H114" i="295"/>
  <c r="G149" i="295"/>
  <c r="H111" i="241"/>
  <c r="G146" i="241"/>
  <c r="G114" i="257"/>
  <c r="F149" i="257"/>
  <c r="G113" i="243"/>
  <c r="F148" i="243"/>
  <c r="G109" i="243"/>
  <c r="F144" i="243"/>
  <c r="H109" i="234"/>
  <c r="G144" i="234"/>
  <c r="G113" i="289"/>
  <c r="F148" i="289"/>
  <c r="G110" i="286"/>
  <c r="F145" i="286"/>
  <c r="G115" i="297"/>
  <c r="F150" i="297"/>
  <c r="H114" i="309"/>
  <c r="G149" i="309"/>
  <c r="H115" i="231"/>
  <c r="G150" i="231"/>
  <c r="H110" i="261"/>
  <c r="G145" i="261"/>
  <c r="H113" i="282"/>
  <c r="G148" i="282"/>
  <c r="H116" i="289"/>
  <c r="H152" i="289" s="1"/>
  <c r="G151" i="289"/>
  <c r="G115" i="244"/>
  <c r="F150" i="244"/>
  <c r="H116" i="288"/>
  <c r="G151" i="288"/>
  <c r="G111" i="311"/>
  <c r="F146" i="311"/>
  <c r="H115" i="278"/>
  <c r="G150" i="278"/>
  <c r="G107" i="234"/>
  <c r="J107" i="234" s="1"/>
  <c r="F142" i="234"/>
  <c r="J142" i="234" s="1"/>
  <c r="F159" i="234" s="1"/>
  <c r="H111" i="274"/>
  <c r="G146" i="274"/>
  <c r="H111" i="301"/>
  <c r="G146" i="301"/>
  <c r="G114" i="283"/>
  <c r="F149" i="283"/>
  <c r="H109" i="284"/>
  <c r="G144" i="284"/>
  <c r="H113" i="261"/>
  <c r="G148" i="261"/>
  <c r="H114" i="316"/>
  <c r="G149" i="316"/>
  <c r="G114" i="311"/>
  <c r="F149" i="311"/>
  <c r="H112" i="232"/>
  <c r="G147" i="232"/>
  <c r="G108" i="278"/>
  <c r="F143" i="278"/>
  <c r="J107" i="278"/>
  <c r="H116" i="257"/>
  <c r="G151" i="257"/>
  <c r="H115" i="254"/>
  <c r="G150" i="254"/>
  <c r="J107" i="265"/>
  <c r="G152" i="309"/>
  <c r="G55" i="217"/>
  <c r="E160" i="278"/>
  <c r="H111" i="272"/>
  <c r="G146" i="272"/>
  <c r="H115" i="249"/>
  <c r="G150" i="249"/>
  <c r="G107" i="268"/>
  <c r="F142" i="268"/>
  <c r="J142" i="268" s="1"/>
  <c r="F159" i="268" s="1"/>
  <c r="J106" i="268"/>
  <c r="H114" i="246"/>
  <c r="G149" i="246"/>
  <c r="G108" i="312"/>
  <c r="F143" i="312"/>
  <c r="J107" i="312"/>
  <c r="F152" i="254"/>
  <c r="H116" i="312"/>
  <c r="H152" i="312" s="1"/>
  <c r="G151" i="312"/>
  <c r="H115" i="233"/>
  <c r="G150" i="233"/>
  <c r="G37" i="217"/>
  <c r="E160" i="260"/>
  <c r="G111" i="281"/>
  <c r="F146" i="281"/>
  <c r="J110" i="281"/>
  <c r="H113" i="239"/>
  <c r="G148" i="239"/>
  <c r="H109" i="250"/>
  <c r="G144" i="250"/>
  <c r="G108" i="267"/>
  <c r="F143" i="267"/>
  <c r="J107" i="267"/>
  <c r="H114" i="293"/>
  <c r="G149" i="293"/>
  <c r="G107" i="266"/>
  <c r="F142" i="266"/>
  <c r="J142" i="266" s="1"/>
  <c r="F159" i="266" s="1"/>
  <c r="J106" i="266"/>
  <c r="G111" i="283"/>
  <c r="F146" i="283"/>
  <c r="G111" i="245"/>
  <c r="F146" i="245"/>
  <c r="G115" i="232"/>
  <c r="F150" i="232"/>
  <c r="G111" i="304"/>
  <c r="F146" i="304"/>
  <c r="H110" i="229"/>
  <c r="G145" i="229"/>
  <c r="H114" i="257"/>
  <c r="G149" i="257"/>
  <c r="G109" i="254"/>
  <c r="F144" i="254"/>
  <c r="G111" i="279"/>
  <c r="F146" i="279"/>
  <c r="H113" i="254"/>
  <c r="G148" i="254"/>
  <c r="G114" i="282"/>
  <c r="F149" i="282"/>
  <c r="H111" i="281"/>
  <c r="G146" i="281"/>
  <c r="H113" i="314"/>
  <c r="G148" i="314"/>
  <c r="G113" i="278"/>
  <c r="F148" i="278"/>
  <c r="H110" i="235"/>
  <c r="G145" i="235"/>
  <c r="H110" i="245"/>
  <c r="G145" i="245"/>
  <c r="G114" i="248"/>
  <c r="F149" i="248"/>
  <c r="H110" i="316"/>
  <c r="G145" i="316"/>
  <c r="H109" i="265"/>
  <c r="G144" i="265"/>
  <c r="H116" i="247"/>
  <c r="H152" i="247" s="1"/>
  <c r="G151" i="247"/>
  <c r="H111" i="293"/>
  <c r="G146" i="293"/>
  <c r="H114" i="255"/>
  <c r="G149" i="255"/>
  <c r="G68" i="217"/>
  <c r="E160" i="291"/>
  <c r="G115" i="308"/>
  <c r="F150" i="308"/>
  <c r="G114" i="239"/>
  <c r="F149" i="239"/>
  <c r="H111" i="282"/>
  <c r="G146" i="282"/>
  <c r="G108" i="239"/>
  <c r="F143" i="239"/>
  <c r="G116" i="232"/>
  <c r="F151" i="232"/>
  <c r="H111" i="305"/>
  <c r="G146" i="305"/>
  <c r="H114" i="258"/>
  <c r="J114" i="258" s="1"/>
  <c r="G149" i="258"/>
  <c r="H116" i="309"/>
  <c r="H152" i="309" s="1"/>
  <c r="G151" i="309"/>
  <c r="H113" i="234"/>
  <c r="G148" i="234"/>
  <c r="H108" i="282"/>
  <c r="G143" i="282"/>
  <c r="G115" i="239"/>
  <c r="F150" i="239"/>
  <c r="H116" i="269"/>
  <c r="H152" i="269" s="1"/>
  <c r="G151" i="269"/>
  <c r="H115" i="235"/>
  <c r="G150" i="235"/>
  <c r="G115" i="315"/>
  <c r="F150" i="315"/>
  <c r="E160" i="309"/>
  <c r="G86" i="217"/>
  <c r="F152" i="260"/>
  <c r="H113" i="315"/>
  <c r="G148" i="315"/>
  <c r="H108" i="285"/>
  <c r="G143" i="285"/>
  <c r="H110" i="315"/>
  <c r="G145" i="315"/>
  <c r="J107" i="244"/>
  <c r="H113" i="281"/>
  <c r="G148" i="281"/>
  <c r="H111" i="231"/>
  <c r="G146" i="231"/>
  <c r="H110" i="278"/>
  <c r="G145" i="278"/>
  <c r="G113" i="312"/>
  <c r="F148" i="312"/>
  <c r="G108" i="279"/>
  <c r="F143" i="279"/>
  <c r="H113" i="240"/>
  <c r="G148" i="240"/>
  <c r="H108" i="293"/>
  <c r="G143" i="293"/>
  <c r="F152" i="281"/>
  <c r="H109" i="229"/>
  <c r="G144" i="229"/>
  <c r="G114" i="252"/>
  <c r="F149" i="252"/>
  <c r="H116" i="274"/>
  <c r="G151" i="274"/>
  <c r="G111" i="316"/>
  <c r="F146" i="316"/>
  <c r="G111" i="235"/>
  <c r="F146" i="235"/>
  <c r="H112" i="236"/>
  <c r="G147" i="236"/>
  <c r="G111" i="285"/>
  <c r="F146" i="285"/>
  <c r="G108" i="243"/>
  <c r="F143" i="243"/>
  <c r="H114" i="286"/>
  <c r="G149" i="286"/>
  <c r="H114" i="254"/>
  <c r="G149" i="254"/>
  <c r="H112" i="229"/>
  <c r="G147" i="229"/>
  <c r="H111" i="278"/>
  <c r="G146" i="278"/>
  <c r="H115" i="268"/>
  <c r="G150" i="268"/>
  <c r="G152" i="239"/>
  <c r="H110" i="253"/>
  <c r="G145" i="253"/>
  <c r="H116" i="234"/>
  <c r="G151" i="234"/>
  <c r="H114" i="237"/>
  <c r="G149" i="237"/>
  <c r="H115" i="237"/>
  <c r="G150" i="237"/>
  <c r="H112" i="237"/>
  <c r="G147" i="237"/>
  <c r="G152" i="237"/>
  <c r="H113" i="263"/>
  <c r="G148" i="263"/>
  <c r="H111" i="263"/>
  <c r="G146" i="263"/>
  <c r="H111" i="315"/>
  <c r="G146" i="315"/>
  <c r="H109" i="315"/>
  <c r="G144" i="315"/>
  <c r="F107" i="296"/>
  <c r="E142" i="296"/>
  <c r="F107" i="301"/>
  <c r="E142" i="301"/>
  <c r="H116" i="307"/>
  <c r="G151" i="307"/>
  <c r="H115" i="250"/>
  <c r="G150" i="250"/>
  <c r="H114" i="299"/>
  <c r="G149" i="299"/>
  <c r="H116" i="250"/>
  <c r="G151" i="250"/>
  <c r="H114" i="313"/>
  <c r="G149" i="313"/>
  <c r="H114" i="301"/>
  <c r="G149" i="301"/>
  <c r="G152" i="299"/>
  <c r="H109" i="257"/>
  <c r="G144" i="257"/>
  <c r="H115" i="313"/>
  <c r="G150" i="313"/>
  <c r="H110" i="251"/>
  <c r="G145" i="251"/>
  <c r="H112" i="305"/>
  <c r="G147" i="305"/>
  <c r="H111" i="296"/>
  <c r="G146" i="296"/>
  <c r="H113" i="251"/>
  <c r="G148" i="251"/>
  <c r="H110" i="248"/>
  <c r="G145" i="248"/>
  <c r="H113" i="305"/>
  <c r="G148" i="305"/>
  <c r="H108" i="255"/>
  <c r="G143" i="255"/>
  <c r="J107" i="255"/>
  <c r="H115" i="307"/>
  <c r="G150" i="307"/>
  <c r="H111" i="239"/>
  <c r="G146" i="239"/>
  <c r="H115" i="305"/>
  <c r="G150" i="305"/>
  <c r="F107" i="299"/>
  <c r="E142" i="299"/>
  <c r="H114" i="305"/>
  <c r="G149" i="305"/>
  <c r="H115" i="299"/>
  <c r="G150" i="299"/>
  <c r="H114" i="251"/>
  <c r="G149" i="251"/>
  <c r="H116" i="242"/>
  <c r="H152" i="242" s="1"/>
  <c r="G151" i="242"/>
  <c r="H111" i="240"/>
  <c r="G146" i="240"/>
  <c r="F108" i="307"/>
  <c r="E143" i="307"/>
  <c r="H113" i="301"/>
  <c r="H111" i="313"/>
  <c r="G146" i="313"/>
  <c r="J146" i="313" s="1"/>
  <c r="J159" i="313" s="1"/>
  <c r="J110" i="313"/>
  <c r="H115" i="301"/>
  <c r="G150" i="301"/>
  <c r="G152" i="302"/>
  <c r="F106" i="307"/>
  <c r="E141" i="307"/>
  <c r="H114" i="300"/>
  <c r="G149" i="300"/>
  <c r="H114" i="298"/>
  <c r="G149" i="298"/>
  <c r="F106" i="296"/>
  <c r="J105" i="296"/>
  <c r="E141" i="296"/>
  <c r="H115" i="298"/>
  <c r="G150" i="298"/>
  <c r="H115" i="300"/>
  <c r="G150" i="300"/>
  <c r="H115" i="302"/>
  <c r="G150" i="302"/>
  <c r="H116" i="300"/>
  <c r="H152" i="300" s="1"/>
  <c r="G151" i="300"/>
  <c r="H116" i="298"/>
  <c r="G151" i="298"/>
  <c r="G152" i="300"/>
  <c r="H113" i="300"/>
  <c r="J113" i="300" s="1"/>
  <c r="G148" i="300"/>
  <c r="H116" i="302"/>
  <c r="H152" i="302" s="1"/>
  <c r="G151" i="302"/>
  <c r="D142" i="303"/>
  <c r="H146" i="303"/>
  <c r="G145" i="303"/>
  <c r="F103" i="217"/>
  <c r="M71" i="217"/>
  <c r="G67" i="217"/>
  <c r="M39" i="217"/>
  <c r="G18" i="217"/>
  <c r="E160" i="256"/>
  <c r="H48" i="217"/>
  <c r="G149" i="270"/>
  <c r="E143" i="270"/>
  <c r="G149" i="263"/>
  <c r="J112" i="270"/>
  <c r="G147" i="270"/>
  <c r="G151" i="270"/>
  <c r="E143" i="263"/>
  <c r="G150" i="263"/>
  <c r="H152" i="263"/>
  <c r="G151" i="263"/>
  <c r="G150" i="270"/>
  <c r="G148" i="270"/>
  <c r="F160" i="271"/>
  <c r="G151" i="287"/>
  <c r="G147" i="310"/>
  <c r="J147" i="310" s="1"/>
  <c r="K159" i="310" s="1"/>
  <c r="G150" i="310"/>
  <c r="G145" i="264"/>
  <c r="G149" i="267"/>
  <c r="J114" i="267"/>
  <c r="G148" i="310"/>
  <c r="G150" i="275"/>
  <c r="G152" i="275"/>
  <c r="H152" i="313"/>
  <c r="G151" i="313"/>
  <c r="G145" i="275"/>
  <c r="G149" i="310"/>
  <c r="H152" i="275"/>
  <c r="G151" i="275"/>
  <c r="J108" i="271"/>
  <c r="G143" i="271"/>
  <c r="J143" i="271" s="1"/>
  <c r="G159" i="271" s="1"/>
  <c r="G151" i="310"/>
  <c r="H152" i="310"/>
  <c r="G147" i="275"/>
  <c r="F160" i="310"/>
  <c r="H87" i="217"/>
  <c r="G148" i="275"/>
  <c r="J111" i="310"/>
  <c r="G150" i="287"/>
  <c r="G149" i="275"/>
  <c r="G143" i="275"/>
  <c r="J143" i="275" s="1"/>
  <c r="G159" i="275" s="1"/>
  <c r="J107" i="275"/>
  <c r="G149" i="287"/>
  <c r="G145" i="314"/>
  <c r="G152" i="310"/>
  <c r="G144" i="275"/>
  <c r="H52" i="217"/>
  <c r="F160" i="275"/>
  <c r="G143" i="310"/>
  <c r="J143" i="310" s="1"/>
  <c r="G159" i="310" s="1"/>
  <c r="G146" i="275"/>
  <c r="G150" i="314"/>
  <c r="G144" i="310"/>
  <c r="G151" i="314"/>
  <c r="J148" i="290"/>
  <c r="L159" i="290" s="1"/>
  <c r="G150" i="290"/>
  <c r="G149" i="269"/>
  <c r="J149" i="269" s="1"/>
  <c r="M159" i="269" s="1"/>
  <c r="J114" i="269"/>
  <c r="G149" i="290"/>
  <c r="J149" i="290" s="1"/>
  <c r="M159" i="290" s="1"/>
  <c r="G151" i="290"/>
  <c r="G149" i="266"/>
  <c r="G149" i="248"/>
  <c r="G151" i="305"/>
  <c r="G150" i="266"/>
  <c r="J114" i="306"/>
  <c r="G149" i="306"/>
  <c r="G150" i="269"/>
  <c r="G151" i="267"/>
  <c r="G150" i="267"/>
  <c r="G150" i="306"/>
  <c r="G151" i="306"/>
  <c r="K160" i="294"/>
  <c r="J113" i="269"/>
  <c r="K160" i="262"/>
  <c r="J113" i="292"/>
  <c r="J113" i="257"/>
  <c r="J149" i="294"/>
  <c r="M159" i="294" s="1"/>
  <c r="J149" i="296"/>
  <c r="M159" i="296" s="1"/>
  <c r="G150" i="245"/>
  <c r="G149" i="264"/>
  <c r="F149" i="303"/>
  <c r="G150" i="264"/>
  <c r="G150" i="296"/>
  <c r="G150" i="294"/>
  <c r="I150" i="307"/>
  <c r="I150" i="258"/>
  <c r="I150" i="262"/>
  <c r="I150" i="306"/>
  <c r="H152" i="266"/>
  <c r="I150" i="293"/>
  <c r="I150" i="242"/>
  <c r="I150" i="256"/>
  <c r="J148" i="257"/>
  <c r="L159" i="257" s="1"/>
  <c r="I150" i="297"/>
  <c r="J113" i="277"/>
  <c r="G148" i="277"/>
  <c r="J148" i="277" s="1"/>
  <c r="L159" i="277" s="1"/>
  <c r="G150" i="292"/>
  <c r="G150" i="277"/>
  <c r="I150" i="292"/>
  <c r="H149" i="292"/>
  <c r="G149" i="271"/>
  <c r="G149" i="292"/>
  <c r="G150" i="271"/>
  <c r="G149" i="236"/>
  <c r="J113" i="293"/>
  <c r="J113" i="242"/>
  <c r="I150" i="287"/>
  <c r="G150" i="236"/>
  <c r="I150" i="280"/>
  <c r="I150" i="302"/>
  <c r="I150" i="257"/>
  <c r="I150" i="267"/>
  <c r="I150" i="289"/>
  <c r="I150" i="269"/>
  <c r="I150" i="252"/>
  <c r="H150" i="296"/>
  <c r="J113" i="296"/>
  <c r="G151" i="303"/>
  <c r="H150" i="277"/>
  <c r="J112" i="277"/>
  <c r="H150" i="250"/>
  <c r="J113" i="290"/>
  <c r="H150" i="294"/>
  <c r="J113" i="294"/>
  <c r="G149" i="303"/>
  <c r="G146" i="264"/>
  <c r="G147" i="251"/>
  <c r="K160" i="290"/>
  <c r="M67" i="217"/>
  <c r="E160" i="241"/>
  <c r="J142" i="241"/>
  <c r="F159" i="241" s="1"/>
  <c r="E40" i="217"/>
  <c r="C160" i="263"/>
  <c r="G33" i="217"/>
  <c r="I144" i="263"/>
  <c r="H143" i="263"/>
  <c r="I144" i="307"/>
  <c r="H143" i="307"/>
  <c r="H143" i="314"/>
  <c r="J107" i="314"/>
  <c r="H143" i="284"/>
  <c r="H143" i="250"/>
  <c r="H143" i="288"/>
  <c r="I144" i="256"/>
  <c r="H143" i="256"/>
  <c r="J142" i="256"/>
  <c r="F159" i="256" s="1"/>
  <c r="H143" i="315"/>
  <c r="H143" i="234"/>
  <c r="H143" i="254"/>
  <c r="H143" i="237"/>
  <c r="H143" i="257"/>
  <c r="I144" i="298"/>
  <c r="H143" i="298"/>
  <c r="E160" i="290"/>
  <c r="J142" i="290"/>
  <c r="F159" i="290" s="1"/>
  <c r="E143" i="303"/>
  <c r="F144" i="303"/>
  <c r="H143" i="290"/>
  <c r="I144" i="290"/>
  <c r="I144" i="303"/>
  <c r="H143" i="303"/>
  <c r="J107" i="290"/>
  <c r="F160" i="252"/>
  <c r="H29" i="217"/>
  <c r="G143" i="247"/>
  <c r="J143" i="247" s="1"/>
  <c r="G159" i="247" s="1"/>
  <c r="J107" i="247"/>
  <c r="G144" i="289"/>
  <c r="H24" i="217"/>
  <c r="F160" i="247"/>
  <c r="G143" i="252"/>
  <c r="J143" i="252" s="1"/>
  <c r="G159" i="252" s="1"/>
  <c r="H144" i="252"/>
  <c r="J144" i="252" s="1"/>
  <c r="H159" i="252" s="1"/>
  <c r="F143" i="270"/>
  <c r="H144" i="298"/>
  <c r="G143" i="298"/>
  <c r="F142" i="263"/>
  <c r="F160" i="280"/>
  <c r="H57" i="217"/>
  <c r="F160" i="269"/>
  <c r="H46" i="217"/>
  <c r="F160" i="294"/>
  <c r="H71" i="217"/>
  <c r="F160" i="281"/>
  <c r="H58" i="217"/>
  <c r="G143" i="262"/>
  <c r="J143" i="262" s="1"/>
  <c r="G159" i="262" s="1"/>
  <c r="J107" i="262"/>
  <c r="G143" i="292"/>
  <c r="J143" i="292" s="1"/>
  <c r="G159" i="292" s="1"/>
  <c r="J107" i="292"/>
  <c r="H144" i="277"/>
  <c r="G143" i="277"/>
  <c r="J143" i="277" s="1"/>
  <c r="G159" i="277" s="1"/>
  <c r="F160" i="258"/>
  <c r="H35" i="217"/>
  <c r="G144" i="269"/>
  <c r="F160" i="292"/>
  <c r="H69" i="217"/>
  <c r="G144" i="287"/>
  <c r="G144" i="277"/>
  <c r="G143" i="280"/>
  <c r="J143" i="280" s="1"/>
  <c r="G159" i="280" s="1"/>
  <c r="H144" i="280"/>
  <c r="J144" i="280" s="1"/>
  <c r="H159" i="280" s="1"/>
  <c r="G143" i="258"/>
  <c r="J143" i="258" s="1"/>
  <c r="G159" i="258" s="1"/>
  <c r="J107" i="258"/>
  <c r="G143" i="269"/>
  <c r="J143" i="269" s="1"/>
  <c r="G159" i="269" s="1"/>
  <c r="H144" i="269"/>
  <c r="J107" i="269"/>
  <c r="G143" i="281"/>
  <c r="J143" i="281" s="1"/>
  <c r="G159" i="281" s="1"/>
  <c r="H144" i="281"/>
  <c r="J144" i="281" s="1"/>
  <c r="H159" i="281" s="1"/>
  <c r="G143" i="294"/>
  <c r="J143" i="294" s="1"/>
  <c r="G159" i="294" s="1"/>
  <c r="J107" i="294"/>
  <c r="G143" i="290"/>
  <c r="H144" i="290"/>
  <c r="G143" i="248"/>
  <c r="J143" i="248" s="1"/>
  <c r="G159" i="248" s="1"/>
  <c r="J107" i="248"/>
  <c r="G143" i="256"/>
  <c r="G143" i="243"/>
  <c r="J107" i="243"/>
  <c r="G143" i="249"/>
  <c r="J107" i="249"/>
  <c r="G144" i="246"/>
  <c r="G143" i="241"/>
  <c r="G116" i="291" l="1"/>
  <c r="G152" i="291" s="1"/>
  <c r="G151" i="295"/>
  <c r="G147" i="314"/>
  <c r="F151" i="311"/>
  <c r="J105" i="305"/>
  <c r="E141" i="305"/>
  <c r="J141" i="305" s="1"/>
  <c r="E159" i="305" s="1"/>
  <c r="G82" i="217" s="1"/>
  <c r="F146" i="314"/>
  <c r="G149" i="302"/>
  <c r="G109" i="295"/>
  <c r="H110" i="295" s="1"/>
  <c r="H109" i="314"/>
  <c r="I110" i="314" s="1"/>
  <c r="I146" i="314" s="1"/>
  <c r="E107" i="301"/>
  <c r="F108" i="301" s="1"/>
  <c r="G109" i="301" s="1"/>
  <c r="F145" i="311"/>
  <c r="G149" i="311"/>
  <c r="J107" i="279"/>
  <c r="G143" i="279"/>
  <c r="J143" i="279" s="1"/>
  <c r="G159" i="279" s="1"/>
  <c r="I56" i="217" s="1"/>
  <c r="G147" i="267"/>
  <c r="J106" i="279"/>
  <c r="H114" i="307"/>
  <c r="J114" i="307" s="1"/>
  <c r="F150" i="295"/>
  <c r="G149" i="307"/>
  <c r="J149" i="307" s="1"/>
  <c r="M159" i="307" s="1"/>
  <c r="E107" i="299"/>
  <c r="E143" i="299" s="1"/>
  <c r="J141" i="296"/>
  <c r="E159" i="296" s="1"/>
  <c r="G73" i="217" s="1"/>
  <c r="F142" i="279"/>
  <c r="J142" i="279" s="1"/>
  <c r="F159" i="279" s="1"/>
  <c r="F160" i="279" s="1"/>
  <c r="E160" i="279"/>
  <c r="E142" i="304"/>
  <c r="G148" i="308"/>
  <c r="G149" i="308"/>
  <c r="H116" i="280"/>
  <c r="H152" i="280" s="1"/>
  <c r="G115" i="304"/>
  <c r="H116" i="304" s="1"/>
  <c r="H152" i="304" s="1"/>
  <c r="G151" i="235"/>
  <c r="F145" i="316"/>
  <c r="G151" i="299"/>
  <c r="F147" i="312"/>
  <c r="G91" i="217"/>
  <c r="E106" i="297"/>
  <c r="E142" i="297" s="1"/>
  <c r="G107" i="316"/>
  <c r="J107" i="316" s="1"/>
  <c r="G146" i="316"/>
  <c r="E160" i="316"/>
  <c r="G148" i="312"/>
  <c r="J106" i="316"/>
  <c r="H112" i="295"/>
  <c r="I113" i="295" s="1"/>
  <c r="I149" i="295" s="1"/>
  <c r="H116" i="252"/>
  <c r="H152" i="252" s="1"/>
  <c r="G143" i="259"/>
  <c r="J143" i="259" s="1"/>
  <c r="G159" i="259" s="1"/>
  <c r="G160" i="259" s="1"/>
  <c r="H109" i="276"/>
  <c r="I110" i="276" s="1"/>
  <c r="I146" i="276" s="1"/>
  <c r="J107" i="259"/>
  <c r="H112" i="309"/>
  <c r="H148" i="309" s="1"/>
  <c r="E160" i="289"/>
  <c r="H108" i="229"/>
  <c r="J108" i="229" s="1"/>
  <c r="F142" i="236"/>
  <c r="J142" i="236" s="1"/>
  <c r="F159" i="236" s="1"/>
  <c r="F160" i="236" s="1"/>
  <c r="E141" i="300"/>
  <c r="J141" i="300" s="1"/>
  <c r="E159" i="300" s="1"/>
  <c r="E160" i="300" s="1"/>
  <c r="G113" i="291"/>
  <c r="G149" i="291" s="1"/>
  <c r="G143" i="300"/>
  <c r="L160" i="294"/>
  <c r="F151" i="280"/>
  <c r="J108" i="276"/>
  <c r="E77" i="217"/>
  <c r="J160" i="280"/>
  <c r="D160" i="305"/>
  <c r="G143" i="289"/>
  <c r="J143" i="289" s="1"/>
  <c r="G159" i="289" s="1"/>
  <c r="I66" i="217" s="1"/>
  <c r="M69" i="217"/>
  <c r="F107" i="305"/>
  <c r="F143" i="305" s="1"/>
  <c r="G144" i="291"/>
  <c r="F143" i="291"/>
  <c r="J107" i="229"/>
  <c r="D140" i="300"/>
  <c r="J140" i="300" s="1"/>
  <c r="D159" i="300" s="1"/>
  <c r="F77" i="217" s="1"/>
  <c r="J106" i="289"/>
  <c r="D141" i="304"/>
  <c r="J142" i="311"/>
  <c r="F159" i="311" s="1"/>
  <c r="F160" i="311" s="1"/>
  <c r="F146" i="309"/>
  <c r="F106" i="299"/>
  <c r="F142" i="299" s="1"/>
  <c r="J142" i="299" s="1"/>
  <c r="F159" i="299" s="1"/>
  <c r="H113" i="244"/>
  <c r="H149" i="244" s="1"/>
  <c r="H113" i="304"/>
  <c r="H149" i="304" s="1"/>
  <c r="G107" i="309"/>
  <c r="G143" i="309" s="1"/>
  <c r="J143" i="309" s="1"/>
  <c r="G159" i="309" s="1"/>
  <c r="G113" i="249"/>
  <c r="H114" i="249" s="1"/>
  <c r="H150" i="249" s="1"/>
  <c r="E106" i="300"/>
  <c r="E142" i="300" s="1"/>
  <c r="J149" i="293"/>
  <c r="M159" i="293" s="1"/>
  <c r="O70" i="217" s="1"/>
  <c r="G145" i="244"/>
  <c r="D142" i="302"/>
  <c r="G115" i="276"/>
  <c r="G151" i="276" s="1"/>
  <c r="G113" i="315"/>
  <c r="G149" i="315" s="1"/>
  <c r="J106" i="309"/>
  <c r="D140" i="304"/>
  <c r="J140" i="304" s="1"/>
  <c r="D159" i="304" s="1"/>
  <c r="D160" i="304" s="1"/>
  <c r="E74" i="217"/>
  <c r="E107" i="308"/>
  <c r="F108" i="308" s="1"/>
  <c r="F144" i="308" s="1"/>
  <c r="G109" i="291"/>
  <c r="H110" i="291" s="1"/>
  <c r="I111" i="291" s="1"/>
  <c r="I147" i="291" s="1"/>
  <c r="G147" i="308"/>
  <c r="H116" i="285"/>
  <c r="H152" i="285" s="1"/>
  <c r="D160" i="298"/>
  <c r="C160" i="302"/>
  <c r="E106" i="308"/>
  <c r="F107" i="308" s="1"/>
  <c r="G108" i="308" s="1"/>
  <c r="F142" i="300"/>
  <c r="J104" i="300"/>
  <c r="F150" i="252"/>
  <c r="F142" i="289"/>
  <c r="J142" i="289" s="1"/>
  <c r="F159" i="289" s="1"/>
  <c r="H66" i="217" s="1"/>
  <c r="E160" i="276"/>
  <c r="H144" i="300"/>
  <c r="H108" i="289"/>
  <c r="J108" i="289" s="1"/>
  <c r="G150" i="286"/>
  <c r="H114" i="232"/>
  <c r="I115" i="232" s="1"/>
  <c r="I151" i="232" s="1"/>
  <c r="E85" i="217"/>
  <c r="E107" i="304"/>
  <c r="F108" i="304" s="1"/>
  <c r="G109" i="304" s="1"/>
  <c r="E105" i="304"/>
  <c r="J105" i="304" s="1"/>
  <c r="F142" i="242"/>
  <c r="J142" i="242" s="1"/>
  <c r="F159" i="242" s="1"/>
  <c r="F160" i="242" s="1"/>
  <c r="D160" i="296"/>
  <c r="F73" i="217"/>
  <c r="E160" i="295"/>
  <c r="F146" i="308"/>
  <c r="E160" i="312"/>
  <c r="J105" i="299"/>
  <c r="H111" i="304"/>
  <c r="I112" i="304" s="1"/>
  <c r="I148" i="304" s="1"/>
  <c r="F146" i="295"/>
  <c r="F147" i="304"/>
  <c r="J142" i="298"/>
  <c r="F159" i="298" s="1"/>
  <c r="F160" i="298" s="1"/>
  <c r="E107" i="306"/>
  <c r="J107" i="306" s="1"/>
  <c r="G146" i="311"/>
  <c r="C160" i="306"/>
  <c r="G115" i="254"/>
  <c r="G151" i="254" s="1"/>
  <c r="D140" i="306"/>
  <c r="J140" i="306" s="1"/>
  <c r="D159" i="306" s="1"/>
  <c r="F83" i="217" s="1"/>
  <c r="F108" i="296"/>
  <c r="G109" i="296" s="1"/>
  <c r="F76" i="217"/>
  <c r="H108" i="274"/>
  <c r="I109" i="274" s="1"/>
  <c r="I145" i="274" s="1"/>
  <c r="I113" i="302"/>
  <c r="H148" i="302"/>
  <c r="G43" i="217"/>
  <c r="E81" i="217"/>
  <c r="J141" i="307"/>
  <c r="E159" i="307" s="1"/>
  <c r="G84" i="217" s="1"/>
  <c r="G146" i="234"/>
  <c r="H93" i="217"/>
  <c r="E141" i="306"/>
  <c r="J141" i="306" s="1"/>
  <c r="E159" i="306" s="1"/>
  <c r="G83" i="217" s="1"/>
  <c r="F142" i="306"/>
  <c r="J142" i="306" s="1"/>
  <c r="F159" i="306" s="1"/>
  <c r="J140" i="307"/>
  <c r="D159" i="307" s="1"/>
  <c r="F84" i="217" s="1"/>
  <c r="J103" i="303"/>
  <c r="C139" i="303"/>
  <c r="J139" i="303" s="1"/>
  <c r="C159" i="303" s="1"/>
  <c r="E80" i="217" s="1"/>
  <c r="H109" i="231"/>
  <c r="I110" i="231" s="1"/>
  <c r="I146" i="231" s="1"/>
  <c r="F160" i="274"/>
  <c r="J104" i="306"/>
  <c r="E107" i="300"/>
  <c r="F108" i="300" s="1"/>
  <c r="F144" i="300" s="1"/>
  <c r="G107" i="242"/>
  <c r="J107" i="242" s="1"/>
  <c r="G143" i="306"/>
  <c r="J141" i="299"/>
  <c r="E159" i="299" s="1"/>
  <c r="G76" i="217" s="1"/>
  <c r="G143" i="264"/>
  <c r="F146" i="264"/>
  <c r="J105" i="306"/>
  <c r="J104" i="302"/>
  <c r="G115" i="278"/>
  <c r="F150" i="278"/>
  <c r="G115" i="293"/>
  <c r="F150" i="293"/>
  <c r="J105" i="307"/>
  <c r="G146" i="276"/>
  <c r="J106" i="306"/>
  <c r="E106" i="307"/>
  <c r="E142" i="307" s="1"/>
  <c r="E160" i="313"/>
  <c r="G90" i="217"/>
  <c r="I114" i="298"/>
  <c r="I150" i="298" s="1"/>
  <c r="H149" i="298"/>
  <c r="J149" i="298" s="1"/>
  <c r="M159" i="298" s="1"/>
  <c r="G143" i="302"/>
  <c r="J106" i="305"/>
  <c r="E143" i="305"/>
  <c r="J105" i="300"/>
  <c r="E105" i="297"/>
  <c r="J105" i="297" s="1"/>
  <c r="F142" i="302"/>
  <c r="D104" i="303"/>
  <c r="J104" i="303" s="1"/>
  <c r="D140" i="301"/>
  <c r="J140" i="301" s="1"/>
  <c r="D159" i="301" s="1"/>
  <c r="F78" i="217" s="1"/>
  <c r="H116" i="296"/>
  <c r="H152" i="296" s="1"/>
  <c r="G151" i="296"/>
  <c r="I113" i="306"/>
  <c r="J112" i="306"/>
  <c r="H148" i="306"/>
  <c r="J148" i="306" s="1"/>
  <c r="L159" i="306" s="1"/>
  <c r="L160" i="306" s="1"/>
  <c r="J148" i="300"/>
  <c r="L159" i="300" s="1"/>
  <c r="N77" i="217" s="1"/>
  <c r="G145" i="285"/>
  <c r="E141" i="302"/>
  <c r="J141" i="302" s="1"/>
  <c r="E159" i="302" s="1"/>
  <c r="G79" i="217" s="1"/>
  <c r="D140" i="297"/>
  <c r="J140" i="297" s="1"/>
  <c r="D159" i="297" s="1"/>
  <c r="D160" i="297" s="1"/>
  <c r="J105" i="302"/>
  <c r="D140" i="302"/>
  <c r="J140" i="302" s="1"/>
  <c r="D159" i="302" s="1"/>
  <c r="D160" i="302" s="1"/>
  <c r="E105" i="301"/>
  <c r="J105" i="301" s="1"/>
  <c r="G92" i="217"/>
  <c r="J106" i="302"/>
  <c r="G109" i="312"/>
  <c r="F144" i="312"/>
  <c r="G107" i="313"/>
  <c r="F142" i="313"/>
  <c r="J142" i="313" s="1"/>
  <c r="F159" i="313" s="1"/>
  <c r="F160" i="313" s="1"/>
  <c r="J106" i="313"/>
  <c r="J140" i="308"/>
  <c r="D159" i="308" s="1"/>
  <c r="F85" i="217" s="1"/>
  <c r="C140" i="303"/>
  <c r="D105" i="303"/>
  <c r="E106" i="303" s="1"/>
  <c r="F107" i="303" s="1"/>
  <c r="G108" i="303" s="1"/>
  <c r="H109" i="303" s="1"/>
  <c r="I110" i="303" s="1"/>
  <c r="I146" i="303" s="1"/>
  <c r="F110" i="303"/>
  <c r="E145" i="303"/>
  <c r="C160" i="301"/>
  <c r="E78" i="217"/>
  <c r="H112" i="297"/>
  <c r="G147" i="297"/>
  <c r="I113" i="299"/>
  <c r="H148" i="299"/>
  <c r="J148" i="299" s="1"/>
  <c r="L159" i="299" s="1"/>
  <c r="N76" i="217" s="1"/>
  <c r="J112" i="299"/>
  <c r="G109" i="309"/>
  <c r="F144" i="309"/>
  <c r="H116" i="277"/>
  <c r="H152" i="277" s="1"/>
  <c r="G151" i="277"/>
  <c r="H116" i="294"/>
  <c r="H152" i="294" s="1"/>
  <c r="G151" i="294"/>
  <c r="J112" i="300"/>
  <c r="G151" i="283"/>
  <c r="J104" i="308"/>
  <c r="F149" i="291"/>
  <c r="G114" i="291"/>
  <c r="F109" i="303"/>
  <c r="E144" i="303"/>
  <c r="I148" i="298"/>
  <c r="J148" i="298" s="1"/>
  <c r="L159" i="298" s="1"/>
  <c r="L160" i="298" s="1"/>
  <c r="J112" i="298"/>
  <c r="E105" i="308"/>
  <c r="F106" i="308" s="1"/>
  <c r="D142" i="305"/>
  <c r="I114" i="299"/>
  <c r="J114" i="299" s="1"/>
  <c r="H149" i="299"/>
  <c r="G107" i="315"/>
  <c r="F142" i="315"/>
  <c r="J142" i="315" s="1"/>
  <c r="F159" i="315" s="1"/>
  <c r="J106" i="315"/>
  <c r="I148" i="302"/>
  <c r="J112" i="302"/>
  <c r="G148" i="313"/>
  <c r="E160" i="233"/>
  <c r="E160" i="242"/>
  <c r="G146" i="243"/>
  <c r="G143" i="236"/>
  <c r="J143" i="236" s="1"/>
  <c r="G159" i="236" s="1"/>
  <c r="J107" i="236"/>
  <c r="G107" i="254"/>
  <c r="J107" i="254" s="1"/>
  <c r="H110" i="267"/>
  <c r="I111" i="267" s="1"/>
  <c r="F160" i="265"/>
  <c r="F144" i="277"/>
  <c r="J144" i="277" s="1"/>
  <c r="H159" i="277" s="1"/>
  <c r="J143" i="244"/>
  <c r="G159" i="244" s="1"/>
  <c r="G160" i="244" s="1"/>
  <c r="J113" i="252"/>
  <c r="G150" i="297"/>
  <c r="G143" i="274"/>
  <c r="J143" i="274" s="1"/>
  <c r="G159" i="274" s="1"/>
  <c r="G160" i="274" s="1"/>
  <c r="G149" i="239"/>
  <c r="G147" i="241"/>
  <c r="H114" i="252"/>
  <c r="I115" i="252" s="1"/>
  <c r="I151" i="252" s="1"/>
  <c r="H110" i="231"/>
  <c r="I111" i="231" s="1"/>
  <c r="I147" i="231" s="1"/>
  <c r="J106" i="236"/>
  <c r="G108" i="253"/>
  <c r="H109" i="253" s="1"/>
  <c r="J107" i="264"/>
  <c r="J107" i="232"/>
  <c r="J106" i="254"/>
  <c r="G54" i="217"/>
  <c r="G150" i="234"/>
  <c r="F160" i="272"/>
  <c r="H54" i="217"/>
  <c r="G146" i="236"/>
  <c r="H39" i="217"/>
  <c r="J107" i="284"/>
  <c r="G75" i="217"/>
  <c r="H108" i="284"/>
  <c r="H144" i="284" s="1"/>
  <c r="H108" i="286"/>
  <c r="I109" i="286" s="1"/>
  <c r="I145" i="286" s="1"/>
  <c r="E160" i="234"/>
  <c r="H112" i="276"/>
  <c r="H148" i="276" s="1"/>
  <c r="G148" i="272"/>
  <c r="H111" i="259"/>
  <c r="I112" i="259" s="1"/>
  <c r="I148" i="259" s="1"/>
  <c r="J114" i="297"/>
  <c r="G150" i="315"/>
  <c r="F148" i="233"/>
  <c r="F146" i="276"/>
  <c r="K160" i="242"/>
  <c r="E160" i="236"/>
  <c r="G115" i="255"/>
  <c r="H116" i="255" s="1"/>
  <c r="H152" i="255" s="1"/>
  <c r="E160" i="240"/>
  <c r="H108" i="232"/>
  <c r="H144" i="232" s="1"/>
  <c r="G145" i="233"/>
  <c r="H114" i="274"/>
  <c r="I115" i="274" s="1"/>
  <c r="I151" i="274" s="1"/>
  <c r="H8" i="217"/>
  <c r="F160" i="231"/>
  <c r="J107" i="237"/>
  <c r="G149" i="247"/>
  <c r="G149" i="233"/>
  <c r="G143" i="237"/>
  <c r="J143" i="237" s="1"/>
  <c r="G159" i="237" s="1"/>
  <c r="G160" i="237" s="1"/>
  <c r="J106" i="233"/>
  <c r="J142" i="233"/>
  <c r="F159" i="233" s="1"/>
  <c r="F160" i="233" s="1"/>
  <c r="H21" i="217"/>
  <c r="G107" i="233"/>
  <c r="J107" i="233" s="1"/>
  <c r="G143" i="295"/>
  <c r="J143" i="295" s="1"/>
  <c r="G159" i="295" s="1"/>
  <c r="I72" i="217" s="1"/>
  <c r="H72" i="217"/>
  <c r="F142" i="286"/>
  <c r="J142" i="286" s="1"/>
  <c r="F159" i="286" s="1"/>
  <c r="F160" i="286" s="1"/>
  <c r="H108" i="295"/>
  <c r="J108" i="295" s="1"/>
  <c r="G30" i="217"/>
  <c r="G143" i="276"/>
  <c r="J143" i="276" s="1"/>
  <c r="G159" i="276" s="1"/>
  <c r="G160" i="276" s="1"/>
  <c r="F148" i="276"/>
  <c r="G143" i="272"/>
  <c r="J143" i="272" s="1"/>
  <c r="G159" i="272" s="1"/>
  <c r="G160" i="272" s="1"/>
  <c r="M57" i="217"/>
  <c r="I160" i="281"/>
  <c r="J107" i="286"/>
  <c r="F160" i="248"/>
  <c r="J113" i="262"/>
  <c r="J107" i="276"/>
  <c r="F149" i="262"/>
  <c r="J149" i="262" s="1"/>
  <c r="M159" i="262" s="1"/>
  <c r="M160" i="262" s="1"/>
  <c r="L19" i="217"/>
  <c r="G63" i="217"/>
  <c r="G109" i="260"/>
  <c r="F144" i="260"/>
  <c r="G143" i="311"/>
  <c r="J143" i="311" s="1"/>
  <c r="G159" i="311" s="1"/>
  <c r="I88" i="217" s="1"/>
  <c r="J107" i="272"/>
  <c r="J106" i="286"/>
  <c r="F160" i="249"/>
  <c r="M34" i="217"/>
  <c r="I160" i="241"/>
  <c r="E160" i="254"/>
  <c r="G114" i="244"/>
  <c r="F149" i="244"/>
  <c r="G145" i="276"/>
  <c r="G62" i="217"/>
  <c r="G12" i="217"/>
  <c r="E160" i="235"/>
  <c r="I7" i="217"/>
  <c r="G160" i="230"/>
  <c r="G16" i="217"/>
  <c r="G27" i="217"/>
  <c r="J106" i="287"/>
  <c r="G107" i="287"/>
  <c r="J107" i="311"/>
  <c r="H36" i="217"/>
  <c r="C160" i="270"/>
  <c r="J160" i="256"/>
  <c r="G107" i="235"/>
  <c r="J107" i="235" s="1"/>
  <c r="J106" i="235"/>
  <c r="F142" i="235"/>
  <c r="J142" i="235" s="1"/>
  <c r="F159" i="235" s="1"/>
  <c r="F160" i="235" s="1"/>
  <c r="G110" i="246"/>
  <c r="J110" i="246" s="1"/>
  <c r="F145" i="246"/>
  <c r="E106" i="263"/>
  <c r="E142" i="263" s="1"/>
  <c r="J142" i="263" s="1"/>
  <c r="F159" i="263" s="1"/>
  <c r="H40" i="217" s="1"/>
  <c r="F142" i="287"/>
  <c r="J142" i="287" s="1"/>
  <c r="F159" i="287" s="1"/>
  <c r="F40" i="217"/>
  <c r="D160" i="263"/>
  <c r="H59" i="217"/>
  <c r="F160" i="282"/>
  <c r="F143" i="288"/>
  <c r="G108" i="288"/>
  <c r="G114" i="255"/>
  <c r="F149" i="255"/>
  <c r="J113" i="256"/>
  <c r="G64" i="217"/>
  <c r="E160" i="287"/>
  <c r="F143" i="282"/>
  <c r="J143" i="282" s="1"/>
  <c r="G159" i="282" s="1"/>
  <c r="G108" i="282"/>
  <c r="J112" i="256"/>
  <c r="J107" i="282"/>
  <c r="F144" i="255"/>
  <c r="G109" i="255"/>
  <c r="K160" i="252"/>
  <c r="J146" i="241"/>
  <c r="J159" i="241" s="1"/>
  <c r="J160" i="241" s="1"/>
  <c r="G107" i="253"/>
  <c r="F142" i="253"/>
  <c r="J142" i="253" s="1"/>
  <c r="F159" i="253" s="1"/>
  <c r="H30" i="217" s="1"/>
  <c r="J106" i="253"/>
  <c r="G115" i="279"/>
  <c r="F150" i="279"/>
  <c r="J105" i="263"/>
  <c r="I160" i="247"/>
  <c r="G114" i="256"/>
  <c r="F149" i="256"/>
  <c r="F147" i="260"/>
  <c r="G112" i="260"/>
  <c r="H111" i="284"/>
  <c r="G146" i="284"/>
  <c r="H111" i="287"/>
  <c r="G146" i="287"/>
  <c r="J146" i="287" s="1"/>
  <c r="J159" i="287" s="1"/>
  <c r="E160" i="251"/>
  <c r="G28" i="217"/>
  <c r="F146" i="261"/>
  <c r="G111" i="261"/>
  <c r="F144" i="266"/>
  <c r="G109" i="266"/>
  <c r="F151" i="284"/>
  <c r="G116" i="284"/>
  <c r="G152" i="284" s="1"/>
  <c r="G112" i="249"/>
  <c r="F147" i="249"/>
  <c r="J143" i="249"/>
  <c r="G159" i="249" s="1"/>
  <c r="G160" i="249" s="1"/>
  <c r="J110" i="287"/>
  <c r="F150" i="240"/>
  <c r="G115" i="240"/>
  <c r="G115" i="246"/>
  <c r="F150" i="246"/>
  <c r="G114" i="240"/>
  <c r="F149" i="240"/>
  <c r="G114" i="272"/>
  <c r="F149" i="272"/>
  <c r="F149" i="284"/>
  <c r="G114" i="284"/>
  <c r="G116" i="247"/>
  <c r="G152" i="247" s="1"/>
  <c r="F151" i="247"/>
  <c r="G115" i="237"/>
  <c r="F150" i="237"/>
  <c r="G116" i="262"/>
  <c r="G152" i="262" s="1"/>
  <c r="F151" i="262"/>
  <c r="G146" i="247"/>
  <c r="J146" i="247" s="1"/>
  <c r="J159" i="247" s="1"/>
  <c r="H111" i="247"/>
  <c r="F148" i="284"/>
  <c r="G113" i="284"/>
  <c r="H115" i="230"/>
  <c r="G150" i="230"/>
  <c r="G108" i="286"/>
  <c r="F143" i="286"/>
  <c r="J143" i="286" s="1"/>
  <c r="G159" i="286" s="1"/>
  <c r="H113" i="248"/>
  <c r="G148" i="248"/>
  <c r="J148" i="248" s="1"/>
  <c r="L159" i="248" s="1"/>
  <c r="L160" i="248" s="1"/>
  <c r="J112" i="248"/>
  <c r="K160" i="256"/>
  <c r="M46" i="217"/>
  <c r="J148" i="256"/>
  <c r="L159" i="256" s="1"/>
  <c r="N33" i="217" s="1"/>
  <c r="G65" i="217"/>
  <c r="G111" i="278"/>
  <c r="F146" i="278"/>
  <c r="G112" i="231"/>
  <c r="F147" i="231"/>
  <c r="G114" i="241"/>
  <c r="F149" i="241"/>
  <c r="F142" i="251"/>
  <c r="J142" i="251" s="1"/>
  <c r="F159" i="251" s="1"/>
  <c r="J106" i="251"/>
  <c r="G107" i="251"/>
  <c r="H111" i="265"/>
  <c r="G146" i="265"/>
  <c r="G109" i="237"/>
  <c r="F144" i="237"/>
  <c r="G114" i="260"/>
  <c r="F149" i="260"/>
  <c r="F160" i="264"/>
  <c r="H41" i="217"/>
  <c r="F160" i="285"/>
  <c r="H62" i="217"/>
  <c r="G116" i="268"/>
  <c r="G152" i="268" s="1"/>
  <c r="F151" i="268"/>
  <c r="G113" i="241"/>
  <c r="F148" i="241"/>
  <c r="G110" i="249"/>
  <c r="F145" i="249"/>
  <c r="F150" i="260"/>
  <c r="G115" i="260"/>
  <c r="H112" i="247"/>
  <c r="G147" i="247"/>
  <c r="F150" i="256"/>
  <c r="G115" i="256"/>
  <c r="I148" i="252"/>
  <c r="J148" i="252" s="1"/>
  <c r="L159" i="252" s="1"/>
  <c r="L160" i="252" s="1"/>
  <c r="J112" i="252"/>
  <c r="H116" i="236"/>
  <c r="H152" i="236" s="1"/>
  <c r="G151" i="236"/>
  <c r="G110" i="235"/>
  <c r="F145" i="235"/>
  <c r="G116" i="279"/>
  <c r="G152" i="279" s="1"/>
  <c r="F151" i="279"/>
  <c r="G112" i="241"/>
  <c r="F147" i="241"/>
  <c r="G113" i="283"/>
  <c r="F148" i="283"/>
  <c r="G112" i="233"/>
  <c r="F147" i="233"/>
  <c r="F142" i="246"/>
  <c r="J142" i="246" s="1"/>
  <c r="F159" i="246" s="1"/>
  <c r="J106" i="246"/>
  <c r="G107" i="246"/>
  <c r="F146" i="272"/>
  <c r="G111" i="272"/>
  <c r="J111" i="272" s="1"/>
  <c r="H111" i="230"/>
  <c r="G146" i="230"/>
  <c r="G112" i="265"/>
  <c r="F147" i="265"/>
  <c r="F144" i="249"/>
  <c r="G109" i="249"/>
  <c r="G116" i="288"/>
  <c r="G152" i="288" s="1"/>
  <c r="F151" i="288"/>
  <c r="I148" i="242"/>
  <c r="J148" i="242" s="1"/>
  <c r="L159" i="242" s="1"/>
  <c r="L160" i="242" s="1"/>
  <c r="J112" i="242"/>
  <c r="G116" i="260"/>
  <c r="G152" i="260" s="1"/>
  <c r="F151" i="260"/>
  <c r="G115" i="253"/>
  <c r="F150" i="253"/>
  <c r="G110" i="279"/>
  <c r="F145" i="279"/>
  <c r="F142" i="239"/>
  <c r="J142" i="239" s="1"/>
  <c r="F159" i="239" s="1"/>
  <c r="H16" i="217" s="1"/>
  <c r="J106" i="239"/>
  <c r="G107" i="239"/>
  <c r="F145" i="250"/>
  <c r="G110" i="250"/>
  <c r="G22" i="217"/>
  <c r="E160" i="245"/>
  <c r="G112" i="235"/>
  <c r="F147" i="235"/>
  <c r="G112" i="286"/>
  <c r="F147" i="286"/>
  <c r="F144" i="268"/>
  <c r="G109" i="268"/>
  <c r="G111" i="243"/>
  <c r="F146" i="243"/>
  <c r="G113" i="259"/>
  <c r="F148" i="259"/>
  <c r="G108" i="264"/>
  <c r="J108" i="264" s="1"/>
  <c r="F143" i="264"/>
  <c r="G112" i="276"/>
  <c r="F147" i="276"/>
  <c r="F151" i="256"/>
  <c r="G116" i="256"/>
  <c r="G152" i="256" s="1"/>
  <c r="G107" i="288"/>
  <c r="F142" i="288"/>
  <c r="J142" i="288" s="1"/>
  <c r="F159" i="288" s="1"/>
  <c r="H65" i="217" s="1"/>
  <c r="J106" i="288"/>
  <c r="G113" i="265"/>
  <c r="F148" i="265"/>
  <c r="H114" i="230"/>
  <c r="J114" i="230" s="1"/>
  <c r="G149" i="230"/>
  <c r="G107" i="250"/>
  <c r="F142" i="250"/>
  <c r="J142" i="250" s="1"/>
  <c r="F159" i="250" s="1"/>
  <c r="F160" i="250" s="1"/>
  <c r="J106" i="250"/>
  <c r="F149" i="280"/>
  <c r="G114" i="280"/>
  <c r="G111" i="282"/>
  <c r="F146" i="282"/>
  <c r="I148" i="269"/>
  <c r="J148" i="269" s="1"/>
  <c r="L159" i="269" s="1"/>
  <c r="N46" i="217" s="1"/>
  <c r="J112" i="269"/>
  <c r="G116" i="315"/>
  <c r="G152" i="315" s="1"/>
  <c r="F151" i="315"/>
  <c r="G113" i="260"/>
  <c r="F148" i="260"/>
  <c r="J106" i="245"/>
  <c r="G107" i="245"/>
  <c r="F142" i="245"/>
  <c r="J142" i="245" s="1"/>
  <c r="F159" i="245" s="1"/>
  <c r="G116" i="258"/>
  <c r="G152" i="258" s="1"/>
  <c r="F151" i="258"/>
  <c r="G113" i="235"/>
  <c r="F148" i="235"/>
  <c r="F145" i="268"/>
  <c r="G110" i="268"/>
  <c r="G109" i="279"/>
  <c r="F144" i="279"/>
  <c r="G116" i="231"/>
  <c r="G152" i="231" s="1"/>
  <c r="F151" i="231"/>
  <c r="L29" i="217"/>
  <c r="J160" i="252"/>
  <c r="F143" i="235"/>
  <c r="G108" i="235"/>
  <c r="G110" i="251"/>
  <c r="F145" i="251"/>
  <c r="G116" i="253"/>
  <c r="G152" i="253" s="1"/>
  <c r="F151" i="253"/>
  <c r="G111" i="246"/>
  <c r="F146" i="246"/>
  <c r="F147" i="266"/>
  <c r="G112" i="266"/>
  <c r="F143" i="233"/>
  <c r="G108" i="233"/>
  <c r="J111" i="241"/>
  <c r="G108" i="285"/>
  <c r="J108" i="285" s="1"/>
  <c r="F143" i="285"/>
  <c r="J143" i="285" s="1"/>
  <c r="G159" i="285" s="1"/>
  <c r="G111" i="259"/>
  <c r="F146" i="259"/>
  <c r="F144" i="259"/>
  <c r="G109" i="259"/>
  <c r="G112" i="279"/>
  <c r="F147" i="279"/>
  <c r="G113" i="280"/>
  <c r="J113" i="280" s="1"/>
  <c r="F148" i="280"/>
  <c r="J148" i="280" s="1"/>
  <c r="L159" i="280" s="1"/>
  <c r="L160" i="280" s="1"/>
  <c r="J112" i="280"/>
  <c r="F147" i="255"/>
  <c r="G112" i="255"/>
  <c r="F147" i="237"/>
  <c r="G112" i="237"/>
  <c r="J112" i="237" s="1"/>
  <c r="G110" i="271"/>
  <c r="F145" i="271"/>
  <c r="G110" i="266"/>
  <c r="F145" i="266"/>
  <c r="G111" i="265"/>
  <c r="F146" i="265"/>
  <c r="G116" i="272"/>
  <c r="G152" i="272" s="1"/>
  <c r="F151" i="272"/>
  <c r="I113" i="271"/>
  <c r="H148" i="271"/>
  <c r="G23" i="217"/>
  <c r="E160" i="246"/>
  <c r="H109" i="230"/>
  <c r="J109" i="230" s="1"/>
  <c r="G144" i="230"/>
  <c r="J144" i="230" s="1"/>
  <c r="H159" i="230" s="1"/>
  <c r="J108" i="230"/>
  <c r="E105" i="270"/>
  <c r="D140" i="270"/>
  <c r="J140" i="270" s="1"/>
  <c r="D159" i="270" s="1"/>
  <c r="D160" i="270" s="1"/>
  <c r="J104" i="270"/>
  <c r="H14" i="217"/>
  <c r="I145" i="230"/>
  <c r="I113" i="263"/>
  <c r="I149" i="263" s="1"/>
  <c r="H148" i="263"/>
  <c r="J160" i="258"/>
  <c r="L35" i="217"/>
  <c r="H112" i="258"/>
  <c r="G147" i="258"/>
  <c r="J147" i="258" s="1"/>
  <c r="K159" i="258" s="1"/>
  <c r="J111" i="258"/>
  <c r="F108" i="302"/>
  <c r="J108" i="302" s="1"/>
  <c r="E143" i="302"/>
  <c r="J107" i="302"/>
  <c r="H112" i="264"/>
  <c r="J112" i="264" s="1"/>
  <c r="G147" i="264"/>
  <c r="H112" i="287"/>
  <c r="G147" i="287"/>
  <c r="E160" i="263"/>
  <c r="L160" i="307"/>
  <c r="N39" i="217"/>
  <c r="J143" i="267"/>
  <c r="G159" i="267" s="1"/>
  <c r="G160" i="267" s="1"/>
  <c r="H9" i="217"/>
  <c r="J143" i="284"/>
  <c r="G159" i="284" s="1"/>
  <c r="I61" i="217" s="1"/>
  <c r="J114" i="257"/>
  <c r="H20" i="217"/>
  <c r="F160" i="260"/>
  <c r="H61" i="217"/>
  <c r="J149" i="252"/>
  <c r="M159" i="252" s="1"/>
  <c r="O29" i="217" s="1"/>
  <c r="J143" i="261"/>
  <c r="G159" i="261" s="1"/>
  <c r="G160" i="261" s="1"/>
  <c r="H32" i="217"/>
  <c r="H89" i="217"/>
  <c r="J143" i="243"/>
  <c r="G159" i="243" s="1"/>
  <c r="G160" i="243" s="1"/>
  <c r="G112" i="303"/>
  <c r="F147" i="303"/>
  <c r="J149" i="257"/>
  <c r="M159" i="257" s="1"/>
  <c r="O34" i="217" s="1"/>
  <c r="J143" i="278"/>
  <c r="G159" i="278" s="1"/>
  <c r="I55" i="217" s="1"/>
  <c r="H91" i="217"/>
  <c r="J143" i="255"/>
  <c r="G159" i="255" s="1"/>
  <c r="G160" i="255" s="1"/>
  <c r="J146" i="281"/>
  <c r="J159" i="281" s="1"/>
  <c r="L58" i="217" s="1"/>
  <c r="J143" i="232"/>
  <c r="G159" i="232" s="1"/>
  <c r="G160" i="232" s="1"/>
  <c r="H31" i="217"/>
  <c r="F160" i="254"/>
  <c r="H34" i="217"/>
  <c r="F160" i="257"/>
  <c r="G160" i="229"/>
  <c r="I6" i="217"/>
  <c r="M160" i="242"/>
  <c r="O19" i="217"/>
  <c r="H152" i="234"/>
  <c r="I112" i="278"/>
  <c r="H147" i="278"/>
  <c r="I111" i="315"/>
  <c r="I147" i="315" s="1"/>
  <c r="H146" i="315"/>
  <c r="H116" i="239"/>
  <c r="G151" i="239"/>
  <c r="I111" i="316"/>
  <c r="I147" i="316" s="1"/>
  <c r="H146" i="316"/>
  <c r="I114" i="314"/>
  <c r="I150" i="314" s="1"/>
  <c r="H149" i="314"/>
  <c r="H112" i="304"/>
  <c r="G147" i="304"/>
  <c r="H112" i="245"/>
  <c r="G147" i="245"/>
  <c r="I116" i="233"/>
  <c r="I152" i="233" s="1"/>
  <c r="H151" i="233"/>
  <c r="I112" i="272"/>
  <c r="I148" i="272" s="1"/>
  <c r="H147" i="272"/>
  <c r="I110" i="284"/>
  <c r="H145" i="284"/>
  <c r="I116" i="278"/>
  <c r="H151" i="278"/>
  <c r="I110" i="262"/>
  <c r="H145" i="262"/>
  <c r="J145" i="262" s="1"/>
  <c r="I159" i="262" s="1"/>
  <c r="J109" i="262"/>
  <c r="I114" i="283"/>
  <c r="I150" i="283" s="1"/>
  <c r="H149" i="283"/>
  <c r="I116" i="295"/>
  <c r="I152" i="295" s="1"/>
  <c r="H151" i="295"/>
  <c r="H114" i="231"/>
  <c r="G149" i="231"/>
  <c r="I116" i="315"/>
  <c r="I152" i="315" s="1"/>
  <c r="H151" i="315"/>
  <c r="G152" i="280"/>
  <c r="H116" i="291"/>
  <c r="H152" i="291" s="1"/>
  <c r="G151" i="291"/>
  <c r="H152" i="262"/>
  <c r="H116" i="243"/>
  <c r="G151" i="243"/>
  <c r="H108" i="257"/>
  <c r="J108" i="257" s="1"/>
  <c r="G143" i="257"/>
  <c r="J143" i="257" s="1"/>
  <c r="G159" i="257" s="1"/>
  <c r="I34" i="217" s="1"/>
  <c r="H115" i="253"/>
  <c r="G150" i="253"/>
  <c r="I112" i="309"/>
  <c r="H147" i="309"/>
  <c r="I116" i="285"/>
  <c r="I152" i="285" s="1"/>
  <c r="H151" i="285"/>
  <c r="H152" i="272"/>
  <c r="I116" i="286"/>
  <c r="I152" i="286" s="1"/>
  <c r="H151" i="286"/>
  <c r="J143" i="293"/>
  <c r="G159" i="293" s="1"/>
  <c r="I112" i="308"/>
  <c r="I148" i="308" s="1"/>
  <c r="H147" i="308"/>
  <c r="I112" i="244"/>
  <c r="I148" i="244" s="1"/>
  <c r="H147" i="244"/>
  <c r="F160" i="261"/>
  <c r="H38" i="217"/>
  <c r="I149" i="230"/>
  <c r="J113" i="230"/>
  <c r="H17" i="217"/>
  <c r="F160" i="240"/>
  <c r="I112" i="283"/>
  <c r="H147" i="283"/>
  <c r="I114" i="245"/>
  <c r="I150" i="245" s="1"/>
  <c r="H149" i="245"/>
  <c r="H116" i="233"/>
  <c r="G151" i="233"/>
  <c r="I114" i="316"/>
  <c r="H149" i="316"/>
  <c r="I115" i="308"/>
  <c r="I151" i="308" s="1"/>
  <c r="H150" i="308"/>
  <c r="I112" i="233"/>
  <c r="H147" i="233"/>
  <c r="H115" i="262"/>
  <c r="G150" i="262"/>
  <c r="G160" i="231"/>
  <c r="I8" i="217"/>
  <c r="G152" i="259"/>
  <c r="I113" i="260"/>
  <c r="I149" i="260" s="1"/>
  <c r="H148" i="260"/>
  <c r="I113" i="250"/>
  <c r="H148" i="250"/>
  <c r="I115" i="286"/>
  <c r="I151" i="286" s="1"/>
  <c r="H150" i="286"/>
  <c r="H112" i="235"/>
  <c r="G147" i="235"/>
  <c r="I109" i="293"/>
  <c r="I145" i="293" s="1"/>
  <c r="H144" i="293"/>
  <c r="I112" i="231"/>
  <c r="I148" i="231" s="1"/>
  <c r="H147" i="231"/>
  <c r="H116" i="315"/>
  <c r="G151" i="315"/>
  <c r="H109" i="239"/>
  <c r="G144" i="239"/>
  <c r="H110" i="254"/>
  <c r="G145" i="254"/>
  <c r="I111" i="229"/>
  <c r="I147" i="229" s="1"/>
  <c r="H146" i="229"/>
  <c r="F160" i="266"/>
  <c r="H43" i="217"/>
  <c r="I115" i="293"/>
  <c r="H150" i="293"/>
  <c r="I114" i="239"/>
  <c r="H149" i="239"/>
  <c r="G109" i="305"/>
  <c r="F144" i="305"/>
  <c r="H114" i="289"/>
  <c r="G149" i="289"/>
  <c r="I115" i="295"/>
  <c r="I151" i="295" s="1"/>
  <c r="H150" i="295"/>
  <c r="I115" i="281"/>
  <c r="I151" i="281" s="1"/>
  <c r="H150" i="281"/>
  <c r="I110" i="268"/>
  <c r="I146" i="268" s="1"/>
  <c r="H145" i="268"/>
  <c r="I112" i="255"/>
  <c r="I148" i="255" s="1"/>
  <c r="H147" i="255"/>
  <c r="G152" i="312"/>
  <c r="I114" i="291"/>
  <c r="H149" i="291"/>
  <c r="I110" i="245"/>
  <c r="I146" i="245" s="1"/>
  <c r="H145" i="245"/>
  <c r="I110" i="274"/>
  <c r="I146" i="274" s="1"/>
  <c r="H145" i="274"/>
  <c r="I113" i="240"/>
  <c r="I149" i="240" s="1"/>
  <c r="H148" i="240"/>
  <c r="I115" i="261"/>
  <c r="H150" i="261"/>
  <c r="H109" i="293"/>
  <c r="G144" i="293"/>
  <c r="J108" i="293"/>
  <c r="I112" i="232"/>
  <c r="I148" i="232" s="1"/>
  <c r="H147" i="232"/>
  <c r="I116" i="297"/>
  <c r="I152" i="297" s="1"/>
  <c r="H151" i="297"/>
  <c r="H108" i="240"/>
  <c r="G143" i="240"/>
  <c r="J143" i="240" s="1"/>
  <c r="G159" i="240" s="1"/>
  <c r="J107" i="240"/>
  <c r="H115" i="265"/>
  <c r="G150" i="265"/>
  <c r="I109" i="312"/>
  <c r="I145" i="312" s="1"/>
  <c r="H144" i="312"/>
  <c r="I114" i="274"/>
  <c r="I150" i="274" s="1"/>
  <c r="H149" i="274"/>
  <c r="H108" i="283"/>
  <c r="G143" i="283"/>
  <c r="J143" i="283" s="1"/>
  <c r="G159" i="283" s="1"/>
  <c r="J107" i="283"/>
  <c r="H115" i="276"/>
  <c r="G150" i="276"/>
  <c r="I114" i="246"/>
  <c r="I150" i="246" s="1"/>
  <c r="H149" i="246"/>
  <c r="H109" i="232"/>
  <c r="G144" i="232"/>
  <c r="I110" i="272"/>
  <c r="H145" i="272"/>
  <c r="H114" i="314"/>
  <c r="G149" i="314"/>
  <c r="I113" i="231"/>
  <c r="I149" i="231" s="1"/>
  <c r="H148" i="231"/>
  <c r="H114" i="276"/>
  <c r="G149" i="276"/>
  <c r="I109" i="231"/>
  <c r="I145" i="231" s="1"/>
  <c r="H144" i="231"/>
  <c r="J144" i="231" s="1"/>
  <c r="H159" i="231" s="1"/>
  <c r="I110" i="311"/>
  <c r="I146" i="311" s="1"/>
  <c r="H145" i="311"/>
  <c r="I110" i="244"/>
  <c r="H145" i="244"/>
  <c r="G152" i="295"/>
  <c r="H113" i="259"/>
  <c r="G148" i="259"/>
  <c r="I109" i="244"/>
  <c r="I145" i="244" s="1"/>
  <c r="H144" i="244"/>
  <c r="J144" i="244" s="1"/>
  <c r="H159" i="244" s="1"/>
  <c r="I113" i="249"/>
  <c r="I149" i="249" s="1"/>
  <c r="H148" i="249"/>
  <c r="I114" i="243"/>
  <c r="I150" i="243" s="1"/>
  <c r="H149" i="243"/>
  <c r="H112" i="274"/>
  <c r="G147" i="274"/>
  <c r="I115" i="311"/>
  <c r="I151" i="311" s="1"/>
  <c r="H150" i="311"/>
  <c r="I109" i="278"/>
  <c r="I145" i="278" s="1"/>
  <c r="H144" i="278"/>
  <c r="I110" i="266"/>
  <c r="H145" i="266"/>
  <c r="J143" i="314"/>
  <c r="G159" i="314" s="1"/>
  <c r="I91" i="217" s="1"/>
  <c r="J114" i="293"/>
  <c r="J114" i="262"/>
  <c r="I111" i="253"/>
  <c r="H146" i="253"/>
  <c r="I116" i="268"/>
  <c r="I152" i="268" s="1"/>
  <c r="H151" i="268"/>
  <c r="I113" i="236"/>
  <c r="H148" i="236"/>
  <c r="H112" i="316"/>
  <c r="G147" i="316"/>
  <c r="I110" i="229"/>
  <c r="H145" i="229"/>
  <c r="I112" i="243"/>
  <c r="I148" i="243" s="1"/>
  <c r="H147" i="243"/>
  <c r="G108" i="304"/>
  <c r="F143" i="304"/>
  <c r="I109" i="285"/>
  <c r="I145" i="285" s="1"/>
  <c r="H144" i="285"/>
  <c r="I114" i="315"/>
  <c r="I150" i="315" s="1"/>
  <c r="H149" i="315"/>
  <c r="I116" i="235"/>
  <c r="I152" i="235" s="1"/>
  <c r="J152" i="235" s="1"/>
  <c r="P159" i="235" s="1"/>
  <c r="H151" i="235"/>
  <c r="I109" i="282"/>
  <c r="H144" i="282"/>
  <c r="I114" i="234"/>
  <c r="H149" i="234"/>
  <c r="G152" i="232"/>
  <c r="H115" i="239"/>
  <c r="G150" i="239"/>
  <c r="I115" i="255"/>
  <c r="H150" i="255"/>
  <c r="I110" i="265"/>
  <c r="I146" i="265" s="1"/>
  <c r="H145" i="265"/>
  <c r="H115" i="248"/>
  <c r="G150" i="248"/>
  <c r="H114" i="278"/>
  <c r="G149" i="278"/>
  <c r="I112" i="281"/>
  <c r="I148" i="281" s="1"/>
  <c r="H147" i="281"/>
  <c r="I114" i="254"/>
  <c r="H149" i="254"/>
  <c r="H116" i="232"/>
  <c r="H152" i="232" s="1"/>
  <c r="G151" i="232"/>
  <c r="H108" i="266"/>
  <c r="G143" i="266"/>
  <c r="J143" i="266" s="1"/>
  <c r="G159" i="266" s="1"/>
  <c r="J107" i="266"/>
  <c r="I116" i="249"/>
  <c r="H151" i="249"/>
  <c r="I116" i="254"/>
  <c r="I152" i="254" s="1"/>
  <c r="H151" i="254"/>
  <c r="H109" i="278"/>
  <c r="G144" i="278"/>
  <c r="J108" i="278"/>
  <c r="H115" i="311"/>
  <c r="G150" i="311"/>
  <c r="H152" i="288"/>
  <c r="I114" i="282"/>
  <c r="I150" i="282" s="1"/>
  <c r="H149" i="282"/>
  <c r="I116" i="231"/>
  <c r="I152" i="231" s="1"/>
  <c r="H151" i="231"/>
  <c r="H116" i="297"/>
  <c r="G151" i="297"/>
  <c r="H110" i="243"/>
  <c r="G145" i="243"/>
  <c r="I111" i="282"/>
  <c r="I147" i="282" s="1"/>
  <c r="H146" i="282"/>
  <c r="G152" i="240"/>
  <c r="I42" i="217"/>
  <c r="G160" i="265"/>
  <c r="I112" i="236"/>
  <c r="I148" i="236" s="1"/>
  <c r="H147" i="236"/>
  <c r="J147" i="236" s="1"/>
  <c r="K159" i="236" s="1"/>
  <c r="I111" i="276"/>
  <c r="H146" i="276"/>
  <c r="I109" i="276"/>
  <c r="H144" i="276"/>
  <c r="J144" i="276" s="1"/>
  <c r="H159" i="276" s="1"/>
  <c r="H109" i="236"/>
  <c r="G144" i="236"/>
  <c r="J108" i="236"/>
  <c r="I116" i="242"/>
  <c r="I152" i="242" s="1"/>
  <c r="J152" i="242" s="1"/>
  <c r="P159" i="242" s="1"/>
  <c r="H151" i="242"/>
  <c r="G152" i="282"/>
  <c r="I112" i="229"/>
  <c r="H147" i="229"/>
  <c r="H115" i="316"/>
  <c r="G150" i="316"/>
  <c r="I110" i="259"/>
  <c r="I146" i="259" s="1"/>
  <c r="H145" i="259"/>
  <c r="I113" i="241"/>
  <c r="I149" i="241" s="1"/>
  <c r="H148" i="241"/>
  <c r="I111" i="265"/>
  <c r="H146" i="265"/>
  <c r="I114" i="311"/>
  <c r="H149" i="311"/>
  <c r="I111" i="239"/>
  <c r="I147" i="239" s="1"/>
  <c r="H146" i="239"/>
  <c r="H113" i="278"/>
  <c r="G148" i="278"/>
  <c r="I111" i="234"/>
  <c r="I147" i="234" s="1"/>
  <c r="H146" i="234"/>
  <c r="H116" i="268"/>
  <c r="G151" i="268"/>
  <c r="H116" i="251"/>
  <c r="G151" i="251"/>
  <c r="H114" i="256"/>
  <c r="G149" i="256"/>
  <c r="G152" i="304"/>
  <c r="I116" i="247"/>
  <c r="I152" i="247" s="1"/>
  <c r="H151" i="247"/>
  <c r="I114" i="309"/>
  <c r="I150" i="309" s="1"/>
  <c r="H149" i="309"/>
  <c r="I113" i="253"/>
  <c r="I149" i="253" s="1"/>
  <c r="H148" i="253"/>
  <c r="I110" i="254"/>
  <c r="I146" i="254" s="1"/>
  <c r="H145" i="254"/>
  <c r="H109" i="237"/>
  <c r="G144" i="237"/>
  <c r="G109" i="298"/>
  <c r="F144" i="298"/>
  <c r="H110" i="240"/>
  <c r="G145" i="240"/>
  <c r="J143" i="260"/>
  <c r="G159" i="260" s="1"/>
  <c r="H113" i="295"/>
  <c r="G148" i="295"/>
  <c r="I112" i="295"/>
  <c r="I148" i="295" s="1"/>
  <c r="H147" i="295"/>
  <c r="H114" i="285"/>
  <c r="G149" i="285"/>
  <c r="F160" i="291"/>
  <c r="H68" i="217"/>
  <c r="I115" i="253"/>
  <c r="I151" i="253" s="1"/>
  <c r="H150" i="253"/>
  <c r="I116" i="304"/>
  <c r="I152" i="304" s="1"/>
  <c r="H151" i="304"/>
  <c r="H113" i="288"/>
  <c r="G148" i="288"/>
  <c r="I113" i="284"/>
  <c r="I149" i="284" s="1"/>
  <c r="H148" i="284"/>
  <c r="I115" i="229"/>
  <c r="H150" i="229"/>
  <c r="I114" i="312"/>
  <c r="I150" i="312" s="1"/>
  <c r="H149" i="312"/>
  <c r="H114" i="304"/>
  <c r="G149" i="304"/>
  <c r="F160" i="278"/>
  <c r="H55" i="217"/>
  <c r="I111" i="250"/>
  <c r="I147" i="250" s="1"/>
  <c r="H146" i="250"/>
  <c r="I111" i="289"/>
  <c r="H146" i="289"/>
  <c r="J146" i="289" s="1"/>
  <c r="J159" i="289" s="1"/>
  <c r="J110" i="289"/>
  <c r="I113" i="315"/>
  <c r="I149" i="315" s="1"/>
  <c r="H148" i="315"/>
  <c r="H109" i="260"/>
  <c r="G144" i="260"/>
  <c r="J108" i="260"/>
  <c r="H116" i="311"/>
  <c r="G151" i="311"/>
  <c r="H109" i="255"/>
  <c r="G144" i="255"/>
  <c r="J108" i="231"/>
  <c r="I112" i="260"/>
  <c r="H147" i="260"/>
  <c r="I112" i="316"/>
  <c r="I148" i="316" s="1"/>
  <c r="H147" i="316"/>
  <c r="I109" i="314"/>
  <c r="H144" i="314"/>
  <c r="I109" i="272"/>
  <c r="I145" i="272" s="1"/>
  <c r="H144" i="272"/>
  <c r="J144" i="272" s="1"/>
  <c r="H159" i="272" s="1"/>
  <c r="H111" i="314"/>
  <c r="G146" i="314"/>
  <c r="I116" i="243"/>
  <c r="I152" i="243" s="1"/>
  <c r="H151" i="243"/>
  <c r="I110" i="240"/>
  <c r="I146" i="240" s="1"/>
  <c r="H145" i="240"/>
  <c r="I114" i="268"/>
  <c r="H149" i="268"/>
  <c r="I147" i="230"/>
  <c r="I116" i="251"/>
  <c r="I152" i="251" s="1"/>
  <c r="H151" i="251"/>
  <c r="I116" i="288"/>
  <c r="I152" i="288" s="1"/>
  <c r="H151" i="288"/>
  <c r="I110" i="251"/>
  <c r="I146" i="251" s="1"/>
  <c r="H145" i="251"/>
  <c r="H116" i="286"/>
  <c r="H152" i="286" s="1"/>
  <c r="G151" i="286"/>
  <c r="I113" i="233"/>
  <c r="H148" i="233"/>
  <c r="H116" i="282"/>
  <c r="H152" i="282" s="1"/>
  <c r="G151" i="282"/>
  <c r="H116" i="316"/>
  <c r="G151" i="316"/>
  <c r="I113" i="312"/>
  <c r="I149" i="312" s="1"/>
  <c r="H148" i="312"/>
  <c r="I116" i="281"/>
  <c r="I152" i="281" s="1"/>
  <c r="H151" i="281"/>
  <c r="I113" i="254"/>
  <c r="I149" i="254" s="1"/>
  <c r="H148" i="254"/>
  <c r="I115" i="288"/>
  <c r="H150" i="288"/>
  <c r="H113" i="253"/>
  <c r="G148" i="253"/>
  <c r="H112" i="285"/>
  <c r="G147" i="285"/>
  <c r="H152" i="274"/>
  <c r="I109" i="264"/>
  <c r="I145" i="264" s="1"/>
  <c r="H144" i="264"/>
  <c r="H109" i="279"/>
  <c r="G144" i="279"/>
  <c r="J108" i="279"/>
  <c r="I109" i="236"/>
  <c r="I145" i="236" s="1"/>
  <c r="H144" i="236"/>
  <c r="I112" i="282"/>
  <c r="I148" i="282" s="1"/>
  <c r="H147" i="282"/>
  <c r="H115" i="282"/>
  <c r="G150" i="282"/>
  <c r="H109" i="267"/>
  <c r="G144" i="267"/>
  <c r="J108" i="267"/>
  <c r="H109" i="312"/>
  <c r="G144" i="312"/>
  <c r="J108" i="312"/>
  <c r="H108" i="268"/>
  <c r="G143" i="268"/>
  <c r="J143" i="268" s="1"/>
  <c r="G159" i="268" s="1"/>
  <c r="J107" i="268"/>
  <c r="H152" i="257"/>
  <c r="I113" i="232"/>
  <c r="H148" i="232"/>
  <c r="I114" i="272"/>
  <c r="H149" i="272"/>
  <c r="I114" i="261"/>
  <c r="I150" i="261" s="1"/>
  <c r="H149" i="261"/>
  <c r="I111" i="261"/>
  <c r="I147" i="261" s="1"/>
  <c r="H146" i="261"/>
  <c r="H152" i="284"/>
  <c r="F160" i="267"/>
  <c r="H44" i="217"/>
  <c r="I109" i="311"/>
  <c r="I145" i="311" s="1"/>
  <c r="H144" i="311"/>
  <c r="J144" i="311" s="1"/>
  <c r="H159" i="311" s="1"/>
  <c r="I113" i="266"/>
  <c r="I149" i="266" s="1"/>
  <c r="H148" i="266"/>
  <c r="I113" i="308"/>
  <c r="I149" i="308" s="1"/>
  <c r="H148" i="308"/>
  <c r="I109" i="237"/>
  <c r="I145" i="237" s="1"/>
  <c r="H144" i="237"/>
  <c r="H109" i="261"/>
  <c r="G144" i="261"/>
  <c r="J108" i="261"/>
  <c r="I113" i="288"/>
  <c r="H148" i="288"/>
  <c r="I116" i="312"/>
  <c r="I152" i="312" s="1"/>
  <c r="H151" i="312"/>
  <c r="I110" i="316"/>
  <c r="H145" i="316"/>
  <c r="I112" i="276"/>
  <c r="H147" i="276"/>
  <c r="I115" i="245"/>
  <c r="H150" i="245"/>
  <c r="G152" i="286"/>
  <c r="I111" i="246"/>
  <c r="H146" i="246"/>
  <c r="I113" i="301"/>
  <c r="I149" i="301" s="1"/>
  <c r="H148" i="301"/>
  <c r="F160" i="283"/>
  <c r="H60" i="217"/>
  <c r="I111" i="274"/>
  <c r="I147" i="274" s="1"/>
  <c r="H146" i="274"/>
  <c r="I114" i="284"/>
  <c r="H149" i="284"/>
  <c r="I111" i="233"/>
  <c r="I147" i="233" s="1"/>
  <c r="H146" i="233"/>
  <c r="I115" i="282"/>
  <c r="H150" i="282"/>
  <c r="G109" i="297"/>
  <c r="F144" i="297"/>
  <c r="I110" i="248"/>
  <c r="I146" i="248" s="1"/>
  <c r="H145" i="248"/>
  <c r="J145" i="248" s="1"/>
  <c r="I159" i="248" s="1"/>
  <c r="I160" i="248" s="1"/>
  <c r="H110" i="311"/>
  <c r="G145" i="311"/>
  <c r="I113" i="229"/>
  <c r="H148" i="229"/>
  <c r="I114" i="240"/>
  <c r="H149" i="240"/>
  <c r="H114" i="312"/>
  <c r="G149" i="312"/>
  <c r="H70" i="217"/>
  <c r="F160" i="293"/>
  <c r="I115" i="258"/>
  <c r="I151" i="258" s="1"/>
  <c r="H150" i="258"/>
  <c r="J150" i="258" s="1"/>
  <c r="N159" i="258" s="1"/>
  <c r="I112" i="293"/>
  <c r="H147" i="293"/>
  <c r="J147" i="293" s="1"/>
  <c r="K159" i="293" s="1"/>
  <c r="J111" i="293"/>
  <c r="I111" i="235"/>
  <c r="I147" i="235" s="1"/>
  <c r="H146" i="235"/>
  <c r="H112" i="279"/>
  <c r="G147" i="279"/>
  <c r="I115" i="257"/>
  <c r="I151" i="257" s="1"/>
  <c r="H150" i="257"/>
  <c r="I111" i="285"/>
  <c r="I147" i="285" s="1"/>
  <c r="H146" i="285"/>
  <c r="H112" i="281"/>
  <c r="G147" i="281"/>
  <c r="J111" i="281"/>
  <c r="I116" i="234"/>
  <c r="I152" i="234" s="1"/>
  <c r="H151" i="234"/>
  <c r="I115" i="316"/>
  <c r="H150" i="316"/>
  <c r="I112" i="301"/>
  <c r="I148" i="301" s="1"/>
  <c r="H147" i="301"/>
  <c r="H116" i="244"/>
  <c r="G151" i="244"/>
  <c r="I115" i="309"/>
  <c r="H150" i="309"/>
  <c r="H111" i="286"/>
  <c r="G146" i="286"/>
  <c r="H114" i="243"/>
  <c r="G149" i="243"/>
  <c r="H115" i="257"/>
  <c r="G150" i="257"/>
  <c r="I112" i="241"/>
  <c r="H147" i="241"/>
  <c r="H110" i="232"/>
  <c r="G145" i="232"/>
  <c r="I111" i="288"/>
  <c r="H146" i="288"/>
  <c r="I116" i="259"/>
  <c r="I152" i="259" s="1"/>
  <c r="H151" i="259"/>
  <c r="I116" i="293"/>
  <c r="I152" i="293" s="1"/>
  <c r="H151" i="293"/>
  <c r="H116" i="259"/>
  <c r="H152" i="259" s="1"/>
  <c r="G151" i="259"/>
  <c r="I113" i="289"/>
  <c r="I149" i="289" s="1"/>
  <c r="H148" i="289"/>
  <c r="J148" i="289" s="1"/>
  <c r="L159" i="289" s="1"/>
  <c r="J112" i="289"/>
  <c r="I113" i="286"/>
  <c r="I149" i="286" s="1"/>
  <c r="H148" i="286"/>
  <c r="H111" i="261"/>
  <c r="G146" i="261"/>
  <c r="I114" i="232"/>
  <c r="I150" i="232" s="1"/>
  <c r="H149" i="232"/>
  <c r="H115" i="246"/>
  <c r="G150" i="246"/>
  <c r="I112" i="312"/>
  <c r="H147" i="312"/>
  <c r="H115" i="289"/>
  <c r="G150" i="289"/>
  <c r="H86" i="217"/>
  <c r="F160" i="309"/>
  <c r="I109" i="259"/>
  <c r="H144" i="259"/>
  <c r="I114" i="229"/>
  <c r="H149" i="229"/>
  <c r="I116" i="229"/>
  <c r="H151" i="229"/>
  <c r="H116" i="241"/>
  <c r="G151" i="241"/>
  <c r="I113" i="267"/>
  <c r="H148" i="267"/>
  <c r="J148" i="267" s="1"/>
  <c r="L159" i="267" s="1"/>
  <c r="N44" i="217" s="1"/>
  <c r="J112" i="267"/>
  <c r="I115" i="242"/>
  <c r="H150" i="242"/>
  <c r="J150" i="242" s="1"/>
  <c r="N159" i="242" s="1"/>
  <c r="I116" i="261"/>
  <c r="I152" i="261" s="1"/>
  <c r="J152" i="261" s="1"/>
  <c r="P159" i="261" s="1"/>
  <c r="H151" i="261"/>
  <c r="H152" i="248"/>
  <c r="I115" i="268"/>
  <c r="I151" i="268" s="1"/>
  <c r="H150" i="268"/>
  <c r="I115" i="254"/>
  <c r="I151" i="254" s="1"/>
  <c r="H150" i="254"/>
  <c r="H109" i="243"/>
  <c r="J109" i="243" s="1"/>
  <c r="G144" i="243"/>
  <c r="H115" i="252"/>
  <c r="G150" i="252"/>
  <c r="I111" i="278"/>
  <c r="H146" i="278"/>
  <c r="I114" i="281"/>
  <c r="I150" i="281" s="1"/>
  <c r="H149" i="281"/>
  <c r="I112" i="311"/>
  <c r="H147" i="311"/>
  <c r="I112" i="305"/>
  <c r="I148" i="305" s="1"/>
  <c r="H147" i="305"/>
  <c r="H116" i="308"/>
  <c r="G151" i="308"/>
  <c r="I115" i="247"/>
  <c r="H150" i="247"/>
  <c r="I111" i="245"/>
  <c r="I147" i="245" s="1"/>
  <c r="H146" i="245"/>
  <c r="I113" i="314"/>
  <c r="I149" i="314" s="1"/>
  <c r="H148" i="314"/>
  <c r="I115" i="239"/>
  <c r="I151" i="239" s="1"/>
  <c r="H150" i="239"/>
  <c r="I109" i="279"/>
  <c r="I145" i="279" s="1"/>
  <c r="H144" i="279"/>
  <c r="H112" i="283"/>
  <c r="G147" i="283"/>
  <c r="J108" i="259"/>
  <c r="I110" i="250"/>
  <c r="I146" i="250" s="1"/>
  <c r="H145" i="250"/>
  <c r="J143" i="312"/>
  <c r="G159" i="312" s="1"/>
  <c r="I115" i="246"/>
  <c r="I151" i="246" s="1"/>
  <c r="H150" i="246"/>
  <c r="F160" i="268"/>
  <c r="H45" i="217"/>
  <c r="H115" i="283"/>
  <c r="G150" i="283"/>
  <c r="I112" i="274"/>
  <c r="I148" i="274" s="1"/>
  <c r="H147" i="274"/>
  <c r="H108" i="234"/>
  <c r="G143" i="234"/>
  <c r="J143" i="234" s="1"/>
  <c r="G159" i="234" s="1"/>
  <c r="H112" i="311"/>
  <c r="G147" i="311"/>
  <c r="I112" i="234"/>
  <c r="I148" i="234" s="1"/>
  <c r="H147" i="234"/>
  <c r="I110" i="234"/>
  <c r="H145" i="234"/>
  <c r="I115" i="233"/>
  <c r="I151" i="233" s="1"/>
  <c r="H150" i="233"/>
  <c r="H112" i="255"/>
  <c r="G147" i="255"/>
  <c r="I109" i="265"/>
  <c r="H144" i="265"/>
  <c r="J144" i="265" s="1"/>
  <c r="H159" i="265" s="1"/>
  <c r="J108" i="265"/>
  <c r="H112" i="234"/>
  <c r="G147" i="234"/>
  <c r="I115" i="297"/>
  <c r="I151" i="297" s="1"/>
  <c r="H150" i="297"/>
  <c r="I116" i="279"/>
  <c r="I152" i="279" s="1"/>
  <c r="H151" i="279"/>
  <c r="I115" i="262"/>
  <c r="H150" i="262"/>
  <c r="I111" i="283"/>
  <c r="I147" i="283" s="1"/>
  <c r="H146" i="283"/>
  <c r="H114" i="279"/>
  <c r="G149" i="279"/>
  <c r="I112" i="288"/>
  <c r="I148" i="288" s="1"/>
  <c r="H147" i="288"/>
  <c r="I112" i="285"/>
  <c r="I148" i="285" s="1"/>
  <c r="H147" i="285"/>
  <c r="I110" i="291"/>
  <c r="H145" i="291"/>
  <c r="I112" i="254"/>
  <c r="I148" i="254" s="1"/>
  <c r="H147" i="254"/>
  <c r="I109" i="260"/>
  <c r="H144" i="260"/>
  <c r="I111" i="244"/>
  <c r="I147" i="244" s="1"/>
  <c r="H146" i="244"/>
  <c r="H112" i="239"/>
  <c r="G147" i="239"/>
  <c r="I114" i="308"/>
  <c r="I150" i="308" s="1"/>
  <c r="H149" i="308"/>
  <c r="H108" i="291"/>
  <c r="G143" i="291"/>
  <c r="J107" i="291"/>
  <c r="I110" i="283"/>
  <c r="H145" i="283"/>
  <c r="I112" i="253"/>
  <c r="I148" i="253" s="1"/>
  <c r="H147" i="253"/>
  <c r="I116" i="309"/>
  <c r="H151" i="309"/>
  <c r="H110" i="277"/>
  <c r="G145" i="277"/>
  <c r="J145" i="277" s="1"/>
  <c r="I159" i="277" s="1"/>
  <c r="J109" i="277"/>
  <c r="I110" i="249"/>
  <c r="H145" i="249"/>
  <c r="I114" i="285"/>
  <c r="I150" i="285" s="1"/>
  <c r="H149" i="285"/>
  <c r="H114" i="244"/>
  <c r="G149" i="244"/>
  <c r="H110" i="286"/>
  <c r="G145" i="286"/>
  <c r="I115" i="272"/>
  <c r="I151" i="272" s="1"/>
  <c r="H150" i="272"/>
  <c r="H116" i="281"/>
  <c r="G151" i="281"/>
  <c r="H112" i="244"/>
  <c r="G147" i="244"/>
  <c r="I115" i="240"/>
  <c r="H150" i="240"/>
  <c r="I109" i="267"/>
  <c r="I145" i="267" s="1"/>
  <c r="H144" i="267"/>
  <c r="I115" i="234"/>
  <c r="I151" i="234" s="1"/>
  <c r="H150" i="234"/>
  <c r="I116" i="274"/>
  <c r="I152" i="274" s="1"/>
  <c r="H151" i="274"/>
  <c r="I116" i="308"/>
  <c r="I152" i="308" s="1"/>
  <c r="H151" i="308"/>
  <c r="I113" i="268"/>
  <c r="H148" i="268"/>
  <c r="I113" i="291"/>
  <c r="I149" i="291" s="1"/>
  <c r="H148" i="291"/>
  <c r="H111" i="291"/>
  <c r="G146" i="291"/>
  <c r="J108" i="244"/>
  <c r="H115" i="232"/>
  <c r="G150" i="232"/>
  <c r="H152" i="231"/>
  <c r="G108" i="298"/>
  <c r="J108" i="298" s="1"/>
  <c r="F143" i="298"/>
  <c r="J143" i="298" s="1"/>
  <c r="G159" i="298" s="1"/>
  <c r="I109" i="261"/>
  <c r="I145" i="261" s="1"/>
  <c r="H144" i="261"/>
  <c r="I116" i="258"/>
  <c r="I152" i="258" s="1"/>
  <c r="H151" i="258"/>
  <c r="I110" i="295"/>
  <c r="I146" i="295" s="1"/>
  <c r="H145" i="295"/>
  <c r="I115" i="237"/>
  <c r="I151" i="237" s="1"/>
  <c r="H150" i="237"/>
  <c r="I113" i="237"/>
  <c r="H148" i="237"/>
  <c r="I116" i="237"/>
  <c r="H151" i="237"/>
  <c r="I114" i="263"/>
  <c r="I150" i="263" s="1"/>
  <c r="H149" i="263"/>
  <c r="I112" i="315"/>
  <c r="H147" i="315"/>
  <c r="I110" i="315"/>
  <c r="H145" i="315"/>
  <c r="I112" i="263"/>
  <c r="H147" i="263"/>
  <c r="J150" i="250"/>
  <c r="N159" i="250" s="1"/>
  <c r="N160" i="250" s="1"/>
  <c r="I116" i="301"/>
  <c r="H151" i="301"/>
  <c r="I112" i="240"/>
  <c r="H147" i="240"/>
  <c r="I115" i="251"/>
  <c r="H150" i="251"/>
  <c r="I116" i="305"/>
  <c r="I152" i="305" s="1"/>
  <c r="H151" i="305"/>
  <c r="I114" i="313"/>
  <c r="H149" i="313"/>
  <c r="J149" i="313" s="1"/>
  <c r="M159" i="313" s="1"/>
  <c r="J113" i="313"/>
  <c r="I109" i="255"/>
  <c r="H144" i="255"/>
  <c r="J108" i="255"/>
  <c r="I112" i="296"/>
  <c r="H147" i="296"/>
  <c r="I116" i="313"/>
  <c r="I152" i="313" s="1"/>
  <c r="J152" i="313" s="1"/>
  <c r="P159" i="313" s="1"/>
  <c r="R90" i="217" s="1"/>
  <c r="H151" i="313"/>
  <c r="I110" i="257"/>
  <c r="H145" i="257"/>
  <c r="H152" i="250"/>
  <c r="I112" i="313"/>
  <c r="H147" i="313"/>
  <c r="J147" i="313" s="1"/>
  <c r="K159" i="313" s="1"/>
  <c r="J111" i="313"/>
  <c r="I114" i="301"/>
  <c r="H149" i="301"/>
  <c r="I112" i="239"/>
  <c r="H147" i="239"/>
  <c r="I115" i="313"/>
  <c r="I151" i="313" s="1"/>
  <c r="H150" i="313"/>
  <c r="G107" i="305"/>
  <c r="F142" i="305"/>
  <c r="J160" i="313"/>
  <c r="L90" i="217"/>
  <c r="I116" i="299"/>
  <c r="I152" i="299" s="1"/>
  <c r="J152" i="299" s="1"/>
  <c r="P159" i="299" s="1"/>
  <c r="H151" i="299"/>
  <c r="G108" i="299"/>
  <c r="F143" i="299"/>
  <c r="I114" i="305"/>
  <c r="H149" i="305"/>
  <c r="I113" i="305"/>
  <c r="I149" i="305" s="1"/>
  <c r="H148" i="305"/>
  <c r="I115" i="299"/>
  <c r="H150" i="299"/>
  <c r="I116" i="250"/>
  <c r="I152" i="250" s="1"/>
  <c r="H151" i="250"/>
  <c r="G108" i="301"/>
  <c r="F143" i="301"/>
  <c r="G108" i="296"/>
  <c r="F143" i="296"/>
  <c r="G109" i="307"/>
  <c r="F144" i="307"/>
  <c r="I115" i="305"/>
  <c r="I151" i="305" s="1"/>
  <c r="H150" i="305"/>
  <c r="I116" i="307"/>
  <c r="I152" i="307" s="1"/>
  <c r="H151" i="307"/>
  <c r="I111" i="248"/>
  <c r="H146" i="248"/>
  <c r="I114" i="251"/>
  <c r="I150" i="251" s="1"/>
  <c r="H149" i="251"/>
  <c r="I111" i="251"/>
  <c r="H146" i="251"/>
  <c r="I115" i="301"/>
  <c r="I151" i="301" s="1"/>
  <c r="H150" i="301"/>
  <c r="H152" i="307"/>
  <c r="I116" i="302"/>
  <c r="I152" i="302" s="1"/>
  <c r="J152" i="302" s="1"/>
  <c r="P159" i="302" s="1"/>
  <c r="H151" i="302"/>
  <c r="I115" i="302"/>
  <c r="I151" i="302" s="1"/>
  <c r="H150" i="302"/>
  <c r="J150" i="302" s="1"/>
  <c r="N159" i="302" s="1"/>
  <c r="I115" i="300"/>
  <c r="H150" i="300"/>
  <c r="I116" i="300"/>
  <c r="H151" i="300"/>
  <c r="G107" i="307"/>
  <c r="F142" i="307"/>
  <c r="J114" i="302"/>
  <c r="I116" i="298"/>
  <c r="I152" i="298" s="1"/>
  <c r="H151" i="298"/>
  <c r="G107" i="296"/>
  <c r="J106" i="296"/>
  <c r="F142" i="296"/>
  <c r="J142" i="296" s="1"/>
  <c r="F159" i="296" s="1"/>
  <c r="I114" i="300"/>
  <c r="I150" i="300" s="1"/>
  <c r="H149" i="300"/>
  <c r="J149" i="300" s="1"/>
  <c r="M159" i="300" s="1"/>
  <c r="H152" i="298"/>
  <c r="I115" i="298"/>
  <c r="I151" i="298" s="1"/>
  <c r="H150" i="298"/>
  <c r="G104" i="217"/>
  <c r="L160" i="290"/>
  <c r="H67" i="217"/>
  <c r="F160" i="234"/>
  <c r="H33" i="217"/>
  <c r="F160" i="241"/>
  <c r="F144" i="263"/>
  <c r="F144" i="270"/>
  <c r="H151" i="270"/>
  <c r="I152" i="270"/>
  <c r="I149" i="270"/>
  <c r="H148" i="270"/>
  <c r="J148" i="270" s="1"/>
  <c r="L159" i="270" s="1"/>
  <c r="H149" i="270"/>
  <c r="H151" i="263"/>
  <c r="H150" i="263"/>
  <c r="H152" i="270"/>
  <c r="H150" i="270"/>
  <c r="I151" i="270"/>
  <c r="I48" i="217"/>
  <c r="G160" i="271"/>
  <c r="G160" i="310"/>
  <c r="I87" i="217"/>
  <c r="I145" i="310"/>
  <c r="H144" i="310"/>
  <c r="J144" i="310" s="1"/>
  <c r="H159" i="310" s="1"/>
  <c r="J108" i="310"/>
  <c r="H150" i="287"/>
  <c r="J150" i="287" s="1"/>
  <c r="N159" i="287" s="1"/>
  <c r="I150" i="275"/>
  <c r="H149" i="275"/>
  <c r="I151" i="267"/>
  <c r="H150" i="267"/>
  <c r="J150" i="267" s="1"/>
  <c r="N159" i="267" s="1"/>
  <c r="H148" i="310"/>
  <c r="J148" i="310" s="1"/>
  <c r="L159" i="310" s="1"/>
  <c r="I149" i="310"/>
  <c r="J112" i="310"/>
  <c r="H152" i="287"/>
  <c r="H145" i="310"/>
  <c r="H145" i="275"/>
  <c r="I147" i="275"/>
  <c r="H146" i="275"/>
  <c r="H149" i="310"/>
  <c r="H151" i="310"/>
  <c r="I152" i="310"/>
  <c r="J152" i="310" s="1"/>
  <c r="P159" i="310" s="1"/>
  <c r="I148" i="275"/>
  <c r="H147" i="275"/>
  <c r="H150" i="275"/>
  <c r="M87" i="217"/>
  <c r="K160" i="310"/>
  <c r="I145" i="275"/>
  <c r="H144" i="275"/>
  <c r="J144" i="275" s="1"/>
  <c r="H159" i="275" s="1"/>
  <c r="J108" i="275"/>
  <c r="H151" i="275"/>
  <c r="H151" i="314"/>
  <c r="I152" i="314"/>
  <c r="H146" i="314"/>
  <c r="G160" i="275"/>
  <c r="I52" i="217"/>
  <c r="H151" i="287"/>
  <c r="I152" i="287"/>
  <c r="H148" i="275"/>
  <c r="H144" i="271"/>
  <c r="J144" i="271" s="1"/>
  <c r="H159" i="271" s="1"/>
  <c r="H150" i="310"/>
  <c r="H146" i="264"/>
  <c r="I147" i="264"/>
  <c r="J114" i="287"/>
  <c r="H152" i="314"/>
  <c r="N67" i="217"/>
  <c r="M160" i="294"/>
  <c r="O71" i="217"/>
  <c r="H151" i="306"/>
  <c r="I152" i="306"/>
  <c r="H152" i="305"/>
  <c r="H150" i="290"/>
  <c r="H152" i="267"/>
  <c r="H151" i="269"/>
  <c r="H151" i="266"/>
  <c r="H152" i="290"/>
  <c r="I151" i="266"/>
  <c r="H150" i="266"/>
  <c r="H151" i="290"/>
  <c r="I152" i="290"/>
  <c r="M160" i="290"/>
  <c r="O67" i="217"/>
  <c r="L160" i="277"/>
  <c r="N54" i="217"/>
  <c r="L160" i="257"/>
  <c r="N34" i="217"/>
  <c r="M160" i="269"/>
  <c r="O46" i="217"/>
  <c r="H150" i="306"/>
  <c r="J150" i="306" s="1"/>
  <c r="N159" i="306" s="1"/>
  <c r="I151" i="306"/>
  <c r="L160" i="292"/>
  <c r="N69" i="217"/>
  <c r="I151" i="269"/>
  <c r="H150" i="269"/>
  <c r="J150" i="269" s="1"/>
  <c r="N159" i="269" s="1"/>
  <c r="M160" i="296"/>
  <c r="O73" i="217"/>
  <c r="H152" i="306"/>
  <c r="H151" i="267"/>
  <c r="I152" i="267"/>
  <c r="H150" i="248"/>
  <c r="J149" i="292"/>
  <c r="M159" i="292" s="1"/>
  <c r="J150" i="294"/>
  <c r="N159" i="294" s="1"/>
  <c r="J150" i="296"/>
  <c r="N159" i="296" s="1"/>
  <c r="H152" i="264"/>
  <c r="I151" i="264"/>
  <c r="H150" i="264"/>
  <c r="J150" i="264" s="1"/>
  <c r="N159" i="264" s="1"/>
  <c r="I148" i="264"/>
  <c r="J113" i="251"/>
  <c r="I149" i="251"/>
  <c r="I151" i="236"/>
  <c r="H150" i="236"/>
  <c r="J150" i="236" s="1"/>
  <c r="N159" i="236" s="1"/>
  <c r="J114" i="236"/>
  <c r="H150" i="292"/>
  <c r="J150" i="292" s="1"/>
  <c r="N159" i="292" s="1"/>
  <c r="J114" i="292"/>
  <c r="I152" i="236"/>
  <c r="H151" i="236"/>
  <c r="I152" i="277"/>
  <c r="H151" i="277"/>
  <c r="I152" i="264"/>
  <c r="H151" i="264"/>
  <c r="J114" i="290"/>
  <c r="I150" i="290"/>
  <c r="H152" i="292"/>
  <c r="H152" i="271"/>
  <c r="H150" i="271"/>
  <c r="J150" i="271" s="1"/>
  <c r="N159" i="271" s="1"/>
  <c r="J114" i="271"/>
  <c r="I152" i="292"/>
  <c r="H151" i="292"/>
  <c r="I150" i="277"/>
  <c r="J150" i="277" s="1"/>
  <c r="N159" i="277" s="1"/>
  <c r="H149" i="277"/>
  <c r="J149" i="277" s="1"/>
  <c r="M159" i="277" s="1"/>
  <c r="I152" i="296"/>
  <c r="H151" i="296"/>
  <c r="G150" i="303"/>
  <c r="I152" i="245"/>
  <c r="H151" i="245"/>
  <c r="J114" i="264"/>
  <c r="H152" i="245"/>
  <c r="I152" i="294"/>
  <c r="H151" i="294"/>
  <c r="J114" i="247"/>
  <c r="I150" i="247"/>
  <c r="I152" i="271"/>
  <c r="H151" i="271"/>
  <c r="J114" i="296"/>
  <c r="H150" i="303"/>
  <c r="J114" i="294"/>
  <c r="J114" i="250"/>
  <c r="H147" i="264"/>
  <c r="I147" i="303"/>
  <c r="H18" i="217"/>
  <c r="J143" i="241"/>
  <c r="G159" i="241" s="1"/>
  <c r="H11" i="217"/>
  <c r="F160" i="256"/>
  <c r="I144" i="288"/>
  <c r="I144" i="257"/>
  <c r="I144" i="315"/>
  <c r="I144" i="250"/>
  <c r="I144" i="314"/>
  <c r="J108" i="314"/>
  <c r="I144" i="237"/>
  <c r="J108" i="237"/>
  <c r="I144" i="284"/>
  <c r="I144" i="254"/>
  <c r="J143" i="256"/>
  <c r="G159" i="256" s="1"/>
  <c r="I144" i="234"/>
  <c r="F160" i="290"/>
  <c r="J143" i="290"/>
  <c r="G159" i="290" s="1"/>
  <c r="J144" i="290"/>
  <c r="H159" i="290" s="1"/>
  <c r="J108" i="252"/>
  <c r="I29" i="217"/>
  <c r="G160" i="252"/>
  <c r="J29" i="217"/>
  <c r="H160" i="252"/>
  <c r="H144" i="247"/>
  <c r="J144" i="247" s="1"/>
  <c r="H159" i="247" s="1"/>
  <c r="J108" i="247"/>
  <c r="G160" i="247"/>
  <c r="I24" i="217"/>
  <c r="H144" i="302"/>
  <c r="H144" i="306"/>
  <c r="G143" i="263"/>
  <c r="H144" i="263"/>
  <c r="G144" i="270"/>
  <c r="J108" i="281"/>
  <c r="J144" i="269"/>
  <c r="H159" i="269" s="1"/>
  <c r="H160" i="281"/>
  <c r="J58" i="217"/>
  <c r="G160" i="269"/>
  <c r="I46" i="217"/>
  <c r="G160" i="294"/>
  <c r="I71" i="217"/>
  <c r="G160" i="248"/>
  <c r="I25" i="217"/>
  <c r="G160" i="258"/>
  <c r="I35" i="217"/>
  <c r="G160" i="262"/>
  <c r="I39" i="217"/>
  <c r="H144" i="294"/>
  <c r="J144" i="294" s="1"/>
  <c r="H159" i="294" s="1"/>
  <c r="J108" i="294"/>
  <c r="H144" i="258"/>
  <c r="J144" i="258" s="1"/>
  <c r="H159" i="258" s="1"/>
  <c r="J108" i="258"/>
  <c r="G160" i="277"/>
  <c r="I54" i="217"/>
  <c r="G160" i="281"/>
  <c r="I58" i="217"/>
  <c r="H144" i="292"/>
  <c r="J144" i="292" s="1"/>
  <c r="H159" i="292" s="1"/>
  <c r="J108" i="292"/>
  <c r="J108" i="290"/>
  <c r="J108" i="280"/>
  <c r="J108" i="277"/>
  <c r="J108" i="269"/>
  <c r="H160" i="280"/>
  <c r="J57" i="217"/>
  <c r="G160" i="280"/>
  <c r="I57" i="217"/>
  <c r="G160" i="292"/>
  <c r="I69" i="217"/>
  <c r="H144" i="262"/>
  <c r="J144" i="262" s="1"/>
  <c r="H159" i="262" s="1"/>
  <c r="J108" i="262"/>
  <c r="H144" i="248"/>
  <c r="J144" i="248" s="1"/>
  <c r="H159" i="248" s="1"/>
  <c r="J108" i="248"/>
  <c r="H144" i="241"/>
  <c r="J108" i="241"/>
  <c r="H144" i="249"/>
  <c r="J108" i="249"/>
  <c r="H144" i="256"/>
  <c r="J144" i="256" s="1"/>
  <c r="H159" i="256" s="1"/>
  <c r="J108" i="256"/>
  <c r="H144" i="243"/>
  <c r="J108" i="243"/>
  <c r="G145" i="295" l="1"/>
  <c r="F144" i="301"/>
  <c r="H145" i="314"/>
  <c r="H108" i="242"/>
  <c r="H144" i="242" s="1"/>
  <c r="J144" i="242" s="1"/>
  <c r="H159" i="242" s="1"/>
  <c r="H160" i="242" s="1"/>
  <c r="E143" i="301"/>
  <c r="I115" i="307"/>
  <c r="I151" i="307" s="1"/>
  <c r="J151" i="307" s="1"/>
  <c r="O159" i="307" s="1"/>
  <c r="Q84" i="217" s="1"/>
  <c r="I113" i="309"/>
  <c r="J113" i="309" s="1"/>
  <c r="H150" i="307"/>
  <c r="J150" i="307" s="1"/>
  <c r="N159" i="307" s="1"/>
  <c r="P84" i="217" s="1"/>
  <c r="O84" i="217"/>
  <c r="M160" i="307"/>
  <c r="H56" i="217"/>
  <c r="F108" i="299"/>
  <c r="G109" i="299" s="1"/>
  <c r="E160" i="296"/>
  <c r="H148" i="295"/>
  <c r="J148" i="295" s="1"/>
  <c r="L159" i="295" s="1"/>
  <c r="I115" i="249"/>
  <c r="I151" i="249" s="1"/>
  <c r="J151" i="249" s="1"/>
  <c r="O159" i="249" s="1"/>
  <c r="H114" i="315"/>
  <c r="J114" i="315" s="1"/>
  <c r="G151" i="304"/>
  <c r="I109" i="229"/>
  <c r="I145" i="229" s="1"/>
  <c r="J145" i="229" s="1"/>
  <c r="I159" i="229" s="1"/>
  <c r="I160" i="229" s="1"/>
  <c r="H108" i="316"/>
  <c r="I109" i="316" s="1"/>
  <c r="I145" i="316" s="1"/>
  <c r="J145" i="316" s="1"/>
  <c r="I159" i="316" s="1"/>
  <c r="F107" i="297"/>
  <c r="G108" i="297" s="1"/>
  <c r="G144" i="297" s="1"/>
  <c r="G143" i="316"/>
  <c r="J143" i="316" s="1"/>
  <c r="G159" i="316" s="1"/>
  <c r="I93" i="217" s="1"/>
  <c r="H145" i="276"/>
  <c r="I114" i="304"/>
  <c r="I150" i="304" s="1"/>
  <c r="F143" i="308"/>
  <c r="H144" i="229"/>
  <c r="J144" i="229" s="1"/>
  <c r="H159" i="229" s="1"/>
  <c r="J6" i="217" s="1"/>
  <c r="G108" i="305"/>
  <c r="G144" i="305" s="1"/>
  <c r="F144" i="296"/>
  <c r="H13" i="217"/>
  <c r="J107" i="305"/>
  <c r="H108" i="309"/>
  <c r="I109" i="309" s="1"/>
  <c r="H147" i="304"/>
  <c r="D160" i="306"/>
  <c r="F108" i="306"/>
  <c r="G109" i="306" s="1"/>
  <c r="G145" i="306" s="1"/>
  <c r="J145" i="306" s="1"/>
  <c r="I159" i="306" s="1"/>
  <c r="F160" i="289"/>
  <c r="E141" i="304"/>
  <c r="H150" i="232"/>
  <c r="J150" i="232" s="1"/>
  <c r="N159" i="232" s="1"/>
  <c r="I114" i="244"/>
  <c r="I150" i="244" s="1"/>
  <c r="G160" i="289"/>
  <c r="H88" i="217"/>
  <c r="E105" i="303"/>
  <c r="J105" i="303" s="1"/>
  <c r="G107" i="299"/>
  <c r="J107" i="299" s="1"/>
  <c r="F144" i="304"/>
  <c r="E143" i="304"/>
  <c r="G145" i="291"/>
  <c r="H116" i="276"/>
  <c r="H152" i="276" s="1"/>
  <c r="H114" i="291"/>
  <c r="J106" i="299"/>
  <c r="G109" i="308"/>
  <c r="H110" i="308" s="1"/>
  <c r="J107" i="309"/>
  <c r="F106" i="304"/>
  <c r="G107" i="304" s="1"/>
  <c r="J107" i="304" s="1"/>
  <c r="E142" i="308"/>
  <c r="E143" i="306"/>
  <c r="J143" i="306" s="1"/>
  <c r="G159" i="306" s="1"/>
  <c r="G160" i="306" s="1"/>
  <c r="G149" i="249"/>
  <c r="J142" i="302"/>
  <c r="F159" i="302" s="1"/>
  <c r="H79" i="217" s="1"/>
  <c r="J141" i="304"/>
  <c r="E159" i="304" s="1"/>
  <c r="E160" i="304" s="1"/>
  <c r="J143" i="291"/>
  <c r="G159" i="291" s="1"/>
  <c r="G160" i="291" s="1"/>
  <c r="D141" i="303"/>
  <c r="E143" i="308"/>
  <c r="J106" i="308"/>
  <c r="L160" i="300"/>
  <c r="D160" i="307"/>
  <c r="E160" i="305"/>
  <c r="H144" i="274"/>
  <c r="J144" i="274" s="1"/>
  <c r="H159" i="274" s="1"/>
  <c r="J51" i="217" s="1"/>
  <c r="M160" i="293"/>
  <c r="H146" i="291"/>
  <c r="F107" i="300"/>
  <c r="F143" i="300" s="1"/>
  <c r="J106" i="300"/>
  <c r="J106" i="307"/>
  <c r="G77" i="217"/>
  <c r="H144" i="289"/>
  <c r="J144" i="289" s="1"/>
  <c r="H159" i="289" s="1"/>
  <c r="H160" i="289" s="1"/>
  <c r="H75" i="217"/>
  <c r="J143" i="302"/>
  <c r="G159" i="302" s="1"/>
  <c r="G160" i="302" s="1"/>
  <c r="F81" i="217"/>
  <c r="E143" i="300"/>
  <c r="I109" i="289"/>
  <c r="I145" i="289" s="1"/>
  <c r="J145" i="289" s="1"/>
  <c r="I159" i="289" s="1"/>
  <c r="H145" i="231"/>
  <c r="J145" i="231" s="1"/>
  <c r="I159" i="231" s="1"/>
  <c r="K8" i="217" s="1"/>
  <c r="H19" i="217"/>
  <c r="G151" i="255"/>
  <c r="J108" i="274"/>
  <c r="J108" i="232"/>
  <c r="J142" i="300"/>
  <c r="F159" i="300" s="1"/>
  <c r="F160" i="300" s="1"/>
  <c r="J108" i="284"/>
  <c r="I150" i="299"/>
  <c r="J150" i="299" s="1"/>
  <c r="N159" i="299" s="1"/>
  <c r="N160" i="299" s="1"/>
  <c r="E160" i="299"/>
  <c r="I109" i="284"/>
  <c r="I145" i="284" s="1"/>
  <c r="J145" i="284" s="1"/>
  <c r="I159" i="284" s="1"/>
  <c r="I21" i="217"/>
  <c r="E141" i="297"/>
  <c r="J141" i="297" s="1"/>
  <c r="E159" i="297" s="1"/>
  <c r="G74" i="217" s="1"/>
  <c r="F106" i="297"/>
  <c r="J106" i="297" s="1"/>
  <c r="H116" i="254"/>
  <c r="H152" i="254" s="1"/>
  <c r="J152" i="254" s="1"/>
  <c r="P159" i="254" s="1"/>
  <c r="P160" i="254" s="1"/>
  <c r="F106" i="301"/>
  <c r="J106" i="301" s="1"/>
  <c r="G143" i="242"/>
  <c r="J143" i="242" s="1"/>
  <c r="G159" i="242" s="1"/>
  <c r="G160" i="242" s="1"/>
  <c r="H83" i="217"/>
  <c r="F160" i="306"/>
  <c r="D140" i="303"/>
  <c r="J140" i="303" s="1"/>
  <c r="D159" i="303" s="1"/>
  <c r="D160" i="303" s="1"/>
  <c r="J148" i="302"/>
  <c r="L159" i="302" s="1"/>
  <c r="L160" i="302" s="1"/>
  <c r="N75" i="217"/>
  <c r="J114" i="298"/>
  <c r="J142" i="305"/>
  <c r="F159" i="305" s="1"/>
  <c r="H82" i="217" s="1"/>
  <c r="G109" i="300"/>
  <c r="H110" i="300" s="1"/>
  <c r="J150" i="293"/>
  <c r="N159" i="293" s="1"/>
  <c r="P70" i="217" s="1"/>
  <c r="D160" i="301"/>
  <c r="J142" i="307"/>
  <c r="F159" i="307" s="1"/>
  <c r="H84" i="217" s="1"/>
  <c r="D160" i="300"/>
  <c r="F143" i="303"/>
  <c r="E160" i="307"/>
  <c r="L160" i="299"/>
  <c r="I53" i="217"/>
  <c r="F79" i="217"/>
  <c r="C160" i="303"/>
  <c r="J143" i="264"/>
  <c r="G159" i="264" s="1"/>
  <c r="G160" i="264" s="1"/>
  <c r="E142" i="303"/>
  <c r="F107" i="307"/>
  <c r="G108" i="307" s="1"/>
  <c r="H109" i="307" s="1"/>
  <c r="E160" i="306"/>
  <c r="F74" i="217"/>
  <c r="I149" i="302"/>
  <c r="J149" i="302" s="1"/>
  <c r="M159" i="302" s="1"/>
  <c r="J113" i="302"/>
  <c r="N83" i="217"/>
  <c r="H116" i="278"/>
  <c r="H152" i="278" s="1"/>
  <c r="G151" i="278"/>
  <c r="G144" i="253"/>
  <c r="G151" i="293"/>
  <c r="H116" i="293"/>
  <c r="H152" i="293" s="1"/>
  <c r="J152" i="293" s="1"/>
  <c r="P159" i="293" s="1"/>
  <c r="R70" i="217" s="1"/>
  <c r="M160" i="298"/>
  <c r="O75" i="217"/>
  <c r="G144" i="303"/>
  <c r="E160" i="302"/>
  <c r="H145" i="303"/>
  <c r="E141" i="308"/>
  <c r="J141" i="308" s="1"/>
  <c r="E159" i="308" s="1"/>
  <c r="E160" i="308" s="1"/>
  <c r="H90" i="217"/>
  <c r="D160" i="308"/>
  <c r="H110" i="312"/>
  <c r="G145" i="312"/>
  <c r="I149" i="306"/>
  <c r="J149" i="306" s="1"/>
  <c r="M159" i="306" s="1"/>
  <c r="J113" i="306"/>
  <c r="F142" i="308"/>
  <c r="H146" i="267"/>
  <c r="E141" i="301"/>
  <c r="J141" i="301" s="1"/>
  <c r="E159" i="301" s="1"/>
  <c r="H108" i="313"/>
  <c r="J107" i="313"/>
  <c r="G143" i="313"/>
  <c r="J143" i="313" s="1"/>
  <c r="G159" i="313" s="1"/>
  <c r="G107" i="308"/>
  <c r="H108" i="308" s="1"/>
  <c r="J105" i="308"/>
  <c r="G110" i="303"/>
  <c r="F145" i="303"/>
  <c r="G111" i="303"/>
  <c r="F146" i="303"/>
  <c r="F160" i="315"/>
  <c r="H92" i="217"/>
  <c r="H115" i="291"/>
  <c r="G150" i="291"/>
  <c r="I149" i="299"/>
  <c r="J149" i="299" s="1"/>
  <c r="M159" i="299" s="1"/>
  <c r="J113" i="299"/>
  <c r="H146" i="231"/>
  <c r="J146" i="231" s="1"/>
  <c r="J159" i="231" s="1"/>
  <c r="L8" i="217" s="1"/>
  <c r="H108" i="315"/>
  <c r="G143" i="315"/>
  <c r="J143" i="315" s="1"/>
  <c r="G159" i="315" s="1"/>
  <c r="J107" i="315"/>
  <c r="H110" i="309"/>
  <c r="G145" i="309"/>
  <c r="I113" i="297"/>
  <c r="J112" i="297"/>
  <c r="H148" i="297"/>
  <c r="J148" i="297" s="1"/>
  <c r="L159" i="297" s="1"/>
  <c r="J150" i="297"/>
  <c r="N159" i="297" s="1"/>
  <c r="N160" i="297" s="1"/>
  <c r="G160" i="295"/>
  <c r="I26" i="217"/>
  <c r="H147" i="259"/>
  <c r="I51" i="217"/>
  <c r="G143" i="254"/>
  <c r="J143" i="254" s="1"/>
  <c r="G159" i="254" s="1"/>
  <c r="I31" i="217" s="1"/>
  <c r="H108" i="254"/>
  <c r="J108" i="254" s="1"/>
  <c r="H150" i="252"/>
  <c r="J150" i="252" s="1"/>
  <c r="N159" i="252" s="1"/>
  <c r="N160" i="252" s="1"/>
  <c r="J114" i="252"/>
  <c r="I113" i="276"/>
  <c r="I149" i="276" s="1"/>
  <c r="H144" i="286"/>
  <c r="J108" i="286"/>
  <c r="I109" i="232"/>
  <c r="I145" i="232" s="1"/>
  <c r="G160" i="311"/>
  <c r="F160" i="253"/>
  <c r="H150" i="274"/>
  <c r="J150" i="274" s="1"/>
  <c r="N159" i="274" s="1"/>
  <c r="H10" i="217"/>
  <c r="J152" i="247"/>
  <c r="P159" i="247" s="1"/>
  <c r="P160" i="247" s="1"/>
  <c r="L160" i="256"/>
  <c r="I109" i="295"/>
  <c r="I145" i="295" s="1"/>
  <c r="J145" i="295" s="1"/>
  <c r="I159" i="295" s="1"/>
  <c r="N29" i="217"/>
  <c r="I49" i="217"/>
  <c r="L160" i="269"/>
  <c r="H144" i="295"/>
  <c r="J144" i="295" s="1"/>
  <c r="H159" i="295" s="1"/>
  <c r="J72" i="217" s="1"/>
  <c r="H12" i="217"/>
  <c r="H108" i="233"/>
  <c r="G143" i="233"/>
  <c r="J143" i="233" s="1"/>
  <c r="G159" i="233" s="1"/>
  <c r="J144" i="259"/>
  <c r="H159" i="259" s="1"/>
  <c r="J36" i="217" s="1"/>
  <c r="L18" i="217"/>
  <c r="J106" i="263"/>
  <c r="H63" i="217"/>
  <c r="G145" i="260"/>
  <c r="H110" i="260"/>
  <c r="J152" i="258"/>
  <c r="P159" i="258" s="1"/>
  <c r="R35" i="217" s="1"/>
  <c r="J160" i="247"/>
  <c r="L24" i="217"/>
  <c r="N19" i="217"/>
  <c r="H115" i="244"/>
  <c r="G150" i="244"/>
  <c r="I59" i="217"/>
  <c r="G160" i="282"/>
  <c r="H111" i="246"/>
  <c r="J111" i="246" s="1"/>
  <c r="G146" i="246"/>
  <c r="J146" i="246" s="1"/>
  <c r="J159" i="246" s="1"/>
  <c r="L23" i="217" s="1"/>
  <c r="J149" i="263"/>
  <c r="M159" i="263" s="1"/>
  <c r="O40" i="217" s="1"/>
  <c r="F107" i="263"/>
  <c r="J107" i="263" s="1"/>
  <c r="F160" i="287"/>
  <c r="H64" i="217"/>
  <c r="H108" i="235"/>
  <c r="J108" i="235" s="1"/>
  <c r="G143" i="235"/>
  <c r="J143" i="235" s="1"/>
  <c r="G159" i="235" s="1"/>
  <c r="J107" i="287"/>
  <c r="H108" i="287"/>
  <c r="G143" i="287"/>
  <c r="J143" i="287" s="1"/>
  <c r="G159" i="287" s="1"/>
  <c r="G144" i="282"/>
  <c r="J144" i="282" s="1"/>
  <c r="H159" i="282" s="1"/>
  <c r="H160" i="282" s="1"/>
  <c r="H109" i="282"/>
  <c r="J109" i="282" s="1"/>
  <c r="I36" i="217"/>
  <c r="J149" i="256"/>
  <c r="M159" i="256" s="1"/>
  <c r="M160" i="256" s="1"/>
  <c r="H115" i="255"/>
  <c r="J115" i="255" s="1"/>
  <c r="G150" i="255"/>
  <c r="H109" i="288"/>
  <c r="G144" i="288"/>
  <c r="F160" i="263"/>
  <c r="N25" i="217"/>
  <c r="J108" i="282"/>
  <c r="H115" i="256"/>
  <c r="G150" i="256"/>
  <c r="J107" i="253"/>
  <c r="H108" i="253"/>
  <c r="G143" i="253"/>
  <c r="J143" i="253" s="1"/>
  <c r="G159" i="253" s="1"/>
  <c r="F160" i="239"/>
  <c r="H116" i="279"/>
  <c r="H152" i="279" s="1"/>
  <c r="J152" i="279" s="1"/>
  <c r="P159" i="279" s="1"/>
  <c r="R56" i="217" s="1"/>
  <c r="G151" i="279"/>
  <c r="G145" i="255"/>
  <c r="H110" i="255"/>
  <c r="J113" i="315"/>
  <c r="N57" i="217"/>
  <c r="F160" i="288"/>
  <c r="G160" i="286"/>
  <c r="I63" i="217"/>
  <c r="J160" i="287"/>
  <c r="L64" i="217"/>
  <c r="F160" i="251"/>
  <c r="H28" i="217"/>
  <c r="H113" i="231"/>
  <c r="J113" i="231" s="1"/>
  <c r="G148" i="231"/>
  <c r="J148" i="231" s="1"/>
  <c r="L159" i="231" s="1"/>
  <c r="N8" i="217" s="1"/>
  <c r="I112" i="247"/>
  <c r="I148" i="247" s="1"/>
  <c r="H147" i="247"/>
  <c r="J147" i="247" s="1"/>
  <c r="K159" i="247" s="1"/>
  <c r="M24" i="217" s="1"/>
  <c r="H115" i="284"/>
  <c r="G150" i="284"/>
  <c r="H116" i="240"/>
  <c r="H152" i="240" s="1"/>
  <c r="G151" i="240"/>
  <c r="H113" i="249"/>
  <c r="G148" i="249"/>
  <c r="I112" i="287"/>
  <c r="I148" i="287" s="1"/>
  <c r="H147" i="287"/>
  <c r="J147" i="287" s="1"/>
  <c r="K159" i="287" s="1"/>
  <c r="M64" i="217" s="1"/>
  <c r="J109" i="311"/>
  <c r="M160" i="257"/>
  <c r="F47" i="217"/>
  <c r="J111" i="247"/>
  <c r="G150" i="260"/>
  <c r="H115" i="260"/>
  <c r="I112" i="265"/>
  <c r="I148" i="265" s="1"/>
  <c r="H147" i="265"/>
  <c r="I114" i="248"/>
  <c r="H149" i="248"/>
  <c r="J149" i="248" s="1"/>
  <c r="M159" i="248" s="1"/>
  <c r="M160" i="248" s="1"/>
  <c r="J113" i="248"/>
  <c r="I116" i="230"/>
  <c r="H151" i="230"/>
  <c r="H116" i="237"/>
  <c r="H152" i="237" s="1"/>
  <c r="G151" i="237"/>
  <c r="J151" i="237" s="1"/>
  <c r="O159" i="237" s="1"/>
  <c r="H115" i="240"/>
  <c r="J115" i="240" s="1"/>
  <c r="G150" i="240"/>
  <c r="G145" i="266"/>
  <c r="H110" i="266"/>
  <c r="J107" i="251"/>
  <c r="G143" i="251"/>
  <c r="J143" i="251" s="1"/>
  <c r="G159" i="251" s="1"/>
  <c r="H108" i="251"/>
  <c r="G150" i="241"/>
  <c r="H115" i="241"/>
  <c r="H112" i="278"/>
  <c r="G147" i="278"/>
  <c r="H114" i="284"/>
  <c r="J114" i="284" s="1"/>
  <c r="G149" i="284"/>
  <c r="J149" i="284" s="1"/>
  <c r="M159" i="284" s="1"/>
  <c r="M160" i="284" s="1"/>
  <c r="I112" i="284"/>
  <c r="H147" i="284"/>
  <c r="J147" i="284" s="1"/>
  <c r="K159" i="284" s="1"/>
  <c r="J111" i="284"/>
  <c r="J144" i="249"/>
  <c r="H159" i="249" s="1"/>
  <c r="J26" i="217" s="1"/>
  <c r="J111" i="287"/>
  <c r="H110" i="237"/>
  <c r="G145" i="237"/>
  <c r="G144" i="286"/>
  <c r="H109" i="286"/>
  <c r="J109" i="286" s="1"/>
  <c r="G150" i="272"/>
  <c r="H115" i="272"/>
  <c r="J115" i="272" s="1"/>
  <c r="H116" i="246"/>
  <c r="H152" i="246" s="1"/>
  <c r="G151" i="246"/>
  <c r="G147" i="261"/>
  <c r="H112" i="261"/>
  <c r="H113" i="260"/>
  <c r="J113" i="260" s="1"/>
  <c r="G148" i="260"/>
  <c r="J7" i="217"/>
  <c r="H160" i="230"/>
  <c r="I62" i="217"/>
  <c r="G160" i="285"/>
  <c r="H111" i="266"/>
  <c r="G146" i="266"/>
  <c r="H112" i="246"/>
  <c r="G147" i="246"/>
  <c r="H111" i="251"/>
  <c r="J111" i="251" s="1"/>
  <c r="G146" i="251"/>
  <c r="J146" i="251" s="1"/>
  <c r="J159" i="251" s="1"/>
  <c r="L28" i="217" s="1"/>
  <c r="F160" i="245"/>
  <c r="H22" i="217"/>
  <c r="H114" i="260"/>
  <c r="G149" i="260"/>
  <c r="G144" i="264"/>
  <c r="J144" i="264" s="1"/>
  <c r="H159" i="264" s="1"/>
  <c r="H109" i="264"/>
  <c r="H112" i="243"/>
  <c r="J112" i="243" s="1"/>
  <c r="G147" i="243"/>
  <c r="H113" i="286"/>
  <c r="J113" i="286" s="1"/>
  <c r="G148" i="286"/>
  <c r="H110" i="249"/>
  <c r="J110" i="249" s="1"/>
  <c r="G145" i="249"/>
  <c r="J145" i="249" s="1"/>
  <c r="I159" i="249" s="1"/>
  <c r="I112" i="230"/>
  <c r="H147" i="230"/>
  <c r="J147" i="230" s="1"/>
  <c r="K159" i="230" s="1"/>
  <c r="H116" i="256"/>
  <c r="H152" i="256" s="1"/>
  <c r="G151" i="256"/>
  <c r="I113" i="247"/>
  <c r="H148" i="247"/>
  <c r="H111" i="249"/>
  <c r="G146" i="249"/>
  <c r="J109" i="249"/>
  <c r="J147" i="241"/>
  <c r="K159" i="241" s="1"/>
  <c r="M18" i="217" s="1"/>
  <c r="J149" i="230"/>
  <c r="M159" i="230" s="1"/>
  <c r="O7" i="217" s="1"/>
  <c r="I110" i="230"/>
  <c r="H145" i="230"/>
  <c r="J145" i="230" s="1"/>
  <c r="I159" i="230" s="1"/>
  <c r="K7" i="217" s="1"/>
  <c r="H113" i="279"/>
  <c r="G148" i="279"/>
  <c r="H112" i="259"/>
  <c r="J112" i="259" s="1"/>
  <c r="G147" i="259"/>
  <c r="H113" i="266"/>
  <c r="J113" i="266" s="1"/>
  <c r="G148" i="266"/>
  <c r="G145" i="279"/>
  <c r="H110" i="279"/>
  <c r="H114" i="235"/>
  <c r="G149" i="235"/>
  <c r="H108" i="245"/>
  <c r="G143" i="245"/>
  <c r="J143" i="245" s="1"/>
  <c r="G159" i="245" s="1"/>
  <c r="J107" i="245"/>
  <c r="I115" i="230"/>
  <c r="H150" i="230"/>
  <c r="J150" i="230" s="1"/>
  <c r="N159" i="230" s="1"/>
  <c r="N160" i="230" s="1"/>
  <c r="H110" i="268"/>
  <c r="J110" i="268" s="1"/>
  <c r="G145" i="268"/>
  <c r="G146" i="250"/>
  <c r="J146" i="250" s="1"/>
  <c r="J159" i="250" s="1"/>
  <c r="L27" i="217" s="1"/>
  <c r="H111" i="250"/>
  <c r="J111" i="250" s="1"/>
  <c r="H116" i="253"/>
  <c r="H152" i="253" s="1"/>
  <c r="G151" i="253"/>
  <c r="H112" i="272"/>
  <c r="J112" i="272" s="1"/>
  <c r="G147" i="272"/>
  <c r="J147" i="272" s="1"/>
  <c r="K159" i="272" s="1"/>
  <c r="F160" i="246"/>
  <c r="H23" i="217"/>
  <c r="H114" i="283"/>
  <c r="G149" i="283"/>
  <c r="H116" i="260"/>
  <c r="H152" i="260" s="1"/>
  <c r="G151" i="260"/>
  <c r="F106" i="270"/>
  <c r="E141" i="270"/>
  <c r="J141" i="270" s="1"/>
  <c r="E159" i="270" s="1"/>
  <c r="J105" i="270"/>
  <c r="I149" i="271"/>
  <c r="J149" i="271" s="1"/>
  <c r="M159" i="271" s="1"/>
  <c r="J113" i="271"/>
  <c r="G147" i="265"/>
  <c r="H112" i="265"/>
  <c r="H111" i="271"/>
  <c r="G146" i="271"/>
  <c r="J146" i="271" s="1"/>
  <c r="J159" i="271" s="1"/>
  <c r="J110" i="271"/>
  <c r="H110" i="259"/>
  <c r="G145" i="259"/>
  <c r="G144" i="235"/>
  <c r="H109" i="235"/>
  <c r="H111" i="268"/>
  <c r="G146" i="268"/>
  <c r="H112" i="282"/>
  <c r="J112" i="282" s="1"/>
  <c r="G147" i="282"/>
  <c r="J147" i="282" s="1"/>
  <c r="K159" i="282" s="1"/>
  <c r="H108" i="288"/>
  <c r="G143" i="288"/>
  <c r="J143" i="288" s="1"/>
  <c r="G159" i="288" s="1"/>
  <c r="J107" i="288"/>
  <c r="G148" i="276"/>
  <c r="H113" i="276"/>
  <c r="H114" i="259"/>
  <c r="G149" i="259"/>
  <c r="H113" i="235"/>
  <c r="G148" i="235"/>
  <c r="H113" i="265"/>
  <c r="G148" i="265"/>
  <c r="H114" i="241"/>
  <c r="G149" i="241"/>
  <c r="J111" i="230"/>
  <c r="H27" i="217"/>
  <c r="H113" i="237"/>
  <c r="J113" i="237" s="1"/>
  <c r="G148" i="237"/>
  <c r="J148" i="237" s="1"/>
  <c r="L159" i="237" s="1"/>
  <c r="H113" i="255"/>
  <c r="G148" i="255"/>
  <c r="H114" i="280"/>
  <c r="G149" i="280"/>
  <c r="J149" i="280" s="1"/>
  <c r="M159" i="280" s="1"/>
  <c r="H109" i="285"/>
  <c r="J109" i="285" s="1"/>
  <c r="G144" i="285"/>
  <c r="J144" i="285" s="1"/>
  <c r="H159" i="285" s="1"/>
  <c r="J62" i="217" s="1"/>
  <c r="H109" i="233"/>
  <c r="G144" i="233"/>
  <c r="H115" i="280"/>
  <c r="G150" i="280"/>
  <c r="G143" i="250"/>
  <c r="J143" i="250" s="1"/>
  <c r="G159" i="250" s="1"/>
  <c r="G160" i="250" s="1"/>
  <c r="J107" i="250"/>
  <c r="H108" i="250"/>
  <c r="H114" i="265"/>
  <c r="G149" i="265"/>
  <c r="H108" i="239"/>
  <c r="J107" i="239"/>
  <c r="G143" i="239"/>
  <c r="J143" i="239" s="1"/>
  <c r="G159" i="239" s="1"/>
  <c r="G160" i="239" s="1"/>
  <c r="H111" i="279"/>
  <c r="G146" i="279"/>
  <c r="J107" i="246"/>
  <c r="H108" i="246"/>
  <c r="G143" i="246"/>
  <c r="J143" i="246" s="1"/>
  <c r="G159" i="246" s="1"/>
  <c r="H113" i="233"/>
  <c r="G148" i="233"/>
  <c r="H113" i="241"/>
  <c r="J113" i="241" s="1"/>
  <c r="G148" i="241"/>
  <c r="H111" i="235"/>
  <c r="J111" i="235" s="1"/>
  <c r="G146" i="235"/>
  <c r="J113" i="263"/>
  <c r="I113" i="264"/>
  <c r="H148" i="264"/>
  <c r="J148" i="264" s="1"/>
  <c r="L159" i="264" s="1"/>
  <c r="I113" i="287"/>
  <c r="H148" i="287"/>
  <c r="M35" i="217"/>
  <c r="K160" i="258"/>
  <c r="G109" i="302"/>
  <c r="F144" i="302"/>
  <c r="J144" i="302" s="1"/>
  <c r="H159" i="302" s="1"/>
  <c r="I113" i="258"/>
  <c r="J112" i="258"/>
  <c r="H148" i="258"/>
  <c r="J148" i="258" s="1"/>
  <c r="L159" i="258" s="1"/>
  <c r="J110" i="248"/>
  <c r="I38" i="217"/>
  <c r="J148" i="308"/>
  <c r="L159" i="308" s="1"/>
  <c r="L160" i="308" s="1"/>
  <c r="J150" i="261"/>
  <c r="N159" i="261" s="1"/>
  <c r="P38" i="217" s="1"/>
  <c r="J150" i="281"/>
  <c r="N159" i="281" s="1"/>
  <c r="N160" i="281" s="1"/>
  <c r="J150" i="257"/>
  <c r="N159" i="257" s="1"/>
  <c r="N160" i="257" s="1"/>
  <c r="O39" i="217"/>
  <c r="J146" i="245"/>
  <c r="J159" i="245" s="1"/>
  <c r="L22" i="217" s="1"/>
  <c r="J115" i="308"/>
  <c r="J146" i="274"/>
  <c r="J159" i="274" s="1"/>
  <c r="L51" i="217" s="1"/>
  <c r="J149" i="254"/>
  <c r="M159" i="254" s="1"/>
  <c r="M160" i="254" s="1"/>
  <c r="J110" i="276"/>
  <c r="L160" i="267"/>
  <c r="I44" i="217"/>
  <c r="J160" i="281"/>
  <c r="J113" i="301"/>
  <c r="J113" i="312"/>
  <c r="I20" i="217"/>
  <c r="J114" i="232"/>
  <c r="J151" i="233"/>
  <c r="O159" i="233" s="1"/>
  <c r="Q10" i="217" s="1"/>
  <c r="G160" i="279"/>
  <c r="J152" i="234"/>
  <c r="P159" i="234" s="1"/>
  <c r="P160" i="234" s="1"/>
  <c r="J149" i="301"/>
  <c r="M159" i="301" s="1"/>
  <c r="O78" i="217" s="1"/>
  <c r="J148" i="232"/>
  <c r="L159" i="232" s="1"/>
  <c r="L160" i="232" s="1"/>
  <c r="J144" i="293"/>
  <c r="H159" i="293" s="1"/>
  <c r="H160" i="293" s="1"/>
  <c r="J146" i="248"/>
  <c r="J159" i="248" s="1"/>
  <c r="J160" i="248" s="1"/>
  <c r="J152" i="312"/>
  <c r="P159" i="312" s="1"/>
  <c r="P160" i="312" s="1"/>
  <c r="M160" i="252"/>
  <c r="G160" i="284"/>
  <c r="J116" i="242"/>
  <c r="J116" i="261"/>
  <c r="J109" i="244"/>
  <c r="J152" i="307"/>
  <c r="P159" i="307" s="1"/>
  <c r="R84" i="217" s="1"/>
  <c r="J111" i="234"/>
  <c r="P160" i="242"/>
  <c r="R19" i="217"/>
  <c r="J150" i="247"/>
  <c r="N159" i="247" s="1"/>
  <c r="N160" i="247" s="1"/>
  <c r="I32" i="217"/>
  <c r="J151" i="254"/>
  <c r="O159" i="254" s="1"/>
  <c r="O160" i="254" s="1"/>
  <c r="J145" i="244"/>
  <c r="I159" i="244" s="1"/>
  <c r="K21" i="217" s="1"/>
  <c r="G160" i="314"/>
  <c r="J110" i="265"/>
  <c r="J116" i="295"/>
  <c r="J116" i="247"/>
  <c r="J144" i="278"/>
  <c r="H159" i="278" s="1"/>
  <c r="H160" i="278" s="1"/>
  <c r="J144" i="314"/>
  <c r="H159" i="314" s="1"/>
  <c r="H160" i="314" s="1"/>
  <c r="J110" i="314"/>
  <c r="J111" i="315"/>
  <c r="J116" i="285"/>
  <c r="J149" i="240"/>
  <c r="M159" i="240" s="1"/>
  <c r="O17" i="217" s="1"/>
  <c r="J111" i="229"/>
  <c r="G160" i="278"/>
  <c r="J116" i="234"/>
  <c r="J147" i="315"/>
  <c r="K159" i="315" s="1"/>
  <c r="M92" i="217" s="1"/>
  <c r="J110" i="231"/>
  <c r="J113" i="308"/>
  <c r="J114" i="309"/>
  <c r="J113" i="284"/>
  <c r="J147" i="281"/>
  <c r="K159" i="281" s="1"/>
  <c r="K160" i="281" s="1"/>
  <c r="J112" i="308"/>
  <c r="J109" i="274"/>
  <c r="I9" i="217"/>
  <c r="H113" i="303"/>
  <c r="G148" i="303"/>
  <c r="I14" i="217"/>
  <c r="J144" i="284"/>
  <c r="H159" i="284" s="1"/>
  <c r="H160" i="284" s="1"/>
  <c r="J110" i="251"/>
  <c r="J112" i="305"/>
  <c r="J149" i="291"/>
  <c r="M159" i="291" s="1"/>
  <c r="M160" i="291" s="1"/>
  <c r="J152" i="274"/>
  <c r="P159" i="274" s="1"/>
  <c r="R51" i="217" s="1"/>
  <c r="J114" i="282"/>
  <c r="J114" i="246"/>
  <c r="J150" i="245"/>
  <c r="N159" i="245" s="1"/>
  <c r="N160" i="245" s="1"/>
  <c r="J145" i="272"/>
  <c r="I159" i="272" s="1"/>
  <c r="I160" i="272" s="1"/>
  <c r="J144" i="236"/>
  <c r="H159" i="236" s="1"/>
  <c r="J13" i="217" s="1"/>
  <c r="G160" i="257"/>
  <c r="J144" i="261"/>
  <c r="H159" i="261" s="1"/>
  <c r="H160" i="261" s="1"/>
  <c r="J151" i="234"/>
  <c r="O159" i="234" s="1"/>
  <c r="Q11" i="217" s="1"/>
  <c r="J111" i="244"/>
  <c r="J109" i="231"/>
  <c r="J111" i="282"/>
  <c r="J112" i="232"/>
  <c r="J116" i="235"/>
  <c r="J151" i="281"/>
  <c r="O159" i="281" s="1"/>
  <c r="Q58" i="217" s="1"/>
  <c r="J151" i="295"/>
  <c r="O159" i="295" s="1"/>
  <c r="Q72" i="217" s="1"/>
  <c r="J115" i="295"/>
  <c r="J147" i="283"/>
  <c r="K159" i="283" s="1"/>
  <c r="M60" i="217" s="1"/>
  <c r="J115" i="234"/>
  <c r="J148" i="301"/>
  <c r="L159" i="301" s="1"/>
  <c r="L160" i="301" s="1"/>
  <c r="J115" i="297"/>
  <c r="J146" i="276"/>
  <c r="J159" i="276" s="1"/>
  <c r="L53" i="217" s="1"/>
  <c r="J148" i="236"/>
  <c r="L159" i="236" s="1"/>
  <c r="N13" i="217" s="1"/>
  <c r="J147" i="231"/>
  <c r="K159" i="231" s="1"/>
  <c r="M8" i="217" s="1"/>
  <c r="J149" i="289"/>
  <c r="M159" i="289" s="1"/>
  <c r="O66" i="217" s="1"/>
  <c r="J114" i="308"/>
  <c r="I13" i="217"/>
  <c r="G160" i="236"/>
  <c r="J150" i="262"/>
  <c r="N159" i="262" s="1"/>
  <c r="N160" i="262" s="1"/>
  <c r="J112" i="288"/>
  <c r="J151" i="297"/>
  <c r="O159" i="297" s="1"/>
  <c r="O160" i="297" s="1"/>
  <c r="J113" i="254"/>
  <c r="J115" i="239"/>
  <c r="J111" i="316"/>
  <c r="J111" i="274"/>
  <c r="J151" i="286"/>
  <c r="O159" i="286" s="1"/>
  <c r="Q63" i="217" s="1"/>
  <c r="J112" i="301"/>
  <c r="J144" i="260"/>
  <c r="H159" i="260" s="1"/>
  <c r="H160" i="260" s="1"/>
  <c r="J147" i="233"/>
  <c r="K159" i="233" s="1"/>
  <c r="K160" i="233" s="1"/>
  <c r="J152" i="288"/>
  <c r="P159" i="288" s="1"/>
  <c r="P160" i="288" s="1"/>
  <c r="J151" i="274"/>
  <c r="O159" i="274" s="1"/>
  <c r="Q51" i="217" s="1"/>
  <c r="J113" i="314"/>
  <c r="N160" i="258"/>
  <c r="P35" i="217"/>
  <c r="H160" i="311"/>
  <c r="J88" i="217"/>
  <c r="P19" i="217"/>
  <c r="N160" i="242"/>
  <c r="I113" i="244"/>
  <c r="H148" i="244"/>
  <c r="J148" i="244" s="1"/>
  <c r="L159" i="244" s="1"/>
  <c r="J112" i="244"/>
  <c r="I109" i="291"/>
  <c r="H144" i="291"/>
  <c r="J144" i="291" s="1"/>
  <c r="H159" i="291" s="1"/>
  <c r="J108" i="291"/>
  <c r="I145" i="265"/>
  <c r="J145" i="265" s="1"/>
  <c r="I159" i="265" s="1"/>
  <c r="J109" i="265"/>
  <c r="I146" i="234"/>
  <c r="J146" i="234" s="1"/>
  <c r="J159" i="234" s="1"/>
  <c r="J110" i="234"/>
  <c r="I113" i="311"/>
  <c r="H148" i="311"/>
  <c r="I149" i="267"/>
  <c r="J149" i="267" s="1"/>
  <c r="M159" i="267" s="1"/>
  <c r="J113" i="267"/>
  <c r="I111" i="232"/>
  <c r="H146" i="232"/>
  <c r="I148" i="293"/>
  <c r="J148" i="293" s="1"/>
  <c r="L159" i="293" s="1"/>
  <c r="J112" i="293"/>
  <c r="K160" i="236"/>
  <c r="M13" i="217"/>
  <c r="I151" i="282"/>
  <c r="J115" i="282"/>
  <c r="I147" i="246"/>
  <c r="I113" i="285"/>
  <c r="H148" i="285"/>
  <c r="J148" i="285" s="1"/>
  <c r="L159" i="285" s="1"/>
  <c r="J112" i="285"/>
  <c r="I150" i="268"/>
  <c r="J150" i="268" s="1"/>
  <c r="N159" i="268" s="1"/>
  <c r="J114" i="268"/>
  <c r="I114" i="295"/>
  <c r="H149" i="295"/>
  <c r="J149" i="295" s="1"/>
  <c r="M159" i="295" s="1"/>
  <c r="J113" i="295"/>
  <c r="I115" i="256"/>
  <c r="H150" i="256"/>
  <c r="J114" i="256"/>
  <c r="J116" i="288"/>
  <c r="I109" i="266"/>
  <c r="H144" i="266"/>
  <c r="J144" i="266" s="1"/>
  <c r="H159" i="266" s="1"/>
  <c r="J108" i="266"/>
  <c r="I150" i="234"/>
  <c r="J150" i="234" s="1"/>
  <c r="N159" i="234" s="1"/>
  <c r="J114" i="234"/>
  <c r="H109" i="304"/>
  <c r="G144" i="304"/>
  <c r="I150" i="291"/>
  <c r="H110" i="304"/>
  <c r="G145" i="304"/>
  <c r="I150" i="316"/>
  <c r="J150" i="316" s="1"/>
  <c r="N159" i="316" s="1"/>
  <c r="J114" i="316"/>
  <c r="G160" i="293"/>
  <c r="I70" i="217"/>
  <c r="I109" i="257"/>
  <c r="H144" i="257"/>
  <c r="J144" i="257" s="1"/>
  <c r="H159" i="257" s="1"/>
  <c r="K39" i="217"/>
  <c r="I160" i="262"/>
  <c r="H152" i="239"/>
  <c r="I148" i="278"/>
  <c r="J144" i="243"/>
  <c r="H159" i="243" s="1"/>
  <c r="H160" i="243" s="1"/>
  <c r="I116" i="232"/>
  <c r="H151" i="232"/>
  <c r="J151" i="232" s="1"/>
  <c r="O159" i="232" s="1"/>
  <c r="J115" i="232"/>
  <c r="I151" i="240"/>
  <c r="J115" i="281"/>
  <c r="K54" i="217"/>
  <c r="I160" i="277"/>
  <c r="I116" i="283"/>
  <c r="H151" i="283"/>
  <c r="I89" i="217"/>
  <c r="G160" i="312"/>
  <c r="I110" i="243"/>
  <c r="I146" i="243" s="1"/>
  <c r="H145" i="243"/>
  <c r="J145" i="243" s="1"/>
  <c r="I159" i="243" s="1"/>
  <c r="I151" i="242"/>
  <c r="J151" i="242" s="1"/>
  <c r="O159" i="242" s="1"/>
  <c r="J115" i="242"/>
  <c r="I116" i="257"/>
  <c r="H151" i="257"/>
  <c r="J151" i="257" s="1"/>
  <c r="O159" i="257" s="1"/>
  <c r="J115" i="257"/>
  <c r="I112" i="286"/>
  <c r="H147" i="286"/>
  <c r="I150" i="240"/>
  <c r="J114" i="240"/>
  <c r="I149" i="229"/>
  <c r="J149" i="229" s="1"/>
  <c r="M159" i="229" s="1"/>
  <c r="J113" i="229"/>
  <c r="I111" i="311"/>
  <c r="H146" i="311"/>
  <c r="J146" i="311" s="1"/>
  <c r="J159" i="311" s="1"/>
  <c r="J110" i="311"/>
  <c r="I110" i="261"/>
  <c r="H145" i="261"/>
  <c r="J145" i="261" s="1"/>
  <c r="I159" i="261" s="1"/>
  <c r="J109" i="261"/>
  <c r="I110" i="255"/>
  <c r="H145" i="255"/>
  <c r="H152" i="311"/>
  <c r="I115" i="285"/>
  <c r="H150" i="285"/>
  <c r="J150" i="285" s="1"/>
  <c r="N159" i="285" s="1"/>
  <c r="J114" i="285"/>
  <c r="H152" i="268"/>
  <c r="J152" i="268" s="1"/>
  <c r="P159" i="268" s="1"/>
  <c r="J116" i="268"/>
  <c r="I147" i="265"/>
  <c r="J111" i="265"/>
  <c r="I110" i="236"/>
  <c r="H145" i="236"/>
  <c r="J145" i="236" s="1"/>
  <c r="I159" i="236" s="1"/>
  <c r="J109" i="236"/>
  <c r="I147" i="276"/>
  <c r="J147" i="276" s="1"/>
  <c r="K159" i="276" s="1"/>
  <c r="J111" i="276"/>
  <c r="I116" i="311"/>
  <c r="I152" i="311" s="1"/>
  <c r="H151" i="311"/>
  <c r="J151" i="311" s="1"/>
  <c r="O159" i="311" s="1"/>
  <c r="I149" i="236"/>
  <c r="J149" i="236" s="1"/>
  <c r="M159" i="236" s="1"/>
  <c r="J113" i="236"/>
  <c r="I147" i="253"/>
  <c r="J147" i="253" s="1"/>
  <c r="K159" i="253" s="1"/>
  <c r="J111" i="253"/>
  <c r="H160" i="244"/>
  <c r="J21" i="217"/>
  <c r="I114" i="259"/>
  <c r="H149" i="259"/>
  <c r="I146" i="244"/>
  <c r="J146" i="244" s="1"/>
  <c r="J159" i="244" s="1"/>
  <c r="J110" i="244"/>
  <c r="H160" i="231"/>
  <c r="J8" i="217"/>
  <c r="J109" i="272"/>
  <c r="I147" i="267"/>
  <c r="J147" i="267" s="1"/>
  <c r="K159" i="267" s="1"/>
  <c r="J111" i="267"/>
  <c r="I116" i="265"/>
  <c r="H151" i="265"/>
  <c r="J114" i="261"/>
  <c r="J144" i="232"/>
  <c r="H159" i="232" s="1"/>
  <c r="H110" i="301"/>
  <c r="G145" i="301"/>
  <c r="I115" i="289"/>
  <c r="I151" i="289" s="1"/>
  <c r="H150" i="289"/>
  <c r="J150" i="289" s="1"/>
  <c r="N159" i="289" s="1"/>
  <c r="J114" i="289"/>
  <c r="I113" i="235"/>
  <c r="H148" i="235"/>
  <c r="J151" i="308"/>
  <c r="O159" i="308" s="1"/>
  <c r="J115" i="233"/>
  <c r="I148" i="283"/>
  <c r="J112" i="283"/>
  <c r="I115" i="231"/>
  <c r="H150" i="231"/>
  <c r="I146" i="262"/>
  <c r="J146" i="262" s="1"/>
  <c r="J159" i="262" s="1"/>
  <c r="J110" i="262"/>
  <c r="J111" i="245"/>
  <c r="L160" i="289"/>
  <c r="N66" i="217"/>
  <c r="H160" i="265"/>
  <c r="J42" i="217"/>
  <c r="J146" i="314"/>
  <c r="J159" i="314" s="1"/>
  <c r="L91" i="217" s="1"/>
  <c r="J148" i="305"/>
  <c r="L159" i="305" s="1"/>
  <c r="L160" i="305" s="1"/>
  <c r="J147" i="239"/>
  <c r="K159" i="239" s="1"/>
  <c r="M16" i="217" s="1"/>
  <c r="K25" i="217"/>
  <c r="J115" i="237"/>
  <c r="J110" i="274"/>
  <c r="J115" i="274"/>
  <c r="I115" i="244"/>
  <c r="H150" i="244"/>
  <c r="I111" i="277"/>
  <c r="H146" i="277"/>
  <c r="J146" i="277" s="1"/>
  <c r="J159" i="277" s="1"/>
  <c r="J110" i="277"/>
  <c r="I152" i="309"/>
  <c r="J152" i="309" s="1"/>
  <c r="P159" i="309" s="1"/>
  <c r="J116" i="309"/>
  <c r="J150" i="308"/>
  <c r="N159" i="308" s="1"/>
  <c r="J116" i="258"/>
  <c r="I115" i="279"/>
  <c r="H150" i="279"/>
  <c r="J111" i="283"/>
  <c r="H152" i="308"/>
  <c r="J152" i="308" s="1"/>
  <c r="P159" i="308" s="1"/>
  <c r="J116" i="308"/>
  <c r="I147" i="278"/>
  <c r="J111" i="278"/>
  <c r="J114" i="245"/>
  <c r="I152" i="229"/>
  <c r="J152" i="229" s="1"/>
  <c r="P159" i="229" s="1"/>
  <c r="J116" i="229"/>
  <c r="I148" i="312"/>
  <c r="J148" i="312" s="1"/>
  <c r="L159" i="312" s="1"/>
  <c r="J112" i="312"/>
  <c r="I112" i="261"/>
  <c r="H147" i="261"/>
  <c r="J111" i="261"/>
  <c r="H152" i="244"/>
  <c r="I113" i="281"/>
  <c r="H148" i="281"/>
  <c r="J148" i="281" s="1"/>
  <c r="L159" i="281" s="1"/>
  <c r="J112" i="281"/>
  <c r="J151" i="258"/>
  <c r="O159" i="258" s="1"/>
  <c r="J149" i="312"/>
  <c r="M159" i="312" s="1"/>
  <c r="J116" i="286"/>
  <c r="I148" i="276"/>
  <c r="J112" i="276"/>
  <c r="I149" i="288"/>
  <c r="J113" i="288"/>
  <c r="J145" i="311"/>
  <c r="I159" i="311" s="1"/>
  <c r="I149" i="232"/>
  <c r="J149" i="232" s="1"/>
  <c r="M159" i="232" s="1"/>
  <c r="J113" i="232"/>
  <c r="G160" i="268"/>
  <c r="I45" i="217"/>
  <c r="I110" i="312"/>
  <c r="H145" i="312"/>
  <c r="J109" i="312"/>
  <c r="J144" i="267"/>
  <c r="H159" i="267" s="1"/>
  <c r="I116" i="282"/>
  <c r="I152" i="282" s="1"/>
  <c r="J152" i="282" s="1"/>
  <c r="P159" i="282" s="1"/>
  <c r="H151" i="282"/>
  <c r="J111" i="285"/>
  <c r="J112" i="253"/>
  <c r="I149" i="233"/>
  <c r="I112" i="314"/>
  <c r="H147" i="314"/>
  <c r="I145" i="314"/>
  <c r="J109" i="314"/>
  <c r="I148" i="260"/>
  <c r="J112" i="260"/>
  <c r="I147" i="289"/>
  <c r="J147" i="289" s="1"/>
  <c r="K159" i="289" s="1"/>
  <c r="J111" i="289"/>
  <c r="I115" i="304"/>
  <c r="H150" i="304"/>
  <c r="J152" i="304"/>
  <c r="P159" i="304" s="1"/>
  <c r="J111" i="233"/>
  <c r="J112" i="295"/>
  <c r="G160" i="309"/>
  <c r="I86" i="217"/>
  <c r="I110" i="237"/>
  <c r="H145" i="237"/>
  <c r="J109" i="237"/>
  <c r="H152" i="251"/>
  <c r="J152" i="251" s="1"/>
  <c r="P159" i="251" s="1"/>
  <c r="J116" i="251"/>
  <c r="I150" i="311"/>
  <c r="J150" i="311" s="1"/>
  <c r="N159" i="311" s="1"/>
  <c r="J114" i="311"/>
  <c r="I148" i="229"/>
  <c r="J148" i="229" s="1"/>
  <c r="L159" i="229" s="1"/>
  <c r="J112" i="229"/>
  <c r="H160" i="276"/>
  <c r="J53" i="217"/>
  <c r="J112" i="231"/>
  <c r="I111" i="243"/>
  <c r="H146" i="243"/>
  <c r="H152" i="297"/>
  <c r="J152" i="297" s="1"/>
  <c r="P159" i="297" s="1"/>
  <c r="J116" i="297"/>
  <c r="J115" i="254"/>
  <c r="I150" i="254"/>
  <c r="J150" i="254" s="1"/>
  <c r="N159" i="254" s="1"/>
  <c r="J114" i="254"/>
  <c r="I151" i="255"/>
  <c r="I145" i="282"/>
  <c r="P160" i="235"/>
  <c r="R12" i="217"/>
  <c r="I113" i="316"/>
  <c r="H148" i="316"/>
  <c r="J148" i="316" s="1"/>
  <c r="L159" i="316" s="1"/>
  <c r="J112" i="316"/>
  <c r="J147" i="274"/>
  <c r="K159" i="274" s="1"/>
  <c r="J149" i="314"/>
  <c r="M159" i="314" s="1"/>
  <c r="I110" i="232"/>
  <c r="I146" i="232" s="1"/>
  <c r="H145" i="232"/>
  <c r="I116" i="276"/>
  <c r="H151" i="276"/>
  <c r="I60" i="217"/>
  <c r="G160" i="283"/>
  <c r="J114" i="281"/>
  <c r="J113" i="291"/>
  <c r="H110" i="305"/>
  <c r="G145" i="305"/>
  <c r="I111" i="254"/>
  <c r="H146" i="254"/>
  <c r="J146" i="254" s="1"/>
  <c r="J159" i="254" s="1"/>
  <c r="J110" i="254"/>
  <c r="I149" i="250"/>
  <c r="J149" i="250" s="1"/>
  <c r="M159" i="250" s="1"/>
  <c r="J113" i="250"/>
  <c r="J152" i="286"/>
  <c r="P159" i="286" s="1"/>
  <c r="J152" i="285"/>
  <c r="P159" i="285" s="1"/>
  <c r="I148" i="309"/>
  <c r="J148" i="309" s="1"/>
  <c r="L159" i="309" s="1"/>
  <c r="J112" i="309"/>
  <c r="I116" i="253"/>
  <c r="H151" i="253"/>
  <c r="J115" i="253"/>
  <c r="H152" i="243"/>
  <c r="J152" i="243" s="1"/>
  <c r="P159" i="243" s="1"/>
  <c r="J116" i="243"/>
  <c r="I152" i="278"/>
  <c r="J147" i="245"/>
  <c r="K159" i="245" s="1"/>
  <c r="I113" i="304"/>
  <c r="H148" i="304"/>
  <c r="J148" i="304" s="1"/>
  <c r="L159" i="304" s="1"/>
  <c r="J112" i="304"/>
  <c r="J147" i="316"/>
  <c r="K159" i="316" s="1"/>
  <c r="J113" i="240"/>
  <c r="J115" i="258"/>
  <c r="H109" i="298"/>
  <c r="G144" i="298"/>
  <c r="J144" i="298" s="1"/>
  <c r="H159" i="298" s="1"/>
  <c r="J75" i="217" s="1"/>
  <c r="I113" i="239"/>
  <c r="H148" i="239"/>
  <c r="I145" i="260"/>
  <c r="J109" i="260"/>
  <c r="I113" i="283"/>
  <c r="H148" i="283"/>
  <c r="I148" i="311"/>
  <c r="J112" i="311"/>
  <c r="I150" i="229"/>
  <c r="J150" i="229" s="1"/>
  <c r="N159" i="229" s="1"/>
  <c r="J114" i="229"/>
  <c r="I115" i="243"/>
  <c r="H150" i="243"/>
  <c r="J150" i="243" s="1"/>
  <c r="N159" i="243" s="1"/>
  <c r="J114" i="243"/>
  <c r="H110" i="297"/>
  <c r="G145" i="297"/>
  <c r="I146" i="316"/>
  <c r="J146" i="316" s="1"/>
  <c r="J159" i="316" s="1"/>
  <c r="J110" i="316"/>
  <c r="J116" i="274"/>
  <c r="I114" i="253"/>
  <c r="H149" i="253"/>
  <c r="J149" i="253" s="1"/>
  <c r="M159" i="253" s="1"/>
  <c r="J113" i="253"/>
  <c r="I110" i="260"/>
  <c r="H145" i="260"/>
  <c r="H110" i="298"/>
  <c r="G145" i="298"/>
  <c r="J152" i="231"/>
  <c r="P159" i="231" s="1"/>
  <c r="I152" i="249"/>
  <c r="J152" i="249" s="1"/>
  <c r="P159" i="249" s="1"/>
  <c r="J116" i="249"/>
  <c r="I116" i="239"/>
  <c r="I152" i="239" s="1"/>
  <c r="H151" i="239"/>
  <c r="J151" i="239" s="1"/>
  <c r="O159" i="239" s="1"/>
  <c r="I146" i="266"/>
  <c r="I115" i="276"/>
  <c r="I151" i="276" s="1"/>
  <c r="H150" i="276"/>
  <c r="I109" i="240"/>
  <c r="H144" i="240"/>
  <c r="J144" i="240" s="1"/>
  <c r="H159" i="240" s="1"/>
  <c r="J108" i="240"/>
  <c r="J116" i="312"/>
  <c r="I110" i="239"/>
  <c r="H145" i="239"/>
  <c r="J144" i="255"/>
  <c r="H159" i="255" s="1"/>
  <c r="H160" i="255" s="1"/>
  <c r="I149" i="268"/>
  <c r="J149" i="268" s="1"/>
  <c r="M159" i="268" s="1"/>
  <c r="J113" i="268"/>
  <c r="J149" i="308"/>
  <c r="M159" i="308" s="1"/>
  <c r="I146" i="291"/>
  <c r="J110" i="291"/>
  <c r="I113" i="234"/>
  <c r="H148" i="234"/>
  <c r="J148" i="234" s="1"/>
  <c r="L159" i="234" s="1"/>
  <c r="J112" i="234"/>
  <c r="I109" i="234"/>
  <c r="H144" i="234"/>
  <c r="J144" i="234" s="1"/>
  <c r="H159" i="234" s="1"/>
  <c r="J144" i="279"/>
  <c r="H159" i="279" s="1"/>
  <c r="J111" i="231"/>
  <c r="I116" i="246"/>
  <c r="H151" i="246"/>
  <c r="J115" i="246"/>
  <c r="J49" i="217"/>
  <c r="H160" i="272"/>
  <c r="I151" i="245"/>
  <c r="J151" i="245" s="1"/>
  <c r="O159" i="245" s="1"/>
  <c r="J115" i="245"/>
  <c r="I110" i="279"/>
  <c r="H145" i="279"/>
  <c r="J109" i="279"/>
  <c r="I151" i="288"/>
  <c r="J151" i="288" s="1"/>
  <c r="O159" i="288" s="1"/>
  <c r="J115" i="288"/>
  <c r="J160" i="289"/>
  <c r="L66" i="217"/>
  <c r="I151" i="229"/>
  <c r="J151" i="229" s="1"/>
  <c r="O159" i="229" s="1"/>
  <c r="J115" i="229"/>
  <c r="G160" i="260"/>
  <c r="I37" i="217"/>
  <c r="J116" i="304"/>
  <c r="I110" i="278"/>
  <c r="H145" i="278"/>
  <c r="J145" i="278" s="1"/>
  <c r="I159" i="278" s="1"/>
  <c r="J109" i="278"/>
  <c r="I116" i="248"/>
  <c r="H151" i="248"/>
  <c r="I150" i="239"/>
  <c r="J150" i="239" s="1"/>
  <c r="N159" i="239" s="1"/>
  <c r="J114" i="239"/>
  <c r="J108" i="234"/>
  <c r="J144" i="237"/>
  <c r="H159" i="237" s="1"/>
  <c r="H160" i="237" s="1"/>
  <c r="J111" i="239"/>
  <c r="J116" i="231"/>
  <c r="I112" i="291"/>
  <c r="H147" i="291"/>
  <c r="J147" i="291" s="1"/>
  <c r="K159" i="291" s="1"/>
  <c r="J111" i="291"/>
  <c r="J147" i="244"/>
  <c r="K159" i="244" s="1"/>
  <c r="H152" i="281"/>
  <c r="J152" i="281" s="1"/>
  <c r="P159" i="281" s="1"/>
  <c r="J116" i="281"/>
  <c r="I111" i="286"/>
  <c r="I147" i="286" s="1"/>
  <c r="H146" i="286"/>
  <c r="I146" i="249"/>
  <c r="J148" i="253"/>
  <c r="L159" i="253" s="1"/>
  <c r="I146" i="283"/>
  <c r="J146" i="283" s="1"/>
  <c r="J159" i="283" s="1"/>
  <c r="J110" i="283"/>
  <c r="I111" i="295"/>
  <c r="H146" i="295"/>
  <c r="J146" i="295" s="1"/>
  <c r="J159" i="295" s="1"/>
  <c r="J110" i="295"/>
  <c r="J148" i="254"/>
  <c r="L159" i="254" s="1"/>
  <c r="H109" i="308"/>
  <c r="G144" i="308"/>
  <c r="J148" i="288"/>
  <c r="L159" i="288" s="1"/>
  <c r="I151" i="262"/>
  <c r="J115" i="262"/>
  <c r="I113" i="255"/>
  <c r="H148" i="255"/>
  <c r="J112" i="255"/>
  <c r="I151" i="247"/>
  <c r="J151" i="247" s="1"/>
  <c r="O159" i="247" s="1"/>
  <c r="J115" i="247"/>
  <c r="I116" i="252"/>
  <c r="H151" i="252"/>
  <c r="J151" i="252" s="1"/>
  <c r="O159" i="252" s="1"/>
  <c r="J115" i="252"/>
  <c r="J151" i="268"/>
  <c r="O159" i="268" s="1"/>
  <c r="R38" i="217"/>
  <c r="P160" i="261"/>
  <c r="H152" i="241"/>
  <c r="I145" i="259"/>
  <c r="J109" i="259"/>
  <c r="I116" i="289"/>
  <c r="H151" i="289"/>
  <c r="J152" i="259"/>
  <c r="P159" i="259" s="1"/>
  <c r="I147" i="288"/>
  <c r="J147" i="288" s="1"/>
  <c r="K159" i="288" s="1"/>
  <c r="J111" i="288"/>
  <c r="I148" i="241"/>
  <c r="J112" i="241"/>
  <c r="I151" i="309"/>
  <c r="J151" i="309" s="1"/>
  <c r="O159" i="309" s="1"/>
  <c r="J115" i="309"/>
  <c r="I151" i="316"/>
  <c r="J115" i="316"/>
  <c r="I113" i="279"/>
  <c r="H148" i="279"/>
  <c r="K160" i="293"/>
  <c r="M70" i="217"/>
  <c r="I115" i="312"/>
  <c r="H150" i="312"/>
  <c r="J150" i="312" s="1"/>
  <c r="N159" i="312" s="1"/>
  <c r="J114" i="312"/>
  <c r="I150" i="284"/>
  <c r="I150" i="272"/>
  <c r="J114" i="272"/>
  <c r="I109" i="268"/>
  <c r="H144" i="268"/>
  <c r="J144" i="268" s="1"/>
  <c r="H159" i="268" s="1"/>
  <c r="J108" i="268"/>
  <c r="I110" i="267"/>
  <c r="H145" i="267"/>
  <c r="J145" i="267" s="1"/>
  <c r="I159" i="267" s="1"/>
  <c r="J109" i="267"/>
  <c r="J147" i="285"/>
  <c r="K159" i="285" s="1"/>
  <c r="J112" i="254"/>
  <c r="H152" i="316"/>
  <c r="J115" i="311"/>
  <c r="J110" i="250"/>
  <c r="J115" i="286"/>
  <c r="I114" i="288"/>
  <c r="H149" i="288"/>
  <c r="I111" i="240"/>
  <c r="H146" i="240"/>
  <c r="J146" i="240" s="1"/>
  <c r="J159" i="240" s="1"/>
  <c r="J110" i="240"/>
  <c r="J150" i="309"/>
  <c r="N159" i="309" s="1"/>
  <c r="J115" i="268"/>
  <c r="J147" i="234"/>
  <c r="K159" i="234" s="1"/>
  <c r="I114" i="278"/>
  <c r="I150" i="278" s="1"/>
  <c r="H149" i="278"/>
  <c r="I116" i="316"/>
  <c r="I152" i="316" s="1"/>
  <c r="H151" i="316"/>
  <c r="I145" i="276"/>
  <c r="J109" i="276"/>
  <c r="J150" i="282"/>
  <c r="N159" i="282" s="1"/>
  <c r="I43" i="217"/>
  <c r="G160" i="266"/>
  <c r="I115" i="278"/>
  <c r="H150" i="278"/>
  <c r="J146" i="265"/>
  <c r="J159" i="265" s="1"/>
  <c r="J149" i="315"/>
  <c r="M159" i="315" s="1"/>
  <c r="I110" i="253"/>
  <c r="H145" i="253"/>
  <c r="I146" i="229"/>
  <c r="J146" i="229" s="1"/>
  <c r="J159" i="229" s="1"/>
  <c r="J110" i="229"/>
  <c r="J112" i="236"/>
  <c r="J114" i="274"/>
  <c r="I113" i="274"/>
  <c r="H148" i="274"/>
  <c r="J148" i="274" s="1"/>
  <c r="L159" i="274" s="1"/>
  <c r="J112" i="274"/>
  <c r="I115" i="314"/>
  <c r="H150" i="314"/>
  <c r="J150" i="314" s="1"/>
  <c r="N159" i="314" s="1"/>
  <c r="J114" i="314"/>
  <c r="I146" i="272"/>
  <c r="J146" i="272" s="1"/>
  <c r="J159" i="272" s="1"/>
  <c r="J110" i="272"/>
  <c r="J150" i="246"/>
  <c r="N159" i="246" s="1"/>
  <c r="I109" i="283"/>
  <c r="H144" i="283"/>
  <c r="J144" i="283" s="1"/>
  <c r="H159" i="283" s="1"/>
  <c r="J108" i="283"/>
  <c r="J144" i="312"/>
  <c r="H159" i="312" s="1"/>
  <c r="I17" i="217"/>
  <c r="G160" i="240"/>
  <c r="I110" i="293"/>
  <c r="H145" i="293"/>
  <c r="J145" i="293" s="1"/>
  <c r="I159" i="293" s="1"/>
  <c r="J109" i="293"/>
  <c r="I151" i="261"/>
  <c r="J151" i="261" s="1"/>
  <c r="O159" i="261" s="1"/>
  <c r="J115" i="261"/>
  <c r="J145" i="274"/>
  <c r="I159" i="274" s="1"/>
  <c r="J113" i="289"/>
  <c r="I151" i="293"/>
  <c r="J115" i="293"/>
  <c r="J147" i="229"/>
  <c r="K159" i="229" s="1"/>
  <c r="H152" i="315"/>
  <c r="J152" i="315" s="1"/>
  <c r="P159" i="315" s="1"/>
  <c r="J116" i="315"/>
  <c r="J116" i="259"/>
  <c r="I116" i="262"/>
  <c r="H151" i="262"/>
  <c r="I148" i="233"/>
  <c r="J112" i="233"/>
  <c r="H152" i="233"/>
  <c r="J152" i="233" s="1"/>
  <c r="P159" i="233" s="1"/>
  <c r="J116" i="233"/>
  <c r="J152" i="295"/>
  <c r="P159" i="295" s="1"/>
  <c r="I146" i="284"/>
  <c r="J146" i="284" s="1"/>
  <c r="J159" i="284" s="1"/>
  <c r="J110" i="284"/>
  <c r="I113" i="245"/>
  <c r="H148" i="245"/>
  <c r="J148" i="245" s="1"/>
  <c r="L159" i="245" s="1"/>
  <c r="J112" i="245"/>
  <c r="J110" i="245"/>
  <c r="I149" i="237"/>
  <c r="I152" i="237"/>
  <c r="J114" i="263"/>
  <c r="J116" i="313"/>
  <c r="I146" i="315"/>
  <c r="J146" i="315" s="1"/>
  <c r="J159" i="315" s="1"/>
  <c r="J110" i="315"/>
  <c r="I148" i="315"/>
  <c r="J148" i="315" s="1"/>
  <c r="L159" i="315" s="1"/>
  <c r="J112" i="315"/>
  <c r="I148" i="263"/>
  <c r="J148" i="263" s="1"/>
  <c r="L159" i="263" s="1"/>
  <c r="J112" i="263"/>
  <c r="J150" i="263"/>
  <c r="N159" i="263" s="1"/>
  <c r="N160" i="263" s="1"/>
  <c r="P160" i="313"/>
  <c r="J151" i="305"/>
  <c r="O159" i="305" s="1"/>
  <c r="O160" i="305" s="1"/>
  <c r="J152" i="250"/>
  <c r="P159" i="250" s="1"/>
  <c r="R27" i="217" s="1"/>
  <c r="J151" i="301"/>
  <c r="O159" i="301" s="1"/>
  <c r="O160" i="301" s="1"/>
  <c r="P27" i="217"/>
  <c r="J150" i="251"/>
  <c r="N159" i="251" s="1"/>
  <c r="P28" i="217" s="1"/>
  <c r="J151" i="313"/>
  <c r="O159" i="313" s="1"/>
  <c r="Q90" i="217" s="1"/>
  <c r="J149" i="305"/>
  <c r="M159" i="305" s="1"/>
  <c r="O82" i="217" s="1"/>
  <c r="J115" i="313"/>
  <c r="J113" i="305"/>
  <c r="F160" i="299"/>
  <c r="H76" i="217"/>
  <c r="I147" i="248"/>
  <c r="J147" i="248" s="1"/>
  <c r="K159" i="248" s="1"/>
  <c r="J111" i="248"/>
  <c r="H110" i="307"/>
  <c r="G145" i="307"/>
  <c r="H109" i="301"/>
  <c r="G144" i="301"/>
  <c r="I151" i="299"/>
  <c r="J151" i="299" s="1"/>
  <c r="O159" i="299" s="1"/>
  <c r="J115" i="299"/>
  <c r="R76" i="217"/>
  <c r="P160" i="299"/>
  <c r="H110" i="296"/>
  <c r="G145" i="296"/>
  <c r="I147" i="251"/>
  <c r="I150" i="305"/>
  <c r="J150" i="305" s="1"/>
  <c r="N159" i="305" s="1"/>
  <c r="J114" i="305"/>
  <c r="I148" i="239"/>
  <c r="J112" i="239"/>
  <c r="I150" i="301"/>
  <c r="J150" i="301" s="1"/>
  <c r="N159" i="301" s="1"/>
  <c r="J114" i="301"/>
  <c r="I145" i="255"/>
  <c r="J109" i="255"/>
  <c r="I151" i="251"/>
  <c r="J151" i="251" s="1"/>
  <c r="O159" i="251" s="1"/>
  <c r="J115" i="251"/>
  <c r="J152" i="305"/>
  <c r="P159" i="305" s="1"/>
  <c r="R82" i="217" s="1"/>
  <c r="J116" i="299"/>
  <c r="J115" i="301"/>
  <c r="H109" i="299"/>
  <c r="G144" i="299"/>
  <c r="I148" i="313"/>
  <c r="J148" i="313" s="1"/>
  <c r="L159" i="313" s="1"/>
  <c r="J112" i="313"/>
  <c r="I148" i="296"/>
  <c r="J148" i="296" s="1"/>
  <c r="L159" i="296" s="1"/>
  <c r="J112" i="296"/>
  <c r="I150" i="313"/>
  <c r="J150" i="313" s="1"/>
  <c r="N159" i="313" s="1"/>
  <c r="J114" i="313"/>
  <c r="I148" i="240"/>
  <c r="J148" i="240" s="1"/>
  <c r="L159" i="240" s="1"/>
  <c r="J112" i="240"/>
  <c r="J149" i="251"/>
  <c r="M159" i="251" s="1"/>
  <c r="M160" i="251" s="1"/>
  <c r="J116" i="305"/>
  <c r="J115" i="305"/>
  <c r="H109" i="296"/>
  <c r="G144" i="296"/>
  <c r="H108" i="305"/>
  <c r="G143" i="305"/>
  <c r="J143" i="305" s="1"/>
  <c r="G159" i="305" s="1"/>
  <c r="M90" i="217"/>
  <c r="K160" i="313"/>
  <c r="I146" i="257"/>
  <c r="J146" i="257" s="1"/>
  <c r="J159" i="257" s="1"/>
  <c r="J110" i="257"/>
  <c r="M160" i="313"/>
  <c r="O90" i="217"/>
  <c r="I152" i="301"/>
  <c r="J152" i="301" s="1"/>
  <c r="P159" i="301" s="1"/>
  <c r="J116" i="301"/>
  <c r="J116" i="307"/>
  <c r="J116" i="250"/>
  <c r="J114" i="251"/>
  <c r="J116" i="298"/>
  <c r="J115" i="302"/>
  <c r="J115" i="298"/>
  <c r="J150" i="300"/>
  <c r="N159" i="300" s="1"/>
  <c r="P77" i="217" s="1"/>
  <c r="J152" i="298"/>
  <c r="P159" i="298" s="1"/>
  <c r="P160" i="298" s="1"/>
  <c r="P79" i="217"/>
  <c r="N160" i="302"/>
  <c r="H73" i="217"/>
  <c r="F160" i="296"/>
  <c r="P160" i="302"/>
  <c r="R79" i="217"/>
  <c r="M160" i="300"/>
  <c r="O77" i="217"/>
  <c r="H108" i="296"/>
  <c r="J107" i="296"/>
  <c r="G143" i="296"/>
  <c r="J143" i="296" s="1"/>
  <c r="G159" i="296" s="1"/>
  <c r="J116" i="302"/>
  <c r="J114" i="300"/>
  <c r="J151" i="302"/>
  <c r="O159" i="302" s="1"/>
  <c r="I151" i="300"/>
  <c r="J151" i="300" s="1"/>
  <c r="O159" i="300" s="1"/>
  <c r="J115" i="300"/>
  <c r="H108" i="307"/>
  <c r="G143" i="307"/>
  <c r="I152" i="300"/>
  <c r="J152" i="300" s="1"/>
  <c r="P159" i="300" s="1"/>
  <c r="J116" i="300"/>
  <c r="J150" i="298"/>
  <c r="N159" i="298" s="1"/>
  <c r="P75" i="217" s="1"/>
  <c r="J151" i="298"/>
  <c r="O159" i="298" s="1"/>
  <c r="H105" i="217"/>
  <c r="P64" i="217"/>
  <c r="J54" i="217"/>
  <c r="H160" i="290"/>
  <c r="G160" i="298"/>
  <c r="I67" i="217"/>
  <c r="I11" i="217"/>
  <c r="H160" i="269"/>
  <c r="N160" i="267"/>
  <c r="I33" i="217"/>
  <c r="I18" i="217"/>
  <c r="J113" i="270"/>
  <c r="J116" i="270"/>
  <c r="I152" i="263"/>
  <c r="J152" i="263" s="1"/>
  <c r="P159" i="263" s="1"/>
  <c r="J116" i="263"/>
  <c r="G145" i="263"/>
  <c r="J151" i="270"/>
  <c r="O159" i="270" s="1"/>
  <c r="J149" i="270"/>
  <c r="M159" i="270" s="1"/>
  <c r="J152" i="270"/>
  <c r="P159" i="270" s="1"/>
  <c r="N47" i="217"/>
  <c r="L160" i="270"/>
  <c r="I151" i="263"/>
  <c r="J151" i="263" s="1"/>
  <c r="O159" i="263" s="1"/>
  <c r="J115" i="263"/>
  <c r="I150" i="270"/>
  <c r="J150" i="270" s="1"/>
  <c r="N159" i="270" s="1"/>
  <c r="J114" i="270"/>
  <c r="G145" i="270"/>
  <c r="J115" i="270"/>
  <c r="J149" i="310"/>
  <c r="M159" i="310" s="1"/>
  <c r="J148" i="275"/>
  <c r="L159" i="275" s="1"/>
  <c r="J152" i="314"/>
  <c r="P159" i="314" s="1"/>
  <c r="J150" i="275"/>
  <c r="N159" i="275" s="1"/>
  <c r="J109" i="310"/>
  <c r="J116" i="314"/>
  <c r="J112" i="275"/>
  <c r="J115" i="267"/>
  <c r="J113" i="310"/>
  <c r="J147" i="275"/>
  <c r="K159" i="275" s="1"/>
  <c r="J145" i="310"/>
  <c r="I159" i="310" s="1"/>
  <c r="J116" i="310"/>
  <c r="J151" i="267"/>
  <c r="O159" i="267" s="1"/>
  <c r="L160" i="310"/>
  <c r="N87" i="217"/>
  <c r="J87" i="217"/>
  <c r="H160" i="310"/>
  <c r="I151" i="310"/>
  <c r="J151" i="310" s="1"/>
  <c r="O159" i="310" s="1"/>
  <c r="J115" i="310"/>
  <c r="I152" i="275"/>
  <c r="J152" i="275" s="1"/>
  <c r="P159" i="275" s="1"/>
  <c r="J116" i="275"/>
  <c r="I151" i="275"/>
  <c r="J151" i="275" s="1"/>
  <c r="O159" i="275" s="1"/>
  <c r="J115" i="275"/>
  <c r="P160" i="310"/>
  <c r="R87" i="217"/>
  <c r="I145" i="271"/>
  <c r="J109" i="271"/>
  <c r="I150" i="310"/>
  <c r="J150" i="310" s="1"/>
  <c r="N159" i="310" s="1"/>
  <c r="J114" i="310"/>
  <c r="H160" i="271"/>
  <c r="J48" i="217"/>
  <c r="I149" i="275"/>
  <c r="J149" i="275" s="1"/>
  <c r="M159" i="275" s="1"/>
  <c r="J113" i="275"/>
  <c r="I146" i="275"/>
  <c r="J110" i="275"/>
  <c r="I146" i="310"/>
  <c r="J146" i="310" s="1"/>
  <c r="J159" i="310" s="1"/>
  <c r="J110" i="310"/>
  <c r="J152" i="287"/>
  <c r="P159" i="287" s="1"/>
  <c r="J116" i="287"/>
  <c r="N160" i="287"/>
  <c r="J114" i="275"/>
  <c r="J145" i="275"/>
  <c r="I159" i="275" s="1"/>
  <c r="I151" i="287"/>
  <c r="J151" i="287" s="1"/>
  <c r="O159" i="287" s="1"/>
  <c r="J115" i="287"/>
  <c r="I147" i="314"/>
  <c r="J111" i="314"/>
  <c r="J52" i="217"/>
  <c r="H160" i="275"/>
  <c r="J111" i="264"/>
  <c r="J111" i="275"/>
  <c r="J109" i="275"/>
  <c r="J151" i="269"/>
  <c r="O159" i="269" s="1"/>
  <c r="J116" i="306"/>
  <c r="P44" i="217"/>
  <c r="J150" i="290"/>
  <c r="N159" i="290" s="1"/>
  <c r="J151" i="306"/>
  <c r="O159" i="306" s="1"/>
  <c r="J115" i="269"/>
  <c r="N160" i="306"/>
  <c r="P83" i="217"/>
  <c r="N160" i="236"/>
  <c r="P13" i="217"/>
  <c r="M160" i="292"/>
  <c r="O69" i="217"/>
  <c r="N160" i="294"/>
  <c r="P71" i="217"/>
  <c r="I151" i="248"/>
  <c r="J115" i="248"/>
  <c r="I152" i="266"/>
  <c r="J152" i="266" s="1"/>
  <c r="P159" i="266" s="1"/>
  <c r="J116" i="266"/>
  <c r="J116" i="267"/>
  <c r="N160" i="277"/>
  <c r="P54" i="217"/>
  <c r="N160" i="271"/>
  <c r="P48" i="217"/>
  <c r="N160" i="264"/>
  <c r="P41" i="217"/>
  <c r="N160" i="296"/>
  <c r="P73" i="217"/>
  <c r="J151" i="266"/>
  <c r="O159" i="266" s="1"/>
  <c r="M160" i="277"/>
  <c r="O54" i="217"/>
  <c r="N160" i="292"/>
  <c r="P69" i="217"/>
  <c r="N160" i="269"/>
  <c r="P46" i="217"/>
  <c r="J116" i="269"/>
  <c r="I152" i="269"/>
  <c r="J152" i="269" s="1"/>
  <c r="P159" i="269" s="1"/>
  <c r="I151" i="290"/>
  <c r="J151" i="290" s="1"/>
  <c r="O159" i="290" s="1"/>
  <c r="J115" i="290"/>
  <c r="J152" i="267"/>
  <c r="P159" i="267" s="1"/>
  <c r="J152" i="290"/>
  <c r="P159" i="290" s="1"/>
  <c r="J115" i="306"/>
  <c r="J116" i="290"/>
  <c r="J115" i="266"/>
  <c r="J152" i="306"/>
  <c r="P159" i="306" s="1"/>
  <c r="J114" i="277"/>
  <c r="J116" i="277"/>
  <c r="J152" i="271"/>
  <c r="P159" i="271" s="1"/>
  <c r="J116" i="245"/>
  <c r="J152" i="294"/>
  <c r="P159" i="294" s="1"/>
  <c r="J115" i="264"/>
  <c r="J116" i="236"/>
  <c r="J152" i="245"/>
  <c r="P159" i="245" s="1"/>
  <c r="J152" i="292"/>
  <c r="P159" i="292" s="1"/>
  <c r="J116" i="292"/>
  <c r="J152" i="236"/>
  <c r="P159" i="236" s="1"/>
  <c r="J115" i="236"/>
  <c r="J152" i="277"/>
  <c r="P159" i="277" s="1"/>
  <c r="J152" i="264"/>
  <c r="P159" i="264" s="1"/>
  <c r="H152" i="303"/>
  <c r="J152" i="296"/>
  <c r="P159" i="296" s="1"/>
  <c r="J151" i="236"/>
  <c r="O159" i="236" s="1"/>
  <c r="J116" i="296"/>
  <c r="J151" i="264"/>
  <c r="O159" i="264" s="1"/>
  <c r="J115" i="250"/>
  <c r="I151" i="250"/>
  <c r="J151" i="250" s="1"/>
  <c r="O159" i="250" s="1"/>
  <c r="J115" i="296"/>
  <c r="I151" i="296"/>
  <c r="J151" i="296" s="1"/>
  <c r="O159" i="296" s="1"/>
  <c r="I151" i="271"/>
  <c r="J151" i="271" s="1"/>
  <c r="O159" i="271" s="1"/>
  <c r="J115" i="271"/>
  <c r="I152" i="303"/>
  <c r="H151" i="303"/>
  <c r="J116" i="294"/>
  <c r="J116" i="264"/>
  <c r="J115" i="294"/>
  <c r="I151" i="294"/>
  <c r="J151" i="294" s="1"/>
  <c r="O159" i="294" s="1"/>
  <c r="J115" i="277"/>
  <c r="I151" i="277"/>
  <c r="J151" i="277" s="1"/>
  <c r="O159" i="277" s="1"/>
  <c r="I151" i="292"/>
  <c r="J151" i="292" s="1"/>
  <c r="O159" i="292" s="1"/>
  <c r="J115" i="292"/>
  <c r="J116" i="271"/>
  <c r="J147" i="264"/>
  <c r="K159" i="264" s="1"/>
  <c r="G160" i="241"/>
  <c r="G160" i="234"/>
  <c r="J144" i="241"/>
  <c r="H159" i="241" s="1"/>
  <c r="I75" i="217"/>
  <c r="G160" i="256"/>
  <c r="G160" i="290"/>
  <c r="J67" i="217"/>
  <c r="H160" i="247"/>
  <c r="J24" i="217"/>
  <c r="H160" i="277"/>
  <c r="J46" i="217"/>
  <c r="H160" i="262"/>
  <c r="J39" i="217"/>
  <c r="H160" i="248"/>
  <c r="J25" i="217"/>
  <c r="H160" i="292"/>
  <c r="J69" i="217"/>
  <c r="H160" i="294"/>
  <c r="J71" i="217"/>
  <c r="H160" i="256"/>
  <c r="J33" i="217"/>
  <c r="H160" i="258"/>
  <c r="J35" i="217"/>
  <c r="J145" i="314" l="1"/>
  <c r="I159" i="314" s="1"/>
  <c r="K91" i="217" s="1"/>
  <c r="I149" i="309"/>
  <c r="J149" i="309" s="1"/>
  <c r="M159" i="309" s="1"/>
  <c r="O86" i="217" s="1"/>
  <c r="J108" i="316"/>
  <c r="J108" i="242"/>
  <c r="J19" i="217"/>
  <c r="I109" i="242"/>
  <c r="J109" i="242" s="1"/>
  <c r="J115" i="307"/>
  <c r="N160" i="307"/>
  <c r="H109" i="305"/>
  <c r="H145" i="305" s="1"/>
  <c r="J145" i="276"/>
  <c r="I159" i="276" s="1"/>
  <c r="K53" i="217" s="1"/>
  <c r="F144" i="299"/>
  <c r="J114" i="304"/>
  <c r="J115" i="249"/>
  <c r="J142" i="308"/>
  <c r="F159" i="308" s="1"/>
  <c r="H85" i="217" s="1"/>
  <c r="H109" i="297"/>
  <c r="I110" i="297" s="1"/>
  <c r="I146" i="297" s="1"/>
  <c r="H150" i="315"/>
  <c r="J150" i="315" s="1"/>
  <c r="N159" i="315" s="1"/>
  <c r="N160" i="315" s="1"/>
  <c r="F142" i="304"/>
  <c r="J142" i="304" s="1"/>
  <c r="F159" i="304" s="1"/>
  <c r="F160" i="304" s="1"/>
  <c r="H144" i="309"/>
  <c r="J144" i="309" s="1"/>
  <c r="H159" i="309" s="1"/>
  <c r="H160" i="309" s="1"/>
  <c r="J108" i="309"/>
  <c r="J109" i="229"/>
  <c r="I115" i="315"/>
  <c r="I151" i="315" s="1"/>
  <c r="J151" i="315" s="1"/>
  <c r="O159" i="315" s="1"/>
  <c r="G85" i="217"/>
  <c r="G108" i="300"/>
  <c r="J108" i="300" s="1"/>
  <c r="J108" i="305"/>
  <c r="F143" i="297"/>
  <c r="J146" i="291"/>
  <c r="J159" i="291" s="1"/>
  <c r="L68" i="217" s="1"/>
  <c r="N79" i="217"/>
  <c r="H77" i="217"/>
  <c r="J109" i="306"/>
  <c r="H144" i="316"/>
  <c r="J144" i="316" s="1"/>
  <c r="H159" i="316" s="1"/>
  <c r="J93" i="217" s="1"/>
  <c r="J150" i="304"/>
  <c r="N159" i="304" s="1"/>
  <c r="P81" i="217" s="1"/>
  <c r="J109" i="316"/>
  <c r="G81" i="217"/>
  <c r="J107" i="300"/>
  <c r="H160" i="229"/>
  <c r="H110" i="306"/>
  <c r="H146" i="306" s="1"/>
  <c r="J146" i="306" s="1"/>
  <c r="J159" i="306" s="1"/>
  <c r="J108" i="306"/>
  <c r="G160" i="316"/>
  <c r="H108" i="299"/>
  <c r="J108" i="299" s="1"/>
  <c r="J66" i="217"/>
  <c r="F106" i="303"/>
  <c r="G107" i="303" s="1"/>
  <c r="G145" i="308"/>
  <c r="I68" i="217"/>
  <c r="E141" i="303"/>
  <c r="J141" i="303" s="1"/>
  <c r="E159" i="303" s="1"/>
  <c r="E160" i="303" s="1"/>
  <c r="F144" i="306"/>
  <c r="J144" i="306" s="1"/>
  <c r="H159" i="306" s="1"/>
  <c r="H160" i="306" s="1"/>
  <c r="J107" i="308"/>
  <c r="J114" i="244"/>
  <c r="G143" i="299"/>
  <c r="J143" i="299" s="1"/>
  <c r="G159" i="299" s="1"/>
  <c r="G160" i="299" s="1"/>
  <c r="I83" i="217"/>
  <c r="I115" i="291"/>
  <c r="I151" i="291" s="1"/>
  <c r="H150" i="291"/>
  <c r="J150" i="291" s="1"/>
  <c r="N159" i="291" s="1"/>
  <c r="N160" i="291" s="1"/>
  <c r="F160" i="305"/>
  <c r="J114" i="291"/>
  <c r="I79" i="217"/>
  <c r="G143" i="304"/>
  <c r="J143" i="304" s="1"/>
  <c r="G159" i="304" s="1"/>
  <c r="I81" i="217" s="1"/>
  <c r="J109" i="289"/>
  <c r="F160" i="307"/>
  <c r="J151" i="293"/>
  <c r="O159" i="293" s="1"/>
  <c r="Q70" i="217" s="1"/>
  <c r="H108" i="304"/>
  <c r="I109" i="304" s="1"/>
  <c r="F80" i="217"/>
  <c r="J106" i="304"/>
  <c r="E160" i="297"/>
  <c r="F160" i="302"/>
  <c r="I19" i="217"/>
  <c r="H160" i="274"/>
  <c r="J109" i="284"/>
  <c r="J116" i="254"/>
  <c r="N160" i="293"/>
  <c r="J143" i="300"/>
  <c r="G159" i="300" s="1"/>
  <c r="I77" i="217" s="1"/>
  <c r="G144" i="307"/>
  <c r="G145" i="300"/>
  <c r="J144" i="286"/>
  <c r="H159" i="286" s="1"/>
  <c r="J63" i="217" s="1"/>
  <c r="F142" i="301"/>
  <c r="J142" i="301" s="1"/>
  <c r="F159" i="301" s="1"/>
  <c r="H78" i="217" s="1"/>
  <c r="G107" i="297"/>
  <c r="G143" i="297" s="1"/>
  <c r="G107" i="301"/>
  <c r="J107" i="301" s="1"/>
  <c r="F142" i="297"/>
  <c r="J142" i="297" s="1"/>
  <c r="F159" i="297" s="1"/>
  <c r="H74" i="217" s="1"/>
  <c r="G143" i="308"/>
  <c r="J143" i="308" s="1"/>
  <c r="G159" i="308" s="1"/>
  <c r="G160" i="308" s="1"/>
  <c r="H144" i="254"/>
  <c r="J144" i="254" s="1"/>
  <c r="H159" i="254" s="1"/>
  <c r="H160" i="254" s="1"/>
  <c r="F143" i="307"/>
  <c r="J143" i="307" s="1"/>
  <c r="G159" i="307" s="1"/>
  <c r="G160" i="307" s="1"/>
  <c r="J107" i="307"/>
  <c r="J145" i="312"/>
  <c r="I159" i="312" s="1"/>
  <c r="I160" i="312" s="1"/>
  <c r="I41" i="217"/>
  <c r="J116" i="278"/>
  <c r="O79" i="217"/>
  <c r="M160" i="302"/>
  <c r="J116" i="293"/>
  <c r="J152" i="278"/>
  <c r="P159" i="278" s="1"/>
  <c r="R55" i="217" s="1"/>
  <c r="P74" i="217"/>
  <c r="R24" i="217"/>
  <c r="G78" i="217"/>
  <c r="E160" i="301"/>
  <c r="M160" i="306"/>
  <c r="O83" i="217"/>
  <c r="G160" i="313"/>
  <c r="I90" i="217"/>
  <c r="I109" i="313"/>
  <c r="J108" i="313"/>
  <c r="H144" i="313"/>
  <c r="J144" i="313" s="1"/>
  <c r="H159" i="313" s="1"/>
  <c r="H146" i="312"/>
  <c r="I111" i="312"/>
  <c r="O76" i="217"/>
  <c r="M160" i="299"/>
  <c r="N74" i="217"/>
  <c r="L160" i="297"/>
  <c r="I92" i="217"/>
  <c r="G160" i="315"/>
  <c r="H111" i="303"/>
  <c r="J111" i="303" s="1"/>
  <c r="G146" i="303"/>
  <c r="J146" i="303" s="1"/>
  <c r="J159" i="303" s="1"/>
  <c r="J110" i="303"/>
  <c r="I109" i="315"/>
  <c r="H144" i="315"/>
  <c r="J144" i="315" s="1"/>
  <c r="H159" i="315" s="1"/>
  <c r="J108" i="315"/>
  <c r="I149" i="297"/>
  <c r="J149" i="297" s="1"/>
  <c r="M159" i="297" s="1"/>
  <c r="J113" i="297"/>
  <c r="I111" i="309"/>
  <c r="H146" i="309"/>
  <c r="J146" i="309" s="1"/>
  <c r="J159" i="309" s="1"/>
  <c r="J110" i="309"/>
  <c r="H151" i="291"/>
  <c r="I116" i="291"/>
  <c r="H112" i="303"/>
  <c r="G147" i="303"/>
  <c r="I109" i="254"/>
  <c r="I145" i="254" s="1"/>
  <c r="J145" i="254" s="1"/>
  <c r="I159" i="254" s="1"/>
  <c r="G160" i="254"/>
  <c r="J145" i="232"/>
  <c r="I159" i="232" s="1"/>
  <c r="I160" i="232" s="1"/>
  <c r="H160" i="295"/>
  <c r="J109" i="232"/>
  <c r="J109" i="295"/>
  <c r="G160" i="233"/>
  <c r="I10" i="217"/>
  <c r="J147" i="278"/>
  <c r="K159" i="278" s="1"/>
  <c r="K160" i="278" s="1"/>
  <c r="J150" i="256"/>
  <c r="N159" i="256" s="1"/>
  <c r="P33" i="217" s="1"/>
  <c r="P160" i="258"/>
  <c r="I109" i="233"/>
  <c r="I145" i="233" s="1"/>
  <c r="H144" i="233"/>
  <c r="J144" i="233" s="1"/>
  <c r="H159" i="233" s="1"/>
  <c r="J108" i="233"/>
  <c r="H160" i="259"/>
  <c r="H160" i="249"/>
  <c r="O33" i="217"/>
  <c r="J59" i="217"/>
  <c r="R31" i="217"/>
  <c r="M160" i="263"/>
  <c r="I111" i="260"/>
  <c r="H146" i="260"/>
  <c r="J160" i="245"/>
  <c r="I116" i="244"/>
  <c r="H151" i="244"/>
  <c r="J160" i="246"/>
  <c r="J150" i="244"/>
  <c r="N159" i="244" s="1"/>
  <c r="N160" i="244" s="1"/>
  <c r="F143" i="263"/>
  <c r="J143" i="263" s="1"/>
  <c r="G159" i="263" s="1"/>
  <c r="G160" i="263" s="1"/>
  <c r="G160" i="235"/>
  <c r="I12" i="217"/>
  <c r="J108" i="287"/>
  <c r="I109" i="287"/>
  <c r="H144" i="287"/>
  <c r="J144" i="287" s="1"/>
  <c r="H159" i="287" s="1"/>
  <c r="J116" i="237"/>
  <c r="J148" i="233"/>
  <c r="L159" i="233" s="1"/>
  <c r="N10" i="217" s="1"/>
  <c r="I112" i="246"/>
  <c r="I148" i="246" s="1"/>
  <c r="H147" i="246"/>
  <c r="J147" i="246" s="1"/>
  <c r="K159" i="246" s="1"/>
  <c r="J148" i="241"/>
  <c r="L159" i="241" s="1"/>
  <c r="L160" i="241" s="1"/>
  <c r="J148" i="255"/>
  <c r="L159" i="255" s="1"/>
  <c r="N32" i="217" s="1"/>
  <c r="O25" i="217"/>
  <c r="G108" i="263"/>
  <c r="J108" i="263" s="1"/>
  <c r="G160" i="287"/>
  <c r="I64" i="217"/>
  <c r="I109" i="235"/>
  <c r="I145" i="235" s="1"/>
  <c r="H144" i="235"/>
  <c r="J144" i="235" s="1"/>
  <c r="H159" i="235" s="1"/>
  <c r="J145" i="259"/>
  <c r="I159" i="259" s="1"/>
  <c r="I160" i="259" s="1"/>
  <c r="J147" i="261"/>
  <c r="K159" i="261" s="1"/>
  <c r="K160" i="261" s="1"/>
  <c r="J116" i="279"/>
  <c r="K160" i="287"/>
  <c r="I116" i="255"/>
  <c r="H151" i="255"/>
  <c r="J151" i="255" s="1"/>
  <c r="O159" i="255" s="1"/>
  <c r="Q32" i="217" s="1"/>
  <c r="I110" i="282"/>
  <c r="H145" i="282"/>
  <c r="J145" i="282" s="1"/>
  <c r="I159" i="282" s="1"/>
  <c r="K59" i="217" s="1"/>
  <c r="J152" i="237"/>
  <c r="P159" i="237" s="1"/>
  <c r="R14" i="217" s="1"/>
  <c r="M160" i="230"/>
  <c r="H160" i="285"/>
  <c r="I110" i="288"/>
  <c r="H145" i="288"/>
  <c r="I160" i="249"/>
  <c r="K26" i="217"/>
  <c r="I109" i="253"/>
  <c r="H144" i="253"/>
  <c r="J144" i="253" s="1"/>
  <c r="H159" i="253" s="1"/>
  <c r="J30" i="217" s="1"/>
  <c r="J108" i="253"/>
  <c r="K160" i="241"/>
  <c r="P7" i="217"/>
  <c r="J145" i="237"/>
  <c r="I159" i="237" s="1"/>
  <c r="I160" i="237" s="1"/>
  <c r="J148" i="276"/>
  <c r="L159" i="276" s="1"/>
  <c r="L160" i="276" s="1"/>
  <c r="P160" i="279"/>
  <c r="I27" i="217"/>
  <c r="H146" i="255"/>
  <c r="I111" i="255"/>
  <c r="P160" i="307"/>
  <c r="J151" i="246"/>
  <c r="O159" i="246" s="1"/>
  <c r="O160" i="246" s="1"/>
  <c r="J151" i="253"/>
  <c r="O159" i="253" s="1"/>
  <c r="O160" i="253" s="1"/>
  <c r="J148" i="260"/>
  <c r="L159" i="260" s="1"/>
  <c r="L160" i="260" s="1"/>
  <c r="I160" i="230"/>
  <c r="J112" i="247"/>
  <c r="I30" i="217"/>
  <c r="G160" i="253"/>
  <c r="I116" i="256"/>
  <c r="H151" i="256"/>
  <c r="N14" i="217"/>
  <c r="L160" i="237"/>
  <c r="J112" i="287"/>
  <c r="K160" i="247"/>
  <c r="H146" i="237"/>
  <c r="I111" i="237"/>
  <c r="H110" i="299"/>
  <c r="G145" i="299"/>
  <c r="I113" i="278"/>
  <c r="H148" i="278"/>
  <c r="J148" i="278" s="1"/>
  <c r="L159" i="278" s="1"/>
  <c r="G160" i="251"/>
  <c r="I28" i="217"/>
  <c r="I111" i="266"/>
  <c r="I147" i="266" s="1"/>
  <c r="H146" i="266"/>
  <c r="J146" i="266" s="1"/>
  <c r="J159" i="266" s="1"/>
  <c r="J160" i="266" s="1"/>
  <c r="H149" i="249"/>
  <c r="J149" i="249" s="1"/>
  <c r="M159" i="249" s="1"/>
  <c r="M160" i="249" s="1"/>
  <c r="I114" i="249"/>
  <c r="I116" i="284"/>
  <c r="H151" i="284"/>
  <c r="I114" i="231"/>
  <c r="H149" i="231"/>
  <c r="J149" i="231" s="1"/>
  <c r="M159" i="231" s="1"/>
  <c r="M160" i="231" s="1"/>
  <c r="J150" i="272"/>
  <c r="N159" i="272" s="1"/>
  <c r="P49" i="217" s="1"/>
  <c r="J110" i="266"/>
  <c r="J150" i="240"/>
  <c r="N159" i="240" s="1"/>
  <c r="P17" i="217" s="1"/>
  <c r="J112" i="278"/>
  <c r="I110" i="286"/>
  <c r="H145" i="286"/>
  <c r="J145" i="286" s="1"/>
  <c r="I159" i="286" s="1"/>
  <c r="K63" i="217" s="1"/>
  <c r="K160" i="284"/>
  <c r="M61" i="217"/>
  <c r="I116" i="241"/>
  <c r="H151" i="241"/>
  <c r="I116" i="260"/>
  <c r="I152" i="260" s="1"/>
  <c r="J152" i="260" s="1"/>
  <c r="P159" i="260" s="1"/>
  <c r="H151" i="260"/>
  <c r="I114" i="260"/>
  <c r="I150" i="260" s="1"/>
  <c r="H149" i="260"/>
  <c r="J149" i="260" s="1"/>
  <c r="M159" i="260" s="1"/>
  <c r="I148" i="284"/>
  <c r="J148" i="284" s="1"/>
  <c r="L159" i="284" s="1"/>
  <c r="J112" i="284"/>
  <c r="I115" i="284"/>
  <c r="I151" i="284" s="1"/>
  <c r="H150" i="284"/>
  <c r="J150" i="284" s="1"/>
  <c r="N159" i="284" s="1"/>
  <c r="I150" i="248"/>
  <c r="J150" i="248" s="1"/>
  <c r="N159" i="248" s="1"/>
  <c r="N160" i="248" s="1"/>
  <c r="J114" i="248"/>
  <c r="J145" i="279"/>
  <c r="I159" i="279" s="1"/>
  <c r="I160" i="279" s="1"/>
  <c r="J147" i="265"/>
  <c r="K159" i="265" s="1"/>
  <c r="K160" i="265" s="1"/>
  <c r="J113" i="249"/>
  <c r="J148" i="287"/>
  <c r="L159" i="287" s="1"/>
  <c r="N64" i="217" s="1"/>
  <c r="J148" i="247"/>
  <c r="L159" i="247" s="1"/>
  <c r="L160" i="247" s="1"/>
  <c r="H148" i="261"/>
  <c r="I113" i="261"/>
  <c r="I116" i="272"/>
  <c r="H151" i="272"/>
  <c r="J151" i="272" s="1"/>
  <c r="O159" i="272" s="1"/>
  <c r="Q49" i="217" s="1"/>
  <c r="J108" i="251"/>
  <c r="I109" i="251"/>
  <c r="H144" i="251"/>
  <c r="J144" i="251" s="1"/>
  <c r="H159" i="251" s="1"/>
  <c r="I116" i="240"/>
  <c r="I152" i="240" s="1"/>
  <c r="J152" i="240" s="1"/>
  <c r="P159" i="240" s="1"/>
  <c r="P160" i="240" s="1"/>
  <c r="H151" i="240"/>
  <c r="J151" i="240" s="1"/>
  <c r="O159" i="240" s="1"/>
  <c r="I152" i="230"/>
  <c r="J152" i="230" s="1"/>
  <c r="P159" i="230" s="1"/>
  <c r="J116" i="230"/>
  <c r="M49" i="217"/>
  <c r="K160" i="272"/>
  <c r="K160" i="230"/>
  <c r="M7" i="217"/>
  <c r="J41" i="217"/>
  <c r="H160" i="264"/>
  <c r="I114" i="241"/>
  <c r="H149" i="241"/>
  <c r="J149" i="241" s="1"/>
  <c r="M159" i="241" s="1"/>
  <c r="O18" i="217" s="1"/>
  <c r="J108" i="246"/>
  <c r="I109" i="246"/>
  <c r="H144" i="246"/>
  <c r="J144" i="246" s="1"/>
  <c r="H159" i="246" s="1"/>
  <c r="I115" i="265"/>
  <c r="H150" i="265"/>
  <c r="I110" i="233"/>
  <c r="H145" i="233"/>
  <c r="J114" i="280"/>
  <c r="I115" i="280"/>
  <c r="H150" i="280"/>
  <c r="J150" i="280" s="1"/>
  <c r="N159" i="280" s="1"/>
  <c r="I114" i="237"/>
  <c r="H149" i="237"/>
  <c r="J149" i="237" s="1"/>
  <c r="M159" i="237" s="1"/>
  <c r="I114" i="276"/>
  <c r="H149" i="276"/>
  <c r="J149" i="276" s="1"/>
  <c r="M159" i="276" s="1"/>
  <c r="O53" i="217" s="1"/>
  <c r="I109" i="288"/>
  <c r="H144" i="288"/>
  <c r="J144" i="288" s="1"/>
  <c r="H159" i="288" s="1"/>
  <c r="H160" i="288" s="1"/>
  <c r="J108" i="288"/>
  <c r="I112" i="268"/>
  <c r="H147" i="268"/>
  <c r="H146" i="259"/>
  <c r="J146" i="259" s="1"/>
  <c r="J159" i="259" s="1"/>
  <c r="L36" i="217" s="1"/>
  <c r="I111" i="259"/>
  <c r="I113" i="265"/>
  <c r="H148" i="265"/>
  <c r="J148" i="265" s="1"/>
  <c r="L159" i="265" s="1"/>
  <c r="I115" i="283"/>
  <c r="H150" i="283"/>
  <c r="J150" i="283" s="1"/>
  <c r="N159" i="283" s="1"/>
  <c r="P60" i="217" s="1"/>
  <c r="I113" i="272"/>
  <c r="H148" i="272"/>
  <c r="J148" i="272" s="1"/>
  <c r="L159" i="272" s="1"/>
  <c r="N49" i="217" s="1"/>
  <c r="I151" i="230"/>
  <c r="J151" i="230" s="1"/>
  <c r="O159" i="230" s="1"/>
  <c r="J115" i="230"/>
  <c r="I146" i="230"/>
  <c r="J146" i="230" s="1"/>
  <c r="J159" i="230" s="1"/>
  <c r="J110" i="230"/>
  <c r="I110" i="264"/>
  <c r="H145" i="264"/>
  <c r="J145" i="264" s="1"/>
  <c r="I159" i="264" s="1"/>
  <c r="I160" i="264" s="1"/>
  <c r="J110" i="259"/>
  <c r="J113" i="276"/>
  <c r="O31" i="217"/>
  <c r="M160" i="289"/>
  <c r="I115" i="241"/>
  <c r="H150" i="241"/>
  <c r="I114" i="235"/>
  <c r="H149" i="235"/>
  <c r="I110" i="235"/>
  <c r="H145" i="235"/>
  <c r="G47" i="217"/>
  <c r="E160" i="270"/>
  <c r="I115" i="235"/>
  <c r="H150" i="235"/>
  <c r="I114" i="266"/>
  <c r="H149" i="266"/>
  <c r="J149" i="266" s="1"/>
  <c r="M159" i="266" s="1"/>
  <c r="O43" i="217" s="1"/>
  <c r="I114" i="279"/>
  <c r="H149" i="279"/>
  <c r="I149" i="247"/>
  <c r="J149" i="247" s="1"/>
  <c r="M159" i="247" s="1"/>
  <c r="J113" i="247"/>
  <c r="I148" i="230"/>
  <c r="J148" i="230" s="1"/>
  <c r="L159" i="230" s="1"/>
  <c r="J112" i="230"/>
  <c r="I114" i="286"/>
  <c r="H149" i="286"/>
  <c r="J149" i="286" s="1"/>
  <c r="M159" i="286" s="1"/>
  <c r="M160" i="286" s="1"/>
  <c r="I113" i="246"/>
  <c r="H148" i="246"/>
  <c r="I112" i="235"/>
  <c r="H147" i="235"/>
  <c r="J147" i="235" s="1"/>
  <c r="K159" i="235" s="1"/>
  <c r="M12" i="217" s="1"/>
  <c r="I114" i="233"/>
  <c r="H149" i="233"/>
  <c r="J149" i="233" s="1"/>
  <c r="M159" i="233" s="1"/>
  <c r="H144" i="239"/>
  <c r="J144" i="239" s="1"/>
  <c r="H159" i="239" s="1"/>
  <c r="J16" i="217" s="1"/>
  <c r="J108" i="239"/>
  <c r="I109" i="239"/>
  <c r="I109" i="250"/>
  <c r="H144" i="250"/>
  <c r="J144" i="250" s="1"/>
  <c r="H159" i="250" s="1"/>
  <c r="J27" i="217" s="1"/>
  <c r="J108" i="250"/>
  <c r="I116" i="280"/>
  <c r="H151" i="280"/>
  <c r="I110" i="285"/>
  <c r="H145" i="285"/>
  <c r="J145" i="285" s="1"/>
  <c r="I159" i="285" s="1"/>
  <c r="I160" i="285" s="1"/>
  <c r="I114" i="255"/>
  <c r="H149" i="255"/>
  <c r="H148" i="282"/>
  <c r="J148" i="282" s="1"/>
  <c r="L159" i="282" s="1"/>
  <c r="L160" i="282" s="1"/>
  <c r="I113" i="282"/>
  <c r="J160" i="271"/>
  <c r="L48" i="217"/>
  <c r="G107" i="270"/>
  <c r="J106" i="270"/>
  <c r="F142" i="270"/>
  <c r="J142" i="270" s="1"/>
  <c r="F159" i="270" s="1"/>
  <c r="I111" i="268"/>
  <c r="I147" i="268" s="1"/>
  <c r="H146" i="268"/>
  <c r="J146" i="268" s="1"/>
  <c r="J159" i="268" s="1"/>
  <c r="J160" i="268" s="1"/>
  <c r="I22" i="217"/>
  <c r="G160" i="245"/>
  <c r="H146" i="279"/>
  <c r="I111" i="279"/>
  <c r="H147" i="249"/>
  <c r="I112" i="249"/>
  <c r="J109" i="264"/>
  <c r="J113" i="233"/>
  <c r="J160" i="274"/>
  <c r="J114" i="283"/>
  <c r="I16" i="217"/>
  <c r="G160" i="246"/>
  <c r="I23" i="217"/>
  <c r="H147" i="279"/>
  <c r="I112" i="279"/>
  <c r="M160" i="280"/>
  <c r="O57" i="217"/>
  <c r="J112" i="265"/>
  <c r="I114" i="265"/>
  <c r="I150" i="265" s="1"/>
  <c r="H149" i="265"/>
  <c r="I115" i="259"/>
  <c r="H150" i="259"/>
  <c r="I65" i="217"/>
  <c r="G160" i="288"/>
  <c r="I112" i="271"/>
  <c r="H147" i="271"/>
  <c r="J147" i="271" s="1"/>
  <c r="K159" i="271" s="1"/>
  <c r="J111" i="271"/>
  <c r="O48" i="217"/>
  <c r="M160" i="271"/>
  <c r="I112" i="250"/>
  <c r="H147" i="250"/>
  <c r="J147" i="250" s="1"/>
  <c r="K159" i="250" s="1"/>
  <c r="M27" i="217" s="1"/>
  <c r="I109" i="245"/>
  <c r="H144" i="245"/>
  <c r="J144" i="245" s="1"/>
  <c r="H159" i="245" s="1"/>
  <c r="J108" i="245"/>
  <c r="I113" i="259"/>
  <c r="H148" i="259"/>
  <c r="J148" i="259" s="1"/>
  <c r="L159" i="259" s="1"/>
  <c r="N36" i="217" s="1"/>
  <c r="I111" i="249"/>
  <c r="H146" i="249"/>
  <c r="J146" i="249" s="1"/>
  <c r="J159" i="249" s="1"/>
  <c r="I113" i="243"/>
  <c r="H148" i="243"/>
  <c r="J148" i="243" s="1"/>
  <c r="L159" i="243" s="1"/>
  <c r="L160" i="243" s="1"/>
  <c r="I115" i="260"/>
  <c r="H150" i="260"/>
  <c r="H147" i="251"/>
  <c r="J147" i="251" s="1"/>
  <c r="K159" i="251" s="1"/>
  <c r="I112" i="251"/>
  <c r="H147" i="266"/>
  <c r="I112" i="266"/>
  <c r="P58" i="217"/>
  <c r="N160" i="261"/>
  <c r="N41" i="217"/>
  <c r="L160" i="264"/>
  <c r="J79" i="217"/>
  <c r="H160" i="302"/>
  <c r="I149" i="287"/>
  <c r="J149" i="287" s="1"/>
  <c r="M159" i="287" s="1"/>
  <c r="J113" i="287"/>
  <c r="I149" i="264"/>
  <c r="J149" i="264" s="1"/>
  <c r="M159" i="264" s="1"/>
  <c r="J113" i="264"/>
  <c r="L160" i="258"/>
  <c r="N35" i="217"/>
  <c r="G145" i="302"/>
  <c r="J145" i="302" s="1"/>
  <c r="I159" i="302" s="1"/>
  <c r="H110" i="302"/>
  <c r="J109" i="302"/>
  <c r="K160" i="231"/>
  <c r="I160" i="244"/>
  <c r="I149" i="258"/>
  <c r="J149" i="258" s="1"/>
  <c r="M159" i="258" s="1"/>
  <c r="J113" i="258"/>
  <c r="M160" i="301"/>
  <c r="P34" i="217"/>
  <c r="I160" i="231"/>
  <c r="M160" i="240"/>
  <c r="P160" i="293"/>
  <c r="O160" i="233"/>
  <c r="H160" i="236"/>
  <c r="N85" i="217"/>
  <c r="J14" i="217"/>
  <c r="R11" i="217"/>
  <c r="L25" i="217"/>
  <c r="N78" i="217"/>
  <c r="O68" i="217"/>
  <c r="O160" i="234"/>
  <c r="Q31" i="217"/>
  <c r="N9" i="217"/>
  <c r="J61" i="217"/>
  <c r="O160" i="307"/>
  <c r="J160" i="250"/>
  <c r="R89" i="217"/>
  <c r="J70" i="217"/>
  <c r="Q74" i="217"/>
  <c r="J116" i="311"/>
  <c r="K49" i="217"/>
  <c r="J152" i="316"/>
  <c r="P159" i="316" s="1"/>
  <c r="R93" i="217" s="1"/>
  <c r="R65" i="217"/>
  <c r="M58" i="217"/>
  <c r="L160" i="231"/>
  <c r="P22" i="217"/>
  <c r="P24" i="217"/>
  <c r="J37" i="217"/>
  <c r="K6" i="217"/>
  <c r="J152" i="311"/>
  <c r="P159" i="311" s="1"/>
  <c r="R88" i="217" s="1"/>
  <c r="J55" i="217"/>
  <c r="O160" i="286"/>
  <c r="J91" i="217"/>
  <c r="J160" i="251"/>
  <c r="K160" i="315"/>
  <c r="M10" i="217"/>
  <c r="J151" i="289"/>
  <c r="O159" i="289" s="1"/>
  <c r="Q66" i="217" s="1"/>
  <c r="P160" i="274"/>
  <c r="O160" i="295"/>
  <c r="P29" i="217"/>
  <c r="O160" i="281"/>
  <c r="K160" i="283"/>
  <c r="J160" i="276"/>
  <c r="N82" i="217"/>
  <c r="I114" i="303"/>
  <c r="H149" i="303"/>
  <c r="L160" i="236"/>
  <c r="J146" i="243"/>
  <c r="J159" i="243" s="1"/>
  <c r="L20" i="217" s="1"/>
  <c r="J38" i="217"/>
  <c r="P39" i="217"/>
  <c r="O61" i="217"/>
  <c r="J147" i="286"/>
  <c r="K159" i="286" s="1"/>
  <c r="K160" i="286" s="1"/>
  <c r="J115" i="276"/>
  <c r="J111" i="286"/>
  <c r="K160" i="239"/>
  <c r="J116" i="282"/>
  <c r="J148" i="283"/>
  <c r="L159" i="283" s="1"/>
  <c r="N60" i="217" s="1"/>
  <c r="O160" i="274"/>
  <c r="J145" i="255"/>
  <c r="I159" i="255" s="1"/>
  <c r="K32" i="217" s="1"/>
  <c r="H160" i="298"/>
  <c r="O28" i="217"/>
  <c r="J160" i="231"/>
  <c r="J110" i="232"/>
  <c r="J147" i="314"/>
  <c r="K159" i="314" s="1"/>
  <c r="M91" i="217" s="1"/>
  <c r="J148" i="239"/>
  <c r="L159" i="239" s="1"/>
  <c r="N16" i="217" s="1"/>
  <c r="J114" i="278"/>
  <c r="J151" i="276"/>
  <c r="O159" i="276" s="1"/>
  <c r="O160" i="276" s="1"/>
  <c r="J152" i="239"/>
  <c r="P159" i="239" s="1"/>
  <c r="R16" i="217" s="1"/>
  <c r="P160" i="233"/>
  <c r="R10" i="217"/>
  <c r="P160" i="315"/>
  <c r="R92" i="217"/>
  <c r="O160" i="245"/>
  <c r="Q22" i="217"/>
  <c r="H160" i="257"/>
  <c r="J34" i="217"/>
  <c r="P160" i="251"/>
  <c r="R28" i="217"/>
  <c r="I160" i="236"/>
  <c r="K13" i="217"/>
  <c r="K38" i="217"/>
  <c r="I160" i="261"/>
  <c r="K44" i="217"/>
  <c r="I160" i="267"/>
  <c r="L160" i="234"/>
  <c r="N11" i="217"/>
  <c r="L160" i="309"/>
  <c r="N86" i="217"/>
  <c r="Q88" i="217"/>
  <c r="O160" i="311"/>
  <c r="R45" i="217"/>
  <c r="P160" i="268"/>
  <c r="P89" i="217"/>
  <c r="N160" i="312"/>
  <c r="I160" i="278"/>
  <c r="K55" i="217"/>
  <c r="P160" i="308"/>
  <c r="R85" i="217"/>
  <c r="L88" i="217"/>
  <c r="J160" i="311"/>
  <c r="I152" i="262"/>
  <c r="J152" i="262" s="1"/>
  <c r="P159" i="262" s="1"/>
  <c r="J116" i="262"/>
  <c r="K51" i="217"/>
  <c r="I160" i="274"/>
  <c r="K70" i="217"/>
  <c r="I160" i="293"/>
  <c r="N160" i="311"/>
  <c r="P88" i="217"/>
  <c r="M11" i="217"/>
  <c r="K160" i="234"/>
  <c r="M62" i="217"/>
  <c r="K160" i="285"/>
  <c r="I111" i="308"/>
  <c r="H146" i="308"/>
  <c r="Q86" i="217"/>
  <c r="O160" i="309"/>
  <c r="K160" i="288"/>
  <c r="M65" i="217"/>
  <c r="O6" i="217"/>
  <c r="M160" i="229"/>
  <c r="L160" i="288"/>
  <c r="N65" i="217"/>
  <c r="I148" i="291"/>
  <c r="J148" i="291" s="1"/>
  <c r="L159" i="291" s="1"/>
  <c r="J112" i="291"/>
  <c r="I145" i="240"/>
  <c r="J145" i="240" s="1"/>
  <c r="I159" i="240" s="1"/>
  <c r="J109" i="240"/>
  <c r="K61" i="217"/>
  <c r="I160" i="284"/>
  <c r="P160" i="285"/>
  <c r="R62" i="217"/>
  <c r="I160" i="316"/>
  <c r="K93" i="217"/>
  <c r="N160" i="254"/>
  <c r="P31" i="217"/>
  <c r="I160" i="311"/>
  <c r="K88" i="217"/>
  <c r="L160" i="281"/>
  <c r="N58" i="217"/>
  <c r="I147" i="277"/>
  <c r="J147" i="277" s="1"/>
  <c r="K159" i="277" s="1"/>
  <c r="J111" i="277"/>
  <c r="I151" i="231"/>
  <c r="J151" i="231" s="1"/>
  <c r="O159" i="231" s="1"/>
  <c r="J115" i="231"/>
  <c r="O160" i="308"/>
  <c r="Q85" i="217"/>
  <c r="I111" i="301"/>
  <c r="H146" i="301"/>
  <c r="N160" i="274"/>
  <c r="P51" i="217"/>
  <c r="K66" i="217"/>
  <c r="I160" i="289"/>
  <c r="I146" i="255"/>
  <c r="J110" i="255"/>
  <c r="I150" i="295"/>
  <c r="J150" i="295" s="1"/>
  <c r="N159" i="295" s="1"/>
  <c r="J114" i="295"/>
  <c r="N160" i="268"/>
  <c r="P45" i="217"/>
  <c r="J32" i="217"/>
  <c r="J160" i="284"/>
  <c r="L61" i="217"/>
  <c r="I146" i="293"/>
  <c r="J146" i="293" s="1"/>
  <c r="J159" i="293" s="1"/>
  <c r="J110" i="293"/>
  <c r="J160" i="229"/>
  <c r="L6" i="217"/>
  <c r="L17" i="217"/>
  <c r="J160" i="240"/>
  <c r="M160" i="268"/>
  <c r="O45" i="217"/>
  <c r="I151" i="312"/>
  <c r="J151" i="312" s="1"/>
  <c r="O159" i="312" s="1"/>
  <c r="J115" i="312"/>
  <c r="I152" i="289"/>
  <c r="J152" i="289" s="1"/>
  <c r="P159" i="289" s="1"/>
  <c r="J116" i="289"/>
  <c r="I149" i="255"/>
  <c r="J113" i="255"/>
  <c r="L160" i="254"/>
  <c r="N31" i="217"/>
  <c r="K160" i="244"/>
  <c r="M21" i="217"/>
  <c r="I146" i="279"/>
  <c r="J110" i="279"/>
  <c r="I145" i="234"/>
  <c r="J145" i="234" s="1"/>
  <c r="I159" i="234" s="1"/>
  <c r="J109" i="234"/>
  <c r="I111" i="298"/>
  <c r="H146" i="298"/>
  <c r="M93" i="217"/>
  <c r="K160" i="316"/>
  <c r="P160" i="286"/>
  <c r="R63" i="217"/>
  <c r="I111" i="305"/>
  <c r="H146" i="305"/>
  <c r="J110" i="243"/>
  <c r="P160" i="229"/>
  <c r="R6" i="217"/>
  <c r="P160" i="309"/>
  <c r="R86" i="217"/>
  <c r="I151" i="244"/>
  <c r="J115" i="244"/>
  <c r="H160" i="232"/>
  <c r="J9" i="217"/>
  <c r="I150" i="259"/>
  <c r="J114" i="259"/>
  <c r="I146" i="236"/>
  <c r="J146" i="236" s="1"/>
  <c r="J159" i="236" s="1"/>
  <c r="J110" i="236"/>
  <c r="I110" i="304"/>
  <c r="I146" i="304" s="1"/>
  <c r="H145" i="304"/>
  <c r="H160" i="266"/>
  <c r="J43" i="217"/>
  <c r="L31" i="217"/>
  <c r="J160" i="254"/>
  <c r="I149" i="285"/>
  <c r="J149" i="285" s="1"/>
  <c r="M159" i="285" s="1"/>
  <c r="J113" i="285"/>
  <c r="J151" i="282"/>
  <c r="O159" i="282" s="1"/>
  <c r="O160" i="239"/>
  <c r="Q16" i="217"/>
  <c r="N51" i="217"/>
  <c r="L160" i="274"/>
  <c r="J20" i="217"/>
  <c r="J160" i="314"/>
  <c r="L160" i="245"/>
  <c r="N22" i="217"/>
  <c r="K160" i="229"/>
  <c r="M6" i="217"/>
  <c r="O160" i="261"/>
  <c r="Q38" i="217"/>
  <c r="I145" i="283"/>
  <c r="J145" i="283" s="1"/>
  <c r="I159" i="283" s="1"/>
  <c r="J109" i="283"/>
  <c r="L49" i="217"/>
  <c r="J160" i="272"/>
  <c r="O92" i="217"/>
  <c r="M160" i="315"/>
  <c r="I151" i="278"/>
  <c r="J151" i="278" s="1"/>
  <c r="O159" i="278" s="1"/>
  <c r="J115" i="278"/>
  <c r="K160" i="282"/>
  <c r="M59" i="217"/>
  <c r="I147" i="240"/>
  <c r="J147" i="240" s="1"/>
  <c r="K159" i="240" s="1"/>
  <c r="J111" i="240"/>
  <c r="I150" i="288"/>
  <c r="J150" i="288" s="1"/>
  <c r="N159" i="288" s="1"/>
  <c r="J114" i="288"/>
  <c r="J116" i="316"/>
  <c r="I145" i="268"/>
  <c r="J145" i="268" s="1"/>
  <c r="I159" i="268" s="1"/>
  <c r="J109" i="268"/>
  <c r="I149" i="279"/>
  <c r="J113" i="279"/>
  <c r="J151" i="316"/>
  <c r="O159" i="316" s="1"/>
  <c r="N160" i="232"/>
  <c r="P9" i="217"/>
  <c r="I110" i="308"/>
  <c r="I146" i="308" s="1"/>
  <c r="H145" i="308"/>
  <c r="L72" i="217"/>
  <c r="J160" i="295"/>
  <c r="N160" i="239"/>
  <c r="P16" i="217"/>
  <c r="Q65" i="217"/>
  <c r="O160" i="288"/>
  <c r="M160" i="308"/>
  <c r="O85" i="217"/>
  <c r="R26" i="217"/>
  <c r="P160" i="249"/>
  <c r="I146" i="260"/>
  <c r="J110" i="260"/>
  <c r="M160" i="253"/>
  <c r="O30" i="217"/>
  <c r="I109" i="308"/>
  <c r="H144" i="308"/>
  <c r="J144" i="308" s="1"/>
  <c r="H159" i="308" s="1"/>
  <c r="J108" i="308"/>
  <c r="M51" i="217"/>
  <c r="K160" i="274"/>
  <c r="L160" i="229"/>
  <c r="N6" i="217"/>
  <c r="P160" i="282"/>
  <c r="R59" i="217"/>
  <c r="I146" i="312"/>
  <c r="J110" i="312"/>
  <c r="J149" i="288"/>
  <c r="M159" i="288" s="1"/>
  <c r="M160" i="312"/>
  <c r="O89" i="217"/>
  <c r="I148" i="261"/>
  <c r="J112" i="261"/>
  <c r="N160" i="308"/>
  <c r="P85" i="217"/>
  <c r="L39" i="217"/>
  <c r="J160" i="262"/>
  <c r="I149" i="235"/>
  <c r="J113" i="235"/>
  <c r="M53" i="217"/>
  <c r="K160" i="276"/>
  <c r="I146" i="261"/>
  <c r="J146" i="261" s="1"/>
  <c r="J159" i="261" s="1"/>
  <c r="J110" i="261"/>
  <c r="I152" i="257"/>
  <c r="J152" i="257" s="1"/>
  <c r="P159" i="257" s="1"/>
  <c r="J116" i="257"/>
  <c r="Q19" i="217"/>
  <c r="O160" i="242"/>
  <c r="I145" i="257"/>
  <c r="J145" i="257" s="1"/>
  <c r="I159" i="257" s="1"/>
  <c r="J109" i="257"/>
  <c r="N160" i="316"/>
  <c r="P93" i="217"/>
  <c r="I145" i="266"/>
  <c r="J145" i="266" s="1"/>
  <c r="I159" i="266" s="1"/>
  <c r="J109" i="266"/>
  <c r="I147" i="232"/>
  <c r="J147" i="232" s="1"/>
  <c r="K159" i="232" s="1"/>
  <c r="J111" i="232"/>
  <c r="L11" i="217"/>
  <c r="J160" i="234"/>
  <c r="K42" i="217"/>
  <c r="I160" i="265"/>
  <c r="L160" i="244"/>
  <c r="N21" i="217"/>
  <c r="N160" i="314"/>
  <c r="P91" i="217"/>
  <c r="P20" i="217"/>
  <c r="N160" i="243"/>
  <c r="L160" i="295"/>
  <c r="N72" i="217"/>
  <c r="P160" i="281"/>
  <c r="R58" i="217"/>
  <c r="Q24" i="217"/>
  <c r="O160" i="247"/>
  <c r="Q29" i="217"/>
  <c r="O160" i="252"/>
  <c r="N30" i="217"/>
  <c r="L160" i="253"/>
  <c r="K83" i="217"/>
  <c r="I160" i="306"/>
  <c r="I146" i="278"/>
  <c r="J146" i="278" s="1"/>
  <c r="J159" i="278" s="1"/>
  <c r="J110" i="278"/>
  <c r="R20" i="217"/>
  <c r="P160" i="243"/>
  <c r="O160" i="257"/>
  <c r="Q34" i="217"/>
  <c r="I110" i="298"/>
  <c r="I146" i="298" s="1"/>
  <c r="H145" i="298"/>
  <c r="J145" i="298" s="1"/>
  <c r="I159" i="298" s="1"/>
  <c r="I149" i="304"/>
  <c r="J149" i="304" s="1"/>
  <c r="M159" i="304" s="1"/>
  <c r="J113" i="304"/>
  <c r="I110" i="307"/>
  <c r="I146" i="307" s="1"/>
  <c r="H145" i="307"/>
  <c r="M160" i="314"/>
  <c r="O91" i="217"/>
  <c r="P160" i="297"/>
  <c r="R74" i="217"/>
  <c r="P160" i="304"/>
  <c r="R81" i="217"/>
  <c r="L160" i="285"/>
  <c r="N62" i="217"/>
  <c r="N160" i="289"/>
  <c r="P66" i="217"/>
  <c r="I151" i="285"/>
  <c r="J151" i="285" s="1"/>
  <c r="O159" i="285" s="1"/>
  <c r="J115" i="285"/>
  <c r="I147" i="311"/>
  <c r="J147" i="311" s="1"/>
  <c r="K159" i="311" s="1"/>
  <c r="J111" i="311"/>
  <c r="I152" i="232"/>
  <c r="J152" i="232" s="1"/>
  <c r="P159" i="232" s="1"/>
  <c r="J116" i="232"/>
  <c r="J116" i="239"/>
  <c r="I151" i="256"/>
  <c r="J115" i="256"/>
  <c r="M160" i="267"/>
  <c r="O44" i="217"/>
  <c r="I149" i="311"/>
  <c r="J149" i="311" s="1"/>
  <c r="M159" i="311" s="1"/>
  <c r="J113" i="311"/>
  <c r="I145" i="291"/>
  <c r="J145" i="291" s="1"/>
  <c r="I159" i="291" s="1"/>
  <c r="J109" i="291"/>
  <c r="L93" i="217"/>
  <c r="J160" i="316"/>
  <c r="J151" i="248"/>
  <c r="O159" i="248" s="1"/>
  <c r="O160" i="248" s="1"/>
  <c r="H160" i="283"/>
  <c r="J60" i="217"/>
  <c r="I151" i="314"/>
  <c r="J151" i="314" s="1"/>
  <c r="O159" i="314" s="1"/>
  <c r="J115" i="314"/>
  <c r="I146" i="253"/>
  <c r="J146" i="253" s="1"/>
  <c r="J159" i="253" s="1"/>
  <c r="J110" i="253"/>
  <c r="N160" i="282"/>
  <c r="P59" i="217"/>
  <c r="J45" i="217"/>
  <c r="H160" i="268"/>
  <c r="P160" i="259"/>
  <c r="R36" i="217"/>
  <c r="O160" i="268"/>
  <c r="Q45" i="217"/>
  <c r="I152" i="248"/>
  <c r="J152" i="248" s="1"/>
  <c r="P159" i="248" s="1"/>
  <c r="J116" i="248"/>
  <c r="Q6" i="217"/>
  <c r="O160" i="229"/>
  <c r="I149" i="234"/>
  <c r="J149" i="234" s="1"/>
  <c r="M159" i="234" s="1"/>
  <c r="J113" i="234"/>
  <c r="P62" i="217"/>
  <c r="N160" i="285"/>
  <c r="I146" i="239"/>
  <c r="J146" i="239" s="1"/>
  <c r="J159" i="239" s="1"/>
  <c r="J110" i="239"/>
  <c r="R8" i="217"/>
  <c r="P160" i="231"/>
  <c r="I111" i="297"/>
  <c r="H146" i="297"/>
  <c r="J145" i="260"/>
  <c r="I159" i="260" s="1"/>
  <c r="M22" i="217"/>
  <c r="K160" i="245"/>
  <c r="I152" i="253"/>
  <c r="J152" i="253" s="1"/>
  <c r="P159" i="253" s="1"/>
  <c r="J116" i="253"/>
  <c r="M66" i="217"/>
  <c r="K160" i="289"/>
  <c r="I149" i="281"/>
  <c r="J149" i="281" s="1"/>
  <c r="M159" i="281" s="1"/>
  <c r="J113" i="281"/>
  <c r="N89" i="217"/>
  <c r="L160" i="312"/>
  <c r="I152" i="265"/>
  <c r="J152" i="265" s="1"/>
  <c r="P159" i="265" s="1"/>
  <c r="J116" i="265"/>
  <c r="I149" i="245"/>
  <c r="J149" i="245" s="1"/>
  <c r="M159" i="245" s="1"/>
  <c r="J113" i="245"/>
  <c r="R72" i="217"/>
  <c r="P160" i="295"/>
  <c r="H160" i="312"/>
  <c r="J89" i="217"/>
  <c r="P23" i="217"/>
  <c r="N160" i="246"/>
  <c r="I149" i="274"/>
  <c r="J149" i="274" s="1"/>
  <c r="M159" i="274" s="1"/>
  <c r="J113" i="274"/>
  <c r="L42" i="217"/>
  <c r="J160" i="265"/>
  <c r="J150" i="278"/>
  <c r="N159" i="278" s="1"/>
  <c r="N160" i="309"/>
  <c r="P86" i="217"/>
  <c r="I145" i="309"/>
  <c r="J145" i="309" s="1"/>
  <c r="I159" i="309" s="1"/>
  <c r="J109" i="309"/>
  <c r="I146" i="267"/>
  <c r="J146" i="267" s="1"/>
  <c r="J159" i="267" s="1"/>
  <c r="J110" i="267"/>
  <c r="J115" i="289"/>
  <c r="I152" i="252"/>
  <c r="J152" i="252" s="1"/>
  <c r="P159" i="252" s="1"/>
  <c r="J116" i="252"/>
  <c r="J151" i="262"/>
  <c r="O159" i="262" s="1"/>
  <c r="I147" i="295"/>
  <c r="J147" i="295" s="1"/>
  <c r="K159" i="295" s="1"/>
  <c r="J111" i="295"/>
  <c r="L60" i="217"/>
  <c r="J160" i="283"/>
  <c r="K160" i="291"/>
  <c r="M68" i="217"/>
  <c r="I152" i="246"/>
  <c r="J152" i="246" s="1"/>
  <c r="P159" i="246" s="1"/>
  <c r="J116" i="246"/>
  <c r="H160" i="279"/>
  <c r="J56" i="217"/>
  <c r="H160" i="240"/>
  <c r="J17" i="217"/>
  <c r="J109" i="298"/>
  <c r="L160" i="316"/>
  <c r="N93" i="217"/>
  <c r="I150" i="253"/>
  <c r="J150" i="253" s="1"/>
  <c r="N159" i="253" s="1"/>
  <c r="J114" i="253"/>
  <c r="I151" i="243"/>
  <c r="J151" i="243" s="1"/>
  <c r="O159" i="243" s="1"/>
  <c r="J115" i="243"/>
  <c r="N160" i="229"/>
  <c r="P6" i="217"/>
  <c r="I149" i="283"/>
  <c r="J149" i="283" s="1"/>
  <c r="M159" i="283" s="1"/>
  <c r="J113" i="283"/>
  <c r="I149" i="239"/>
  <c r="J149" i="239" s="1"/>
  <c r="M159" i="239" s="1"/>
  <c r="J113" i="239"/>
  <c r="L160" i="304"/>
  <c r="N81" i="217"/>
  <c r="M160" i="250"/>
  <c r="O27" i="217"/>
  <c r="I147" i="254"/>
  <c r="J147" i="254" s="1"/>
  <c r="K159" i="254" s="1"/>
  <c r="J111" i="254"/>
  <c r="I152" i="276"/>
  <c r="J152" i="276" s="1"/>
  <c r="P159" i="276" s="1"/>
  <c r="J116" i="276"/>
  <c r="J146" i="232"/>
  <c r="J159" i="232" s="1"/>
  <c r="I149" i="316"/>
  <c r="J149" i="316" s="1"/>
  <c r="M159" i="316" s="1"/>
  <c r="J113" i="316"/>
  <c r="I147" i="243"/>
  <c r="J147" i="243" s="1"/>
  <c r="K159" i="243" s="1"/>
  <c r="J111" i="243"/>
  <c r="I146" i="237"/>
  <c r="J110" i="237"/>
  <c r="I151" i="304"/>
  <c r="J151" i="304" s="1"/>
  <c r="O159" i="304" s="1"/>
  <c r="J115" i="304"/>
  <c r="I148" i="314"/>
  <c r="J148" i="314" s="1"/>
  <c r="L159" i="314" s="1"/>
  <c r="J112" i="314"/>
  <c r="H160" i="267"/>
  <c r="J44" i="217"/>
  <c r="O160" i="258"/>
  <c r="Q35" i="217"/>
  <c r="O160" i="249"/>
  <c r="Q26" i="217"/>
  <c r="O9" i="217"/>
  <c r="M160" i="232"/>
  <c r="I151" i="279"/>
  <c r="J151" i="279" s="1"/>
  <c r="O159" i="279" s="1"/>
  <c r="J115" i="279"/>
  <c r="I160" i="295"/>
  <c r="K72" i="217"/>
  <c r="J160" i="277"/>
  <c r="L54" i="217"/>
  <c r="M44" i="217"/>
  <c r="K160" i="267"/>
  <c r="L21" i="217"/>
  <c r="J160" i="244"/>
  <c r="K160" i="253"/>
  <c r="M30" i="217"/>
  <c r="M160" i="236"/>
  <c r="O13" i="217"/>
  <c r="Q9" i="217"/>
  <c r="O160" i="232"/>
  <c r="I148" i="286"/>
  <c r="J148" i="286" s="1"/>
  <c r="L159" i="286" s="1"/>
  <c r="J112" i="286"/>
  <c r="K20" i="217"/>
  <c r="I160" i="243"/>
  <c r="I152" i="283"/>
  <c r="J152" i="283" s="1"/>
  <c r="P159" i="283" s="1"/>
  <c r="J116" i="283"/>
  <c r="I111" i="304"/>
  <c r="H146" i="304"/>
  <c r="I111" i="300"/>
  <c r="H146" i="300"/>
  <c r="N160" i="234"/>
  <c r="P11" i="217"/>
  <c r="O72" i="217"/>
  <c r="M160" i="295"/>
  <c r="L160" i="293"/>
  <c r="N70" i="217"/>
  <c r="J148" i="311"/>
  <c r="L159" i="311" s="1"/>
  <c r="H160" i="291"/>
  <c r="J68" i="217"/>
  <c r="I149" i="244"/>
  <c r="J149" i="244" s="1"/>
  <c r="M159" i="244" s="1"/>
  <c r="J113" i="244"/>
  <c r="Q14" i="217"/>
  <c r="O160" i="237"/>
  <c r="P40" i="217"/>
  <c r="P160" i="250"/>
  <c r="N40" i="217"/>
  <c r="L160" i="263"/>
  <c r="L160" i="315"/>
  <c r="N92" i="217"/>
  <c r="J160" i="315"/>
  <c r="L92" i="217"/>
  <c r="P76" i="217"/>
  <c r="M160" i="305"/>
  <c r="Q82" i="217"/>
  <c r="Q78" i="217"/>
  <c r="O160" i="313"/>
  <c r="N160" i="251"/>
  <c r="P160" i="305"/>
  <c r="G160" i="305"/>
  <c r="I82" i="217"/>
  <c r="N160" i="313"/>
  <c r="P90" i="217"/>
  <c r="J160" i="257"/>
  <c r="L34" i="217"/>
  <c r="I110" i="296"/>
  <c r="I146" i="296" s="1"/>
  <c r="H145" i="296"/>
  <c r="L160" i="240"/>
  <c r="N17" i="217"/>
  <c r="L160" i="313"/>
  <c r="N90" i="217"/>
  <c r="I110" i="299"/>
  <c r="H145" i="299"/>
  <c r="P82" i="217"/>
  <c r="N160" i="305"/>
  <c r="O160" i="251"/>
  <c r="Q28" i="217"/>
  <c r="P78" i="217"/>
  <c r="N160" i="301"/>
  <c r="O160" i="299"/>
  <c r="Q76" i="217"/>
  <c r="I111" i="307"/>
  <c r="H146" i="307"/>
  <c r="I110" i="301"/>
  <c r="H145" i="301"/>
  <c r="M25" i="217"/>
  <c r="K160" i="248"/>
  <c r="R78" i="217"/>
  <c r="P160" i="301"/>
  <c r="I109" i="305"/>
  <c r="I145" i="305" s="1"/>
  <c r="H144" i="305"/>
  <c r="J144" i="305" s="1"/>
  <c r="H159" i="305" s="1"/>
  <c r="N73" i="217"/>
  <c r="L160" i="296"/>
  <c r="I111" i="296"/>
  <c r="H146" i="296"/>
  <c r="N160" i="300"/>
  <c r="R75" i="217"/>
  <c r="N160" i="298"/>
  <c r="I109" i="296"/>
  <c r="H144" i="296"/>
  <c r="J144" i="296" s="1"/>
  <c r="H159" i="296" s="1"/>
  <c r="J108" i="296"/>
  <c r="O160" i="298"/>
  <c r="Q75" i="217"/>
  <c r="R77" i="217"/>
  <c r="P160" i="300"/>
  <c r="O160" i="302"/>
  <c r="Q79" i="217"/>
  <c r="I73" i="217"/>
  <c r="G160" i="296"/>
  <c r="O160" i="300"/>
  <c r="Q77" i="217"/>
  <c r="I109" i="307"/>
  <c r="H144" i="307"/>
  <c r="J108" i="307"/>
  <c r="N160" i="290"/>
  <c r="Q83" i="217"/>
  <c r="M52" i="217"/>
  <c r="P52" i="217"/>
  <c r="N52" i="217"/>
  <c r="I160" i="310"/>
  <c r="P160" i="314"/>
  <c r="O87" i="217"/>
  <c r="O160" i="269"/>
  <c r="H160" i="241"/>
  <c r="Q44" i="217"/>
  <c r="H160" i="234"/>
  <c r="H146" i="270"/>
  <c r="J146" i="270" s="1"/>
  <c r="J159" i="270" s="1"/>
  <c r="J110" i="270"/>
  <c r="R40" i="217"/>
  <c r="P160" i="263"/>
  <c r="P47" i="217"/>
  <c r="N160" i="270"/>
  <c r="H146" i="263"/>
  <c r="Q40" i="217"/>
  <c r="O160" i="263"/>
  <c r="M160" i="270"/>
  <c r="O47" i="217"/>
  <c r="R47" i="217"/>
  <c r="P160" i="270"/>
  <c r="O160" i="270"/>
  <c r="Q47" i="217"/>
  <c r="R91" i="217"/>
  <c r="M160" i="310"/>
  <c r="L160" i="275"/>
  <c r="N160" i="275"/>
  <c r="K87" i="217"/>
  <c r="O160" i="267"/>
  <c r="K160" i="275"/>
  <c r="O52" i="217"/>
  <c r="M160" i="275"/>
  <c r="N160" i="310"/>
  <c r="P87" i="217"/>
  <c r="O160" i="287"/>
  <c r="Q64" i="217"/>
  <c r="R64" i="217"/>
  <c r="P160" i="287"/>
  <c r="K52" i="217"/>
  <c r="I160" i="275"/>
  <c r="J160" i="310"/>
  <c r="L87" i="217"/>
  <c r="Q52" i="217"/>
  <c r="O160" i="275"/>
  <c r="J146" i="275"/>
  <c r="J159" i="275" s="1"/>
  <c r="J145" i="271"/>
  <c r="I159" i="271" s="1"/>
  <c r="R52" i="217"/>
  <c r="P160" i="275"/>
  <c r="Q87" i="217"/>
  <c r="O160" i="310"/>
  <c r="P67" i="217"/>
  <c r="Q46" i="217"/>
  <c r="O160" i="306"/>
  <c r="O160" i="250"/>
  <c r="Q27" i="217"/>
  <c r="O160" i="292"/>
  <c r="Q69" i="217"/>
  <c r="O160" i="271"/>
  <c r="Q48" i="217"/>
  <c r="P160" i="296"/>
  <c r="R73" i="217"/>
  <c r="P160" i="271"/>
  <c r="R48" i="217"/>
  <c r="O160" i="266"/>
  <c r="Q43" i="217"/>
  <c r="O160" i="294"/>
  <c r="Q71" i="217"/>
  <c r="O160" i="236"/>
  <c r="Q13" i="217"/>
  <c r="P160" i="264"/>
  <c r="R41" i="217"/>
  <c r="P160" i="236"/>
  <c r="R13" i="217"/>
  <c r="P160" i="266"/>
  <c r="R43" i="217"/>
  <c r="P160" i="245"/>
  <c r="R22" i="217"/>
  <c r="P160" i="267"/>
  <c r="R44" i="217"/>
  <c r="P160" i="269"/>
  <c r="R46" i="217"/>
  <c r="O160" i="277"/>
  <c r="Q54" i="217"/>
  <c r="O160" i="296"/>
  <c r="Q73" i="217"/>
  <c r="O160" i="264"/>
  <c r="Q41" i="217"/>
  <c r="P160" i="277"/>
  <c r="R54" i="217"/>
  <c r="P160" i="292"/>
  <c r="R69" i="217"/>
  <c r="P160" i="294"/>
  <c r="R71" i="217"/>
  <c r="P160" i="306"/>
  <c r="R83" i="217"/>
  <c r="P160" i="290"/>
  <c r="R67" i="217"/>
  <c r="O160" i="290"/>
  <c r="Q67" i="217"/>
  <c r="J152" i="303"/>
  <c r="P159" i="303" s="1"/>
  <c r="J115" i="303"/>
  <c r="I151" i="303"/>
  <c r="J151" i="303" s="1"/>
  <c r="O159" i="303" s="1"/>
  <c r="J116" i="303"/>
  <c r="M41" i="217"/>
  <c r="K160" i="264"/>
  <c r="J18" i="217"/>
  <c r="J11" i="217"/>
  <c r="I110" i="305" l="1"/>
  <c r="J110" i="305" s="1"/>
  <c r="I160" i="314"/>
  <c r="H109" i="300"/>
  <c r="H145" i="300" s="1"/>
  <c r="J145" i="300" s="1"/>
  <c r="I159" i="300" s="1"/>
  <c r="I160" i="300" s="1"/>
  <c r="M160" i="309"/>
  <c r="I145" i="242"/>
  <c r="J145" i="242" s="1"/>
  <c r="I159" i="242" s="1"/>
  <c r="I160" i="242" s="1"/>
  <c r="J111" i="268"/>
  <c r="I160" i="276"/>
  <c r="J115" i="315"/>
  <c r="P92" i="217"/>
  <c r="H145" i="297"/>
  <c r="N160" i="304"/>
  <c r="F160" i="308"/>
  <c r="J143" i="297"/>
  <c r="G159" i="297" s="1"/>
  <c r="I74" i="217" s="1"/>
  <c r="H81" i="217"/>
  <c r="O160" i="293"/>
  <c r="J86" i="217"/>
  <c r="J160" i="291"/>
  <c r="I109" i="299"/>
  <c r="I145" i="299" s="1"/>
  <c r="J145" i="299" s="1"/>
  <c r="I159" i="299" s="1"/>
  <c r="G144" i="300"/>
  <c r="J144" i="300" s="1"/>
  <c r="H159" i="300" s="1"/>
  <c r="J77" i="217" s="1"/>
  <c r="J144" i="307"/>
  <c r="H159" i="307" s="1"/>
  <c r="H160" i="307" s="1"/>
  <c r="K89" i="217"/>
  <c r="J151" i="291"/>
  <c r="O159" i="291" s="1"/>
  <c r="O160" i="291" s="1"/>
  <c r="I111" i="306"/>
  <c r="I147" i="306" s="1"/>
  <c r="J147" i="306" s="1"/>
  <c r="K159" i="306" s="1"/>
  <c r="J110" i="306"/>
  <c r="G160" i="304"/>
  <c r="J83" i="217"/>
  <c r="J106" i="303"/>
  <c r="H160" i="316"/>
  <c r="I76" i="217"/>
  <c r="F142" i="303"/>
  <c r="J142" i="303" s="1"/>
  <c r="F159" i="303" s="1"/>
  <c r="F160" i="303" s="1"/>
  <c r="H144" i="299"/>
  <c r="J144" i="299" s="1"/>
  <c r="H159" i="299" s="1"/>
  <c r="J76" i="217" s="1"/>
  <c r="G80" i="217"/>
  <c r="I85" i="217"/>
  <c r="G160" i="300"/>
  <c r="J108" i="304"/>
  <c r="H108" i="297"/>
  <c r="J108" i="297" s="1"/>
  <c r="J31" i="217"/>
  <c r="J115" i="291"/>
  <c r="K36" i="217"/>
  <c r="H144" i="304"/>
  <c r="J144" i="304" s="1"/>
  <c r="H159" i="304" s="1"/>
  <c r="J81" i="217" s="1"/>
  <c r="H160" i="286"/>
  <c r="F160" i="297"/>
  <c r="J107" i="297"/>
  <c r="J109" i="254"/>
  <c r="F160" i="301"/>
  <c r="P160" i="237"/>
  <c r="N160" i="240"/>
  <c r="G143" i="301"/>
  <c r="J143" i="301" s="1"/>
  <c r="G159" i="301" s="1"/>
  <c r="G160" i="301" s="1"/>
  <c r="J146" i="312"/>
  <c r="J159" i="312" s="1"/>
  <c r="J160" i="312" s="1"/>
  <c r="H108" i="301"/>
  <c r="J108" i="301" s="1"/>
  <c r="P160" i="278"/>
  <c r="J145" i="233"/>
  <c r="I159" i="233" s="1"/>
  <c r="K10" i="217" s="1"/>
  <c r="P68" i="217"/>
  <c r="I147" i="312"/>
  <c r="J147" i="312" s="1"/>
  <c r="K159" i="312" s="1"/>
  <c r="J111" i="312"/>
  <c r="I145" i="313"/>
  <c r="J145" i="313" s="1"/>
  <c r="I159" i="313" s="1"/>
  <c r="J109" i="313"/>
  <c r="J90" i="217"/>
  <c r="H160" i="313"/>
  <c r="L80" i="217"/>
  <c r="J160" i="303"/>
  <c r="O74" i="217"/>
  <c r="M160" i="297"/>
  <c r="I145" i="315"/>
  <c r="J145" i="315" s="1"/>
  <c r="I159" i="315" s="1"/>
  <c r="J109" i="315"/>
  <c r="I112" i="303"/>
  <c r="I148" i="303" s="1"/>
  <c r="H147" i="303"/>
  <c r="J147" i="303" s="1"/>
  <c r="K159" i="303" s="1"/>
  <c r="I113" i="303"/>
  <c r="H148" i="303"/>
  <c r="L86" i="217"/>
  <c r="J160" i="309"/>
  <c r="I152" i="291"/>
  <c r="J152" i="291" s="1"/>
  <c r="P159" i="291" s="1"/>
  <c r="J116" i="291"/>
  <c r="I147" i="309"/>
  <c r="J147" i="309" s="1"/>
  <c r="K159" i="309" s="1"/>
  <c r="J111" i="309"/>
  <c r="J92" i="217"/>
  <c r="H160" i="315"/>
  <c r="K9" i="217"/>
  <c r="M42" i="217"/>
  <c r="M55" i="217"/>
  <c r="I84" i="217"/>
  <c r="N160" i="256"/>
  <c r="N37" i="217"/>
  <c r="L160" i="233"/>
  <c r="O8" i="217"/>
  <c r="I40" i="217"/>
  <c r="H160" i="233"/>
  <c r="J10" i="217"/>
  <c r="J109" i="233"/>
  <c r="L160" i="259"/>
  <c r="L160" i="255"/>
  <c r="H160" i="250"/>
  <c r="P21" i="217"/>
  <c r="M38" i="217"/>
  <c r="K14" i="217"/>
  <c r="K56" i="217"/>
  <c r="J146" i="260"/>
  <c r="J159" i="260" s="1"/>
  <c r="L37" i="217" s="1"/>
  <c r="J145" i="235"/>
  <c r="I159" i="235" s="1"/>
  <c r="K12" i="217" s="1"/>
  <c r="I160" i="286"/>
  <c r="H109" i="263"/>
  <c r="H145" i="263" s="1"/>
  <c r="J145" i="263" s="1"/>
  <c r="I159" i="263" s="1"/>
  <c r="K40" i="217" s="1"/>
  <c r="Q23" i="217"/>
  <c r="K160" i="246"/>
  <c r="M23" i="217"/>
  <c r="N18" i="217"/>
  <c r="Q30" i="217"/>
  <c r="J115" i="284"/>
  <c r="J146" i="279"/>
  <c r="J159" i="279" s="1"/>
  <c r="L56" i="217" s="1"/>
  <c r="O160" i="255"/>
  <c r="I147" i="260"/>
  <c r="J147" i="260" s="1"/>
  <c r="K159" i="260" s="1"/>
  <c r="J111" i="260"/>
  <c r="N160" i="283"/>
  <c r="K160" i="235"/>
  <c r="O160" i="272"/>
  <c r="J147" i="268"/>
  <c r="K159" i="268" s="1"/>
  <c r="M45" i="217" s="1"/>
  <c r="J109" i="235"/>
  <c r="H160" i="253"/>
  <c r="J151" i="244"/>
  <c r="O159" i="244" s="1"/>
  <c r="Q21" i="217" s="1"/>
  <c r="N59" i="217"/>
  <c r="I152" i="244"/>
  <c r="J152" i="244" s="1"/>
  <c r="P159" i="244" s="1"/>
  <c r="J116" i="244"/>
  <c r="H160" i="235"/>
  <c r="J12" i="217"/>
  <c r="I145" i="287"/>
  <c r="J145" i="287" s="1"/>
  <c r="I159" i="287" s="1"/>
  <c r="J109" i="287"/>
  <c r="H160" i="239"/>
  <c r="N53" i="217"/>
  <c r="I160" i="282"/>
  <c r="N160" i="272"/>
  <c r="J148" i="246"/>
  <c r="L159" i="246" s="1"/>
  <c r="N23" i="217" s="1"/>
  <c r="G144" i="263"/>
  <c r="J144" i="263" s="1"/>
  <c r="H159" i="263" s="1"/>
  <c r="J40" i="217" s="1"/>
  <c r="J112" i="246"/>
  <c r="H160" i="287"/>
  <c r="J64" i="217"/>
  <c r="J146" i="237"/>
  <c r="J159" i="237" s="1"/>
  <c r="L14" i="217" s="1"/>
  <c r="L160" i="287"/>
  <c r="I146" i="288"/>
  <c r="J146" i="288" s="1"/>
  <c r="J159" i="288" s="1"/>
  <c r="J110" i="288"/>
  <c r="I152" i="255"/>
  <c r="J152" i="255" s="1"/>
  <c r="P159" i="255" s="1"/>
  <c r="J116" i="255"/>
  <c r="O26" i="217"/>
  <c r="J150" i="260"/>
  <c r="N159" i="260" s="1"/>
  <c r="P37" i="217" s="1"/>
  <c r="J110" i="282"/>
  <c r="I146" i="282"/>
  <c r="J146" i="282" s="1"/>
  <c r="J159" i="282" s="1"/>
  <c r="L160" i="272"/>
  <c r="L43" i="217"/>
  <c r="I147" i="255"/>
  <c r="J147" i="255" s="1"/>
  <c r="K159" i="255" s="1"/>
  <c r="J111" i="255"/>
  <c r="N24" i="217"/>
  <c r="J151" i="256"/>
  <c r="O159" i="256" s="1"/>
  <c r="O160" i="256" s="1"/>
  <c r="J149" i="235"/>
  <c r="M159" i="235" s="1"/>
  <c r="O12" i="217" s="1"/>
  <c r="J149" i="279"/>
  <c r="M159" i="279" s="1"/>
  <c r="O56" i="217" s="1"/>
  <c r="J149" i="255"/>
  <c r="M159" i="255" s="1"/>
  <c r="M160" i="255" s="1"/>
  <c r="J146" i="255"/>
  <c r="J159" i="255" s="1"/>
  <c r="L32" i="217" s="1"/>
  <c r="R17" i="217"/>
  <c r="I152" i="256"/>
  <c r="J152" i="256" s="1"/>
  <c r="P159" i="256" s="1"/>
  <c r="J116" i="256"/>
  <c r="J109" i="253"/>
  <c r="I145" i="253"/>
  <c r="J145" i="253" s="1"/>
  <c r="I159" i="253" s="1"/>
  <c r="I160" i="253" s="1"/>
  <c r="N160" i="284"/>
  <c r="P61" i="217"/>
  <c r="O37" i="217"/>
  <c r="M160" i="260"/>
  <c r="P160" i="260"/>
  <c r="R37" i="217"/>
  <c r="L160" i="278"/>
  <c r="N55" i="217"/>
  <c r="Q17" i="217"/>
  <c r="O160" i="240"/>
  <c r="H160" i="251"/>
  <c r="J28" i="217"/>
  <c r="I152" i="272"/>
  <c r="J152" i="272" s="1"/>
  <c r="P159" i="272" s="1"/>
  <c r="J116" i="272"/>
  <c r="I152" i="241"/>
  <c r="J152" i="241" s="1"/>
  <c r="P159" i="241" s="1"/>
  <c r="J116" i="241"/>
  <c r="I146" i="286"/>
  <c r="J146" i="286" s="1"/>
  <c r="J159" i="286" s="1"/>
  <c r="J110" i="286"/>
  <c r="I152" i="284"/>
  <c r="J152" i="284" s="1"/>
  <c r="P159" i="284" s="1"/>
  <c r="J116" i="284"/>
  <c r="I149" i="278"/>
  <c r="J149" i="278" s="1"/>
  <c r="M159" i="278" s="1"/>
  <c r="J113" i="278"/>
  <c r="J111" i="266"/>
  <c r="J110" i="297"/>
  <c r="J148" i="261"/>
  <c r="L159" i="261" s="1"/>
  <c r="L160" i="261" s="1"/>
  <c r="P25" i="217"/>
  <c r="J147" i="266"/>
  <c r="K159" i="266" s="1"/>
  <c r="P160" i="230"/>
  <c r="R7" i="217"/>
  <c r="I145" i="251"/>
  <c r="J145" i="251" s="1"/>
  <c r="I159" i="251" s="1"/>
  <c r="J109" i="251"/>
  <c r="I149" i="261"/>
  <c r="J149" i="261" s="1"/>
  <c r="M159" i="261" s="1"/>
  <c r="J113" i="261"/>
  <c r="I150" i="249"/>
  <c r="J150" i="249" s="1"/>
  <c r="N159" i="249" s="1"/>
  <c r="J114" i="249"/>
  <c r="J114" i="260"/>
  <c r="N61" i="217"/>
  <c r="L160" i="284"/>
  <c r="I150" i="231"/>
  <c r="J150" i="231" s="1"/>
  <c r="N159" i="231" s="1"/>
  <c r="N160" i="231" s="1"/>
  <c r="J114" i="231"/>
  <c r="I111" i="299"/>
  <c r="H146" i="299"/>
  <c r="J150" i="259"/>
  <c r="N159" i="259" s="1"/>
  <c r="P36" i="217" s="1"/>
  <c r="M160" i="276"/>
  <c r="J116" i="260"/>
  <c r="J116" i="240"/>
  <c r="J151" i="284"/>
  <c r="O159" i="284" s="1"/>
  <c r="I147" i="237"/>
  <c r="J147" i="237" s="1"/>
  <c r="K159" i="237" s="1"/>
  <c r="J111" i="237"/>
  <c r="L26" i="217"/>
  <c r="J160" i="249"/>
  <c r="M160" i="237"/>
  <c r="O14" i="217"/>
  <c r="M28" i="217"/>
  <c r="K160" i="251"/>
  <c r="O10" i="217"/>
  <c r="M160" i="233"/>
  <c r="I148" i="251"/>
  <c r="J148" i="251" s="1"/>
  <c r="L159" i="251" s="1"/>
  <c r="J112" i="251"/>
  <c r="I147" i="279"/>
  <c r="J147" i="279" s="1"/>
  <c r="K159" i="279" s="1"/>
  <c r="J111" i="279"/>
  <c r="H108" i="270"/>
  <c r="J107" i="270"/>
  <c r="G143" i="270"/>
  <c r="J143" i="270" s="1"/>
  <c r="G159" i="270" s="1"/>
  <c r="I150" i="255"/>
  <c r="J150" i="255" s="1"/>
  <c r="N159" i="255" s="1"/>
  <c r="J114" i="255"/>
  <c r="I152" i="280"/>
  <c r="J152" i="280" s="1"/>
  <c r="P159" i="280" s="1"/>
  <c r="J116" i="280"/>
  <c r="I150" i="233"/>
  <c r="J150" i="233" s="1"/>
  <c r="N159" i="233" s="1"/>
  <c r="J114" i="233"/>
  <c r="I151" i="283"/>
  <c r="J151" i="283" s="1"/>
  <c r="O159" i="283" s="1"/>
  <c r="J115" i="283"/>
  <c r="I151" i="265"/>
  <c r="J151" i="265" s="1"/>
  <c r="O159" i="265" s="1"/>
  <c r="J115" i="265"/>
  <c r="I149" i="243"/>
  <c r="J149" i="243" s="1"/>
  <c r="M159" i="243" s="1"/>
  <c r="J113" i="243"/>
  <c r="I148" i="279"/>
  <c r="J148" i="279" s="1"/>
  <c r="L159" i="279" s="1"/>
  <c r="J112" i="279"/>
  <c r="O24" i="217"/>
  <c r="M160" i="247"/>
  <c r="N42" i="217"/>
  <c r="L160" i="265"/>
  <c r="I145" i="288"/>
  <c r="J145" i="288" s="1"/>
  <c r="I159" i="288" s="1"/>
  <c r="J109" i="288"/>
  <c r="J114" i="237"/>
  <c r="I150" i="237"/>
  <c r="J150" i="237" s="1"/>
  <c r="N159" i="237" s="1"/>
  <c r="J23" i="217"/>
  <c r="H160" i="246"/>
  <c r="I150" i="241"/>
  <c r="J150" i="241" s="1"/>
  <c r="N159" i="241" s="1"/>
  <c r="J114" i="241"/>
  <c r="O63" i="217"/>
  <c r="N20" i="217"/>
  <c r="K41" i="217"/>
  <c r="J65" i="217"/>
  <c r="J160" i="259"/>
  <c r="M160" i="241"/>
  <c r="I148" i="266"/>
  <c r="J148" i="266" s="1"/>
  <c r="L159" i="266" s="1"/>
  <c r="J112" i="266"/>
  <c r="I148" i="250"/>
  <c r="J148" i="250" s="1"/>
  <c r="L159" i="250" s="1"/>
  <c r="J112" i="250"/>
  <c r="K160" i="271"/>
  <c r="M48" i="217"/>
  <c r="I148" i="249"/>
  <c r="J148" i="249" s="1"/>
  <c r="L159" i="249" s="1"/>
  <c r="J112" i="249"/>
  <c r="F160" i="270"/>
  <c r="H47" i="217"/>
  <c r="I146" i="285"/>
  <c r="J146" i="285" s="1"/>
  <c r="J159" i="285" s="1"/>
  <c r="J110" i="285"/>
  <c r="I148" i="235"/>
  <c r="J148" i="235" s="1"/>
  <c r="L159" i="235" s="1"/>
  <c r="J112" i="235"/>
  <c r="J114" i="265"/>
  <c r="I146" i="264"/>
  <c r="J146" i="264" s="1"/>
  <c r="J159" i="264" s="1"/>
  <c r="J110" i="264"/>
  <c r="L7" i="217"/>
  <c r="J160" i="230"/>
  <c r="I149" i="272"/>
  <c r="J149" i="272" s="1"/>
  <c r="M159" i="272" s="1"/>
  <c r="J113" i="272"/>
  <c r="I149" i="265"/>
  <c r="J149" i="265" s="1"/>
  <c r="M159" i="265" s="1"/>
  <c r="J113" i="265"/>
  <c r="I148" i="268"/>
  <c r="J148" i="268" s="1"/>
  <c r="L159" i="268" s="1"/>
  <c r="J112" i="268"/>
  <c r="N160" i="280"/>
  <c r="P57" i="217"/>
  <c r="I146" i="233"/>
  <c r="J146" i="233" s="1"/>
  <c r="J159" i="233" s="1"/>
  <c r="J110" i="233"/>
  <c r="I145" i="246"/>
  <c r="J145" i="246" s="1"/>
  <c r="I159" i="246" s="1"/>
  <c r="J109" i="246"/>
  <c r="I145" i="245"/>
  <c r="J145" i="245" s="1"/>
  <c r="I159" i="245" s="1"/>
  <c r="J109" i="245"/>
  <c r="I145" i="239"/>
  <c r="J145" i="239" s="1"/>
  <c r="I159" i="239" s="1"/>
  <c r="J109" i="239"/>
  <c r="O160" i="230"/>
  <c r="Q7" i="217"/>
  <c r="M160" i="266"/>
  <c r="I149" i="259"/>
  <c r="J149" i="259" s="1"/>
  <c r="M159" i="259" s="1"/>
  <c r="M160" i="259" s="1"/>
  <c r="J113" i="259"/>
  <c r="I150" i="286"/>
  <c r="J150" i="286" s="1"/>
  <c r="N159" i="286" s="1"/>
  <c r="J114" i="286"/>
  <c r="I150" i="266"/>
  <c r="J150" i="266" s="1"/>
  <c r="N159" i="266" s="1"/>
  <c r="J114" i="266"/>
  <c r="I150" i="235"/>
  <c r="J150" i="235" s="1"/>
  <c r="N159" i="235" s="1"/>
  <c r="J114" i="235"/>
  <c r="K62" i="217"/>
  <c r="K160" i="250"/>
  <c r="L45" i="217"/>
  <c r="I151" i="260"/>
  <c r="J151" i="260" s="1"/>
  <c r="O159" i="260" s="1"/>
  <c r="J115" i="260"/>
  <c r="I147" i="249"/>
  <c r="J147" i="249" s="1"/>
  <c r="K159" i="249" s="1"/>
  <c r="J111" i="249"/>
  <c r="J22" i="217"/>
  <c r="H160" i="245"/>
  <c r="I148" i="271"/>
  <c r="J148" i="271" s="1"/>
  <c r="L159" i="271" s="1"/>
  <c r="J112" i="271"/>
  <c r="I151" i="259"/>
  <c r="J151" i="259" s="1"/>
  <c r="O159" i="259" s="1"/>
  <c r="J115" i="259"/>
  <c r="I149" i="282"/>
  <c r="J149" i="282" s="1"/>
  <c r="M159" i="282" s="1"/>
  <c r="J113" i="282"/>
  <c r="I145" i="250"/>
  <c r="J145" i="250" s="1"/>
  <c r="I159" i="250" s="1"/>
  <c r="J109" i="250"/>
  <c r="I149" i="246"/>
  <c r="J149" i="246" s="1"/>
  <c r="M159" i="246" s="1"/>
  <c r="J113" i="246"/>
  <c r="L160" i="230"/>
  <c r="N7" i="217"/>
  <c r="I150" i="279"/>
  <c r="J150" i="279" s="1"/>
  <c r="N159" i="279" s="1"/>
  <c r="J114" i="279"/>
  <c r="I151" i="235"/>
  <c r="J151" i="235" s="1"/>
  <c r="O159" i="235" s="1"/>
  <c r="J115" i="235"/>
  <c r="I146" i="235"/>
  <c r="J146" i="235" s="1"/>
  <c r="J159" i="235" s="1"/>
  <c r="J110" i="235"/>
  <c r="I151" i="241"/>
  <c r="J151" i="241" s="1"/>
  <c r="O159" i="241" s="1"/>
  <c r="J115" i="241"/>
  <c r="I147" i="259"/>
  <c r="J147" i="259" s="1"/>
  <c r="K159" i="259" s="1"/>
  <c r="J111" i="259"/>
  <c r="I150" i="276"/>
  <c r="J150" i="276" s="1"/>
  <c r="N159" i="276" s="1"/>
  <c r="J114" i="276"/>
  <c r="I151" i="280"/>
  <c r="J151" i="280" s="1"/>
  <c r="O159" i="280" s="1"/>
  <c r="J115" i="280"/>
  <c r="J150" i="265"/>
  <c r="N159" i="265" s="1"/>
  <c r="M160" i="258"/>
  <c r="O35" i="217"/>
  <c r="M160" i="287"/>
  <c r="O64" i="217"/>
  <c r="H108" i="303"/>
  <c r="J107" i="303"/>
  <c r="G143" i="303"/>
  <c r="J143" i="303" s="1"/>
  <c r="G159" i="303" s="1"/>
  <c r="G160" i="303" s="1"/>
  <c r="I111" i="302"/>
  <c r="J110" i="302"/>
  <c r="H146" i="302"/>
  <c r="J146" i="302" s="1"/>
  <c r="J159" i="302" s="1"/>
  <c r="I160" i="302"/>
  <c r="K79" i="217"/>
  <c r="O41" i="217"/>
  <c r="M160" i="264"/>
  <c r="P160" i="316"/>
  <c r="I160" i="255"/>
  <c r="Q53" i="217"/>
  <c r="O160" i="289"/>
  <c r="L160" i="239"/>
  <c r="P160" i="311"/>
  <c r="L160" i="283"/>
  <c r="Q25" i="217"/>
  <c r="J110" i="304"/>
  <c r="M63" i="217"/>
  <c r="J110" i="307"/>
  <c r="J160" i="243"/>
  <c r="J146" i="307"/>
  <c r="J159" i="307" s="1"/>
  <c r="J160" i="307" s="1"/>
  <c r="I150" i="303"/>
  <c r="J150" i="303" s="1"/>
  <c r="N159" i="303" s="1"/>
  <c r="J114" i="303"/>
  <c r="P160" i="239"/>
  <c r="K160" i="314"/>
  <c r="K75" i="217"/>
  <c r="I160" i="298"/>
  <c r="Q20" i="217"/>
  <c r="O160" i="243"/>
  <c r="M72" i="217"/>
  <c r="K160" i="295"/>
  <c r="J160" i="239"/>
  <c r="L16" i="217"/>
  <c r="R25" i="217"/>
  <c r="P160" i="248"/>
  <c r="L30" i="217"/>
  <c r="J160" i="253"/>
  <c r="O81" i="217"/>
  <c r="M160" i="304"/>
  <c r="H160" i="308"/>
  <c r="J85" i="217"/>
  <c r="L13" i="217"/>
  <c r="J160" i="236"/>
  <c r="I147" i="298"/>
  <c r="J147" i="298" s="1"/>
  <c r="K159" i="298" s="1"/>
  <c r="J111" i="298"/>
  <c r="L160" i="291"/>
  <c r="N68" i="217"/>
  <c r="Q81" i="217"/>
  <c r="O160" i="304"/>
  <c r="R29" i="217"/>
  <c r="P160" i="252"/>
  <c r="P160" i="253"/>
  <c r="R30" i="217"/>
  <c r="K37" i="217"/>
  <c r="I160" i="260"/>
  <c r="O88" i="217"/>
  <c r="M160" i="311"/>
  <c r="P160" i="257"/>
  <c r="R34" i="217"/>
  <c r="P65" i="217"/>
  <c r="N160" i="288"/>
  <c r="Q55" i="217"/>
  <c r="O160" i="278"/>
  <c r="K60" i="217"/>
  <c r="I160" i="283"/>
  <c r="I147" i="305"/>
  <c r="J147" i="305" s="1"/>
  <c r="K159" i="305" s="1"/>
  <c r="J111" i="305"/>
  <c r="J160" i="293"/>
  <c r="L70" i="217"/>
  <c r="R39" i="217"/>
  <c r="P160" i="262"/>
  <c r="M160" i="244"/>
  <c r="O21" i="217"/>
  <c r="I147" i="300"/>
  <c r="J147" i="300" s="1"/>
  <c r="K159" i="300" s="1"/>
  <c r="J111" i="300"/>
  <c r="R53" i="217"/>
  <c r="P160" i="276"/>
  <c r="M160" i="239"/>
  <c r="O16" i="217"/>
  <c r="P160" i="246"/>
  <c r="R23" i="217"/>
  <c r="N160" i="278"/>
  <c r="P55" i="217"/>
  <c r="O22" i="217"/>
  <c r="M160" i="245"/>
  <c r="J146" i="297"/>
  <c r="J159" i="297" s="1"/>
  <c r="Q91" i="217"/>
  <c r="O160" i="314"/>
  <c r="P160" i="232"/>
  <c r="R9" i="217"/>
  <c r="K160" i="311"/>
  <c r="M88" i="217"/>
  <c r="M160" i="288"/>
  <c r="O65" i="217"/>
  <c r="O160" i="316"/>
  <c r="Q93" i="217"/>
  <c r="K45" i="217"/>
  <c r="I160" i="268"/>
  <c r="Q92" i="217"/>
  <c r="O160" i="315"/>
  <c r="J110" i="298"/>
  <c r="L83" i="217"/>
  <c r="J160" i="306"/>
  <c r="I160" i="240"/>
  <c r="K17" i="217"/>
  <c r="J160" i="232"/>
  <c r="L9" i="217"/>
  <c r="K160" i="254"/>
  <c r="M31" i="217"/>
  <c r="O60" i="217"/>
  <c r="M160" i="283"/>
  <c r="M160" i="274"/>
  <c r="O51" i="217"/>
  <c r="I145" i="304"/>
  <c r="J145" i="304" s="1"/>
  <c r="I159" i="304" s="1"/>
  <c r="J109" i="304"/>
  <c r="I147" i="297"/>
  <c r="J147" i="297" s="1"/>
  <c r="K159" i="297" s="1"/>
  <c r="J111" i="297"/>
  <c r="O11" i="217"/>
  <c r="M160" i="234"/>
  <c r="Q62" i="217"/>
  <c r="O160" i="285"/>
  <c r="I160" i="234"/>
  <c r="K11" i="217"/>
  <c r="K31" i="217"/>
  <c r="I160" i="254"/>
  <c r="N88" i="217"/>
  <c r="L160" i="311"/>
  <c r="L160" i="286"/>
  <c r="N63" i="217"/>
  <c r="N91" i="217"/>
  <c r="L160" i="314"/>
  <c r="K160" i="243"/>
  <c r="M20" i="217"/>
  <c r="Q39" i="217"/>
  <c r="O160" i="262"/>
  <c r="O58" i="217"/>
  <c r="M160" i="281"/>
  <c r="I160" i="266"/>
  <c r="K43" i="217"/>
  <c r="I145" i="308"/>
  <c r="J145" i="308" s="1"/>
  <c r="I159" i="308" s="1"/>
  <c r="J109" i="308"/>
  <c r="M17" i="217"/>
  <c r="K160" i="240"/>
  <c r="O62" i="217"/>
  <c r="M160" i="285"/>
  <c r="Q89" i="217"/>
  <c r="O160" i="312"/>
  <c r="I147" i="301"/>
  <c r="J147" i="301" s="1"/>
  <c r="K159" i="301" s="1"/>
  <c r="J111" i="301"/>
  <c r="O160" i="231"/>
  <c r="Q8" i="217"/>
  <c r="I147" i="308"/>
  <c r="J147" i="308" s="1"/>
  <c r="K159" i="308" s="1"/>
  <c r="J111" i="308"/>
  <c r="I147" i="304"/>
  <c r="J147" i="304" s="1"/>
  <c r="K159" i="304" s="1"/>
  <c r="J111" i="304"/>
  <c r="P160" i="283"/>
  <c r="R60" i="217"/>
  <c r="Q56" i="217"/>
  <c r="O160" i="279"/>
  <c r="M160" i="316"/>
  <c r="O93" i="217"/>
  <c r="N160" i="253"/>
  <c r="P30" i="217"/>
  <c r="L44" i="217"/>
  <c r="J160" i="267"/>
  <c r="I160" i="309"/>
  <c r="K86" i="217"/>
  <c r="R42" i="217"/>
  <c r="P160" i="265"/>
  <c r="K68" i="217"/>
  <c r="I160" i="291"/>
  <c r="L55" i="217"/>
  <c r="J160" i="278"/>
  <c r="M9" i="217"/>
  <c r="K160" i="232"/>
  <c r="I160" i="257"/>
  <c r="K34" i="217"/>
  <c r="J160" i="261"/>
  <c r="L38" i="217"/>
  <c r="J146" i="308"/>
  <c r="J159" i="308" s="1"/>
  <c r="O160" i="282"/>
  <c r="Q59" i="217"/>
  <c r="J146" i="304"/>
  <c r="J159" i="304" s="1"/>
  <c r="J146" i="298"/>
  <c r="J159" i="298" s="1"/>
  <c r="P160" i="289"/>
  <c r="R66" i="217"/>
  <c r="N160" i="295"/>
  <c r="P72" i="217"/>
  <c r="K160" i="277"/>
  <c r="M54" i="217"/>
  <c r="J110" i="308"/>
  <c r="J110" i="296"/>
  <c r="J145" i="305"/>
  <c r="I159" i="305" s="1"/>
  <c r="K82" i="217" s="1"/>
  <c r="J146" i="296"/>
  <c r="J159" i="296" s="1"/>
  <c r="L73" i="217" s="1"/>
  <c r="J109" i="305"/>
  <c r="H160" i="305"/>
  <c r="J82" i="217"/>
  <c r="I147" i="296"/>
  <c r="J147" i="296" s="1"/>
  <c r="K159" i="296" s="1"/>
  <c r="J111" i="296"/>
  <c r="I146" i="299"/>
  <c r="J110" i="299"/>
  <c r="I147" i="307"/>
  <c r="J147" i="307" s="1"/>
  <c r="K159" i="307" s="1"/>
  <c r="J111" i="307"/>
  <c r="I146" i="301"/>
  <c r="J146" i="301" s="1"/>
  <c r="J159" i="301" s="1"/>
  <c r="J110" i="301"/>
  <c r="J73" i="217"/>
  <c r="H160" i="296"/>
  <c r="J109" i="296"/>
  <c r="I145" i="296"/>
  <c r="J145" i="296" s="1"/>
  <c r="I159" i="296" s="1"/>
  <c r="J109" i="307"/>
  <c r="I145" i="307"/>
  <c r="J145" i="307" s="1"/>
  <c r="I159" i="307" s="1"/>
  <c r="L47" i="217"/>
  <c r="J160" i="270"/>
  <c r="I147" i="270"/>
  <c r="J147" i="270" s="1"/>
  <c r="K159" i="270" s="1"/>
  <c r="J111" i="270"/>
  <c r="I147" i="263"/>
  <c r="J111" i="263"/>
  <c r="I160" i="271"/>
  <c r="K48" i="217"/>
  <c r="L52" i="217"/>
  <c r="J160" i="275"/>
  <c r="O160" i="303"/>
  <c r="Q80" i="217"/>
  <c r="P160" i="303"/>
  <c r="R80" i="217"/>
  <c r="F121" i="229"/>
  <c r="E121" i="229"/>
  <c r="E139" i="229" s="1"/>
  <c r="D100" i="217" s="1"/>
  <c r="I146" i="305" l="1"/>
  <c r="J146" i="305" s="1"/>
  <c r="J159" i="305" s="1"/>
  <c r="L82" i="217" s="1"/>
  <c r="J109" i="300"/>
  <c r="I110" i="300"/>
  <c r="I146" i="300" s="1"/>
  <c r="J146" i="300" s="1"/>
  <c r="J159" i="300" s="1"/>
  <c r="L77" i="217" s="1"/>
  <c r="J84" i="217"/>
  <c r="K19" i="217"/>
  <c r="G160" i="297"/>
  <c r="H80" i="217"/>
  <c r="H160" i="300"/>
  <c r="J109" i="299"/>
  <c r="Q68" i="217"/>
  <c r="J111" i="306"/>
  <c r="K77" i="217"/>
  <c r="H160" i="299"/>
  <c r="I78" i="217"/>
  <c r="H144" i="297"/>
  <c r="J144" i="297" s="1"/>
  <c r="H159" i="297" s="1"/>
  <c r="J74" i="217" s="1"/>
  <c r="I109" i="297"/>
  <c r="I145" i="297" s="1"/>
  <c r="J145" i="297" s="1"/>
  <c r="I159" i="297" s="1"/>
  <c r="K74" i="217" s="1"/>
  <c r="H160" i="304"/>
  <c r="H144" i="301"/>
  <c r="J144" i="301" s="1"/>
  <c r="H159" i="301" s="1"/>
  <c r="J78" i="217" s="1"/>
  <c r="J112" i="303"/>
  <c r="L89" i="217"/>
  <c r="I160" i="233"/>
  <c r="I109" i="301"/>
  <c r="I145" i="301" s="1"/>
  <c r="J145" i="301" s="1"/>
  <c r="I159" i="301" s="1"/>
  <c r="K78" i="217" s="1"/>
  <c r="I110" i="263"/>
  <c r="J110" i="263" s="1"/>
  <c r="I160" i="313"/>
  <c r="K90" i="217"/>
  <c r="K160" i="312"/>
  <c r="M89" i="217"/>
  <c r="M80" i="217"/>
  <c r="K160" i="303"/>
  <c r="K160" i="309"/>
  <c r="M86" i="217"/>
  <c r="I149" i="303"/>
  <c r="J149" i="303" s="1"/>
  <c r="M159" i="303" s="1"/>
  <c r="J113" i="303"/>
  <c r="I160" i="315"/>
  <c r="K92" i="217"/>
  <c r="P160" i="291"/>
  <c r="R68" i="217"/>
  <c r="J148" i="303"/>
  <c r="L159" i="303" s="1"/>
  <c r="J160" i="279"/>
  <c r="N160" i="260"/>
  <c r="O160" i="244"/>
  <c r="I160" i="235"/>
  <c r="J160" i="260"/>
  <c r="J109" i="263"/>
  <c r="O32" i="217"/>
  <c r="L160" i="246"/>
  <c r="K30" i="217"/>
  <c r="M160" i="279"/>
  <c r="K160" i="260"/>
  <c r="M37" i="217"/>
  <c r="K160" i="268"/>
  <c r="I160" i="263"/>
  <c r="J160" i="255"/>
  <c r="J160" i="237"/>
  <c r="Q33" i="217"/>
  <c r="P160" i="244"/>
  <c r="R21" i="217"/>
  <c r="H160" i="263"/>
  <c r="J146" i="299"/>
  <c r="J159" i="299" s="1"/>
  <c r="J160" i="299" s="1"/>
  <c r="I160" i="287"/>
  <c r="K64" i="217"/>
  <c r="P8" i="217"/>
  <c r="N160" i="259"/>
  <c r="M160" i="235"/>
  <c r="J160" i="288"/>
  <c r="L65" i="217"/>
  <c r="J160" i="282"/>
  <c r="L59" i="217"/>
  <c r="N38" i="217"/>
  <c r="R32" i="217"/>
  <c r="P160" i="255"/>
  <c r="K160" i="255"/>
  <c r="M32" i="217"/>
  <c r="O36" i="217"/>
  <c r="P160" i="256"/>
  <c r="R33" i="217"/>
  <c r="I80" i="217"/>
  <c r="P26" i="217"/>
  <c r="N160" i="249"/>
  <c r="K160" i="237"/>
  <c r="M14" i="217"/>
  <c r="O38" i="217"/>
  <c r="M160" i="261"/>
  <c r="O160" i="284"/>
  <c r="Q61" i="217"/>
  <c r="M43" i="217"/>
  <c r="K160" i="266"/>
  <c r="P160" i="284"/>
  <c r="R61" i="217"/>
  <c r="P160" i="241"/>
  <c r="R18" i="217"/>
  <c r="I160" i="251"/>
  <c r="K28" i="217"/>
  <c r="I147" i="299"/>
  <c r="J147" i="299" s="1"/>
  <c r="K159" i="299" s="1"/>
  <c r="J111" i="299"/>
  <c r="O55" i="217"/>
  <c r="M160" i="278"/>
  <c r="J160" i="286"/>
  <c r="L63" i="217"/>
  <c r="P160" i="272"/>
  <c r="R49" i="217"/>
  <c r="O160" i="280"/>
  <c r="Q57" i="217"/>
  <c r="O42" i="217"/>
  <c r="M160" i="265"/>
  <c r="M56" i="217"/>
  <c r="K160" i="279"/>
  <c r="N160" i="265"/>
  <c r="P42" i="217"/>
  <c r="N160" i="276"/>
  <c r="P53" i="217"/>
  <c r="O160" i="241"/>
  <c r="Q18" i="217"/>
  <c r="O160" i="235"/>
  <c r="Q12" i="217"/>
  <c r="I160" i="250"/>
  <c r="K27" i="217"/>
  <c r="P43" i="217"/>
  <c r="N160" i="266"/>
  <c r="L160" i="249"/>
  <c r="N26" i="217"/>
  <c r="N160" i="237"/>
  <c r="P14" i="217"/>
  <c r="I109" i="270"/>
  <c r="H144" i="270"/>
  <c r="J144" i="270" s="1"/>
  <c r="H159" i="270" s="1"/>
  <c r="J108" i="270"/>
  <c r="O160" i="259"/>
  <c r="Q36" i="217"/>
  <c r="O160" i="260"/>
  <c r="Q37" i="217"/>
  <c r="I160" i="239"/>
  <c r="K16" i="217"/>
  <c r="I160" i="246"/>
  <c r="K23" i="217"/>
  <c r="P18" i="217"/>
  <c r="N160" i="241"/>
  <c r="L62" i="217"/>
  <c r="J160" i="285"/>
  <c r="L160" i="250"/>
  <c r="N27" i="217"/>
  <c r="N56" i="217"/>
  <c r="L160" i="279"/>
  <c r="O160" i="265"/>
  <c r="Q42" i="217"/>
  <c r="P10" i="217"/>
  <c r="N160" i="233"/>
  <c r="P32" i="217"/>
  <c r="N160" i="255"/>
  <c r="N28" i="217"/>
  <c r="L160" i="251"/>
  <c r="K160" i="259"/>
  <c r="M36" i="217"/>
  <c r="L12" i="217"/>
  <c r="J160" i="235"/>
  <c r="N160" i="279"/>
  <c r="P56" i="217"/>
  <c r="M160" i="246"/>
  <c r="O23" i="217"/>
  <c r="N160" i="235"/>
  <c r="P12" i="217"/>
  <c r="P63" i="217"/>
  <c r="N160" i="286"/>
  <c r="G160" i="270"/>
  <c r="I47" i="217"/>
  <c r="M160" i="282"/>
  <c r="O59" i="217"/>
  <c r="N48" i="217"/>
  <c r="L160" i="271"/>
  <c r="M26" i="217"/>
  <c r="K160" i="249"/>
  <c r="I160" i="245"/>
  <c r="K22" i="217"/>
  <c r="L10" i="217"/>
  <c r="J160" i="233"/>
  <c r="L160" i="268"/>
  <c r="N45" i="217"/>
  <c r="M160" i="272"/>
  <c r="O49" i="217"/>
  <c r="J160" i="264"/>
  <c r="L41" i="217"/>
  <c r="L160" i="235"/>
  <c r="N12" i="217"/>
  <c r="L160" i="266"/>
  <c r="N43" i="217"/>
  <c r="K65" i="217"/>
  <c r="I160" i="288"/>
  <c r="M160" i="243"/>
  <c r="O20" i="217"/>
  <c r="O160" i="283"/>
  <c r="Q60" i="217"/>
  <c r="P160" i="280"/>
  <c r="R57" i="217"/>
  <c r="J160" i="302"/>
  <c r="L79" i="217"/>
  <c r="I109" i="303"/>
  <c r="H144" i="303"/>
  <c r="J144" i="303" s="1"/>
  <c r="H159" i="303" s="1"/>
  <c r="J108" i="303"/>
  <c r="I147" i="302"/>
  <c r="J147" i="302" s="1"/>
  <c r="K159" i="302" s="1"/>
  <c r="J111" i="302"/>
  <c r="L84" i="217"/>
  <c r="N160" i="303"/>
  <c r="P80" i="217"/>
  <c r="J160" i="304"/>
  <c r="L81" i="217"/>
  <c r="M74" i="217"/>
  <c r="K160" i="297"/>
  <c r="K160" i="300"/>
  <c r="M77" i="217"/>
  <c r="M75" i="217"/>
  <c r="K160" i="298"/>
  <c r="M83" i="217"/>
  <c r="K160" i="306"/>
  <c r="M78" i="217"/>
  <c r="K160" i="301"/>
  <c r="I160" i="308"/>
  <c r="K85" i="217"/>
  <c r="L75" i="217"/>
  <c r="J160" i="298"/>
  <c r="J160" i="308"/>
  <c r="L85" i="217"/>
  <c r="M81" i="217"/>
  <c r="K160" i="304"/>
  <c r="K160" i="305"/>
  <c r="M82" i="217"/>
  <c r="J160" i="297"/>
  <c r="L74" i="217"/>
  <c r="M85" i="217"/>
  <c r="K160" i="308"/>
  <c r="K81" i="217"/>
  <c r="I160" i="304"/>
  <c r="J160" i="296"/>
  <c r="I160" i="305"/>
  <c r="J160" i="305"/>
  <c r="I160" i="299"/>
  <c r="K76" i="217"/>
  <c r="L78" i="217"/>
  <c r="J160" i="301"/>
  <c r="K160" i="307"/>
  <c r="M84" i="217"/>
  <c r="K160" i="296"/>
  <c r="M73" i="217"/>
  <c r="K73" i="217"/>
  <c r="I160" i="296"/>
  <c r="K84" i="217"/>
  <c r="I160" i="307"/>
  <c r="J147" i="263"/>
  <c r="K159" i="263" s="1"/>
  <c r="M47" i="217"/>
  <c r="K160" i="270"/>
  <c r="F139" i="229"/>
  <c r="E100" i="217" s="1"/>
  <c r="J110" i="300" l="1"/>
  <c r="J160" i="300"/>
  <c r="I160" i="297"/>
  <c r="J109" i="297"/>
  <c r="H160" i="297"/>
  <c r="H160" i="301"/>
  <c r="I146" i="263"/>
  <c r="J146" i="263" s="1"/>
  <c r="J159" i="263" s="1"/>
  <c r="J160" i="263" s="1"/>
  <c r="I160" i="301"/>
  <c r="J109" i="301"/>
  <c r="N80" i="217"/>
  <c r="L160" i="303"/>
  <c r="M160" i="303"/>
  <c r="O80" i="217"/>
  <c r="L76" i="217"/>
  <c r="M76" i="217"/>
  <c r="K160" i="299"/>
  <c r="H160" i="270"/>
  <c r="J47" i="217"/>
  <c r="I145" i="270"/>
  <c r="J145" i="270" s="1"/>
  <c r="I159" i="270" s="1"/>
  <c r="J109" i="270"/>
  <c r="K160" i="302"/>
  <c r="M79" i="217"/>
  <c r="J80" i="217"/>
  <c r="H160" i="303"/>
  <c r="I145" i="303"/>
  <c r="J145" i="303" s="1"/>
  <c r="I159" i="303" s="1"/>
  <c r="J109" i="303"/>
  <c r="K160" i="263"/>
  <c r="M40" i="217"/>
  <c r="G121" i="229"/>
  <c r="L40" i="217" l="1"/>
  <c r="I160" i="270"/>
  <c r="K47" i="217"/>
  <c r="K80" i="217"/>
  <c r="I160" i="303"/>
  <c r="G139" i="229"/>
  <c r="F100" i="217" s="1"/>
  <c r="I121" i="229"/>
  <c r="I139" i="229" s="1"/>
  <c r="H100" i="217" s="1"/>
  <c r="H121" i="229"/>
  <c r="H139" i="229" s="1"/>
  <c r="G100" i="217" s="1"/>
  <c r="J121" i="229" l="1"/>
  <c r="J139" i="229"/>
  <c r="C159" i="229" s="1"/>
  <c r="C160" i="229" l="1"/>
  <c r="E6" i="217"/>
  <c r="E65" i="273"/>
  <c r="F72" i="273" l="1"/>
  <c r="G72" i="273" s="1"/>
  <c r="F76" i="273"/>
  <c r="F80" i="273"/>
  <c r="F77" i="273"/>
  <c r="G77" i="273" s="1"/>
  <c r="F71" i="273"/>
  <c r="F75" i="273"/>
  <c r="F79" i="273"/>
  <c r="F83" i="273"/>
  <c r="F74" i="273"/>
  <c r="F78" i="273"/>
  <c r="G78" i="273" s="1"/>
  <c r="F82" i="273"/>
  <c r="F73" i="273"/>
  <c r="G73" i="273" s="1"/>
  <c r="F81" i="273"/>
  <c r="E74" i="273"/>
  <c r="E78" i="273"/>
  <c r="E82" i="273"/>
  <c r="E76" i="273"/>
  <c r="E71" i="273"/>
  <c r="E75" i="273"/>
  <c r="E79" i="273"/>
  <c r="E83" i="273"/>
  <c r="E73" i="273"/>
  <c r="E77" i="273"/>
  <c r="E81" i="273"/>
  <c r="E72" i="273"/>
  <c r="E80" i="273"/>
  <c r="E70" i="273"/>
  <c r="F70" i="273"/>
  <c r="G70" i="273" s="1"/>
  <c r="G82" i="273" l="1"/>
  <c r="H82" i="273" s="1"/>
  <c r="G79" i="273"/>
  <c r="H79" i="273" s="1"/>
  <c r="G80" i="273"/>
  <c r="H80" i="273" s="1"/>
  <c r="G75" i="273"/>
  <c r="H75" i="273" s="1"/>
  <c r="G76" i="273"/>
  <c r="H76" i="273" s="1"/>
  <c r="G81" i="273"/>
  <c r="H81" i="273" s="1"/>
  <c r="G74" i="273"/>
  <c r="H74" i="273" s="1"/>
  <c r="G71" i="273"/>
  <c r="H71" i="273" s="1"/>
  <c r="G83" i="273"/>
  <c r="H83" i="273" s="1"/>
  <c r="H73" i="273"/>
  <c r="H78" i="273"/>
  <c r="H72" i="273"/>
  <c r="H70" i="273"/>
  <c r="H77" i="273"/>
  <c r="I65" i="273" l="1"/>
  <c r="I82" i="273" l="1"/>
  <c r="J82" i="273" s="1"/>
  <c r="I78" i="273"/>
  <c r="J78" i="273" s="1"/>
  <c r="I74" i="273"/>
  <c r="J74" i="273" s="1"/>
  <c r="C107" i="273" s="1"/>
  <c r="D108" i="273" s="1"/>
  <c r="I70" i="273"/>
  <c r="J70" i="273" s="1"/>
  <c r="C103" i="273" s="1"/>
  <c r="D104" i="273" s="1"/>
  <c r="I80" i="273"/>
  <c r="J80" i="273" s="1"/>
  <c r="C115" i="273" s="1"/>
  <c r="D116" i="273" s="1"/>
  <c r="I75" i="273"/>
  <c r="J75" i="273" s="1"/>
  <c r="C108" i="273" s="1"/>
  <c r="D109" i="273" s="1"/>
  <c r="E110" i="273" s="1"/>
  <c r="F111" i="273" s="1"/>
  <c r="G112" i="273" s="1"/>
  <c r="H113" i="273" s="1"/>
  <c r="I114" i="273" s="1"/>
  <c r="I81" i="273"/>
  <c r="J81" i="273" s="1"/>
  <c r="C116" i="273" s="1"/>
  <c r="I71" i="273"/>
  <c r="J71" i="273" s="1"/>
  <c r="C104" i="273" s="1"/>
  <c r="D105" i="273" s="1"/>
  <c r="E106" i="273" s="1"/>
  <c r="F107" i="273" s="1"/>
  <c r="G108" i="273" s="1"/>
  <c r="H109" i="273" s="1"/>
  <c r="I110" i="273" s="1"/>
  <c r="I79" i="273"/>
  <c r="J79" i="273" s="1"/>
  <c r="C114" i="273" s="1"/>
  <c r="I73" i="273"/>
  <c r="J73" i="273" s="1"/>
  <c r="C106" i="273" s="1"/>
  <c r="D107" i="273" s="1"/>
  <c r="E108" i="273" s="1"/>
  <c r="F109" i="273" s="1"/>
  <c r="G110" i="273" s="1"/>
  <c r="H111" i="273" s="1"/>
  <c r="I112" i="273" s="1"/>
  <c r="I83" i="273"/>
  <c r="J83" i="273" s="1"/>
  <c r="I77" i="273"/>
  <c r="J77" i="273" s="1"/>
  <c r="I72" i="273"/>
  <c r="J72" i="273" s="1"/>
  <c r="C105" i="273" s="1"/>
  <c r="D106" i="273" s="1"/>
  <c r="E107" i="273" s="1"/>
  <c r="F108" i="273" s="1"/>
  <c r="G109" i="273" s="1"/>
  <c r="H110" i="273" s="1"/>
  <c r="I111" i="273" s="1"/>
  <c r="I76" i="273"/>
  <c r="J76" i="273" s="1"/>
  <c r="C109" i="273" s="1"/>
  <c r="D110" i="273" s="1"/>
  <c r="E111" i="273" s="1"/>
  <c r="F112" i="273" s="1"/>
  <c r="G113" i="273" s="1"/>
  <c r="H114" i="273" s="1"/>
  <c r="I115" i="273" s="1"/>
  <c r="D115" i="273" l="1"/>
  <c r="E116" i="273" s="1"/>
  <c r="C152" i="273"/>
  <c r="E109" i="273"/>
  <c r="F110" i="273" s="1"/>
  <c r="G111" i="273" s="1"/>
  <c r="H112" i="273" s="1"/>
  <c r="I113" i="273" s="1"/>
  <c r="E105" i="273"/>
  <c r="F106" i="273" s="1"/>
  <c r="G107" i="273" s="1"/>
  <c r="H108" i="273" s="1"/>
  <c r="I109" i="273" s="1"/>
  <c r="C141" i="273"/>
  <c r="B102" i="217" s="1"/>
  <c r="C145" i="273"/>
  <c r="B106" i="217" s="1"/>
  <c r="J103" i="273"/>
  <c r="C139" i="273"/>
  <c r="B100" i="217" s="1"/>
  <c r="I100" i="217" s="1"/>
  <c r="C110" i="273"/>
  <c r="D111" i="273" s="1"/>
  <c r="E112" i="273" s="1"/>
  <c r="F113" i="273" s="1"/>
  <c r="G114" i="273" s="1"/>
  <c r="H115" i="273" s="1"/>
  <c r="I116" i="273" s="1"/>
  <c r="C112" i="273"/>
  <c r="D113" i="273" s="1"/>
  <c r="E114" i="273" s="1"/>
  <c r="F115" i="273" s="1"/>
  <c r="G116" i="273" s="1"/>
  <c r="C140" i="273"/>
  <c r="B101" i="217" s="1"/>
  <c r="C142" i="273"/>
  <c r="B103" i="217" s="1"/>
  <c r="C143" i="273"/>
  <c r="B104" i="217" s="1"/>
  <c r="C144" i="273"/>
  <c r="B105" i="217" s="1"/>
  <c r="C111" i="273"/>
  <c r="D112" i="273" s="1"/>
  <c r="C113" i="273"/>
  <c r="D114" i="273" s="1"/>
  <c r="E115" i="273" s="1"/>
  <c r="F116" i="273" s="1"/>
  <c r="E113" i="273" l="1"/>
  <c r="F114" i="273" s="1"/>
  <c r="G115" i="273" s="1"/>
  <c r="H116" i="273" s="1"/>
  <c r="C151" i="273"/>
  <c r="T104" i="217"/>
  <c r="C148" i="273"/>
  <c r="C146" i="273"/>
  <c r="B107" i="217" s="1"/>
  <c r="T102" i="217"/>
  <c r="D145" i="273"/>
  <c r="C106" i="217" s="1"/>
  <c r="D142" i="273"/>
  <c r="C103" i="217" s="1"/>
  <c r="T105" i="217"/>
  <c r="D143" i="273"/>
  <c r="C104" i="217" s="1"/>
  <c r="J139" i="273"/>
  <c r="C159" i="273" s="1"/>
  <c r="T106" i="217"/>
  <c r="T103" i="217"/>
  <c r="C150" i="273"/>
  <c r="C147" i="273"/>
  <c r="B108" i="217" s="1"/>
  <c r="C149" i="273"/>
  <c r="D144" i="273"/>
  <c r="C105" i="217" s="1"/>
  <c r="D141" i="273"/>
  <c r="C102" i="217" s="1"/>
  <c r="J104" i="273"/>
  <c r="D140" i="273"/>
  <c r="C101" i="217" s="1"/>
  <c r="I101" i="217" s="1"/>
  <c r="D148" i="273"/>
  <c r="D146" i="273"/>
  <c r="C107" i="217" s="1"/>
  <c r="C160" i="273" l="1"/>
  <c r="E50" i="217"/>
  <c r="E94" i="217" s="1"/>
  <c r="E145" i="273"/>
  <c r="D106" i="217" s="1"/>
  <c r="D151" i="273"/>
  <c r="T101" i="217"/>
  <c r="T107" i="217"/>
  <c r="E142" i="273"/>
  <c r="D103" i="217" s="1"/>
  <c r="D150" i="273"/>
  <c r="E146" i="273"/>
  <c r="D107" i="217" s="1"/>
  <c r="E148" i="273"/>
  <c r="J140" i="273"/>
  <c r="D159" i="273" s="1"/>
  <c r="T100" i="217"/>
  <c r="E144" i="273"/>
  <c r="D105" i="217" s="1"/>
  <c r="D147" i="273"/>
  <c r="C108" i="217" s="1"/>
  <c r="D149" i="273"/>
  <c r="D152" i="273"/>
  <c r="E147" i="273"/>
  <c r="D108" i="217" s="1"/>
  <c r="E149" i="273"/>
  <c r="E143" i="273"/>
  <c r="D104" i="217" s="1"/>
  <c r="J105" i="273"/>
  <c r="E141" i="273"/>
  <c r="D102" i="217" s="1"/>
  <c r="I102" i="217" s="1"/>
  <c r="D160" i="273" l="1"/>
  <c r="F50" i="217"/>
  <c r="E151" i="273"/>
  <c r="E152" i="273"/>
  <c r="E150" i="273"/>
  <c r="F145" i="273"/>
  <c r="E106" i="217" s="1"/>
  <c r="F146" i="273"/>
  <c r="E107" i="217" s="1"/>
  <c r="F148" i="273"/>
  <c r="J141" i="273"/>
  <c r="E159" i="273" s="1"/>
  <c r="T108" i="217"/>
  <c r="F144" i="273"/>
  <c r="E105" i="217" s="1"/>
  <c r="F150" i="273"/>
  <c r="J106" i="273"/>
  <c r="F142" i="273"/>
  <c r="F147" i="273"/>
  <c r="E108" i="217" s="1"/>
  <c r="F149" i="273"/>
  <c r="F143" i="273"/>
  <c r="E104" i="217" s="1"/>
  <c r="J142" i="273" l="1"/>
  <c r="F159" i="273" s="1"/>
  <c r="H50" i="217" s="1"/>
  <c r="E103" i="217"/>
  <c r="I103" i="217" s="1"/>
  <c r="F94" i="217"/>
  <c r="G50" i="217"/>
  <c r="G94" i="217" s="1"/>
  <c r="E160" i="273"/>
  <c r="G146" i="273"/>
  <c r="F107" i="217" s="1"/>
  <c r="G148" i="273"/>
  <c r="F151" i="273"/>
  <c r="F152" i="273"/>
  <c r="G150" i="273"/>
  <c r="G151" i="273"/>
  <c r="G147" i="273"/>
  <c r="F108" i="217" s="1"/>
  <c r="G149" i="273"/>
  <c r="G145" i="273"/>
  <c r="F106" i="217" s="1"/>
  <c r="G144" i="273"/>
  <c r="F105" i="217" s="1"/>
  <c r="J107" i="273"/>
  <c r="G143" i="273"/>
  <c r="F104" i="217" s="1"/>
  <c r="I104" i="217" s="1"/>
  <c r="F160" i="273" l="1"/>
  <c r="J143" i="273"/>
  <c r="G159" i="273" s="1"/>
  <c r="H146" i="273"/>
  <c r="G107" i="217" s="1"/>
  <c r="H148" i="273"/>
  <c r="I152" i="273"/>
  <c r="H151" i="273"/>
  <c r="J108" i="273"/>
  <c r="H144" i="273"/>
  <c r="G105" i="217" s="1"/>
  <c r="I105" i="217" s="1"/>
  <c r="I145" i="273"/>
  <c r="H106" i="217" s="1"/>
  <c r="H150" i="273"/>
  <c r="I151" i="273"/>
  <c r="G152" i="273"/>
  <c r="I150" i="273"/>
  <c r="H147" i="273"/>
  <c r="G108" i="217" s="1"/>
  <c r="H149" i="273"/>
  <c r="H145" i="273"/>
  <c r="G106" i="217" s="1"/>
  <c r="J110" i="273"/>
  <c r="H152" i="273"/>
  <c r="J150" i="273" l="1"/>
  <c r="N159" i="273" s="1"/>
  <c r="P50" i="217" s="1"/>
  <c r="I106" i="217"/>
  <c r="I50" i="217"/>
  <c r="H94" i="217"/>
  <c r="G160" i="273"/>
  <c r="J151" i="273"/>
  <c r="O159" i="273" s="1"/>
  <c r="J152" i="273"/>
  <c r="P159" i="273" s="1"/>
  <c r="J144" i="273"/>
  <c r="H159" i="273" s="1"/>
  <c r="I146" i="273"/>
  <c r="H107" i="217" s="1"/>
  <c r="I107" i="217" s="1"/>
  <c r="I148" i="273"/>
  <c r="J148" i="273" s="1"/>
  <c r="L159" i="273" s="1"/>
  <c r="J116" i="273"/>
  <c r="J115" i="273"/>
  <c r="J112" i="273"/>
  <c r="J113" i="273"/>
  <c r="J145" i="273"/>
  <c r="I159" i="273" s="1"/>
  <c r="J111" i="273"/>
  <c r="I147" i="273"/>
  <c r="H108" i="217" s="1"/>
  <c r="I108" i="217" s="1"/>
  <c r="I149" i="273"/>
  <c r="J149" i="273" s="1"/>
  <c r="M159" i="273" s="1"/>
  <c r="J114" i="273"/>
  <c r="J109" i="273"/>
  <c r="O50" i="217" l="1"/>
  <c r="I94" i="217"/>
  <c r="J50" i="217"/>
  <c r="J94" i="217" s="1"/>
  <c r="K50" i="217"/>
  <c r="N50" i="217"/>
  <c r="N94" i="217" s="1"/>
  <c r="Q50" i="217"/>
  <c r="R50" i="217"/>
  <c r="R94" i="217" s="1"/>
  <c r="H160" i="273"/>
  <c r="J147" i="273"/>
  <c r="K159" i="273" s="1"/>
  <c r="M160" i="273"/>
  <c r="J146" i="273"/>
  <c r="J159" i="273" s="1"/>
  <c r="M50" i="217" l="1"/>
  <c r="M94" i="217" s="1"/>
  <c r="L50" i="217"/>
  <c r="P160" i="273"/>
  <c r="I160" i="273"/>
  <c r="L160" i="273"/>
  <c r="N160" i="273"/>
  <c r="O94" i="217"/>
  <c r="K94" i="217"/>
  <c r="J160" i="273"/>
  <c r="Q94" i="217" l="1"/>
  <c r="K160" i="273"/>
  <c r="L94" i="217"/>
  <c r="P94" i="217"/>
  <c r="O160" i="273"/>
</calcChain>
</file>

<file path=xl/comments1.xml><?xml version="1.0" encoding="utf-8"?>
<comments xmlns="http://schemas.openxmlformats.org/spreadsheetml/2006/main">
  <authors>
    <author>AlexK</author>
  </authors>
  <commentList>
    <comment ref="AB12" authorId="0" shapeId="0">
      <text>
        <r>
          <rPr>
            <sz val="9"/>
            <color indexed="81"/>
            <rFont val="Tahoma"/>
            <family val="2"/>
          </rPr>
          <t>P1 to Birth Factor has been replaced by 2010-12 to 2005-2007 figures to reflect Buckstone before development growth</t>
        </r>
      </text>
    </comment>
  </commentList>
</comments>
</file>

<file path=xl/sharedStrings.xml><?xml version="1.0" encoding="utf-8"?>
<sst xmlns="http://schemas.openxmlformats.org/spreadsheetml/2006/main" count="9978" uniqueCount="414">
  <si>
    <t>School</t>
  </si>
  <si>
    <t>P1</t>
  </si>
  <si>
    <t>P2</t>
  </si>
  <si>
    <t>P3</t>
  </si>
  <si>
    <t>P4</t>
  </si>
  <si>
    <t>P5</t>
  </si>
  <si>
    <t>P6</t>
  </si>
  <si>
    <t>P7</t>
  </si>
  <si>
    <t>Total</t>
  </si>
  <si>
    <t>Abbeyhill Primary School</t>
  </si>
  <si>
    <t>Balgreen Primary School</t>
  </si>
  <si>
    <t>Blackhall Primary School</t>
  </si>
  <si>
    <t>Bonaly Primary School</t>
  </si>
  <si>
    <t>Broomhouse Primary School</t>
  </si>
  <si>
    <t>Broughton Primary School</t>
  </si>
  <si>
    <t>Brunstane Primary School</t>
  </si>
  <si>
    <t>Bruntsfield Primary School</t>
  </si>
  <si>
    <t>Buckstone Primary School</t>
  </si>
  <si>
    <t>Carrick Knowe Primary School</t>
  </si>
  <si>
    <t>Clermiston Primary School</t>
  </si>
  <si>
    <t>Clovenstone Primary School</t>
  </si>
  <si>
    <t>Colinton Primary School</t>
  </si>
  <si>
    <t>Corstorphine Primary School</t>
  </si>
  <si>
    <t>Craigentinny Primary School</t>
  </si>
  <si>
    <t>Craiglockhart Primary School</t>
  </si>
  <si>
    <t>Cramond Primary School</t>
  </si>
  <si>
    <t>Dalmeny Primary School</t>
  </si>
  <si>
    <t>Dalry Primary School</t>
  </si>
  <si>
    <t>Davidson's Mains Primary School</t>
  </si>
  <si>
    <t>Dean Park Primary School</t>
  </si>
  <si>
    <t>Duddingston Primary School</t>
  </si>
  <si>
    <t>East Craigs Primary School</t>
  </si>
  <si>
    <t>Echline Primary School</t>
  </si>
  <si>
    <t>Ferryhill Primary School</t>
  </si>
  <si>
    <t>Forthview Primary School</t>
  </si>
  <si>
    <t>Gilmerton Primary School</t>
  </si>
  <si>
    <t>Gracemount Primary School</t>
  </si>
  <si>
    <t>Granton Primary School</t>
  </si>
  <si>
    <t>Gylemuir Primary School</t>
  </si>
  <si>
    <t>Hermitage Park Primary School</t>
  </si>
  <si>
    <t>Hillwood Primary School</t>
  </si>
  <si>
    <t>James Gillespie's Primary School</t>
  </si>
  <si>
    <t>Juniper Green Primary School</t>
  </si>
  <si>
    <t>Kirkliston Primary School</t>
  </si>
  <si>
    <t>Leith Primary School</t>
  </si>
  <si>
    <t>Leith Walk Primary School</t>
  </si>
  <si>
    <t>Liberton Primary School</t>
  </si>
  <si>
    <t>Longstone Primary School</t>
  </si>
  <si>
    <t>Lorne Primary School</t>
  </si>
  <si>
    <t>Murrayburn Primary School</t>
  </si>
  <si>
    <t>Nether Currie Primary School</t>
  </si>
  <si>
    <t>Newcraighall Primary School</t>
  </si>
  <si>
    <t>Niddrie Mill Primary School</t>
  </si>
  <si>
    <t>Oxgangs Primary School</t>
  </si>
  <si>
    <t>Parsons Green Primary School</t>
  </si>
  <si>
    <t>Pirniehall Primary School</t>
  </si>
  <si>
    <t>Preston Street Primary School</t>
  </si>
  <si>
    <t>Prestonfield Primary School</t>
  </si>
  <si>
    <t>Queensferry Primary School</t>
  </si>
  <si>
    <t>Ratho Primary School</t>
  </si>
  <si>
    <t>Roseburn Primary School</t>
  </si>
  <si>
    <t>Royal Mile Primary School</t>
  </si>
  <si>
    <t>Sciennes Primary School</t>
  </si>
  <si>
    <t>Sighthill Primary School</t>
  </si>
  <si>
    <t>South Morningside Primary School</t>
  </si>
  <si>
    <t>St Catherine's RC Primary School</t>
  </si>
  <si>
    <t>Stenhouse Primary School</t>
  </si>
  <si>
    <t>Stockbridge Primary School</t>
  </si>
  <si>
    <t>The Royal High Primary School</t>
  </si>
  <si>
    <t>Tollcross Primary School</t>
  </si>
  <si>
    <t>Towerbank Primary School</t>
  </si>
  <si>
    <t>Trinity Primary School</t>
  </si>
  <si>
    <t>Victoria Primary School</t>
  </si>
  <si>
    <t>Wardie Primary School</t>
  </si>
  <si>
    <t>Canal View Primary School</t>
  </si>
  <si>
    <t>Castleview Primary School</t>
  </si>
  <si>
    <t>Craigroyston Primary School</t>
  </si>
  <si>
    <t>Currie Primary School</t>
  </si>
  <si>
    <t>Flora Stevenson Primary School</t>
  </si>
  <si>
    <t>Fox Covert RC Primary School</t>
  </si>
  <si>
    <t>Pentland Primary School</t>
  </si>
  <si>
    <t>St Margaret's RC Primary School</t>
  </si>
  <si>
    <t>Craigour Park Primary School</t>
  </si>
  <si>
    <t>Fox Covert ND Primary School</t>
  </si>
  <si>
    <t>Holy Cross RC Primary School</t>
  </si>
  <si>
    <t>St Cuthbert's RC Primary School</t>
  </si>
  <si>
    <t>St David's RC Primary School</t>
  </si>
  <si>
    <t>St Francis' RC Primary School</t>
  </si>
  <si>
    <t>St John Vianney RC Primary School</t>
  </si>
  <si>
    <t>St John's RC Primary School</t>
  </si>
  <si>
    <t>St Joseph's RC Primary School</t>
  </si>
  <si>
    <t>St Mark's RC Primary School</t>
  </si>
  <si>
    <t>St Mary's RC Primary School (Edin.)</t>
  </si>
  <si>
    <t>St Mary's RC Primary School (Leith)</t>
  </si>
  <si>
    <t>St Ninian's RC Primary School</t>
  </si>
  <si>
    <t>St Peter's RC Primary School</t>
  </si>
  <si>
    <t>Bun-sgoil Taobh na Pairce</t>
  </si>
  <si>
    <t>n/a</t>
  </si>
  <si>
    <t>2012/13</t>
  </si>
  <si>
    <t>Classes</t>
  </si>
  <si>
    <t>Births</t>
  </si>
  <si>
    <t>Birth Year</t>
  </si>
  <si>
    <t>Catchment Area</t>
  </si>
  <si>
    <t>1996-1997</t>
  </si>
  <si>
    <t>1997-1998</t>
  </si>
  <si>
    <t>1998-1999</t>
  </si>
  <si>
    <t>1999-2000</t>
  </si>
  <si>
    <t>2000-2001</t>
  </si>
  <si>
    <t>2001-2002</t>
  </si>
  <si>
    <t>2002-2003</t>
  </si>
  <si>
    <t>2003-2004</t>
  </si>
  <si>
    <t>2004-2005</t>
  </si>
  <si>
    <t>2005-2006</t>
  </si>
  <si>
    <t>2006-2007</t>
  </si>
  <si>
    <t>2007-2008</t>
  </si>
  <si>
    <t>2008-2009</t>
  </si>
  <si>
    <t>2009-2010</t>
  </si>
  <si>
    <t>2010-2011</t>
  </si>
  <si>
    <t>2011-2012</t>
  </si>
  <si>
    <t>2012-2013</t>
  </si>
  <si>
    <t>N/A</t>
  </si>
  <si>
    <t>P1 Catchment Population</t>
  </si>
  <si>
    <t>Year</t>
  </si>
  <si>
    <t>School Capacity:</t>
  </si>
  <si>
    <t>Unadjusted</t>
  </si>
  <si>
    <t>2013-2014</t>
  </si>
  <si>
    <t>2013/14</t>
  </si>
  <si>
    <t>2014/15</t>
  </si>
  <si>
    <t>Section 1: Catchment Analysis</t>
  </si>
  <si>
    <t>Catchment Births (5yrs Prior)</t>
  </si>
  <si>
    <t xml:space="preserve">Total </t>
  </si>
  <si>
    <t>Projected from Births</t>
  </si>
  <si>
    <t>Section 2: P1 Projection</t>
  </si>
  <si>
    <t>Catchment Retained</t>
  </si>
  <si>
    <t>Actual P1 Intake</t>
  </si>
  <si>
    <t>Non Catchment Pupils</t>
  </si>
  <si>
    <t>3Yr Avg. Capture Rate</t>
  </si>
  <si>
    <t>Median Non-Catchment Places Filled</t>
  </si>
  <si>
    <t>Non Catchment Places</t>
  </si>
  <si>
    <t>Final P1 Intake Projection</t>
  </si>
  <si>
    <t>P1 ND Catchment Population Projected (Births and Housing)</t>
  </si>
  <si>
    <t>Projected from New Housing</t>
  </si>
  <si>
    <t>Assume Non Catchment Filled?</t>
  </si>
  <si>
    <t>Current School Capacity and Roll Information</t>
  </si>
  <si>
    <t>Totals</t>
  </si>
  <si>
    <t>WORKING DATA</t>
  </si>
  <si>
    <t>Catchment Births (5yrs Prior) vs Total P1 Catchment Population</t>
  </si>
  <si>
    <t>Projected Organisation</t>
  </si>
  <si>
    <t>Actual</t>
  </si>
  <si>
    <t>Roll</t>
  </si>
  <si>
    <t>Capacity</t>
  </si>
  <si>
    <t xml:space="preserve">School Roll Projections Summary </t>
  </si>
  <si>
    <t>Classes Formed</t>
  </si>
  <si>
    <t>2014-15</t>
  </si>
  <si>
    <t>Estimated P1 Intake Limit</t>
  </si>
  <si>
    <t>Section 3: Roll Projections</t>
  </si>
  <si>
    <t>2015/16</t>
  </si>
  <si>
    <t>Projected Roll</t>
  </si>
  <si>
    <t>Capture Rate (3yr Avg.)</t>
  </si>
  <si>
    <t>Projected P1 ND Catchment Population</t>
  </si>
  <si>
    <t>Actual P1 Registrations (as of Jan 2016)</t>
  </si>
  <si>
    <t>Bun-sgoil Taobh na Pàirce ( Parkside Primary )</t>
  </si>
  <si>
    <t>Fox Covert Roman Catholic Primary School</t>
  </si>
  <si>
    <t>Holy Cross Roman Catholic Primary School</t>
  </si>
  <si>
    <t>St Catherine's Roman Catholic Primary School</t>
  </si>
  <si>
    <t>St Cuthbert's Roman Catholic Primary School</t>
  </si>
  <si>
    <t>St David's Roman Catholic Primary School</t>
  </si>
  <si>
    <t>St Francis' Roman Catholic Primary School</t>
  </si>
  <si>
    <t>St John Vianney Roman Catholic Primary School</t>
  </si>
  <si>
    <t>St John's Roman Catholic Primary School</t>
  </si>
  <si>
    <t>St Joseph's Roman Catholic Primary School</t>
  </si>
  <si>
    <t>St Margaret's Roman Catholic Primary School</t>
  </si>
  <si>
    <t>St Mark's Roman Catholic Primary School</t>
  </si>
  <si>
    <t>St Mary's Roman Catholic Primary School (Edin.)</t>
  </si>
  <si>
    <t>St Mary's Roman Catholic Primary School (Leith)</t>
  </si>
  <si>
    <t>St Ninian's Roman Catholic Primary School</t>
  </si>
  <si>
    <t>St Peter's Roman Catholic Primary School</t>
  </si>
  <si>
    <t>P1 Registrations (13/01/16)</t>
  </si>
  <si>
    <t>P1 Intake Limit (Agreed 05/01/16)</t>
  </si>
  <si>
    <t>Projected P1 RC Catchment Population</t>
  </si>
  <si>
    <t>P1 RC Catchment Population Projected (Births and Housing)</t>
  </si>
  <si>
    <t>Baptised Registrations</t>
  </si>
  <si>
    <t>P1 RC Catchment Population</t>
  </si>
  <si>
    <r>
      <t>Estimated P1 Intake Limit</t>
    </r>
    <r>
      <rPr>
        <b/>
        <sz val="11"/>
        <rFont val="Arial"/>
        <family val="2"/>
      </rPr>
      <t>#</t>
    </r>
  </si>
  <si>
    <r>
      <rPr>
        <sz val="10"/>
        <rFont val="Arial"/>
        <family val="2"/>
      </rPr>
      <t>#</t>
    </r>
    <r>
      <rPr>
        <sz val="10"/>
        <rFont val="Calibri"/>
        <family val="2"/>
      </rPr>
      <t>Assumes all baptised</t>
    </r>
  </si>
  <si>
    <r>
      <rPr>
        <sz val="10"/>
        <rFont val="Arial"/>
        <family val="2"/>
      </rPr>
      <t>#</t>
    </r>
    <r>
      <rPr>
        <sz val="10"/>
        <rFont val="Calibri"/>
        <family val="2"/>
      </rPr>
      <t>Assumes all catchment baptised</t>
    </r>
  </si>
  <si>
    <t>#Assumes all catchment baptised</t>
  </si>
  <si>
    <t>Bun Sgoil Taobh na Pairce</t>
  </si>
  <si>
    <t>Scenario Testing Required?</t>
  </si>
  <si>
    <t>LDP</t>
  </si>
  <si>
    <t>Proj Yesr</t>
  </si>
  <si>
    <t>HI All,</t>
  </si>
  <si>
    <r>
      <t>See info below. 2015 data based on data for Quarter 1-3 and estimate for 4</t>
    </r>
    <r>
      <rPr>
        <vertAlign val="superscript"/>
        <sz val="11"/>
        <rFont val="Calibri"/>
        <family val="2"/>
      </rPr>
      <t>th</t>
    </r>
    <r>
      <rPr>
        <sz val="11"/>
        <rFont val="Calibri"/>
        <family val="2"/>
      </rPr>
      <t xml:space="preserve"> quarter.</t>
    </r>
  </si>
  <si>
    <t xml:space="preserve">Source: National Record for Scotland </t>
  </si>
  <si>
    <t>Status</t>
  </si>
  <si>
    <t>Births by year</t>
  </si>
  <si>
    <t>Births by SY</t>
  </si>
  <si>
    <t>Diff</t>
  </si>
  <si>
    <t>5 yrs on</t>
  </si>
  <si>
    <t>2016/17</t>
  </si>
  <si>
    <t>2017/18</t>
  </si>
  <si>
    <t>2018/19</t>
  </si>
  <si>
    <t>2019/20</t>
  </si>
  <si>
    <t>Est**</t>
  </si>
  <si>
    <t>**DD est</t>
  </si>
  <si>
    <t>Quarter</t>
  </si>
  <si>
    <t>Aggregated</t>
  </si>
  <si>
    <t>1 Quarter</t>
  </si>
  <si>
    <t>2 Quarter</t>
  </si>
  <si>
    <t>3 Quarter</t>
  </si>
  <si>
    <t>est</t>
  </si>
  <si>
    <t>4 Quarter</t>
  </si>
  <si>
    <t>DD email 12/01/2016</t>
  </si>
  <si>
    <t>Actual Catchment Births</t>
  </si>
  <si>
    <t>Projected Catchment Births*</t>
  </si>
  <si>
    <t>Projected births (2012-based), by Council and NHS Board areas, 2012-2037</t>
  </si>
  <si>
    <t>Projected Total P1 Catchment Population (Birth Based)</t>
  </si>
  <si>
    <r>
      <t xml:space="preserve">Projected ND </t>
    </r>
    <r>
      <rPr>
        <b/>
        <sz val="10"/>
        <color rgb="FFFF0000"/>
        <rFont val="Arial"/>
        <family val="2"/>
      </rPr>
      <t xml:space="preserve">(or RC) </t>
    </r>
    <r>
      <rPr>
        <b/>
        <sz val="10"/>
        <color theme="1"/>
        <rFont val="Arial"/>
        <family val="2"/>
      </rPr>
      <t>P1 Catchment Population (Birth Based)</t>
    </r>
  </si>
  <si>
    <t>P1-P2</t>
  </si>
  <si>
    <t>P2-P3</t>
  </si>
  <si>
    <t>P3-P4</t>
  </si>
  <si>
    <t>P4-P5</t>
  </si>
  <si>
    <t>P5-P6</t>
  </si>
  <si>
    <t>P6-P7</t>
  </si>
  <si>
    <t xml:space="preserve">Actual Roll </t>
  </si>
  <si>
    <t>Balerno Community High School</t>
  </si>
  <si>
    <t>Boroughmuir High School</t>
  </si>
  <si>
    <t>Broughton High School</t>
  </si>
  <si>
    <t>Castlebrae Community High School</t>
  </si>
  <si>
    <t>Craigmount High School</t>
  </si>
  <si>
    <t>Craigroyston Community High School</t>
  </si>
  <si>
    <t>Currie Community High School</t>
  </si>
  <si>
    <t>Drummond Community High School</t>
  </si>
  <si>
    <t>Firrhill High School</t>
  </si>
  <si>
    <t>Forrester High School</t>
  </si>
  <si>
    <t>Gracemount High School</t>
  </si>
  <si>
    <t>Holy Rood RC High School</t>
  </si>
  <si>
    <t>James Gillespie's High School</t>
  </si>
  <si>
    <t>Leith Academy</t>
  </si>
  <si>
    <t>Liberton High School</t>
  </si>
  <si>
    <t>Portobello High School</t>
  </si>
  <si>
    <t>Queensferry Community High School</t>
  </si>
  <si>
    <t>St Augustine's RC High School</t>
  </si>
  <si>
    <t>St Thomas of Aquin's RC High School</t>
  </si>
  <si>
    <t>The Royal High School</t>
  </si>
  <si>
    <t>Trinity Academy</t>
  </si>
  <si>
    <t>Tynecastle High School</t>
  </si>
  <si>
    <t>Wester Hailes Education Centre</t>
  </si>
  <si>
    <t>Table 6: Projected Total Roll and Notional Classes Required (may be reduced through Team Teaching)</t>
  </si>
  <si>
    <t>5yr MEDIAN Drop-off Rates</t>
  </si>
  <si>
    <t>11 Classes possible if EDR relocated</t>
  </si>
  <si>
    <t xml:space="preserve">All Schools Projection by Stage </t>
  </si>
  <si>
    <t>2015-16</t>
  </si>
  <si>
    <t>Birth-based</t>
  </si>
  <si>
    <t>NRS Growth based</t>
  </si>
  <si>
    <t>Total Roll</t>
  </si>
  <si>
    <t>Victoria - Western Harbour</t>
  </si>
  <si>
    <t>Pirniehall - Granton Waterfront</t>
  </si>
  <si>
    <t>Castleview - Edmonstone/Wisp</t>
  </si>
  <si>
    <t>ND figures include the following non-catchment areas from 2009</t>
  </si>
  <si>
    <t>RC figures include the following non-catchment areas from 2009</t>
  </si>
  <si>
    <t>Holy Cross - Western Harbour</t>
  </si>
  <si>
    <t>Holy Cross - Granton Harbour</t>
  </si>
  <si>
    <t>(inc. Western Harbour Area)</t>
  </si>
  <si>
    <t>Projected from Births (including Development Growth)</t>
  </si>
  <si>
    <t>NRS 2012-based principal population projections for Council areas by sex and single year of age, by Council area, 2012-2037</t>
  </si>
  <si>
    <t>Age 5</t>
  </si>
  <si>
    <t xml:space="preserve">* Due to significant housing development in the catchment area in the past 5 years, it is considered that growth from development is already built into birth based projections.  For this reason no further housing generation figures are added to the final projection.  The standard projection methodology has been adjusted based on the assumption that P1 growth and births will peak on completion of all significant housing developments in 2018.  This means that birth data and catchment pupils generated will not correlate until 5 years later (2023) when the two lines in figure 2 ("Catchment Births (5yrs Prior)" and "P1 ND Catchment Population (Actual)" would be expected to meet. </t>
  </si>
  <si>
    <t>** Due to significant housing development in the catchment area in the past 5 years, it is considered that growth from development is already built into drop-off rates.  As development is scheduled for completion in 2018 an assumed drop-off rate of 0% is applied from 2019.</t>
  </si>
  <si>
    <t>Completions</t>
  </si>
  <si>
    <t>18/19</t>
  </si>
  <si>
    <t>19/20</t>
  </si>
  <si>
    <t>20/21</t>
  </si>
  <si>
    <t>21/22</t>
  </si>
  <si>
    <t>22/23</t>
  </si>
  <si>
    <t>24/25</t>
  </si>
  <si>
    <t>25/26</t>
  </si>
  <si>
    <t>26/27</t>
  </si>
  <si>
    <t>27/28</t>
  </si>
  <si>
    <t>28/29</t>
  </si>
  <si>
    <t>29/30</t>
  </si>
  <si>
    <t>30/31</t>
  </si>
  <si>
    <t>31/32</t>
  </si>
  <si>
    <t>32/33</t>
  </si>
  <si>
    <t>Expected registrations</t>
  </si>
  <si>
    <t>Based on assumption of high no.s from Craigentinny</t>
  </si>
  <si>
    <t>Projected ND (or RC) P1 Catchment Population (Birth Based) + Housing (2016-2030)</t>
  </si>
  <si>
    <t>RC</t>
  </si>
  <si>
    <t>ND</t>
  </si>
  <si>
    <t>TOTAL</t>
  </si>
  <si>
    <t>Total P1 Catchment Population</t>
  </si>
  <si>
    <t>Table 2B: Non-Catchment Demand, 2012-2016</t>
  </si>
  <si>
    <t>Actual P1 Registrations (as of Jan 2017)</t>
  </si>
  <si>
    <t>2014 based NRS Projection</t>
  </si>
  <si>
    <t>2012 based NRS Projection</t>
  </si>
  <si>
    <t>Primary Estate Capacity</t>
  </si>
  <si>
    <t>Actual Primary Roll</t>
  </si>
  <si>
    <t>Projected Primary Roll</t>
  </si>
  <si>
    <t>NRS Projected City 5-11 Yrs Population (2014 based)</t>
  </si>
  <si>
    <t>2016-17</t>
  </si>
  <si>
    <t>33/34</t>
  </si>
  <si>
    <t>34/35</t>
  </si>
  <si>
    <t>See 'Birth Estimate and NRS Data' tab</t>
  </si>
  <si>
    <t>*2017-2025 growth based on NRS projected growth:</t>
  </si>
  <si>
    <t>abbeyhill</t>
  </si>
  <si>
    <t>balgreen</t>
  </si>
  <si>
    <t>blackhall</t>
  </si>
  <si>
    <t>bonaly</t>
  </si>
  <si>
    <t>broomhouse</t>
  </si>
  <si>
    <t>broughton</t>
  </si>
  <si>
    <t>brunstane</t>
  </si>
  <si>
    <t>bruntsfield</t>
  </si>
  <si>
    <t>buckstone</t>
  </si>
  <si>
    <t>canal view</t>
  </si>
  <si>
    <t>carrick knowe</t>
  </si>
  <si>
    <t>castleview</t>
  </si>
  <si>
    <t>clermiston</t>
  </si>
  <si>
    <t>clovenstone</t>
  </si>
  <si>
    <t>colinton</t>
  </si>
  <si>
    <t>corstorphine</t>
  </si>
  <si>
    <t>craigentinny</t>
  </si>
  <si>
    <t>craiglockhart</t>
  </si>
  <si>
    <t>craigour park</t>
  </si>
  <si>
    <t>craigroyston</t>
  </si>
  <si>
    <t>crammond</t>
  </si>
  <si>
    <t>currie</t>
  </si>
  <si>
    <t>dalmeny</t>
  </si>
  <si>
    <t>dalry</t>
  </si>
  <si>
    <t>davidson's mains</t>
  </si>
  <si>
    <t>dean park</t>
  </si>
  <si>
    <t>duddingston</t>
  </si>
  <si>
    <t>east craigs</t>
  </si>
  <si>
    <t>echline</t>
  </si>
  <si>
    <t>ferryhill</t>
  </si>
  <si>
    <t>flora stevenson</t>
  </si>
  <si>
    <t>forthview</t>
  </si>
  <si>
    <t>fox covert</t>
  </si>
  <si>
    <t>fox covert rc</t>
  </si>
  <si>
    <t>gilmerton</t>
  </si>
  <si>
    <t>gracemount</t>
  </si>
  <si>
    <t>granton</t>
  </si>
  <si>
    <t>gylemuir</t>
  </si>
  <si>
    <t>hermitage park</t>
  </si>
  <si>
    <t>hillwood</t>
  </si>
  <si>
    <t>holy cross rc</t>
  </si>
  <si>
    <t>james gillespie's</t>
  </si>
  <si>
    <t>juniper green</t>
  </si>
  <si>
    <t>kirkliston</t>
  </si>
  <si>
    <t>leith</t>
  </si>
  <si>
    <t>leith walk</t>
  </si>
  <si>
    <t>liberton</t>
  </si>
  <si>
    <t>longstone</t>
  </si>
  <si>
    <t>lorne</t>
  </si>
  <si>
    <t>murrayburn</t>
  </si>
  <si>
    <t>nether currie</t>
  </si>
  <si>
    <t>newcraighall</t>
  </si>
  <si>
    <t>niddrie mill</t>
  </si>
  <si>
    <t>oxgangs</t>
  </si>
  <si>
    <t>parson's green</t>
  </si>
  <si>
    <t>pentland</t>
  </si>
  <si>
    <t>pirniehall</t>
  </si>
  <si>
    <t>preston street</t>
  </si>
  <si>
    <t>prestonfield</t>
  </si>
  <si>
    <t>queensferry</t>
  </si>
  <si>
    <t>ratho</t>
  </si>
  <si>
    <t>roseburn</t>
  </si>
  <si>
    <t>royal mile</t>
  </si>
  <si>
    <t>sciennes</t>
  </si>
  <si>
    <t>sighthill</t>
  </si>
  <si>
    <t>south morningside</t>
  </si>
  <si>
    <t>st catherine's rc</t>
  </si>
  <si>
    <t>st cuthbert's rc</t>
  </si>
  <si>
    <t>st david's rc</t>
  </si>
  <si>
    <t>st francis' rc</t>
  </si>
  <si>
    <t>st john vianney rc</t>
  </si>
  <si>
    <t>st john's rc</t>
  </si>
  <si>
    <t>st joseph's rc</t>
  </si>
  <si>
    <t>st margaret's rc</t>
  </si>
  <si>
    <t>st mark's rc</t>
  </si>
  <si>
    <t>st mary's (edinburgh) rc</t>
  </si>
  <si>
    <t>st mary's (leith) rc</t>
  </si>
  <si>
    <t>st ninian's rc</t>
  </si>
  <si>
    <t>st peter's rc</t>
  </si>
  <si>
    <t>stenhouse</t>
  </si>
  <si>
    <t>stockbridge</t>
  </si>
  <si>
    <t>the royal high</t>
  </si>
  <si>
    <t>tollcross</t>
  </si>
  <si>
    <t>towerbank</t>
  </si>
  <si>
    <t>trinity</t>
  </si>
  <si>
    <t>victoria</t>
  </si>
  <si>
    <t>wardie</t>
  </si>
  <si>
    <t>P1 pupis in CA (ND Only)</t>
  </si>
  <si>
    <t>P1 pupis in CA (ND &amp; RC)</t>
  </si>
  <si>
    <t>* Note: GME excluded in all data</t>
  </si>
  <si>
    <t>Actual ND P1 Catchment Population (excl. GME)</t>
  </si>
  <si>
    <t>P1 Catchment Population Attendees</t>
  </si>
  <si>
    <t>BS TNP</t>
  </si>
  <si>
    <t>Fox Covert St Andrew's RC Primary School</t>
  </si>
  <si>
    <t>2017-18</t>
  </si>
  <si>
    <t>23/24</t>
  </si>
  <si>
    <t>Beyond</t>
  </si>
  <si>
    <r>
      <t>Housing Development -</t>
    </r>
    <r>
      <rPr>
        <b/>
        <sz val="10"/>
        <color rgb="FFFF0000"/>
        <rFont val="Arial"/>
        <family val="2"/>
      </rPr>
      <t xml:space="preserve"> </t>
    </r>
    <r>
      <rPr>
        <b/>
        <sz val="10"/>
        <rFont val="Arial"/>
        <family val="2"/>
      </rPr>
      <t>August 2018</t>
    </r>
  </si>
  <si>
    <t>Table 2B: Non-Catchment Demand, 2014-2018</t>
  </si>
  <si>
    <t>Table 3: Final P1 Intake Projection, 2019-2032</t>
  </si>
  <si>
    <t>Summary</t>
  </si>
  <si>
    <t>Resultant Capacity</t>
  </si>
  <si>
    <t>Capacity Formula</t>
  </si>
  <si>
    <t>Type Class Here:</t>
  </si>
  <si>
    <t>?</t>
  </si>
  <si>
    <t>ü</t>
  </si>
  <si>
    <t>Comments</t>
  </si>
  <si>
    <t>City Plan</t>
  </si>
  <si>
    <t>New School</t>
  </si>
  <si>
    <t>Remove TUs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</si>
</sst>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4" formatCode="_-&quot;£&quot;* #,##0.00_-;\-&quot;£&quot;* #,##0.00_-;_-&quot;£&quot;* &quot;-&quot;??_-;_-@_-"/>
    <numFmt numFmtId="164" formatCode="0.0%"/>
    <numFmt numFmtId="165" formatCode="#,##0.0"/>
  </numFmts>
  <fonts count="65">
    <font>
      <sz val="10"/>
      <name val="Arial"/>
    </font>
    <font>
      <sz val="10"/>
      <color theme="1"/>
      <name val="Arial"/>
      <family val="2"/>
    </font>
    <font>
      <sz val="10"/>
      <color theme="1"/>
      <name val="Arial"/>
      <family val="2"/>
    </font>
    <font>
      <sz val="10"/>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name val="Arial"/>
      <family val="2"/>
    </font>
    <font>
      <sz val="10"/>
      <name val="Arial"/>
      <family val="2"/>
    </font>
    <font>
      <b/>
      <sz val="10"/>
      <color indexed="12"/>
      <name val="Arial"/>
      <family val="2"/>
    </font>
    <font>
      <sz val="10"/>
      <color indexed="12"/>
      <name val="Arial"/>
      <family val="2"/>
    </font>
    <font>
      <sz val="10"/>
      <color indexed="10"/>
      <name val="Arial"/>
      <family val="2"/>
    </font>
    <font>
      <sz val="10"/>
      <color indexed="17"/>
      <name val="Arial"/>
      <family val="2"/>
    </font>
    <font>
      <sz val="11"/>
      <color theme="1"/>
      <name val="Calibri"/>
      <family val="2"/>
      <scheme val="minor"/>
    </font>
    <font>
      <b/>
      <sz val="11"/>
      <color theme="1"/>
      <name val="Calibri"/>
      <family val="2"/>
      <scheme val="minor"/>
    </font>
    <font>
      <b/>
      <sz val="10"/>
      <color theme="1"/>
      <name val="Arial"/>
      <family val="2"/>
    </font>
    <font>
      <b/>
      <sz val="11"/>
      <name val="Calibri"/>
      <family val="2"/>
      <scheme val="minor"/>
    </font>
    <font>
      <sz val="11"/>
      <name val="Calibri"/>
      <family val="2"/>
      <scheme val="minor"/>
    </font>
    <font>
      <b/>
      <sz val="14"/>
      <color theme="1"/>
      <name val="Calibri"/>
      <family val="2"/>
      <scheme val="minor"/>
    </font>
    <font>
      <sz val="10"/>
      <color rgb="FFFF0000"/>
      <name val="Arial"/>
      <family val="2"/>
    </font>
    <font>
      <sz val="10"/>
      <name val="Calibri"/>
      <family val="2"/>
      <scheme val="minor"/>
    </font>
    <font>
      <b/>
      <sz val="14"/>
      <color theme="0"/>
      <name val="Calibri"/>
      <family val="2"/>
      <scheme val="minor"/>
    </font>
    <font>
      <b/>
      <sz val="10"/>
      <name val="Calibri"/>
      <family val="2"/>
      <scheme val="minor"/>
    </font>
    <font>
      <b/>
      <sz val="14"/>
      <name val="Calibri"/>
      <family val="2"/>
      <scheme val="minor"/>
    </font>
    <font>
      <b/>
      <sz val="20"/>
      <name val="Calibri"/>
      <family val="2"/>
      <scheme val="minor"/>
    </font>
    <font>
      <sz val="9"/>
      <name val="Calibri"/>
      <family val="2"/>
      <scheme val="minor"/>
    </font>
    <font>
      <b/>
      <sz val="11"/>
      <color theme="0"/>
      <name val="Calibri"/>
      <family val="2"/>
      <scheme val="minor"/>
    </font>
    <font>
      <b/>
      <sz val="11"/>
      <color rgb="FFFF0000"/>
      <name val="Calibri"/>
      <family val="2"/>
      <scheme val="minor"/>
    </font>
    <font>
      <sz val="9"/>
      <name val="Calibri"/>
      <family val="2"/>
    </font>
    <font>
      <sz val="6"/>
      <color indexed="8"/>
      <name val="Arial"/>
      <family val="2"/>
    </font>
    <font>
      <b/>
      <sz val="9"/>
      <color indexed="8"/>
      <name val="Arial"/>
      <family val="2"/>
    </font>
    <font>
      <b/>
      <sz val="12"/>
      <name val="Calibri"/>
      <family val="2"/>
      <scheme val="minor"/>
    </font>
    <font>
      <b/>
      <sz val="10"/>
      <color rgb="FFFF0000"/>
      <name val="Arial"/>
      <family val="2"/>
    </font>
    <font>
      <sz val="10"/>
      <color theme="1"/>
      <name val="Arial"/>
      <family val="2"/>
    </font>
    <font>
      <sz val="10"/>
      <color theme="1" tint="4.9989318521683403E-2"/>
      <name val="Arial"/>
      <family val="2"/>
    </font>
    <font>
      <b/>
      <sz val="11"/>
      <name val="Arial"/>
      <family val="2"/>
    </font>
    <font>
      <sz val="10"/>
      <name val="Calibri"/>
      <family val="2"/>
    </font>
    <font>
      <u/>
      <sz val="10"/>
      <color theme="10"/>
      <name val="Arial"/>
      <family val="2"/>
    </font>
    <font>
      <sz val="11"/>
      <name val="Calibri"/>
      <family val="2"/>
    </font>
    <font>
      <vertAlign val="superscript"/>
      <sz val="11"/>
      <name val="Calibri"/>
      <family val="2"/>
    </font>
    <font>
      <sz val="10"/>
      <color rgb="FF0070C0"/>
      <name val="Arial"/>
      <family val="2"/>
    </font>
    <font>
      <sz val="8"/>
      <name val="Arial"/>
      <family val="2"/>
    </font>
    <font>
      <u/>
      <sz val="8"/>
      <color indexed="12"/>
      <name val="Arial"/>
      <family val="2"/>
    </font>
    <font>
      <sz val="11"/>
      <color rgb="FFFF0000"/>
      <name val="Calibri"/>
      <family val="2"/>
      <scheme val="minor"/>
    </font>
    <font>
      <u/>
      <sz val="11"/>
      <color theme="10"/>
      <name val="Calibri"/>
      <family val="2"/>
    </font>
    <font>
      <b/>
      <sz val="10"/>
      <color indexed="10"/>
      <name val="Arial"/>
      <family val="2"/>
    </font>
    <font>
      <sz val="10"/>
      <color rgb="FF00B050"/>
      <name val="Arial"/>
      <family val="2"/>
    </font>
    <font>
      <sz val="10"/>
      <color theme="9" tint="-0.249977111117893"/>
      <name val="Arial"/>
      <family val="2"/>
    </font>
    <font>
      <sz val="10"/>
      <color indexed="8"/>
      <name val="Arial"/>
      <family val="2"/>
    </font>
    <font>
      <sz val="11"/>
      <color indexed="8"/>
      <name val="Calibri"/>
      <family val="2"/>
    </font>
    <font>
      <u/>
      <sz val="10"/>
      <color indexed="12"/>
      <name val="Arial"/>
      <family val="2"/>
    </font>
    <font>
      <sz val="9"/>
      <name val="Arial"/>
      <family val="2"/>
    </font>
    <font>
      <sz val="9"/>
      <color theme="1"/>
      <name val="Arial"/>
      <family val="2"/>
    </font>
    <font>
      <sz val="9"/>
      <color rgb="FFFF0000"/>
      <name val="Arial"/>
      <family val="2"/>
    </font>
    <font>
      <sz val="8"/>
      <color theme="1"/>
      <name val="Calibri"/>
      <family val="2"/>
      <scheme val="minor"/>
    </font>
    <font>
      <sz val="9"/>
      <color indexed="81"/>
      <name val="Tahoma"/>
      <family val="2"/>
    </font>
    <font>
      <sz val="10"/>
      <name val="Wingdings"/>
      <charset val="2"/>
    </font>
  </fonts>
  <fills count="36">
    <fill>
      <patternFill patternType="none"/>
    </fill>
    <fill>
      <patternFill patternType="gray125"/>
    </fill>
    <fill>
      <patternFill patternType="solid">
        <fgColor indexed="22"/>
        <bgColor indexed="64"/>
      </patternFill>
    </fill>
    <fill>
      <patternFill patternType="solid">
        <fgColor theme="0" tint="-0.249977111117893"/>
        <bgColor indexed="64"/>
      </patternFill>
    </fill>
    <fill>
      <patternFill patternType="solid">
        <fgColor rgb="FFFFFF00"/>
        <bgColor indexed="64"/>
      </patternFill>
    </fill>
    <fill>
      <patternFill patternType="solid">
        <fgColor rgb="FF92D050"/>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1" tint="4.9989318521683403E-2"/>
        <bgColor indexed="64"/>
      </patternFill>
    </fill>
    <fill>
      <patternFill patternType="solid">
        <fgColor theme="6" tint="0.59999389629810485"/>
        <bgColor indexed="64"/>
      </patternFill>
    </fill>
    <fill>
      <patternFill patternType="solid">
        <fgColor theme="5" tint="0.39997558519241921"/>
        <bgColor indexed="64"/>
      </patternFill>
    </fill>
    <fill>
      <patternFill patternType="solid">
        <fgColor theme="1"/>
        <bgColor indexed="64"/>
      </patternFill>
    </fill>
    <fill>
      <patternFill patternType="solid">
        <fgColor theme="0" tint="-0.1499984740745262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0" tint="-0.24994659260841701"/>
        <bgColor indexed="64"/>
      </patternFill>
    </fill>
    <fill>
      <patternFill patternType="solid">
        <fgColor theme="0" tint="-0.499984740745262"/>
        <bgColor indexed="64"/>
      </patternFill>
    </fill>
    <fill>
      <patternFill patternType="solid">
        <fgColor theme="8" tint="0.79998168889431442"/>
        <bgColor indexed="64"/>
      </patternFill>
    </fill>
    <fill>
      <patternFill patternType="solid">
        <fgColor indexed="9"/>
        <bgColor indexed="9"/>
      </patternFill>
    </fill>
    <fill>
      <patternFill patternType="solid">
        <fgColor theme="0" tint="-4.9989318521683403E-2"/>
        <bgColor indexed="64"/>
      </patternFill>
    </fill>
    <fill>
      <patternFill patternType="solid">
        <fgColor indexed="45"/>
        <bgColor indexed="64"/>
      </patternFill>
    </fill>
    <fill>
      <patternFill patternType="solid">
        <fgColor theme="6" tint="0.79998168889431442"/>
        <bgColor indexed="64"/>
      </patternFill>
    </fill>
    <fill>
      <patternFill patternType="solid">
        <fgColor theme="6" tint="0.39997558519241921"/>
        <bgColor indexed="64"/>
      </patternFill>
    </fill>
    <fill>
      <patternFill patternType="solid">
        <fgColor theme="5" tint="0.39994506668294322"/>
        <bgColor indexed="64"/>
      </patternFill>
    </fill>
    <fill>
      <patternFill patternType="solid">
        <fgColor theme="6"/>
        <bgColor indexed="64"/>
      </patternFill>
    </fill>
    <fill>
      <patternFill patternType="solid">
        <fgColor rgb="FFFF0000"/>
        <bgColor indexed="64"/>
      </patternFill>
    </fill>
    <fill>
      <patternFill patternType="solid">
        <fgColor rgb="FFD8D8D8"/>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0"/>
        <bgColor indexed="64"/>
      </patternFill>
    </fill>
    <fill>
      <patternFill patternType="solid">
        <fgColor theme="7" tint="0.59996337778862885"/>
        <bgColor indexed="64"/>
      </patternFill>
    </fill>
    <fill>
      <patternFill patternType="solid">
        <fgColor theme="7" tint="0.79998168889431442"/>
        <bgColor indexed="64"/>
      </patternFill>
    </fill>
    <fill>
      <patternFill patternType="solid">
        <fgColor indexed="22"/>
        <bgColor indexed="0"/>
      </patternFill>
    </fill>
    <fill>
      <patternFill patternType="solid">
        <fgColor theme="3" tint="0.79998168889431442"/>
        <bgColor indexed="64"/>
      </patternFill>
    </fill>
    <fill>
      <patternFill patternType="solid">
        <fgColor theme="2" tint="-0.249977111117893"/>
        <bgColor indexed="64"/>
      </patternFill>
    </fill>
  </fills>
  <borders count="51">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double">
        <color indexed="64"/>
      </top>
      <bottom style="thin">
        <color indexed="64"/>
      </bottom>
      <diagonal/>
    </border>
    <border>
      <left style="thin">
        <color rgb="FFFF0000"/>
      </left>
      <right style="thin">
        <color rgb="FFFF0000"/>
      </right>
      <top style="thin">
        <color rgb="FFFF0000"/>
      </top>
      <bottom style="thin">
        <color indexed="64"/>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top/>
      <bottom style="medium">
        <color indexed="64"/>
      </bottom>
      <diagonal/>
    </border>
    <border>
      <left style="medium">
        <color indexed="64"/>
      </left>
      <right style="medium">
        <color indexed="64"/>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bottom/>
      <diagonal/>
    </border>
    <border>
      <left/>
      <right style="medium">
        <color indexed="64"/>
      </right>
      <top/>
      <bottom/>
      <diagonal/>
    </border>
    <border>
      <left style="double">
        <color auto="1"/>
      </left>
      <right/>
      <top/>
      <bottom/>
      <diagonal/>
    </border>
    <border>
      <left/>
      <right style="double">
        <color auto="1"/>
      </right>
      <top/>
      <bottom/>
      <diagonal/>
    </border>
    <border>
      <left/>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rgb="FFFF0000"/>
      </left>
      <right style="thin">
        <color rgb="FFFF0000"/>
      </right>
      <top style="thin">
        <color auto="1"/>
      </top>
      <bottom style="thin">
        <color auto="1"/>
      </bottom>
      <diagonal/>
    </border>
    <border>
      <left style="thin">
        <color rgb="FFFF0000"/>
      </left>
      <right style="thin">
        <color rgb="FFFF0000"/>
      </right>
      <top style="thin">
        <color auto="1"/>
      </top>
      <bottom style="thin">
        <color rgb="FFFF0000"/>
      </bottom>
      <diagonal/>
    </border>
    <border>
      <left/>
      <right/>
      <top style="thin">
        <color indexed="64"/>
      </top>
      <bottom style="thin">
        <color indexed="64"/>
      </bottom>
      <diagonal/>
    </border>
    <border>
      <left style="thin">
        <color theme="1"/>
      </left>
      <right style="thin">
        <color theme="1"/>
      </right>
      <top style="thin">
        <color theme="1"/>
      </top>
      <bottom style="thin">
        <color theme="1"/>
      </bottom>
      <diagonal/>
    </border>
    <border>
      <left style="thin">
        <color theme="1"/>
      </left>
      <right style="thin">
        <color theme="1"/>
      </right>
      <top style="thin">
        <color theme="1"/>
      </top>
      <bottom/>
      <diagonal/>
    </border>
    <border>
      <left style="thin">
        <color rgb="FFFF0000"/>
      </left>
      <right style="thin">
        <color rgb="FFFF0000"/>
      </right>
      <top style="thin">
        <color rgb="FFFF0000"/>
      </top>
      <bottom style="thin">
        <color theme="1"/>
      </bottom>
      <diagonal/>
    </border>
    <border>
      <left style="thin">
        <color rgb="FFFF0000"/>
      </left>
      <right style="thin">
        <color rgb="FFFF0000"/>
      </right>
      <top style="thin">
        <color theme="1"/>
      </top>
      <bottom style="thin">
        <color theme="1"/>
      </bottom>
      <diagonal/>
    </border>
    <border>
      <left style="thin">
        <color rgb="FFFF0000"/>
      </left>
      <right style="thin">
        <color rgb="FFFF0000"/>
      </right>
      <top style="thin">
        <color theme="1"/>
      </top>
      <bottom style="thin">
        <color rgb="FFFF0000"/>
      </bottom>
      <diagonal/>
    </border>
    <border>
      <left/>
      <right style="thin">
        <color theme="0" tint="-0.14996795556505021"/>
      </right>
      <top style="thin">
        <color theme="0" tint="-0.14996795556505021"/>
      </top>
      <bottom style="thin">
        <color theme="0" tint="-0.14996795556505021"/>
      </bottom>
      <diagonal/>
    </border>
    <border>
      <left style="thin">
        <color theme="0" tint="-0.14993743705557422"/>
      </left>
      <right style="thin">
        <color theme="0" tint="-0.14993743705557422"/>
      </right>
      <top style="thin">
        <color theme="0" tint="-0.14993743705557422"/>
      </top>
      <bottom style="thin">
        <color theme="0" tint="-0.14993743705557422"/>
      </bottom>
      <diagonal/>
    </border>
    <border>
      <left style="thin">
        <color theme="0" tint="-0.14996795556505021"/>
      </left>
      <right style="thin">
        <color theme="0" tint="-0.14996795556505021"/>
      </right>
      <top/>
      <bottom style="thin">
        <color theme="0" tint="-0.14996795556505021"/>
      </bottom>
      <diagonal/>
    </border>
    <border>
      <left style="thin">
        <color theme="0" tint="-0.14996795556505021"/>
      </left>
      <right/>
      <top style="thin">
        <color theme="0" tint="-0.14996795556505021"/>
      </top>
      <bottom style="thin">
        <color theme="0" tint="-0.14996795556505021"/>
      </bottom>
      <diagonal/>
    </border>
    <border>
      <left style="medium">
        <color rgb="FFFF0000"/>
      </left>
      <right/>
      <top style="medium">
        <color rgb="FFFF0000"/>
      </top>
      <bottom style="medium">
        <color rgb="FFFF0000"/>
      </bottom>
      <diagonal/>
    </border>
    <border>
      <left style="thin">
        <color indexed="64"/>
      </left>
      <right/>
      <top style="thin">
        <color indexed="64"/>
      </top>
      <bottom style="thin">
        <color indexed="64"/>
      </bottom>
      <diagonal/>
    </border>
  </borders>
  <cellStyleXfs count="47">
    <xf numFmtId="0" fontId="0" fillId="0" borderId="0"/>
    <xf numFmtId="0" fontId="21" fillId="0" borderId="0"/>
    <xf numFmtId="0" fontId="16" fillId="0" borderId="0"/>
    <xf numFmtId="0" fontId="16" fillId="0" borderId="0"/>
    <xf numFmtId="0" fontId="16" fillId="0" borderId="0"/>
    <xf numFmtId="0" fontId="16" fillId="0" borderId="0"/>
    <xf numFmtId="0" fontId="16" fillId="0" borderId="0"/>
    <xf numFmtId="0" fontId="14" fillId="0" borderId="0"/>
    <xf numFmtId="0" fontId="13" fillId="0" borderId="0"/>
    <xf numFmtId="0" fontId="16" fillId="0" borderId="0"/>
    <xf numFmtId="0" fontId="16" fillId="0" borderId="0"/>
    <xf numFmtId="0" fontId="12" fillId="0" borderId="0"/>
    <xf numFmtId="0" fontId="12" fillId="0" borderId="0"/>
    <xf numFmtId="0" fontId="11" fillId="0" borderId="0"/>
    <xf numFmtId="0" fontId="11" fillId="0" borderId="0"/>
    <xf numFmtId="44" fontId="11" fillId="0" borderId="0" applyFont="0" applyFill="0" applyBorder="0" applyAlignment="0" applyProtection="0"/>
    <xf numFmtId="0" fontId="11" fillId="0" borderId="0"/>
    <xf numFmtId="0" fontId="41" fillId="0" borderId="0"/>
    <xf numFmtId="0" fontId="16" fillId="0" borderId="0"/>
    <xf numFmtId="0" fontId="16" fillId="0" borderId="0"/>
    <xf numFmtId="0" fontId="16" fillId="0" borderId="0"/>
    <xf numFmtId="0" fontId="41" fillId="0" borderId="0"/>
    <xf numFmtId="0" fontId="16" fillId="0" borderId="0"/>
    <xf numFmtId="0" fontId="10" fillId="0" borderId="0"/>
    <xf numFmtId="0" fontId="16" fillId="0" borderId="0"/>
    <xf numFmtId="0" fontId="41" fillId="0" borderId="0"/>
    <xf numFmtId="0" fontId="10" fillId="0" borderId="0"/>
    <xf numFmtId="0" fontId="16" fillId="0" borderId="0"/>
    <xf numFmtId="0" fontId="10" fillId="0" borderId="0"/>
    <xf numFmtId="0" fontId="16" fillId="0" borderId="0"/>
    <xf numFmtId="0" fontId="16" fillId="0" borderId="0"/>
    <xf numFmtId="0" fontId="10" fillId="0" borderId="0"/>
    <xf numFmtId="0" fontId="16" fillId="0" borderId="0"/>
    <xf numFmtId="0" fontId="16" fillId="0" borderId="0"/>
    <xf numFmtId="0" fontId="45" fillId="0" borderId="0" applyNumberFormat="0" applyFill="0" applyBorder="0" applyAlignment="0" applyProtection="0">
      <alignment vertical="top"/>
      <protection locked="0"/>
    </xf>
    <xf numFmtId="0" fontId="8" fillId="0" borderId="0"/>
    <xf numFmtId="165" fontId="49" fillId="0" borderId="0"/>
    <xf numFmtId="0" fontId="50" fillId="0" borderId="0" applyNumberFormat="0" applyFill="0" applyBorder="0" applyAlignment="0" applyProtection="0">
      <alignment vertical="top"/>
      <protection locked="0"/>
    </xf>
    <xf numFmtId="3" fontId="16" fillId="0" borderId="0"/>
    <xf numFmtId="0" fontId="7" fillId="0" borderId="0"/>
    <xf numFmtId="0" fontId="52" fillId="0" borderId="0" applyNumberFormat="0" applyFill="0" applyBorder="0" applyAlignment="0" applyProtection="0">
      <alignment vertical="top"/>
      <protection locked="0"/>
    </xf>
    <xf numFmtId="0" fontId="7" fillId="0" borderId="0"/>
    <xf numFmtId="0" fontId="6" fillId="0" borderId="0"/>
    <xf numFmtId="0" fontId="56" fillId="0" borderId="0"/>
    <xf numFmtId="0" fontId="5" fillId="0" borderId="0"/>
    <xf numFmtId="0" fontId="4" fillId="0" borderId="0"/>
    <xf numFmtId="0" fontId="58" fillId="0" borderId="0" applyNumberFormat="0" applyFill="0" applyBorder="0" applyAlignment="0" applyProtection="0">
      <alignment vertical="top"/>
      <protection locked="0"/>
    </xf>
  </cellStyleXfs>
  <cellXfs count="444">
    <xf numFmtId="0" fontId="0" fillId="0" borderId="0" xfId="0"/>
    <xf numFmtId="0" fontId="16" fillId="0" borderId="0" xfId="0" applyFont="1"/>
    <xf numFmtId="0" fontId="16" fillId="0" borderId="0" xfId="0" applyFont="1" applyAlignment="1">
      <alignment horizontal="center"/>
    </xf>
    <xf numFmtId="0" fontId="0" fillId="0" borderId="0" xfId="0" applyAlignment="1">
      <alignment horizontal="center"/>
    </xf>
    <xf numFmtId="0" fontId="15" fillId="0" borderId="1" xfId="0" applyFont="1" applyBorder="1"/>
    <xf numFmtId="0" fontId="15" fillId="4" borderId="1" xfId="0" applyFont="1" applyFill="1" applyBorder="1"/>
    <xf numFmtId="0" fontId="16" fillId="0" borderId="0" xfId="2" applyAlignment="1">
      <alignment horizontal="center"/>
    </xf>
    <xf numFmtId="0" fontId="19" fillId="0" borderId="0" xfId="2" applyFont="1" applyAlignment="1">
      <alignment horizontal="center"/>
    </xf>
    <xf numFmtId="0" fontId="15" fillId="0" borderId="0" xfId="2" applyFont="1" applyAlignment="1">
      <alignment horizontal="center"/>
    </xf>
    <xf numFmtId="0" fontId="18" fillId="0" borderId="0" xfId="2" applyFont="1" applyAlignment="1">
      <alignment horizontal="center"/>
    </xf>
    <xf numFmtId="0" fontId="20" fillId="0" borderId="0" xfId="2" applyFont="1" applyAlignment="1">
      <alignment horizontal="center"/>
    </xf>
    <xf numFmtId="0" fontId="28" fillId="0" borderId="0" xfId="0" applyFont="1"/>
    <xf numFmtId="0" fontId="29" fillId="8" borderId="0" xfId="0" applyFont="1" applyFill="1"/>
    <xf numFmtId="0" fontId="28" fillId="8" borderId="0" xfId="0" applyFont="1" applyFill="1"/>
    <xf numFmtId="0" fontId="30" fillId="0" borderId="0" xfId="0" applyFont="1" applyAlignment="1">
      <alignment horizontal="center"/>
    </xf>
    <xf numFmtId="0" fontId="24" fillId="0" borderId="0" xfId="0" applyFont="1"/>
    <xf numFmtId="0" fontId="25" fillId="0" borderId="0" xfId="0" applyFont="1"/>
    <xf numFmtId="0" fontId="25" fillId="8" borderId="0" xfId="0" applyFont="1" applyFill="1"/>
    <xf numFmtId="0" fontId="25" fillId="10" borderId="0" xfId="0" applyFont="1" applyFill="1"/>
    <xf numFmtId="0" fontId="25" fillId="10" borderId="0" xfId="0" applyFont="1" applyFill="1" applyAlignment="1">
      <alignment horizontal="center"/>
    </xf>
    <xf numFmtId="0" fontId="28" fillId="10" borderId="0" xfId="0" applyFont="1" applyFill="1"/>
    <xf numFmtId="0" fontId="29" fillId="11" borderId="0" xfId="0" applyFont="1" applyFill="1"/>
    <xf numFmtId="0" fontId="25" fillId="11" borderId="0" xfId="0" applyFont="1" applyFill="1"/>
    <xf numFmtId="0" fontId="28" fillId="11" borderId="0" xfId="0" applyFont="1" applyFill="1"/>
    <xf numFmtId="0" fontId="32" fillId="0" borderId="0" xfId="0" applyFont="1"/>
    <xf numFmtId="0" fontId="15" fillId="0" borderId="0" xfId="2" applyFont="1"/>
    <xf numFmtId="0" fontId="16" fillId="0" borderId="0" xfId="2"/>
    <xf numFmtId="1" fontId="0" fillId="13" borderId="0" xfId="0" applyNumberFormat="1" applyFill="1" applyAlignment="1">
      <alignment horizontal="center"/>
    </xf>
    <xf numFmtId="0" fontId="17" fillId="0" borderId="0" xfId="2" applyFont="1" applyAlignment="1">
      <alignment horizontal="center"/>
    </xf>
    <xf numFmtId="1" fontId="16" fillId="0" borderId="0" xfId="2" applyNumberFormat="1"/>
    <xf numFmtId="1" fontId="16" fillId="0" borderId="0" xfId="2" applyNumberFormat="1" applyAlignment="1">
      <alignment horizontal="center"/>
    </xf>
    <xf numFmtId="1" fontId="18" fillId="0" borderId="0" xfId="2" applyNumberFormat="1" applyFont="1" applyAlignment="1">
      <alignment horizontal="center"/>
    </xf>
    <xf numFmtId="0" fontId="19" fillId="0" borderId="0" xfId="2" applyFont="1"/>
    <xf numFmtId="1" fontId="19" fillId="0" borderId="0" xfId="2" applyNumberFormat="1" applyFont="1"/>
    <xf numFmtId="1" fontId="19" fillId="0" borderId="0" xfId="2" applyNumberFormat="1" applyFont="1" applyAlignment="1">
      <alignment horizontal="center"/>
    </xf>
    <xf numFmtId="0" fontId="28" fillId="0" borderId="0" xfId="0" applyFont="1" applyFill="1"/>
    <xf numFmtId="0" fontId="25" fillId="0" borderId="0" xfId="0" applyFont="1" applyFill="1"/>
    <xf numFmtId="1" fontId="18" fillId="0" borderId="0" xfId="0" applyNumberFormat="1" applyFont="1" applyAlignment="1">
      <alignment horizontal="center"/>
    </xf>
    <xf numFmtId="1" fontId="19" fillId="0" borderId="0" xfId="0" applyNumberFormat="1" applyFont="1" applyAlignment="1">
      <alignment horizontal="center"/>
    </xf>
    <xf numFmtId="1" fontId="19" fillId="0" borderId="0" xfId="1" applyNumberFormat="1" applyFont="1"/>
    <xf numFmtId="0" fontId="29" fillId="0" borderId="0" xfId="0" applyFont="1" applyFill="1"/>
    <xf numFmtId="10" fontId="33" fillId="0" borderId="0" xfId="0" applyNumberFormat="1" applyFont="1"/>
    <xf numFmtId="0" fontId="36" fillId="0" borderId="0" xfId="0" applyFont="1"/>
    <xf numFmtId="0" fontId="15" fillId="0" borderId="1" xfId="2" applyFont="1" applyBorder="1"/>
    <xf numFmtId="0" fontId="16" fillId="0" borderId="1" xfId="2" applyBorder="1"/>
    <xf numFmtId="0" fontId="15" fillId="9" borderId="1" xfId="2" applyFont="1" applyFill="1" applyBorder="1"/>
    <xf numFmtId="0" fontId="16" fillId="9" borderId="1" xfId="2" applyFill="1" applyBorder="1"/>
    <xf numFmtId="3" fontId="24" fillId="0" borderId="10" xfId="0" applyNumberFormat="1" applyFont="1" applyBorder="1" applyAlignment="1">
      <alignment horizontal="center"/>
    </xf>
    <xf numFmtId="1" fontId="25" fillId="0" borderId="0" xfId="0" applyNumberFormat="1" applyFont="1" applyFill="1"/>
    <xf numFmtId="0" fontId="28" fillId="0" borderId="0" xfId="0" applyFont="1" applyFill="1" applyBorder="1"/>
    <xf numFmtId="1" fontId="31" fillId="0" borderId="0" xfId="0" applyNumberFormat="1" applyFont="1" applyFill="1" applyBorder="1" applyAlignment="1">
      <alignment horizontal="center" vertical="center"/>
    </xf>
    <xf numFmtId="0" fontId="0" fillId="0" borderId="0" xfId="0" applyFill="1" applyBorder="1" applyAlignment="1">
      <alignment horizontal="center" vertical="center" wrapText="1"/>
    </xf>
    <xf numFmtId="0" fontId="28" fillId="0" borderId="2" xfId="0" applyFont="1" applyFill="1" applyBorder="1"/>
    <xf numFmtId="9" fontId="31" fillId="0" borderId="0" xfId="0" applyNumberFormat="1" applyFont="1" applyFill="1" applyBorder="1" applyAlignment="1">
      <alignment horizontal="center"/>
    </xf>
    <xf numFmtId="0" fontId="24" fillId="0" borderId="2" xfId="0" applyFont="1" applyFill="1" applyBorder="1" applyAlignment="1">
      <alignment horizontal="right" vertical="center"/>
    </xf>
    <xf numFmtId="0" fontId="0" fillId="0" borderId="2" xfId="0" applyFill="1" applyBorder="1" applyAlignment="1">
      <alignment horizontal="right" vertical="center"/>
    </xf>
    <xf numFmtId="0" fontId="24" fillId="0" borderId="2" xfId="0" applyFont="1" applyFill="1" applyBorder="1" applyAlignment="1">
      <alignment horizontal="center" vertical="center" wrapText="1"/>
    </xf>
    <xf numFmtId="9" fontId="25" fillId="0" borderId="11" xfId="0" applyNumberFormat="1" applyFont="1" applyFill="1" applyBorder="1" applyAlignment="1">
      <alignment horizontal="center"/>
    </xf>
    <xf numFmtId="164" fontId="26" fillId="0" borderId="0" xfId="0" applyNumberFormat="1" applyFont="1" applyFill="1" applyBorder="1" applyAlignment="1">
      <alignment horizontal="center" vertical="center" wrapText="1"/>
    </xf>
    <xf numFmtId="0" fontId="22" fillId="0" borderId="0" xfId="0" applyFont="1" applyFill="1" applyBorder="1" applyAlignment="1">
      <alignment horizontal="center" wrapText="1"/>
    </xf>
    <xf numFmtId="0" fontId="25" fillId="0" borderId="0" xfId="0" applyFont="1" applyFill="1" applyBorder="1" applyAlignment="1">
      <alignment horizontal="center" vertical="center" wrapText="1"/>
    </xf>
    <xf numFmtId="164" fontId="22" fillId="0" borderId="0" xfId="0" applyNumberFormat="1" applyFont="1" applyFill="1" applyBorder="1" applyAlignment="1">
      <alignment horizontal="center" vertical="center" wrapText="1"/>
    </xf>
    <xf numFmtId="0" fontId="28" fillId="19" borderId="0" xfId="0" applyFont="1" applyFill="1"/>
    <xf numFmtId="0" fontId="39" fillId="19" borderId="0" xfId="0" applyFont="1" applyFill="1"/>
    <xf numFmtId="0" fontId="24" fillId="19" borderId="0" xfId="0" applyFont="1" applyFill="1"/>
    <xf numFmtId="0" fontId="25" fillId="19" borderId="0" xfId="0" applyFont="1" applyFill="1"/>
    <xf numFmtId="0" fontId="37" fillId="18" borderId="0" xfId="0" applyFont="1" applyFill="1" applyAlignment="1">
      <alignment vertical="center"/>
    </xf>
    <xf numFmtId="0" fontId="38" fillId="18" borderId="0" xfId="0" applyFont="1" applyFill="1" applyBorder="1" applyAlignment="1">
      <alignment horizontal="left" vertical="center"/>
    </xf>
    <xf numFmtId="0" fontId="38" fillId="18" borderId="0" xfId="0" applyFont="1" applyFill="1" applyBorder="1" applyAlignment="1">
      <alignment horizontal="right" vertical="center"/>
    </xf>
    <xf numFmtId="17" fontId="24" fillId="0" borderId="0" xfId="0" applyNumberFormat="1" applyFont="1" applyAlignment="1">
      <alignment horizontal="left"/>
    </xf>
    <xf numFmtId="3" fontId="42" fillId="0" borderId="0" xfId="0" applyNumberFormat="1" applyFont="1" applyAlignment="1">
      <alignment horizontal="center"/>
    </xf>
    <xf numFmtId="1" fontId="24" fillId="21" borderId="10" xfId="0" applyNumberFormat="1" applyFont="1" applyFill="1" applyBorder="1" applyAlignment="1">
      <alignment horizontal="center"/>
    </xf>
    <xf numFmtId="0" fontId="15" fillId="0" borderId="0" xfId="4" applyFont="1"/>
    <xf numFmtId="0" fontId="16" fillId="0" borderId="0" xfId="4"/>
    <xf numFmtId="0" fontId="16" fillId="0" borderId="1" xfId="4" applyFont="1" applyFill="1" applyBorder="1" applyAlignment="1">
      <alignment horizontal="center" vertical="center"/>
    </xf>
    <xf numFmtId="1" fontId="16" fillId="0" borderId="1" xfId="4" applyNumberFormat="1" applyFill="1" applyBorder="1" applyAlignment="1">
      <alignment horizontal="center"/>
    </xf>
    <xf numFmtId="0" fontId="15" fillId="0" borderId="1" xfId="4" applyFont="1" applyFill="1" applyBorder="1"/>
    <xf numFmtId="3" fontId="15" fillId="0" borderId="1" xfId="4" applyNumberFormat="1" applyFont="1" applyBorder="1"/>
    <xf numFmtId="1" fontId="18" fillId="0" borderId="0" xfId="17" applyNumberFormat="1" applyFont="1" applyAlignment="1">
      <alignment horizontal="center"/>
    </xf>
    <xf numFmtId="1" fontId="19" fillId="0" borderId="0" xfId="17" applyNumberFormat="1" applyFont="1" applyAlignment="1">
      <alignment horizontal="center"/>
    </xf>
    <xf numFmtId="1" fontId="24" fillId="0" borderId="10" xfId="0" applyNumberFormat="1" applyFont="1" applyFill="1" applyBorder="1" applyAlignment="1">
      <alignment horizontal="center"/>
    </xf>
    <xf numFmtId="1" fontId="25" fillId="0" borderId="0" xfId="0" applyNumberFormat="1" applyFont="1" applyFill="1" applyAlignment="1">
      <alignment horizontal="center"/>
    </xf>
    <xf numFmtId="1" fontId="28" fillId="0" borderId="0" xfId="0" applyNumberFormat="1" applyFont="1" applyAlignment="1">
      <alignment horizontal="center"/>
    </xf>
    <xf numFmtId="0" fontId="22" fillId="0" borderId="0" xfId="0" applyFont="1" applyBorder="1" applyAlignment="1">
      <alignment horizontal="center"/>
    </xf>
    <xf numFmtId="0" fontId="25" fillId="0" borderId="0" xfId="0" applyFont="1" applyFill="1" applyBorder="1" applyAlignment="1">
      <alignment horizontal="center"/>
    </xf>
    <xf numFmtId="1" fontId="25" fillId="0" borderId="0" xfId="0" applyNumberFormat="1" applyFont="1" applyFill="1" applyBorder="1" applyAlignment="1">
      <alignment horizontal="center"/>
    </xf>
    <xf numFmtId="1" fontId="24" fillId="0" borderId="0" xfId="0" applyNumberFormat="1" applyFont="1" applyBorder="1" applyAlignment="1">
      <alignment horizontal="center"/>
    </xf>
    <xf numFmtId="1" fontId="24" fillId="6" borderId="12" xfId="0" applyNumberFormat="1" applyFont="1" applyFill="1" applyBorder="1" applyAlignment="1">
      <alignment horizontal="center" vertical="center"/>
    </xf>
    <xf numFmtId="0" fontId="25" fillId="19" borderId="12" xfId="0" applyFont="1" applyFill="1" applyBorder="1" applyAlignment="1">
      <alignment horizontal="left" vertical="center" wrapText="1"/>
    </xf>
    <xf numFmtId="1" fontId="28" fillId="19" borderId="12" xfId="0" applyNumberFormat="1" applyFont="1" applyFill="1" applyBorder="1" applyAlignment="1">
      <alignment horizontal="center" vertical="center"/>
    </xf>
    <xf numFmtId="0" fontId="15" fillId="0" borderId="12" xfId="0" applyFont="1" applyBorder="1"/>
    <xf numFmtId="0" fontId="0" fillId="0" borderId="12" xfId="0" applyBorder="1"/>
    <xf numFmtId="0" fontId="24" fillId="19" borderId="12" xfId="0" applyFont="1" applyFill="1" applyBorder="1" applyAlignment="1">
      <alignment horizontal="center"/>
    </xf>
    <xf numFmtId="0" fontId="25" fillId="19" borderId="12" xfId="0" applyFont="1" applyFill="1" applyBorder="1" applyAlignment="1">
      <alignment horizontal="center"/>
    </xf>
    <xf numFmtId="0" fontId="22" fillId="19" borderId="12" xfId="0" applyFont="1" applyFill="1" applyBorder="1" applyAlignment="1">
      <alignment horizontal="center"/>
    </xf>
    <xf numFmtId="0" fontId="25" fillId="19" borderId="12" xfId="0" applyNumberFormat="1" applyFont="1" applyFill="1" applyBorder="1" applyAlignment="1">
      <alignment horizontal="center"/>
    </xf>
    <xf numFmtId="1" fontId="24" fillId="19" borderId="12" xfId="0" applyNumberFormat="1" applyFont="1" applyFill="1" applyBorder="1" applyAlignment="1">
      <alignment horizontal="center" vertical="center"/>
    </xf>
    <xf numFmtId="3" fontId="25" fillId="19" borderId="12" xfId="0" applyNumberFormat="1" applyFont="1" applyFill="1" applyBorder="1" applyAlignment="1">
      <alignment horizontal="center" vertical="center"/>
    </xf>
    <xf numFmtId="0" fontId="25" fillId="19" borderId="12" xfId="0" applyFont="1" applyFill="1" applyBorder="1" applyAlignment="1">
      <alignment horizontal="center" vertical="center"/>
    </xf>
    <xf numFmtId="0" fontId="35" fillId="19" borderId="12" xfId="0" applyFont="1" applyFill="1" applyBorder="1" applyAlignment="1">
      <alignment horizontal="left" vertical="center"/>
    </xf>
    <xf numFmtId="3" fontId="9" fillId="19" borderId="15" xfId="0" applyNumberFormat="1" applyFont="1" applyFill="1" applyBorder="1" applyAlignment="1">
      <alignment horizontal="center" vertical="center"/>
    </xf>
    <xf numFmtId="3" fontId="9" fillId="19" borderId="16" xfId="0" applyNumberFormat="1" applyFont="1" applyFill="1" applyBorder="1" applyAlignment="1">
      <alignment horizontal="center" vertical="center"/>
    </xf>
    <xf numFmtId="3" fontId="9" fillId="19" borderId="17" xfId="0" applyNumberFormat="1" applyFont="1" applyFill="1" applyBorder="1" applyAlignment="1">
      <alignment horizontal="center" vertical="center"/>
    </xf>
    <xf numFmtId="0" fontId="25" fillId="19" borderId="12" xfId="0" applyFont="1" applyFill="1" applyBorder="1" applyAlignment="1">
      <alignment wrapText="1"/>
    </xf>
    <xf numFmtId="0" fontId="24" fillId="19" borderId="12" xfId="0" applyFont="1" applyFill="1" applyBorder="1" applyAlignment="1">
      <alignment horizontal="center" vertical="center"/>
    </xf>
    <xf numFmtId="0" fontId="25" fillId="19" borderId="12" xfId="0" applyFont="1" applyFill="1" applyBorder="1"/>
    <xf numFmtId="0" fontId="25" fillId="0" borderId="12" xfId="0" applyFont="1" applyBorder="1" applyAlignment="1">
      <alignment horizontal="center"/>
    </xf>
    <xf numFmtId="0" fontId="25" fillId="0" borderId="12" xfId="0" applyFont="1" applyBorder="1"/>
    <xf numFmtId="1" fontId="25" fillId="0" borderId="12" xfId="0" applyNumberFormat="1" applyFont="1" applyBorder="1" applyAlignment="1">
      <alignment horizontal="center"/>
    </xf>
    <xf numFmtId="0" fontId="24" fillId="3" borderId="12" xfId="0" applyFont="1" applyFill="1" applyBorder="1" applyAlignment="1">
      <alignment horizontal="center"/>
    </xf>
    <xf numFmtId="0" fontId="25" fillId="3" borderId="12" xfId="0" applyFont="1" applyFill="1" applyBorder="1"/>
    <xf numFmtId="1" fontId="24" fillId="0" borderId="12" xfId="0" applyNumberFormat="1" applyFont="1" applyBorder="1" applyAlignment="1">
      <alignment horizontal="center"/>
    </xf>
    <xf numFmtId="0" fontId="25" fillId="0" borderId="12" xfId="0" applyFont="1" applyFill="1" applyBorder="1" applyAlignment="1">
      <alignment horizontal="center"/>
    </xf>
    <xf numFmtId="1" fontId="25" fillId="17" borderId="12" xfId="0" applyNumberFormat="1" applyFont="1" applyFill="1" applyBorder="1" applyAlignment="1">
      <alignment horizontal="center"/>
    </xf>
    <xf numFmtId="0" fontId="22" fillId="0" borderId="12" xfId="0" applyFont="1" applyBorder="1" applyAlignment="1">
      <alignment horizontal="center"/>
    </xf>
    <xf numFmtId="0" fontId="22" fillId="3" borderId="12" xfId="0" applyFont="1" applyFill="1" applyBorder="1" applyAlignment="1">
      <alignment horizontal="center"/>
    </xf>
    <xf numFmtId="1" fontId="25" fillId="0" borderId="12" xfId="0" applyNumberFormat="1" applyFont="1" applyFill="1" applyBorder="1" applyAlignment="1">
      <alignment horizontal="center"/>
    </xf>
    <xf numFmtId="1" fontId="34" fillId="16" borderId="12" xfId="0" applyNumberFormat="1" applyFont="1" applyFill="1" applyBorder="1" applyAlignment="1">
      <alignment horizontal="center" vertical="center"/>
    </xf>
    <xf numFmtId="0" fontId="25" fillId="14" borderId="12" xfId="0" applyFont="1" applyFill="1" applyBorder="1" applyAlignment="1">
      <alignment horizontal="center" vertical="center"/>
    </xf>
    <xf numFmtId="1" fontId="25" fillId="0" borderId="12" xfId="0" applyNumberFormat="1" applyFont="1" applyBorder="1" applyAlignment="1">
      <alignment horizontal="center" vertical="center"/>
    </xf>
    <xf numFmtId="1" fontId="25" fillId="0" borderId="12" xfId="0" applyNumberFormat="1" applyFont="1" applyFill="1" applyBorder="1" applyAlignment="1">
      <alignment horizontal="center" vertical="center"/>
    </xf>
    <xf numFmtId="9" fontId="25" fillId="0" borderId="12" xfId="0" applyNumberFormat="1" applyFont="1" applyBorder="1" applyAlignment="1">
      <alignment horizontal="center"/>
    </xf>
    <xf numFmtId="9" fontId="25" fillId="0" borderId="17" xfId="0" applyNumberFormat="1" applyFont="1" applyBorder="1" applyAlignment="1">
      <alignment horizontal="center"/>
    </xf>
    <xf numFmtId="0" fontId="34" fillId="11" borderId="12" xfId="0" applyFont="1" applyFill="1" applyBorder="1" applyAlignment="1">
      <alignment horizontal="center" vertical="center" wrapText="1"/>
    </xf>
    <xf numFmtId="0" fontId="24" fillId="14" borderId="12" xfId="0" applyFont="1" applyFill="1" applyBorder="1" applyAlignment="1">
      <alignment horizontal="center" vertical="center" wrapText="1"/>
    </xf>
    <xf numFmtId="0" fontId="24" fillId="3" borderId="12" xfId="0" applyFont="1" applyFill="1" applyBorder="1" applyAlignment="1">
      <alignment horizontal="center" vertical="center" wrapText="1"/>
    </xf>
    <xf numFmtId="0" fontId="24" fillId="15" borderId="12" xfId="0" applyFont="1" applyFill="1" applyBorder="1" applyAlignment="1">
      <alignment horizontal="center" vertical="center" wrapText="1"/>
    </xf>
    <xf numFmtId="0" fontId="24" fillId="0" borderId="15" xfId="0" applyFont="1" applyFill="1" applyBorder="1" applyAlignment="1">
      <alignment horizontal="center" vertical="center" wrapText="1"/>
    </xf>
    <xf numFmtId="0" fontId="0" fillId="0" borderId="15" xfId="0" applyFill="1" applyBorder="1" applyAlignment="1">
      <alignment horizontal="right" vertical="center"/>
    </xf>
    <xf numFmtId="0" fontId="24" fillId="0" borderId="15" xfId="0" applyFont="1" applyFill="1" applyBorder="1" applyAlignment="1">
      <alignment horizontal="right" vertical="center"/>
    </xf>
    <xf numFmtId="1" fontId="25" fillId="0" borderId="13" xfId="0" applyNumberFormat="1" applyFont="1" applyFill="1" applyBorder="1" applyAlignment="1">
      <alignment horizontal="center"/>
    </xf>
    <xf numFmtId="0" fontId="22" fillId="0" borderId="17" xfId="0" applyFont="1" applyBorder="1" applyAlignment="1">
      <alignment horizontal="center"/>
    </xf>
    <xf numFmtId="0" fontId="22" fillId="0" borderId="13" xfId="0" applyFont="1" applyBorder="1" applyAlignment="1">
      <alignment horizontal="center"/>
    </xf>
    <xf numFmtId="1" fontId="25" fillId="21" borderId="12" xfId="0" applyNumberFormat="1" applyFont="1" applyFill="1" applyBorder="1" applyAlignment="1">
      <alignment horizontal="center"/>
    </xf>
    <xf numFmtId="0" fontId="24" fillId="22" borderId="12" xfId="0" applyFont="1" applyFill="1" applyBorder="1" applyAlignment="1">
      <alignment horizontal="center" vertical="center"/>
    </xf>
    <xf numFmtId="0" fontId="24" fillId="3" borderId="12" xfId="0" applyFont="1" applyFill="1" applyBorder="1" applyAlignment="1">
      <alignment horizontal="center" vertical="center"/>
    </xf>
    <xf numFmtId="0" fontId="24" fillId="15" borderId="12" xfId="0" applyFont="1" applyFill="1" applyBorder="1" applyAlignment="1">
      <alignment horizontal="center" vertical="center" wrapText="1"/>
    </xf>
    <xf numFmtId="9" fontId="24" fillId="5" borderId="9" xfId="0" applyNumberFormat="1" applyFont="1" applyFill="1" applyBorder="1" applyAlignment="1">
      <alignment horizontal="center" vertical="center"/>
    </xf>
    <xf numFmtId="1" fontId="24" fillId="5" borderId="9" xfId="0" applyNumberFormat="1" applyFont="1" applyFill="1" applyBorder="1" applyAlignment="1">
      <alignment horizontal="center" vertical="center"/>
    </xf>
    <xf numFmtId="1" fontId="24" fillId="23" borderId="12" xfId="0" applyNumberFormat="1" applyFont="1" applyFill="1" applyBorder="1" applyAlignment="1">
      <alignment horizontal="left" vertical="center" wrapText="1"/>
    </xf>
    <xf numFmtId="1" fontId="24" fillId="23" borderId="12" xfId="0" applyNumberFormat="1" applyFont="1" applyFill="1" applyBorder="1" applyAlignment="1">
      <alignment horizontal="center" vertical="center" wrapText="1"/>
    </xf>
    <xf numFmtId="0" fontId="44" fillId="0" borderId="0" xfId="0" applyFont="1"/>
    <xf numFmtId="3" fontId="16" fillId="0" borderId="0" xfId="4" applyNumberFormat="1"/>
    <xf numFmtId="1" fontId="16" fillId="6" borderId="1" xfId="4" applyNumberFormat="1" applyFill="1" applyBorder="1" applyAlignment="1">
      <alignment horizontal="center"/>
    </xf>
    <xf numFmtId="1" fontId="45" fillId="0" borderId="1" xfId="34" applyNumberFormat="1" applyBorder="1" applyAlignment="1" applyProtection="1"/>
    <xf numFmtId="0" fontId="45" fillId="0" borderId="3" xfId="34" applyFill="1" applyBorder="1" applyAlignment="1" applyProtection="1"/>
    <xf numFmtId="0" fontId="16" fillId="0" borderId="0" xfId="4" applyFill="1"/>
    <xf numFmtId="0" fontId="16" fillId="0" borderId="12" xfId="4" applyFill="1" applyBorder="1"/>
    <xf numFmtId="0" fontId="8" fillId="0" borderId="0" xfId="35"/>
    <xf numFmtId="10" fontId="8" fillId="0" borderId="0" xfId="35" applyNumberFormat="1"/>
    <xf numFmtId="3" fontId="16" fillId="0" borderId="0" xfId="35" applyNumberFormat="1" applyFont="1"/>
    <xf numFmtId="0" fontId="22" fillId="0" borderId="0" xfId="35" applyFont="1"/>
    <xf numFmtId="10" fontId="22" fillId="0" borderId="0" xfId="35" applyNumberFormat="1" applyFont="1"/>
    <xf numFmtId="10" fontId="22" fillId="25" borderId="0" xfId="35" applyNumberFormat="1" applyFont="1" applyFill="1"/>
    <xf numFmtId="10" fontId="22" fillId="7" borderId="0" xfId="35" applyNumberFormat="1" applyFont="1" applyFill="1"/>
    <xf numFmtId="3" fontId="16" fillId="7" borderId="0" xfId="35" applyNumberFormat="1" applyFont="1" applyFill="1"/>
    <xf numFmtId="3" fontId="16" fillId="24" borderId="0" xfId="35" applyNumberFormat="1" applyFont="1" applyFill="1"/>
    <xf numFmtId="0" fontId="46" fillId="0" borderId="0" xfId="0" applyFont="1"/>
    <xf numFmtId="0" fontId="15" fillId="26" borderId="18" xfId="0" applyFont="1" applyFill="1" applyBorder="1"/>
    <xf numFmtId="0" fontId="15" fillId="26" borderId="8" xfId="0" applyFont="1" applyFill="1" applyBorder="1" applyAlignment="1">
      <alignment horizontal="center"/>
    </xf>
    <xf numFmtId="0" fontId="16" fillId="0" borderId="19" xfId="0" applyFont="1" applyBorder="1"/>
    <xf numFmtId="0" fontId="16" fillId="0" borderId="20" xfId="0" applyFont="1" applyBorder="1" applyAlignment="1">
      <alignment horizontal="center"/>
    </xf>
    <xf numFmtId="3" fontId="16" fillId="0" borderId="20" xfId="0" applyNumberFormat="1" applyFont="1" applyBorder="1" applyAlignment="1">
      <alignment horizontal="center"/>
    </xf>
    <xf numFmtId="0" fontId="16" fillId="0" borderId="20" xfId="0" applyFont="1" applyBorder="1"/>
    <xf numFmtId="0" fontId="27" fillId="0" borderId="20" xfId="0" applyFont="1" applyBorder="1" applyAlignment="1">
      <alignment horizontal="center"/>
    </xf>
    <xf numFmtId="0" fontId="16" fillId="0" borderId="22" xfId="0" applyFont="1" applyBorder="1"/>
    <xf numFmtId="0" fontId="16" fillId="0" borderId="23" xfId="0" applyFont="1" applyBorder="1" applyAlignment="1">
      <alignment horizontal="center"/>
    </xf>
    <xf numFmtId="3" fontId="16" fillId="0" borderId="22" xfId="0" applyNumberFormat="1" applyFont="1" applyBorder="1" applyAlignment="1">
      <alignment horizontal="center"/>
    </xf>
    <xf numFmtId="0" fontId="16" fillId="0" borderId="24" xfId="0" applyFont="1" applyBorder="1"/>
    <xf numFmtId="0" fontId="16" fillId="0" borderId="25" xfId="0" applyFont="1" applyBorder="1"/>
    <xf numFmtId="3" fontId="16" fillId="0" borderId="25" xfId="0" applyNumberFormat="1" applyFont="1" applyBorder="1" applyAlignment="1">
      <alignment horizontal="center"/>
    </xf>
    <xf numFmtId="3" fontId="27" fillId="0" borderId="26" xfId="0" applyNumberFormat="1" applyFont="1" applyBorder="1" applyAlignment="1">
      <alignment horizontal="center"/>
    </xf>
    <xf numFmtId="0" fontId="16" fillId="0" borderId="26" xfId="0" applyFont="1" applyBorder="1"/>
    <xf numFmtId="0" fontId="16" fillId="0" borderId="21" xfId="0" applyFont="1" applyBorder="1" applyAlignment="1">
      <alignment horizontal="center"/>
    </xf>
    <xf numFmtId="0" fontId="48" fillId="0" borderId="19" xfId="0" applyFont="1" applyBorder="1" applyAlignment="1">
      <alignment horizontal="center"/>
    </xf>
    <xf numFmtId="3" fontId="27" fillId="6" borderId="20" xfId="0" applyNumberFormat="1" applyFont="1" applyFill="1" applyBorder="1" applyAlignment="1">
      <alignment horizontal="center"/>
    </xf>
    <xf numFmtId="3" fontId="16" fillId="24" borderId="20" xfId="0" applyNumberFormat="1" applyFont="1" applyFill="1" applyBorder="1" applyAlignment="1">
      <alignment horizontal="center"/>
    </xf>
    <xf numFmtId="3" fontId="48" fillId="6" borderId="20" xfId="0" applyNumberFormat="1" applyFont="1" applyFill="1" applyBorder="1" applyAlignment="1">
      <alignment horizontal="center"/>
    </xf>
    <xf numFmtId="0" fontId="41" fillId="0" borderId="0" xfId="39" applyFont="1"/>
    <xf numFmtId="0" fontId="23" fillId="0" borderId="27" xfId="39" applyFont="1" applyBorder="1" applyAlignment="1">
      <alignment horizontal="left"/>
    </xf>
    <xf numFmtId="0" fontId="41" fillId="0" borderId="0" xfId="39" applyFont="1" applyBorder="1" applyAlignment="1">
      <alignment horizontal="center"/>
    </xf>
    <xf numFmtId="0" fontId="41" fillId="0" borderId="28" xfId="39" applyFont="1" applyBorder="1" applyAlignment="1">
      <alignment horizontal="center"/>
    </xf>
    <xf numFmtId="0" fontId="23" fillId="0" borderId="27" xfId="39" applyFont="1" applyBorder="1"/>
    <xf numFmtId="0" fontId="41" fillId="0" borderId="0" xfId="39" applyFont="1" applyBorder="1"/>
    <xf numFmtId="0" fontId="41" fillId="0" borderId="28" xfId="39" applyFont="1" applyBorder="1"/>
    <xf numFmtId="0" fontId="23" fillId="12" borderId="0" xfId="39" applyFont="1" applyFill="1"/>
    <xf numFmtId="0" fontId="23" fillId="9" borderId="0" xfId="39" applyFont="1" applyFill="1" applyBorder="1" applyAlignment="1">
      <alignment horizontal="center"/>
    </xf>
    <xf numFmtId="0" fontId="23" fillId="28" borderId="0" xfId="39" applyFont="1" applyFill="1" applyBorder="1" applyAlignment="1">
      <alignment horizontal="center"/>
    </xf>
    <xf numFmtId="0" fontId="23" fillId="12" borderId="0" xfId="39" applyFont="1" applyFill="1" applyBorder="1" applyAlignment="1">
      <alignment horizontal="center"/>
    </xf>
    <xf numFmtId="0" fontId="23" fillId="12" borderId="28" xfId="39" applyFont="1" applyFill="1" applyBorder="1" applyAlignment="1">
      <alignment horizontal="center"/>
    </xf>
    <xf numFmtId="1" fontId="16" fillId="0" borderId="0" xfId="39" applyNumberFormat="1" applyFont="1" applyBorder="1" applyAlignment="1">
      <alignment horizontal="center"/>
    </xf>
    <xf numFmtId="0" fontId="41" fillId="0" borderId="27" xfId="39" applyFont="1" applyBorder="1" applyAlignment="1">
      <alignment horizontal="center"/>
    </xf>
    <xf numFmtId="0" fontId="41" fillId="0" borderId="0" xfId="39" applyFont="1" applyAlignment="1">
      <alignment horizontal="center"/>
    </xf>
    <xf numFmtId="0" fontId="52" fillId="0" borderId="0" xfId="40" applyAlignment="1" applyProtection="1"/>
    <xf numFmtId="0" fontId="23" fillId="0" borderId="0" xfId="39" applyFont="1" applyAlignment="1">
      <alignment horizontal="center"/>
    </xf>
    <xf numFmtId="1" fontId="16" fillId="0" borderId="28" xfId="39" applyNumberFormat="1" applyFont="1" applyBorder="1" applyAlignment="1">
      <alignment horizontal="center"/>
    </xf>
    <xf numFmtId="0" fontId="23" fillId="29" borderId="0" xfId="39" applyFont="1" applyFill="1" applyBorder="1" applyAlignment="1">
      <alignment horizontal="center"/>
    </xf>
    <xf numFmtId="0" fontId="23" fillId="29" borderId="27" xfId="39" applyFont="1" applyFill="1" applyBorder="1" applyAlignment="1">
      <alignment horizontal="center"/>
    </xf>
    <xf numFmtId="0" fontId="23" fillId="29" borderId="28" xfId="39" applyFont="1" applyFill="1" applyBorder="1" applyAlignment="1">
      <alignment horizontal="center"/>
    </xf>
    <xf numFmtId="10" fontId="7" fillId="4" borderId="0" xfId="41" applyNumberFormat="1" applyFill="1" applyAlignment="1">
      <alignment horizontal="center"/>
    </xf>
    <xf numFmtId="0" fontId="41" fillId="0" borderId="27" xfId="39" applyFont="1" applyBorder="1"/>
    <xf numFmtId="0" fontId="23" fillId="0" borderId="27" xfId="39" applyFont="1" applyBorder="1" applyAlignment="1">
      <alignment horizontal="center"/>
    </xf>
    <xf numFmtId="0" fontId="25" fillId="0" borderId="0" xfId="0" applyFont="1" applyAlignment="1">
      <alignment horizontal="center"/>
    </xf>
    <xf numFmtId="0" fontId="28" fillId="0" borderId="0" xfId="0" applyFont="1" applyAlignment="1">
      <alignment horizontal="center"/>
    </xf>
    <xf numFmtId="0" fontId="27" fillId="0" borderId="0" xfId="39" applyFont="1"/>
    <xf numFmtId="1" fontId="27" fillId="0" borderId="0" xfId="39" applyNumberFormat="1" applyFont="1" applyBorder="1" applyAlignment="1">
      <alignment horizontal="center"/>
    </xf>
    <xf numFmtId="1" fontId="27" fillId="0" borderId="28" xfId="39" applyNumberFormat="1" applyFont="1" applyBorder="1" applyAlignment="1">
      <alignment horizontal="center"/>
    </xf>
    <xf numFmtId="0" fontId="27" fillId="0" borderId="0" xfId="39" applyFont="1" applyBorder="1" applyAlignment="1">
      <alignment horizontal="center"/>
    </xf>
    <xf numFmtId="0" fontId="27" fillId="0" borderId="28" xfId="39" applyFont="1" applyBorder="1" applyAlignment="1">
      <alignment horizontal="center"/>
    </xf>
    <xf numFmtId="0" fontId="27" fillId="0" borderId="27" xfId="39" applyFont="1" applyBorder="1" applyAlignment="1">
      <alignment horizontal="center"/>
    </xf>
    <xf numFmtId="164" fontId="51" fillId="0" borderId="12" xfId="0" applyNumberFormat="1" applyFont="1" applyBorder="1" applyAlignment="1">
      <alignment horizontal="center" vertical="center"/>
    </xf>
    <xf numFmtId="0" fontId="22" fillId="3" borderId="12" xfId="0" applyFont="1" applyFill="1" applyBorder="1" applyAlignment="1">
      <alignment horizontal="center" vertical="center"/>
    </xf>
    <xf numFmtId="0" fontId="22" fillId="3" borderId="9" xfId="0" applyFont="1" applyFill="1" applyBorder="1" applyAlignment="1">
      <alignment horizontal="center" vertical="center"/>
    </xf>
    <xf numFmtId="0" fontId="24" fillId="0" borderId="12" xfId="0" applyFont="1" applyFill="1" applyBorder="1" applyAlignment="1">
      <alignment horizontal="center"/>
    </xf>
    <xf numFmtId="0" fontId="15" fillId="0" borderId="0" xfId="4" applyFont="1" applyFill="1" applyAlignment="1">
      <alignment horizontal="center"/>
    </xf>
    <xf numFmtId="0" fontId="16" fillId="0" borderId="0" xfId="4" applyFont="1" applyAlignment="1">
      <alignment horizontal="center"/>
    </xf>
    <xf numFmtId="0" fontId="15" fillId="2" borderId="1" xfId="4" applyFont="1" applyFill="1" applyBorder="1" applyAlignment="1">
      <alignment vertical="center"/>
    </xf>
    <xf numFmtId="0" fontId="15" fillId="20" borderId="1" xfId="4" applyFont="1" applyFill="1" applyBorder="1" applyAlignment="1">
      <alignment horizontal="center" vertical="center"/>
    </xf>
    <xf numFmtId="0" fontId="15" fillId="2" borderId="1" xfId="4" applyFont="1" applyFill="1" applyBorder="1" applyAlignment="1">
      <alignment horizontal="center" vertical="center"/>
    </xf>
    <xf numFmtId="0" fontId="15" fillId="3" borderId="12" xfId="4" applyFont="1" applyFill="1" applyBorder="1" applyAlignment="1">
      <alignment horizontal="center" vertical="center"/>
    </xf>
    <xf numFmtId="0" fontId="15" fillId="0" borderId="12" xfId="4" applyFont="1" applyFill="1" applyBorder="1" applyAlignment="1">
      <alignment vertical="center"/>
    </xf>
    <xf numFmtId="0" fontId="16" fillId="0" borderId="0" xfId="4" applyAlignment="1">
      <alignment vertical="center"/>
    </xf>
    <xf numFmtId="3" fontId="15" fillId="0" borderId="1" xfId="4" applyNumberFormat="1" applyFont="1" applyBorder="1" applyAlignment="1">
      <alignment horizontal="center"/>
    </xf>
    <xf numFmtId="3" fontId="15" fillId="6" borderId="1" xfId="4" applyNumberFormat="1" applyFont="1" applyFill="1" applyBorder="1" applyAlignment="1">
      <alignment horizontal="center"/>
    </xf>
    <xf numFmtId="1" fontId="41" fillId="0" borderId="0" xfId="39" applyNumberFormat="1" applyFont="1" applyAlignment="1">
      <alignment horizontal="center"/>
    </xf>
    <xf numFmtId="0" fontId="41" fillId="4" borderId="0" xfId="39" applyFont="1" applyFill="1" applyBorder="1" applyAlignment="1">
      <alignment horizontal="center"/>
    </xf>
    <xf numFmtId="0" fontId="51" fillId="19" borderId="12" xfId="0" applyFont="1" applyFill="1" applyBorder="1" applyAlignment="1">
      <alignment horizontal="center"/>
    </xf>
    <xf numFmtId="0" fontId="0" fillId="0" borderId="12" xfId="0" applyBorder="1" applyAlignment="1">
      <alignment horizontal="center"/>
    </xf>
    <xf numFmtId="0" fontId="15" fillId="0" borderId="12" xfId="0" applyFont="1" applyBorder="1" applyAlignment="1">
      <alignment horizontal="center"/>
    </xf>
    <xf numFmtId="0" fontId="15" fillId="0" borderId="0" xfId="0" applyFont="1"/>
    <xf numFmtId="0" fontId="15" fillId="0" borderId="12" xfId="0" applyFont="1" applyFill="1" applyBorder="1" applyAlignment="1">
      <alignment horizontal="center"/>
    </xf>
    <xf numFmtId="3" fontId="0" fillId="0" borderId="12" xfId="0" applyNumberFormat="1" applyBorder="1" applyAlignment="1">
      <alignment horizontal="center"/>
    </xf>
    <xf numFmtId="3" fontId="15" fillId="0" borderId="12" xfId="0" applyNumberFormat="1" applyFont="1" applyBorder="1" applyAlignment="1">
      <alignment horizontal="center"/>
    </xf>
    <xf numFmtId="1" fontId="16" fillId="0" borderId="0" xfId="0" applyNumberFormat="1" applyFont="1" applyAlignment="1">
      <alignment horizontal="center"/>
    </xf>
    <xf numFmtId="1" fontId="53" fillId="0" borderId="0" xfId="0" applyNumberFormat="1" applyFont="1" applyAlignment="1">
      <alignment horizontal="center"/>
    </xf>
    <xf numFmtId="0" fontId="17" fillId="0" borderId="0" xfId="2" applyFont="1" applyFill="1" applyAlignment="1">
      <alignment horizontal="center"/>
    </xf>
    <xf numFmtId="1" fontId="18" fillId="0" borderId="0" xfId="0" applyNumberFormat="1" applyFont="1" applyFill="1" applyAlignment="1">
      <alignment horizontal="center"/>
    </xf>
    <xf numFmtId="0" fontId="19" fillId="0" borderId="0" xfId="2" applyFont="1" applyFill="1"/>
    <xf numFmtId="0" fontId="16" fillId="0" borderId="0" xfId="2" applyFill="1"/>
    <xf numFmtId="1" fontId="27" fillId="0" borderId="0" xfId="0" applyNumberFormat="1" applyFont="1" applyFill="1" applyAlignment="1">
      <alignment horizontal="center"/>
    </xf>
    <xf numFmtId="1" fontId="25" fillId="0" borderId="12" xfId="0" applyNumberFormat="1" applyFont="1" applyFill="1" applyBorder="1" applyAlignment="1">
      <alignment horizontal="center"/>
    </xf>
    <xf numFmtId="0" fontId="23" fillId="0" borderId="28" xfId="39" applyFont="1" applyBorder="1" applyAlignment="1">
      <alignment horizontal="left"/>
    </xf>
    <xf numFmtId="10" fontId="7" fillId="0" borderId="28" xfId="41" applyNumberFormat="1" applyFill="1" applyBorder="1" applyAlignment="1">
      <alignment horizontal="center"/>
    </xf>
    <xf numFmtId="1" fontId="25" fillId="30" borderId="12" xfId="0" applyNumberFormat="1" applyFont="1" applyFill="1" applyBorder="1" applyAlignment="1">
      <alignment horizontal="center"/>
    </xf>
    <xf numFmtId="1" fontId="24" fillId="30" borderId="10" xfId="0" applyNumberFormat="1" applyFont="1" applyFill="1" applyBorder="1" applyAlignment="1">
      <alignment horizontal="center"/>
    </xf>
    <xf numFmtId="0" fontId="15" fillId="2" borderId="12" xfId="4" applyFont="1" applyFill="1" applyBorder="1" applyAlignment="1">
      <alignment horizontal="center" vertical="center"/>
    </xf>
    <xf numFmtId="0" fontId="24" fillId="0" borderId="0" xfId="0" applyFont="1" applyAlignment="1">
      <alignment horizontal="center"/>
    </xf>
    <xf numFmtId="0" fontId="0" fillId="32" borderId="12" xfId="0" applyFill="1" applyBorder="1" applyAlignment="1" applyProtection="1">
      <alignment horizontal="center"/>
    </xf>
    <xf numFmtId="0" fontId="0" fillId="32" borderId="12" xfId="0" applyFill="1" applyBorder="1" applyAlignment="1" applyProtection="1">
      <alignment horizontal="center"/>
      <protection locked="0"/>
    </xf>
    <xf numFmtId="0" fontId="35" fillId="30" borderId="12" xfId="0" applyFont="1" applyFill="1" applyBorder="1" applyAlignment="1" applyProtection="1">
      <alignment horizontal="center"/>
    </xf>
    <xf numFmtId="10" fontId="0" fillId="0" borderId="0" xfId="0" applyNumberFormat="1"/>
    <xf numFmtId="1" fontId="0" fillId="0" borderId="0" xfId="0" applyNumberFormat="1"/>
    <xf numFmtId="3" fontId="0" fillId="0" borderId="0" xfId="0" applyNumberFormat="1" applyAlignment="1">
      <alignment horizontal="right"/>
    </xf>
    <xf numFmtId="0" fontId="55" fillId="0" borderId="0" xfId="0" applyFont="1"/>
    <xf numFmtId="0" fontId="55" fillId="0" borderId="0" xfId="2" applyFont="1" applyAlignment="1">
      <alignment horizontal="center"/>
    </xf>
    <xf numFmtId="0" fontId="55" fillId="0" borderId="0" xfId="2" applyFont="1"/>
    <xf numFmtId="0" fontId="55" fillId="0" borderId="0" xfId="0" applyFont="1" applyAlignment="1">
      <alignment horizontal="center"/>
    </xf>
    <xf numFmtId="0" fontId="55" fillId="0" borderId="0" xfId="0" applyFont="1" applyBorder="1" applyAlignment="1">
      <alignment horizontal="center"/>
    </xf>
    <xf numFmtId="1" fontId="55" fillId="0" borderId="0" xfId="0" applyNumberFormat="1" applyFont="1" applyAlignment="1">
      <alignment horizontal="center"/>
    </xf>
    <xf numFmtId="0" fontId="54" fillId="0" borderId="14" xfId="0" applyFont="1" applyBorder="1" applyAlignment="1">
      <alignment horizontal="center"/>
    </xf>
    <xf numFmtId="0" fontId="55" fillId="0" borderId="0" xfId="0" applyFont="1" applyBorder="1"/>
    <xf numFmtId="0" fontId="55" fillId="0" borderId="0" xfId="2" applyFont="1" applyFill="1" applyAlignment="1">
      <alignment horizontal="center"/>
    </xf>
    <xf numFmtId="0" fontId="15" fillId="0" borderId="0" xfId="2" applyFont="1" applyFill="1" applyAlignment="1">
      <alignment horizontal="center"/>
    </xf>
    <xf numFmtId="1" fontId="15" fillId="0" borderId="0" xfId="0" applyNumberFormat="1" applyFont="1" applyAlignment="1">
      <alignment horizontal="center"/>
    </xf>
    <xf numFmtId="0" fontId="41" fillId="0" borderId="0" xfId="39" applyFont="1" applyFill="1"/>
    <xf numFmtId="0" fontId="15" fillId="0" borderId="29" xfId="0" applyFont="1" applyBorder="1"/>
    <xf numFmtId="3" fontId="16" fillId="0" borderId="0" xfId="0" applyNumberFormat="1" applyFont="1"/>
    <xf numFmtId="0" fontId="45" fillId="0" borderId="0" xfId="34" applyAlignment="1" applyProtection="1"/>
    <xf numFmtId="0" fontId="24" fillId="22" borderId="12" xfId="0" applyFont="1" applyFill="1" applyBorder="1" applyAlignment="1">
      <alignment horizontal="center"/>
    </xf>
    <xf numFmtId="0" fontId="6" fillId="0" borderId="0" xfId="42" applyAlignment="1">
      <alignment horizontal="right"/>
    </xf>
    <xf numFmtId="0" fontId="57" fillId="33" borderId="30" xfId="43" applyFont="1" applyFill="1" applyBorder="1" applyAlignment="1">
      <alignment horizontal="center"/>
    </xf>
    <xf numFmtId="0" fontId="6" fillId="0" borderId="0" xfId="42"/>
    <xf numFmtId="0" fontId="57" fillId="34" borderId="31" xfId="43" applyFont="1" applyFill="1" applyBorder="1" applyAlignment="1"/>
    <xf numFmtId="1" fontId="6" fillId="0" borderId="0" xfId="42" applyNumberFormat="1"/>
    <xf numFmtId="0" fontId="16" fillId="0" borderId="1" xfId="2" applyFill="1" applyBorder="1"/>
    <xf numFmtId="0" fontId="40" fillId="0" borderId="1" xfId="0" applyFont="1" applyBorder="1"/>
    <xf numFmtId="0" fontId="16" fillId="9" borderId="12" xfId="2" applyFill="1" applyBorder="1"/>
    <xf numFmtId="0" fontId="15" fillId="9" borderId="12" xfId="2" applyFont="1" applyFill="1" applyBorder="1"/>
    <xf numFmtId="0" fontId="16" fillId="0" borderId="12" xfId="2" applyBorder="1"/>
    <xf numFmtId="0" fontId="15" fillId="0" borderId="12" xfId="2" applyFont="1" applyBorder="1"/>
    <xf numFmtId="0" fontId="57" fillId="34" borderId="32" xfId="43" applyFont="1" applyFill="1" applyBorder="1" applyAlignment="1"/>
    <xf numFmtId="0" fontId="16" fillId="0" borderId="12" xfId="2" applyBorder="1" applyAlignment="1">
      <alignment horizontal="center"/>
    </xf>
    <xf numFmtId="0" fontId="57" fillId="34" borderId="0" xfId="43" applyFont="1" applyFill="1" applyBorder="1" applyAlignment="1"/>
    <xf numFmtId="1" fontId="16" fillId="0" borderId="0" xfId="4" applyNumberFormat="1"/>
    <xf numFmtId="3" fontId="15" fillId="30" borderId="33" xfId="7" applyNumberFormat="1" applyFont="1" applyFill="1" applyBorder="1" applyAlignment="1">
      <alignment horizontal="center"/>
    </xf>
    <xf numFmtId="3" fontId="0" fillId="0" borderId="33" xfId="0" applyNumberFormat="1" applyBorder="1"/>
    <xf numFmtId="1" fontId="25" fillId="0" borderId="12" xfId="0" applyNumberFormat="1" applyFont="1" applyFill="1" applyBorder="1" applyAlignment="1">
      <alignment horizontal="center"/>
    </xf>
    <xf numFmtId="1" fontId="0" fillId="34" borderId="15" xfId="0" applyNumberFormat="1" applyFill="1" applyBorder="1"/>
    <xf numFmtId="1" fontId="57" fillId="34" borderId="32" xfId="43" applyNumberFormat="1" applyFont="1" applyFill="1" applyBorder="1" applyAlignment="1"/>
    <xf numFmtId="1" fontId="25" fillId="0" borderId="12" xfId="0" applyNumberFormat="1" applyFont="1" applyFill="1" applyBorder="1" applyAlignment="1">
      <alignment horizontal="center"/>
    </xf>
    <xf numFmtId="0" fontId="41" fillId="0" borderId="0" xfId="39" applyFont="1" applyFill="1" applyBorder="1"/>
    <xf numFmtId="0" fontId="15" fillId="0" borderId="1" xfId="2" applyFont="1" applyFill="1" applyBorder="1"/>
    <xf numFmtId="0" fontId="15" fillId="0" borderId="12" xfId="2" applyFont="1" applyFill="1" applyBorder="1"/>
    <xf numFmtId="3" fontId="0" fillId="0" borderId="0" xfId="0" applyNumberFormat="1"/>
    <xf numFmtId="0" fontId="22" fillId="0" borderId="0" xfId="42" applyFont="1"/>
    <xf numFmtId="1" fontId="22" fillId="0" borderId="0" xfId="42" applyNumberFormat="1" applyFont="1"/>
    <xf numFmtId="0" fontId="22" fillId="0" borderId="34" xfId="42" applyFont="1" applyBorder="1"/>
    <xf numFmtId="1" fontId="22" fillId="0" borderId="34" xfId="42" applyNumberFormat="1" applyFont="1" applyBorder="1"/>
    <xf numFmtId="1" fontId="41" fillId="0" borderId="0" xfId="39" applyNumberFormat="1" applyFont="1" applyFill="1" applyBorder="1" applyAlignment="1">
      <alignment horizontal="center"/>
    </xf>
    <xf numFmtId="0" fontId="23" fillId="0" borderId="0" xfId="39" applyFont="1" applyBorder="1" applyAlignment="1">
      <alignment horizontal="left"/>
    </xf>
    <xf numFmtId="0" fontId="23" fillId="27" borderId="0" xfId="39" applyFont="1" applyFill="1" applyBorder="1" applyAlignment="1">
      <alignment horizontal="center"/>
    </xf>
    <xf numFmtId="0" fontId="23" fillId="0" borderId="0" xfId="39" applyFont="1" applyBorder="1" applyAlignment="1">
      <alignment horizontal="center"/>
    </xf>
    <xf numFmtId="0" fontId="23" fillId="27" borderId="28" xfId="39" applyFont="1" applyFill="1" applyBorder="1" applyAlignment="1">
      <alignment horizontal="center"/>
    </xf>
    <xf numFmtId="9" fontId="25" fillId="0" borderId="36" xfId="0" applyNumberFormat="1" applyFont="1" applyFill="1" applyBorder="1" applyAlignment="1">
      <alignment horizontal="center"/>
    </xf>
    <xf numFmtId="9" fontId="25" fillId="0" borderId="37" xfId="0" applyNumberFormat="1" applyFont="1" applyFill="1" applyBorder="1" applyAlignment="1">
      <alignment horizontal="center"/>
    </xf>
    <xf numFmtId="9" fontId="25" fillId="0" borderId="38" xfId="0" applyNumberFormat="1" applyFont="1" applyFill="1" applyBorder="1" applyAlignment="1">
      <alignment horizontal="center"/>
    </xf>
    <xf numFmtId="0" fontId="24" fillId="8" borderId="0" xfId="0" applyFont="1" applyFill="1"/>
    <xf numFmtId="0" fontId="22" fillId="0" borderId="35" xfId="0" applyFont="1" applyBorder="1" applyAlignment="1">
      <alignment horizontal="center"/>
    </xf>
    <xf numFmtId="0" fontId="25" fillId="19" borderId="35" xfId="0" applyFont="1" applyFill="1" applyBorder="1" applyAlignment="1">
      <alignment horizontal="center" vertical="center"/>
    </xf>
    <xf numFmtId="10" fontId="8" fillId="4" borderId="0" xfId="35" applyNumberFormat="1" applyFill="1"/>
    <xf numFmtId="1" fontId="16" fillId="4" borderId="28" xfId="39" applyNumberFormat="1" applyFont="1" applyFill="1" applyBorder="1" applyAlignment="1">
      <alignment horizontal="center"/>
    </xf>
    <xf numFmtId="1" fontId="16" fillId="0" borderId="0" xfId="39" applyNumberFormat="1" applyFont="1" applyFill="1" applyBorder="1" applyAlignment="1">
      <alignment horizontal="center"/>
    </xf>
    <xf numFmtId="1" fontId="27" fillId="0" borderId="27" xfId="39" applyNumberFormat="1" applyFont="1" applyBorder="1" applyAlignment="1">
      <alignment horizontal="center"/>
    </xf>
    <xf numFmtId="0" fontId="24" fillId="0" borderId="39" xfId="0" applyFont="1" applyFill="1" applyBorder="1" applyAlignment="1"/>
    <xf numFmtId="0" fontId="0" fillId="0" borderId="39" xfId="0" applyFill="1" applyBorder="1" applyAlignment="1"/>
    <xf numFmtId="3" fontId="24" fillId="0" borderId="39" xfId="0" applyNumberFormat="1" applyFont="1" applyFill="1" applyBorder="1" applyAlignment="1">
      <alignment horizontal="center"/>
    </xf>
    <xf numFmtId="3" fontId="24" fillId="0" borderId="34" xfId="0" applyNumberFormat="1" applyFont="1" applyFill="1" applyBorder="1" applyAlignment="1">
      <alignment horizontal="center"/>
    </xf>
    <xf numFmtId="1" fontId="24" fillId="0" borderId="34" xfId="0" applyNumberFormat="1" applyFont="1" applyFill="1" applyBorder="1" applyAlignment="1">
      <alignment horizontal="center"/>
    </xf>
    <xf numFmtId="9" fontId="25" fillId="0" borderId="35" xfId="0" applyNumberFormat="1" applyFont="1" applyBorder="1" applyAlignment="1">
      <alignment horizontal="center"/>
    </xf>
    <xf numFmtId="9" fontId="25" fillId="0" borderId="40" xfId="0" applyNumberFormat="1" applyFont="1" applyFill="1" applyBorder="1" applyAlignment="1">
      <alignment horizontal="center"/>
    </xf>
    <xf numFmtId="9" fontId="25" fillId="0" borderId="41" xfId="0" applyNumberFormat="1" applyFont="1" applyFill="1" applyBorder="1" applyAlignment="1">
      <alignment horizontal="center"/>
    </xf>
    <xf numFmtId="9" fontId="25" fillId="0" borderId="42" xfId="0" applyNumberFormat="1" applyFont="1" applyFill="1" applyBorder="1" applyAlignment="1">
      <alignment horizontal="center"/>
    </xf>
    <xf numFmtId="9" fontId="25" fillId="0" borderId="43" xfId="0" applyNumberFormat="1" applyFont="1" applyFill="1" applyBorder="1" applyAlignment="1">
      <alignment horizontal="center"/>
    </xf>
    <xf numFmtId="9" fontId="25" fillId="0" borderId="44" xfId="0" applyNumberFormat="1" applyFont="1" applyFill="1" applyBorder="1" applyAlignment="1">
      <alignment horizontal="center"/>
    </xf>
    <xf numFmtId="0" fontId="25" fillId="0" borderId="35" xfId="0" applyFont="1" applyFill="1" applyBorder="1" applyAlignment="1">
      <alignment horizontal="center"/>
    </xf>
    <xf numFmtId="3" fontId="15" fillId="30" borderId="45" xfId="7" applyNumberFormat="1" applyFont="1" applyFill="1" applyBorder="1" applyAlignment="1">
      <alignment horizontal="center"/>
    </xf>
    <xf numFmtId="1" fontId="25" fillId="4" borderId="12" xfId="0" applyNumberFormat="1" applyFont="1" applyFill="1" applyBorder="1" applyAlignment="1">
      <alignment horizontal="center"/>
    </xf>
    <xf numFmtId="0" fontId="25" fillId="4" borderId="12" xfId="0" applyFont="1" applyFill="1" applyBorder="1" applyAlignment="1">
      <alignment horizontal="center"/>
    </xf>
    <xf numFmtId="0" fontId="23" fillId="35" borderId="0" xfId="39" applyFont="1" applyFill="1" applyBorder="1" applyAlignment="1">
      <alignment horizontal="center"/>
    </xf>
    <xf numFmtId="0" fontId="23" fillId="6" borderId="0" xfId="39" applyFont="1" applyFill="1" applyBorder="1" applyAlignment="1">
      <alignment horizontal="center"/>
    </xf>
    <xf numFmtId="10" fontId="8" fillId="0" borderId="27" xfId="35" applyNumberFormat="1" applyFill="1" applyBorder="1"/>
    <xf numFmtId="10" fontId="8" fillId="0" borderId="0" xfId="35" applyNumberFormat="1" applyFill="1" applyBorder="1"/>
    <xf numFmtId="3" fontId="0" fillId="0" borderId="47" xfId="0" applyNumberFormat="1" applyBorder="1"/>
    <xf numFmtId="3" fontId="15" fillId="0" borderId="46" xfId="4" applyNumberFormat="1" applyFont="1" applyBorder="1"/>
    <xf numFmtId="3" fontId="15" fillId="30" borderId="46" xfId="7" applyNumberFormat="1" applyFont="1" applyFill="1" applyBorder="1" applyAlignment="1">
      <alignment horizontal="center"/>
    </xf>
    <xf numFmtId="3" fontId="15" fillId="30" borderId="48" xfId="7" applyNumberFormat="1" applyFont="1" applyFill="1" applyBorder="1" applyAlignment="1">
      <alignment horizontal="center"/>
    </xf>
    <xf numFmtId="1" fontId="25" fillId="6" borderId="12" xfId="0" applyNumberFormat="1" applyFont="1" applyFill="1" applyBorder="1" applyAlignment="1">
      <alignment horizontal="center"/>
    </xf>
    <xf numFmtId="0" fontId="4" fillId="0" borderId="0" xfId="45"/>
    <xf numFmtId="0" fontId="4" fillId="0" borderId="12" xfId="45" applyBorder="1"/>
    <xf numFmtId="0" fontId="22" fillId="0" borderId="12" xfId="45" applyFont="1" applyBorder="1"/>
    <xf numFmtId="3" fontId="15" fillId="0" borderId="12" xfId="4" applyNumberFormat="1" applyFont="1" applyBorder="1" applyAlignment="1">
      <alignment horizontal="center"/>
    </xf>
    <xf numFmtId="3" fontId="15" fillId="0" borderId="12" xfId="4" applyNumberFormat="1" applyFont="1" applyBorder="1" applyAlignment="1">
      <alignment horizontal="left"/>
    </xf>
    <xf numFmtId="3" fontId="15" fillId="6" borderId="12" xfId="4" applyNumberFormat="1" applyFont="1" applyFill="1" applyBorder="1" applyAlignment="1">
      <alignment horizontal="center"/>
    </xf>
    <xf numFmtId="0" fontId="22" fillId="0" borderId="0" xfId="45" applyFont="1" applyAlignment="1">
      <alignment horizontal="left"/>
    </xf>
    <xf numFmtId="0" fontId="15" fillId="20" borderId="12" xfId="4" applyFont="1" applyFill="1" applyBorder="1" applyAlignment="1">
      <alignment horizontal="center" vertical="center"/>
    </xf>
    <xf numFmtId="3" fontId="16" fillId="30" borderId="0" xfId="0" applyNumberFormat="1" applyFont="1" applyFill="1"/>
    <xf numFmtId="3" fontId="22" fillId="0" borderId="12" xfId="45" applyNumberFormat="1" applyFont="1" applyBorder="1" applyAlignment="1">
      <alignment horizontal="center"/>
    </xf>
    <xf numFmtId="0" fontId="3" fillId="0" borderId="0" xfId="39" applyFont="1"/>
    <xf numFmtId="0" fontId="49" fillId="0" borderId="0" xfId="0" applyFont="1" applyAlignment="1"/>
    <xf numFmtId="0" fontId="15" fillId="0" borderId="0" xfId="0" applyFont="1" applyAlignment="1"/>
    <xf numFmtId="0" fontId="15" fillId="0" borderId="12" xfId="0" applyFont="1" applyBorder="1" applyAlignment="1">
      <alignment vertical="center"/>
    </xf>
    <xf numFmtId="0" fontId="53" fillId="0" borderId="12" xfId="0" applyFont="1" applyBorder="1" applyAlignment="1">
      <alignment vertical="center"/>
    </xf>
    <xf numFmtId="0" fontId="49" fillId="0" borderId="12" xfId="0" applyFont="1" applyBorder="1" applyAlignment="1">
      <alignment horizontal="center"/>
    </xf>
    <xf numFmtId="0" fontId="0" fillId="0" borderId="12" xfId="0" applyBorder="1" applyAlignment="1">
      <alignment horizontal="center" textRotation="90"/>
    </xf>
    <xf numFmtId="0" fontId="16" fillId="0" borderId="12" xfId="0" applyFont="1" applyBorder="1" applyAlignment="1">
      <alignment horizontal="center"/>
    </xf>
    <xf numFmtId="0" fontId="19" fillId="0" borderId="12" xfId="0" applyFont="1" applyBorder="1" applyAlignment="1">
      <alignment horizontal="center"/>
    </xf>
    <xf numFmtId="0" fontId="27" fillId="0" borderId="12" xfId="0" applyFont="1" applyBorder="1" applyAlignment="1">
      <alignment horizontal="center"/>
    </xf>
    <xf numFmtId="0" fontId="16" fillId="0" borderId="0" xfId="0" applyFont="1" applyFill="1" applyBorder="1" applyAlignment="1">
      <alignment vertical="center"/>
    </xf>
    <xf numFmtId="1" fontId="25" fillId="0" borderId="13" xfId="0" applyNumberFormat="1" applyFont="1" applyFill="1" applyBorder="1" applyAlignment="1">
      <alignment horizontal="center"/>
    </xf>
    <xf numFmtId="1" fontId="25" fillId="0" borderId="13" xfId="0" applyNumberFormat="1" applyFont="1" applyFill="1" applyBorder="1" applyAlignment="1">
      <alignment horizontal="center"/>
    </xf>
    <xf numFmtId="0" fontId="18" fillId="0" borderId="12" xfId="0" applyFont="1" applyBorder="1" applyAlignment="1">
      <alignment horizontal="center"/>
    </xf>
    <xf numFmtId="0" fontId="23" fillId="35" borderId="27" xfId="39" applyFont="1" applyFill="1" applyBorder="1" applyAlignment="1">
      <alignment horizontal="center"/>
    </xf>
    <xf numFmtId="0" fontId="27" fillId="0" borderId="0" xfId="39" applyFont="1" applyAlignment="1">
      <alignment horizontal="center"/>
    </xf>
    <xf numFmtId="0" fontId="23" fillId="0" borderId="0" xfId="39" applyFont="1" applyBorder="1"/>
    <xf numFmtId="1" fontId="41" fillId="0" borderId="0" xfId="39" applyNumberFormat="1" applyFont="1" applyBorder="1" applyAlignment="1">
      <alignment horizontal="center"/>
    </xf>
    <xf numFmtId="0" fontId="27" fillId="0" borderId="0" xfId="0" applyFont="1"/>
    <xf numFmtId="0" fontId="2" fillId="0" borderId="0" xfId="39" applyFont="1"/>
    <xf numFmtId="0" fontId="59" fillId="0" borderId="35" xfId="0" applyFont="1" applyBorder="1" applyAlignment="1">
      <alignment horizontal="center"/>
    </xf>
    <xf numFmtId="0" fontId="59" fillId="0" borderId="0" xfId="0" applyFont="1"/>
    <xf numFmtId="0" fontId="60" fillId="0" borderId="35" xfId="0" applyFont="1" applyBorder="1" applyAlignment="1">
      <alignment horizontal="center"/>
    </xf>
    <xf numFmtId="0" fontId="60" fillId="0" borderId="35" xfId="0" applyFont="1" applyFill="1" applyBorder="1" applyAlignment="1">
      <alignment horizontal="center"/>
    </xf>
    <xf numFmtId="0" fontId="59" fillId="0" borderId="35" xfId="0" applyNumberFormat="1" applyFont="1" applyFill="1" applyBorder="1" applyAlignment="1">
      <alignment horizontal="center"/>
    </xf>
    <xf numFmtId="0" fontId="60" fillId="0" borderId="35" xfId="0" applyNumberFormat="1" applyFont="1" applyFill="1" applyBorder="1" applyAlignment="1">
      <alignment horizontal="center"/>
    </xf>
    <xf numFmtId="0" fontId="61" fillId="0" borderId="35" xfId="0" applyFont="1" applyBorder="1" applyAlignment="1">
      <alignment horizontal="center"/>
    </xf>
    <xf numFmtId="0" fontId="24" fillId="0" borderId="0" xfId="0" applyFont="1" applyBorder="1" applyAlignment="1">
      <alignment horizontal="left" wrapText="1"/>
    </xf>
    <xf numFmtId="0" fontId="0" fillId="0" borderId="0" xfId="0" applyBorder="1" applyAlignment="1">
      <alignment horizontal="left" wrapText="1"/>
    </xf>
    <xf numFmtId="0" fontId="0" fillId="0" borderId="0" xfId="0" applyBorder="1" applyAlignment="1">
      <alignment wrapText="1"/>
    </xf>
    <xf numFmtId="0" fontId="24" fillId="0" borderId="0" xfId="0" applyFont="1" applyAlignment="1">
      <alignment wrapText="1"/>
    </xf>
    <xf numFmtId="0" fontId="0" fillId="0" borderId="0" xfId="0" applyAlignment="1">
      <alignment wrapText="1"/>
    </xf>
    <xf numFmtId="0" fontId="24" fillId="0" borderId="0" xfId="0" applyFont="1" applyAlignment="1">
      <alignment vertical="center" wrapText="1"/>
    </xf>
    <xf numFmtId="0" fontId="0" fillId="0" borderId="0" xfId="0" applyAlignment="1">
      <alignment vertical="center" wrapText="1"/>
    </xf>
    <xf numFmtId="0" fontId="28" fillId="0" borderId="0" xfId="0" quotePrefix="1" applyFont="1" applyFill="1"/>
    <xf numFmtId="14" fontId="16" fillId="0" borderId="0" xfId="4" applyNumberFormat="1" applyFont="1"/>
    <xf numFmtId="0" fontId="16" fillId="0" borderId="12" xfId="0" applyFont="1" applyBorder="1" applyAlignment="1">
      <alignment horizontal="center" textRotation="90"/>
    </xf>
    <xf numFmtId="0" fontId="0" fillId="0" borderId="35" xfId="0" applyBorder="1" applyAlignment="1">
      <alignment horizontal="center"/>
    </xf>
    <xf numFmtId="0" fontId="16" fillId="0" borderId="0" xfId="0" applyFont="1" applyAlignment="1">
      <alignment horizontal="center" wrapText="1"/>
    </xf>
    <xf numFmtId="0" fontId="0" fillId="5" borderId="18" xfId="0" applyFill="1" applyBorder="1" applyAlignment="1">
      <alignment horizontal="center"/>
    </xf>
    <xf numFmtId="0" fontId="0" fillId="5" borderId="49" xfId="0" applyFill="1" applyBorder="1" applyAlignment="1">
      <alignment horizontal="center"/>
    </xf>
    <xf numFmtId="0" fontId="0" fillId="0" borderId="0" xfId="0" applyBorder="1"/>
    <xf numFmtId="0" fontId="15" fillId="0" borderId="0" xfId="0" applyFont="1" applyAlignment="1">
      <alignment horizontal="center"/>
    </xf>
    <xf numFmtId="0" fontId="15" fillId="0" borderId="0" xfId="0" applyFont="1" applyAlignment="1">
      <alignment wrapText="1"/>
    </xf>
    <xf numFmtId="1" fontId="45" fillId="0" borderId="50" xfId="34" applyNumberFormat="1" applyBorder="1" applyAlignment="1" applyProtection="1"/>
    <xf numFmtId="0" fontId="0" fillId="0" borderId="35" xfId="0" applyFill="1" applyBorder="1" applyAlignment="1">
      <alignment horizontal="center"/>
    </xf>
    <xf numFmtId="0" fontId="64" fillId="0" borderId="12" xfId="4" applyFont="1" applyFill="1" applyBorder="1"/>
    <xf numFmtId="0" fontId="1" fillId="0" borderId="35" xfId="0" applyFont="1" applyBorder="1" applyAlignment="1">
      <alignment horizontal="center"/>
    </xf>
    <xf numFmtId="0" fontId="25" fillId="0" borderId="35" xfId="0" applyFont="1" applyFill="1" applyBorder="1" applyAlignment="1">
      <alignment horizontal="center" vertical="center"/>
    </xf>
    <xf numFmtId="0" fontId="16" fillId="31" borderId="9" xfId="4" applyFill="1" applyBorder="1" applyAlignment="1">
      <alignment horizontal="center"/>
    </xf>
    <xf numFmtId="0" fontId="16" fillId="6" borderId="12" xfId="4" applyFill="1" applyBorder="1" applyAlignment="1">
      <alignment vertical="center"/>
    </xf>
    <xf numFmtId="0" fontId="0" fillId="0" borderId="12" xfId="0" applyBorder="1" applyAlignment="1">
      <alignment vertical="center"/>
    </xf>
    <xf numFmtId="0" fontId="16" fillId="5" borderId="35" xfId="4" applyFill="1" applyBorder="1" applyAlignment="1">
      <alignment horizontal="center"/>
    </xf>
    <xf numFmtId="0" fontId="0" fillId="0" borderId="35" xfId="0" applyBorder="1" applyAlignment="1">
      <alignment horizontal="center"/>
    </xf>
    <xf numFmtId="0" fontId="16" fillId="23" borderId="35" xfId="4" applyFill="1" applyBorder="1" applyAlignment="1">
      <alignment horizontal="center"/>
    </xf>
    <xf numFmtId="0" fontId="24" fillId="10" borderId="6" xfId="0" applyFont="1" applyFill="1" applyBorder="1" applyAlignment="1">
      <alignment horizontal="center"/>
    </xf>
    <xf numFmtId="0" fontId="24" fillId="10" borderId="7" xfId="0" applyFont="1" applyFill="1" applyBorder="1" applyAlignment="1">
      <alignment horizontal="center"/>
    </xf>
    <xf numFmtId="0" fontId="25" fillId="10" borderId="8" xfId="0" applyFont="1" applyFill="1" applyBorder="1" applyAlignment="1"/>
    <xf numFmtId="0" fontId="24" fillId="0" borderId="0" xfId="0" applyFont="1" applyAlignment="1">
      <alignment wrapText="1"/>
    </xf>
    <xf numFmtId="0" fontId="0" fillId="0" borderId="0" xfId="0" applyAlignment="1">
      <alignment wrapText="1"/>
    </xf>
    <xf numFmtId="0" fontId="24" fillId="3" borderId="12" xfId="0" applyFont="1" applyFill="1" applyBorder="1" applyAlignment="1"/>
    <xf numFmtId="0" fontId="0" fillId="0" borderId="12" xfId="0" applyBorder="1" applyAlignment="1"/>
    <xf numFmtId="0" fontId="25" fillId="0" borderId="12" xfId="0" applyFont="1" applyBorder="1" applyAlignment="1"/>
    <xf numFmtId="0" fontId="25" fillId="0" borderId="17" xfId="0" applyFont="1" applyBorder="1" applyAlignment="1"/>
    <xf numFmtId="0" fontId="0" fillId="0" borderId="17" xfId="0" applyBorder="1" applyAlignment="1"/>
    <xf numFmtId="0" fontId="24" fillId="6" borderId="4" xfId="0" applyFont="1" applyFill="1" applyBorder="1" applyAlignment="1">
      <alignment horizontal="right" vertical="center"/>
    </xf>
    <xf numFmtId="0" fontId="0" fillId="0" borderId="2" xfId="0" applyBorder="1" applyAlignment="1">
      <alignment horizontal="right" vertical="center"/>
    </xf>
    <xf numFmtId="0" fontId="0" fillId="0" borderId="5" xfId="0" applyBorder="1" applyAlignment="1">
      <alignment horizontal="right" vertical="center"/>
    </xf>
    <xf numFmtId="0" fontId="24" fillId="6" borderId="4" xfId="0" applyFont="1" applyFill="1" applyBorder="1" applyAlignment="1">
      <alignment horizontal="center" vertical="center" wrapText="1"/>
    </xf>
    <xf numFmtId="0" fontId="0" fillId="0" borderId="5" xfId="0" applyBorder="1" applyAlignment="1">
      <alignment horizontal="center" vertical="center" wrapText="1"/>
    </xf>
    <xf numFmtId="0" fontId="24" fillId="0" borderId="0" xfId="0" applyFont="1" applyBorder="1" applyAlignment="1">
      <alignment horizontal="left" wrapText="1"/>
    </xf>
    <xf numFmtId="0" fontId="0" fillId="0" borderId="0" xfId="0" applyBorder="1" applyAlignment="1">
      <alignment horizontal="left" wrapText="1"/>
    </xf>
    <xf numFmtId="0" fontId="0" fillId="0" borderId="0" xfId="0" applyBorder="1" applyAlignment="1">
      <alignment wrapText="1"/>
    </xf>
    <xf numFmtId="0" fontId="24" fillId="15" borderId="12" xfId="0" applyFont="1" applyFill="1" applyBorder="1" applyAlignment="1">
      <alignment horizontal="center" vertical="center" wrapText="1"/>
    </xf>
    <xf numFmtId="0" fontId="24" fillId="0" borderId="10" xfId="0" applyFont="1" applyBorder="1" applyAlignment="1"/>
    <xf numFmtId="0" fontId="0" fillId="0" borderId="10" xfId="0" applyBorder="1" applyAlignment="1"/>
    <xf numFmtId="0" fontId="24" fillId="6" borderId="13" xfId="0" applyFont="1" applyFill="1" applyBorder="1" applyAlignment="1">
      <alignment horizontal="left" vertical="center" wrapText="1"/>
    </xf>
    <xf numFmtId="0" fontId="43" fillId="6" borderId="14" xfId="0" applyFont="1" applyFill="1" applyBorder="1" applyAlignment="1">
      <alignment horizontal="left" vertical="center" wrapText="1"/>
    </xf>
    <xf numFmtId="0" fontId="24" fillId="0" borderId="0" xfId="0" applyFont="1" applyAlignment="1">
      <alignment vertical="center" wrapText="1"/>
    </xf>
    <xf numFmtId="0" fontId="0" fillId="0" borderId="0" xfId="0" applyAlignment="1">
      <alignment vertical="center" wrapText="1"/>
    </xf>
    <xf numFmtId="0" fontId="15" fillId="15" borderId="12" xfId="0" applyFont="1" applyFill="1" applyBorder="1" applyAlignment="1">
      <alignment horizontal="center" vertical="center" wrapText="1"/>
    </xf>
    <xf numFmtId="0" fontId="24" fillId="3" borderId="12" xfId="0" applyFont="1" applyFill="1" applyBorder="1" applyAlignment="1">
      <alignment horizontal="center" vertical="center" wrapText="1"/>
    </xf>
    <xf numFmtId="0" fontId="0" fillId="0" borderId="12" xfId="0" applyBorder="1" applyAlignment="1">
      <alignment horizontal="center" vertical="center"/>
    </xf>
    <xf numFmtId="1" fontId="25" fillId="0" borderId="13" xfId="0" applyNumberFormat="1" applyFont="1" applyFill="1" applyBorder="1" applyAlignment="1">
      <alignment horizontal="center"/>
    </xf>
    <xf numFmtId="0" fontId="0" fillId="0" borderId="14" xfId="0" applyBorder="1" applyAlignment="1"/>
    <xf numFmtId="0" fontId="22" fillId="0" borderId="12" xfId="0" applyFont="1" applyBorder="1" applyAlignment="1">
      <alignment horizontal="center" vertical="center" wrapText="1"/>
    </xf>
    <xf numFmtId="1" fontId="25" fillId="0" borderId="12" xfId="0" applyNumberFormat="1" applyFont="1" applyFill="1" applyBorder="1" applyAlignment="1">
      <alignment horizontal="center"/>
    </xf>
    <xf numFmtId="0" fontId="16" fillId="6" borderId="12" xfId="4" applyFill="1" applyBorder="1" applyAlignment="1">
      <alignment horizontal="center" vertical="center" wrapText="1"/>
    </xf>
    <xf numFmtId="0" fontId="0" fillId="0" borderId="12" xfId="0" applyBorder="1" applyAlignment="1">
      <alignment horizontal="center" vertical="center" wrapText="1"/>
    </xf>
    <xf numFmtId="0" fontId="62" fillId="0" borderId="15" xfId="0" applyFont="1" applyBorder="1" applyAlignment="1">
      <alignment horizontal="left" vertical="center" wrapText="1"/>
    </xf>
    <xf numFmtId="0" fontId="49" fillId="0" borderId="15" xfId="0" applyFont="1" applyBorder="1" applyAlignment="1">
      <alignment vertical="center" wrapText="1"/>
    </xf>
    <xf numFmtId="10" fontId="33" fillId="0" borderId="0" xfId="0" applyNumberFormat="1" applyFont="1" applyAlignment="1">
      <alignment horizontal="left" vertical="top" wrapText="1"/>
    </xf>
    <xf numFmtId="0" fontId="0" fillId="0" borderId="0" xfId="0" applyAlignment="1">
      <alignment horizontal="left" vertical="top" wrapText="1"/>
    </xf>
    <xf numFmtId="0" fontId="15" fillId="15" borderId="36" xfId="0" applyFont="1" applyFill="1" applyBorder="1" applyAlignment="1">
      <alignment horizontal="center" vertical="center" wrapText="1"/>
    </xf>
    <xf numFmtId="0" fontId="16" fillId="9" borderId="2" xfId="2" applyFill="1" applyBorder="1" applyAlignment="1">
      <alignment horizontal="center"/>
    </xf>
    <xf numFmtId="0" fontId="16" fillId="0" borderId="2" xfId="2" applyBorder="1" applyAlignment="1">
      <alignment horizontal="center"/>
    </xf>
    <xf numFmtId="0" fontId="16" fillId="0" borderId="21" xfId="0" applyFont="1" applyBorder="1"/>
  </cellXfs>
  <cellStyles count="47">
    <cellStyle name="Currency 2" xfId="15"/>
    <cellStyle name="Hyperlink" xfId="34" builtinId="8"/>
    <cellStyle name="Hyperlink 2" xfId="37"/>
    <cellStyle name="Hyperlink 3" xfId="40"/>
    <cellStyle name="Hyperlink 4" xfId="46"/>
    <cellStyle name="Normal" xfId="0" builtinId="0"/>
    <cellStyle name="Normal 10" xfId="35"/>
    <cellStyle name="Normal 10 2" xfId="41"/>
    <cellStyle name="Normal 11" xfId="36"/>
    <cellStyle name="Normal 12" xfId="39"/>
    <cellStyle name="Normal 13" xfId="42"/>
    <cellStyle name="Normal 14" xfId="44"/>
    <cellStyle name="Normal 15" xfId="45"/>
    <cellStyle name="Normal 2" xfId="1"/>
    <cellStyle name="Normal 2 2" xfId="4"/>
    <cellStyle name="Normal 2 2 2" xfId="16"/>
    <cellStyle name="Normal 2 2 3" xfId="19"/>
    <cellStyle name="Normal 2 3" xfId="9"/>
    <cellStyle name="Normal 2 3 2" xfId="20"/>
    <cellStyle name="Normal 2 3 3" xfId="21"/>
    <cellStyle name="Normal 3" xfId="2"/>
    <cellStyle name="Normal 3 2" xfId="10"/>
    <cellStyle name="Normal 3 2 2" xfId="22"/>
    <cellStyle name="Normal 3 2 3" xfId="23"/>
    <cellStyle name="Normal 3 3" xfId="12"/>
    <cellStyle name="Normal 3 4" xfId="14"/>
    <cellStyle name="Normal 4" xfId="5"/>
    <cellStyle name="Normal 4 2" xfId="6"/>
    <cellStyle name="Normal 4 2 2" xfId="24"/>
    <cellStyle name="Normal 4 2 3" xfId="25"/>
    <cellStyle name="Normal 4 2 4" xfId="26"/>
    <cellStyle name="Normal 4 3" xfId="11"/>
    <cellStyle name="Normal 4 4" xfId="27"/>
    <cellStyle name="Normal 5" xfId="3"/>
    <cellStyle name="Normal 5 2" xfId="28"/>
    <cellStyle name="Normal 5 2 2" xfId="29"/>
    <cellStyle name="Normal 5 3" xfId="30"/>
    <cellStyle name="Normal 5 4" xfId="31"/>
    <cellStyle name="Normal 6" xfId="7"/>
    <cellStyle name="Normal 7" xfId="8"/>
    <cellStyle name="Normal 7 2" xfId="18"/>
    <cellStyle name="Normal 7 3" xfId="32"/>
    <cellStyle name="Normal 8" xfId="13"/>
    <cellStyle name="Normal 8 2" xfId="33"/>
    <cellStyle name="Normal 9" xfId="17"/>
    <cellStyle name="Normal_Sheet1" xfId="43"/>
    <cellStyle name="Normal10" xfId="38"/>
  </cellStyles>
  <dxfs count="4">
    <dxf>
      <fill>
        <patternFill>
          <bgColor indexed="44"/>
        </patternFill>
      </fill>
    </dxf>
    <dxf>
      <fill>
        <patternFill>
          <bgColor indexed="44"/>
        </patternFill>
      </fill>
    </dxf>
    <dxf>
      <fill>
        <patternFill>
          <bgColor indexed="44"/>
        </patternFill>
      </fill>
    </dxf>
    <dxf>
      <fill>
        <patternFill>
          <bgColor indexed="44"/>
        </patternFill>
      </fill>
    </dxf>
  </dxfs>
  <tableStyles count="0" defaultTableStyle="TableStyleMedium9" defaultPivotStyle="PivotStyleLight16"/>
  <colors>
    <mruColors>
      <color rgb="FF0033CC"/>
      <color rgb="FF00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07" Type="http://schemas.openxmlformats.org/officeDocument/2006/relationships/calcChain" Target="calcChain.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102" Type="http://schemas.openxmlformats.org/officeDocument/2006/relationships/worksheet" Target="worksheets/sheet102.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tx>
            <c:strRef>
              <c:f>Graphs!$A$3</c:f>
              <c:strCache>
                <c:ptCount val="1"/>
                <c:pt idx="0">
                  <c:v>Projected Primary Roll</c:v>
                </c:pt>
              </c:strCache>
            </c:strRef>
          </c:tx>
          <c:spPr>
            <a:ln w="41275"/>
          </c:spPr>
          <c:dPt>
            <c:idx val="6"/>
            <c:marker>
              <c:symbol val="none"/>
            </c:marker>
            <c:bubble3D val="0"/>
            <c:extLst xmlns:c16r2="http://schemas.microsoft.com/office/drawing/2015/06/chart">
              <c:ext xmlns:c16="http://schemas.microsoft.com/office/drawing/2014/chart" uri="{C3380CC4-5D6E-409C-BE32-E72D297353CC}">
                <c16:uniqueId val="{00000000-F7B0-4ED8-9A86-C8A2C405DF2D}"/>
              </c:ext>
            </c:extLst>
          </c:dPt>
          <c:dLbls>
            <c:dLbl>
              <c:idx val="13"/>
              <c:layout>
                <c:manualLayout>
                  <c:x val="1.9374722103798103E-2"/>
                  <c:y val="9.7560975609756254E-3"/>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1-F7B0-4ED8-9A86-C8A2C405DF2D}"/>
                </c:ext>
                <c:ext xmlns:c15="http://schemas.microsoft.com/office/drawing/2012/chart" uri="{CE6537A1-D6FC-4f65-9D91-7224C49458BB}">
                  <c15:layout/>
                </c:ext>
              </c:extLst>
            </c:dLbl>
            <c:dLbl>
              <c:idx val="20"/>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2-F7B0-4ED8-9A86-C8A2C405DF2D}"/>
                </c:ext>
                <c:ext xmlns:c15="http://schemas.microsoft.com/office/drawing/2012/chart" uri="{CE6537A1-D6FC-4f65-9D91-7224C49458BB}">
                  <c15:layout/>
                </c:ext>
              </c:extLst>
            </c:dLbl>
            <c:spPr>
              <a:noFill/>
              <a:ln>
                <a:noFill/>
              </a:ln>
              <a:effectLst/>
            </c:spPr>
            <c:txPr>
              <a:bodyPr/>
              <a:lstStyle/>
              <a:p>
                <a:pPr>
                  <a:defRPr sz="1200" b="1"/>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15:showLeaderLines val="0"/>
              </c:ext>
            </c:extLst>
          </c:dLbls>
          <c:cat>
            <c:numRef>
              <c:f>Graphs!$B$2:$V$2</c:f>
              <c:numCache>
                <c:formatCode>General</c:formatCode>
                <c:ptCount val="2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numCache>
            </c:numRef>
          </c:cat>
          <c:val>
            <c:numRef>
              <c:f>Graphs!$B$3:$V$3</c:f>
              <c:numCache>
                <c:formatCode>#,##0</c:formatCode>
                <c:ptCount val="21"/>
                <c:pt idx="6">
                  <c:v>29745</c:v>
                </c:pt>
                <c:pt idx="7">
                  <c:v>30552.945619629503</c:v>
                </c:pt>
                <c:pt idx="8">
                  <c:v>31097.710719776984</c:v>
                </c:pt>
                <c:pt idx="9">
                  <c:v>31352.981004603505</c:v>
                </c:pt>
                <c:pt idx="10">
                  <c:v>31544.585923443807</c:v>
                </c:pt>
                <c:pt idx="11">
                  <c:v>31884.479418508276</c:v>
                </c:pt>
                <c:pt idx="12">
                  <c:v>32234.425845445818</c:v>
                </c:pt>
                <c:pt idx="13">
                  <c:v>32580.034783992185</c:v>
                </c:pt>
                <c:pt idx="14">
                  <c:v>33007.978994639227</c:v>
                </c:pt>
                <c:pt idx="15">
                  <c:v>33441.65470380336</c:v>
                </c:pt>
                <c:pt idx="16">
                  <c:v>33968.383595187166</c:v>
                </c:pt>
                <c:pt idx="17">
                  <c:v>34523.952529069669</c:v>
                </c:pt>
                <c:pt idx="18">
                  <c:v>34917.079661349366</c:v>
                </c:pt>
                <c:pt idx="19">
                  <c:v>35303.870085395945</c:v>
                </c:pt>
                <c:pt idx="20">
                  <c:v>35655.349291706458</c:v>
                </c:pt>
              </c:numCache>
            </c:numRef>
          </c:val>
          <c:smooth val="0"/>
          <c:extLst xmlns:c16r2="http://schemas.microsoft.com/office/drawing/2015/06/chart">
            <c:ext xmlns:c16="http://schemas.microsoft.com/office/drawing/2014/chart" uri="{C3380CC4-5D6E-409C-BE32-E72D297353CC}">
              <c16:uniqueId val="{00000003-F7B0-4ED8-9A86-C8A2C405DF2D}"/>
            </c:ext>
          </c:extLst>
        </c:ser>
        <c:ser>
          <c:idx val="2"/>
          <c:order val="1"/>
          <c:tx>
            <c:strRef>
              <c:f>Graphs!$A$4</c:f>
              <c:strCache>
                <c:ptCount val="1"/>
                <c:pt idx="0">
                  <c:v>Actual Primary Roll</c:v>
                </c:pt>
              </c:strCache>
            </c:strRef>
          </c:tx>
          <c:spPr>
            <a:ln w="38100"/>
          </c:spPr>
          <c:dLbls>
            <c:dLbl>
              <c:idx val="6"/>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4-F7B0-4ED8-9A86-C8A2C405DF2D}"/>
                </c:ext>
                <c:ext xmlns:c15="http://schemas.microsoft.com/office/drawing/2012/chart" uri="{CE6537A1-D6FC-4f65-9D91-7224C49458BB}">
                  <c15:layout/>
                </c:ext>
              </c:extLst>
            </c:dLbl>
            <c:spPr>
              <a:noFill/>
              <a:ln>
                <a:noFill/>
              </a:ln>
              <a:effectLst/>
            </c:spPr>
            <c:txPr>
              <a:bodyPr/>
              <a:lstStyle/>
              <a:p>
                <a:pPr>
                  <a:defRPr sz="1200" b="1"/>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15:showLeaderLines val="0"/>
              </c:ext>
            </c:extLst>
          </c:dLbls>
          <c:cat>
            <c:numRef>
              <c:f>Graphs!$B$2:$V$2</c:f>
              <c:numCache>
                <c:formatCode>General</c:formatCode>
                <c:ptCount val="2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numCache>
            </c:numRef>
          </c:cat>
          <c:val>
            <c:numRef>
              <c:f>Graphs!$B$4:$V$4</c:f>
              <c:numCache>
                <c:formatCode>#,##0</c:formatCode>
                <c:ptCount val="21"/>
                <c:pt idx="0">
                  <c:v>24618</c:v>
                </c:pt>
                <c:pt idx="1">
                  <c:v>25038</c:v>
                </c:pt>
                <c:pt idx="2">
                  <c:v>25887</c:v>
                </c:pt>
                <c:pt idx="3">
                  <c:v>26900</c:v>
                </c:pt>
                <c:pt idx="4">
                  <c:v>28010</c:v>
                </c:pt>
                <c:pt idx="5">
                  <c:v>28804</c:v>
                </c:pt>
                <c:pt idx="6">
                  <c:v>29745</c:v>
                </c:pt>
              </c:numCache>
            </c:numRef>
          </c:val>
          <c:smooth val="0"/>
          <c:extLst xmlns:c16r2="http://schemas.microsoft.com/office/drawing/2015/06/chart">
            <c:ext xmlns:c16="http://schemas.microsoft.com/office/drawing/2014/chart" uri="{C3380CC4-5D6E-409C-BE32-E72D297353CC}">
              <c16:uniqueId val="{00000005-F7B0-4ED8-9A86-C8A2C405DF2D}"/>
            </c:ext>
          </c:extLst>
        </c:ser>
        <c:ser>
          <c:idx val="3"/>
          <c:order val="2"/>
          <c:tx>
            <c:strRef>
              <c:f>Graphs!$A$5</c:f>
              <c:strCache>
                <c:ptCount val="1"/>
                <c:pt idx="0">
                  <c:v>Primary Estate Capacity</c:v>
                </c:pt>
              </c:strCache>
            </c:strRef>
          </c:tx>
          <c:spPr>
            <a:ln w="63500"/>
          </c:spPr>
          <c:marker>
            <c:symbol val="none"/>
          </c:marker>
          <c:dLbls>
            <c:dLbl>
              <c:idx val="3"/>
              <c:layout>
                <c:manualLayout>
                  <c:x val="-1.5852045357652941E-2"/>
                  <c:y val="-2.9268292682926859E-2"/>
                </c:manualLayout>
              </c:layout>
              <c:spPr/>
              <c:txPr>
                <a:bodyPr/>
                <a:lstStyle/>
                <a:p>
                  <a:pPr>
                    <a:defRPr sz="1200" b="1"/>
                  </a:pPr>
                  <a:endParaRPr lang="en-US"/>
                </a:p>
              </c:txP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6-F7B0-4ED8-9A86-C8A2C405DF2D}"/>
                </c:ext>
                <c:ext xmlns:c15="http://schemas.microsoft.com/office/drawing/2012/chart" uri="{CE6537A1-D6FC-4f65-9D91-7224C49458BB}">
                  <c15:layout/>
                </c:ext>
              </c:extLst>
            </c:dLbl>
            <c:spPr>
              <a:noFill/>
              <a:ln>
                <a:noFill/>
              </a:ln>
              <a:effectLst/>
            </c:spPr>
            <c:showLegendKey val="0"/>
            <c:showVal val="0"/>
            <c:showCatName val="0"/>
            <c:showSerName val="0"/>
            <c:showPercent val="0"/>
            <c:showBubbleSize val="0"/>
            <c:extLst xmlns:c16r2="http://schemas.microsoft.com/office/drawing/2015/06/chart">
              <c:ext xmlns:c15="http://schemas.microsoft.com/office/drawing/2012/chart" uri="{CE6537A1-D6FC-4f65-9D91-7224C49458BB}">
                <c15:showLeaderLines val="0"/>
              </c:ext>
            </c:extLst>
          </c:dLbls>
          <c:cat>
            <c:numRef>
              <c:f>Graphs!$B$2:$V$2</c:f>
              <c:numCache>
                <c:formatCode>General</c:formatCode>
                <c:ptCount val="2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numCache>
            </c:numRef>
          </c:cat>
          <c:val>
            <c:numRef>
              <c:f>Graphs!$B$5:$V$5</c:f>
              <c:numCache>
                <c:formatCode>#,##0</c:formatCode>
                <c:ptCount val="21"/>
                <c:pt idx="0">
                  <c:v>34448</c:v>
                </c:pt>
                <c:pt idx="1">
                  <c:v>34448</c:v>
                </c:pt>
                <c:pt idx="2">
                  <c:v>34448</c:v>
                </c:pt>
                <c:pt idx="3">
                  <c:v>34448</c:v>
                </c:pt>
                <c:pt idx="4">
                  <c:v>34448</c:v>
                </c:pt>
                <c:pt idx="5">
                  <c:v>34448</c:v>
                </c:pt>
                <c:pt idx="6">
                  <c:v>34448</c:v>
                </c:pt>
                <c:pt idx="7">
                  <c:v>34448</c:v>
                </c:pt>
                <c:pt idx="8">
                  <c:v>34448</c:v>
                </c:pt>
                <c:pt idx="9">
                  <c:v>34448</c:v>
                </c:pt>
                <c:pt idx="10">
                  <c:v>34448</c:v>
                </c:pt>
                <c:pt idx="11">
                  <c:v>34448</c:v>
                </c:pt>
                <c:pt idx="12">
                  <c:v>34448</c:v>
                </c:pt>
                <c:pt idx="13">
                  <c:v>34448</c:v>
                </c:pt>
                <c:pt idx="14">
                  <c:v>34448</c:v>
                </c:pt>
                <c:pt idx="15">
                  <c:v>34448</c:v>
                </c:pt>
                <c:pt idx="16">
                  <c:v>34448</c:v>
                </c:pt>
                <c:pt idx="17">
                  <c:v>34448</c:v>
                </c:pt>
                <c:pt idx="18">
                  <c:v>34448</c:v>
                </c:pt>
                <c:pt idx="19">
                  <c:v>34448</c:v>
                </c:pt>
                <c:pt idx="20">
                  <c:v>34448</c:v>
                </c:pt>
              </c:numCache>
            </c:numRef>
          </c:val>
          <c:smooth val="0"/>
          <c:extLst xmlns:c16r2="http://schemas.microsoft.com/office/drawing/2015/06/chart">
            <c:ext xmlns:c16="http://schemas.microsoft.com/office/drawing/2014/chart" uri="{C3380CC4-5D6E-409C-BE32-E72D297353CC}">
              <c16:uniqueId val="{00000007-F7B0-4ED8-9A86-C8A2C405DF2D}"/>
            </c:ext>
          </c:extLst>
        </c:ser>
        <c:dLbls>
          <c:showLegendKey val="0"/>
          <c:showVal val="0"/>
          <c:showCatName val="0"/>
          <c:showSerName val="0"/>
          <c:showPercent val="0"/>
          <c:showBubbleSize val="0"/>
        </c:dLbls>
        <c:marker val="1"/>
        <c:smooth val="0"/>
        <c:axId val="306999232"/>
        <c:axId val="307001192"/>
      </c:lineChart>
      <c:catAx>
        <c:axId val="306999232"/>
        <c:scaling>
          <c:orientation val="minMax"/>
        </c:scaling>
        <c:delete val="0"/>
        <c:axPos val="b"/>
        <c:numFmt formatCode="General" sourceLinked="1"/>
        <c:majorTickMark val="out"/>
        <c:minorTickMark val="none"/>
        <c:tickLblPos val="nextTo"/>
        <c:txPr>
          <a:bodyPr rot="-5400000" vert="horz"/>
          <a:lstStyle/>
          <a:p>
            <a:pPr>
              <a:defRPr sz="1200" b="0"/>
            </a:pPr>
            <a:endParaRPr lang="en-US"/>
          </a:p>
        </c:txPr>
        <c:crossAx val="307001192"/>
        <c:crosses val="autoZero"/>
        <c:auto val="1"/>
        <c:lblAlgn val="ctr"/>
        <c:lblOffset val="100"/>
        <c:noMultiLvlLbl val="0"/>
      </c:catAx>
      <c:valAx>
        <c:axId val="307001192"/>
        <c:scaling>
          <c:orientation val="minMax"/>
          <c:min val="20000"/>
        </c:scaling>
        <c:delete val="0"/>
        <c:axPos val="l"/>
        <c:majorGridlines/>
        <c:numFmt formatCode="#,##0" sourceLinked="1"/>
        <c:majorTickMark val="out"/>
        <c:minorTickMark val="none"/>
        <c:tickLblPos val="nextTo"/>
        <c:txPr>
          <a:bodyPr/>
          <a:lstStyle/>
          <a:p>
            <a:pPr>
              <a:defRPr sz="1200" b="0"/>
            </a:pPr>
            <a:endParaRPr lang="en-US"/>
          </a:p>
        </c:txPr>
        <c:crossAx val="306999232"/>
        <c:crosses val="autoZero"/>
        <c:crossBetween val="between"/>
      </c:valAx>
    </c:plotArea>
    <c:legend>
      <c:legendPos val="r"/>
      <c:layout/>
      <c:overlay val="0"/>
    </c:legend>
    <c:plotVisOnly val="1"/>
    <c:dispBlanksAs val="gap"/>
    <c:showDLblsOverMax val="0"/>
  </c:chart>
  <c:spPr>
    <a:ln>
      <a:noFill/>
    </a:ln>
  </c:spPr>
  <c:printSettings>
    <c:headerFooter/>
    <c:pageMargins b="0.75000000000000089" l="0.70000000000000062" r="0.70000000000000062" t="0.75000000000000089"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F40A-485F-8B0B-B66ACD1428CE}"/>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216187728"/>
        <c:axId val="216184592"/>
      </c:lineChart>
      <c:catAx>
        <c:axId val="216187728"/>
        <c:scaling>
          <c:orientation val="minMax"/>
        </c:scaling>
        <c:delete val="0"/>
        <c:axPos val="b"/>
        <c:numFmt formatCode="General" sourceLinked="1"/>
        <c:majorTickMark val="out"/>
        <c:minorTickMark val="none"/>
        <c:tickLblPos val="nextTo"/>
        <c:crossAx val="216184592"/>
        <c:crosses val="autoZero"/>
        <c:auto val="1"/>
        <c:lblAlgn val="ctr"/>
        <c:lblOffset val="100"/>
        <c:noMultiLvlLbl val="0"/>
      </c:catAx>
      <c:valAx>
        <c:axId val="216184592"/>
        <c:scaling>
          <c:orientation val="minMax"/>
        </c:scaling>
        <c:delete val="0"/>
        <c:axPos val="l"/>
        <c:majorGridlines/>
        <c:numFmt formatCode="General" sourceLinked="1"/>
        <c:majorTickMark val="out"/>
        <c:minorTickMark val="none"/>
        <c:tickLblPos val="nextTo"/>
        <c:crossAx val="216187728"/>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square"/>
            <c:size val="7"/>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E5FE-42A1-A2F8-386C70B3BEC9}"/>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1"/>
          <c:order val="1"/>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1-E5FE-42A1-A2F8-386C70B3BEC9}"/>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2"/>
          <c:order val="2"/>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E5FE-42A1-A2F8-386C70B3BEC9}"/>
              </c:ext>
            </c:extLst>
          </c:dPt>
          <c:dPt>
            <c:idx val="5"/>
            <c:marker>
              <c:symbol val="circle"/>
              <c:size val="7"/>
            </c:marker>
            <c:bubble3D val="0"/>
            <c:extLst xmlns:c16r2="http://schemas.microsoft.com/office/drawing/2015/06/chart">
              <c:ext xmlns:c16="http://schemas.microsoft.com/office/drawing/2014/chart" uri="{C3380CC4-5D6E-409C-BE32-E72D297353CC}">
                <c16:uniqueId val="{00000003-E5FE-42A1-A2F8-386C70B3BEC9}"/>
              </c:ext>
            </c:extLst>
          </c:dPt>
          <c:dPt>
            <c:idx val="6"/>
            <c:marker>
              <c:symbol val="circle"/>
              <c:size val="7"/>
            </c:marker>
            <c:bubble3D val="0"/>
            <c:extLst xmlns:c16r2="http://schemas.microsoft.com/office/drawing/2015/06/chart">
              <c:ext xmlns:c16="http://schemas.microsoft.com/office/drawing/2014/chart" uri="{C3380CC4-5D6E-409C-BE32-E72D297353CC}">
                <c16:uniqueId val="{00000004-E5FE-42A1-A2F8-386C70B3BEC9}"/>
              </c:ext>
            </c:extLst>
          </c:dPt>
          <c:dPt>
            <c:idx val="7"/>
            <c:marker>
              <c:symbol val="circle"/>
              <c:size val="7"/>
            </c:marker>
            <c:bubble3D val="0"/>
            <c:extLst xmlns:c16r2="http://schemas.microsoft.com/office/drawing/2015/06/chart">
              <c:ext xmlns:c16="http://schemas.microsoft.com/office/drawing/2014/chart" uri="{C3380CC4-5D6E-409C-BE32-E72D297353CC}">
                <c16:uniqueId val="{00000005-E5FE-42A1-A2F8-386C70B3BEC9}"/>
              </c:ext>
            </c:extLst>
          </c:dPt>
          <c:dPt>
            <c:idx val="8"/>
            <c:marker>
              <c:symbol val="circle"/>
              <c:size val="7"/>
            </c:marker>
            <c:bubble3D val="0"/>
            <c:extLst xmlns:c16r2="http://schemas.microsoft.com/office/drawing/2015/06/chart">
              <c:ext xmlns:c16="http://schemas.microsoft.com/office/drawing/2014/chart" uri="{C3380CC4-5D6E-409C-BE32-E72D297353CC}">
                <c16:uniqueId val="{00000006-E5FE-42A1-A2F8-386C70B3BEC9}"/>
              </c:ext>
            </c:extLst>
          </c:dPt>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7-E5FE-42A1-A2F8-386C70B3BEC9}"/>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08546432"/>
        <c:axId val="308546824"/>
      </c:lineChart>
      <c:catAx>
        <c:axId val="308546432"/>
        <c:scaling>
          <c:orientation val="minMax"/>
        </c:scaling>
        <c:delete val="0"/>
        <c:axPos val="b"/>
        <c:numFmt formatCode="General" sourceLinked="1"/>
        <c:majorTickMark val="out"/>
        <c:minorTickMark val="none"/>
        <c:tickLblPos val="nextTo"/>
        <c:crossAx val="308546824"/>
        <c:crosses val="autoZero"/>
        <c:auto val="1"/>
        <c:lblAlgn val="ctr"/>
        <c:lblOffset val="100"/>
        <c:noMultiLvlLbl val="0"/>
      </c:catAx>
      <c:valAx>
        <c:axId val="308546824"/>
        <c:scaling>
          <c:orientation val="minMax"/>
        </c:scaling>
        <c:delete val="0"/>
        <c:axPos val="l"/>
        <c:majorGridlines/>
        <c:numFmt formatCode="General" sourceLinked="1"/>
        <c:majorTickMark val="out"/>
        <c:minorTickMark val="none"/>
        <c:tickLblPos val="nextTo"/>
        <c:crossAx val="308546432"/>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Abbeyhill!$B$177:$B$190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Abbeyhill!$J$177:$J$190</c:f>
              <c:numCache>
                <c:formatCode>General</c:formatCode>
                <c:ptCount val="14"/>
                <c:pt idx="0">
                  <c:v>269</c:v>
                </c:pt>
                <c:pt idx="1">
                  <c:v>230</c:v>
                </c:pt>
                <c:pt idx="2">
                  <c:v>212</c:v>
                </c:pt>
                <c:pt idx="3">
                  <c:v>194</c:v>
                </c:pt>
                <c:pt idx="4">
                  <c:v>199</c:v>
                </c:pt>
                <c:pt idx="5">
                  <c:v>190</c:v>
                </c:pt>
                <c:pt idx="6">
                  <c:v>172</c:v>
                </c:pt>
                <c:pt idx="7">
                  <c:v>158</c:v>
                </c:pt>
                <c:pt idx="8">
                  <c:v>169</c:v>
                </c:pt>
                <c:pt idx="9">
                  <c:v>158</c:v>
                </c:pt>
                <c:pt idx="10">
                  <c:v>145</c:v>
                </c:pt>
                <c:pt idx="11">
                  <c:v>163</c:v>
                </c:pt>
                <c:pt idx="12">
                  <c:v>179</c:v>
                </c:pt>
                <c:pt idx="13">
                  <c:v>191</c:v>
                </c:pt>
              </c:numCache>
            </c:numRef>
          </c:val>
          <c:smooth val="0"/>
          <c:extLst xmlns:c16r2="http://schemas.microsoft.com/office/drawing/2015/06/chart">
            <c:ext xmlns:c16="http://schemas.microsoft.com/office/drawing/2014/chart" uri="{C3380CC4-5D6E-409C-BE32-E72D297353CC}">
              <c16:uniqueId val="{00000000-3B5E-42FA-8780-12BE6F766097}"/>
            </c:ext>
          </c:extLst>
        </c:ser>
        <c:dLbls>
          <c:showLegendKey val="0"/>
          <c:showVal val="0"/>
          <c:showCatName val="0"/>
          <c:showSerName val="0"/>
          <c:showPercent val="0"/>
          <c:showBubbleSize val="0"/>
        </c:dLbls>
        <c:marker val="1"/>
        <c:smooth val="0"/>
        <c:axId val="216186944"/>
        <c:axId val="216186552"/>
      </c:lineChart>
      <c:catAx>
        <c:axId val="216186944"/>
        <c:scaling>
          <c:orientation val="minMax"/>
        </c:scaling>
        <c:delete val="0"/>
        <c:axPos val="b"/>
        <c:numFmt formatCode="General" sourceLinked="1"/>
        <c:majorTickMark val="out"/>
        <c:minorTickMark val="none"/>
        <c:tickLblPos val="nextTo"/>
        <c:crossAx val="216186552"/>
        <c:crosses val="autoZero"/>
        <c:auto val="1"/>
        <c:lblAlgn val="ctr"/>
        <c:lblOffset val="100"/>
        <c:noMultiLvlLbl val="0"/>
      </c:catAx>
      <c:valAx>
        <c:axId val="216186552"/>
        <c:scaling>
          <c:orientation val="minMax"/>
        </c:scaling>
        <c:delete val="0"/>
        <c:axPos val="l"/>
        <c:majorGridlines/>
        <c:numFmt formatCode="General" sourceLinked="1"/>
        <c:majorTickMark val="out"/>
        <c:minorTickMark val="none"/>
        <c:tickLblPos val="nextTo"/>
        <c:crossAx val="216186944"/>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Abbeyhill!$B$169</c:f>
              <c:strCache>
                <c:ptCount val="1"/>
                <c:pt idx="0">
                  <c:v>Catchment Births (5yrs Prior)</c:v>
                </c:pt>
              </c:strCache>
            </c:strRef>
          </c:tx>
          <c:marker>
            <c:symbol val="square"/>
            <c:size val="7"/>
          </c:marker>
          <c:cat>
            <c:numRef>
              <c:f>Abbeyhill!$D$168:$N$168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Abbeyhill!$D$169:$N$169</c:f>
              <c:numCache>
                <c:formatCode>#,##0</c:formatCode>
                <c:ptCount val="11"/>
                <c:pt idx="0">
                  <c:v>58</c:v>
                </c:pt>
                <c:pt idx="1">
                  <c:v>47</c:v>
                </c:pt>
                <c:pt idx="2">
                  <c:v>73</c:v>
                </c:pt>
                <c:pt idx="3">
                  <c:v>52</c:v>
                </c:pt>
                <c:pt idx="4">
                  <c:v>79</c:v>
                </c:pt>
                <c:pt idx="5">
                  <c:v>65</c:v>
                </c:pt>
                <c:pt idx="6">
                  <c:v>76</c:v>
                </c:pt>
                <c:pt idx="7">
                  <c:v>89</c:v>
                </c:pt>
                <c:pt idx="8">
                  <c:v>77</c:v>
                </c:pt>
                <c:pt idx="9">
                  <c:v>71</c:v>
                </c:pt>
                <c:pt idx="10">
                  <c:v>68</c:v>
                </c:pt>
              </c:numCache>
            </c:numRef>
          </c:val>
          <c:smooth val="0"/>
          <c:extLst xmlns:c16r2="http://schemas.microsoft.com/office/drawing/2015/06/chart">
            <c:ext xmlns:c16="http://schemas.microsoft.com/office/drawing/2014/chart" uri="{C3380CC4-5D6E-409C-BE32-E72D297353CC}">
              <c16:uniqueId val="{00000000-1979-4F9A-AC15-CB93D33A97B6}"/>
            </c:ext>
          </c:extLst>
        </c:ser>
        <c:ser>
          <c:idx val="1"/>
          <c:order val="1"/>
          <c:tx>
            <c:strRef>
              <c:f>Abbeyhill!$B$170</c:f>
              <c:strCache>
                <c:ptCount val="1"/>
                <c:pt idx="0">
                  <c:v>P1 ND Catchment Population (Actual)</c:v>
                </c:pt>
              </c:strCache>
            </c:strRef>
          </c:tx>
          <c:cat>
            <c:numRef>
              <c:f>Abbeyhill!$D$168:$N$168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Abbeyhill!$D$170:$I$170</c:f>
              <c:numCache>
                <c:formatCode>#,##0</c:formatCode>
                <c:ptCount val="6"/>
                <c:pt idx="0">
                  <c:v>23</c:v>
                </c:pt>
                <c:pt idx="1">
                  <c:v>17</c:v>
                </c:pt>
                <c:pt idx="2">
                  <c:v>21</c:v>
                </c:pt>
                <c:pt idx="3">
                  <c:v>33</c:v>
                </c:pt>
                <c:pt idx="4">
                  <c:v>24</c:v>
                </c:pt>
                <c:pt idx="5">
                  <c:v>32</c:v>
                </c:pt>
              </c:numCache>
            </c:numRef>
          </c:val>
          <c:smooth val="0"/>
          <c:extLst xmlns:c16r2="http://schemas.microsoft.com/office/drawing/2015/06/chart">
            <c:ext xmlns:c16="http://schemas.microsoft.com/office/drawing/2014/chart" uri="{C3380CC4-5D6E-409C-BE32-E72D297353CC}">
              <c16:uniqueId val="{00000001-1979-4F9A-AC15-CB93D33A97B6}"/>
            </c:ext>
          </c:extLst>
        </c:ser>
        <c:ser>
          <c:idx val="2"/>
          <c:order val="2"/>
          <c:tx>
            <c:strRef>
              <c:f>Abbeyhill!$B$172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1979-4F9A-AC15-CB93D33A97B6}"/>
              </c:ext>
            </c:extLst>
          </c:dPt>
          <c:dPt>
            <c:idx val="5"/>
            <c:marker>
              <c:symbol val="none"/>
            </c:marker>
            <c:bubble3D val="0"/>
            <c:extLst xmlns:c16r2="http://schemas.microsoft.com/office/drawing/2015/06/chart">
              <c:ext xmlns:c16="http://schemas.microsoft.com/office/drawing/2014/chart" uri="{C3380CC4-5D6E-409C-BE32-E72D297353CC}">
                <c16:uniqueId val="{00000003-1979-4F9A-AC15-CB93D33A97B6}"/>
              </c:ext>
            </c:extLst>
          </c:dPt>
          <c:dPt>
            <c:idx val="6"/>
            <c:marker>
              <c:symbol val="circle"/>
              <c:size val="7"/>
            </c:marker>
            <c:bubble3D val="0"/>
            <c:extLst xmlns:c16r2="http://schemas.microsoft.com/office/drawing/2015/06/chart">
              <c:ext xmlns:c16="http://schemas.microsoft.com/office/drawing/2014/chart" uri="{C3380CC4-5D6E-409C-BE32-E72D297353CC}">
                <c16:uniqueId val="{00000004-1979-4F9A-AC15-CB93D33A97B6}"/>
              </c:ext>
            </c:extLst>
          </c:dPt>
          <c:dPt>
            <c:idx val="7"/>
            <c:marker>
              <c:symbol val="circle"/>
              <c:size val="7"/>
            </c:marker>
            <c:bubble3D val="0"/>
            <c:extLst xmlns:c16r2="http://schemas.microsoft.com/office/drawing/2015/06/chart">
              <c:ext xmlns:c16="http://schemas.microsoft.com/office/drawing/2014/chart" uri="{C3380CC4-5D6E-409C-BE32-E72D297353CC}">
                <c16:uniqueId val="{00000005-1979-4F9A-AC15-CB93D33A97B6}"/>
              </c:ext>
            </c:extLst>
          </c:dPt>
          <c:dPt>
            <c:idx val="8"/>
            <c:marker>
              <c:symbol val="circle"/>
              <c:size val="7"/>
            </c:marker>
            <c:bubble3D val="0"/>
            <c:extLst xmlns:c16r2="http://schemas.microsoft.com/office/drawing/2015/06/chart">
              <c:ext xmlns:c16="http://schemas.microsoft.com/office/drawing/2014/chart" uri="{C3380CC4-5D6E-409C-BE32-E72D297353CC}">
                <c16:uniqueId val="{00000006-1979-4F9A-AC15-CB93D33A97B6}"/>
              </c:ext>
            </c:extLst>
          </c:dPt>
          <c:dPt>
            <c:idx val="9"/>
            <c:marker>
              <c:symbol val="circle"/>
              <c:size val="7"/>
            </c:marker>
            <c:bubble3D val="0"/>
            <c:extLst xmlns:c16r2="http://schemas.microsoft.com/office/drawing/2015/06/chart">
              <c:ext xmlns:c16="http://schemas.microsoft.com/office/drawing/2014/chart" uri="{C3380CC4-5D6E-409C-BE32-E72D297353CC}">
                <c16:uniqueId val="{00000007-1979-4F9A-AC15-CB93D33A97B6}"/>
              </c:ext>
            </c:extLst>
          </c:dPt>
          <c:dPt>
            <c:idx val="10"/>
            <c:marker>
              <c:symbol val="circle"/>
              <c:size val="7"/>
            </c:marker>
            <c:bubble3D val="0"/>
            <c:extLst xmlns:c16r2="http://schemas.microsoft.com/office/drawing/2015/06/chart">
              <c:ext xmlns:c16="http://schemas.microsoft.com/office/drawing/2014/chart" uri="{C3380CC4-5D6E-409C-BE32-E72D297353CC}">
                <c16:uniqueId val="{00000008-1979-4F9A-AC15-CB93D33A97B6}"/>
              </c:ext>
            </c:extLst>
          </c:dPt>
          <c:cat>
            <c:numRef>
              <c:f>Abbeyhill!$D$168:$N$168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Abbeyhill!$D$172:$N$172</c:f>
              <c:numCache>
                <c:formatCode>General</c:formatCode>
                <c:ptCount val="11"/>
                <c:pt idx="5" formatCode="0">
                  <c:v>32</c:v>
                </c:pt>
                <c:pt idx="6" formatCode="0">
                  <c:v>0</c:v>
                </c:pt>
                <c:pt idx="7" formatCode="0">
                  <c:v>21</c:v>
                </c:pt>
                <c:pt idx="8" formatCode="0">
                  <c:v>21</c:v>
                </c:pt>
                <c:pt idx="9" formatCode="0">
                  <c:v>24</c:v>
                </c:pt>
                <c:pt idx="10" formatCode="0">
                  <c:v>21</c:v>
                </c:pt>
              </c:numCache>
            </c:numRef>
          </c:val>
          <c:smooth val="0"/>
          <c:extLst xmlns:c16r2="http://schemas.microsoft.com/office/drawing/2015/06/chart">
            <c:ext xmlns:c16="http://schemas.microsoft.com/office/drawing/2014/chart" uri="{C3380CC4-5D6E-409C-BE32-E72D297353CC}">
              <c16:uniqueId val="{00000009-1979-4F9A-AC15-CB93D33A97B6}"/>
            </c:ext>
          </c:extLst>
        </c:ser>
        <c:ser>
          <c:idx val="3"/>
          <c:order val="3"/>
          <c:tx>
            <c:strRef>
              <c:f>Abbeyhill!$B$171</c:f>
              <c:strCache>
                <c:ptCount val="1"/>
                <c:pt idx="0">
                  <c:v>Actual P1 Registrations (as of Jan 2016)</c:v>
                </c:pt>
              </c:strCache>
            </c:strRef>
          </c:tx>
          <c:spPr>
            <a:ln w="15875">
              <a:noFill/>
            </a:ln>
          </c:spPr>
          <c:marker>
            <c:symbol val="diamond"/>
            <c:size val="9"/>
            <c:spPr>
              <a:solidFill>
                <a:schemeClr val="tx1"/>
              </a:solidFill>
            </c:spPr>
          </c:marker>
          <c:cat>
            <c:numRef>
              <c:f>Abbeyhill!$D$168:$N$168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Abbeyhill!$D$171:$M$171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1979-4F9A-AC15-CB93D33A97B6}"/>
            </c:ext>
          </c:extLst>
        </c:ser>
        <c:dLbls>
          <c:showLegendKey val="0"/>
          <c:showVal val="0"/>
          <c:showCatName val="0"/>
          <c:showSerName val="0"/>
          <c:showPercent val="0"/>
          <c:showBubbleSize val="0"/>
        </c:dLbls>
        <c:marker val="1"/>
        <c:smooth val="0"/>
        <c:axId val="308547608"/>
        <c:axId val="308548000"/>
      </c:lineChart>
      <c:catAx>
        <c:axId val="308547608"/>
        <c:scaling>
          <c:orientation val="minMax"/>
        </c:scaling>
        <c:delete val="0"/>
        <c:axPos val="b"/>
        <c:numFmt formatCode="General" sourceLinked="1"/>
        <c:majorTickMark val="out"/>
        <c:minorTickMark val="none"/>
        <c:tickLblPos val="nextTo"/>
        <c:crossAx val="308548000"/>
        <c:crosses val="autoZero"/>
        <c:auto val="1"/>
        <c:lblAlgn val="ctr"/>
        <c:lblOffset val="100"/>
        <c:noMultiLvlLbl val="0"/>
      </c:catAx>
      <c:valAx>
        <c:axId val="308548000"/>
        <c:scaling>
          <c:orientation val="minMax"/>
        </c:scaling>
        <c:delete val="0"/>
        <c:axPos val="l"/>
        <c:majorGridlines/>
        <c:numFmt formatCode="#,##0" sourceLinked="1"/>
        <c:majorTickMark val="out"/>
        <c:minorTickMark val="none"/>
        <c:tickLblPos val="nextTo"/>
        <c:crossAx val="308547608"/>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F0A7-4B39-BEEE-798FB9B62E58}"/>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08546040"/>
        <c:axId val="308548784"/>
      </c:lineChart>
      <c:catAx>
        <c:axId val="308546040"/>
        <c:scaling>
          <c:orientation val="minMax"/>
        </c:scaling>
        <c:delete val="0"/>
        <c:axPos val="b"/>
        <c:numFmt formatCode="General" sourceLinked="1"/>
        <c:majorTickMark val="out"/>
        <c:minorTickMark val="none"/>
        <c:tickLblPos val="nextTo"/>
        <c:crossAx val="308548784"/>
        <c:crosses val="autoZero"/>
        <c:auto val="1"/>
        <c:lblAlgn val="ctr"/>
        <c:lblOffset val="100"/>
        <c:noMultiLvlLbl val="0"/>
      </c:catAx>
      <c:valAx>
        <c:axId val="308548784"/>
        <c:scaling>
          <c:orientation val="minMax"/>
        </c:scaling>
        <c:delete val="0"/>
        <c:axPos val="l"/>
        <c:majorGridlines/>
        <c:numFmt formatCode="General" sourceLinked="1"/>
        <c:majorTickMark val="out"/>
        <c:minorTickMark val="none"/>
        <c:tickLblPos val="nextTo"/>
        <c:crossAx val="308546040"/>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Balgreen!$B$177:$B$190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Balgreen!$J$177:$J$190</c:f>
              <c:numCache>
                <c:formatCode>General</c:formatCode>
                <c:ptCount val="14"/>
                <c:pt idx="0">
                  <c:v>408</c:v>
                </c:pt>
                <c:pt idx="1">
                  <c:v>402</c:v>
                </c:pt>
                <c:pt idx="2">
                  <c:v>404</c:v>
                </c:pt>
                <c:pt idx="3">
                  <c:v>398</c:v>
                </c:pt>
                <c:pt idx="4">
                  <c:v>401</c:v>
                </c:pt>
                <c:pt idx="5">
                  <c:v>372</c:v>
                </c:pt>
                <c:pt idx="6">
                  <c:v>354</c:v>
                </c:pt>
                <c:pt idx="7">
                  <c:v>355</c:v>
                </c:pt>
                <c:pt idx="8">
                  <c:v>349</c:v>
                </c:pt>
                <c:pt idx="9">
                  <c:v>348</c:v>
                </c:pt>
                <c:pt idx="10">
                  <c:v>367</c:v>
                </c:pt>
                <c:pt idx="11">
                  <c:v>354</c:v>
                </c:pt>
                <c:pt idx="12">
                  <c:v>356</c:v>
                </c:pt>
                <c:pt idx="13">
                  <c:v>356</c:v>
                </c:pt>
              </c:numCache>
            </c:numRef>
          </c:val>
          <c:smooth val="0"/>
          <c:extLst xmlns:c16r2="http://schemas.microsoft.com/office/drawing/2015/06/chart">
            <c:ext xmlns:c16="http://schemas.microsoft.com/office/drawing/2014/chart" uri="{C3380CC4-5D6E-409C-BE32-E72D297353CC}">
              <c16:uniqueId val="{00000000-EC00-496A-9890-ABFA2BF6C01D}"/>
            </c:ext>
          </c:extLst>
        </c:ser>
        <c:dLbls>
          <c:showLegendKey val="0"/>
          <c:showVal val="0"/>
          <c:showCatName val="0"/>
          <c:showSerName val="0"/>
          <c:showPercent val="0"/>
          <c:showBubbleSize val="0"/>
        </c:dLbls>
        <c:marker val="1"/>
        <c:smooth val="0"/>
        <c:axId val="307000016"/>
        <c:axId val="308315200"/>
      </c:lineChart>
      <c:catAx>
        <c:axId val="307000016"/>
        <c:scaling>
          <c:orientation val="minMax"/>
        </c:scaling>
        <c:delete val="0"/>
        <c:axPos val="b"/>
        <c:numFmt formatCode="General" sourceLinked="1"/>
        <c:majorTickMark val="out"/>
        <c:minorTickMark val="none"/>
        <c:tickLblPos val="nextTo"/>
        <c:crossAx val="308315200"/>
        <c:crosses val="autoZero"/>
        <c:auto val="1"/>
        <c:lblAlgn val="ctr"/>
        <c:lblOffset val="100"/>
        <c:noMultiLvlLbl val="0"/>
      </c:catAx>
      <c:valAx>
        <c:axId val="308315200"/>
        <c:scaling>
          <c:orientation val="minMax"/>
        </c:scaling>
        <c:delete val="0"/>
        <c:axPos val="l"/>
        <c:majorGridlines/>
        <c:numFmt formatCode="General" sourceLinked="1"/>
        <c:majorTickMark val="out"/>
        <c:minorTickMark val="none"/>
        <c:tickLblPos val="nextTo"/>
        <c:crossAx val="307000016"/>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Balgreen!$B$169</c:f>
              <c:strCache>
                <c:ptCount val="1"/>
                <c:pt idx="0">
                  <c:v>Catchment Births (5yrs Prior)</c:v>
                </c:pt>
              </c:strCache>
            </c:strRef>
          </c:tx>
          <c:marker>
            <c:symbol val="square"/>
            <c:size val="7"/>
          </c:marker>
          <c:cat>
            <c:numRef>
              <c:f>Balgreen!$D$168:$N$168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Balgreen!$D$169:$N$169</c:f>
              <c:numCache>
                <c:formatCode>#,##0</c:formatCode>
                <c:ptCount val="11"/>
                <c:pt idx="0">
                  <c:v>86</c:v>
                </c:pt>
                <c:pt idx="1">
                  <c:v>99</c:v>
                </c:pt>
                <c:pt idx="2">
                  <c:v>98</c:v>
                </c:pt>
                <c:pt idx="3">
                  <c:v>119</c:v>
                </c:pt>
                <c:pt idx="4">
                  <c:v>109</c:v>
                </c:pt>
                <c:pt idx="5">
                  <c:v>140</c:v>
                </c:pt>
                <c:pt idx="6">
                  <c:v>137</c:v>
                </c:pt>
                <c:pt idx="7">
                  <c:v>156</c:v>
                </c:pt>
                <c:pt idx="8">
                  <c:v>134</c:v>
                </c:pt>
                <c:pt idx="9">
                  <c:v>142</c:v>
                </c:pt>
                <c:pt idx="10">
                  <c:v>117</c:v>
                </c:pt>
              </c:numCache>
            </c:numRef>
          </c:val>
          <c:smooth val="0"/>
          <c:extLst xmlns:c16r2="http://schemas.microsoft.com/office/drawing/2015/06/chart">
            <c:ext xmlns:c16="http://schemas.microsoft.com/office/drawing/2014/chart" uri="{C3380CC4-5D6E-409C-BE32-E72D297353CC}">
              <c16:uniqueId val="{00000000-B9C0-4B13-93BA-23B73961642B}"/>
            </c:ext>
          </c:extLst>
        </c:ser>
        <c:ser>
          <c:idx val="1"/>
          <c:order val="1"/>
          <c:tx>
            <c:strRef>
              <c:f>Balgreen!$B$170</c:f>
              <c:strCache>
                <c:ptCount val="1"/>
                <c:pt idx="0">
                  <c:v>P1 ND Catchment Population (Actual)</c:v>
                </c:pt>
              </c:strCache>
            </c:strRef>
          </c:tx>
          <c:cat>
            <c:numRef>
              <c:f>Balgreen!$D$168:$N$168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Balgreen!$D$170:$I$170</c:f>
              <c:numCache>
                <c:formatCode>#,##0</c:formatCode>
                <c:ptCount val="6"/>
                <c:pt idx="0">
                  <c:v>60</c:v>
                </c:pt>
                <c:pt idx="1">
                  <c:v>53</c:v>
                </c:pt>
                <c:pt idx="2">
                  <c:v>60</c:v>
                </c:pt>
                <c:pt idx="3">
                  <c:v>58</c:v>
                </c:pt>
                <c:pt idx="4">
                  <c:v>73</c:v>
                </c:pt>
                <c:pt idx="5">
                  <c:v>70</c:v>
                </c:pt>
              </c:numCache>
            </c:numRef>
          </c:val>
          <c:smooth val="0"/>
          <c:extLst xmlns:c16r2="http://schemas.microsoft.com/office/drawing/2015/06/chart">
            <c:ext xmlns:c16="http://schemas.microsoft.com/office/drawing/2014/chart" uri="{C3380CC4-5D6E-409C-BE32-E72D297353CC}">
              <c16:uniqueId val="{00000001-B9C0-4B13-93BA-23B73961642B}"/>
            </c:ext>
          </c:extLst>
        </c:ser>
        <c:ser>
          <c:idx val="2"/>
          <c:order val="2"/>
          <c:tx>
            <c:strRef>
              <c:f>Balgreen!$B$172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B9C0-4B13-93BA-23B73961642B}"/>
              </c:ext>
            </c:extLst>
          </c:dPt>
          <c:dPt>
            <c:idx val="5"/>
            <c:marker>
              <c:symbol val="none"/>
            </c:marker>
            <c:bubble3D val="0"/>
            <c:extLst xmlns:c16r2="http://schemas.microsoft.com/office/drawing/2015/06/chart">
              <c:ext xmlns:c16="http://schemas.microsoft.com/office/drawing/2014/chart" uri="{C3380CC4-5D6E-409C-BE32-E72D297353CC}">
                <c16:uniqueId val="{00000003-B9C0-4B13-93BA-23B73961642B}"/>
              </c:ext>
            </c:extLst>
          </c:dPt>
          <c:dPt>
            <c:idx val="6"/>
            <c:marker>
              <c:symbol val="circle"/>
              <c:size val="7"/>
            </c:marker>
            <c:bubble3D val="0"/>
            <c:extLst xmlns:c16r2="http://schemas.microsoft.com/office/drawing/2015/06/chart">
              <c:ext xmlns:c16="http://schemas.microsoft.com/office/drawing/2014/chart" uri="{C3380CC4-5D6E-409C-BE32-E72D297353CC}">
                <c16:uniqueId val="{00000004-B9C0-4B13-93BA-23B73961642B}"/>
              </c:ext>
            </c:extLst>
          </c:dPt>
          <c:dPt>
            <c:idx val="7"/>
            <c:marker>
              <c:symbol val="circle"/>
              <c:size val="7"/>
            </c:marker>
            <c:bubble3D val="0"/>
            <c:extLst xmlns:c16r2="http://schemas.microsoft.com/office/drawing/2015/06/chart">
              <c:ext xmlns:c16="http://schemas.microsoft.com/office/drawing/2014/chart" uri="{C3380CC4-5D6E-409C-BE32-E72D297353CC}">
                <c16:uniqueId val="{00000005-B9C0-4B13-93BA-23B73961642B}"/>
              </c:ext>
            </c:extLst>
          </c:dPt>
          <c:dPt>
            <c:idx val="8"/>
            <c:marker>
              <c:symbol val="circle"/>
              <c:size val="7"/>
            </c:marker>
            <c:bubble3D val="0"/>
            <c:extLst xmlns:c16r2="http://schemas.microsoft.com/office/drawing/2015/06/chart">
              <c:ext xmlns:c16="http://schemas.microsoft.com/office/drawing/2014/chart" uri="{C3380CC4-5D6E-409C-BE32-E72D297353CC}">
                <c16:uniqueId val="{00000006-B9C0-4B13-93BA-23B73961642B}"/>
              </c:ext>
            </c:extLst>
          </c:dPt>
          <c:dPt>
            <c:idx val="9"/>
            <c:marker>
              <c:symbol val="circle"/>
              <c:size val="7"/>
            </c:marker>
            <c:bubble3D val="0"/>
            <c:extLst xmlns:c16r2="http://schemas.microsoft.com/office/drawing/2015/06/chart">
              <c:ext xmlns:c16="http://schemas.microsoft.com/office/drawing/2014/chart" uri="{C3380CC4-5D6E-409C-BE32-E72D297353CC}">
                <c16:uniqueId val="{00000007-B9C0-4B13-93BA-23B73961642B}"/>
              </c:ext>
            </c:extLst>
          </c:dPt>
          <c:dPt>
            <c:idx val="10"/>
            <c:marker>
              <c:symbol val="circle"/>
              <c:size val="7"/>
            </c:marker>
            <c:bubble3D val="0"/>
            <c:extLst xmlns:c16r2="http://schemas.microsoft.com/office/drawing/2015/06/chart">
              <c:ext xmlns:c16="http://schemas.microsoft.com/office/drawing/2014/chart" uri="{C3380CC4-5D6E-409C-BE32-E72D297353CC}">
                <c16:uniqueId val="{00000008-B9C0-4B13-93BA-23B73961642B}"/>
              </c:ext>
            </c:extLst>
          </c:dPt>
          <c:cat>
            <c:numRef>
              <c:f>Balgreen!$D$168:$N$168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Balgreen!$D$172:$N$172</c:f>
              <c:numCache>
                <c:formatCode>General</c:formatCode>
                <c:ptCount val="11"/>
                <c:pt idx="5" formatCode="0">
                  <c:v>70</c:v>
                </c:pt>
                <c:pt idx="6" formatCode="0">
                  <c:v>0</c:v>
                </c:pt>
                <c:pt idx="7" formatCode="0">
                  <c:v>72</c:v>
                </c:pt>
                <c:pt idx="8" formatCode="0">
                  <c:v>59</c:v>
                </c:pt>
                <c:pt idx="9" formatCode="0">
                  <c:v>52</c:v>
                </c:pt>
                <c:pt idx="10" formatCode="0">
                  <c:v>47</c:v>
                </c:pt>
              </c:numCache>
            </c:numRef>
          </c:val>
          <c:smooth val="0"/>
          <c:extLst xmlns:c16r2="http://schemas.microsoft.com/office/drawing/2015/06/chart">
            <c:ext xmlns:c16="http://schemas.microsoft.com/office/drawing/2014/chart" uri="{C3380CC4-5D6E-409C-BE32-E72D297353CC}">
              <c16:uniqueId val="{00000009-B9C0-4B13-93BA-23B73961642B}"/>
            </c:ext>
          </c:extLst>
        </c:ser>
        <c:ser>
          <c:idx val="3"/>
          <c:order val="3"/>
          <c:tx>
            <c:strRef>
              <c:f>Balgreen!$B$171</c:f>
              <c:strCache>
                <c:ptCount val="1"/>
                <c:pt idx="0">
                  <c:v>Actual P1 Registrations (as of Jan 2016)</c:v>
                </c:pt>
              </c:strCache>
            </c:strRef>
          </c:tx>
          <c:spPr>
            <a:ln w="15875">
              <a:noFill/>
            </a:ln>
          </c:spPr>
          <c:marker>
            <c:symbol val="diamond"/>
            <c:size val="9"/>
            <c:spPr>
              <a:solidFill>
                <a:schemeClr val="tx1"/>
              </a:solidFill>
            </c:spPr>
          </c:marker>
          <c:cat>
            <c:numRef>
              <c:f>Balgreen!$D$168:$N$168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Balgreen!$D$171:$M$171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B9C0-4B13-93BA-23B73961642B}"/>
            </c:ext>
          </c:extLst>
        </c:ser>
        <c:dLbls>
          <c:showLegendKey val="0"/>
          <c:showVal val="0"/>
          <c:showCatName val="0"/>
          <c:showSerName val="0"/>
          <c:showPercent val="0"/>
          <c:showBubbleSize val="0"/>
        </c:dLbls>
        <c:marker val="1"/>
        <c:smooth val="0"/>
        <c:axId val="308315984"/>
        <c:axId val="308316376"/>
      </c:lineChart>
      <c:catAx>
        <c:axId val="308315984"/>
        <c:scaling>
          <c:orientation val="minMax"/>
        </c:scaling>
        <c:delete val="0"/>
        <c:axPos val="b"/>
        <c:numFmt formatCode="General" sourceLinked="1"/>
        <c:majorTickMark val="out"/>
        <c:minorTickMark val="none"/>
        <c:tickLblPos val="nextTo"/>
        <c:crossAx val="308316376"/>
        <c:crosses val="autoZero"/>
        <c:auto val="1"/>
        <c:lblAlgn val="ctr"/>
        <c:lblOffset val="100"/>
        <c:noMultiLvlLbl val="0"/>
      </c:catAx>
      <c:valAx>
        <c:axId val="308316376"/>
        <c:scaling>
          <c:orientation val="minMax"/>
        </c:scaling>
        <c:delete val="0"/>
        <c:axPos val="l"/>
        <c:majorGridlines/>
        <c:numFmt formatCode="#,##0" sourceLinked="1"/>
        <c:majorTickMark val="out"/>
        <c:minorTickMark val="none"/>
        <c:tickLblPos val="nextTo"/>
        <c:crossAx val="308315984"/>
        <c:crosses val="autoZero"/>
        <c:crossBetween val="between"/>
      </c:valAx>
    </c:plotArea>
    <c:legend>
      <c:legendPos val="r"/>
      <c:layout/>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0A62-4668-BCC3-18637DC80318}"/>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08317160"/>
        <c:axId val="308317552"/>
      </c:lineChart>
      <c:catAx>
        <c:axId val="308317160"/>
        <c:scaling>
          <c:orientation val="minMax"/>
        </c:scaling>
        <c:delete val="0"/>
        <c:axPos val="b"/>
        <c:numFmt formatCode="General" sourceLinked="1"/>
        <c:majorTickMark val="out"/>
        <c:minorTickMark val="none"/>
        <c:tickLblPos val="nextTo"/>
        <c:crossAx val="308317552"/>
        <c:crosses val="autoZero"/>
        <c:auto val="1"/>
        <c:lblAlgn val="ctr"/>
        <c:lblOffset val="100"/>
        <c:noMultiLvlLbl val="0"/>
      </c:catAx>
      <c:valAx>
        <c:axId val="308317552"/>
        <c:scaling>
          <c:orientation val="minMax"/>
        </c:scaling>
        <c:delete val="0"/>
        <c:axPos val="l"/>
        <c:majorGridlines/>
        <c:numFmt formatCode="General" sourceLinked="1"/>
        <c:majorTickMark val="out"/>
        <c:minorTickMark val="none"/>
        <c:tickLblPos val="nextTo"/>
        <c:crossAx val="308317160"/>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Blackhall!$B$177:$B$190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Blackhall!$J$177:$J$190</c:f>
              <c:numCache>
                <c:formatCode>General</c:formatCode>
                <c:ptCount val="14"/>
                <c:pt idx="0">
                  <c:v>315</c:v>
                </c:pt>
                <c:pt idx="1">
                  <c:v>345</c:v>
                </c:pt>
                <c:pt idx="2">
                  <c:v>351</c:v>
                </c:pt>
                <c:pt idx="3">
                  <c:v>364</c:v>
                </c:pt>
                <c:pt idx="4">
                  <c:v>375</c:v>
                </c:pt>
                <c:pt idx="5">
                  <c:v>377</c:v>
                </c:pt>
                <c:pt idx="6">
                  <c:v>385</c:v>
                </c:pt>
                <c:pt idx="7">
                  <c:v>399</c:v>
                </c:pt>
                <c:pt idx="8">
                  <c:v>403</c:v>
                </c:pt>
                <c:pt idx="9">
                  <c:v>400</c:v>
                </c:pt>
                <c:pt idx="10">
                  <c:v>417</c:v>
                </c:pt>
                <c:pt idx="11">
                  <c:v>448</c:v>
                </c:pt>
                <c:pt idx="12">
                  <c:v>449</c:v>
                </c:pt>
                <c:pt idx="13">
                  <c:v>443</c:v>
                </c:pt>
              </c:numCache>
            </c:numRef>
          </c:val>
          <c:smooth val="0"/>
          <c:extLst xmlns:c16r2="http://schemas.microsoft.com/office/drawing/2015/06/chart">
            <c:ext xmlns:c16="http://schemas.microsoft.com/office/drawing/2014/chart" uri="{C3380CC4-5D6E-409C-BE32-E72D297353CC}">
              <c16:uniqueId val="{00000000-EC2A-4612-9335-670183ACA3B2}"/>
            </c:ext>
          </c:extLst>
        </c:ser>
        <c:dLbls>
          <c:showLegendKey val="0"/>
          <c:showVal val="0"/>
          <c:showCatName val="0"/>
          <c:showSerName val="0"/>
          <c:showPercent val="0"/>
          <c:showBubbleSize val="0"/>
        </c:dLbls>
        <c:marker val="1"/>
        <c:smooth val="0"/>
        <c:axId val="308318336"/>
        <c:axId val="308318728"/>
      </c:lineChart>
      <c:catAx>
        <c:axId val="308318336"/>
        <c:scaling>
          <c:orientation val="minMax"/>
        </c:scaling>
        <c:delete val="0"/>
        <c:axPos val="b"/>
        <c:numFmt formatCode="General" sourceLinked="1"/>
        <c:majorTickMark val="out"/>
        <c:minorTickMark val="none"/>
        <c:tickLblPos val="nextTo"/>
        <c:crossAx val="308318728"/>
        <c:crosses val="autoZero"/>
        <c:auto val="1"/>
        <c:lblAlgn val="ctr"/>
        <c:lblOffset val="100"/>
        <c:noMultiLvlLbl val="0"/>
      </c:catAx>
      <c:valAx>
        <c:axId val="308318728"/>
        <c:scaling>
          <c:orientation val="minMax"/>
        </c:scaling>
        <c:delete val="0"/>
        <c:axPos val="l"/>
        <c:majorGridlines/>
        <c:numFmt formatCode="General" sourceLinked="1"/>
        <c:majorTickMark val="out"/>
        <c:minorTickMark val="none"/>
        <c:tickLblPos val="nextTo"/>
        <c:crossAx val="308318336"/>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Blackhall!$B$169</c:f>
              <c:strCache>
                <c:ptCount val="1"/>
                <c:pt idx="0">
                  <c:v>Catchment Births (5yrs Prior)</c:v>
                </c:pt>
              </c:strCache>
            </c:strRef>
          </c:tx>
          <c:marker>
            <c:symbol val="square"/>
            <c:size val="7"/>
          </c:marker>
          <c:cat>
            <c:numRef>
              <c:f>Blackhall!$D$168:$N$168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Blackhall!$D$169:$N$169</c:f>
              <c:numCache>
                <c:formatCode>#,##0</c:formatCode>
                <c:ptCount val="11"/>
                <c:pt idx="0">
                  <c:v>41</c:v>
                </c:pt>
                <c:pt idx="1">
                  <c:v>52</c:v>
                </c:pt>
                <c:pt idx="2">
                  <c:v>45</c:v>
                </c:pt>
                <c:pt idx="3">
                  <c:v>62</c:v>
                </c:pt>
                <c:pt idx="4">
                  <c:v>45</c:v>
                </c:pt>
                <c:pt idx="5">
                  <c:v>49</c:v>
                </c:pt>
                <c:pt idx="6">
                  <c:v>50</c:v>
                </c:pt>
                <c:pt idx="7">
                  <c:v>51</c:v>
                </c:pt>
                <c:pt idx="8">
                  <c:v>57</c:v>
                </c:pt>
                <c:pt idx="9">
                  <c:v>45</c:v>
                </c:pt>
                <c:pt idx="10">
                  <c:v>46</c:v>
                </c:pt>
              </c:numCache>
            </c:numRef>
          </c:val>
          <c:smooth val="0"/>
          <c:extLst xmlns:c16r2="http://schemas.microsoft.com/office/drawing/2015/06/chart">
            <c:ext xmlns:c16="http://schemas.microsoft.com/office/drawing/2014/chart" uri="{C3380CC4-5D6E-409C-BE32-E72D297353CC}">
              <c16:uniqueId val="{00000000-7315-4BD3-8666-258A24F01A82}"/>
            </c:ext>
          </c:extLst>
        </c:ser>
        <c:ser>
          <c:idx val="1"/>
          <c:order val="1"/>
          <c:tx>
            <c:strRef>
              <c:f>Blackhall!$B$170</c:f>
              <c:strCache>
                <c:ptCount val="1"/>
                <c:pt idx="0">
                  <c:v>P1 ND Catchment Population (Actual)</c:v>
                </c:pt>
              </c:strCache>
            </c:strRef>
          </c:tx>
          <c:cat>
            <c:numRef>
              <c:f>Blackhall!$D$168:$N$168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Blackhall!$D$170:$I$170</c:f>
              <c:numCache>
                <c:formatCode>#,##0</c:formatCode>
                <c:ptCount val="6"/>
                <c:pt idx="0">
                  <c:v>58</c:v>
                </c:pt>
                <c:pt idx="1">
                  <c:v>57</c:v>
                </c:pt>
                <c:pt idx="2">
                  <c:v>57</c:v>
                </c:pt>
                <c:pt idx="3">
                  <c:v>74</c:v>
                </c:pt>
                <c:pt idx="4">
                  <c:v>52</c:v>
                </c:pt>
                <c:pt idx="5">
                  <c:v>56</c:v>
                </c:pt>
              </c:numCache>
            </c:numRef>
          </c:val>
          <c:smooth val="0"/>
          <c:extLst xmlns:c16r2="http://schemas.microsoft.com/office/drawing/2015/06/chart">
            <c:ext xmlns:c16="http://schemas.microsoft.com/office/drawing/2014/chart" uri="{C3380CC4-5D6E-409C-BE32-E72D297353CC}">
              <c16:uniqueId val="{00000001-7315-4BD3-8666-258A24F01A82}"/>
            </c:ext>
          </c:extLst>
        </c:ser>
        <c:ser>
          <c:idx val="2"/>
          <c:order val="2"/>
          <c:tx>
            <c:strRef>
              <c:f>Blackhall!$B$172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7315-4BD3-8666-258A24F01A82}"/>
              </c:ext>
            </c:extLst>
          </c:dPt>
          <c:dPt>
            <c:idx val="5"/>
            <c:marker>
              <c:symbol val="none"/>
            </c:marker>
            <c:bubble3D val="0"/>
            <c:extLst xmlns:c16r2="http://schemas.microsoft.com/office/drawing/2015/06/chart">
              <c:ext xmlns:c16="http://schemas.microsoft.com/office/drawing/2014/chart" uri="{C3380CC4-5D6E-409C-BE32-E72D297353CC}">
                <c16:uniqueId val="{00000003-7315-4BD3-8666-258A24F01A82}"/>
              </c:ext>
            </c:extLst>
          </c:dPt>
          <c:dPt>
            <c:idx val="6"/>
            <c:marker>
              <c:symbol val="circle"/>
              <c:size val="7"/>
            </c:marker>
            <c:bubble3D val="0"/>
            <c:extLst xmlns:c16r2="http://schemas.microsoft.com/office/drawing/2015/06/chart">
              <c:ext xmlns:c16="http://schemas.microsoft.com/office/drawing/2014/chart" uri="{C3380CC4-5D6E-409C-BE32-E72D297353CC}">
                <c16:uniqueId val="{00000004-7315-4BD3-8666-258A24F01A82}"/>
              </c:ext>
            </c:extLst>
          </c:dPt>
          <c:dPt>
            <c:idx val="7"/>
            <c:marker>
              <c:symbol val="circle"/>
              <c:size val="7"/>
            </c:marker>
            <c:bubble3D val="0"/>
            <c:extLst xmlns:c16r2="http://schemas.microsoft.com/office/drawing/2015/06/chart">
              <c:ext xmlns:c16="http://schemas.microsoft.com/office/drawing/2014/chart" uri="{C3380CC4-5D6E-409C-BE32-E72D297353CC}">
                <c16:uniqueId val="{00000005-7315-4BD3-8666-258A24F01A82}"/>
              </c:ext>
            </c:extLst>
          </c:dPt>
          <c:dPt>
            <c:idx val="8"/>
            <c:marker>
              <c:symbol val="circle"/>
              <c:size val="7"/>
            </c:marker>
            <c:bubble3D val="0"/>
            <c:extLst xmlns:c16r2="http://schemas.microsoft.com/office/drawing/2015/06/chart">
              <c:ext xmlns:c16="http://schemas.microsoft.com/office/drawing/2014/chart" uri="{C3380CC4-5D6E-409C-BE32-E72D297353CC}">
                <c16:uniqueId val="{00000006-7315-4BD3-8666-258A24F01A82}"/>
              </c:ext>
            </c:extLst>
          </c:dPt>
          <c:dPt>
            <c:idx val="9"/>
            <c:marker>
              <c:symbol val="circle"/>
              <c:size val="7"/>
            </c:marker>
            <c:bubble3D val="0"/>
            <c:extLst xmlns:c16r2="http://schemas.microsoft.com/office/drawing/2015/06/chart">
              <c:ext xmlns:c16="http://schemas.microsoft.com/office/drawing/2014/chart" uri="{C3380CC4-5D6E-409C-BE32-E72D297353CC}">
                <c16:uniqueId val="{00000007-7315-4BD3-8666-258A24F01A82}"/>
              </c:ext>
            </c:extLst>
          </c:dPt>
          <c:dPt>
            <c:idx val="10"/>
            <c:marker>
              <c:symbol val="circle"/>
              <c:size val="7"/>
            </c:marker>
            <c:bubble3D val="0"/>
            <c:extLst xmlns:c16r2="http://schemas.microsoft.com/office/drawing/2015/06/chart">
              <c:ext xmlns:c16="http://schemas.microsoft.com/office/drawing/2014/chart" uri="{C3380CC4-5D6E-409C-BE32-E72D297353CC}">
                <c16:uniqueId val="{00000008-7315-4BD3-8666-258A24F01A82}"/>
              </c:ext>
            </c:extLst>
          </c:dPt>
          <c:cat>
            <c:numRef>
              <c:f>Blackhall!$D$168:$N$168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Blackhall!$D$172:$N$172</c:f>
              <c:numCache>
                <c:formatCode>General</c:formatCode>
                <c:ptCount val="11"/>
                <c:pt idx="5" formatCode="0">
                  <c:v>56</c:v>
                </c:pt>
                <c:pt idx="6" formatCode="0">
                  <c:v>0</c:v>
                </c:pt>
                <c:pt idx="7" formatCode="0">
                  <c:v>56</c:v>
                </c:pt>
                <c:pt idx="8" formatCode="0">
                  <c:v>57</c:v>
                </c:pt>
                <c:pt idx="9" formatCode="0">
                  <c:v>40</c:v>
                </c:pt>
                <c:pt idx="10" formatCode="0">
                  <c:v>55</c:v>
                </c:pt>
              </c:numCache>
            </c:numRef>
          </c:val>
          <c:smooth val="0"/>
          <c:extLst xmlns:c16r2="http://schemas.microsoft.com/office/drawing/2015/06/chart">
            <c:ext xmlns:c16="http://schemas.microsoft.com/office/drawing/2014/chart" uri="{C3380CC4-5D6E-409C-BE32-E72D297353CC}">
              <c16:uniqueId val="{00000009-7315-4BD3-8666-258A24F01A82}"/>
            </c:ext>
          </c:extLst>
        </c:ser>
        <c:ser>
          <c:idx val="3"/>
          <c:order val="3"/>
          <c:tx>
            <c:strRef>
              <c:f>Blackhall!$B$171</c:f>
              <c:strCache>
                <c:ptCount val="1"/>
                <c:pt idx="0">
                  <c:v>Actual P1 Registrations (as of Jan 2016)</c:v>
                </c:pt>
              </c:strCache>
            </c:strRef>
          </c:tx>
          <c:spPr>
            <a:ln w="15875">
              <a:noFill/>
            </a:ln>
          </c:spPr>
          <c:marker>
            <c:symbol val="diamond"/>
            <c:size val="9"/>
            <c:spPr>
              <a:solidFill>
                <a:schemeClr val="tx1"/>
              </a:solidFill>
            </c:spPr>
          </c:marker>
          <c:cat>
            <c:numRef>
              <c:f>Blackhall!$D$168:$N$168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Blackhall!$D$171:$M$171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7315-4BD3-8666-258A24F01A82}"/>
            </c:ext>
          </c:extLst>
        </c:ser>
        <c:dLbls>
          <c:showLegendKey val="0"/>
          <c:showVal val="0"/>
          <c:showCatName val="0"/>
          <c:showSerName val="0"/>
          <c:showPercent val="0"/>
          <c:showBubbleSize val="0"/>
        </c:dLbls>
        <c:marker val="1"/>
        <c:smooth val="0"/>
        <c:axId val="308180640"/>
        <c:axId val="308181032"/>
      </c:lineChart>
      <c:catAx>
        <c:axId val="308180640"/>
        <c:scaling>
          <c:orientation val="minMax"/>
        </c:scaling>
        <c:delete val="0"/>
        <c:axPos val="b"/>
        <c:numFmt formatCode="General" sourceLinked="1"/>
        <c:majorTickMark val="out"/>
        <c:minorTickMark val="none"/>
        <c:tickLblPos val="nextTo"/>
        <c:crossAx val="308181032"/>
        <c:crosses val="autoZero"/>
        <c:auto val="1"/>
        <c:lblAlgn val="ctr"/>
        <c:lblOffset val="100"/>
        <c:noMultiLvlLbl val="0"/>
      </c:catAx>
      <c:valAx>
        <c:axId val="308181032"/>
        <c:scaling>
          <c:orientation val="minMax"/>
        </c:scaling>
        <c:delete val="0"/>
        <c:axPos val="l"/>
        <c:majorGridlines/>
        <c:numFmt formatCode="#,##0" sourceLinked="1"/>
        <c:majorTickMark val="out"/>
        <c:minorTickMark val="none"/>
        <c:tickLblPos val="nextTo"/>
        <c:crossAx val="308180640"/>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0566-45A9-A0ED-F8B2C8AD494D}"/>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08181816"/>
        <c:axId val="308182208"/>
      </c:lineChart>
      <c:catAx>
        <c:axId val="308181816"/>
        <c:scaling>
          <c:orientation val="minMax"/>
        </c:scaling>
        <c:delete val="0"/>
        <c:axPos val="b"/>
        <c:numFmt formatCode="General" sourceLinked="1"/>
        <c:majorTickMark val="out"/>
        <c:minorTickMark val="none"/>
        <c:tickLblPos val="nextTo"/>
        <c:crossAx val="308182208"/>
        <c:crosses val="autoZero"/>
        <c:auto val="1"/>
        <c:lblAlgn val="ctr"/>
        <c:lblOffset val="100"/>
        <c:noMultiLvlLbl val="0"/>
      </c:catAx>
      <c:valAx>
        <c:axId val="308182208"/>
        <c:scaling>
          <c:orientation val="minMax"/>
        </c:scaling>
        <c:delete val="0"/>
        <c:axPos val="l"/>
        <c:majorGridlines/>
        <c:numFmt formatCode="General" sourceLinked="1"/>
        <c:majorTickMark val="out"/>
        <c:minorTickMark val="none"/>
        <c:tickLblPos val="nextTo"/>
        <c:crossAx val="308181816"/>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Bonaly!$B$177:$B$190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Bonaly!$J$177:$J$190</c:f>
              <c:numCache>
                <c:formatCode>General</c:formatCode>
                <c:ptCount val="14"/>
                <c:pt idx="0">
                  <c:v>403</c:v>
                </c:pt>
                <c:pt idx="1">
                  <c:v>421</c:v>
                </c:pt>
                <c:pt idx="2">
                  <c:v>419</c:v>
                </c:pt>
                <c:pt idx="3">
                  <c:v>409</c:v>
                </c:pt>
                <c:pt idx="4">
                  <c:v>403</c:v>
                </c:pt>
                <c:pt idx="5">
                  <c:v>405</c:v>
                </c:pt>
                <c:pt idx="6">
                  <c:v>389</c:v>
                </c:pt>
                <c:pt idx="7">
                  <c:v>374</c:v>
                </c:pt>
                <c:pt idx="8">
                  <c:v>380</c:v>
                </c:pt>
                <c:pt idx="9">
                  <c:v>390</c:v>
                </c:pt>
                <c:pt idx="10">
                  <c:v>393</c:v>
                </c:pt>
                <c:pt idx="11">
                  <c:v>395</c:v>
                </c:pt>
                <c:pt idx="12">
                  <c:v>398</c:v>
                </c:pt>
                <c:pt idx="13">
                  <c:v>397</c:v>
                </c:pt>
              </c:numCache>
            </c:numRef>
          </c:val>
          <c:smooth val="0"/>
          <c:extLst xmlns:c16r2="http://schemas.microsoft.com/office/drawing/2015/06/chart">
            <c:ext xmlns:c16="http://schemas.microsoft.com/office/drawing/2014/chart" uri="{C3380CC4-5D6E-409C-BE32-E72D297353CC}">
              <c16:uniqueId val="{00000000-B313-4714-AFB3-8D533AE65AB0}"/>
            </c:ext>
          </c:extLst>
        </c:ser>
        <c:dLbls>
          <c:showLegendKey val="0"/>
          <c:showVal val="0"/>
          <c:showCatName val="0"/>
          <c:showSerName val="0"/>
          <c:showPercent val="0"/>
          <c:showBubbleSize val="0"/>
        </c:dLbls>
        <c:marker val="1"/>
        <c:smooth val="0"/>
        <c:axId val="308182992"/>
        <c:axId val="308183384"/>
      </c:lineChart>
      <c:catAx>
        <c:axId val="308182992"/>
        <c:scaling>
          <c:orientation val="minMax"/>
        </c:scaling>
        <c:delete val="0"/>
        <c:axPos val="b"/>
        <c:numFmt formatCode="General" sourceLinked="1"/>
        <c:majorTickMark val="out"/>
        <c:minorTickMark val="none"/>
        <c:tickLblPos val="nextTo"/>
        <c:crossAx val="308183384"/>
        <c:crosses val="autoZero"/>
        <c:auto val="1"/>
        <c:lblAlgn val="ctr"/>
        <c:lblOffset val="100"/>
        <c:noMultiLvlLbl val="0"/>
      </c:catAx>
      <c:valAx>
        <c:axId val="308183384"/>
        <c:scaling>
          <c:orientation val="minMax"/>
        </c:scaling>
        <c:delete val="0"/>
        <c:axPos val="l"/>
        <c:majorGridlines/>
        <c:numFmt formatCode="General" sourceLinked="1"/>
        <c:majorTickMark val="out"/>
        <c:minorTickMark val="none"/>
        <c:tickLblPos val="nextTo"/>
        <c:crossAx val="308182992"/>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Bonaly!$B$169</c:f>
              <c:strCache>
                <c:ptCount val="1"/>
                <c:pt idx="0">
                  <c:v>Catchment Births (5yrs Prior)</c:v>
                </c:pt>
              </c:strCache>
            </c:strRef>
          </c:tx>
          <c:marker>
            <c:symbol val="square"/>
            <c:size val="7"/>
          </c:marker>
          <c:cat>
            <c:numRef>
              <c:f>Bonaly!$D$168:$N$168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Bonaly!$D$169:$N$169</c:f>
              <c:numCache>
                <c:formatCode>#,##0</c:formatCode>
                <c:ptCount val="11"/>
                <c:pt idx="0">
                  <c:v>44</c:v>
                </c:pt>
                <c:pt idx="1">
                  <c:v>57</c:v>
                </c:pt>
                <c:pt idx="2">
                  <c:v>46</c:v>
                </c:pt>
                <c:pt idx="3">
                  <c:v>44</c:v>
                </c:pt>
                <c:pt idx="4">
                  <c:v>44</c:v>
                </c:pt>
                <c:pt idx="5">
                  <c:v>40</c:v>
                </c:pt>
                <c:pt idx="6">
                  <c:v>50</c:v>
                </c:pt>
                <c:pt idx="7">
                  <c:v>45</c:v>
                </c:pt>
                <c:pt idx="8">
                  <c:v>50</c:v>
                </c:pt>
                <c:pt idx="9">
                  <c:v>43</c:v>
                </c:pt>
                <c:pt idx="10">
                  <c:v>46</c:v>
                </c:pt>
              </c:numCache>
            </c:numRef>
          </c:val>
          <c:smooth val="0"/>
          <c:extLst xmlns:c16r2="http://schemas.microsoft.com/office/drawing/2015/06/chart">
            <c:ext xmlns:c16="http://schemas.microsoft.com/office/drawing/2014/chart" uri="{C3380CC4-5D6E-409C-BE32-E72D297353CC}">
              <c16:uniqueId val="{00000000-252B-4240-B082-05CFDF8B6FD1}"/>
            </c:ext>
          </c:extLst>
        </c:ser>
        <c:ser>
          <c:idx val="1"/>
          <c:order val="1"/>
          <c:tx>
            <c:strRef>
              <c:f>Bonaly!$B$170</c:f>
              <c:strCache>
                <c:ptCount val="1"/>
                <c:pt idx="0">
                  <c:v>P1 ND Catchment Population (Actual)</c:v>
                </c:pt>
              </c:strCache>
            </c:strRef>
          </c:tx>
          <c:cat>
            <c:numRef>
              <c:f>Bonaly!$D$168:$N$168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Bonaly!$D$170:$I$170</c:f>
              <c:numCache>
                <c:formatCode>#,##0</c:formatCode>
                <c:ptCount val="6"/>
                <c:pt idx="0">
                  <c:v>64</c:v>
                </c:pt>
                <c:pt idx="1">
                  <c:v>60</c:v>
                </c:pt>
                <c:pt idx="2">
                  <c:v>53</c:v>
                </c:pt>
                <c:pt idx="3">
                  <c:v>52</c:v>
                </c:pt>
                <c:pt idx="4">
                  <c:v>54</c:v>
                </c:pt>
                <c:pt idx="5">
                  <c:v>56</c:v>
                </c:pt>
              </c:numCache>
            </c:numRef>
          </c:val>
          <c:smooth val="0"/>
          <c:extLst xmlns:c16r2="http://schemas.microsoft.com/office/drawing/2015/06/chart">
            <c:ext xmlns:c16="http://schemas.microsoft.com/office/drawing/2014/chart" uri="{C3380CC4-5D6E-409C-BE32-E72D297353CC}">
              <c16:uniqueId val="{00000001-252B-4240-B082-05CFDF8B6FD1}"/>
            </c:ext>
          </c:extLst>
        </c:ser>
        <c:ser>
          <c:idx val="2"/>
          <c:order val="2"/>
          <c:tx>
            <c:strRef>
              <c:f>Bonaly!$B$172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252B-4240-B082-05CFDF8B6FD1}"/>
              </c:ext>
            </c:extLst>
          </c:dPt>
          <c:dPt>
            <c:idx val="5"/>
            <c:marker>
              <c:symbol val="none"/>
            </c:marker>
            <c:bubble3D val="0"/>
            <c:extLst xmlns:c16r2="http://schemas.microsoft.com/office/drawing/2015/06/chart">
              <c:ext xmlns:c16="http://schemas.microsoft.com/office/drawing/2014/chart" uri="{C3380CC4-5D6E-409C-BE32-E72D297353CC}">
                <c16:uniqueId val="{00000003-252B-4240-B082-05CFDF8B6FD1}"/>
              </c:ext>
            </c:extLst>
          </c:dPt>
          <c:dPt>
            <c:idx val="6"/>
            <c:marker>
              <c:symbol val="circle"/>
              <c:size val="7"/>
            </c:marker>
            <c:bubble3D val="0"/>
            <c:extLst xmlns:c16r2="http://schemas.microsoft.com/office/drawing/2015/06/chart">
              <c:ext xmlns:c16="http://schemas.microsoft.com/office/drawing/2014/chart" uri="{C3380CC4-5D6E-409C-BE32-E72D297353CC}">
                <c16:uniqueId val="{00000004-252B-4240-B082-05CFDF8B6FD1}"/>
              </c:ext>
            </c:extLst>
          </c:dPt>
          <c:dPt>
            <c:idx val="7"/>
            <c:marker>
              <c:symbol val="circle"/>
              <c:size val="7"/>
            </c:marker>
            <c:bubble3D val="0"/>
            <c:extLst xmlns:c16r2="http://schemas.microsoft.com/office/drawing/2015/06/chart">
              <c:ext xmlns:c16="http://schemas.microsoft.com/office/drawing/2014/chart" uri="{C3380CC4-5D6E-409C-BE32-E72D297353CC}">
                <c16:uniqueId val="{00000005-252B-4240-B082-05CFDF8B6FD1}"/>
              </c:ext>
            </c:extLst>
          </c:dPt>
          <c:dPt>
            <c:idx val="8"/>
            <c:marker>
              <c:symbol val="circle"/>
              <c:size val="7"/>
            </c:marker>
            <c:bubble3D val="0"/>
            <c:extLst xmlns:c16r2="http://schemas.microsoft.com/office/drawing/2015/06/chart">
              <c:ext xmlns:c16="http://schemas.microsoft.com/office/drawing/2014/chart" uri="{C3380CC4-5D6E-409C-BE32-E72D297353CC}">
                <c16:uniqueId val="{00000006-252B-4240-B082-05CFDF8B6FD1}"/>
              </c:ext>
            </c:extLst>
          </c:dPt>
          <c:dPt>
            <c:idx val="9"/>
            <c:marker>
              <c:symbol val="circle"/>
              <c:size val="7"/>
            </c:marker>
            <c:bubble3D val="0"/>
            <c:extLst xmlns:c16r2="http://schemas.microsoft.com/office/drawing/2015/06/chart">
              <c:ext xmlns:c16="http://schemas.microsoft.com/office/drawing/2014/chart" uri="{C3380CC4-5D6E-409C-BE32-E72D297353CC}">
                <c16:uniqueId val="{00000007-252B-4240-B082-05CFDF8B6FD1}"/>
              </c:ext>
            </c:extLst>
          </c:dPt>
          <c:dPt>
            <c:idx val="10"/>
            <c:marker>
              <c:symbol val="circle"/>
              <c:size val="7"/>
            </c:marker>
            <c:bubble3D val="0"/>
            <c:extLst xmlns:c16r2="http://schemas.microsoft.com/office/drawing/2015/06/chart">
              <c:ext xmlns:c16="http://schemas.microsoft.com/office/drawing/2014/chart" uri="{C3380CC4-5D6E-409C-BE32-E72D297353CC}">
                <c16:uniqueId val="{00000008-252B-4240-B082-05CFDF8B6FD1}"/>
              </c:ext>
            </c:extLst>
          </c:dPt>
          <c:cat>
            <c:numRef>
              <c:f>Bonaly!$D$168:$N$168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Bonaly!$D$172:$N$172</c:f>
              <c:numCache>
                <c:formatCode>General</c:formatCode>
                <c:ptCount val="11"/>
                <c:pt idx="5" formatCode="0">
                  <c:v>56</c:v>
                </c:pt>
                <c:pt idx="6" formatCode="0">
                  <c:v>0</c:v>
                </c:pt>
                <c:pt idx="7" formatCode="0">
                  <c:v>60</c:v>
                </c:pt>
                <c:pt idx="8" formatCode="0">
                  <c:v>64</c:v>
                </c:pt>
                <c:pt idx="9" formatCode="0">
                  <c:v>73</c:v>
                </c:pt>
                <c:pt idx="10" formatCode="0">
                  <c:v>52</c:v>
                </c:pt>
              </c:numCache>
            </c:numRef>
          </c:val>
          <c:smooth val="0"/>
          <c:extLst xmlns:c16r2="http://schemas.microsoft.com/office/drawing/2015/06/chart">
            <c:ext xmlns:c16="http://schemas.microsoft.com/office/drawing/2014/chart" uri="{C3380CC4-5D6E-409C-BE32-E72D297353CC}">
              <c16:uniqueId val="{00000009-252B-4240-B082-05CFDF8B6FD1}"/>
            </c:ext>
          </c:extLst>
        </c:ser>
        <c:ser>
          <c:idx val="3"/>
          <c:order val="3"/>
          <c:tx>
            <c:strRef>
              <c:f>Bonaly!$B$171</c:f>
              <c:strCache>
                <c:ptCount val="1"/>
                <c:pt idx="0">
                  <c:v>Actual P1 Registrations (as of Jan 2016)</c:v>
                </c:pt>
              </c:strCache>
            </c:strRef>
          </c:tx>
          <c:spPr>
            <a:ln w="15875">
              <a:noFill/>
            </a:ln>
          </c:spPr>
          <c:marker>
            <c:symbol val="diamond"/>
            <c:size val="9"/>
            <c:spPr>
              <a:solidFill>
                <a:schemeClr val="tx1"/>
              </a:solidFill>
            </c:spPr>
          </c:marker>
          <c:cat>
            <c:numRef>
              <c:f>Bonaly!$D$168:$N$168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Bonaly!$D$171:$M$171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252B-4240-B082-05CFDF8B6FD1}"/>
            </c:ext>
          </c:extLst>
        </c:ser>
        <c:dLbls>
          <c:showLegendKey val="0"/>
          <c:showVal val="0"/>
          <c:showCatName val="0"/>
          <c:showSerName val="0"/>
          <c:showPercent val="0"/>
          <c:showBubbleSize val="0"/>
        </c:dLbls>
        <c:marker val="1"/>
        <c:smooth val="0"/>
        <c:axId val="308805144"/>
        <c:axId val="308805536"/>
      </c:lineChart>
      <c:catAx>
        <c:axId val="308805144"/>
        <c:scaling>
          <c:orientation val="minMax"/>
        </c:scaling>
        <c:delete val="0"/>
        <c:axPos val="b"/>
        <c:numFmt formatCode="General" sourceLinked="1"/>
        <c:majorTickMark val="out"/>
        <c:minorTickMark val="none"/>
        <c:tickLblPos val="nextTo"/>
        <c:crossAx val="308805536"/>
        <c:crosses val="autoZero"/>
        <c:auto val="1"/>
        <c:lblAlgn val="ctr"/>
        <c:lblOffset val="100"/>
        <c:noMultiLvlLbl val="0"/>
      </c:catAx>
      <c:valAx>
        <c:axId val="308805536"/>
        <c:scaling>
          <c:orientation val="minMax"/>
        </c:scaling>
        <c:delete val="0"/>
        <c:axPos val="l"/>
        <c:majorGridlines/>
        <c:numFmt formatCode="#,##0" sourceLinked="1"/>
        <c:majorTickMark val="out"/>
        <c:minorTickMark val="none"/>
        <c:tickLblPos val="nextTo"/>
        <c:crossAx val="308805144"/>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518E-4A20-86BC-83B2FEFB0049}"/>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06998840"/>
        <c:axId val="308805928"/>
      </c:lineChart>
      <c:catAx>
        <c:axId val="306998840"/>
        <c:scaling>
          <c:orientation val="minMax"/>
        </c:scaling>
        <c:delete val="0"/>
        <c:axPos val="b"/>
        <c:numFmt formatCode="General" sourceLinked="1"/>
        <c:majorTickMark val="out"/>
        <c:minorTickMark val="none"/>
        <c:tickLblPos val="nextTo"/>
        <c:crossAx val="308805928"/>
        <c:crosses val="autoZero"/>
        <c:auto val="1"/>
        <c:lblAlgn val="ctr"/>
        <c:lblOffset val="100"/>
        <c:noMultiLvlLbl val="0"/>
      </c:catAx>
      <c:valAx>
        <c:axId val="308805928"/>
        <c:scaling>
          <c:orientation val="minMax"/>
        </c:scaling>
        <c:delete val="0"/>
        <c:axPos val="l"/>
        <c:majorGridlines/>
        <c:numFmt formatCode="General" sourceLinked="1"/>
        <c:majorTickMark val="out"/>
        <c:minorTickMark val="none"/>
        <c:tickLblPos val="nextTo"/>
        <c:crossAx val="306998840"/>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Broomhouse!$B$177:$B$190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Broomhouse!$J$177:$J$190</c:f>
              <c:numCache>
                <c:formatCode>General</c:formatCode>
                <c:ptCount val="14"/>
                <c:pt idx="0">
                  <c:v>165</c:v>
                </c:pt>
                <c:pt idx="1">
                  <c:v>161</c:v>
                </c:pt>
                <c:pt idx="2">
                  <c:v>149</c:v>
                </c:pt>
                <c:pt idx="3">
                  <c:v>142</c:v>
                </c:pt>
                <c:pt idx="4">
                  <c:v>169</c:v>
                </c:pt>
                <c:pt idx="5">
                  <c:v>157</c:v>
                </c:pt>
                <c:pt idx="6">
                  <c:v>155</c:v>
                </c:pt>
                <c:pt idx="7">
                  <c:v>143</c:v>
                </c:pt>
                <c:pt idx="8">
                  <c:v>159</c:v>
                </c:pt>
                <c:pt idx="9">
                  <c:v>148</c:v>
                </c:pt>
                <c:pt idx="10">
                  <c:v>151</c:v>
                </c:pt>
                <c:pt idx="11">
                  <c:v>168</c:v>
                </c:pt>
                <c:pt idx="12">
                  <c:v>186</c:v>
                </c:pt>
                <c:pt idx="13">
                  <c:v>206</c:v>
                </c:pt>
              </c:numCache>
            </c:numRef>
          </c:val>
          <c:smooth val="0"/>
          <c:extLst xmlns:c16r2="http://schemas.microsoft.com/office/drawing/2015/06/chart">
            <c:ext xmlns:c16="http://schemas.microsoft.com/office/drawing/2014/chart" uri="{C3380CC4-5D6E-409C-BE32-E72D297353CC}">
              <c16:uniqueId val="{00000000-488A-49B6-BC17-78CDFCB5CCE5}"/>
            </c:ext>
          </c:extLst>
        </c:ser>
        <c:dLbls>
          <c:showLegendKey val="0"/>
          <c:showVal val="0"/>
          <c:showCatName val="0"/>
          <c:showSerName val="0"/>
          <c:showPercent val="0"/>
          <c:showBubbleSize val="0"/>
        </c:dLbls>
        <c:marker val="1"/>
        <c:smooth val="0"/>
        <c:axId val="308806712"/>
        <c:axId val="308807104"/>
      </c:lineChart>
      <c:catAx>
        <c:axId val="308806712"/>
        <c:scaling>
          <c:orientation val="minMax"/>
        </c:scaling>
        <c:delete val="0"/>
        <c:axPos val="b"/>
        <c:numFmt formatCode="General" sourceLinked="1"/>
        <c:majorTickMark val="out"/>
        <c:minorTickMark val="none"/>
        <c:tickLblPos val="nextTo"/>
        <c:crossAx val="308807104"/>
        <c:crosses val="autoZero"/>
        <c:auto val="1"/>
        <c:lblAlgn val="ctr"/>
        <c:lblOffset val="100"/>
        <c:noMultiLvlLbl val="0"/>
      </c:catAx>
      <c:valAx>
        <c:axId val="308807104"/>
        <c:scaling>
          <c:orientation val="minMax"/>
        </c:scaling>
        <c:delete val="0"/>
        <c:axPos val="l"/>
        <c:majorGridlines/>
        <c:numFmt formatCode="General" sourceLinked="1"/>
        <c:majorTickMark val="out"/>
        <c:minorTickMark val="none"/>
        <c:tickLblPos val="nextTo"/>
        <c:crossAx val="308806712"/>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Broomhouse!$B$169</c:f>
              <c:strCache>
                <c:ptCount val="1"/>
                <c:pt idx="0">
                  <c:v>Catchment Births (5yrs Prior)</c:v>
                </c:pt>
              </c:strCache>
            </c:strRef>
          </c:tx>
          <c:marker>
            <c:symbol val="square"/>
            <c:size val="7"/>
          </c:marker>
          <c:cat>
            <c:numRef>
              <c:f>Broomhouse!$D$168:$N$168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Broomhouse!$D$169:$N$169</c:f>
              <c:numCache>
                <c:formatCode>#,##0</c:formatCode>
                <c:ptCount val="11"/>
                <c:pt idx="0">
                  <c:v>61</c:v>
                </c:pt>
                <c:pt idx="1">
                  <c:v>56</c:v>
                </c:pt>
                <c:pt idx="2">
                  <c:v>59</c:v>
                </c:pt>
                <c:pt idx="3">
                  <c:v>56</c:v>
                </c:pt>
                <c:pt idx="4">
                  <c:v>58</c:v>
                </c:pt>
                <c:pt idx="5">
                  <c:v>57</c:v>
                </c:pt>
                <c:pt idx="6">
                  <c:v>42</c:v>
                </c:pt>
                <c:pt idx="7">
                  <c:v>37</c:v>
                </c:pt>
                <c:pt idx="8">
                  <c:v>32</c:v>
                </c:pt>
                <c:pt idx="9">
                  <c:v>37</c:v>
                </c:pt>
                <c:pt idx="10">
                  <c:v>31</c:v>
                </c:pt>
              </c:numCache>
            </c:numRef>
          </c:val>
          <c:smooth val="0"/>
          <c:extLst xmlns:c16r2="http://schemas.microsoft.com/office/drawing/2015/06/chart">
            <c:ext xmlns:c16="http://schemas.microsoft.com/office/drawing/2014/chart" uri="{C3380CC4-5D6E-409C-BE32-E72D297353CC}">
              <c16:uniqueId val="{00000000-FA3C-4C7F-A9E2-47E97095D4AB}"/>
            </c:ext>
          </c:extLst>
        </c:ser>
        <c:ser>
          <c:idx val="1"/>
          <c:order val="1"/>
          <c:tx>
            <c:strRef>
              <c:f>Broomhouse!$B$170</c:f>
              <c:strCache>
                <c:ptCount val="1"/>
                <c:pt idx="0">
                  <c:v>P1 ND Catchment Population (Actual)</c:v>
                </c:pt>
              </c:strCache>
            </c:strRef>
          </c:tx>
          <c:cat>
            <c:numRef>
              <c:f>Broomhouse!$D$168:$N$168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Broomhouse!$D$170:$I$170</c:f>
              <c:numCache>
                <c:formatCode>#,##0</c:formatCode>
                <c:ptCount val="6"/>
                <c:pt idx="0">
                  <c:v>44</c:v>
                </c:pt>
                <c:pt idx="1">
                  <c:v>30</c:v>
                </c:pt>
                <c:pt idx="2">
                  <c:v>31</c:v>
                </c:pt>
                <c:pt idx="3">
                  <c:v>33</c:v>
                </c:pt>
                <c:pt idx="4">
                  <c:v>33</c:v>
                </c:pt>
                <c:pt idx="5">
                  <c:v>41</c:v>
                </c:pt>
              </c:numCache>
            </c:numRef>
          </c:val>
          <c:smooth val="0"/>
          <c:extLst xmlns:c16r2="http://schemas.microsoft.com/office/drawing/2015/06/chart">
            <c:ext xmlns:c16="http://schemas.microsoft.com/office/drawing/2014/chart" uri="{C3380CC4-5D6E-409C-BE32-E72D297353CC}">
              <c16:uniqueId val="{00000001-FA3C-4C7F-A9E2-47E97095D4AB}"/>
            </c:ext>
          </c:extLst>
        </c:ser>
        <c:ser>
          <c:idx val="2"/>
          <c:order val="2"/>
          <c:tx>
            <c:strRef>
              <c:f>Broomhouse!$B$172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FA3C-4C7F-A9E2-47E97095D4AB}"/>
              </c:ext>
            </c:extLst>
          </c:dPt>
          <c:dPt>
            <c:idx val="5"/>
            <c:marker>
              <c:symbol val="none"/>
            </c:marker>
            <c:bubble3D val="0"/>
            <c:extLst xmlns:c16r2="http://schemas.microsoft.com/office/drawing/2015/06/chart">
              <c:ext xmlns:c16="http://schemas.microsoft.com/office/drawing/2014/chart" uri="{C3380CC4-5D6E-409C-BE32-E72D297353CC}">
                <c16:uniqueId val="{00000003-FA3C-4C7F-A9E2-47E97095D4AB}"/>
              </c:ext>
            </c:extLst>
          </c:dPt>
          <c:dPt>
            <c:idx val="6"/>
            <c:marker>
              <c:symbol val="circle"/>
              <c:size val="7"/>
            </c:marker>
            <c:bubble3D val="0"/>
            <c:extLst xmlns:c16r2="http://schemas.microsoft.com/office/drawing/2015/06/chart">
              <c:ext xmlns:c16="http://schemas.microsoft.com/office/drawing/2014/chart" uri="{C3380CC4-5D6E-409C-BE32-E72D297353CC}">
                <c16:uniqueId val="{00000004-FA3C-4C7F-A9E2-47E97095D4AB}"/>
              </c:ext>
            </c:extLst>
          </c:dPt>
          <c:dPt>
            <c:idx val="7"/>
            <c:marker>
              <c:symbol val="circle"/>
              <c:size val="7"/>
            </c:marker>
            <c:bubble3D val="0"/>
            <c:extLst xmlns:c16r2="http://schemas.microsoft.com/office/drawing/2015/06/chart">
              <c:ext xmlns:c16="http://schemas.microsoft.com/office/drawing/2014/chart" uri="{C3380CC4-5D6E-409C-BE32-E72D297353CC}">
                <c16:uniqueId val="{00000005-FA3C-4C7F-A9E2-47E97095D4AB}"/>
              </c:ext>
            </c:extLst>
          </c:dPt>
          <c:dPt>
            <c:idx val="8"/>
            <c:marker>
              <c:symbol val="circle"/>
              <c:size val="7"/>
            </c:marker>
            <c:bubble3D val="0"/>
            <c:extLst xmlns:c16r2="http://schemas.microsoft.com/office/drawing/2015/06/chart">
              <c:ext xmlns:c16="http://schemas.microsoft.com/office/drawing/2014/chart" uri="{C3380CC4-5D6E-409C-BE32-E72D297353CC}">
                <c16:uniqueId val="{00000006-FA3C-4C7F-A9E2-47E97095D4AB}"/>
              </c:ext>
            </c:extLst>
          </c:dPt>
          <c:dPt>
            <c:idx val="9"/>
            <c:marker>
              <c:symbol val="circle"/>
              <c:size val="7"/>
            </c:marker>
            <c:bubble3D val="0"/>
            <c:extLst xmlns:c16r2="http://schemas.microsoft.com/office/drawing/2015/06/chart">
              <c:ext xmlns:c16="http://schemas.microsoft.com/office/drawing/2014/chart" uri="{C3380CC4-5D6E-409C-BE32-E72D297353CC}">
                <c16:uniqueId val="{00000007-FA3C-4C7F-A9E2-47E97095D4AB}"/>
              </c:ext>
            </c:extLst>
          </c:dPt>
          <c:dPt>
            <c:idx val="10"/>
            <c:marker>
              <c:symbol val="circle"/>
              <c:size val="7"/>
            </c:marker>
            <c:bubble3D val="0"/>
            <c:extLst xmlns:c16r2="http://schemas.microsoft.com/office/drawing/2015/06/chart">
              <c:ext xmlns:c16="http://schemas.microsoft.com/office/drawing/2014/chart" uri="{C3380CC4-5D6E-409C-BE32-E72D297353CC}">
                <c16:uniqueId val="{00000008-FA3C-4C7F-A9E2-47E97095D4AB}"/>
              </c:ext>
            </c:extLst>
          </c:dPt>
          <c:cat>
            <c:numRef>
              <c:f>Broomhouse!$D$168:$N$168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Broomhouse!$D$172:$N$172</c:f>
              <c:numCache>
                <c:formatCode>General</c:formatCode>
                <c:ptCount val="11"/>
                <c:pt idx="5" formatCode="0">
                  <c:v>41</c:v>
                </c:pt>
                <c:pt idx="6" formatCode="0">
                  <c:v>0</c:v>
                </c:pt>
                <c:pt idx="7" formatCode="0">
                  <c:v>30</c:v>
                </c:pt>
                <c:pt idx="8" formatCode="0">
                  <c:v>29</c:v>
                </c:pt>
                <c:pt idx="9" formatCode="0">
                  <c:v>41</c:v>
                </c:pt>
                <c:pt idx="10" formatCode="0">
                  <c:v>34</c:v>
                </c:pt>
              </c:numCache>
            </c:numRef>
          </c:val>
          <c:smooth val="0"/>
          <c:extLst xmlns:c16r2="http://schemas.microsoft.com/office/drawing/2015/06/chart">
            <c:ext xmlns:c16="http://schemas.microsoft.com/office/drawing/2014/chart" uri="{C3380CC4-5D6E-409C-BE32-E72D297353CC}">
              <c16:uniqueId val="{00000009-FA3C-4C7F-A9E2-47E97095D4AB}"/>
            </c:ext>
          </c:extLst>
        </c:ser>
        <c:ser>
          <c:idx val="3"/>
          <c:order val="3"/>
          <c:tx>
            <c:strRef>
              <c:f>Broomhouse!$B$171</c:f>
              <c:strCache>
                <c:ptCount val="1"/>
                <c:pt idx="0">
                  <c:v>Actual P1 Registrations (as of Jan 2016)</c:v>
                </c:pt>
              </c:strCache>
            </c:strRef>
          </c:tx>
          <c:spPr>
            <a:ln w="15875">
              <a:noFill/>
            </a:ln>
          </c:spPr>
          <c:marker>
            <c:symbol val="diamond"/>
            <c:size val="9"/>
            <c:spPr>
              <a:solidFill>
                <a:schemeClr val="tx1"/>
              </a:solidFill>
            </c:spPr>
          </c:marker>
          <c:cat>
            <c:numRef>
              <c:f>Broomhouse!$D$168:$N$168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Broomhouse!$D$171:$M$171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FA3C-4C7F-A9E2-47E97095D4AB}"/>
            </c:ext>
          </c:extLst>
        </c:ser>
        <c:dLbls>
          <c:showLegendKey val="0"/>
          <c:showVal val="0"/>
          <c:showCatName val="0"/>
          <c:showSerName val="0"/>
          <c:showPercent val="0"/>
          <c:showBubbleSize val="0"/>
        </c:dLbls>
        <c:marker val="1"/>
        <c:smooth val="0"/>
        <c:axId val="308807888"/>
        <c:axId val="308808280"/>
      </c:lineChart>
      <c:catAx>
        <c:axId val="308807888"/>
        <c:scaling>
          <c:orientation val="minMax"/>
        </c:scaling>
        <c:delete val="0"/>
        <c:axPos val="b"/>
        <c:numFmt formatCode="General" sourceLinked="1"/>
        <c:majorTickMark val="out"/>
        <c:minorTickMark val="none"/>
        <c:tickLblPos val="nextTo"/>
        <c:crossAx val="308808280"/>
        <c:crosses val="autoZero"/>
        <c:auto val="1"/>
        <c:lblAlgn val="ctr"/>
        <c:lblOffset val="100"/>
        <c:noMultiLvlLbl val="0"/>
      </c:catAx>
      <c:valAx>
        <c:axId val="308808280"/>
        <c:scaling>
          <c:orientation val="minMax"/>
        </c:scaling>
        <c:delete val="0"/>
        <c:axPos val="l"/>
        <c:majorGridlines/>
        <c:numFmt formatCode="#,##0" sourceLinked="1"/>
        <c:majorTickMark val="out"/>
        <c:minorTickMark val="none"/>
        <c:tickLblPos val="nextTo"/>
        <c:crossAx val="308807888"/>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9217-4236-A883-B907E23932DF}"/>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02370624"/>
        <c:axId val="302371016"/>
      </c:lineChart>
      <c:catAx>
        <c:axId val="302370624"/>
        <c:scaling>
          <c:orientation val="minMax"/>
        </c:scaling>
        <c:delete val="0"/>
        <c:axPos val="b"/>
        <c:numFmt formatCode="General" sourceLinked="1"/>
        <c:majorTickMark val="out"/>
        <c:minorTickMark val="none"/>
        <c:tickLblPos val="nextTo"/>
        <c:crossAx val="302371016"/>
        <c:crosses val="autoZero"/>
        <c:auto val="1"/>
        <c:lblAlgn val="ctr"/>
        <c:lblOffset val="100"/>
        <c:noMultiLvlLbl val="0"/>
      </c:catAx>
      <c:valAx>
        <c:axId val="302371016"/>
        <c:scaling>
          <c:orientation val="minMax"/>
        </c:scaling>
        <c:delete val="0"/>
        <c:axPos val="l"/>
        <c:majorGridlines/>
        <c:numFmt formatCode="General" sourceLinked="1"/>
        <c:majorTickMark val="out"/>
        <c:minorTickMark val="none"/>
        <c:tickLblPos val="nextTo"/>
        <c:crossAx val="302370624"/>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Broughton!$B$177:$B$190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Broughton!$J$177:$J$190</c:f>
              <c:numCache>
                <c:formatCode>General</c:formatCode>
                <c:ptCount val="14"/>
                <c:pt idx="0">
                  <c:v>310</c:v>
                </c:pt>
                <c:pt idx="1">
                  <c:v>325</c:v>
                </c:pt>
                <c:pt idx="2">
                  <c:v>326</c:v>
                </c:pt>
                <c:pt idx="3">
                  <c:v>310</c:v>
                </c:pt>
                <c:pt idx="4">
                  <c:v>296</c:v>
                </c:pt>
                <c:pt idx="5">
                  <c:v>314</c:v>
                </c:pt>
                <c:pt idx="6">
                  <c:v>330</c:v>
                </c:pt>
                <c:pt idx="7">
                  <c:v>335</c:v>
                </c:pt>
                <c:pt idx="8">
                  <c:v>330</c:v>
                </c:pt>
                <c:pt idx="9">
                  <c:v>324</c:v>
                </c:pt>
                <c:pt idx="10">
                  <c:v>346</c:v>
                </c:pt>
                <c:pt idx="11">
                  <c:v>384</c:v>
                </c:pt>
                <c:pt idx="12">
                  <c:v>362</c:v>
                </c:pt>
                <c:pt idx="13">
                  <c:v>355</c:v>
                </c:pt>
              </c:numCache>
            </c:numRef>
          </c:val>
          <c:smooth val="0"/>
          <c:extLst xmlns:c16r2="http://schemas.microsoft.com/office/drawing/2015/06/chart">
            <c:ext xmlns:c16="http://schemas.microsoft.com/office/drawing/2014/chart" uri="{C3380CC4-5D6E-409C-BE32-E72D297353CC}">
              <c16:uniqueId val="{00000000-0616-466B-9E98-8626FC9F8BAC}"/>
            </c:ext>
          </c:extLst>
        </c:ser>
        <c:dLbls>
          <c:showLegendKey val="0"/>
          <c:showVal val="0"/>
          <c:showCatName val="0"/>
          <c:showSerName val="0"/>
          <c:showPercent val="0"/>
          <c:showBubbleSize val="0"/>
        </c:dLbls>
        <c:marker val="1"/>
        <c:smooth val="0"/>
        <c:axId val="302371800"/>
        <c:axId val="302372192"/>
      </c:lineChart>
      <c:catAx>
        <c:axId val="302371800"/>
        <c:scaling>
          <c:orientation val="minMax"/>
        </c:scaling>
        <c:delete val="0"/>
        <c:axPos val="b"/>
        <c:numFmt formatCode="General" sourceLinked="1"/>
        <c:majorTickMark val="out"/>
        <c:minorTickMark val="none"/>
        <c:tickLblPos val="nextTo"/>
        <c:crossAx val="302372192"/>
        <c:crosses val="autoZero"/>
        <c:auto val="1"/>
        <c:lblAlgn val="ctr"/>
        <c:lblOffset val="100"/>
        <c:noMultiLvlLbl val="0"/>
      </c:catAx>
      <c:valAx>
        <c:axId val="302372192"/>
        <c:scaling>
          <c:orientation val="minMax"/>
        </c:scaling>
        <c:delete val="0"/>
        <c:axPos val="l"/>
        <c:majorGridlines/>
        <c:numFmt formatCode="General" sourceLinked="1"/>
        <c:majorTickMark val="out"/>
        <c:minorTickMark val="none"/>
        <c:tickLblPos val="nextTo"/>
        <c:crossAx val="302371800"/>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Broughton!$B$169</c:f>
              <c:strCache>
                <c:ptCount val="1"/>
                <c:pt idx="0">
                  <c:v>Catchment Births (5yrs Prior)</c:v>
                </c:pt>
              </c:strCache>
            </c:strRef>
          </c:tx>
          <c:marker>
            <c:symbol val="square"/>
            <c:size val="7"/>
          </c:marker>
          <c:cat>
            <c:numRef>
              <c:f>Broughton!$D$168:$N$168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Broughton!$D$169:$N$169</c:f>
              <c:numCache>
                <c:formatCode>#,##0</c:formatCode>
                <c:ptCount val="11"/>
                <c:pt idx="0">
                  <c:v>169</c:v>
                </c:pt>
                <c:pt idx="1">
                  <c:v>188</c:v>
                </c:pt>
                <c:pt idx="2">
                  <c:v>168</c:v>
                </c:pt>
                <c:pt idx="3">
                  <c:v>182</c:v>
                </c:pt>
                <c:pt idx="4">
                  <c:v>211</c:v>
                </c:pt>
                <c:pt idx="5">
                  <c:v>213</c:v>
                </c:pt>
                <c:pt idx="6">
                  <c:v>212</c:v>
                </c:pt>
                <c:pt idx="7">
                  <c:v>223</c:v>
                </c:pt>
                <c:pt idx="8">
                  <c:v>198</c:v>
                </c:pt>
                <c:pt idx="9">
                  <c:v>197</c:v>
                </c:pt>
                <c:pt idx="10">
                  <c:v>213</c:v>
                </c:pt>
              </c:numCache>
            </c:numRef>
          </c:val>
          <c:smooth val="0"/>
          <c:extLst xmlns:c16r2="http://schemas.microsoft.com/office/drawing/2015/06/chart">
            <c:ext xmlns:c16="http://schemas.microsoft.com/office/drawing/2014/chart" uri="{C3380CC4-5D6E-409C-BE32-E72D297353CC}">
              <c16:uniqueId val="{00000000-DC92-400E-B236-13BA2FA509B8}"/>
            </c:ext>
          </c:extLst>
        </c:ser>
        <c:ser>
          <c:idx val="1"/>
          <c:order val="1"/>
          <c:tx>
            <c:strRef>
              <c:f>Broughton!$B$170</c:f>
              <c:strCache>
                <c:ptCount val="1"/>
                <c:pt idx="0">
                  <c:v>P1 ND Catchment Population (Actual)</c:v>
                </c:pt>
              </c:strCache>
            </c:strRef>
          </c:tx>
          <c:cat>
            <c:numRef>
              <c:f>Broughton!$D$168:$N$168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Broughton!$D$170:$I$170</c:f>
              <c:numCache>
                <c:formatCode>#,##0</c:formatCode>
                <c:ptCount val="6"/>
                <c:pt idx="0">
                  <c:v>47</c:v>
                </c:pt>
                <c:pt idx="1">
                  <c:v>53</c:v>
                </c:pt>
                <c:pt idx="2">
                  <c:v>54</c:v>
                </c:pt>
                <c:pt idx="3">
                  <c:v>75</c:v>
                </c:pt>
                <c:pt idx="4">
                  <c:v>75</c:v>
                </c:pt>
                <c:pt idx="5">
                  <c:v>54</c:v>
                </c:pt>
              </c:numCache>
            </c:numRef>
          </c:val>
          <c:smooth val="0"/>
          <c:extLst xmlns:c16r2="http://schemas.microsoft.com/office/drawing/2015/06/chart">
            <c:ext xmlns:c16="http://schemas.microsoft.com/office/drawing/2014/chart" uri="{C3380CC4-5D6E-409C-BE32-E72D297353CC}">
              <c16:uniqueId val="{00000001-DC92-400E-B236-13BA2FA509B8}"/>
            </c:ext>
          </c:extLst>
        </c:ser>
        <c:ser>
          <c:idx val="2"/>
          <c:order val="2"/>
          <c:tx>
            <c:strRef>
              <c:f>Broughton!$B$172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DC92-400E-B236-13BA2FA509B8}"/>
              </c:ext>
            </c:extLst>
          </c:dPt>
          <c:dPt>
            <c:idx val="5"/>
            <c:marker>
              <c:symbol val="none"/>
            </c:marker>
            <c:bubble3D val="0"/>
            <c:extLst xmlns:c16r2="http://schemas.microsoft.com/office/drawing/2015/06/chart">
              <c:ext xmlns:c16="http://schemas.microsoft.com/office/drawing/2014/chart" uri="{C3380CC4-5D6E-409C-BE32-E72D297353CC}">
                <c16:uniqueId val="{00000003-DC92-400E-B236-13BA2FA509B8}"/>
              </c:ext>
            </c:extLst>
          </c:dPt>
          <c:dPt>
            <c:idx val="6"/>
            <c:marker>
              <c:symbol val="circle"/>
              <c:size val="7"/>
            </c:marker>
            <c:bubble3D val="0"/>
            <c:extLst xmlns:c16r2="http://schemas.microsoft.com/office/drawing/2015/06/chart">
              <c:ext xmlns:c16="http://schemas.microsoft.com/office/drawing/2014/chart" uri="{C3380CC4-5D6E-409C-BE32-E72D297353CC}">
                <c16:uniqueId val="{00000004-DC92-400E-B236-13BA2FA509B8}"/>
              </c:ext>
            </c:extLst>
          </c:dPt>
          <c:dPt>
            <c:idx val="7"/>
            <c:marker>
              <c:symbol val="circle"/>
              <c:size val="7"/>
            </c:marker>
            <c:bubble3D val="0"/>
            <c:extLst xmlns:c16r2="http://schemas.microsoft.com/office/drawing/2015/06/chart">
              <c:ext xmlns:c16="http://schemas.microsoft.com/office/drawing/2014/chart" uri="{C3380CC4-5D6E-409C-BE32-E72D297353CC}">
                <c16:uniqueId val="{00000005-DC92-400E-B236-13BA2FA509B8}"/>
              </c:ext>
            </c:extLst>
          </c:dPt>
          <c:dPt>
            <c:idx val="8"/>
            <c:marker>
              <c:symbol val="circle"/>
              <c:size val="7"/>
            </c:marker>
            <c:bubble3D val="0"/>
            <c:extLst xmlns:c16r2="http://schemas.microsoft.com/office/drawing/2015/06/chart">
              <c:ext xmlns:c16="http://schemas.microsoft.com/office/drawing/2014/chart" uri="{C3380CC4-5D6E-409C-BE32-E72D297353CC}">
                <c16:uniqueId val="{00000006-DC92-400E-B236-13BA2FA509B8}"/>
              </c:ext>
            </c:extLst>
          </c:dPt>
          <c:dPt>
            <c:idx val="9"/>
            <c:marker>
              <c:symbol val="circle"/>
              <c:size val="7"/>
            </c:marker>
            <c:bubble3D val="0"/>
            <c:extLst xmlns:c16r2="http://schemas.microsoft.com/office/drawing/2015/06/chart">
              <c:ext xmlns:c16="http://schemas.microsoft.com/office/drawing/2014/chart" uri="{C3380CC4-5D6E-409C-BE32-E72D297353CC}">
                <c16:uniqueId val="{00000007-DC92-400E-B236-13BA2FA509B8}"/>
              </c:ext>
            </c:extLst>
          </c:dPt>
          <c:dPt>
            <c:idx val="10"/>
            <c:marker>
              <c:symbol val="circle"/>
              <c:size val="7"/>
            </c:marker>
            <c:bubble3D val="0"/>
            <c:extLst xmlns:c16r2="http://schemas.microsoft.com/office/drawing/2015/06/chart">
              <c:ext xmlns:c16="http://schemas.microsoft.com/office/drawing/2014/chart" uri="{C3380CC4-5D6E-409C-BE32-E72D297353CC}">
                <c16:uniqueId val="{00000008-DC92-400E-B236-13BA2FA509B8}"/>
              </c:ext>
            </c:extLst>
          </c:dPt>
          <c:cat>
            <c:numRef>
              <c:f>Broughton!$D$168:$N$168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Broughton!$D$172:$N$172</c:f>
              <c:numCache>
                <c:formatCode>General</c:formatCode>
                <c:ptCount val="11"/>
                <c:pt idx="5" formatCode="0">
                  <c:v>54</c:v>
                </c:pt>
                <c:pt idx="6" formatCode="0">
                  <c:v>0</c:v>
                </c:pt>
                <c:pt idx="7" formatCode="0">
                  <c:v>64</c:v>
                </c:pt>
                <c:pt idx="8" formatCode="0">
                  <c:v>70</c:v>
                </c:pt>
                <c:pt idx="9" formatCode="0">
                  <c:v>65</c:v>
                </c:pt>
                <c:pt idx="10" formatCode="0">
                  <c:v>74</c:v>
                </c:pt>
              </c:numCache>
            </c:numRef>
          </c:val>
          <c:smooth val="0"/>
          <c:extLst xmlns:c16r2="http://schemas.microsoft.com/office/drawing/2015/06/chart">
            <c:ext xmlns:c16="http://schemas.microsoft.com/office/drawing/2014/chart" uri="{C3380CC4-5D6E-409C-BE32-E72D297353CC}">
              <c16:uniqueId val="{00000009-DC92-400E-B236-13BA2FA509B8}"/>
            </c:ext>
          </c:extLst>
        </c:ser>
        <c:ser>
          <c:idx val="3"/>
          <c:order val="3"/>
          <c:tx>
            <c:strRef>
              <c:f>Broughton!$B$171</c:f>
              <c:strCache>
                <c:ptCount val="1"/>
                <c:pt idx="0">
                  <c:v>Actual P1 Registrations (as of Jan 2016)</c:v>
                </c:pt>
              </c:strCache>
            </c:strRef>
          </c:tx>
          <c:spPr>
            <a:ln w="15875">
              <a:noFill/>
            </a:ln>
          </c:spPr>
          <c:marker>
            <c:symbol val="diamond"/>
            <c:size val="9"/>
            <c:spPr>
              <a:solidFill>
                <a:schemeClr val="tx1"/>
              </a:solidFill>
            </c:spPr>
          </c:marker>
          <c:cat>
            <c:numRef>
              <c:f>Broughton!$D$168:$N$168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Broughton!$D$171:$M$171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DC92-400E-B236-13BA2FA509B8}"/>
            </c:ext>
          </c:extLst>
        </c:ser>
        <c:dLbls>
          <c:showLegendKey val="0"/>
          <c:showVal val="0"/>
          <c:showCatName val="0"/>
          <c:showSerName val="0"/>
          <c:showPercent val="0"/>
          <c:showBubbleSize val="0"/>
        </c:dLbls>
        <c:marker val="1"/>
        <c:smooth val="0"/>
        <c:axId val="302372976"/>
        <c:axId val="302373368"/>
      </c:lineChart>
      <c:catAx>
        <c:axId val="302372976"/>
        <c:scaling>
          <c:orientation val="minMax"/>
        </c:scaling>
        <c:delete val="0"/>
        <c:axPos val="b"/>
        <c:numFmt formatCode="General" sourceLinked="1"/>
        <c:majorTickMark val="out"/>
        <c:minorTickMark val="none"/>
        <c:tickLblPos val="nextTo"/>
        <c:crossAx val="302373368"/>
        <c:crosses val="autoZero"/>
        <c:auto val="1"/>
        <c:lblAlgn val="ctr"/>
        <c:lblOffset val="100"/>
        <c:noMultiLvlLbl val="0"/>
      </c:catAx>
      <c:valAx>
        <c:axId val="302373368"/>
        <c:scaling>
          <c:orientation val="minMax"/>
        </c:scaling>
        <c:delete val="0"/>
        <c:axPos val="l"/>
        <c:majorGridlines/>
        <c:numFmt formatCode="#,##0" sourceLinked="1"/>
        <c:majorTickMark val="out"/>
        <c:minorTickMark val="none"/>
        <c:tickLblPos val="nextTo"/>
        <c:crossAx val="302372976"/>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F779-4C90-8ED8-2AF50EF7885D}"/>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02374152"/>
        <c:axId val="300790680"/>
      </c:lineChart>
      <c:catAx>
        <c:axId val="302374152"/>
        <c:scaling>
          <c:orientation val="minMax"/>
        </c:scaling>
        <c:delete val="0"/>
        <c:axPos val="b"/>
        <c:numFmt formatCode="General" sourceLinked="1"/>
        <c:majorTickMark val="out"/>
        <c:minorTickMark val="none"/>
        <c:tickLblPos val="nextTo"/>
        <c:crossAx val="300790680"/>
        <c:crosses val="autoZero"/>
        <c:auto val="1"/>
        <c:lblAlgn val="ctr"/>
        <c:lblOffset val="100"/>
        <c:noMultiLvlLbl val="0"/>
      </c:catAx>
      <c:valAx>
        <c:axId val="300790680"/>
        <c:scaling>
          <c:orientation val="minMax"/>
        </c:scaling>
        <c:delete val="0"/>
        <c:axPos val="l"/>
        <c:majorGridlines/>
        <c:numFmt formatCode="General" sourceLinked="1"/>
        <c:majorTickMark val="out"/>
        <c:minorTickMark val="none"/>
        <c:tickLblPos val="nextTo"/>
        <c:crossAx val="302374152"/>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Brunstane!$B$177:$B$190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Brunstane!$J$177:$J$190</c:f>
              <c:numCache>
                <c:formatCode>General</c:formatCode>
                <c:ptCount val="14"/>
                <c:pt idx="0">
                  <c:v>222</c:v>
                </c:pt>
                <c:pt idx="1">
                  <c:v>200</c:v>
                </c:pt>
                <c:pt idx="2">
                  <c:v>199</c:v>
                </c:pt>
                <c:pt idx="3">
                  <c:v>183</c:v>
                </c:pt>
                <c:pt idx="4">
                  <c:v>171</c:v>
                </c:pt>
                <c:pt idx="5">
                  <c:v>181</c:v>
                </c:pt>
                <c:pt idx="6">
                  <c:v>174</c:v>
                </c:pt>
                <c:pt idx="7">
                  <c:v>201</c:v>
                </c:pt>
                <c:pt idx="8">
                  <c:v>180</c:v>
                </c:pt>
                <c:pt idx="9">
                  <c:v>172</c:v>
                </c:pt>
                <c:pt idx="10">
                  <c:v>172</c:v>
                </c:pt>
                <c:pt idx="11">
                  <c:v>186</c:v>
                </c:pt>
                <c:pt idx="12">
                  <c:v>179</c:v>
                </c:pt>
                <c:pt idx="13">
                  <c:v>175</c:v>
                </c:pt>
              </c:numCache>
            </c:numRef>
          </c:val>
          <c:smooth val="0"/>
          <c:extLst xmlns:c16r2="http://schemas.microsoft.com/office/drawing/2015/06/chart">
            <c:ext xmlns:c16="http://schemas.microsoft.com/office/drawing/2014/chart" uri="{C3380CC4-5D6E-409C-BE32-E72D297353CC}">
              <c16:uniqueId val="{00000000-7BFB-4F40-A1FA-A2637CA90E86}"/>
            </c:ext>
          </c:extLst>
        </c:ser>
        <c:dLbls>
          <c:showLegendKey val="0"/>
          <c:showVal val="0"/>
          <c:showCatName val="0"/>
          <c:showSerName val="0"/>
          <c:showPercent val="0"/>
          <c:showBubbleSize val="0"/>
        </c:dLbls>
        <c:marker val="1"/>
        <c:smooth val="0"/>
        <c:axId val="300791464"/>
        <c:axId val="300791856"/>
      </c:lineChart>
      <c:catAx>
        <c:axId val="300791464"/>
        <c:scaling>
          <c:orientation val="minMax"/>
        </c:scaling>
        <c:delete val="0"/>
        <c:axPos val="b"/>
        <c:numFmt formatCode="General" sourceLinked="1"/>
        <c:majorTickMark val="out"/>
        <c:minorTickMark val="none"/>
        <c:tickLblPos val="nextTo"/>
        <c:crossAx val="300791856"/>
        <c:crosses val="autoZero"/>
        <c:auto val="1"/>
        <c:lblAlgn val="ctr"/>
        <c:lblOffset val="100"/>
        <c:noMultiLvlLbl val="0"/>
      </c:catAx>
      <c:valAx>
        <c:axId val="300791856"/>
        <c:scaling>
          <c:orientation val="minMax"/>
        </c:scaling>
        <c:delete val="0"/>
        <c:axPos val="l"/>
        <c:majorGridlines/>
        <c:numFmt formatCode="General" sourceLinked="1"/>
        <c:majorTickMark val="out"/>
        <c:minorTickMark val="none"/>
        <c:tickLblPos val="nextTo"/>
        <c:crossAx val="300791464"/>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Brunstane!$B$169</c:f>
              <c:strCache>
                <c:ptCount val="1"/>
                <c:pt idx="0">
                  <c:v>Catchment Births (5yrs Prior)</c:v>
                </c:pt>
              </c:strCache>
            </c:strRef>
          </c:tx>
          <c:marker>
            <c:symbol val="square"/>
            <c:size val="7"/>
          </c:marker>
          <c:cat>
            <c:numRef>
              <c:f>Brunstane!$D$168:$N$168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Brunstane!$D$169:$N$169</c:f>
              <c:numCache>
                <c:formatCode>#,##0</c:formatCode>
                <c:ptCount val="11"/>
                <c:pt idx="0">
                  <c:v>57</c:v>
                </c:pt>
                <c:pt idx="1">
                  <c:v>53</c:v>
                </c:pt>
                <c:pt idx="2">
                  <c:v>68</c:v>
                </c:pt>
                <c:pt idx="3">
                  <c:v>59</c:v>
                </c:pt>
                <c:pt idx="4">
                  <c:v>50</c:v>
                </c:pt>
                <c:pt idx="5">
                  <c:v>49</c:v>
                </c:pt>
                <c:pt idx="6">
                  <c:v>60</c:v>
                </c:pt>
                <c:pt idx="7">
                  <c:v>62</c:v>
                </c:pt>
                <c:pt idx="8">
                  <c:v>52</c:v>
                </c:pt>
                <c:pt idx="9">
                  <c:v>55</c:v>
                </c:pt>
                <c:pt idx="10">
                  <c:v>85</c:v>
                </c:pt>
              </c:numCache>
            </c:numRef>
          </c:val>
          <c:smooth val="0"/>
          <c:extLst xmlns:c16r2="http://schemas.microsoft.com/office/drawing/2015/06/chart">
            <c:ext xmlns:c16="http://schemas.microsoft.com/office/drawing/2014/chart" uri="{C3380CC4-5D6E-409C-BE32-E72D297353CC}">
              <c16:uniqueId val="{00000000-6459-40B8-89BE-F6B64B66730B}"/>
            </c:ext>
          </c:extLst>
        </c:ser>
        <c:ser>
          <c:idx val="1"/>
          <c:order val="1"/>
          <c:tx>
            <c:strRef>
              <c:f>Brunstane!$B$170</c:f>
              <c:strCache>
                <c:ptCount val="1"/>
                <c:pt idx="0">
                  <c:v>P1 ND Catchment Population (Actual)</c:v>
                </c:pt>
              </c:strCache>
            </c:strRef>
          </c:tx>
          <c:cat>
            <c:numRef>
              <c:f>Brunstane!$D$168:$N$168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Brunstane!$D$170:$I$170</c:f>
              <c:numCache>
                <c:formatCode>#,##0</c:formatCode>
                <c:ptCount val="6"/>
                <c:pt idx="0">
                  <c:v>39</c:v>
                </c:pt>
                <c:pt idx="1">
                  <c:v>28</c:v>
                </c:pt>
                <c:pt idx="2">
                  <c:v>29</c:v>
                </c:pt>
                <c:pt idx="3">
                  <c:v>39</c:v>
                </c:pt>
                <c:pt idx="4">
                  <c:v>33</c:v>
                </c:pt>
                <c:pt idx="5">
                  <c:v>32</c:v>
                </c:pt>
              </c:numCache>
            </c:numRef>
          </c:val>
          <c:smooth val="0"/>
          <c:extLst xmlns:c16r2="http://schemas.microsoft.com/office/drawing/2015/06/chart">
            <c:ext xmlns:c16="http://schemas.microsoft.com/office/drawing/2014/chart" uri="{C3380CC4-5D6E-409C-BE32-E72D297353CC}">
              <c16:uniqueId val="{00000001-6459-40B8-89BE-F6B64B66730B}"/>
            </c:ext>
          </c:extLst>
        </c:ser>
        <c:ser>
          <c:idx val="2"/>
          <c:order val="2"/>
          <c:tx>
            <c:strRef>
              <c:f>Brunstane!$B$172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6459-40B8-89BE-F6B64B66730B}"/>
              </c:ext>
            </c:extLst>
          </c:dPt>
          <c:dPt>
            <c:idx val="5"/>
            <c:marker>
              <c:symbol val="none"/>
            </c:marker>
            <c:bubble3D val="0"/>
            <c:extLst xmlns:c16r2="http://schemas.microsoft.com/office/drawing/2015/06/chart">
              <c:ext xmlns:c16="http://schemas.microsoft.com/office/drawing/2014/chart" uri="{C3380CC4-5D6E-409C-BE32-E72D297353CC}">
                <c16:uniqueId val="{00000003-6459-40B8-89BE-F6B64B66730B}"/>
              </c:ext>
            </c:extLst>
          </c:dPt>
          <c:dPt>
            <c:idx val="6"/>
            <c:marker>
              <c:symbol val="circle"/>
              <c:size val="7"/>
            </c:marker>
            <c:bubble3D val="0"/>
            <c:extLst xmlns:c16r2="http://schemas.microsoft.com/office/drawing/2015/06/chart">
              <c:ext xmlns:c16="http://schemas.microsoft.com/office/drawing/2014/chart" uri="{C3380CC4-5D6E-409C-BE32-E72D297353CC}">
                <c16:uniqueId val="{00000004-6459-40B8-89BE-F6B64B66730B}"/>
              </c:ext>
            </c:extLst>
          </c:dPt>
          <c:dPt>
            <c:idx val="7"/>
            <c:marker>
              <c:symbol val="circle"/>
              <c:size val="7"/>
            </c:marker>
            <c:bubble3D val="0"/>
            <c:extLst xmlns:c16r2="http://schemas.microsoft.com/office/drawing/2015/06/chart">
              <c:ext xmlns:c16="http://schemas.microsoft.com/office/drawing/2014/chart" uri="{C3380CC4-5D6E-409C-BE32-E72D297353CC}">
                <c16:uniqueId val="{00000005-6459-40B8-89BE-F6B64B66730B}"/>
              </c:ext>
            </c:extLst>
          </c:dPt>
          <c:dPt>
            <c:idx val="8"/>
            <c:marker>
              <c:symbol val="circle"/>
              <c:size val="7"/>
            </c:marker>
            <c:bubble3D val="0"/>
            <c:extLst xmlns:c16r2="http://schemas.microsoft.com/office/drawing/2015/06/chart">
              <c:ext xmlns:c16="http://schemas.microsoft.com/office/drawing/2014/chart" uri="{C3380CC4-5D6E-409C-BE32-E72D297353CC}">
                <c16:uniqueId val="{00000006-6459-40B8-89BE-F6B64B66730B}"/>
              </c:ext>
            </c:extLst>
          </c:dPt>
          <c:dPt>
            <c:idx val="9"/>
            <c:marker>
              <c:symbol val="circle"/>
              <c:size val="7"/>
            </c:marker>
            <c:bubble3D val="0"/>
            <c:extLst xmlns:c16r2="http://schemas.microsoft.com/office/drawing/2015/06/chart">
              <c:ext xmlns:c16="http://schemas.microsoft.com/office/drawing/2014/chart" uri="{C3380CC4-5D6E-409C-BE32-E72D297353CC}">
                <c16:uniqueId val="{00000007-6459-40B8-89BE-F6B64B66730B}"/>
              </c:ext>
            </c:extLst>
          </c:dPt>
          <c:dPt>
            <c:idx val="10"/>
            <c:marker>
              <c:symbol val="circle"/>
              <c:size val="7"/>
            </c:marker>
            <c:bubble3D val="0"/>
            <c:extLst xmlns:c16r2="http://schemas.microsoft.com/office/drawing/2015/06/chart">
              <c:ext xmlns:c16="http://schemas.microsoft.com/office/drawing/2014/chart" uri="{C3380CC4-5D6E-409C-BE32-E72D297353CC}">
                <c16:uniqueId val="{00000008-6459-40B8-89BE-F6B64B66730B}"/>
              </c:ext>
            </c:extLst>
          </c:dPt>
          <c:cat>
            <c:numRef>
              <c:f>Brunstane!$D$168:$N$168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Brunstane!$D$172:$N$172</c:f>
              <c:numCache>
                <c:formatCode>General</c:formatCode>
                <c:ptCount val="11"/>
                <c:pt idx="5" formatCode="0">
                  <c:v>32</c:v>
                </c:pt>
                <c:pt idx="6" formatCode="0">
                  <c:v>0</c:v>
                </c:pt>
                <c:pt idx="7" formatCode="0">
                  <c:v>37</c:v>
                </c:pt>
                <c:pt idx="8" formatCode="0">
                  <c:v>58</c:v>
                </c:pt>
                <c:pt idx="9" formatCode="0">
                  <c:v>50</c:v>
                </c:pt>
                <c:pt idx="10" formatCode="0">
                  <c:v>45</c:v>
                </c:pt>
              </c:numCache>
            </c:numRef>
          </c:val>
          <c:smooth val="0"/>
          <c:extLst xmlns:c16r2="http://schemas.microsoft.com/office/drawing/2015/06/chart">
            <c:ext xmlns:c16="http://schemas.microsoft.com/office/drawing/2014/chart" uri="{C3380CC4-5D6E-409C-BE32-E72D297353CC}">
              <c16:uniqueId val="{00000009-6459-40B8-89BE-F6B64B66730B}"/>
            </c:ext>
          </c:extLst>
        </c:ser>
        <c:ser>
          <c:idx val="3"/>
          <c:order val="3"/>
          <c:tx>
            <c:strRef>
              <c:f>Brunstane!$B$171</c:f>
              <c:strCache>
                <c:ptCount val="1"/>
                <c:pt idx="0">
                  <c:v>Actual P1 Registrations (as of Jan 2016)</c:v>
                </c:pt>
              </c:strCache>
            </c:strRef>
          </c:tx>
          <c:spPr>
            <a:ln w="15875">
              <a:noFill/>
            </a:ln>
          </c:spPr>
          <c:marker>
            <c:symbol val="diamond"/>
            <c:size val="9"/>
            <c:spPr>
              <a:solidFill>
                <a:schemeClr val="tx1"/>
              </a:solidFill>
            </c:spPr>
          </c:marker>
          <c:cat>
            <c:numRef>
              <c:f>Brunstane!$D$168:$N$168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Brunstane!$D$171:$M$171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6459-40B8-89BE-F6B64B66730B}"/>
            </c:ext>
          </c:extLst>
        </c:ser>
        <c:dLbls>
          <c:showLegendKey val="0"/>
          <c:showVal val="0"/>
          <c:showCatName val="0"/>
          <c:showSerName val="0"/>
          <c:showPercent val="0"/>
          <c:showBubbleSize val="0"/>
        </c:dLbls>
        <c:marker val="1"/>
        <c:smooth val="0"/>
        <c:axId val="300792640"/>
        <c:axId val="300793032"/>
      </c:lineChart>
      <c:catAx>
        <c:axId val="300792640"/>
        <c:scaling>
          <c:orientation val="minMax"/>
        </c:scaling>
        <c:delete val="0"/>
        <c:axPos val="b"/>
        <c:numFmt formatCode="General" sourceLinked="1"/>
        <c:majorTickMark val="out"/>
        <c:minorTickMark val="none"/>
        <c:tickLblPos val="nextTo"/>
        <c:crossAx val="300793032"/>
        <c:crosses val="autoZero"/>
        <c:auto val="1"/>
        <c:lblAlgn val="ctr"/>
        <c:lblOffset val="100"/>
        <c:noMultiLvlLbl val="0"/>
      </c:catAx>
      <c:valAx>
        <c:axId val="300793032"/>
        <c:scaling>
          <c:orientation val="minMax"/>
        </c:scaling>
        <c:delete val="0"/>
        <c:axPos val="l"/>
        <c:majorGridlines/>
        <c:numFmt formatCode="#,##0" sourceLinked="1"/>
        <c:majorTickMark val="out"/>
        <c:minorTickMark val="none"/>
        <c:tickLblPos val="nextTo"/>
        <c:crossAx val="300792640"/>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AC35-4571-82C8-19D8961AE0AD}"/>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00793816"/>
        <c:axId val="300794208"/>
      </c:lineChart>
      <c:catAx>
        <c:axId val="300793816"/>
        <c:scaling>
          <c:orientation val="minMax"/>
        </c:scaling>
        <c:delete val="0"/>
        <c:axPos val="b"/>
        <c:numFmt formatCode="General" sourceLinked="1"/>
        <c:majorTickMark val="out"/>
        <c:minorTickMark val="none"/>
        <c:tickLblPos val="nextTo"/>
        <c:crossAx val="300794208"/>
        <c:crosses val="autoZero"/>
        <c:auto val="1"/>
        <c:lblAlgn val="ctr"/>
        <c:lblOffset val="100"/>
        <c:noMultiLvlLbl val="0"/>
      </c:catAx>
      <c:valAx>
        <c:axId val="300794208"/>
        <c:scaling>
          <c:orientation val="minMax"/>
        </c:scaling>
        <c:delete val="0"/>
        <c:axPos val="l"/>
        <c:majorGridlines/>
        <c:numFmt formatCode="General" sourceLinked="1"/>
        <c:majorTickMark val="out"/>
        <c:minorTickMark val="none"/>
        <c:tickLblPos val="nextTo"/>
        <c:crossAx val="300793816"/>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Bruntsfield!$B$177:$B$190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Bruntsfield!$J$177:$J$190</c:f>
              <c:numCache>
                <c:formatCode>General</c:formatCode>
                <c:ptCount val="14"/>
                <c:pt idx="0">
                  <c:v>499</c:v>
                </c:pt>
                <c:pt idx="1">
                  <c:v>466</c:v>
                </c:pt>
                <c:pt idx="2">
                  <c:v>464</c:v>
                </c:pt>
                <c:pt idx="3">
                  <c:v>456</c:v>
                </c:pt>
                <c:pt idx="4">
                  <c:v>438</c:v>
                </c:pt>
                <c:pt idx="5">
                  <c:v>405</c:v>
                </c:pt>
                <c:pt idx="6">
                  <c:v>424</c:v>
                </c:pt>
                <c:pt idx="7">
                  <c:v>437</c:v>
                </c:pt>
                <c:pt idx="8">
                  <c:v>431</c:v>
                </c:pt>
                <c:pt idx="9">
                  <c:v>450</c:v>
                </c:pt>
                <c:pt idx="10">
                  <c:v>489</c:v>
                </c:pt>
                <c:pt idx="11">
                  <c:v>522</c:v>
                </c:pt>
                <c:pt idx="12">
                  <c:v>556</c:v>
                </c:pt>
                <c:pt idx="13">
                  <c:v>554</c:v>
                </c:pt>
              </c:numCache>
            </c:numRef>
          </c:val>
          <c:smooth val="0"/>
          <c:extLst xmlns:c16r2="http://schemas.microsoft.com/office/drawing/2015/06/chart">
            <c:ext xmlns:c16="http://schemas.microsoft.com/office/drawing/2014/chart" uri="{C3380CC4-5D6E-409C-BE32-E72D297353CC}">
              <c16:uniqueId val="{00000000-50B6-4508-B419-05978BFC110E}"/>
            </c:ext>
          </c:extLst>
        </c:ser>
        <c:dLbls>
          <c:showLegendKey val="0"/>
          <c:showVal val="0"/>
          <c:showCatName val="0"/>
          <c:showSerName val="0"/>
          <c:showPercent val="0"/>
          <c:showBubbleSize val="0"/>
        </c:dLbls>
        <c:marker val="1"/>
        <c:smooth val="0"/>
        <c:axId val="306764408"/>
        <c:axId val="306764800"/>
      </c:lineChart>
      <c:catAx>
        <c:axId val="306764408"/>
        <c:scaling>
          <c:orientation val="minMax"/>
        </c:scaling>
        <c:delete val="0"/>
        <c:axPos val="b"/>
        <c:numFmt formatCode="General" sourceLinked="1"/>
        <c:majorTickMark val="out"/>
        <c:minorTickMark val="none"/>
        <c:tickLblPos val="nextTo"/>
        <c:crossAx val="306764800"/>
        <c:crosses val="autoZero"/>
        <c:auto val="1"/>
        <c:lblAlgn val="ctr"/>
        <c:lblOffset val="100"/>
        <c:noMultiLvlLbl val="0"/>
      </c:catAx>
      <c:valAx>
        <c:axId val="306764800"/>
        <c:scaling>
          <c:orientation val="minMax"/>
        </c:scaling>
        <c:delete val="0"/>
        <c:axPos val="l"/>
        <c:majorGridlines/>
        <c:numFmt formatCode="General" sourceLinked="1"/>
        <c:majorTickMark val="out"/>
        <c:minorTickMark val="none"/>
        <c:tickLblPos val="nextTo"/>
        <c:crossAx val="306764408"/>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Bruntsfield!$B$169</c:f>
              <c:strCache>
                <c:ptCount val="1"/>
                <c:pt idx="0">
                  <c:v>Catchment Births (5yrs Prior)</c:v>
                </c:pt>
              </c:strCache>
            </c:strRef>
          </c:tx>
          <c:marker>
            <c:symbol val="square"/>
            <c:size val="7"/>
          </c:marker>
          <c:cat>
            <c:numRef>
              <c:f>Bruntsfield!$D$168:$N$168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Bruntsfield!$D$169:$N$169</c:f>
              <c:numCache>
                <c:formatCode>#,##0</c:formatCode>
                <c:ptCount val="11"/>
                <c:pt idx="0">
                  <c:v>129</c:v>
                </c:pt>
                <c:pt idx="1">
                  <c:v>144</c:v>
                </c:pt>
                <c:pt idx="2">
                  <c:v>136</c:v>
                </c:pt>
                <c:pt idx="3">
                  <c:v>143</c:v>
                </c:pt>
                <c:pt idx="4">
                  <c:v>152</c:v>
                </c:pt>
                <c:pt idx="5">
                  <c:v>119</c:v>
                </c:pt>
                <c:pt idx="6">
                  <c:v>157</c:v>
                </c:pt>
                <c:pt idx="7">
                  <c:v>137</c:v>
                </c:pt>
                <c:pt idx="8">
                  <c:v>135</c:v>
                </c:pt>
                <c:pt idx="9">
                  <c:v>149</c:v>
                </c:pt>
                <c:pt idx="10">
                  <c:v>122</c:v>
                </c:pt>
              </c:numCache>
            </c:numRef>
          </c:val>
          <c:smooth val="0"/>
          <c:extLst xmlns:c16r2="http://schemas.microsoft.com/office/drawing/2015/06/chart">
            <c:ext xmlns:c16="http://schemas.microsoft.com/office/drawing/2014/chart" uri="{C3380CC4-5D6E-409C-BE32-E72D297353CC}">
              <c16:uniqueId val="{00000000-502A-4317-A335-4922F715E701}"/>
            </c:ext>
          </c:extLst>
        </c:ser>
        <c:ser>
          <c:idx val="1"/>
          <c:order val="1"/>
          <c:tx>
            <c:strRef>
              <c:f>Bruntsfield!$B$170</c:f>
              <c:strCache>
                <c:ptCount val="1"/>
                <c:pt idx="0">
                  <c:v>P1 ND Catchment Population (Actual)</c:v>
                </c:pt>
              </c:strCache>
            </c:strRef>
          </c:tx>
          <c:cat>
            <c:numRef>
              <c:f>Bruntsfield!$D$168:$N$168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Bruntsfield!$D$170:$I$170</c:f>
              <c:numCache>
                <c:formatCode>#,##0</c:formatCode>
                <c:ptCount val="6"/>
                <c:pt idx="0">
                  <c:v>55</c:v>
                </c:pt>
                <c:pt idx="1">
                  <c:v>76</c:v>
                </c:pt>
                <c:pt idx="2">
                  <c:v>98</c:v>
                </c:pt>
                <c:pt idx="3">
                  <c:v>76</c:v>
                </c:pt>
                <c:pt idx="4">
                  <c:v>90</c:v>
                </c:pt>
                <c:pt idx="5">
                  <c:v>67</c:v>
                </c:pt>
              </c:numCache>
            </c:numRef>
          </c:val>
          <c:smooth val="0"/>
          <c:extLst xmlns:c16r2="http://schemas.microsoft.com/office/drawing/2015/06/chart">
            <c:ext xmlns:c16="http://schemas.microsoft.com/office/drawing/2014/chart" uri="{C3380CC4-5D6E-409C-BE32-E72D297353CC}">
              <c16:uniqueId val="{00000001-502A-4317-A335-4922F715E701}"/>
            </c:ext>
          </c:extLst>
        </c:ser>
        <c:ser>
          <c:idx val="2"/>
          <c:order val="2"/>
          <c:tx>
            <c:strRef>
              <c:f>Bruntsfield!$B$172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502A-4317-A335-4922F715E701}"/>
              </c:ext>
            </c:extLst>
          </c:dPt>
          <c:dPt>
            <c:idx val="5"/>
            <c:marker>
              <c:symbol val="none"/>
            </c:marker>
            <c:bubble3D val="0"/>
            <c:extLst xmlns:c16r2="http://schemas.microsoft.com/office/drawing/2015/06/chart">
              <c:ext xmlns:c16="http://schemas.microsoft.com/office/drawing/2014/chart" uri="{C3380CC4-5D6E-409C-BE32-E72D297353CC}">
                <c16:uniqueId val="{00000003-502A-4317-A335-4922F715E701}"/>
              </c:ext>
            </c:extLst>
          </c:dPt>
          <c:dPt>
            <c:idx val="6"/>
            <c:marker>
              <c:symbol val="circle"/>
              <c:size val="7"/>
            </c:marker>
            <c:bubble3D val="0"/>
            <c:extLst xmlns:c16r2="http://schemas.microsoft.com/office/drawing/2015/06/chart">
              <c:ext xmlns:c16="http://schemas.microsoft.com/office/drawing/2014/chart" uri="{C3380CC4-5D6E-409C-BE32-E72D297353CC}">
                <c16:uniqueId val="{00000004-502A-4317-A335-4922F715E701}"/>
              </c:ext>
            </c:extLst>
          </c:dPt>
          <c:dPt>
            <c:idx val="7"/>
            <c:marker>
              <c:symbol val="circle"/>
              <c:size val="7"/>
            </c:marker>
            <c:bubble3D val="0"/>
            <c:extLst xmlns:c16r2="http://schemas.microsoft.com/office/drawing/2015/06/chart">
              <c:ext xmlns:c16="http://schemas.microsoft.com/office/drawing/2014/chart" uri="{C3380CC4-5D6E-409C-BE32-E72D297353CC}">
                <c16:uniqueId val="{00000005-502A-4317-A335-4922F715E701}"/>
              </c:ext>
            </c:extLst>
          </c:dPt>
          <c:dPt>
            <c:idx val="8"/>
            <c:marker>
              <c:symbol val="circle"/>
              <c:size val="7"/>
            </c:marker>
            <c:bubble3D val="0"/>
            <c:extLst xmlns:c16r2="http://schemas.microsoft.com/office/drawing/2015/06/chart">
              <c:ext xmlns:c16="http://schemas.microsoft.com/office/drawing/2014/chart" uri="{C3380CC4-5D6E-409C-BE32-E72D297353CC}">
                <c16:uniqueId val="{00000006-502A-4317-A335-4922F715E701}"/>
              </c:ext>
            </c:extLst>
          </c:dPt>
          <c:dPt>
            <c:idx val="9"/>
            <c:marker>
              <c:symbol val="circle"/>
              <c:size val="7"/>
            </c:marker>
            <c:bubble3D val="0"/>
            <c:extLst xmlns:c16r2="http://schemas.microsoft.com/office/drawing/2015/06/chart">
              <c:ext xmlns:c16="http://schemas.microsoft.com/office/drawing/2014/chart" uri="{C3380CC4-5D6E-409C-BE32-E72D297353CC}">
                <c16:uniqueId val="{00000007-502A-4317-A335-4922F715E701}"/>
              </c:ext>
            </c:extLst>
          </c:dPt>
          <c:dPt>
            <c:idx val="10"/>
            <c:marker>
              <c:symbol val="circle"/>
              <c:size val="7"/>
            </c:marker>
            <c:bubble3D val="0"/>
            <c:extLst xmlns:c16r2="http://schemas.microsoft.com/office/drawing/2015/06/chart">
              <c:ext xmlns:c16="http://schemas.microsoft.com/office/drawing/2014/chart" uri="{C3380CC4-5D6E-409C-BE32-E72D297353CC}">
                <c16:uniqueId val="{00000008-502A-4317-A335-4922F715E701}"/>
              </c:ext>
            </c:extLst>
          </c:dPt>
          <c:cat>
            <c:numRef>
              <c:f>Bruntsfield!$D$168:$N$168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Bruntsfield!$D$172:$N$172</c:f>
              <c:numCache>
                <c:formatCode>General</c:formatCode>
                <c:ptCount val="11"/>
                <c:pt idx="5" formatCode="0">
                  <c:v>67</c:v>
                </c:pt>
                <c:pt idx="6" formatCode="0">
                  <c:v>0</c:v>
                </c:pt>
                <c:pt idx="7" formatCode="0">
                  <c:v>86</c:v>
                </c:pt>
                <c:pt idx="8" formatCode="0">
                  <c:v>71</c:v>
                </c:pt>
                <c:pt idx="9" formatCode="0">
                  <c:v>73</c:v>
                </c:pt>
                <c:pt idx="10" formatCode="0">
                  <c:v>86</c:v>
                </c:pt>
              </c:numCache>
            </c:numRef>
          </c:val>
          <c:smooth val="0"/>
          <c:extLst xmlns:c16r2="http://schemas.microsoft.com/office/drawing/2015/06/chart">
            <c:ext xmlns:c16="http://schemas.microsoft.com/office/drawing/2014/chart" uri="{C3380CC4-5D6E-409C-BE32-E72D297353CC}">
              <c16:uniqueId val="{00000009-502A-4317-A335-4922F715E701}"/>
            </c:ext>
          </c:extLst>
        </c:ser>
        <c:ser>
          <c:idx val="3"/>
          <c:order val="3"/>
          <c:tx>
            <c:strRef>
              <c:f>Bruntsfield!$B$171</c:f>
              <c:strCache>
                <c:ptCount val="1"/>
                <c:pt idx="0">
                  <c:v>Actual P1 Registrations (as of Jan 2016)</c:v>
                </c:pt>
              </c:strCache>
            </c:strRef>
          </c:tx>
          <c:spPr>
            <a:ln w="15875">
              <a:noFill/>
            </a:ln>
          </c:spPr>
          <c:marker>
            <c:symbol val="diamond"/>
            <c:size val="9"/>
            <c:spPr>
              <a:solidFill>
                <a:schemeClr val="tx1"/>
              </a:solidFill>
            </c:spPr>
          </c:marker>
          <c:cat>
            <c:numRef>
              <c:f>Bruntsfield!$D$168:$N$168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Bruntsfield!$D$171:$M$171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502A-4317-A335-4922F715E701}"/>
            </c:ext>
          </c:extLst>
        </c:ser>
        <c:dLbls>
          <c:showLegendKey val="0"/>
          <c:showVal val="0"/>
          <c:showCatName val="0"/>
          <c:showSerName val="0"/>
          <c:showPercent val="0"/>
          <c:showBubbleSize val="0"/>
        </c:dLbls>
        <c:marker val="1"/>
        <c:smooth val="0"/>
        <c:axId val="306765584"/>
        <c:axId val="306765976"/>
      </c:lineChart>
      <c:catAx>
        <c:axId val="306765584"/>
        <c:scaling>
          <c:orientation val="minMax"/>
        </c:scaling>
        <c:delete val="0"/>
        <c:axPos val="b"/>
        <c:numFmt formatCode="General" sourceLinked="1"/>
        <c:majorTickMark val="out"/>
        <c:minorTickMark val="none"/>
        <c:tickLblPos val="nextTo"/>
        <c:crossAx val="306765976"/>
        <c:crosses val="autoZero"/>
        <c:auto val="1"/>
        <c:lblAlgn val="ctr"/>
        <c:lblOffset val="100"/>
        <c:noMultiLvlLbl val="0"/>
      </c:catAx>
      <c:valAx>
        <c:axId val="306765976"/>
        <c:scaling>
          <c:orientation val="minMax"/>
        </c:scaling>
        <c:delete val="0"/>
        <c:axPos val="l"/>
        <c:majorGridlines/>
        <c:numFmt formatCode="#,##0" sourceLinked="1"/>
        <c:majorTickMark val="out"/>
        <c:minorTickMark val="none"/>
        <c:tickLblPos val="nextTo"/>
        <c:crossAx val="306765584"/>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D48D-4CAE-85DC-5F6ADB4817AC}"/>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06766760"/>
        <c:axId val="306767152"/>
      </c:lineChart>
      <c:catAx>
        <c:axId val="306766760"/>
        <c:scaling>
          <c:orientation val="minMax"/>
        </c:scaling>
        <c:delete val="0"/>
        <c:axPos val="b"/>
        <c:numFmt formatCode="General" sourceLinked="1"/>
        <c:majorTickMark val="out"/>
        <c:minorTickMark val="none"/>
        <c:tickLblPos val="nextTo"/>
        <c:crossAx val="306767152"/>
        <c:crosses val="autoZero"/>
        <c:auto val="1"/>
        <c:lblAlgn val="ctr"/>
        <c:lblOffset val="100"/>
        <c:noMultiLvlLbl val="0"/>
      </c:catAx>
      <c:valAx>
        <c:axId val="306767152"/>
        <c:scaling>
          <c:orientation val="minMax"/>
        </c:scaling>
        <c:delete val="0"/>
        <c:axPos val="l"/>
        <c:majorGridlines/>
        <c:numFmt formatCode="General" sourceLinked="1"/>
        <c:majorTickMark val="out"/>
        <c:minorTickMark val="none"/>
        <c:tickLblPos val="nextTo"/>
        <c:crossAx val="306766760"/>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Buckstone!$B$177:$B$190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Buckstone!$J$177:$J$190</c:f>
              <c:numCache>
                <c:formatCode>General</c:formatCode>
                <c:ptCount val="14"/>
                <c:pt idx="0">
                  <c:v>441</c:v>
                </c:pt>
                <c:pt idx="1">
                  <c:v>419</c:v>
                </c:pt>
                <c:pt idx="2">
                  <c:v>406</c:v>
                </c:pt>
                <c:pt idx="3">
                  <c:v>399</c:v>
                </c:pt>
                <c:pt idx="4">
                  <c:v>396</c:v>
                </c:pt>
                <c:pt idx="5">
                  <c:v>383</c:v>
                </c:pt>
                <c:pt idx="6">
                  <c:v>386</c:v>
                </c:pt>
                <c:pt idx="7">
                  <c:v>376</c:v>
                </c:pt>
                <c:pt idx="8">
                  <c:v>382</c:v>
                </c:pt>
                <c:pt idx="9">
                  <c:v>384</c:v>
                </c:pt>
                <c:pt idx="10">
                  <c:v>396</c:v>
                </c:pt>
                <c:pt idx="11">
                  <c:v>384</c:v>
                </c:pt>
                <c:pt idx="12">
                  <c:v>409</c:v>
                </c:pt>
                <c:pt idx="13">
                  <c:v>421</c:v>
                </c:pt>
              </c:numCache>
            </c:numRef>
          </c:val>
          <c:smooth val="0"/>
          <c:extLst xmlns:c16r2="http://schemas.microsoft.com/office/drawing/2015/06/chart">
            <c:ext xmlns:c16="http://schemas.microsoft.com/office/drawing/2014/chart" uri="{C3380CC4-5D6E-409C-BE32-E72D297353CC}">
              <c16:uniqueId val="{00000000-A630-4705-BB86-4EB1296D9F4C}"/>
            </c:ext>
          </c:extLst>
        </c:ser>
        <c:dLbls>
          <c:showLegendKey val="0"/>
          <c:showVal val="0"/>
          <c:showCatName val="0"/>
          <c:showSerName val="0"/>
          <c:showPercent val="0"/>
          <c:showBubbleSize val="0"/>
        </c:dLbls>
        <c:marker val="1"/>
        <c:smooth val="0"/>
        <c:axId val="303357776"/>
        <c:axId val="303358168"/>
      </c:lineChart>
      <c:catAx>
        <c:axId val="303357776"/>
        <c:scaling>
          <c:orientation val="minMax"/>
        </c:scaling>
        <c:delete val="0"/>
        <c:axPos val="b"/>
        <c:numFmt formatCode="General" sourceLinked="1"/>
        <c:majorTickMark val="out"/>
        <c:minorTickMark val="none"/>
        <c:tickLblPos val="nextTo"/>
        <c:crossAx val="303358168"/>
        <c:crosses val="autoZero"/>
        <c:auto val="1"/>
        <c:lblAlgn val="ctr"/>
        <c:lblOffset val="100"/>
        <c:noMultiLvlLbl val="0"/>
      </c:catAx>
      <c:valAx>
        <c:axId val="303358168"/>
        <c:scaling>
          <c:orientation val="minMax"/>
        </c:scaling>
        <c:delete val="0"/>
        <c:axPos val="l"/>
        <c:majorGridlines/>
        <c:numFmt formatCode="General" sourceLinked="1"/>
        <c:majorTickMark val="out"/>
        <c:minorTickMark val="none"/>
        <c:tickLblPos val="nextTo"/>
        <c:crossAx val="303357776"/>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Buckstone!$B$169</c:f>
              <c:strCache>
                <c:ptCount val="1"/>
                <c:pt idx="0">
                  <c:v>Catchment Births (5yrs Prior)</c:v>
                </c:pt>
              </c:strCache>
            </c:strRef>
          </c:tx>
          <c:marker>
            <c:symbol val="square"/>
            <c:size val="7"/>
          </c:marker>
          <c:cat>
            <c:numRef>
              <c:f>Buckstone!$D$168:$N$168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Buckstone!$D$169:$N$169</c:f>
              <c:numCache>
                <c:formatCode>#,##0</c:formatCode>
                <c:ptCount val="11"/>
                <c:pt idx="0">
                  <c:v>36</c:v>
                </c:pt>
                <c:pt idx="1">
                  <c:v>39</c:v>
                </c:pt>
                <c:pt idx="2">
                  <c:v>36</c:v>
                </c:pt>
                <c:pt idx="3">
                  <c:v>30</c:v>
                </c:pt>
                <c:pt idx="4">
                  <c:v>25</c:v>
                </c:pt>
                <c:pt idx="5">
                  <c:v>33</c:v>
                </c:pt>
                <c:pt idx="6">
                  <c:v>17</c:v>
                </c:pt>
                <c:pt idx="7">
                  <c:v>29</c:v>
                </c:pt>
                <c:pt idx="8">
                  <c:v>26</c:v>
                </c:pt>
                <c:pt idx="9">
                  <c:v>29</c:v>
                </c:pt>
                <c:pt idx="10">
                  <c:v>56</c:v>
                </c:pt>
              </c:numCache>
            </c:numRef>
          </c:val>
          <c:smooth val="0"/>
          <c:extLst xmlns:c16r2="http://schemas.microsoft.com/office/drawing/2015/06/chart">
            <c:ext xmlns:c16="http://schemas.microsoft.com/office/drawing/2014/chart" uri="{C3380CC4-5D6E-409C-BE32-E72D297353CC}">
              <c16:uniqueId val="{00000000-1782-4CC5-A11F-D3952CCDD844}"/>
            </c:ext>
          </c:extLst>
        </c:ser>
        <c:ser>
          <c:idx val="1"/>
          <c:order val="1"/>
          <c:tx>
            <c:strRef>
              <c:f>Buckstone!$B$170</c:f>
              <c:strCache>
                <c:ptCount val="1"/>
                <c:pt idx="0">
                  <c:v>P1 ND Catchment Population (Actual)</c:v>
                </c:pt>
              </c:strCache>
            </c:strRef>
          </c:tx>
          <c:cat>
            <c:numRef>
              <c:f>Buckstone!$D$168:$N$168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Buckstone!$D$170:$I$170</c:f>
              <c:numCache>
                <c:formatCode>#,##0</c:formatCode>
                <c:ptCount val="6"/>
                <c:pt idx="0">
                  <c:v>49</c:v>
                </c:pt>
                <c:pt idx="1">
                  <c:v>40</c:v>
                </c:pt>
                <c:pt idx="2">
                  <c:v>47</c:v>
                </c:pt>
                <c:pt idx="3">
                  <c:v>45</c:v>
                </c:pt>
                <c:pt idx="4">
                  <c:v>39</c:v>
                </c:pt>
                <c:pt idx="5">
                  <c:v>62</c:v>
                </c:pt>
              </c:numCache>
            </c:numRef>
          </c:val>
          <c:smooth val="0"/>
          <c:extLst xmlns:c16r2="http://schemas.microsoft.com/office/drawing/2015/06/chart">
            <c:ext xmlns:c16="http://schemas.microsoft.com/office/drawing/2014/chart" uri="{C3380CC4-5D6E-409C-BE32-E72D297353CC}">
              <c16:uniqueId val="{00000001-1782-4CC5-A11F-D3952CCDD844}"/>
            </c:ext>
          </c:extLst>
        </c:ser>
        <c:ser>
          <c:idx val="2"/>
          <c:order val="2"/>
          <c:tx>
            <c:strRef>
              <c:f>Buckstone!$B$172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1782-4CC5-A11F-D3952CCDD844}"/>
              </c:ext>
            </c:extLst>
          </c:dPt>
          <c:dPt>
            <c:idx val="5"/>
            <c:marker>
              <c:symbol val="none"/>
            </c:marker>
            <c:bubble3D val="0"/>
            <c:extLst xmlns:c16r2="http://schemas.microsoft.com/office/drawing/2015/06/chart">
              <c:ext xmlns:c16="http://schemas.microsoft.com/office/drawing/2014/chart" uri="{C3380CC4-5D6E-409C-BE32-E72D297353CC}">
                <c16:uniqueId val="{00000003-1782-4CC5-A11F-D3952CCDD844}"/>
              </c:ext>
            </c:extLst>
          </c:dPt>
          <c:dPt>
            <c:idx val="6"/>
            <c:marker>
              <c:symbol val="circle"/>
              <c:size val="7"/>
            </c:marker>
            <c:bubble3D val="0"/>
            <c:extLst xmlns:c16r2="http://schemas.microsoft.com/office/drawing/2015/06/chart">
              <c:ext xmlns:c16="http://schemas.microsoft.com/office/drawing/2014/chart" uri="{C3380CC4-5D6E-409C-BE32-E72D297353CC}">
                <c16:uniqueId val="{00000004-1782-4CC5-A11F-D3952CCDD844}"/>
              </c:ext>
            </c:extLst>
          </c:dPt>
          <c:dPt>
            <c:idx val="7"/>
            <c:marker>
              <c:symbol val="circle"/>
              <c:size val="7"/>
            </c:marker>
            <c:bubble3D val="0"/>
            <c:extLst xmlns:c16r2="http://schemas.microsoft.com/office/drawing/2015/06/chart">
              <c:ext xmlns:c16="http://schemas.microsoft.com/office/drawing/2014/chart" uri="{C3380CC4-5D6E-409C-BE32-E72D297353CC}">
                <c16:uniqueId val="{00000005-1782-4CC5-A11F-D3952CCDD844}"/>
              </c:ext>
            </c:extLst>
          </c:dPt>
          <c:dPt>
            <c:idx val="8"/>
            <c:marker>
              <c:symbol val="circle"/>
              <c:size val="7"/>
            </c:marker>
            <c:bubble3D val="0"/>
            <c:extLst xmlns:c16r2="http://schemas.microsoft.com/office/drawing/2015/06/chart">
              <c:ext xmlns:c16="http://schemas.microsoft.com/office/drawing/2014/chart" uri="{C3380CC4-5D6E-409C-BE32-E72D297353CC}">
                <c16:uniqueId val="{00000006-1782-4CC5-A11F-D3952CCDD844}"/>
              </c:ext>
            </c:extLst>
          </c:dPt>
          <c:dPt>
            <c:idx val="9"/>
            <c:marker>
              <c:symbol val="circle"/>
              <c:size val="7"/>
            </c:marker>
            <c:bubble3D val="0"/>
            <c:extLst xmlns:c16r2="http://schemas.microsoft.com/office/drawing/2015/06/chart">
              <c:ext xmlns:c16="http://schemas.microsoft.com/office/drawing/2014/chart" uri="{C3380CC4-5D6E-409C-BE32-E72D297353CC}">
                <c16:uniqueId val="{00000007-1782-4CC5-A11F-D3952CCDD844}"/>
              </c:ext>
            </c:extLst>
          </c:dPt>
          <c:dPt>
            <c:idx val="10"/>
            <c:marker>
              <c:symbol val="circle"/>
              <c:size val="7"/>
            </c:marker>
            <c:bubble3D val="0"/>
            <c:extLst xmlns:c16r2="http://schemas.microsoft.com/office/drawing/2015/06/chart">
              <c:ext xmlns:c16="http://schemas.microsoft.com/office/drawing/2014/chart" uri="{C3380CC4-5D6E-409C-BE32-E72D297353CC}">
                <c16:uniqueId val="{00000008-1782-4CC5-A11F-D3952CCDD844}"/>
              </c:ext>
            </c:extLst>
          </c:dPt>
          <c:cat>
            <c:numRef>
              <c:f>Buckstone!$D$168:$N$168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Buckstone!$D$172:$N$172</c:f>
              <c:numCache>
                <c:formatCode>General</c:formatCode>
                <c:ptCount val="11"/>
                <c:pt idx="5" formatCode="0">
                  <c:v>62</c:v>
                </c:pt>
                <c:pt idx="6" formatCode="0">
                  <c:v>0</c:v>
                </c:pt>
                <c:pt idx="7" formatCode="0">
                  <c:v>58</c:v>
                </c:pt>
                <c:pt idx="8" formatCode="0">
                  <c:v>112</c:v>
                </c:pt>
                <c:pt idx="9" formatCode="0">
                  <c:v>44</c:v>
                </c:pt>
                <c:pt idx="10" formatCode="0">
                  <c:v>54</c:v>
                </c:pt>
              </c:numCache>
            </c:numRef>
          </c:val>
          <c:smooth val="0"/>
          <c:extLst xmlns:c16r2="http://schemas.microsoft.com/office/drawing/2015/06/chart">
            <c:ext xmlns:c16="http://schemas.microsoft.com/office/drawing/2014/chart" uri="{C3380CC4-5D6E-409C-BE32-E72D297353CC}">
              <c16:uniqueId val="{00000009-1782-4CC5-A11F-D3952CCDD844}"/>
            </c:ext>
          </c:extLst>
        </c:ser>
        <c:ser>
          <c:idx val="3"/>
          <c:order val="3"/>
          <c:tx>
            <c:strRef>
              <c:f>Buckstone!$B$171</c:f>
              <c:strCache>
                <c:ptCount val="1"/>
                <c:pt idx="0">
                  <c:v>Actual P1 Registrations (as of Jan 2016)</c:v>
                </c:pt>
              </c:strCache>
            </c:strRef>
          </c:tx>
          <c:spPr>
            <a:ln w="15875">
              <a:noFill/>
            </a:ln>
          </c:spPr>
          <c:marker>
            <c:symbol val="diamond"/>
            <c:size val="9"/>
            <c:spPr>
              <a:solidFill>
                <a:schemeClr val="tx1"/>
              </a:solidFill>
            </c:spPr>
          </c:marker>
          <c:cat>
            <c:numRef>
              <c:f>Buckstone!$D$168:$N$168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Buckstone!$D$171:$M$171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1782-4CC5-A11F-D3952CCDD844}"/>
            </c:ext>
          </c:extLst>
        </c:ser>
        <c:dLbls>
          <c:showLegendKey val="0"/>
          <c:showVal val="0"/>
          <c:showCatName val="0"/>
          <c:showSerName val="0"/>
          <c:showPercent val="0"/>
          <c:showBubbleSize val="0"/>
        </c:dLbls>
        <c:marker val="1"/>
        <c:smooth val="0"/>
        <c:axId val="303358952"/>
        <c:axId val="303359344"/>
      </c:lineChart>
      <c:catAx>
        <c:axId val="303358952"/>
        <c:scaling>
          <c:orientation val="minMax"/>
        </c:scaling>
        <c:delete val="0"/>
        <c:axPos val="b"/>
        <c:numFmt formatCode="General" sourceLinked="1"/>
        <c:majorTickMark val="out"/>
        <c:minorTickMark val="none"/>
        <c:tickLblPos val="nextTo"/>
        <c:crossAx val="303359344"/>
        <c:crosses val="autoZero"/>
        <c:auto val="1"/>
        <c:lblAlgn val="ctr"/>
        <c:lblOffset val="100"/>
        <c:noMultiLvlLbl val="0"/>
      </c:catAx>
      <c:valAx>
        <c:axId val="303359344"/>
        <c:scaling>
          <c:orientation val="minMax"/>
        </c:scaling>
        <c:delete val="0"/>
        <c:axPos val="l"/>
        <c:majorGridlines/>
        <c:numFmt formatCode="#,##0" sourceLinked="1"/>
        <c:majorTickMark val="out"/>
        <c:minorTickMark val="none"/>
        <c:tickLblPos val="nextTo"/>
        <c:crossAx val="303358952"/>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B12C-4D6E-BC24-63C6D51FF21A}"/>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03360128"/>
        <c:axId val="303360520"/>
      </c:lineChart>
      <c:catAx>
        <c:axId val="303360128"/>
        <c:scaling>
          <c:orientation val="minMax"/>
        </c:scaling>
        <c:delete val="0"/>
        <c:axPos val="b"/>
        <c:numFmt formatCode="General" sourceLinked="1"/>
        <c:majorTickMark val="out"/>
        <c:minorTickMark val="none"/>
        <c:tickLblPos val="nextTo"/>
        <c:crossAx val="303360520"/>
        <c:crosses val="autoZero"/>
        <c:auto val="1"/>
        <c:lblAlgn val="ctr"/>
        <c:lblOffset val="100"/>
        <c:noMultiLvlLbl val="0"/>
      </c:catAx>
      <c:valAx>
        <c:axId val="303360520"/>
        <c:scaling>
          <c:orientation val="minMax"/>
        </c:scaling>
        <c:delete val="0"/>
        <c:axPos val="l"/>
        <c:majorGridlines/>
        <c:numFmt formatCode="General" sourceLinked="1"/>
        <c:majorTickMark val="out"/>
        <c:minorTickMark val="none"/>
        <c:tickLblPos val="nextTo"/>
        <c:crossAx val="303360128"/>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'Canal View'!$B$177:$B$190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'Canal View'!$J$177:$J$190</c:f>
              <c:numCache>
                <c:formatCode>General</c:formatCode>
                <c:ptCount val="14"/>
                <c:pt idx="0">
                  <c:v>0</c:v>
                </c:pt>
                <c:pt idx="1">
                  <c:v>0</c:v>
                </c:pt>
                <c:pt idx="2">
                  <c:v>0</c:v>
                </c:pt>
                <c:pt idx="3">
                  <c:v>233</c:v>
                </c:pt>
                <c:pt idx="4">
                  <c:v>215</c:v>
                </c:pt>
                <c:pt idx="5">
                  <c:v>199</c:v>
                </c:pt>
                <c:pt idx="6">
                  <c:v>209</c:v>
                </c:pt>
                <c:pt idx="7">
                  <c:v>233</c:v>
                </c:pt>
                <c:pt idx="8">
                  <c:v>208</c:v>
                </c:pt>
                <c:pt idx="9">
                  <c:v>231</c:v>
                </c:pt>
                <c:pt idx="10">
                  <c:v>227</c:v>
                </c:pt>
                <c:pt idx="11">
                  <c:v>270</c:v>
                </c:pt>
                <c:pt idx="12">
                  <c:v>295</c:v>
                </c:pt>
                <c:pt idx="13">
                  <c:v>318</c:v>
                </c:pt>
              </c:numCache>
            </c:numRef>
          </c:val>
          <c:smooth val="0"/>
          <c:extLst xmlns:c16r2="http://schemas.microsoft.com/office/drawing/2015/06/chart">
            <c:ext xmlns:c16="http://schemas.microsoft.com/office/drawing/2014/chart" uri="{C3380CC4-5D6E-409C-BE32-E72D297353CC}">
              <c16:uniqueId val="{00000000-2614-452D-8A84-343A3AB9F42D}"/>
            </c:ext>
          </c:extLst>
        </c:ser>
        <c:dLbls>
          <c:showLegendKey val="0"/>
          <c:showVal val="0"/>
          <c:showCatName val="0"/>
          <c:showSerName val="0"/>
          <c:showPercent val="0"/>
          <c:showBubbleSize val="0"/>
        </c:dLbls>
        <c:marker val="1"/>
        <c:smooth val="0"/>
        <c:axId val="303361304"/>
        <c:axId val="303516704"/>
      </c:lineChart>
      <c:catAx>
        <c:axId val="303361304"/>
        <c:scaling>
          <c:orientation val="minMax"/>
        </c:scaling>
        <c:delete val="0"/>
        <c:axPos val="b"/>
        <c:numFmt formatCode="General" sourceLinked="1"/>
        <c:majorTickMark val="out"/>
        <c:minorTickMark val="none"/>
        <c:tickLblPos val="nextTo"/>
        <c:crossAx val="303516704"/>
        <c:crosses val="autoZero"/>
        <c:auto val="1"/>
        <c:lblAlgn val="ctr"/>
        <c:lblOffset val="100"/>
        <c:noMultiLvlLbl val="0"/>
      </c:catAx>
      <c:valAx>
        <c:axId val="303516704"/>
        <c:scaling>
          <c:orientation val="minMax"/>
        </c:scaling>
        <c:delete val="0"/>
        <c:axPos val="l"/>
        <c:majorGridlines/>
        <c:numFmt formatCode="General" sourceLinked="1"/>
        <c:majorTickMark val="out"/>
        <c:minorTickMark val="none"/>
        <c:tickLblPos val="nextTo"/>
        <c:crossAx val="303361304"/>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'Canal View'!$B$169</c:f>
              <c:strCache>
                <c:ptCount val="1"/>
                <c:pt idx="0">
                  <c:v>Catchment Births (5yrs Prior)</c:v>
                </c:pt>
              </c:strCache>
            </c:strRef>
          </c:tx>
          <c:marker>
            <c:symbol val="square"/>
            <c:size val="7"/>
          </c:marker>
          <c:cat>
            <c:numRef>
              <c:f>'Canal View'!$D$168:$N$168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'Canal View'!$D$169:$N$169</c:f>
              <c:numCache>
                <c:formatCode>#,##0</c:formatCode>
                <c:ptCount val="11"/>
                <c:pt idx="0">
                  <c:v>52</c:v>
                </c:pt>
                <c:pt idx="1">
                  <c:v>73</c:v>
                </c:pt>
                <c:pt idx="2">
                  <c:v>75</c:v>
                </c:pt>
                <c:pt idx="3">
                  <c:v>59</c:v>
                </c:pt>
                <c:pt idx="4">
                  <c:v>77</c:v>
                </c:pt>
                <c:pt idx="5">
                  <c:v>83</c:v>
                </c:pt>
                <c:pt idx="6">
                  <c:v>65</c:v>
                </c:pt>
                <c:pt idx="7">
                  <c:v>68</c:v>
                </c:pt>
                <c:pt idx="8">
                  <c:v>94</c:v>
                </c:pt>
                <c:pt idx="9">
                  <c:v>63</c:v>
                </c:pt>
                <c:pt idx="10">
                  <c:v>46</c:v>
                </c:pt>
              </c:numCache>
            </c:numRef>
          </c:val>
          <c:smooth val="0"/>
          <c:extLst xmlns:c16r2="http://schemas.microsoft.com/office/drawing/2015/06/chart">
            <c:ext xmlns:c16="http://schemas.microsoft.com/office/drawing/2014/chart" uri="{C3380CC4-5D6E-409C-BE32-E72D297353CC}">
              <c16:uniqueId val="{00000000-C3C7-46E0-839B-3357AA8D6DEB}"/>
            </c:ext>
          </c:extLst>
        </c:ser>
        <c:ser>
          <c:idx val="1"/>
          <c:order val="1"/>
          <c:tx>
            <c:strRef>
              <c:f>'Canal View'!$B$170</c:f>
              <c:strCache>
                <c:ptCount val="1"/>
                <c:pt idx="0">
                  <c:v>P1 ND Catchment Population (Actual)</c:v>
                </c:pt>
              </c:strCache>
            </c:strRef>
          </c:tx>
          <c:cat>
            <c:numRef>
              <c:f>'Canal View'!$D$168:$N$168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'Canal View'!$D$170:$I$170</c:f>
              <c:numCache>
                <c:formatCode>#,##0</c:formatCode>
                <c:ptCount val="6"/>
                <c:pt idx="0">
                  <c:v>50</c:v>
                </c:pt>
                <c:pt idx="1">
                  <c:v>53</c:v>
                </c:pt>
                <c:pt idx="2">
                  <c:v>58</c:v>
                </c:pt>
                <c:pt idx="3">
                  <c:v>66</c:v>
                </c:pt>
                <c:pt idx="4">
                  <c:v>61</c:v>
                </c:pt>
                <c:pt idx="5">
                  <c:v>61</c:v>
                </c:pt>
              </c:numCache>
            </c:numRef>
          </c:val>
          <c:smooth val="0"/>
          <c:extLst xmlns:c16r2="http://schemas.microsoft.com/office/drawing/2015/06/chart">
            <c:ext xmlns:c16="http://schemas.microsoft.com/office/drawing/2014/chart" uri="{C3380CC4-5D6E-409C-BE32-E72D297353CC}">
              <c16:uniqueId val="{00000001-C3C7-46E0-839B-3357AA8D6DEB}"/>
            </c:ext>
          </c:extLst>
        </c:ser>
        <c:ser>
          <c:idx val="2"/>
          <c:order val="2"/>
          <c:tx>
            <c:strRef>
              <c:f>'Canal View'!$B$172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C3C7-46E0-839B-3357AA8D6DEB}"/>
              </c:ext>
            </c:extLst>
          </c:dPt>
          <c:dPt>
            <c:idx val="5"/>
            <c:marker>
              <c:symbol val="none"/>
            </c:marker>
            <c:bubble3D val="0"/>
            <c:extLst xmlns:c16r2="http://schemas.microsoft.com/office/drawing/2015/06/chart">
              <c:ext xmlns:c16="http://schemas.microsoft.com/office/drawing/2014/chart" uri="{C3380CC4-5D6E-409C-BE32-E72D297353CC}">
                <c16:uniqueId val="{00000003-C3C7-46E0-839B-3357AA8D6DEB}"/>
              </c:ext>
            </c:extLst>
          </c:dPt>
          <c:dPt>
            <c:idx val="6"/>
            <c:marker>
              <c:symbol val="circle"/>
              <c:size val="7"/>
            </c:marker>
            <c:bubble3D val="0"/>
            <c:extLst xmlns:c16r2="http://schemas.microsoft.com/office/drawing/2015/06/chart">
              <c:ext xmlns:c16="http://schemas.microsoft.com/office/drawing/2014/chart" uri="{C3380CC4-5D6E-409C-BE32-E72D297353CC}">
                <c16:uniqueId val="{00000004-C3C7-46E0-839B-3357AA8D6DEB}"/>
              </c:ext>
            </c:extLst>
          </c:dPt>
          <c:dPt>
            <c:idx val="7"/>
            <c:marker>
              <c:symbol val="circle"/>
              <c:size val="7"/>
            </c:marker>
            <c:bubble3D val="0"/>
            <c:extLst xmlns:c16r2="http://schemas.microsoft.com/office/drawing/2015/06/chart">
              <c:ext xmlns:c16="http://schemas.microsoft.com/office/drawing/2014/chart" uri="{C3380CC4-5D6E-409C-BE32-E72D297353CC}">
                <c16:uniqueId val="{00000005-C3C7-46E0-839B-3357AA8D6DEB}"/>
              </c:ext>
            </c:extLst>
          </c:dPt>
          <c:dPt>
            <c:idx val="8"/>
            <c:marker>
              <c:symbol val="circle"/>
              <c:size val="7"/>
            </c:marker>
            <c:bubble3D val="0"/>
            <c:extLst xmlns:c16r2="http://schemas.microsoft.com/office/drawing/2015/06/chart">
              <c:ext xmlns:c16="http://schemas.microsoft.com/office/drawing/2014/chart" uri="{C3380CC4-5D6E-409C-BE32-E72D297353CC}">
                <c16:uniqueId val="{00000006-C3C7-46E0-839B-3357AA8D6DEB}"/>
              </c:ext>
            </c:extLst>
          </c:dPt>
          <c:dPt>
            <c:idx val="9"/>
            <c:marker>
              <c:symbol val="circle"/>
              <c:size val="7"/>
            </c:marker>
            <c:bubble3D val="0"/>
            <c:extLst xmlns:c16r2="http://schemas.microsoft.com/office/drawing/2015/06/chart">
              <c:ext xmlns:c16="http://schemas.microsoft.com/office/drawing/2014/chart" uri="{C3380CC4-5D6E-409C-BE32-E72D297353CC}">
                <c16:uniqueId val="{00000007-C3C7-46E0-839B-3357AA8D6DEB}"/>
              </c:ext>
            </c:extLst>
          </c:dPt>
          <c:dPt>
            <c:idx val="10"/>
            <c:marker>
              <c:symbol val="circle"/>
              <c:size val="7"/>
            </c:marker>
            <c:bubble3D val="0"/>
            <c:extLst xmlns:c16r2="http://schemas.microsoft.com/office/drawing/2015/06/chart">
              <c:ext xmlns:c16="http://schemas.microsoft.com/office/drawing/2014/chart" uri="{C3380CC4-5D6E-409C-BE32-E72D297353CC}">
                <c16:uniqueId val="{00000008-C3C7-46E0-839B-3357AA8D6DEB}"/>
              </c:ext>
            </c:extLst>
          </c:dPt>
          <c:cat>
            <c:numRef>
              <c:f>'Canal View'!$D$168:$N$168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'Canal View'!$D$172:$N$172</c:f>
              <c:numCache>
                <c:formatCode>General</c:formatCode>
                <c:ptCount val="11"/>
                <c:pt idx="5" formatCode="0">
                  <c:v>61</c:v>
                </c:pt>
                <c:pt idx="6" formatCode="0">
                  <c:v>0</c:v>
                </c:pt>
                <c:pt idx="7" formatCode="0">
                  <c:v>49</c:v>
                </c:pt>
                <c:pt idx="8" formatCode="0">
                  <c:v>36</c:v>
                </c:pt>
                <c:pt idx="9" formatCode="0">
                  <c:v>55</c:v>
                </c:pt>
                <c:pt idx="10" formatCode="0">
                  <c:v>58</c:v>
                </c:pt>
              </c:numCache>
            </c:numRef>
          </c:val>
          <c:smooth val="0"/>
          <c:extLst xmlns:c16r2="http://schemas.microsoft.com/office/drawing/2015/06/chart">
            <c:ext xmlns:c16="http://schemas.microsoft.com/office/drawing/2014/chart" uri="{C3380CC4-5D6E-409C-BE32-E72D297353CC}">
              <c16:uniqueId val="{00000009-C3C7-46E0-839B-3357AA8D6DEB}"/>
            </c:ext>
          </c:extLst>
        </c:ser>
        <c:ser>
          <c:idx val="3"/>
          <c:order val="3"/>
          <c:tx>
            <c:strRef>
              <c:f>'Canal View'!$B$171</c:f>
              <c:strCache>
                <c:ptCount val="1"/>
                <c:pt idx="0">
                  <c:v>Actual P1 Registrations (as of Jan 2016)</c:v>
                </c:pt>
              </c:strCache>
            </c:strRef>
          </c:tx>
          <c:spPr>
            <a:ln w="15875">
              <a:noFill/>
            </a:ln>
          </c:spPr>
          <c:marker>
            <c:symbol val="diamond"/>
            <c:size val="9"/>
            <c:spPr>
              <a:solidFill>
                <a:schemeClr val="tx1"/>
              </a:solidFill>
            </c:spPr>
          </c:marker>
          <c:cat>
            <c:numRef>
              <c:f>'Canal View'!$D$168:$N$168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'Canal View'!$D$171:$M$171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C3C7-46E0-839B-3357AA8D6DEB}"/>
            </c:ext>
          </c:extLst>
        </c:ser>
        <c:dLbls>
          <c:showLegendKey val="0"/>
          <c:showVal val="0"/>
          <c:showCatName val="0"/>
          <c:showSerName val="0"/>
          <c:showPercent val="0"/>
          <c:showBubbleSize val="0"/>
        </c:dLbls>
        <c:marker val="1"/>
        <c:smooth val="0"/>
        <c:axId val="303517488"/>
        <c:axId val="303517880"/>
      </c:lineChart>
      <c:catAx>
        <c:axId val="303517488"/>
        <c:scaling>
          <c:orientation val="minMax"/>
        </c:scaling>
        <c:delete val="0"/>
        <c:axPos val="b"/>
        <c:numFmt formatCode="General" sourceLinked="1"/>
        <c:majorTickMark val="out"/>
        <c:minorTickMark val="none"/>
        <c:tickLblPos val="nextTo"/>
        <c:crossAx val="303517880"/>
        <c:crosses val="autoZero"/>
        <c:auto val="1"/>
        <c:lblAlgn val="ctr"/>
        <c:lblOffset val="100"/>
        <c:noMultiLvlLbl val="0"/>
      </c:catAx>
      <c:valAx>
        <c:axId val="303517880"/>
        <c:scaling>
          <c:orientation val="minMax"/>
        </c:scaling>
        <c:delete val="0"/>
        <c:axPos val="l"/>
        <c:majorGridlines/>
        <c:numFmt formatCode="#,##0" sourceLinked="1"/>
        <c:majorTickMark val="out"/>
        <c:minorTickMark val="none"/>
        <c:tickLblPos val="nextTo"/>
        <c:crossAx val="303517488"/>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DD69-4A83-8450-75158C6066C7}"/>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03518664"/>
        <c:axId val="303519056"/>
      </c:lineChart>
      <c:catAx>
        <c:axId val="303518664"/>
        <c:scaling>
          <c:orientation val="minMax"/>
        </c:scaling>
        <c:delete val="0"/>
        <c:axPos val="b"/>
        <c:numFmt formatCode="General" sourceLinked="1"/>
        <c:majorTickMark val="out"/>
        <c:minorTickMark val="none"/>
        <c:tickLblPos val="nextTo"/>
        <c:crossAx val="303519056"/>
        <c:crosses val="autoZero"/>
        <c:auto val="1"/>
        <c:lblAlgn val="ctr"/>
        <c:lblOffset val="100"/>
        <c:noMultiLvlLbl val="0"/>
      </c:catAx>
      <c:valAx>
        <c:axId val="303519056"/>
        <c:scaling>
          <c:orientation val="minMax"/>
        </c:scaling>
        <c:delete val="0"/>
        <c:axPos val="l"/>
        <c:majorGridlines/>
        <c:numFmt formatCode="General" sourceLinked="1"/>
        <c:majorTickMark val="out"/>
        <c:minorTickMark val="none"/>
        <c:tickLblPos val="nextTo"/>
        <c:crossAx val="303518664"/>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'Carrick Knowe'!$B$177:$B$190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'Carrick Knowe'!$J$177:$J$190</c:f>
              <c:numCache>
                <c:formatCode>General</c:formatCode>
                <c:ptCount val="14"/>
                <c:pt idx="0">
                  <c:v>468</c:v>
                </c:pt>
                <c:pt idx="1">
                  <c:v>467</c:v>
                </c:pt>
                <c:pt idx="2">
                  <c:v>439</c:v>
                </c:pt>
                <c:pt idx="3">
                  <c:v>423</c:v>
                </c:pt>
                <c:pt idx="4">
                  <c:v>396</c:v>
                </c:pt>
                <c:pt idx="5">
                  <c:v>396</c:v>
                </c:pt>
                <c:pt idx="6">
                  <c:v>408</c:v>
                </c:pt>
                <c:pt idx="7">
                  <c:v>400</c:v>
                </c:pt>
                <c:pt idx="8">
                  <c:v>380</c:v>
                </c:pt>
                <c:pt idx="9">
                  <c:v>374</c:v>
                </c:pt>
                <c:pt idx="10">
                  <c:v>370</c:v>
                </c:pt>
                <c:pt idx="11">
                  <c:v>394</c:v>
                </c:pt>
                <c:pt idx="12">
                  <c:v>406</c:v>
                </c:pt>
                <c:pt idx="13">
                  <c:v>397</c:v>
                </c:pt>
              </c:numCache>
            </c:numRef>
          </c:val>
          <c:smooth val="0"/>
          <c:extLst xmlns:c16r2="http://schemas.microsoft.com/office/drawing/2015/06/chart">
            <c:ext xmlns:c16="http://schemas.microsoft.com/office/drawing/2014/chart" uri="{C3380CC4-5D6E-409C-BE32-E72D297353CC}">
              <c16:uniqueId val="{00000000-CBDF-4EEC-BCBE-EEB219EDF314}"/>
            </c:ext>
          </c:extLst>
        </c:ser>
        <c:dLbls>
          <c:showLegendKey val="0"/>
          <c:showVal val="0"/>
          <c:showCatName val="0"/>
          <c:showSerName val="0"/>
          <c:showPercent val="0"/>
          <c:showBubbleSize val="0"/>
        </c:dLbls>
        <c:marker val="1"/>
        <c:smooth val="0"/>
        <c:axId val="303519840"/>
        <c:axId val="303520232"/>
      </c:lineChart>
      <c:catAx>
        <c:axId val="303519840"/>
        <c:scaling>
          <c:orientation val="minMax"/>
        </c:scaling>
        <c:delete val="0"/>
        <c:axPos val="b"/>
        <c:numFmt formatCode="General" sourceLinked="1"/>
        <c:majorTickMark val="out"/>
        <c:minorTickMark val="none"/>
        <c:tickLblPos val="nextTo"/>
        <c:crossAx val="303520232"/>
        <c:crosses val="autoZero"/>
        <c:auto val="1"/>
        <c:lblAlgn val="ctr"/>
        <c:lblOffset val="100"/>
        <c:noMultiLvlLbl val="0"/>
      </c:catAx>
      <c:valAx>
        <c:axId val="303520232"/>
        <c:scaling>
          <c:orientation val="minMax"/>
        </c:scaling>
        <c:delete val="0"/>
        <c:axPos val="l"/>
        <c:majorGridlines/>
        <c:numFmt formatCode="General" sourceLinked="1"/>
        <c:majorTickMark val="out"/>
        <c:minorTickMark val="none"/>
        <c:tickLblPos val="nextTo"/>
        <c:crossAx val="303519840"/>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'Carrick Knowe'!$B$169</c:f>
              <c:strCache>
                <c:ptCount val="1"/>
                <c:pt idx="0">
                  <c:v>Catchment Births (5yrs Prior)</c:v>
                </c:pt>
              </c:strCache>
            </c:strRef>
          </c:tx>
          <c:marker>
            <c:symbol val="square"/>
            <c:size val="7"/>
          </c:marker>
          <c:cat>
            <c:numRef>
              <c:f>'Carrick Knowe'!$D$168:$N$168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'Carrick Knowe'!$D$169:$N$169</c:f>
              <c:numCache>
                <c:formatCode>#,##0</c:formatCode>
                <c:ptCount val="11"/>
                <c:pt idx="0">
                  <c:v>64</c:v>
                </c:pt>
                <c:pt idx="1">
                  <c:v>70</c:v>
                </c:pt>
                <c:pt idx="2">
                  <c:v>77</c:v>
                </c:pt>
                <c:pt idx="3">
                  <c:v>84</c:v>
                </c:pt>
                <c:pt idx="4">
                  <c:v>85</c:v>
                </c:pt>
                <c:pt idx="5">
                  <c:v>97</c:v>
                </c:pt>
                <c:pt idx="6">
                  <c:v>68</c:v>
                </c:pt>
                <c:pt idx="7">
                  <c:v>74</c:v>
                </c:pt>
                <c:pt idx="8">
                  <c:v>80</c:v>
                </c:pt>
                <c:pt idx="9">
                  <c:v>82</c:v>
                </c:pt>
                <c:pt idx="10">
                  <c:v>65</c:v>
                </c:pt>
              </c:numCache>
            </c:numRef>
          </c:val>
          <c:smooth val="0"/>
          <c:extLst xmlns:c16r2="http://schemas.microsoft.com/office/drawing/2015/06/chart">
            <c:ext xmlns:c16="http://schemas.microsoft.com/office/drawing/2014/chart" uri="{C3380CC4-5D6E-409C-BE32-E72D297353CC}">
              <c16:uniqueId val="{00000000-2A9A-4E07-8E0E-606413275488}"/>
            </c:ext>
          </c:extLst>
        </c:ser>
        <c:ser>
          <c:idx val="1"/>
          <c:order val="1"/>
          <c:tx>
            <c:strRef>
              <c:f>'Carrick Knowe'!$B$170</c:f>
              <c:strCache>
                <c:ptCount val="1"/>
                <c:pt idx="0">
                  <c:v>P1 ND Catchment Population (Actual)</c:v>
                </c:pt>
              </c:strCache>
            </c:strRef>
          </c:tx>
          <c:cat>
            <c:numRef>
              <c:f>'Carrick Knowe'!$D$168:$N$168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'Carrick Knowe'!$D$170:$I$170</c:f>
              <c:numCache>
                <c:formatCode>#,##0</c:formatCode>
                <c:ptCount val="6"/>
                <c:pt idx="0">
                  <c:v>64</c:v>
                </c:pt>
                <c:pt idx="1">
                  <c:v>58</c:v>
                </c:pt>
                <c:pt idx="2">
                  <c:v>56</c:v>
                </c:pt>
                <c:pt idx="3">
                  <c:v>70</c:v>
                </c:pt>
                <c:pt idx="4">
                  <c:v>72</c:v>
                </c:pt>
                <c:pt idx="5">
                  <c:v>61</c:v>
                </c:pt>
              </c:numCache>
            </c:numRef>
          </c:val>
          <c:smooth val="0"/>
          <c:extLst xmlns:c16r2="http://schemas.microsoft.com/office/drawing/2015/06/chart">
            <c:ext xmlns:c16="http://schemas.microsoft.com/office/drawing/2014/chart" uri="{C3380CC4-5D6E-409C-BE32-E72D297353CC}">
              <c16:uniqueId val="{00000001-2A9A-4E07-8E0E-606413275488}"/>
            </c:ext>
          </c:extLst>
        </c:ser>
        <c:ser>
          <c:idx val="2"/>
          <c:order val="2"/>
          <c:tx>
            <c:strRef>
              <c:f>'Carrick Knowe'!$B$172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2A9A-4E07-8E0E-606413275488}"/>
              </c:ext>
            </c:extLst>
          </c:dPt>
          <c:dPt>
            <c:idx val="5"/>
            <c:marker>
              <c:symbol val="none"/>
            </c:marker>
            <c:bubble3D val="0"/>
            <c:extLst xmlns:c16r2="http://schemas.microsoft.com/office/drawing/2015/06/chart">
              <c:ext xmlns:c16="http://schemas.microsoft.com/office/drawing/2014/chart" uri="{C3380CC4-5D6E-409C-BE32-E72D297353CC}">
                <c16:uniqueId val="{00000003-2A9A-4E07-8E0E-606413275488}"/>
              </c:ext>
            </c:extLst>
          </c:dPt>
          <c:dPt>
            <c:idx val="6"/>
            <c:marker>
              <c:symbol val="circle"/>
              <c:size val="7"/>
            </c:marker>
            <c:bubble3D val="0"/>
            <c:extLst xmlns:c16r2="http://schemas.microsoft.com/office/drawing/2015/06/chart">
              <c:ext xmlns:c16="http://schemas.microsoft.com/office/drawing/2014/chart" uri="{C3380CC4-5D6E-409C-BE32-E72D297353CC}">
                <c16:uniqueId val="{00000004-2A9A-4E07-8E0E-606413275488}"/>
              </c:ext>
            </c:extLst>
          </c:dPt>
          <c:dPt>
            <c:idx val="7"/>
            <c:marker>
              <c:symbol val="circle"/>
              <c:size val="7"/>
            </c:marker>
            <c:bubble3D val="0"/>
            <c:extLst xmlns:c16r2="http://schemas.microsoft.com/office/drawing/2015/06/chart">
              <c:ext xmlns:c16="http://schemas.microsoft.com/office/drawing/2014/chart" uri="{C3380CC4-5D6E-409C-BE32-E72D297353CC}">
                <c16:uniqueId val="{00000005-2A9A-4E07-8E0E-606413275488}"/>
              </c:ext>
            </c:extLst>
          </c:dPt>
          <c:dPt>
            <c:idx val="8"/>
            <c:marker>
              <c:symbol val="circle"/>
              <c:size val="7"/>
            </c:marker>
            <c:bubble3D val="0"/>
            <c:extLst xmlns:c16r2="http://schemas.microsoft.com/office/drawing/2015/06/chart">
              <c:ext xmlns:c16="http://schemas.microsoft.com/office/drawing/2014/chart" uri="{C3380CC4-5D6E-409C-BE32-E72D297353CC}">
                <c16:uniqueId val="{00000006-2A9A-4E07-8E0E-606413275488}"/>
              </c:ext>
            </c:extLst>
          </c:dPt>
          <c:dPt>
            <c:idx val="9"/>
            <c:marker>
              <c:symbol val="circle"/>
              <c:size val="7"/>
            </c:marker>
            <c:bubble3D val="0"/>
            <c:extLst xmlns:c16r2="http://schemas.microsoft.com/office/drawing/2015/06/chart">
              <c:ext xmlns:c16="http://schemas.microsoft.com/office/drawing/2014/chart" uri="{C3380CC4-5D6E-409C-BE32-E72D297353CC}">
                <c16:uniqueId val="{00000007-2A9A-4E07-8E0E-606413275488}"/>
              </c:ext>
            </c:extLst>
          </c:dPt>
          <c:dPt>
            <c:idx val="10"/>
            <c:marker>
              <c:symbol val="circle"/>
              <c:size val="7"/>
            </c:marker>
            <c:bubble3D val="0"/>
            <c:extLst xmlns:c16r2="http://schemas.microsoft.com/office/drawing/2015/06/chart">
              <c:ext xmlns:c16="http://schemas.microsoft.com/office/drawing/2014/chart" uri="{C3380CC4-5D6E-409C-BE32-E72D297353CC}">
                <c16:uniqueId val="{00000008-2A9A-4E07-8E0E-606413275488}"/>
              </c:ext>
            </c:extLst>
          </c:dPt>
          <c:cat>
            <c:numRef>
              <c:f>'Carrick Knowe'!$D$168:$N$168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'Carrick Knowe'!$D$172:$N$172</c:f>
              <c:numCache>
                <c:formatCode>General</c:formatCode>
                <c:ptCount val="11"/>
                <c:pt idx="5" formatCode="0">
                  <c:v>61</c:v>
                </c:pt>
                <c:pt idx="6" formatCode="0">
                  <c:v>0</c:v>
                </c:pt>
                <c:pt idx="7" formatCode="0">
                  <c:v>61</c:v>
                </c:pt>
                <c:pt idx="8" formatCode="0">
                  <c:v>48</c:v>
                </c:pt>
                <c:pt idx="9" formatCode="0">
                  <c:v>48</c:v>
                </c:pt>
                <c:pt idx="10" formatCode="0">
                  <c:v>54</c:v>
                </c:pt>
              </c:numCache>
            </c:numRef>
          </c:val>
          <c:smooth val="0"/>
          <c:extLst xmlns:c16r2="http://schemas.microsoft.com/office/drawing/2015/06/chart">
            <c:ext xmlns:c16="http://schemas.microsoft.com/office/drawing/2014/chart" uri="{C3380CC4-5D6E-409C-BE32-E72D297353CC}">
              <c16:uniqueId val="{00000009-2A9A-4E07-8E0E-606413275488}"/>
            </c:ext>
          </c:extLst>
        </c:ser>
        <c:ser>
          <c:idx val="3"/>
          <c:order val="3"/>
          <c:tx>
            <c:strRef>
              <c:f>'Carrick Knowe'!$B$171</c:f>
              <c:strCache>
                <c:ptCount val="1"/>
                <c:pt idx="0">
                  <c:v>Actual P1 Registrations (as of Jan 2016)</c:v>
                </c:pt>
              </c:strCache>
            </c:strRef>
          </c:tx>
          <c:spPr>
            <a:ln w="15875">
              <a:noFill/>
            </a:ln>
          </c:spPr>
          <c:marker>
            <c:symbol val="diamond"/>
            <c:size val="9"/>
            <c:spPr>
              <a:solidFill>
                <a:schemeClr val="tx1"/>
              </a:solidFill>
            </c:spPr>
          </c:marker>
          <c:cat>
            <c:numRef>
              <c:f>'Carrick Knowe'!$D$168:$N$168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'Carrick Knowe'!$D$171:$M$171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2A9A-4E07-8E0E-606413275488}"/>
            </c:ext>
          </c:extLst>
        </c:ser>
        <c:dLbls>
          <c:showLegendKey val="0"/>
          <c:showVal val="0"/>
          <c:showCatName val="0"/>
          <c:showSerName val="0"/>
          <c:showPercent val="0"/>
          <c:showBubbleSize val="0"/>
        </c:dLbls>
        <c:marker val="1"/>
        <c:smooth val="0"/>
        <c:axId val="309943400"/>
        <c:axId val="309943792"/>
      </c:lineChart>
      <c:catAx>
        <c:axId val="309943400"/>
        <c:scaling>
          <c:orientation val="minMax"/>
        </c:scaling>
        <c:delete val="0"/>
        <c:axPos val="b"/>
        <c:numFmt formatCode="General" sourceLinked="1"/>
        <c:majorTickMark val="out"/>
        <c:minorTickMark val="none"/>
        <c:tickLblPos val="nextTo"/>
        <c:crossAx val="309943792"/>
        <c:crosses val="autoZero"/>
        <c:auto val="1"/>
        <c:lblAlgn val="ctr"/>
        <c:lblOffset val="100"/>
        <c:noMultiLvlLbl val="0"/>
      </c:catAx>
      <c:valAx>
        <c:axId val="309943792"/>
        <c:scaling>
          <c:orientation val="minMax"/>
        </c:scaling>
        <c:delete val="0"/>
        <c:axPos val="l"/>
        <c:majorGridlines/>
        <c:numFmt formatCode="#,##0" sourceLinked="1"/>
        <c:majorTickMark val="out"/>
        <c:minorTickMark val="none"/>
        <c:tickLblPos val="nextTo"/>
        <c:crossAx val="309943400"/>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387A-4F8D-8A0F-94DB30835BA0}"/>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09944576"/>
        <c:axId val="309944968"/>
      </c:lineChart>
      <c:catAx>
        <c:axId val="309944576"/>
        <c:scaling>
          <c:orientation val="minMax"/>
        </c:scaling>
        <c:delete val="0"/>
        <c:axPos val="b"/>
        <c:numFmt formatCode="General" sourceLinked="1"/>
        <c:majorTickMark val="out"/>
        <c:minorTickMark val="none"/>
        <c:tickLblPos val="nextTo"/>
        <c:crossAx val="309944968"/>
        <c:crosses val="autoZero"/>
        <c:auto val="1"/>
        <c:lblAlgn val="ctr"/>
        <c:lblOffset val="100"/>
        <c:noMultiLvlLbl val="0"/>
      </c:catAx>
      <c:valAx>
        <c:axId val="309944968"/>
        <c:scaling>
          <c:orientation val="minMax"/>
        </c:scaling>
        <c:delete val="0"/>
        <c:axPos val="l"/>
        <c:majorGridlines/>
        <c:numFmt formatCode="General" sourceLinked="1"/>
        <c:majorTickMark val="out"/>
        <c:minorTickMark val="none"/>
        <c:tickLblPos val="nextTo"/>
        <c:crossAx val="309944576"/>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Castleview!$B$177:$B$190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Castleview!$J$177:$J$190</c:f>
              <c:numCache>
                <c:formatCode>General</c:formatCode>
                <c:ptCount val="14"/>
                <c:pt idx="0">
                  <c:v>0</c:v>
                </c:pt>
                <c:pt idx="1">
                  <c:v>205</c:v>
                </c:pt>
                <c:pt idx="2">
                  <c:v>209</c:v>
                </c:pt>
                <c:pt idx="3">
                  <c:v>196</c:v>
                </c:pt>
                <c:pt idx="4">
                  <c:v>182</c:v>
                </c:pt>
                <c:pt idx="5">
                  <c:v>168</c:v>
                </c:pt>
                <c:pt idx="6">
                  <c:v>163</c:v>
                </c:pt>
                <c:pt idx="7">
                  <c:v>165</c:v>
                </c:pt>
                <c:pt idx="8">
                  <c:v>172</c:v>
                </c:pt>
                <c:pt idx="9">
                  <c:v>187</c:v>
                </c:pt>
                <c:pt idx="10">
                  <c:v>204</c:v>
                </c:pt>
                <c:pt idx="11">
                  <c:v>224</c:v>
                </c:pt>
                <c:pt idx="12">
                  <c:v>244</c:v>
                </c:pt>
                <c:pt idx="13">
                  <c:v>264</c:v>
                </c:pt>
              </c:numCache>
            </c:numRef>
          </c:val>
          <c:smooth val="0"/>
          <c:extLst xmlns:c16r2="http://schemas.microsoft.com/office/drawing/2015/06/chart">
            <c:ext xmlns:c16="http://schemas.microsoft.com/office/drawing/2014/chart" uri="{C3380CC4-5D6E-409C-BE32-E72D297353CC}">
              <c16:uniqueId val="{00000000-D868-48D0-BDD3-BF6918F59883}"/>
            </c:ext>
          </c:extLst>
        </c:ser>
        <c:dLbls>
          <c:showLegendKey val="0"/>
          <c:showVal val="0"/>
          <c:showCatName val="0"/>
          <c:showSerName val="0"/>
          <c:showPercent val="0"/>
          <c:showBubbleSize val="0"/>
        </c:dLbls>
        <c:marker val="1"/>
        <c:smooth val="0"/>
        <c:axId val="309945752"/>
        <c:axId val="309946144"/>
      </c:lineChart>
      <c:catAx>
        <c:axId val="309945752"/>
        <c:scaling>
          <c:orientation val="minMax"/>
        </c:scaling>
        <c:delete val="0"/>
        <c:axPos val="b"/>
        <c:numFmt formatCode="General" sourceLinked="1"/>
        <c:majorTickMark val="out"/>
        <c:minorTickMark val="none"/>
        <c:tickLblPos val="nextTo"/>
        <c:crossAx val="309946144"/>
        <c:crosses val="autoZero"/>
        <c:auto val="1"/>
        <c:lblAlgn val="ctr"/>
        <c:lblOffset val="100"/>
        <c:noMultiLvlLbl val="0"/>
      </c:catAx>
      <c:valAx>
        <c:axId val="309946144"/>
        <c:scaling>
          <c:orientation val="minMax"/>
        </c:scaling>
        <c:delete val="0"/>
        <c:axPos val="l"/>
        <c:majorGridlines/>
        <c:numFmt formatCode="General" sourceLinked="1"/>
        <c:majorTickMark val="out"/>
        <c:minorTickMark val="none"/>
        <c:tickLblPos val="nextTo"/>
        <c:crossAx val="309945752"/>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Castleview!$B$169</c:f>
              <c:strCache>
                <c:ptCount val="1"/>
                <c:pt idx="0">
                  <c:v>Catchment Births (5yrs Prior)</c:v>
                </c:pt>
              </c:strCache>
            </c:strRef>
          </c:tx>
          <c:marker>
            <c:symbol val="square"/>
            <c:size val="7"/>
          </c:marker>
          <c:cat>
            <c:numRef>
              <c:f>Castleview!$D$168:$N$168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Castleview!$D$169:$N$169</c:f>
              <c:numCache>
                <c:formatCode>#,##0</c:formatCode>
                <c:ptCount val="11"/>
                <c:pt idx="0">
                  <c:v>56</c:v>
                </c:pt>
                <c:pt idx="1">
                  <c:v>64</c:v>
                </c:pt>
                <c:pt idx="2">
                  <c:v>67</c:v>
                </c:pt>
                <c:pt idx="3">
                  <c:v>80</c:v>
                </c:pt>
                <c:pt idx="4">
                  <c:v>73</c:v>
                </c:pt>
                <c:pt idx="5">
                  <c:v>62</c:v>
                </c:pt>
                <c:pt idx="6">
                  <c:v>57</c:v>
                </c:pt>
                <c:pt idx="7">
                  <c:v>71</c:v>
                </c:pt>
                <c:pt idx="8">
                  <c:v>62</c:v>
                </c:pt>
                <c:pt idx="9">
                  <c:v>56</c:v>
                </c:pt>
                <c:pt idx="10">
                  <c:v>66</c:v>
                </c:pt>
              </c:numCache>
            </c:numRef>
          </c:val>
          <c:smooth val="0"/>
          <c:extLst xmlns:c16r2="http://schemas.microsoft.com/office/drawing/2015/06/chart">
            <c:ext xmlns:c16="http://schemas.microsoft.com/office/drawing/2014/chart" uri="{C3380CC4-5D6E-409C-BE32-E72D297353CC}">
              <c16:uniqueId val="{00000000-AA3B-40A7-AA7A-D1DD725203B9}"/>
            </c:ext>
          </c:extLst>
        </c:ser>
        <c:ser>
          <c:idx val="1"/>
          <c:order val="1"/>
          <c:tx>
            <c:strRef>
              <c:f>Castleview!$B$170</c:f>
              <c:strCache>
                <c:ptCount val="1"/>
                <c:pt idx="0">
                  <c:v>P1 ND Catchment Population (Actual)</c:v>
                </c:pt>
              </c:strCache>
            </c:strRef>
          </c:tx>
          <c:cat>
            <c:numRef>
              <c:f>Castleview!$D$168:$N$168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Castleview!$D$170:$I$170</c:f>
              <c:numCache>
                <c:formatCode>#,##0</c:formatCode>
                <c:ptCount val="6"/>
                <c:pt idx="0">
                  <c:v>44</c:v>
                </c:pt>
                <c:pt idx="1">
                  <c:v>44</c:v>
                </c:pt>
                <c:pt idx="2">
                  <c:v>35</c:v>
                </c:pt>
                <c:pt idx="3">
                  <c:v>53</c:v>
                </c:pt>
                <c:pt idx="4">
                  <c:v>56</c:v>
                </c:pt>
                <c:pt idx="5">
                  <c:v>52</c:v>
                </c:pt>
              </c:numCache>
            </c:numRef>
          </c:val>
          <c:smooth val="0"/>
          <c:extLst xmlns:c16r2="http://schemas.microsoft.com/office/drawing/2015/06/chart">
            <c:ext xmlns:c16="http://schemas.microsoft.com/office/drawing/2014/chart" uri="{C3380CC4-5D6E-409C-BE32-E72D297353CC}">
              <c16:uniqueId val="{00000001-AA3B-40A7-AA7A-D1DD725203B9}"/>
            </c:ext>
          </c:extLst>
        </c:ser>
        <c:ser>
          <c:idx val="2"/>
          <c:order val="2"/>
          <c:tx>
            <c:strRef>
              <c:f>Castleview!$B$172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AA3B-40A7-AA7A-D1DD725203B9}"/>
              </c:ext>
            </c:extLst>
          </c:dPt>
          <c:dPt>
            <c:idx val="5"/>
            <c:marker>
              <c:symbol val="none"/>
            </c:marker>
            <c:bubble3D val="0"/>
            <c:extLst xmlns:c16r2="http://schemas.microsoft.com/office/drawing/2015/06/chart">
              <c:ext xmlns:c16="http://schemas.microsoft.com/office/drawing/2014/chart" uri="{C3380CC4-5D6E-409C-BE32-E72D297353CC}">
                <c16:uniqueId val="{00000003-AA3B-40A7-AA7A-D1DD725203B9}"/>
              </c:ext>
            </c:extLst>
          </c:dPt>
          <c:dPt>
            <c:idx val="6"/>
            <c:marker>
              <c:symbol val="circle"/>
              <c:size val="7"/>
            </c:marker>
            <c:bubble3D val="0"/>
            <c:extLst xmlns:c16r2="http://schemas.microsoft.com/office/drawing/2015/06/chart">
              <c:ext xmlns:c16="http://schemas.microsoft.com/office/drawing/2014/chart" uri="{C3380CC4-5D6E-409C-BE32-E72D297353CC}">
                <c16:uniqueId val="{00000004-AA3B-40A7-AA7A-D1DD725203B9}"/>
              </c:ext>
            </c:extLst>
          </c:dPt>
          <c:dPt>
            <c:idx val="7"/>
            <c:marker>
              <c:symbol val="circle"/>
              <c:size val="7"/>
            </c:marker>
            <c:bubble3D val="0"/>
            <c:extLst xmlns:c16r2="http://schemas.microsoft.com/office/drawing/2015/06/chart">
              <c:ext xmlns:c16="http://schemas.microsoft.com/office/drawing/2014/chart" uri="{C3380CC4-5D6E-409C-BE32-E72D297353CC}">
                <c16:uniqueId val="{00000005-AA3B-40A7-AA7A-D1DD725203B9}"/>
              </c:ext>
            </c:extLst>
          </c:dPt>
          <c:dPt>
            <c:idx val="8"/>
            <c:marker>
              <c:symbol val="circle"/>
              <c:size val="7"/>
            </c:marker>
            <c:bubble3D val="0"/>
            <c:extLst xmlns:c16r2="http://schemas.microsoft.com/office/drawing/2015/06/chart">
              <c:ext xmlns:c16="http://schemas.microsoft.com/office/drawing/2014/chart" uri="{C3380CC4-5D6E-409C-BE32-E72D297353CC}">
                <c16:uniqueId val="{00000006-AA3B-40A7-AA7A-D1DD725203B9}"/>
              </c:ext>
            </c:extLst>
          </c:dPt>
          <c:dPt>
            <c:idx val="9"/>
            <c:marker>
              <c:symbol val="circle"/>
              <c:size val="7"/>
            </c:marker>
            <c:bubble3D val="0"/>
            <c:extLst xmlns:c16r2="http://schemas.microsoft.com/office/drawing/2015/06/chart">
              <c:ext xmlns:c16="http://schemas.microsoft.com/office/drawing/2014/chart" uri="{C3380CC4-5D6E-409C-BE32-E72D297353CC}">
                <c16:uniqueId val="{00000007-AA3B-40A7-AA7A-D1DD725203B9}"/>
              </c:ext>
            </c:extLst>
          </c:dPt>
          <c:dPt>
            <c:idx val="10"/>
            <c:marker>
              <c:symbol val="circle"/>
              <c:size val="7"/>
            </c:marker>
            <c:bubble3D val="0"/>
            <c:extLst xmlns:c16r2="http://schemas.microsoft.com/office/drawing/2015/06/chart">
              <c:ext xmlns:c16="http://schemas.microsoft.com/office/drawing/2014/chart" uri="{C3380CC4-5D6E-409C-BE32-E72D297353CC}">
                <c16:uniqueId val="{00000008-AA3B-40A7-AA7A-D1DD725203B9}"/>
              </c:ext>
            </c:extLst>
          </c:dPt>
          <c:cat>
            <c:numRef>
              <c:f>Castleview!$D$168:$N$168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Castleview!$D$172:$N$172</c:f>
              <c:numCache>
                <c:formatCode>General</c:formatCode>
                <c:ptCount val="11"/>
                <c:pt idx="5" formatCode="0">
                  <c:v>52</c:v>
                </c:pt>
                <c:pt idx="6" formatCode="0">
                  <c:v>0</c:v>
                </c:pt>
                <c:pt idx="7" formatCode="0">
                  <c:v>59</c:v>
                </c:pt>
                <c:pt idx="8" formatCode="0">
                  <c:v>73</c:v>
                </c:pt>
                <c:pt idx="9" formatCode="0">
                  <c:v>99</c:v>
                </c:pt>
                <c:pt idx="10" formatCode="0">
                  <c:v>96</c:v>
                </c:pt>
              </c:numCache>
            </c:numRef>
          </c:val>
          <c:smooth val="0"/>
          <c:extLst xmlns:c16r2="http://schemas.microsoft.com/office/drawing/2015/06/chart">
            <c:ext xmlns:c16="http://schemas.microsoft.com/office/drawing/2014/chart" uri="{C3380CC4-5D6E-409C-BE32-E72D297353CC}">
              <c16:uniqueId val="{00000009-AA3B-40A7-AA7A-D1DD725203B9}"/>
            </c:ext>
          </c:extLst>
        </c:ser>
        <c:ser>
          <c:idx val="3"/>
          <c:order val="3"/>
          <c:tx>
            <c:strRef>
              <c:f>Castleview!$B$171</c:f>
              <c:strCache>
                <c:ptCount val="1"/>
                <c:pt idx="0">
                  <c:v>Actual P1 Registrations (as of Jan 2016)</c:v>
                </c:pt>
              </c:strCache>
            </c:strRef>
          </c:tx>
          <c:spPr>
            <a:ln w="15875">
              <a:noFill/>
            </a:ln>
          </c:spPr>
          <c:marker>
            <c:symbol val="diamond"/>
            <c:size val="9"/>
            <c:spPr>
              <a:solidFill>
                <a:schemeClr val="tx1"/>
              </a:solidFill>
            </c:spPr>
          </c:marker>
          <c:cat>
            <c:numRef>
              <c:f>Castleview!$D$168:$N$168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Castleview!$D$171:$M$171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AA3B-40A7-AA7A-D1DD725203B9}"/>
            </c:ext>
          </c:extLst>
        </c:ser>
        <c:dLbls>
          <c:showLegendKey val="0"/>
          <c:showVal val="0"/>
          <c:showCatName val="0"/>
          <c:showSerName val="0"/>
          <c:showPercent val="0"/>
          <c:showBubbleSize val="0"/>
        </c:dLbls>
        <c:marker val="1"/>
        <c:smooth val="0"/>
        <c:axId val="310857312"/>
        <c:axId val="310857704"/>
      </c:lineChart>
      <c:catAx>
        <c:axId val="310857312"/>
        <c:scaling>
          <c:orientation val="minMax"/>
        </c:scaling>
        <c:delete val="0"/>
        <c:axPos val="b"/>
        <c:numFmt formatCode="General" sourceLinked="1"/>
        <c:majorTickMark val="out"/>
        <c:minorTickMark val="none"/>
        <c:tickLblPos val="nextTo"/>
        <c:crossAx val="310857704"/>
        <c:crosses val="autoZero"/>
        <c:auto val="1"/>
        <c:lblAlgn val="ctr"/>
        <c:lblOffset val="100"/>
        <c:noMultiLvlLbl val="0"/>
      </c:catAx>
      <c:valAx>
        <c:axId val="310857704"/>
        <c:scaling>
          <c:orientation val="minMax"/>
        </c:scaling>
        <c:delete val="0"/>
        <c:axPos val="l"/>
        <c:majorGridlines/>
        <c:numFmt formatCode="#,##0" sourceLinked="1"/>
        <c:majorTickMark val="out"/>
        <c:minorTickMark val="none"/>
        <c:tickLblPos val="nextTo"/>
        <c:crossAx val="310857312"/>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8082-49A5-8420-225539ECAADB}"/>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10858488"/>
        <c:axId val="310858880"/>
      </c:lineChart>
      <c:catAx>
        <c:axId val="310858488"/>
        <c:scaling>
          <c:orientation val="minMax"/>
        </c:scaling>
        <c:delete val="0"/>
        <c:axPos val="b"/>
        <c:numFmt formatCode="General" sourceLinked="1"/>
        <c:majorTickMark val="out"/>
        <c:minorTickMark val="none"/>
        <c:tickLblPos val="nextTo"/>
        <c:crossAx val="310858880"/>
        <c:crosses val="autoZero"/>
        <c:auto val="1"/>
        <c:lblAlgn val="ctr"/>
        <c:lblOffset val="100"/>
        <c:noMultiLvlLbl val="0"/>
      </c:catAx>
      <c:valAx>
        <c:axId val="310858880"/>
        <c:scaling>
          <c:orientation val="minMax"/>
        </c:scaling>
        <c:delete val="0"/>
        <c:axPos val="l"/>
        <c:majorGridlines/>
        <c:numFmt formatCode="General" sourceLinked="1"/>
        <c:majorTickMark val="out"/>
        <c:minorTickMark val="none"/>
        <c:tickLblPos val="nextTo"/>
        <c:crossAx val="310858488"/>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Clermiston!$B$177:$B$190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Clermiston!$J$177:$J$190</c:f>
              <c:numCache>
                <c:formatCode>General</c:formatCode>
                <c:ptCount val="14"/>
                <c:pt idx="0">
                  <c:v>272</c:v>
                </c:pt>
                <c:pt idx="1">
                  <c:v>259</c:v>
                </c:pt>
                <c:pt idx="2">
                  <c:v>256</c:v>
                </c:pt>
                <c:pt idx="3">
                  <c:v>225</c:v>
                </c:pt>
                <c:pt idx="4">
                  <c:v>227</c:v>
                </c:pt>
                <c:pt idx="5">
                  <c:v>222</c:v>
                </c:pt>
                <c:pt idx="6">
                  <c:v>227</c:v>
                </c:pt>
                <c:pt idx="7">
                  <c:v>241</c:v>
                </c:pt>
                <c:pt idx="8">
                  <c:v>270</c:v>
                </c:pt>
                <c:pt idx="9">
                  <c:v>290</c:v>
                </c:pt>
                <c:pt idx="10">
                  <c:v>306</c:v>
                </c:pt>
                <c:pt idx="11">
                  <c:v>315</c:v>
                </c:pt>
                <c:pt idx="12">
                  <c:v>358</c:v>
                </c:pt>
                <c:pt idx="13">
                  <c:v>396</c:v>
                </c:pt>
              </c:numCache>
            </c:numRef>
          </c:val>
          <c:smooth val="0"/>
          <c:extLst xmlns:c16r2="http://schemas.microsoft.com/office/drawing/2015/06/chart">
            <c:ext xmlns:c16="http://schemas.microsoft.com/office/drawing/2014/chart" uri="{C3380CC4-5D6E-409C-BE32-E72D297353CC}">
              <c16:uniqueId val="{00000000-1E8C-4A6D-9054-C0215D27AF00}"/>
            </c:ext>
          </c:extLst>
        </c:ser>
        <c:dLbls>
          <c:showLegendKey val="0"/>
          <c:showVal val="0"/>
          <c:showCatName val="0"/>
          <c:showSerName val="0"/>
          <c:showPercent val="0"/>
          <c:showBubbleSize val="0"/>
        </c:dLbls>
        <c:marker val="1"/>
        <c:smooth val="0"/>
        <c:axId val="310859664"/>
        <c:axId val="310860056"/>
      </c:lineChart>
      <c:catAx>
        <c:axId val="310859664"/>
        <c:scaling>
          <c:orientation val="minMax"/>
        </c:scaling>
        <c:delete val="0"/>
        <c:axPos val="b"/>
        <c:numFmt formatCode="General" sourceLinked="1"/>
        <c:majorTickMark val="out"/>
        <c:minorTickMark val="none"/>
        <c:tickLblPos val="nextTo"/>
        <c:crossAx val="310860056"/>
        <c:crosses val="autoZero"/>
        <c:auto val="1"/>
        <c:lblAlgn val="ctr"/>
        <c:lblOffset val="100"/>
        <c:noMultiLvlLbl val="0"/>
      </c:catAx>
      <c:valAx>
        <c:axId val="310860056"/>
        <c:scaling>
          <c:orientation val="minMax"/>
        </c:scaling>
        <c:delete val="0"/>
        <c:axPos val="l"/>
        <c:majorGridlines/>
        <c:numFmt formatCode="General" sourceLinked="1"/>
        <c:majorTickMark val="out"/>
        <c:minorTickMark val="none"/>
        <c:tickLblPos val="nextTo"/>
        <c:crossAx val="310859664"/>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Clermiston!$B$169</c:f>
              <c:strCache>
                <c:ptCount val="1"/>
                <c:pt idx="0">
                  <c:v>Catchment Births (5yrs Prior)</c:v>
                </c:pt>
              </c:strCache>
            </c:strRef>
          </c:tx>
          <c:marker>
            <c:symbol val="square"/>
            <c:size val="7"/>
          </c:marker>
          <c:cat>
            <c:numRef>
              <c:f>Clermiston!$D$168:$N$168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Clermiston!$D$169:$N$169</c:f>
              <c:numCache>
                <c:formatCode>#,##0</c:formatCode>
                <c:ptCount val="11"/>
                <c:pt idx="0">
                  <c:v>73</c:v>
                </c:pt>
                <c:pt idx="1">
                  <c:v>94</c:v>
                </c:pt>
                <c:pt idx="2">
                  <c:v>73</c:v>
                </c:pt>
                <c:pt idx="3">
                  <c:v>78</c:v>
                </c:pt>
                <c:pt idx="4">
                  <c:v>98</c:v>
                </c:pt>
                <c:pt idx="5">
                  <c:v>78</c:v>
                </c:pt>
                <c:pt idx="6">
                  <c:v>92</c:v>
                </c:pt>
                <c:pt idx="7">
                  <c:v>87</c:v>
                </c:pt>
                <c:pt idx="8">
                  <c:v>93</c:v>
                </c:pt>
                <c:pt idx="9">
                  <c:v>84</c:v>
                </c:pt>
                <c:pt idx="10">
                  <c:v>91</c:v>
                </c:pt>
              </c:numCache>
            </c:numRef>
          </c:val>
          <c:smooth val="0"/>
          <c:extLst xmlns:c16r2="http://schemas.microsoft.com/office/drawing/2015/06/chart">
            <c:ext xmlns:c16="http://schemas.microsoft.com/office/drawing/2014/chart" uri="{C3380CC4-5D6E-409C-BE32-E72D297353CC}">
              <c16:uniqueId val="{00000000-4AED-4CCB-B6FC-0A352AC50287}"/>
            </c:ext>
          </c:extLst>
        </c:ser>
        <c:ser>
          <c:idx val="1"/>
          <c:order val="1"/>
          <c:tx>
            <c:strRef>
              <c:f>Clermiston!$B$170</c:f>
              <c:strCache>
                <c:ptCount val="1"/>
                <c:pt idx="0">
                  <c:v>P1 ND Catchment Population (Actual)</c:v>
                </c:pt>
              </c:strCache>
            </c:strRef>
          </c:tx>
          <c:cat>
            <c:numRef>
              <c:f>Clermiston!$D$168:$N$168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Clermiston!$D$170:$I$170</c:f>
              <c:numCache>
                <c:formatCode>#,##0</c:formatCode>
                <c:ptCount val="6"/>
                <c:pt idx="0">
                  <c:v>60</c:v>
                </c:pt>
                <c:pt idx="1">
                  <c:v>77</c:v>
                </c:pt>
                <c:pt idx="2">
                  <c:v>63</c:v>
                </c:pt>
                <c:pt idx="3">
                  <c:v>70</c:v>
                </c:pt>
                <c:pt idx="4">
                  <c:v>69</c:v>
                </c:pt>
                <c:pt idx="5">
                  <c:v>73</c:v>
                </c:pt>
              </c:numCache>
            </c:numRef>
          </c:val>
          <c:smooth val="0"/>
          <c:extLst xmlns:c16r2="http://schemas.microsoft.com/office/drawing/2015/06/chart">
            <c:ext xmlns:c16="http://schemas.microsoft.com/office/drawing/2014/chart" uri="{C3380CC4-5D6E-409C-BE32-E72D297353CC}">
              <c16:uniqueId val="{00000001-4AED-4CCB-B6FC-0A352AC50287}"/>
            </c:ext>
          </c:extLst>
        </c:ser>
        <c:ser>
          <c:idx val="2"/>
          <c:order val="2"/>
          <c:tx>
            <c:strRef>
              <c:f>Clermiston!$B$172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4AED-4CCB-B6FC-0A352AC50287}"/>
              </c:ext>
            </c:extLst>
          </c:dPt>
          <c:dPt>
            <c:idx val="5"/>
            <c:marker>
              <c:symbol val="none"/>
            </c:marker>
            <c:bubble3D val="0"/>
            <c:extLst xmlns:c16r2="http://schemas.microsoft.com/office/drawing/2015/06/chart">
              <c:ext xmlns:c16="http://schemas.microsoft.com/office/drawing/2014/chart" uri="{C3380CC4-5D6E-409C-BE32-E72D297353CC}">
                <c16:uniqueId val="{00000003-4AED-4CCB-B6FC-0A352AC50287}"/>
              </c:ext>
            </c:extLst>
          </c:dPt>
          <c:dPt>
            <c:idx val="6"/>
            <c:marker>
              <c:symbol val="circle"/>
              <c:size val="7"/>
            </c:marker>
            <c:bubble3D val="0"/>
            <c:extLst xmlns:c16r2="http://schemas.microsoft.com/office/drawing/2015/06/chart">
              <c:ext xmlns:c16="http://schemas.microsoft.com/office/drawing/2014/chart" uri="{C3380CC4-5D6E-409C-BE32-E72D297353CC}">
                <c16:uniqueId val="{00000004-4AED-4CCB-B6FC-0A352AC50287}"/>
              </c:ext>
            </c:extLst>
          </c:dPt>
          <c:dPt>
            <c:idx val="7"/>
            <c:marker>
              <c:symbol val="circle"/>
              <c:size val="7"/>
            </c:marker>
            <c:bubble3D val="0"/>
            <c:extLst xmlns:c16r2="http://schemas.microsoft.com/office/drawing/2015/06/chart">
              <c:ext xmlns:c16="http://schemas.microsoft.com/office/drawing/2014/chart" uri="{C3380CC4-5D6E-409C-BE32-E72D297353CC}">
                <c16:uniqueId val="{00000005-4AED-4CCB-B6FC-0A352AC50287}"/>
              </c:ext>
            </c:extLst>
          </c:dPt>
          <c:dPt>
            <c:idx val="8"/>
            <c:marker>
              <c:symbol val="circle"/>
              <c:size val="7"/>
            </c:marker>
            <c:bubble3D val="0"/>
            <c:extLst xmlns:c16r2="http://schemas.microsoft.com/office/drawing/2015/06/chart">
              <c:ext xmlns:c16="http://schemas.microsoft.com/office/drawing/2014/chart" uri="{C3380CC4-5D6E-409C-BE32-E72D297353CC}">
                <c16:uniqueId val="{00000006-4AED-4CCB-B6FC-0A352AC50287}"/>
              </c:ext>
            </c:extLst>
          </c:dPt>
          <c:dPt>
            <c:idx val="9"/>
            <c:marker>
              <c:symbol val="circle"/>
              <c:size val="7"/>
            </c:marker>
            <c:bubble3D val="0"/>
            <c:extLst xmlns:c16r2="http://schemas.microsoft.com/office/drawing/2015/06/chart">
              <c:ext xmlns:c16="http://schemas.microsoft.com/office/drawing/2014/chart" uri="{C3380CC4-5D6E-409C-BE32-E72D297353CC}">
                <c16:uniqueId val="{00000007-4AED-4CCB-B6FC-0A352AC50287}"/>
              </c:ext>
            </c:extLst>
          </c:dPt>
          <c:dPt>
            <c:idx val="10"/>
            <c:marker>
              <c:symbol val="circle"/>
              <c:size val="7"/>
            </c:marker>
            <c:bubble3D val="0"/>
            <c:extLst xmlns:c16r2="http://schemas.microsoft.com/office/drawing/2015/06/chart">
              <c:ext xmlns:c16="http://schemas.microsoft.com/office/drawing/2014/chart" uri="{C3380CC4-5D6E-409C-BE32-E72D297353CC}">
                <c16:uniqueId val="{00000008-4AED-4CCB-B6FC-0A352AC50287}"/>
              </c:ext>
            </c:extLst>
          </c:dPt>
          <c:cat>
            <c:numRef>
              <c:f>Clermiston!$D$168:$N$168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Clermiston!$D$172:$N$172</c:f>
              <c:numCache>
                <c:formatCode>General</c:formatCode>
                <c:ptCount val="11"/>
                <c:pt idx="5" formatCode="0">
                  <c:v>73</c:v>
                </c:pt>
                <c:pt idx="6" formatCode="0">
                  <c:v>0</c:v>
                </c:pt>
                <c:pt idx="7" formatCode="0">
                  <c:v>68</c:v>
                </c:pt>
                <c:pt idx="8" formatCode="0">
                  <c:v>74</c:v>
                </c:pt>
                <c:pt idx="9" formatCode="0">
                  <c:v>79</c:v>
                </c:pt>
                <c:pt idx="10" formatCode="0">
                  <c:v>62</c:v>
                </c:pt>
              </c:numCache>
            </c:numRef>
          </c:val>
          <c:smooth val="0"/>
          <c:extLst xmlns:c16r2="http://schemas.microsoft.com/office/drawing/2015/06/chart">
            <c:ext xmlns:c16="http://schemas.microsoft.com/office/drawing/2014/chart" uri="{C3380CC4-5D6E-409C-BE32-E72D297353CC}">
              <c16:uniqueId val="{00000009-4AED-4CCB-B6FC-0A352AC50287}"/>
            </c:ext>
          </c:extLst>
        </c:ser>
        <c:ser>
          <c:idx val="3"/>
          <c:order val="3"/>
          <c:tx>
            <c:strRef>
              <c:f>Clermiston!$B$171</c:f>
              <c:strCache>
                <c:ptCount val="1"/>
                <c:pt idx="0">
                  <c:v>Actual P1 Registrations (as of Jan 2016)</c:v>
                </c:pt>
              </c:strCache>
            </c:strRef>
          </c:tx>
          <c:spPr>
            <a:ln w="15875">
              <a:noFill/>
            </a:ln>
          </c:spPr>
          <c:marker>
            <c:symbol val="diamond"/>
            <c:size val="9"/>
            <c:spPr>
              <a:solidFill>
                <a:schemeClr val="tx1"/>
              </a:solidFill>
            </c:spPr>
          </c:marker>
          <c:cat>
            <c:numRef>
              <c:f>Clermiston!$D$168:$N$168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Clermiston!$D$171:$M$171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4AED-4CCB-B6FC-0A352AC50287}"/>
            </c:ext>
          </c:extLst>
        </c:ser>
        <c:dLbls>
          <c:showLegendKey val="0"/>
          <c:showVal val="0"/>
          <c:showCatName val="0"/>
          <c:showSerName val="0"/>
          <c:showPercent val="0"/>
          <c:showBubbleSize val="0"/>
        </c:dLbls>
        <c:marker val="1"/>
        <c:smooth val="0"/>
        <c:axId val="310860840"/>
        <c:axId val="310861232"/>
      </c:lineChart>
      <c:catAx>
        <c:axId val="310860840"/>
        <c:scaling>
          <c:orientation val="minMax"/>
        </c:scaling>
        <c:delete val="0"/>
        <c:axPos val="b"/>
        <c:numFmt formatCode="General" sourceLinked="1"/>
        <c:majorTickMark val="out"/>
        <c:minorTickMark val="none"/>
        <c:tickLblPos val="nextTo"/>
        <c:crossAx val="310861232"/>
        <c:crosses val="autoZero"/>
        <c:auto val="1"/>
        <c:lblAlgn val="ctr"/>
        <c:lblOffset val="100"/>
        <c:noMultiLvlLbl val="0"/>
      </c:catAx>
      <c:valAx>
        <c:axId val="310861232"/>
        <c:scaling>
          <c:orientation val="minMax"/>
        </c:scaling>
        <c:delete val="0"/>
        <c:axPos val="l"/>
        <c:majorGridlines/>
        <c:numFmt formatCode="#,##0" sourceLinked="1"/>
        <c:majorTickMark val="out"/>
        <c:minorTickMark val="none"/>
        <c:tickLblPos val="nextTo"/>
        <c:crossAx val="310860840"/>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3CAB-4223-8895-A2AA3CF292DF}"/>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10862016"/>
        <c:axId val="310862408"/>
      </c:lineChart>
      <c:catAx>
        <c:axId val="310862016"/>
        <c:scaling>
          <c:orientation val="minMax"/>
        </c:scaling>
        <c:delete val="0"/>
        <c:axPos val="b"/>
        <c:numFmt formatCode="General" sourceLinked="1"/>
        <c:majorTickMark val="out"/>
        <c:minorTickMark val="none"/>
        <c:tickLblPos val="nextTo"/>
        <c:crossAx val="310862408"/>
        <c:crosses val="autoZero"/>
        <c:auto val="1"/>
        <c:lblAlgn val="ctr"/>
        <c:lblOffset val="100"/>
        <c:noMultiLvlLbl val="0"/>
      </c:catAx>
      <c:valAx>
        <c:axId val="310862408"/>
        <c:scaling>
          <c:orientation val="minMax"/>
        </c:scaling>
        <c:delete val="0"/>
        <c:axPos val="l"/>
        <c:majorGridlines/>
        <c:numFmt formatCode="General" sourceLinked="1"/>
        <c:majorTickMark val="out"/>
        <c:minorTickMark val="none"/>
        <c:tickLblPos val="nextTo"/>
        <c:crossAx val="310862016"/>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Clovenstone!$B$177:$B$190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Clovenstone!$J$177:$J$190</c:f>
              <c:numCache>
                <c:formatCode>General</c:formatCode>
                <c:ptCount val="14"/>
                <c:pt idx="0">
                  <c:v>220</c:v>
                </c:pt>
                <c:pt idx="1">
                  <c:v>229</c:v>
                </c:pt>
                <c:pt idx="2">
                  <c:v>224</c:v>
                </c:pt>
                <c:pt idx="3">
                  <c:v>234</c:v>
                </c:pt>
                <c:pt idx="4">
                  <c:v>232</c:v>
                </c:pt>
                <c:pt idx="5">
                  <c:v>241</c:v>
                </c:pt>
                <c:pt idx="6">
                  <c:v>212</c:v>
                </c:pt>
                <c:pt idx="7">
                  <c:v>205</c:v>
                </c:pt>
                <c:pt idx="8">
                  <c:v>173</c:v>
                </c:pt>
                <c:pt idx="9">
                  <c:v>183</c:v>
                </c:pt>
                <c:pt idx="10">
                  <c:v>177</c:v>
                </c:pt>
                <c:pt idx="11">
                  <c:v>190</c:v>
                </c:pt>
                <c:pt idx="12">
                  <c:v>201</c:v>
                </c:pt>
                <c:pt idx="13">
                  <c:v>208</c:v>
                </c:pt>
              </c:numCache>
            </c:numRef>
          </c:val>
          <c:smooth val="0"/>
          <c:extLst xmlns:c16r2="http://schemas.microsoft.com/office/drawing/2015/06/chart">
            <c:ext xmlns:c16="http://schemas.microsoft.com/office/drawing/2014/chart" uri="{C3380CC4-5D6E-409C-BE32-E72D297353CC}">
              <c16:uniqueId val="{00000000-4CB4-46EE-8D4A-7E8849E29878}"/>
            </c:ext>
          </c:extLst>
        </c:ser>
        <c:dLbls>
          <c:showLegendKey val="0"/>
          <c:showVal val="0"/>
          <c:showCatName val="0"/>
          <c:showSerName val="0"/>
          <c:showPercent val="0"/>
          <c:showBubbleSize val="0"/>
        </c:dLbls>
        <c:marker val="1"/>
        <c:smooth val="0"/>
        <c:axId val="310863192"/>
        <c:axId val="310863584"/>
      </c:lineChart>
      <c:catAx>
        <c:axId val="310863192"/>
        <c:scaling>
          <c:orientation val="minMax"/>
        </c:scaling>
        <c:delete val="0"/>
        <c:axPos val="b"/>
        <c:numFmt formatCode="General" sourceLinked="1"/>
        <c:majorTickMark val="out"/>
        <c:minorTickMark val="none"/>
        <c:tickLblPos val="nextTo"/>
        <c:crossAx val="310863584"/>
        <c:crosses val="autoZero"/>
        <c:auto val="1"/>
        <c:lblAlgn val="ctr"/>
        <c:lblOffset val="100"/>
        <c:noMultiLvlLbl val="0"/>
      </c:catAx>
      <c:valAx>
        <c:axId val="310863584"/>
        <c:scaling>
          <c:orientation val="minMax"/>
        </c:scaling>
        <c:delete val="0"/>
        <c:axPos val="l"/>
        <c:majorGridlines/>
        <c:numFmt formatCode="General" sourceLinked="1"/>
        <c:majorTickMark val="out"/>
        <c:minorTickMark val="none"/>
        <c:tickLblPos val="nextTo"/>
        <c:crossAx val="310863192"/>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Clovenstone!$B$169</c:f>
              <c:strCache>
                <c:ptCount val="1"/>
                <c:pt idx="0">
                  <c:v>Catchment Births (5yrs Prior)</c:v>
                </c:pt>
              </c:strCache>
            </c:strRef>
          </c:tx>
          <c:marker>
            <c:symbol val="square"/>
            <c:size val="7"/>
          </c:marker>
          <c:cat>
            <c:numRef>
              <c:f>Clovenstone!$D$168:$N$168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Clovenstone!$D$169:$N$169</c:f>
              <c:numCache>
                <c:formatCode>#,##0</c:formatCode>
                <c:ptCount val="11"/>
                <c:pt idx="0">
                  <c:v>47</c:v>
                </c:pt>
                <c:pt idx="1">
                  <c:v>61</c:v>
                </c:pt>
                <c:pt idx="2">
                  <c:v>43</c:v>
                </c:pt>
                <c:pt idx="3">
                  <c:v>51</c:v>
                </c:pt>
                <c:pt idx="4">
                  <c:v>47</c:v>
                </c:pt>
                <c:pt idx="5">
                  <c:v>47</c:v>
                </c:pt>
                <c:pt idx="6">
                  <c:v>69</c:v>
                </c:pt>
                <c:pt idx="7">
                  <c:v>60</c:v>
                </c:pt>
                <c:pt idx="8">
                  <c:v>44</c:v>
                </c:pt>
                <c:pt idx="9">
                  <c:v>47</c:v>
                </c:pt>
                <c:pt idx="10">
                  <c:v>47</c:v>
                </c:pt>
              </c:numCache>
            </c:numRef>
          </c:val>
          <c:smooth val="0"/>
          <c:extLst xmlns:c16r2="http://schemas.microsoft.com/office/drawing/2015/06/chart">
            <c:ext xmlns:c16="http://schemas.microsoft.com/office/drawing/2014/chart" uri="{C3380CC4-5D6E-409C-BE32-E72D297353CC}">
              <c16:uniqueId val="{00000000-5ABC-4AA9-A09F-B3CE80800A22}"/>
            </c:ext>
          </c:extLst>
        </c:ser>
        <c:ser>
          <c:idx val="1"/>
          <c:order val="1"/>
          <c:tx>
            <c:strRef>
              <c:f>Clovenstone!$B$170</c:f>
              <c:strCache>
                <c:ptCount val="1"/>
                <c:pt idx="0">
                  <c:v>P1 ND Catchment Population (Actual)</c:v>
                </c:pt>
              </c:strCache>
            </c:strRef>
          </c:tx>
          <c:cat>
            <c:numRef>
              <c:f>Clovenstone!$D$168:$N$168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Clovenstone!$D$170:$I$170</c:f>
              <c:numCache>
                <c:formatCode>#,##0</c:formatCode>
                <c:ptCount val="6"/>
                <c:pt idx="0">
                  <c:v>32</c:v>
                </c:pt>
                <c:pt idx="1">
                  <c:v>45</c:v>
                </c:pt>
                <c:pt idx="2">
                  <c:v>37</c:v>
                </c:pt>
                <c:pt idx="3">
                  <c:v>42</c:v>
                </c:pt>
                <c:pt idx="4">
                  <c:v>49</c:v>
                </c:pt>
                <c:pt idx="5">
                  <c:v>42</c:v>
                </c:pt>
              </c:numCache>
            </c:numRef>
          </c:val>
          <c:smooth val="0"/>
          <c:extLst xmlns:c16r2="http://schemas.microsoft.com/office/drawing/2015/06/chart">
            <c:ext xmlns:c16="http://schemas.microsoft.com/office/drawing/2014/chart" uri="{C3380CC4-5D6E-409C-BE32-E72D297353CC}">
              <c16:uniqueId val="{00000001-5ABC-4AA9-A09F-B3CE80800A22}"/>
            </c:ext>
          </c:extLst>
        </c:ser>
        <c:ser>
          <c:idx val="2"/>
          <c:order val="2"/>
          <c:tx>
            <c:strRef>
              <c:f>Clovenstone!$B$172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5ABC-4AA9-A09F-B3CE80800A22}"/>
              </c:ext>
            </c:extLst>
          </c:dPt>
          <c:dPt>
            <c:idx val="5"/>
            <c:marker>
              <c:symbol val="none"/>
            </c:marker>
            <c:bubble3D val="0"/>
            <c:extLst xmlns:c16r2="http://schemas.microsoft.com/office/drawing/2015/06/chart">
              <c:ext xmlns:c16="http://schemas.microsoft.com/office/drawing/2014/chart" uri="{C3380CC4-5D6E-409C-BE32-E72D297353CC}">
                <c16:uniqueId val="{00000003-5ABC-4AA9-A09F-B3CE80800A22}"/>
              </c:ext>
            </c:extLst>
          </c:dPt>
          <c:dPt>
            <c:idx val="6"/>
            <c:marker>
              <c:symbol val="circle"/>
              <c:size val="7"/>
            </c:marker>
            <c:bubble3D val="0"/>
            <c:extLst xmlns:c16r2="http://schemas.microsoft.com/office/drawing/2015/06/chart">
              <c:ext xmlns:c16="http://schemas.microsoft.com/office/drawing/2014/chart" uri="{C3380CC4-5D6E-409C-BE32-E72D297353CC}">
                <c16:uniqueId val="{00000004-5ABC-4AA9-A09F-B3CE80800A22}"/>
              </c:ext>
            </c:extLst>
          </c:dPt>
          <c:dPt>
            <c:idx val="7"/>
            <c:marker>
              <c:symbol val="circle"/>
              <c:size val="7"/>
            </c:marker>
            <c:bubble3D val="0"/>
            <c:extLst xmlns:c16r2="http://schemas.microsoft.com/office/drawing/2015/06/chart">
              <c:ext xmlns:c16="http://schemas.microsoft.com/office/drawing/2014/chart" uri="{C3380CC4-5D6E-409C-BE32-E72D297353CC}">
                <c16:uniqueId val="{00000005-5ABC-4AA9-A09F-B3CE80800A22}"/>
              </c:ext>
            </c:extLst>
          </c:dPt>
          <c:dPt>
            <c:idx val="8"/>
            <c:marker>
              <c:symbol val="circle"/>
              <c:size val="7"/>
            </c:marker>
            <c:bubble3D val="0"/>
            <c:extLst xmlns:c16r2="http://schemas.microsoft.com/office/drawing/2015/06/chart">
              <c:ext xmlns:c16="http://schemas.microsoft.com/office/drawing/2014/chart" uri="{C3380CC4-5D6E-409C-BE32-E72D297353CC}">
                <c16:uniqueId val="{00000006-5ABC-4AA9-A09F-B3CE80800A22}"/>
              </c:ext>
            </c:extLst>
          </c:dPt>
          <c:dPt>
            <c:idx val="9"/>
            <c:marker>
              <c:symbol val="circle"/>
              <c:size val="7"/>
            </c:marker>
            <c:bubble3D val="0"/>
            <c:extLst xmlns:c16r2="http://schemas.microsoft.com/office/drawing/2015/06/chart">
              <c:ext xmlns:c16="http://schemas.microsoft.com/office/drawing/2014/chart" uri="{C3380CC4-5D6E-409C-BE32-E72D297353CC}">
                <c16:uniqueId val="{00000007-5ABC-4AA9-A09F-B3CE80800A22}"/>
              </c:ext>
            </c:extLst>
          </c:dPt>
          <c:dPt>
            <c:idx val="10"/>
            <c:marker>
              <c:symbol val="circle"/>
              <c:size val="7"/>
            </c:marker>
            <c:bubble3D val="0"/>
            <c:extLst xmlns:c16r2="http://schemas.microsoft.com/office/drawing/2015/06/chart">
              <c:ext xmlns:c16="http://schemas.microsoft.com/office/drawing/2014/chart" uri="{C3380CC4-5D6E-409C-BE32-E72D297353CC}">
                <c16:uniqueId val="{00000008-5ABC-4AA9-A09F-B3CE80800A22}"/>
              </c:ext>
            </c:extLst>
          </c:dPt>
          <c:cat>
            <c:numRef>
              <c:f>Clovenstone!$D$168:$N$168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Clovenstone!$D$172:$N$172</c:f>
              <c:numCache>
                <c:formatCode>General</c:formatCode>
                <c:ptCount val="11"/>
                <c:pt idx="5" formatCode="0">
                  <c:v>42</c:v>
                </c:pt>
                <c:pt idx="6" formatCode="0">
                  <c:v>0</c:v>
                </c:pt>
                <c:pt idx="7" formatCode="0">
                  <c:v>38</c:v>
                </c:pt>
                <c:pt idx="8" formatCode="0">
                  <c:v>38</c:v>
                </c:pt>
                <c:pt idx="9" formatCode="0">
                  <c:v>36</c:v>
                </c:pt>
                <c:pt idx="10" formatCode="0">
                  <c:v>34</c:v>
                </c:pt>
              </c:numCache>
            </c:numRef>
          </c:val>
          <c:smooth val="0"/>
          <c:extLst xmlns:c16r2="http://schemas.microsoft.com/office/drawing/2015/06/chart">
            <c:ext xmlns:c16="http://schemas.microsoft.com/office/drawing/2014/chart" uri="{C3380CC4-5D6E-409C-BE32-E72D297353CC}">
              <c16:uniqueId val="{00000009-5ABC-4AA9-A09F-B3CE80800A22}"/>
            </c:ext>
          </c:extLst>
        </c:ser>
        <c:ser>
          <c:idx val="3"/>
          <c:order val="3"/>
          <c:tx>
            <c:strRef>
              <c:f>Clovenstone!$B$171</c:f>
              <c:strCache>
                <c:ptCount val="1"/>
                <c:pt idx="0">
                  <c:v>Actual P1 Registrations (as of Jan 2016)</c:v>
                </c:pt>
              </c:strCache>
            </c:strRef>
          </c:tx>
          <c:spPr>
            <a:ln w="15875">
              <a:noFill/>
            </a:ln>
          </c:spPr>
          <c:marker>
            <c:symbol val="diamond"/>
            <c:size val="9"/>
            <c:spPr>
              <a:solidFill>
                <a:schemeClr val="tx1"/>
              </a:solidFill>
            </c:spPr>
          </c:marker>
          <c:cat>
            <c:numRef>
              <c:f>Clovenstone!$D$168:$N$168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Clovenstone!$D$171:$M$171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5ABC-4AA9-A09F-B3CE80800A22}"/>
            </c:ext>
          </c:extLst>
        </c:ser>
        <c:dLbls>
          <c:showLegendKey val="0"/>
          <c:showVal val="0"/>
          <c:showCatName val="0"/>
          <c:showSerName val="0"/>
          <c:showPercent val="0"/>
          <c:showBubbleSize val="0"/>
        </c:dLbls>
        <c:marker val="1"/>
        <c:smooth val="0"/>
        <c:axId val="310864368"/>
        <c:axId val="310864760"/>
      </c:lineChart>
      <c:catAx>
        <c:axId val="310864368"/>
        <c:scaling>
          <c:orientation val="minMax"/>
        </c:scaling>
        <c:delete val="0"/>
        <c:axPos val="b"/>
        <c:numFmt formatCode="General" sourceLinked="1"/>
        <c:majorTickMark val="out"/>
        <c:minorTickMark val="none"/>
        <c:tickLblPos val="nextTo"/>
        <c:crossAx val="310864760"/>
        <c:crosses val="autoZero"/>
        <c:auto val="1"/>
        <c:lblAlgn val="ctr"/>
        <c:lblOffset val="100"/>
        <c:noMultiLvlLbl val="0"/>
      </c:catAx>
      <c:valAx>
        <c:axId val="310864760"/>
        <c:scaling>
          <c:orientation val="minMax"/>
        </c:scaling>
        <c:delete val="0"/>
        <c:axPos val="l"/>
        <c:majorGridlines/>
        <c:numFmt formatCode="#,##0" sourceLinked="1"/>
        <c:majorTickMark val="out"/>
        <c:minorTickMark val="none"/>
        <c:tickLblPos val="nextTo"/>
        <c:crossAx val="310864368"/>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5714-485C-AF07-114794D79BC0}"/>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11250936"/>
        <c:axId val="311251328"/>
      </c:lineChart>
      <c:catAx>
        <c:axId val="311250936"/>
        <c:scaling>
          <c:orientation val="minMax"/>
        </c:scaling>
        <c:delete val="0"/>
        <c:axPos val="b"/>
        <c:numFmt formatCode="General" sourceLinked="1"/>
        <c:majorTickMark val="out"/>
        <c:minorTickMark val="none"/>
        <c:tickLblPos val="nextTo"/>
        <c:crossAx val="311251328"/>
        <c:crosses val="autoZero"/>
        <c:auto val="1"/>
        <c:lblAlgn val="ctr"/>
        <c:lblOffset val="100"/>
        <c:noMultiLvlLbl val="0"/>
      </c:catAx>
      <c:valAx>
        <c:axId val="311251328"/>
        <c:scaling>
          <c:orientation val="minMax"/>
        </c:scaling>
        <c:delete val="0"/>
        <c:axPos val="l"/>
        <c:majorGridlines/>
        <c:numFmt formatCode="General" sourceLinked="1"/>
        <c:majorTickMark val="out"/>
        <c:minorTickMark val="none"/>
        <c:tickLblPos val="nextTo"/>
        <c:crossAx val="311250936"/>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Colinton!$B$177:$B$190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Colinton!$J$177:$J$190</c:f>
              <c:numCache>
                <c:formatCode>General</c:formatCode>
                <c:ptCount val="14"/>
                <c:pt idx="0">
                  <c:v>217</c:v>
                </c:pt>
                <c:pt idx="1">
                  <c:v>206</c:v>
                </c:pt>
                <c:pt idx="2">
                  <c:v>176</c:v>
                </c:pt>
                <c:pt idx="3">
                  <c:v>184</c:v>
                </c:pt>
                <c:pt idx="4">
                  <c:v>192</c:v>
                </c:pt>
                <c:pt idx="5">
                  <c:v>160</c:v>
                </c:pt>
                <c:pt idx="6">
                  <c:v>151</c:v>
                </c:pt>
                <c:pt idx="7">
                  <c:v>148</c:v>
                </c:pt>
                <c:pt idx="8">
                  <c:v>130</c:v>
                </c:pt>
                <c:pt idx="9">
                  <c:v>128</c:v>
                </c:pt>
                <c:pt idx="10">
                  <c:v>155</c:v>
                </c:pt>
                <c:pt idx="11">
                  <c:v>152</c:v>
                </c:pt>
                <c:pt idx="12">
                  <c:v>138</c:v>
                </c:pt>
                <c:pt idx="13">
                  <c:v>158</c:v>
                </c:pt>
              </c:numCache>
            </c:numRef>
          </c:val>
          <c:smooth val="0"/>
          <c:extLst xmlns:c16r2="http://schemas.microsoft.com/office/drawing/2015/06/chart">
            <c:ext xmlns:c16="http://schemas.microsoft.com/office/drawing/2014/chart" uri="{C3380CC4-5D6E-409C-BE32-E72D297353CC}">
              <c16:uniqueId val="{00000000-06B3-40C1-9B35-F0831889A243}"/>
            </c:ext>
          </c:extLst>
        </c:ser>
        <c:dLbls>
          <c:showLegendKey val="0"/>
          <c:showVal val="0"/>
          <c:showCatName val="0"/>
          <c:showSerName val="0"/>
          <c:showPercent val="0"/>
          <c:showBubbleSize val="0"/>
        </c:dLbls>
        <c:marker val="1"/>
        <c:smooth val="0"/>
        <c:axId val="311252112"/>
        <c:axId val="311252504"/>
      </c:lineChart>
      <c:catAx>
        <c:axId val="311252112"/>
        <c:scaling>
          <c:orientation val="minMax"/>
        </c:scaling>
        <c:delete val="0"/>
        <c:axPos val="b"/>
        <c:numFmt formatCode="General" sourceLinked="1"/>
        <c:majorTickMark val="out"/>
        <c:minorTickMark val="none"/>
        <c:tickLblPos val="nextTo"/>
        <c:crossAx val="311252504"/>
        <c:crosses val="autoZero"/>
        <c:auto val="1"/>
        <c:lblAlgn val="ctr"/>
        <c:lblOffset val="100"/>
        <c:noMultiLvlLbl val="0"/>
      </c:catAx>
      <c:valAx>
        <c:axId val="311252504"/>
        <c:scaling>
          <c:orientation val="minMax"/>
        </c:scaling>
        <c:delete val="0"/>
        <c:axPos val="l"/>
        <c:majorGridlines/>
        <c:numFmt formatCode="General" sourceLinked="1"/>
        <c:majorTickMark val="out"/>
        <c:minorTickMark val="none"/>
        <c:tickLblPos val="nextTo"/>
        <c:crossAx val="311252112"/>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Colinton!$B$169</c:f>
              <c:strCache>
                <c:ptCount val="1"/>
                <c:pt idx="0">
                  <c:v>Catchment Births (5yrs Prior)</c:v>
                </c:pt>
              </c:strCache>
            </c:strRef>
          </c:tx>
          <c:marker>
            <c:symbol val="square"/>
            <c:size val="7"/>
          </c:marker>
          <c:cat>
            <c:numRef>
              <c:f>Colinton!$D$168:$N$168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Colinton!$D$169:$N$169</c:f>
              <c:numCache>
                <c:formatCode>#,##0</c:formatCode>
                <c:ptCount val="11"/>
                <c:pt idx="0">
                  <c:v>63</c:v>
                </c:pt>
                <c:pt idx="1">
                  <c:v>52</c:v>
                </c:pt>
                <c:pt idx="2">
                  <c:v>54</c:v>
                </c:pt>
                <c:pt idx="3">
                  <c:v>60</c:v>
                </c:pt>
                <c:pt idx="4">
                  <c:v>50</c:v>
                </c:pt>
                <c:pt idx="5">
                  <c:v>55</c:v>
                </c:pt>
                <c:pt idx="6">
                  <c:v>77</c:v>
                </c:pt>
                <c:pt idx="7">
                  <c:v>54</c:v>
                </c:pt>
                <c:pt idx="8">
                  <c:v>57</c:v>
                </c:pt>
                <c:pt idx="9">
                  <c:v>41</c:v>
                </c:pt>
                <c:pt idx="10">
                  <c:v>40</c:v>
                </c:pt>
              </c:numCache>
            </c:numRef>
          </c:val>
          <c:smooth val="0"/>
          <c:extLst xmlns:c16r2="http://schemas.microsoft.com/office/drawing/2015/06/chart">
            <c:ext xmlns:c16="http://schemas.microsoft.com/office/drawing/2014/chart" uri="{C3380CC4-5D6E-409C-BE32-E72D297353CC}">
              <c16:uniqueId val="{00000000-E2C2-4153-9857-D53B633C4356}"/>
            </c:ext>
          </c:extLst>
        </c:ser>
        <c:ser>
          <c:idx val="1"/>
          <c:order val="1"/>
          <c:tx>
            <c:strRef>
              <c:f>Colinton!$B$170</c:f>
              <c:strCache>
                <c:ptCount val="1"/>
                <c:pt idx="0">
                  <c:v>P1 ND Catchment Population (Actual)</c:v>
                </c:pt>
              </c:strCache>
            </c:strRef>
          </c:tx>
          <c:cat>
            <c:numRef>
              <c:f>Colinton!$D$168:$N$168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Colinton!$D$170:$I$170</c:f>
              <c:numCache>
                <c:formatCode>#,##0</c:formatCode>
                <c:ptCount val="6"/>
                <c:pt idx="0">
                  <c:v>31</c:v>
                </c:pt>
                <c:pt idx="1">
                  <c:v>41</c:v>
                </c:pt>
                <c:pt idx="2">
                  <c:v>32</c:v>
                </c:pt>
                <c:pt idx="3">
                  <c:v>37</c:v>
                </c:pt>
                <c:pt idx="4">
                  <c:v>20</c:v>
                </c:pt>
                <c:pt idx="5">
                  <c:v>28</c:v>
                </c:pt>
              </c:numCache>
            </c:numRef>
          </c:val>
          <c:smooth val="0"/>
          <c:extLst xmlns:c16r2="http://schemas.microsoft.com/office/drawing/2015/06/chart">
            <c:ext xmlns:c16="http://schemas.microsoft.com/office/drawing/2014/chart" uri="{C3380CC4-5D6E-409C-BE32-E72D297353CC}">
              <c16:uniqueId val="{00000001-E2C2-4153-9857-D53B633C4356}"/>
            </c:ext>
          </c:extLst>
        </c:ser>
        <c:ser>
          <c:idx val="2"/>
          <c:order val="2"/>
          <c:tx>
            <c:strRef>
              <c:f>Colinton!$B$172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E2C2-4153-9857-D53B633C4356}"/>
              </c:ext>
            </c:extLst>
          </c:dPt>
          <c:dPt>
            <c:idx val="5"/>
            <c:marker>
              <c:symbol val="none"/>
            </c:marker>
            <c:bubble3D val="0"/>
            <c:extLst xmlns:c16r2="http://schemas.microsoft.com/office/drawing/2015/06/chart">
              <c:ext xmlns:c16="http://schemas.microsoft.com/office/drawing/2014/chart" uri="{C3380CC4-5D6E-409C-BE32-E72D297353CC}">
                <c16:uniqueId val="{00000003-E2C2-4153-9857-D53B633C4356}"/>
              </c:ext>
            </c:extLst>
          </c:dPt>
          <c:dPt>
            <c:idx val="6"/>
            <c:marker>
              <c:symbol val="circle"/>
              <c:size val="7"/>
            </c:marker>
            <c:bubble3D val="0"/>
            <c:extLst xmlns:c16r2="http://schemas.microsoft.com/office/drawing/2015/06/chart">
              <c:ext xmlns:c16="http://schemas.microsoft.com/office/drawing/2014/chart" uri="{C3380CC4-5D6E-409C-BE32-E72D297353CC}">
                <c16:uniqueId val="{00000004-E2C2-4153-9857-D53B633C4356}"/>
              </c:ext>
            </c:extLst>
          </c:dPt>
          <c:dPt>
            <c:idx val="7"/>
            <c:marker>
              <c:symbol val="circle"/>
              <c:size val="7"/>
            </c:marker>
            <c:bubble3D val="0"/>
            <c:extLst xmlns:c16r2="http://schemas.microsoft.com/office/drawing/2015/06/chart">
              <c:ext xmlns:c16="http://schemas.microsoft.com/office/drawing/2014/chart" uri="{C3380CC4-5D6E-409C-BE32-E72D297353CC}">
                <c16:uniqueId val="{00000005-E2C2-4153-9857-D53B633C4356}"/>
              </c:ext>
            </c:extLst>
          </c:dPt>
          <c:dPt>
            <c:idx val="8"/>
            <c:marker>
              <c:symbol val="circle"/>
              <c:size val="7"/>
            </c:marker>
            <c:bubble3D val="0"/>
            <c:extLst xmlns:c16r2="http://schemas.microsoft.com/office/drawing/2015/06/chart">
              <c:ext xmlns:c16="http://schemas.microsoft.com/office/drawing/2014/chart" uri="{C3380CC4-5D6E-409C-BE32-E72D297353CC}">
                <c16:uniqueId val="{00000006-E2C2-4153-9857-D53B633C4356}"/>
              </c:ext>
            </c:extLst>
          </c:dPt>
          <c:dPt>
            <c:idx val="9"/>
            <c:marker>
              <c:symbol val="circle"/>
              <c:size val="7"/>
            </c:marker>
            <c:bubble3D val="0"/>
            <c:extLst xmlns:c16r2="http://schemas.microsoft.com/office/drawing/2015/06/chart">
              <c:ext xmlns:c16="http://schemas.microsoft.com/office/drawing/2014/chart" uri="{C3380CC4-5D6E-409C-BE32-E72D297353CC}">
                <c16:uniqueId val="{00000007-E2C2-4153-9857-D53B633C4356}"/>
              </c:ext>
            </c:extLst>
          </c:dPt>
          <c:dPt>
            <c:idx val="10"/>
            <c:marker>
              <c:symbol val="circle"/>
              <c:size val="7"/>
            </c:marker>
            <c:bubble3D val="0"/>
            <c:extLst xmlns:c16r2="http://schemas.microsoft.com/office/drawing/2015/06/chart">
              <c:ext xmlns:c16="http://schemas.microsoft.com/office/drawing/2014/chart" uri="{C3380CC4-5D6E-409C-BE32-E72D297353CC}">
                <c16:uniqueId val="{00000008-E2C2-4153-9857-D53B633C4356}"/>
              </c:ext>
            </c:extLst>
          </c:dPt>
          <c:cat>
            <c:numRef>
              <c:f>Colinton!$D$168:$N$168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Colinton!$D$172:$N$172</c:f>
              <c:numCache>
                <c:formatCode>General</c:formatCode>
                <c:ptCount val="11"/>
                <c:pt idx="5" formatCode="0">
                  <c:v>28</c:v>
                </c:pt>
                <c:pt idx="6" formatCode="0">
                  <c:v>0</c:v>
                </c:pt>
                <c:pt idx="7" formatCode="0">
                  <c:v>17</c:v>
                </c:pt>
                <c:pt idx="8" formatCode="0">
                  <c:v>16</c:v>
                </c:pt>
                <c:pt idx="9" formatCode="0">
                  <c:v>25</c:v>
                </c:pt>
                <c:pt idx="10" formatCode="0">
                  <c:v>16</c:v>
                </c:pt>
              </c:numCache>
            </c:numRef>
          </c:val>
          <c:smooth val="0"/>
          <c:extLst xmlns:c16r2="http://schemas.microsoft.com/office/drawing/2015/06/chart">
            <c:ext xmlns:c16="http://schemas.microsoft.com/office/drawing/2014/chart" uri="{C3380CC4-5D6E-409C-BE32-E72D297353CC}">
              <c16:uniqueId val="{00000009-E2C2-4153-9857-D53B633C4356}"/>
            </c:ext>
          </c:extLst>
        </c:ser>
        <c:ser>
          <c:idx val="3"/>
          <c:order val="3"/>
          <c:tx>
            <c:strRef>
              <c:f>Colinton!$B$171</c:f>
              <c:strCache>
                <c:ptCount val="1"/>
                <c:pt idx="0">
                  <c:v>Actual P1 Registrations (as of Jan 2016)</c:v>
                </c:pt>
              </c:strCache>
            </c:strRef>
          </c:tx>
          <c:spPr>
            <a:ln w="15875">
              <a:noFill/>
            </a:ln>
          </c:spPr>
          <c:marker>
            <c:symbol val="diamond"/>
            <c:size val="9"/>
            <c:spPr>
              <a:solidFill>
                <a:schemeClr val="tx1"/>
              </a:solidFill>
            </c:spPr>
          </c:marker>
          <c:cat>
            <c:numRef>
              <c:f>Colinton!$D$168:$N$168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Colinton!$D$171:$M$171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E2C2-4153-9857-D53B633C4356}"/>
            </c:ext>
          </c:extLst>
        </c:ser>
        <c:dLbls>
          <c:showLegendKey val="0"/>
          <c:showVal val="0"/>
          <c:showCatName val="0"/>
          <c:showSerName val="0"/>
          <c:showPercent val="0"/>
          <c:showBubbleSize val="0"/>
        </c:dLbls>
        <c:marker val="1"/>
        <c:smooth val="0"/>
        <c:axId val="311253288"/>
        <c:axId val="311253680"/>
      </c:lineChart>
      <c:catAx>
        <c:axId val="311253288"/>
        <c:scaling>
          <c:orientation val="minMax"/>
        </c:scaling>
        <c:delete val="0"/>
        <c:axPos val="b"/>
        <c:numFmt formatCode="General" sourceLinked="1"/>
        <c:majorTickMark val="out"/>
        <c:minorTickMark val="none"/>
        <c:tickLblPos val="nextTo"/>
        <c:crossAx val="311253680"/>
        <c:crosses val="autoZero"/>
        <c:auto val="1"/>
        <c:lblAlgn val="ctr"/>
        <c:lblOffset val="100"/>
        <c:noMultiLvlLbl val="0"/>
      </c:catAx>
      <c:valAx>
        <c:axId val="311253680"/>
        <c:scaling>
          <c:orientation val="minMax"/>
        </c:scaling>
        <c:delete val="0"/>
        <c:axPos val="l"/>
        <c:majorGridlines/>
        <c:numFmt formatCode="#,##0" sourceLinked="1"/>
        <c:majorTickMark val="out"/>
        <c:minorTickMark val="none"/>
        <c:tickLblPos val="nextTo"/>
        <c:crossAx val="311253288"/>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48B9-4D42-B44A-26F7AD129FBD}"/>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11254464"/>
        <c:axId val="311254856"/>
      </c:lineChart>
      <c:catAx>
        <c:axId val="311254464"/>
        <c:scaling>
          <c:orientation val="minMax"/>
        </c:scaling>
        <c:delete val="0"/>
        <c:axPos val="b"/>
        <c:numFmt formatCode="General" sourceLinked="1"/>
        <c:majorTickMark val="out"/>
        <c:minorTickMark val="none"/>
        <c:tickLblPos val="nextTo"/>
        <c:crossAx val="311254856"/>
        <c:crosses val="autoZero"/>
        <c:auto val="1"/>
        <c:lblAlgn val="ctr"/>
        <c:lblOffset val="100"/>
        <c:noMultiLvlLbl val="0"/>
      </c:catAx>
      <c:valAx>
        <c:axId val="311254856"/>
        <c:scaling>
          <c:orientation val="minMax"/>
        </c:scaling>
        <c:delete val="0"/>
        <c:axPos val="l"/>
        <c:majorGridlines/>
        <c:numFmt formatCode="General" sourceLinked="1"/>
        <c:majorTickMark val="out"/>
        <c:minorTickMark val="none"/>
        <c:tickLblPos val="nextTo"/>
        <c:crossAx val="311254464"/>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Corstorphine!$B$177:$B$190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Corstorphine!$J$177:$J$190</c:f>
              <c:numCache>
                <c:formatCode>General</c:formatCode>
                <c:ptCount val="14"/>
                <c:pt idx="0">
                  <c:v>448</c:v>
                </c:pt>
                <c:pt idx="1">
                  <c:v>441</c:v>
                </c:pt>
                <c:pt idx="2">
                  <c:v>421</c:v>
                </c:pt>
                <c:pt idx="3">
                  <c:v>438</c:v>
                </c:pt>
                <c:pt idx="4">
                  <c:v>441</c:v>
                </c:pt>
                <c:pt idx="5">
                  <c:v>450</c:v>
                </c:pt>
                <c:pt idx="6">
                  <c:v>458</c:v>
                </c:pt>
                <c:pt idx="7">
                  <c:v>459</c:v>
                </c:pt>
                <c:pt idx="8">
                  <c:v>467</c:v>
                </c:pt>
                <c:pt idx="9">
                  <c:v>470</c:v>
                </c:pt>
                <c:pt idx="10">
                  <c:v>474</c:v>
                </c:pt>
                <c:pt idx="11">
                  <c:v>474</c:v>
                </c:pt>
                <c:pt idx="12">
                  <c:v>490</c:v>
                </c:pt>
                <c:pt idx="13">
                  <c:v>516</c:v>
                </c:pt>
              </c:numCache>
            </c:numRef>
          </c:val>
          <c:smooth val="0"/>
          <c:extLst xmlns:c16r2="http://schemas.microsoft.com/office/drawing/2015/06/chart">
            <c:ext xmlns:c16="http://schemas.microsoft.com/office/drawing/2014/chart" uri="{C3380CC4-5D6E-409C-BE32-E72D297353CC}">
              <c16:uniqueId val="{00000000-9720-49FC-91A9-DDBF7F30B784}"/>
            </c:ext>
          </c:extLst>
        </c:ser>
        <c:dLbls>
          <c:showLegendKey val="0"/>
          <c:showVal val="0"/>
          <c:showCatName val="0"/>
          <c:showSerName val="0"/>
          <c:showPercent val="0"/>
          <c:showBubbleSize val="0"/>
        </c:dLbls>
        <c:marker val="1"/>
        <c:smooth val="0"/>
        <c:axId val="311255640"/>
        <c:axId val="311256032"/>
      </c:lineChart>
      <c:catAx>
        <c:axId val="311255640"/>
        <c:scaling>
          <c:orientation val="minMax"/>
        </c:scaling>
        <c:delete val="0"/>
        <c:axPos val="b"/>
        <c:numFmt formatCode="General" sourceLinked="1"/>
        <c:majorTickMark val="out"/>
        <c:minorTickMark val="none"/>
        <c:tickLblPos val="nextTo"/>
        <c:crossAx val="311256032"/>
        <c:crosses val="autoZero"/>
        <c:auto val="1"/>
        <c:lblAlgn val="ctr"/>
        <c:lblOffset val="100"/>
        <c:noMultiLvlLbl val="0"/>
      </c:catAx>
      <c:valAx>
        <c:axId val="311256032"/>
        <c:scaling>
          <c:orientation val="minMax"/>
        </c:scaling>
        <c:delete val="0"/>
        <c:axPos val="l"/>
        <c:majorGridlines/>
        <c:numFmt formatCode="General" sourceLinked="1"/>
        <c:majorTickMark val="out"/>
        <c:minorTickMark val="none"/>
        <c:tickLblPos val="nextTo"/>
        <c:crossAx val="311255640"/>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Corstorphine!$B$169</c:f>
              <c:strCache>
                <c:ptCount val="1"/>
                <c:pt idx="0">
                  <c:v>Catchment Births (5yrs Prior)</c:v>
                </c:pt>
              </c:strCache>
            </c:strRef>
          </c:tx>
          <c:marker>
            <c:symbol val="square"/>
            <c:size val="7"/>
          </c:marker>
          <c:cat>
            <c:numRef>
              <c:f>Corstorphine!$D$168:$N$168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Corstorphine!$D$169:$N$169</c:f>
              <c:numCache>
                <c:formatCode>#,##0</c:formatCode>
                <c:ptCount val="11"/>
                <c:pt idx="0">
                  <c:v>73</c:v>
                </c:pt>
                <c:pt idx="1">
                  <c:v>75</c:v>
                </c:pt>
                <c:pt idx="2">
                  <c:v>79</c:v>
                </c:pt>
                <c:pt idx="3">
                  <c:v>71</c:v>
                </c:pt>
                <c:pt idx="4">
                  <c:v>67</c:v>
                </c:pt>
                <c:pt idx="5">
                  <c:v>67</c:v>
                </c:pt>
                <c:pt idx="6">
                  <c:v>75</c:v>
                </c:pt>
                <c:pt idx="7">
                  <c:v>66</c:v>
                </c:pt>
                <c:pt idx="8">
                  <c:v>81</c:v>
                </c:pt>
                <c:pt idx="9">
                  <c:v>63</c:v>
                </c:pt>
                <c:pt idx="10">
                  <c:v>73</c:v>
                </c:pt>
              </c:numCache>
            </c:numRef>
          </c:val>
          <c:smooth val="0"/>
          <c:extLst xmlns:c16r2="http://schemas.microsoft.com/office/drawing/2015/06/chart">
            <c:ext xmlns:c16="http://schemas.microsoft.com/office/drawing/2014/chart" uri="{C3380CC4-5D6E-409C-BE32-E72D297353CC}">
              <c16:uniqueId val="{00000000-448A-464E-A20E-BAC614796577}"/>
            </c:ext>
          </c:extLst>
        </c:ser>
        <c:ser>
          <c:idx val="1"/>
          <c:order val="1"/>
          <c:tx>
            <c:strRef>
              <c:f>Corstorphine!$B$170</c:f>
              <c:strCache>
                <c:ptCount val="1"/>
                <c:pt idx="0">
                  <c:v>P1 ND Catchment Population (Actual)</c:v>
                </c:pt>
              </c:strCache>
            </c:strRef>
          </c:tx>
          <c:cat>
            <c:numRef>
              <c:f>Corstorphine!$D$168:$N$168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Corstorphine!$D$170:$I$170</c:f>
              <c:numCache>
                <c:formatCode>#,##0</c:formatCode>
                <c:ptCount val="6"/>
                <c:pt idx="0">
                  <c:v>67</c:v>
                </c:pt>
                <c:pt idx="1">
                  <c:v>66</c:v>
                </c:pt>
                <c:pt idx="2">
                  <c:v>82</c:v>
                </c:pt>
                <c:pt idx="3">
                  <c:v>71</c:v>
                </c:pt>
                <c:pt idx="4">
                  <c:v>64</c:v>
                </c:pt>
                <c:pt idx="5">
                  <c:v>84</c:v>
                </c:pt>
              </c:numCache>
            </c:numRef>
          </c:val>
          <c:smooth val="0"/>
          <c:extLst xmlns:c16r2="http://schemas.microsoft.com/office/drawing/2015/06/chart">
            <c:ext xmlns:c16="http://schemas.microsoft.com/office/drawing/2014/chart" uri="{C3380CC4-5D6E-409C-BE32-E72D297353CC}">
              <c16:uniqueId val="{00000001-448A-464E-A20E-BAC614796577}"/>
            </c:ext>
          </c:extLst>
        </c:ser>
        <c:ser>
          <c:idx val="2"/>
          <c:order val="2"/>
          <c:tx>
            <c:strRef>
              <c:f>Corstorphine!$B$172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448A-464E-A20E-BAC614796577}"/>
              </c:ext>
            </c:extLst>
          </c:dPt>
          <c:dPt>
            <c:idx val="5"/>
            <c:marker>
              <c:symbol val="none"/>
            </c:marker>
            <c:bubble3D val="0"/>
            <c:extLst xmlns:c16r2="http://schemas.microsoft.com/office/drawing/2015/06/chart">
              <c:ext xmlns:c16="http://schemas.microsoft.com/office/drawing/2014/chart" uri="{C3380CC4-5D6E-409C-BE32-E72D297353CC}">
                <c16:uniqueId val="{00000003-448A-464E-A20E-BAC614796577}"/>
              </c:ext>
            </c:extLst>
          </c:dPt>
          <c:dPt>
            <c:idx val="6"/>
            <c:marker>
              <c:symbol val="circle"/>
              <c:size val="7"/>
            </c:marker>
            <c:bubble3D val="0"/>
            <c:extLst xmlns:c16r2="http://schemas.microsoft.com/office/drawing/2015/06/chart">
              <c:ext xmlns:c16="http://schemas.microsoft.com/office/drawing/2014/chart" uri="{C3380CC4-5D6E-409C-BE32-E72D297353CC}">
                <c16:uniqueId val="{00000004-448A-464E-A20E-BAC614796577}"/>
              </c:ext>
            </c:extLst>
          </c:dPt>
          <c:dPt>
            <c:idx val="7"/>
            <c:marker>
              <c:symbol val="circle"/>
              <c:size val="7"/>
            </c:marker>
            <c:bubble3D val="0"/>
            <c:extLst xmlns:c16r2="http://schemas.microsoft.com/office/drawing/2015/06/chart">
              <c:ext xmlns:c16="http://schemas.microsoft.com/office/drawing/2014/chart" uri="{C3380CC4-5D6E-409C-BE32-E72D297353CC}">
                <c16:uniqueId val="{00000005-448A-464E-A20E-BAC614796577}"/>
              </c:ext>
            </c:extLst>
          </c:dPt>
          <c:dPt>
            <c:idx val="8"/>
            <c:marker>
              <c:symbol val="circle"/>
              <c:size val="7"/>
            </c:marker>
            <c:bubble3D val="0"/>
            <c:extLst xmlns:c16r2="http://schemas.microsoft.com/office/drawing/2015/06/chart">
              <c:ext xmlns:c16="http://schemas.microsoft.com/office/drawing/2014/chart" uri="{C3380CC4-5D6E-409C-BE32-E72D297353CC}">
                <c16:uniqueId val="{00000006-448A-464E-A20E-BAC614796577}"/>
              </c:ext>
            </c:extLst>
          </c:dPt>
          <c:dPt>
            <c:idx val="9"/>
            <c:marker>
              <c:symbol val="circle"/>
              <c:size val="7"/>
            </c:marker>
            <c:bubble3D val="0"/>
            <c:extLst xmlns:c16r2="http://schemas.microsoft.com/office/drawing/2015/06/chart">
              <c:ext xmlns:c16="http://schemas.microsoft.com/office/drawing/2014/chart" uri="{C3380CC4-5D6E-409C-BE32-E72D297353CC}">
                <c16:uniqueId val="{00000007-448A-464E-A20E-BAC614796577}"/>
              </c:ext>
            </c:extLst>
          </c:dPt>
          <c:dPt>
            <c:idx val="10"/>
            <c:marker>
              <c:symbol val="circle"/>
              <c:size val="7"/>
            </c:marker>
            <c:bubble3D val="0"/>
            <c:extLst xmlns:c16r2="http://schemas.microsoft.com/office/drawing/2015/06/chart">
              <c:ext xmlns:c16="http://schemas.microsoft.com/office/drawing/2014/chart" uri="{C3380CC4-5D6E-409C-BE32-E72D297353CC}">
                <c16:uniqueId val="{00000008-448A-464E-A20E-BAC614796577}"/>
              </c:ext>
            </c:extLst>
          </c:dPt>
          <c:cat>
            <c:numRef>
              <c:f>Corstorphine!$D$168:$N$168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Corstorphine!$D$172:$N$172</c:f>
              <c:numCache>
                <c:formatCode>General</c:formatCode>
                <c:ptCount val="11"/>
                <c:pt idx="5" formatCode="0">
                  <c:v>84</c:v>
                </c:pt>
                <c:pt idx="6" formatCode="0">
                  <c:v>0</c:v>
                </c:pt>
                <c:pt idx="7" formatCode="0">
                  <c:v>66</c:v>
                </c:pt>
                <c:pt idx="8" formatCode="0">
                  <c:v>77</c:v>
                </c:pt>
                <c:pt idx="9" formatCode="0">
                  <c:v>70</c:v>
                </c:pt>
                <c:pt idx="10" formatCode="0">
                  <c:v>73</c:v>
                </c:pt>
              </c:numCache>
            </c:numRef>
          </c:val>
          <c:smooth val="0"/>
          <c:extLst xmlns:c16r2="http://schemas.microsoft.com/office/drawing/2015/06/chart">
            <c:ext xmlns:c16="http://schemas.microsoft.com/office/drawing/2014/chart" uri="{C3380CC4-5D6E-409C-BE32-E72D297353CC}">
              <c16:uniqueId val="{00000009-448A-464E-A20E-BAC614796577}"/>
            </c:ext>
          </c:extLst>
        </c:ser>
        <c:ser>
          <c:idx val="3"/>
          <c:order val="3"/>
          <c:tx>
            <c:strRef>
              <c:f>Corstorphine!$B$171</c:f>
              <c:strCache>
                <c:ptCount val="1"/>
                <c:pt idx="0">
                  <c:v>Actual P1 Registrations (as of Jan 2016)</c:v>
                </c:pt>
              </c:strCache>
            </c:strRef>
          </c:tx>
          <c:spPr>
            <a:ln w="15875">
              <a:noFill/>
            </a:ln>
          </c:spPr>
          <c:marker>
            <c:symbol val="diamond"/>
            <c:size val="9"/>
            <c:spPr>
              <a:solidFill>
                <a:schemeClr val="tx1"/>
              </a:solidFill>
            </c:spPr>
          </c:marker>
          <c:cat>
            <c:numRef>
              <c:f>Corstorphine!$D$168:$N$168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Corstorphine!$D$171:$M$171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448A-464E-A20E-BAC614796577}"/>
            </c:ext>
          </c:extLst>
        </c:ser>
        <c:dLbls>
          <c:showLegendKey val="0"/>
          <c:showVal val="0"/>
          <c:showCatName val="0"/>
          <c:showSerName val="0"/>
          <c:showPercent val="0"/>
          <c:showBubbleSize val="0"/>
        </c:dLbls>
        <c:marker val="1"/>
        <c:smooth val="0"/>
        <c:axId val="311256816"/>
        <c:axId val="311257208"/>
      </c:lineChart>
      <c:catAx>
        <c:axId val="311256816"/>
        <c:scaling>
          <c:orientation val="minMax"/>
        </c:scaling>
        <c:delete val="0"/>
        <c:axPos val="b"/>
        <c:numFmt formatCode="General" sourceLinked="1"/>
        <c:majorTickMark val="out"/>
        <c:minorTickMark val="none"/>
        <c:tickLblPos val="nextTo"/>
        <c:crossAx val="311257208"/>
        <c:crosses val="autoZero"/>
        <c:auto val="1"/>
        <c:lblAlgn val="ctr"/>
        <c:lblOffset val="100"/>
        <c:noMultiLvlLbl val="0"/>
      </c:catAx>
      <c:valAx>
        <c:axId val="311257208"/>
        <c:scaling>
          <c:orientation val="minMax"/>
        </c:scaling>
        <c:delete val="0"/>
        <c:axPos val="l"/>
        <c:majorGridlines/>
        <c:numFmt formatCode="#,##0" sourceLinked="1"/>
        <c:majorTickMark val="out"/>
        <c:minorTickMark val="none"/>
        <c:tickLblPos val="nextTo"/>
        <c:crossAx val="311256816"/>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80D0-42A6-82E9-B17FF36A278D}"/>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11257992"/>
        <c:axId val="311412808"/>
      </c:lineChart>
      <c:catAx>
        <c:axId val="311257992"/>
        <c:scaling>
          <c:orientation val="minMax"/>
        </c:scaling>
        <c:delete val="0"/>
        <c:axPos val="b"/>
        <c:numFmt formatCode="General" sourceLinked="1"/>
        <c:majorTickMark val="out"/>
        <c:minorTickMark val="none"/>
        <c:tickLblPos val="nextTo"/>
        <c:crossAx val="311412808"/>
        <c:crosses val="autoZero"/>
        <c:auto val="1"/>
        <c:lblAlgn val="ctr"/>
        <c:lblOffset val="100"/>
        <c:noMultiLvlLbl val="0"/>
      </c:catAx>
      <c:valAx>
        <c:axId val="311412808"/>
        <c:scaling>
          <c:orientation val="minMax"/>
        </c:scaling>
        <c:delete val="0"/>
        <c:axPos val="l"/>
        <c:majorGridlines/>
        <c:numFmt formatCode="General" sourceLinked="1"/>
        <c:majorTickMark val="out"/>
        <c:minorTickMark val="none"/>
        <c:tickLblPos val="nextTo"/>
        <c:crossAx val="311257992"/>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Craigentinny!$B$177:$B$190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Craigentinny!$J$177:$J$190</c:f>
              <c:numCache>
                <c:formatCode>General</c:formatCode>
                <c:ptCount val="14"/>
                <c:pt idx="0">
                  <c:v>248</c:v>
                </c:pt>
                <c:pt idx="1">
                  <c:v>245</c:v>
                </c:pt>
                <c:pt idx="2">
                  <c:v>242</c:v>
                </c:pt>
                <c:pt idx="3">
                  <c:v>221</c:v>
                </c:pt>
                <c:pt idx="4">
                  <c:v>207</c:v>
                </c:pt>
                <c:pt idx="5">
                  <c:v>192</c:v>
                </c:pt>
                <c:pt idx="6">
                  <c:v>172</c:v>
                </c:pt>
                <c:pt idx="7">
                  <c:v>181</c:v>
                </c:pt>
                <c:pt idx="8">
                  <c:v>162</c:v>
                </c:pt>
                <c:pt idx="9">
                  <c:v>152</c:v>
                </c:pt>
                <c:pt idx="10">
                  <c:v>175</c:v>
                </c:pt>
                <c:pt idx="11">
                  <c:v>187</c:v>
                </c:pt>
                <c:pt idx="12">
                  <c:v>201</c:v>
                </c:pt>
                <c:pt idx="13">
                  <c:v>218</c:v>
                </c:pt>
              </c:numCache>
            </c:numRef>
          </c:val>
          <c:smooth val="0"/>
          <c:extLst xmlns:c16r2="http://schemas.microsoft.com/office/drawing/2015/06/chart">
            <c:ext xmlns:c16="http://schemas.microsoft.com/office/drawing/2014/chart" uri="{C3380CC4-5D6E-409C-BE32-E72D297353CC}">
              <c16:uniqueId val="{00000000-3325-45B8-8C45-BCF127215CD0}"/>
            </c:ext>
          </c:extLst>
        </c:ser>
        <c:dLbls>
          <c:showLegendKey val="0"/>
          <c:showVal val="0"/>
          <c:showCatName val="0"/>
          <c:showSerName val="0"/>
          <c:showPercent val="0"/>
          <c:showBubbleSize val="0"/>
        </c:dLbls>
        <c:marker val="1"/>
        <c:smooth val="0"/>
        <c:axId val="311413592"/>
        <c:axId val="311413984"/>
      </c:lineChart>
      <c:catAx>
        <c:axId val="311413592"/>
        <c:scaling>
          <c:orientation val="minMax"/>
        </c:scaling>
        <c:delete val="0"/>
        <c:axPos val="b"/>
        <c:numFmt formatCode="General" sourceLinked="1"/>
        <c:majorTickMark val="out"/>
        <c:minorTickMark val="none"/>
        <c:tickLblPos val="nextTo"/>
        <c:crossAx val="311413984"/>
        <c:crosses val="autoZero"/>
        <c:auto val="1"/>
        <c:lblAlgn val="ctr"/>
        <c:lblOffset val="100"/>
        <c:noMultiLvlLbl val="0"/>
      </c:catAx>
      <c:valAx>
        <c:axId val="311413984"/>
        <c:scaling>
          <c:orientation val="minMax"/>
        </c:scaling>
        <c:delete val="0"/>
        <c:axPos val="l"/>
        <c:majorGridlines/>
        <c:numFmt formatCode="General" sourceLinked="1"/>
        <c:majorTickMark val="out"/>
        <c:minorTickMark val="none"/>
        <c:tickLblPos val="nextTo"/>
        <c:crossAx val="311413592"/>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Craigentinny!$B$169</c:f>
              <c:strCache>
                <c:ptCount val="1"/>
                <c:pt idx="0">
                  <c:v>Catchment Births (5yrs Prior)</c:v>
                </c:pt>
              </c:strCache>
            </c:strRef>
          </c:tx>
          <c:marker>
            <c:symbol val="square"/>
            <c:size val="7"/>
          </c:marker>
          <c:cat>
            <c:numRef>
              <c:f>Craigentinny!$D$168:$N$168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Craigentinny!$D$169:$N$169</c:f>
              <c:numCache>
                <c:formatCode>#,##0</c:formatCode>
                <c:ptCount val="11"/>
                <c:pt idx="0">
                  <c:v>89</c:v>
                </c:pt>
                <c:pt idx="1">
                  <c:v>80</c:v>
                </c:pt>
                <c:pt idx="2">
                  <c:v>84</c:v>
                </c:pt>
                <c:pt idx="3">
                  <c:v>105</c:v>
                </c:pt>
                <c:pt idx="4">
                  <c:v>88</c:v>
                </c:pt>
                <c:pt idx="5">
                  <c:v>106</c:v>
                </c:pt>
                <c:pt idx="6">
                  <c:v>107</c:v>
                </c:pt>
                <c:pt idx="7">
                  <c:v>116</c:v>
                </c:pt>
                <c:pt idx="8">
                  <c:v>105</c:v>
                </c:pt>
                <c:pt idx="9">
                  <c:v>111</c:v>
                </c:pt>
                <c:pt idx="10">
                  <c:v>92</c:v>
                </c:pt>
              </c:numCache>
            </c:numRef>
          </c:val>
          <c:smooth val="0"/>
          <c:extLst xmlns:c16r2="http://schemas.microsoft.com/office/drawing/2015/06/chart">
            <c:ext xmlns:c16="http://schemas.microsoft.com/office/drawing/2014/chart" uri="{C3380CC4-5D6E-409C-BE32-E72D297353CC}">
              <c16:uniqueId val="{00000000-3C8D-4234-99ED-B1A2DEC8214E}"/>
            </c:ext>
          </c:extLst>
        </c:ser>
        <c:ser>
          <c:idx val="1"/>
          <c:order val="1"/>
          <c:tx>
            <c:strRef>
              <c:f>Craigentinny!$B$170</c:f>
              <c:strCache>
                <c:ptCount val="1"/>
                <c:pt idx="0">
                  <c:v>P1 ND Catchment Population (Actual)</c:v>
                </c:pt>
              </c:strCache>
            </c:strRef>
          </c:tx>
          <c:cat>
            <c:numRef>
              <c:f>Craigentinny!$D$168:$N$168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Craigentinny!$D$170:$I$170</c:f>
              <c:numCache>
                <c:formatCode>#,##0</c:formatCode>
                <c:ptCount val="6"/>
                <c:pt idx="0">
                  <c:v>52</c:v>
                </c:pt>
                <c:pt idx="1">
                  <c:v>41</c:v>
                </c:pt>
                <c:pt idx="2">
                  <c:v>56</c:v>
                </c:pt>
                <c:pt idx="3">
                  <c:v>67</c:v>
                </c:pt>
                <c:pt idx="4">
                  <c:v>55</c:v>
                </c:pt>
                <c:pt idx="5">
                  <c:v>52</c:v>
                </c:pt>
              </c:numCache>
            </c:numRef>
          </c:val>
          <c:smooth val="0"/>
          <c:extLst xmlns:c16r2="http://schemas.microsoft.com/office/drawing/2015/06/chart">
            <c:ext xmlns:c16="http://schemas.microsoft.com/office/drawing/2014/chart" uri="{C3380CC4-5D6E-409C-BE32-E72D297353CC}">
              <c16:uniqueId val="{00000001-3C8D-4234-99ED-B1A2DEC8214E}"/>
            </c:ext>
          </c:extLst>
        </c:ser>
        <c:ser>
          <c:idx val="2"/>
          <c:order val="2"/>
          <c:tx>
            <c:strRef>
              <c:f>Craigentinny!$B$172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3C8D-4234-99ED-B1A2DEC8214E}"/>
              </c:ext>
            </c:extLst>
          </c:dPt>
          <c:dPt>
            <c:idx val="5"/>
            <c:marker>
              <c:symbol val="none"/>
            </c:marker>
            <c:bubble3D val="0"/>
            <c:extLst xmlns:c16r2="http://schemas.microsoft.com/office/drawing/2015/06/chart">
              <c:ext xmlns:c16="http://schemas.microsoft.com/office/drawing/2014/chart" uri="{C3380CC4-5D6E-409C-BE32-E72D297353CC}">
                <c16:uniqueId val="{00000003-3C8D-4234-99ED-B1A2DEC8214E}"/>
              </c:ext>
            </c:extLst>
          </c:dPt>
          <c:dPt>
            <c:idx val="6"/>
            <c:marker>
              <c:symbol val="circle"/>
              <c:size val="7"/>
            </c:marker>
            <c:bubble3D val="0"/>
            <c:extLst xmlns:c16r2="http://schemas.microsoft.com/office/drawing/2015/06/chart">
              <c:ext xmlns:c16="http://schemas.microsoft.com/office/drawing/2014/chart" uri="{C3380CC4-5D6E-409C-BE32-E72D297353CC}">
                <c16:uniqueId val="{00000004-3C8D-4234-99ED-B1A2DEC8214E}"/>
              </c:ext>
            </c:extLst>
          </c:dPt>
          <c:dPt>
            <c:idx val="7"/>
            <c:marker>
              <c:symbol val="circle"/>
              <c:size val="7"/>
            </c:marker>
            <c:bubble3D val="0"/>
            <c:extLst xmlns:c16r2="http://schemas.microsoft.com/office/drawing/2015/06/chart">
              <c:ext xmlns:c16="http://schemas.microsoft.com/office/drawing/2014/chart" uri="{C3380CC4-5D6E-409C-BE32-E72D297353CC}">
                <c16:uniqueId val="{00000005-3C8D-4234-99ED-B1A2DEC8214E}"/>
              </c:ext>
            </c:extLst>
          </c:dPt>
          <c:dPt>
            <c:idx val="8"/>
            <c:marker>
              <c:symbol val="circle"/>
              <c:size val="7"/>
            </c:marker>
            <c:bubble3D val="0"/>
            <c:extLst xmlns:c16r2="http://schemas.microsoft.com/office/drawing/2015/06/chart">
              <c:ext xmlns:c16="http://schemas.microsoft.com/office/drawing/2014/chart" uri="{C3380CC4-5D6E-409C-BE32-E72D297353CC}">
                <c16:uniqueId val="{00000006-3C8D-4234-99ED-B1A2DEC8214E}"/>
              </c:ext>
            </c:extLst>
          </c:dPt>
          <c:dPt>
            <c:idx val="9"/>
            <c:marker>
              <c:symbol val="circle"/>
              <c:size val="7"/>
            </c:marker>
            <c:bubble3D val="0"/>
            <c:extLst xmlns:c16r2="http://schemas.microsoft.com/office/drawing/2015/06/chart">
              <c:ext xmlns:c16="http://schemas.microsoft.com/office/drawing/2014/chart" uri="{C3380CC4-5D6E-409C-BE32-E72D297353CC}">
                <c16:uniqueId val="{00000007-3C8D-4234-99ED-B1A2DEC8214E}"/>
              </c:ext>
            </c:extLst>
          </c:dPt>
          <c:dPt>
            <c:idx val="10"/>
            <c:marker>
              <c:symbol val="circle"/>
              <c:size val="7"/>
            </c:marker>
            <c:bubble3D val="0"/>
            <c:extLst xmlns:c16r2="http://schemas.microsoft.com/office/drawing/2015/06/chart">
              <c:ext xmlns:c16="http://schemas.microsoft.com/office/drawing/2014/chart" uri="{C3380CC4-5D6E-409C-BE32-E72D297353CC}">
                <c16:uniqueId val="{00000008-3C8D-4234-99ED-B1A2DEC8214E}"/>
              </c:ext>
            </c:extLst>
          </c:dPt>
          <c:cat>
            <c:numRef>
              <c:f>Craigentinny!$D$168:$N$168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Craigentinny!$D$172:$N$172</c:f>
              <c:numCache>
                <c:formatCode>General</c:formatCode>
                <c:ptCount val="11"/>
                <c:pt idx="5" formatCode="0">
                  <c:v>52</c:v>
                </c:pt>
                <c:pt idx="6" formatCode="0">
                  <c:v>0</c:v>
                </c:pt>
                <c:pt idx="7" formatCode="0">
                  <c:v>60</c:v>
                </c:pt>
                <c:pt idx="8" formatCode="0">
                  <c:v>50</c:v>
                </c:pt>
                <c:pt idx="9" formatCode="0">
                  <c:v>55</c:v>
                </c:pt>
                <c:pt idx="10" formatCode="0">
                  <c:v>49</c:v>
                </c:pt>
              </c:numCache>
            </c:numRef>
          </c:val>
          <c:smooth val="0"/>
          <c:extLst xmlns:c16r2="http://schemas.microsoft.com/office/drawing/2015/06/chart">
            <c:ext xmlns:c16="http://schemas.microsoft.com/office/drawing/2014/chart" uri="{C3380CC4-5D6E-409C-BE32-E72D297353CC}">
              <c16:uniqueId val="{00000009-3C8D-4234-99ED-B1A2DEC8214E}"/>
            </c:ext>
          </c:extLst>
        </c:ser>
        <c:ser>
          <c:idx val="3"/>
          <c:order val="3"/>
          <c:tx>
            <c:strRef>
              <c:f>Craigentinny!$B$171</c:f>
              <c:strCache>
                <c:ptCount val="1"/>
                <c:pt idx="0">
                  <c:v>Actual P1 Registrations (as of Jan 2016)</c:v>
                </c:pt>
              </c:strCache>
            </c:strRef>
          </c:tx>
          <c:spPr>
            <a:ln w="15875">
              <a:noFill/>
            </a:ln>
          </c:spPr>
          <c:marker>
            <c:symbol val="diamond"/>
            <c:size val="9"/>
            <c:spPr>
              <a:solidFill>
                <a:schemeClr val="tx1"/>
              </a:solidFill>
            </c:spPr>
          </c:marker>
          <c:cat>
            <c:numRef>
              <c:f>Craigentinny!$D$168:$N$168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Craigentinny!$D$171:$M$171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3C8D-4234-99ED-B1A2DEC8214E}"/>
            </c:ext>
          </c:extLst>
        </c:ser>
        <c:dLbls>
          <c:showLegendKey val="0"/>
          <c:showVal val="0"/>
          <c:showCatName val="0"/>
          <c:showSerName val="0"/>
          <c:showPercent val="0"/>
          <c:showBubbleSize val="0"/>
        </c:dLbls>
        <c:marker val="1"/>
        <c:smooth val="0"/>
        <c:axId val="311414768"/>
        <c:axId val="311415160"/>
      </c:lineChart>
      <c:catAx>
        <c:axId val="311414768"/>
        <c:scaling>
          <c:orientation val="minMax"/>
        </c:scaling>
        <c:delete val="0"/>
        <c:axPos val="b"/>
        <c:numFmt formatCode="General" sourceLinked="1"/>
        <c:majorTickMark val="out"/>
        <c:minorTickMark val="none"/>
        <c:tickLblPos val="nextTo"/>
        <c:crossAx val="311415160"/>
        <c:crosses val="autoZero"/>
        <c:auto val="1"/>
        <c:lblAlgn val="ctr"/>
        <c:lblOffset val="100"/>
        <c:noMultiLvlLbl val="0"/>
      </c:catAx>
      <c:valAx>
        <c:axId val="311415160"/>
        <c:scaling>
          <c:orientation val="minMax"/>
        </c:scaling>
        <c:delete val="0"/>
        <c:axPos val="l"/>
        <c:majorGridlines/>
        <c:numFmt formatCode="#,##0" sourceLinked="1"/>
        <c:majorTickMark val="out"/>
        <c:minorTickMark val="none"/>
        <c:tickLblPos val="nextTo"/>
        <c:crossAx val="311414768"/>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FA2B-4387-968B-9C4C84A2F4F2}"/>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11416336"/>
        <c:axId val="311416728"/>
      </c:lineChart>
      <c:catAx>
        <c:axId val="311416336"/>
        <c:scaling>
          <c:orientation val="minMax"/>
        </c:scaling>
        <c:delete val="0"/>
        <c:axPos val="b"/>
        <c:numFmt formatCode="General" sourceLinked="1"/>
        <c:majorTickMark val="out"/>
        <c:minorTickMark val="none"/>
        <c:tickLblPos val="nextTo"/>
        <c:crossAx val="311416728"/>
        <c:crosses val="autoZero"/>
        <c:auto val="1"/>
        <c:lblAlgn val="ctr"/>
        <c:lblOffset val="100"/>
        <c:noMultiLvlLbl val="0"/>
      </c:catAx>
      <c:valAx>
        <c:axId val="311416728"/>
        <c:scaling>
          <c:orientation val="minMax"/>
        </c:scaling>
        <c:delete val="0"/>
        <c:axPos val="l"/>
        <c:majorGridlines/>
        <c:numFmt formatCode="General" sourceLinked="1"/>
        <c:majorTickMark val="out"/>
        <c:minorTickMark val="none"/>
        <c:tickLblPos val="nextTo"/>
        <c:crossAx val="311416336"/>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Craiglockhart!$B$177:$B$190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Craiglockhart!$J$177:$J$190</c:f>
              <c:numCache>
                <c:formatCode>General</c:formatCode>
                <c:ptCount val="14"/>
                <c:pt idx="0">
                  <c:v>361</c:v>
                </c:pt>
                <c:pt idx="1">
                  <c:v>340</c:v>
                </c:pt>
                <c:pt idx="2">
                  <c:v>350</c:v>
                </c:pt>
                <c:pt idx="3">
                  <c:v>341</c:v>
                </c:pt>
                <c:pt idx="4">
                  <c:v>310</c:v>
                </c:pt>
                <c:pt idx="5">
                  <c:v>307</c:v>
                </c:pt>
                <c:pt idx="6">
                  <c:v>301</c:v>
                </c:pt>
                <c:pt idx="7">
                  <c:v>293</c:v>
                </c:pt>
                <c:pt idx="8">
                  <c:v>323</c:v>
                </c:pt>
                <c:pt idx="9">
                  <c:v>342</c:v>
                </c:pt>
                <c:pt idx="10">
                  <c:v>353</c:v>
                </c:pt>
                <c:pt idx="11">
                  <c:v>380</c:v>
                </c:pt>
                <c:pt idx="12">
                  <c:v>388</c:v>
                </c:pt>
                <c:pt idx="13">
                  <c:v>384</c:v>
                </c:pt>
              </c:numCache>
            </c:numRef>
          </c:val>
          <c:smooth val="0"/>
          <c:extLst xmlns:c16r2="http://schemas.microsoft.com/office/drawing/2015/06/chart">
            <c:ext xmlns:c16="http://schemas.microsoft.com/office/drawing/2014/chart" uri="{C3380CC4-5D6E-409C-BE32-E72D297353CC}">
              <c16:uniqueId val="{00000000-E55F-403D-B838-45436FA0E0FF}"/>
            </c:ext>
          </c:extLst>
        </c:ser>
        <c:dLbls>
          <c:showLegendKey val="0"/>
          <c:showVal val="0"/>
          <c:showCatName val="0"/>
          <c:showSerName val="0"/>
          <c:showPercent val="0"/>
          <c:showBubbleSize val="0"/>
        </c:dLbls>
        <c:marker val="1"/>
        <c:smooth val="0"/>
        <c:axId val="311417512"/>
        <c:axId val="311417904"/>
      </c:lineChart>
      <c:catAx>
        <c:axId val="311417512"/>
        <c:scaling>
          <c:orientation val="minMax"/>
        </c:scaling>
        <c:delete val="0"/>
        <c:axPos val="b"/>
        <c:numFmt formatCode="General" sourceLinked="1"/>
        <c:majorTickMark val="out"/>
        <c:minorTickMark val="none"/>
        <c:tickLblPos val="nextTo"/>
        <c:crossAx val="311417904"/>
        <c:crosses val="autoZero"/>
        <c:auto val="1"/>
        <c:lblAlgn val="ctr"/>
        <c:lblOffset val="100"/>
        <c:noMultiLvlLbl val="0"/>
      </c:catAx>
      <c:valAx>
        <c:axId val="311417904"/>
        <c:scaling>
          <c:orientation val="minMax"/>
        </c:scaling>
        <c:delete val="0"/>
        <c:axPos val="l"/>
        <c:majorGridlines/>
        <c:numFmt formatCode="General" sourceLinked="1"/>
        <c:majorTickMark val="out"/>
        <c:minorTickMark val="none"/>
        <c:tickLblPos val="nextTo"/>
        <c:crossAx val="311417512"/>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Craiglockhart!$B$169</c:f>
              <c:strCache>
                <c:ptCount val="1"/>
                <c:pt idx="0">
                  <c:v>Catchment Births (5yrs Prior)</c:v>
                </c:pt>
              </c:strCache>
            </c:strRef>
          </c:tx>
          <c:marker>
            <c:symbol val="square"/>
            <c:size val="7"/>
          </c:marker>
          <c:cat>
            <c:numRef>
              <c:f>Craiglockhart!$D$168:$N$168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Craiglockhart!$D$169:$N$169</c:f>
              <c:numCache>
                <c:formatCode>#,##0</c:formatCode>
                <c:ptCount val="11"/>
                <c:pt idx="0">
                  <c:v>61</c:v>
                </c:pt>
                <c:pt idx="1">
                  <c:v>89</c:v>
                </c:pt>
                <c:pt idx="2">
                  <c:v>78</c:v>
                </c:pt>
                <c:pt idx="3">
                  <c:v>111</c:v>
                </c:pt>
                <c:pt idx="4">
                  <c:v>86</c:v>
                </c:pt>
                <c:pt idx="5">
                  <c:v>90</c:v>
                </c:pt>
                <c:pt idx="6">
                  <c:v>94</c:v>
                </c:pt>
                <c:pt idx="7">
                  <c:v>109</c:v>
                </c:pt>
                <c:pt idx="8">
                  <c:v>88</c:v>
                </c:pt>
                <c:pt idx="9">
                  <c:v>78</c:v>
                </c:pt>
                <c:pt idx="10">
                  <c:v>80</c:v>
                </c:pt>
              </c:numCache>
            </c:numRef>
          </c:val>
          <c:smooth val="0"/>
          <c:extLst xmlns:c16r2="http://schemas.microsoft.com/office/drawing/2015/06/chart">
            <c:ext xmlns:c16="http://schemas.microsoft.com/office/drawing/2014/chart" uri="{C3380CC4-5D6E-409C-BE32-E72D297353CC}">
              <c16:uniqueId val="{00000000-0397-43F1-BE93-0D5FC3CB94AF}"/>
            </c:ext>
          </c:extLst>
        </c:ser>
        <c:ser>
          <c:idx val="1"/>
          <c:order val="1"/>
          <c:tx>
            <c:strRef>
              <c:f>Craiglockhart!$B$170</c:f>
              <c:strCache>
                <c:ptCount val="1"/>
                <c:pt idx="0">
                  <c:v>P1 ND Catchment Population (Actual)</c:v>
                </c:pt>
              </c:strCache>
            </c:strRef>
          </c:tx>
          <c:cat>
            <c:numRef>
              <c:f>Craiglockhart!$D$168:$N$168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Craiglockhart!$D$170:$I$170</c:f>
              <c:numCache>
                <c:formatCode>#,##0</c:formatCode>
                <c:ptCount val="6"/>
                <c:pt idx="0">
                  <c:v>47</c:v>
                </c:pt>
                <c:pt idx="1">
                  <c:v>57</c:v>
                </c:pt>
                <c:pt idx="2">
                  <c:v>53</c:v>
                </c:pt>
                <c:pt idx="3">
                  <c:v>58</c:v>
                </c:pt>
                <c:pt idx="4">
                  <c:v>45</c:v>
                </c:pt>
                <c:pt idx="5">
                  <c:v>46</c:v>
                </c:pt>
              </c:numCache>
            </c:numRef>
          </c:val>
          <c:smooth val="0"/>
          <c:extLst xmlns:c16r2="http://schemas.microsoft.com/office/drawing/2015/06/chart">
            <c:ext xmlns:c16="http://schemas.microsoft.com/office/drawing/2014/chart" uri="{C3380CC4-5D6E-409C-BE32-E72D297353CC}">
              <c16:uniqueId val="{00000001-0397-43F1-BE93-0D5FC3CB94AF}"/>
            </c:ext>
          </c:extLst>
        </c:ser>
        <c:ser>
          <c:idx val="2"/>
          <c:order val="2"/>
          <c:tx>
            <c:strRef>
              <c:f>Craiglockhart!$B$172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0397-43F1-BE93-0D5FC3CB94AF}"/>
              </c:ext>
            </c:extLst>
          </c:dPt>
          <c:dPt>
            <c:idx val="5"/>
            <c:marker>
              <c:symbol val="none"/>
            </c:marker>
            <c:bubble3D val="0"/>
            <c:extLst xmlns:c16r2="http://schemas.microsoft.com/office/drawing/2015/06/chart">
              <c:ext xmlns:c16="http://schemas.microsoft.com/office/drawing/2014/chart" uri="{C3380CC4-5D6E-409C-BE32-E72D297353CC}">
                <c16:uniqueId val="{00000003-0397-43F1-BE93-0D5FC3CB94AF}"/>
              </c:ext>
            </c:extLst>
          </c:dPt>
          <c:dPt>
            <c:idx val="6"/>
            <c:marker>
              <c:symbol val="circle"/>
              <c:size val="7"/>
            </c:marker>
            <c:bubble3D val="0"/>
            <c:extLst xmlns:c16r2="http://schemas.microsoft.com/office/drawing/2015/06/chart">
              <c:ext xmlns:c16="http://schemas.microsoft.com/office/drawing/2014/chart" uri="{C3380CC4-5D6E-409C-BE32-E72D297353CC}">
                <c16:uniqueId val="{00000004-0397-43F1-BE93-0D5FC3CB94AF}"/>
              </c:ext>
            </c:extLst>
          </c:dPt>
          <c:dPt>
            <c:idx val="7"/>
            <c:marker>
              <c:symbol val="circle"/>
              <c:size val="7"/>
            </c:marker>
            <c:bubble3D val="0"/>
            <c:extLst xmlns:c16r2="http://schemas.microsoft.com/office/drawing/2015/06/chart">
              <c:ext xmlns:c16="http://schemas.microsoft.com/office/drawing/2014/chart" uri="{C3380CC4-5D6E-409C-BE32-E72D297353CC}">
                <c16:uniqueId val="{00000005-0397-43F1-BE93-0D5FC3CB94AF}"/>
              </c:ext>
            </c:extLst>
          </c:dPt>
          <c:dPt>
            <c:idx val="8"/>
            <c:marker>
              <c:symbol val="circle"/>
              <c:size val="7"/>
            </c:marker>
            <c:bubble3D val="0"/>
            <c:extLst xmlns:c16r2="http://schemas.microsoft.com/office/drawing/2015/06/chart">
              <c:ext xmlns:c16="http://schemas.microsoft.com/office/drawing/2014/chart" uri="{C3380CC4-5D6E-409C-BE32-E72D297353CC}">
                <c16:uniqueId val="{00000006-0397-43F1-BE93-0D5FC3CB94AF}"/>
              </c:ext>
            </c:extLst>
          </c:dPt>
          <c:dPt>
            <c:idx val="9"/>
            <c:marker>
              <c:symbol val="circle"/>
              <c:size val="7"/>
            </c:marker>
            <c:bubble3D val="0"/>
            <c:extLst xmlns:c16r2="http://schemas.microsoft.com/office/drawing/2015/06/chart">
              <c:ext xmlns:c16="http://schemas.microsoft.com/office/drawing/2014/chart" uri="{C3380CC4-5D6E-409C-BE32-E72D297353CC}">
                <c16:uniqueId val="{00000007-0397-43F1-BE93-0D5FC3CB94AF}"/>
              </c:ext>
            </c:extLst>
          </c:dPt>
          <c:dPt>
            <c:idx val="10"/>
            <c:marker>
              <c:symbol val="circle"/>
              <c:size val="7"/>
            </c:marker>
            <c:bubble3D val="0"/>
            <c:extLst xmlns:c16r2="http://schemas.microsoft.com/office/drawing/2015/06/chart">
              <c:ext xmlns:c16="http://schemas.microsoft.com/office/drawing/2014/chart" uri="{C3380CC4-5D6E-409C-BE32-E72D297353CC}">
                <c16:uniqueId val="{00000008-0397-43F1-BE93-0D5FC3CB94AF}"/>
              </c:ext>
            </c:extLst>
          </c:dPt>
          <c:cat>
            <c:numRef>
              <c:f>Craiglockhart!$D$168:$N$168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Craiglockhart!$D$172:$N$172</c:f>
              <c:numCache>
                <c:formatCode>General</c:formatCode>
                <c:ptCount val="11"/>
                <c:pt idx="5" formatCode="0">
                  <c:v>46</c:v>
                </c:pt>
                <c:pt idx="6" formatCode="0">
                  <c:v>0</c:v>
                </c:pt>
                <c:pt idx="7" formatCode="0">
                  <c:v>41</c:v>
                </c:pt>
                <c:pt idx="8" formatCode="0">
                  <c:v>43</c:v>
                </c:pt>
                <c:pt idx="9" formatCode="0">
                  <c:v>46</c:v>
                </c:pt>
                <c:pt idx="10" formatCode="0">
                  <c:v>31</c:v>
                </c:pt>
              </c:numCache>
            </c:numRef>
          </c:val>
          <c:smooth val="0"/>
          <c:extLst xmlns:c16r2="http://schemas.microsoft.com/office/drawing/2015/06/chart">
            <c:ext xmlns:c16="http://schemas.microsoft.com/office/drawing/2014/chart" uri="{C3380CC4-5D6E-409C-BE32-E72D297353CC}">
              <c16:uniqueId val="{00000009-0397-43F1-BE93-0D5FC3CB94AF}"/>
            </c:ext>
          </c:extLst>
        </c:ser>
        <c:ser>
          <c:idx val="3"/>
          <c:order val="3"/>
          <c:tx>
            <c:strRef>
              <c:f>Craiglockhart!$B$171</c:f>
              <c:strCache>
                <c:ptCount val="1"/>
                <c:pt idx="0">
                  <c:v>Actual P1 Registrations (as of Jan 2016)</c:v>
                </c:pt>
              </c:strCache>
            </c:strRef>
          </c:tx>
          <c:spPr>
            <a:ln w="15875">
              <a:noFill/>
            </a:ln>
          </c:spPr>
          <c:marker>
            <c:symbol val="diamond"/>
            <c:size val="9"/>
            <c:spPr>
              <a:solidFill>
                <a:schemeClr val="tx1"/>
              </a:solidFill>
            </c:spPr>
          </c:marker>
          <c:cat>
            <c:numRef>
              <c:f>Craiglockhart!$D$168:$N$168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Craiglockhart!$D$171:$M$171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0397-43F1-BE93-0D5FC3CB94AF}"/>
            </c:ext>
          </c:extLst>
        </c:ser>
        <c:dLbls>
          <c:showLegendKey val="0"/>
          <c:showVal val="0"/>
          <c:showCatName val="0"/>
          <c:showSerName val="0"/>
          <c:showPercent val="0"/>
          <c:showBubbleSize val="0"/>
        </c:dLbls>
        <c:marker val="1"/>
        <c:smooth val="0"/>
        <c:axId val="311418688"/>
        <c:axId val="311419080"/>
      </c:lineChart>
      <c:catAx>
        <c:axId val="311418688"/>
        <c:scaling>
          <c:orientation val="minMax"/>
        </c:scaling>
        <c:delete val="0"/>
        <c:axPos val="b"/>
        <c:numFmt formatCode="General" sourceLinked="1"/>
        <c:majorTickMark val="out"/>
        <c:minorTickMark val="none"/>
        <c:tickLblPos val="nextTo"/>
        <c:crossAx val="311419080"/>
        <c:crosses val="autoZero"/>
        <c:auto val="1"/>
        <c:lblAlgn val="ctr"/>
        <c:lblOffset val="100"/>
        <c:noMultiLvlLbl val="0"/>
      </c:catAx>
      <c:valAx>
        <c:axId val="311419080"/>
        <c:scaling>
          <c:orientation val="minMax"/>
        </c:scaling>
        <c:delete val="0"/>
        <c:axPos val="l"/>
        <c:majorGridlines/>
        <c:numFmt formatCode="#,##0" sourceLinked="1"/>
        <c:majorTickMark val="out"/>
        <c:minorTickMark val="none"/>
        <c:tickLblPos val="nextTo"/>
        <c:crossAx val="311418688"/>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79AA-41AB-8D8E-2443C7D0A642}"/>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11419472"/>
        <c:axId val="311419864"/>
      </c:lineChart>
      <c:catAx>
        <c:axId val="311419472"/>
        <c:scaling>
          <c:orientation val="minMax"/>
        </c:scaling>
        <c:delete val="0"/>
        <c:axPos val="b"/>
        <c:numFmt formatCode="General" sourceLinked="1"/>
        <c:majorTickMark val="out"/>
        <c:minorTickMark val="none"/>
        <c:tickLblPos val="nextTo"/>
        <c:crossAx val="311419864"/>
        <c:crosses val="autoZero"/>
        <c:auto val="1"/>
        <c:lblAlgn val="ctr"/>
        <c:lblOffset val="100"/>
        <c:noMultiLvlLbl val="0"/>
      </c:catAx>
      <c:valAx>
        <c:axId val="311419864"/>
        <c:scaling>
          <c:orientation val="minMax"/>
        </c:scaling>
        <c:delete val="0"/>
        <c:axPos val="l"/>
        <c:majorGridlines/>
        <c:numFmt formatCode="General" sourceLinked="1"/>
        <c:majorTickMark val="out"/>
        <c:minorTickMark val="none"/>
        <c:tickLblPos val="nextTo"/>
        <c:crossAx val="311419472"/>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'Craigour Park'!$B$177:$B$190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'Craigour Park'!$J$177:$J$190</c:f>
              <c:numCache>
                <c:formatCode>General</c:formatCode>
                <c:ptCount val="14"/>
                <c:pt idx="0">
                  <c:v>0</c:v>
                </c:pt>
                <c:pt idx="1">
                  <c:v>310</c:v>
                </c:pt>
                <c:pt idx="2">
                  <c:v>326</c:v>
                </c:pt>
                <c:pt idx="3">
                  <c:v>349</c:v>
                </c:pt>
                <c:pt idx="4">
                  <c:v>350</c:v>
                </c:pt>
                <c:pt idx="5">
                  <c:v>359</c:v>
                </c:pt>
                <c:pt idx="6">
                  <c:v>352</c:v>
                </c:pt>
                <c:pt idx="7">
                  <c:v>322</c:v>
                </c:pt>
                <c:pt idx="8">
                  <c:v>323</c:v>
                </c:pt>
                <c:pt idx="9">
                  <c:v>329</c:v>
                </c:pt>
                <c:pt idx="10">
                  <c:v>360</c:v>
                </c:pt>
                <c:pt idx="11">
                  <c:v>388</c:v>
                </c:pt>
                <c:pt idx="12">
                  <c:v>415</c:v>
                </c:pt>
                <c:pt idx="13">
                  <c:v>463</c:v>
                </c:pt>
              </c:numCache>
            </c:numRef>
          </c:val>
          <c:smooth val="0"/>
          <c:extLst xmlns:c16r2="http://schemas.microsoft.com/office/drawing/2015/06/chart">
            <c:ext xmlns:c16="http://schemas.microsoft.com/office/drawing/2014/chart" uri="{C3380CC4-5D6E-409C-BE32-E72D297353CC}">
              <c16:uniqueId val="{00000000-FC70-4CBE-A607-14C827643427}"/>
            </c:ext>
          </c:extLst>
        </c:ser>
        <c:dLbls>
          <c:showLegendKey val="0"/>
          <c:showVal val="0"/>
          <c:showCatName val="0"/>
          <c:showSerName val="0"/>
          <c:showPercent val="0"/>
          <c:showBubbleSize val="0"/>
        </c:dLbls>
        <c:marker val="1"/>
        <c:smooth val="0"/>
        <c:axId val="311541368"/>
        <c:axId val="311541760"/>
      </c:lineChart>
      <c:catAx>
        <c:axId val="311541368"/>
        <c:scaling>
          <c:orientation val="minMax"/>
        </c:scaling>
        <c:delete val="0"/>
        <c:axPos val="b"/>
        <c:numFmt formatCode="General" sourceLinked="1"/>
        <c:majorTickMark val="out"/>
        <c:minorTickMark val="none"/>
        <c:tickLblPos val="nextTo"/>
        <c:crossAx val="311541760"/>
        <c:crosses val="autoZero"/>
        <c:auto val="1"/>
        <c:lblAlgn val="ctr"/>
        <c:lblOffset val="100"/>
        <c:noMultiLvlLbl val="0"/>
      </c:catAx>
      <c:valAx>
        <c:axId val="311541760"/>
        <c:scaling>
          <c:orientation val="minMax"/>
        </c:scaling>
        <c:delete val="0"/>
        <c:axPos val="l"/>
        <c:majorGridlines/>
        <c:numFmt formatCode="General" sourceLinked="1"/>
        <c:majorTickMark val="out"/>
        <c:minorTickMark val="none"/>
        <c:tickLblPos val="nextTo"/>
        <c:crossAx val="311541368"/>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'Craigour Park'!$B$169</c:f>
              <c:strCache>
                <c:ptCount val="1"/>
                <c:pt idx="0">
                  <c:v>Catchment Births (5yrs Prior)</c:v>
                </c:pt>
              </c:strCache>
            </c:strRef>
          </c:tx>
          <c:marker>
            <c:symbol val="square"/>
            <c:size val="7"/>
          </c:marker>
          <c:cat>
            <c:numRef>
              <c:f>'Craigour Park'!$D$168:$N$168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'Craigour Park'!$D$169:$N$169</c:f>
              <c:numCache>
                <c:formatCode>#,##0</c:formatCode>
                <c:ptCount val="11"/>
                <c:pt idx="0">
                  <c:v>111</c:v>
                </c:pt>
                <c:pt idx="1">
                  <c:v>108</c:v>
                </c:pt>
                <c:pt idx="2">
                  <c:v>84</c:v>
                </c:pt>
                <c:pt idx="3">
                  <c:v>112</c:v>
                </c:pt>
                <c:pt idx="4">
                  <c:v>101</c:v>
                </c:pt>
                <c:pt idx="5">
                  <c:v>109</c:v>
                </c:pt>
                <c:pt idx="6">
                  <c:v>91</c:v>
                </c:pt>
                <c:pt idx="7">
                  <c:v>125</c:v>
                </c:pt>
                <c:pt idx="8">
                  <c:v>91</c:v>
                </c:pt>
                <c:pt idx="9">
                  <c:v>106</c:v>
                </c:pt>
                <c:pt idx="10">
                  <c:v>96</c:v>
                </c:pt>
              </c:numCache>
            </c:numRef>
          </c:val>
          <c:smooth val="0"/>
          <c:extLst xmlns:c16r2="http://schemas.microsoft.com/office/drawing/2015/06/chart">
            <c:ext xmlns:c16="http://schemas.microsoft.com/office/drawing/2014/chart" uri="{C3380CC4-5D6E-409C-BE32-E72D297353CC}">
              <c16:uniqueId val="{00000000-BBC0-409E-9DC9-8DF95EA506CC}"/>
            </c:ext>
          </c:extLst>
        </c:ser>
        <c:ser>
          <c:idx val="1"/>
          <c:order val="1"/>
          <c:tx>
            <c:strRef>
              <c:f>'Craigour Park'!$B$170</c:f>
              <c:strCache>
                <c:ptCount val="1"/>
                <c:pt idx="0">
                  <c:v>P1 ND Catchment Population (Actual)</c:v>
                </c:pt>
              </c:strCache>
            </c:strRef>
          </c:tx>
          <c:cat>
            <c:numRef>
              <c:f>'Craigour Park'!$D$168:$N$168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'Craigour Park'!$D$170:$I$170</c:f>
              <c:numCache>
                <c:formatCode>#,##0</c:formatCode>
                <c:ptCount val="6"/>
                <c:pt idx="0">
                  <c:v>67</c:v>
                </c:pt>
                <c:pt idx="1">
                  <c:v>70</c:v>
                </c:pt>
                <c:pt idx="2">
                  <c:v>68</c:v>
                </c:pt>
                <c:pt idx="3">
                  <c:v>89</c:v>
                </c:pt>
                <c:pt idx="4">
                  <c:v>75</c:v>
                </c:pt>
                <c:pt idx="5">
                  <c:v>73</c:v>
                </c:pt>
              </c:numCache>
            </c:numRef>
          </c:val>
          <c:smooth val="0"/>
          <c:extLst xmlns:c16r2="http://schemas.microsoft.com/office/drawing/2015/06/chart">
            <c:ext xmlns:c16="http://schemas.microsoft.com/office/drawing/2014/chart" uri="{C3380CC4-5D6E-409C-BE32-E72D297353CC}">
              <c16:uniqueId val="{00000001-BBC0-409E-9DC9-8DF95EA506CC}"/>
            </c:ext>
          </c:extLst>
        </c:ser>
        <c:ser>
          <c:idx val="2"/>
          <c:order val="2"/>
          <c:tx>
            <c:strRef>
              <c:f>'Craigour Park'!$B$172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BBC0-409E-9DC9-8DF95EA506CC}"/>
              </c:ext>
            </c:extLst>
          </c:dPt>
          <c:dPt>
            <c:idx val="5"/>
            <c:marker>
              <c:symbol val="none"/>
            </c:marker>
            <c:bubble3D val="0"/>
            <c:extLst xmlns:c16r2="http://schemas.microsoft.com/office/drawing/2015/06/chart">
              <c:ext xmlns:c16="http://schemas.microsoft.com/office/drawing/2014/chart" uri="{C3380CC4-5D6E-409C-BE32-E72D297353CC}">
                <c16:uniqueId val="{00000003-BBC0-409E-9DC9-8DF95EA506CC}"/>
              </c:ext>
            </c:extLst>
          </c:dPt>
          <c:dPt>
            <c:idx val="6"/>
            <c:marker>
              <c:symbol val="circle"/>
              <c:size val="7"/>
            </c:marker>
            <c:bubble3D val="0"/>
            <c:extLst xmlns:c16r2="http://schemas.microsoft.com/office/drawing/2015/06/chart">
              <c:ext xmlns:c16="http://schemas.microsoft.com/office/drawing/2014/chart" uri="{C3380CC4-5D6E-409C-BE32-E72D297353CC}">
                <c16:uniqueId val="{00000004-BBC0-409E-9DC9-8DF95EA506CC}"/>
              </c:ext>
            </c:extLst>
          </c:dPt>
          <c:dPt>
            <c:idx val="7"/>
            <c:marker>
              <c:symbol val="circle"/>
              <c:size val="7"/>
            </c:marker>
            <c:bubble3D val="0"/>
            <c:extLst xmlns:c16r2="http://schemas.microsoft.com/office/drawing/2015/06/chart">
              <c:ext xmlns:c16="http://schemas.microsoft.com/office/drawing/2014/chart" uri="{C3380CC4-5D6E-409C-BE32-E72D297353CC}">
                <c16:uniqueId val="{00000005-BBC0-409E-9DC9-8DF95EA506CC}"/>
              </c:ext>
            </c:extLst>
          </c:dPt>
          <c:dPt>
            <c:idx val="8"/>
            <c:marker>
              <c:symbol val="circle"/>
              <c:size val="7"/>
            </c:marker>
            <c:bubble3D val="0"/>
            <c:extLst xmlns:c16r2="http://schemas.microsoft.com/office/drawing/2015/06/chart">
              <c:ext xmlns:c16="http://schemas.microsoft.com/office/drawing/2014/chart" uri="{C3380CC4-5D6E-409C-BE32-E72D297353CC}">
                <c16:uniqueId val="{00000006-BBC0-409E-9DC9-8DF95EA506CC}"/>
              </c:ext>
            </c:extLst>
          </c:dPt>
          <c:dPt>
            <c:idx val="9"/>
            <c:marker>
              <c:symbol val="circle"/>
              <c:size val="7"/>
            </c:marker>
            <c:bubble3D val="0"/>
            <c:extLst xmlns:c16r2="http://schemas.microsoft.com/office/drawing/2015/06/chart">
              <c:ext xmlns:c16="http://schemas.microsoft.com/office/drawing/2014/chart" uri="{C3380CC4-5D6E-409C-BE32-E72D297353CC}">
                <c16:uniqueId val="{00000007-BBC0-409E-9DC9-8DF95EA506CC}"/>
              </c:ext>
            </c:extLst>
          </c:dPt>
          <c:dPt>
            <c:idx val="10"/>
            <c:marker>
              <c:symbol val="circle"/>
              <c:size val="7"/>
            </c:marker>
            <c:bubble3D val="0"/>
            <c:extLst xmlns:c16r2="http://schemas.microsoft.com/office/drawing/2015/06/chart">
              <c:ext xmlns:c16="http://schemas.microsoft.com/office/drawing/2014/chart" uri="{C3380CC4-5D6E-409C-BE32-E72D297353CC}">
                <c16:uniqueId val="{00000008-BBC0-409E-9DC9-8DF95EA506CC}"/>
              </c:ext>
            </c:extLst>
          </c:dPt>
          <c:cat>
            <c:numRef>
              <c:f>'Craigour Park'!$D$168:$N$168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'Craigour Park'!$D$172:$N$172</c:f>
              <c:numCache>
                <c:formatCode>General</c:formatCode>
                <c:ptCount val="11"/>
                <c:pt idx="5" formatCode="0">
                  <c:v>73</c:v>
                </c:pt>
                <c:pt idx="6" formatCode="0">
                  <c:v>0</c:v>
                </c:pt>
                <c:pt idx="7" formatCode="0">
                  <c:v>82</c:v>
                </c:pt>
                <c:pt idx="8" formatCode="0">
                  <c:v>75</c:v>
                </c:pt>
                <c:pt idx="9" formatCode="0">
                  <c:v>80</c:v>
                </c:pt>
                <c:pt idx="10" formatCode="0">
                  <c:v>70</c:v>
                </c:pt>
              </c:numCache>
            </c:numRef>
          </c:val>
          <c:smooth val="0"/>
          <c:extLst xmlns:c16r2="http://schemas.microsoft.com/office/drawing/2015/06/chart">
            <c:ext xmlns:c16="http://schemas.microsoft.com/office/drawing/2014/chart" uri="{C3380CC4-5D6E-409C-BE32-E72D297353CC}">
              <c16:uniqueId val="{00000009-BBC0-409E-9DC9-8DF95EA506CC}"/>
            </c:ext>
          </c:extLst>
        </c:ser>
        <c:ser>
          <c:idx val="3"/>
          <c:order val="3"/>
          <c:tx>
            <c:strRef>
              <c:f>'Craigour Park'!$B$171</c:f>
              <c:strCache>
                <c:ptCount val="1"/>
                <c:pt idx="0">
                  <c:v>Actual P1 Registrations (as of Jan 2016)</c:v>
                </c:pt>
              </c:strCache>
            </c:strRef>
          </c:tx>
          <c:spPr>
            <a:ln w="15875">
              <a:noFill/>
            </a:ln>
          </c:spPr>
          <c:marker>
            <c:symbol val="diamond"/>
            <c:size val="9"/>
            <c:spPr>
              <a:solidFill>
                <a:schemeClr val="tx1"/>
              </a:solidFill>
            </c:spPr>
          </c:marker>
          <c:cat>
            <c:numRef>
              <c:f>'Craigour Park'!$D$168:$N$168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'Craigour Park'!$D$171:$M$171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BBC0-409E-9DC9-8DF95EA506CC}"/>
            </c:ext>
          </c:extLst>
        </c:ser>
        <c:dLbls>
          <c:showLegendKey val="0"/>
          <c:showVal val="0"/>
          <c:showCatName val="0"/>
          <c:showSerName val="0"/>
          <c:showPercent val="0"/>
          <c:showBubbleSize val="0"/>
        </c:dLbls>
        <c:marker val="1"/>
        <c:smooth val="0"/>
        <c:axId val="311542544"/>
        <c:axId val="311542936"/>
      </c:lineChart>
      <c:catAx>
        <c:axId val="311542544"/>
        <c:scaling>
          <c:orientation val="minMax"/>
        </c:scaling>
        <c:delete val="0"/>
        <c:axPos val="b"/>
        <c:numFmt formatCode="General" sourceLinked="1"/>
        <c:majorTickMark val="out"/>
        <c:minorTickMark val="none"/>
        <c:tickLblPos val="nextTo"/>
        <c:crossAx val="311542936"/>
        <c:crosses val="autoZero"/>
        <c:auto val="1"/>
        <c:lblAlgn val="ctr"/>
        <c:lblOffset val="100"/>
        <c:noMultiLvlLbl val="0"/>
      </c:catAx>
      <c:valAx>
        <c:axId val="311542936"/>
        <c:scaling>
          <c:orientation val="minMax"/>
        </c:scaling>
        <c:delete val="0"/>
        <c:axPos val="l"/>
        <c:majorGridlines/>
        <c:numFmt formatCode="#,##0" sourceLinked="1"/>
        <c:majorTickMark val="out"/>
        <c:minorTickMark val="none"/>
        <c:tickLblPos val="nextTo"/>
        <c:crossAx val="311542544"/>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2422-491B-AED7-71AF83DACDFC}"/>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11543720"/>
        <c:axId val="311544112"/>
      </c:lineChart>
      <c:catAx>
        <c:axId val="311543720"/>
        <c:scaling>
          <c:orientation val="minMax"/>
        </c:scaling>
        <c:delete val="0"/>
        <c:axPos val="b"/>
        <c:numFmt formatCode="General" sourceLinked="1"/>
        <c:majorTickMark val="out"/>
        <c:minorTickMark val="none"/>
        <c:tickLblPos val="nextTo"/>
        <c:crossAx val="311544112"/>
        <c:crosses val="autoZero"/>
        <c:auto val="1"/>
        <c:lblAlgn val="ctr"/>
        <c:lblOffset val="100"/>
        <c:noMultiLvlLbl val="0"/>
      </c:catAx>
      <c:valAx>
        <c:axId val="311544112"/>
        <c:scaling>
          <c:orientation val="minMax"/>
        </c:scaling>
        <c:delete val="0"/>
        <c:axPos val="l"/>
        <c:majorGridlines/>
        <c:numFmt formatCode="General" sourceLinked="1"/>
        <c:majorTickMark val="out"/>
        <c:minorTickMark val="none"/>
        <c:tickLblPos val="nextTo"/>
        <c:crossAx val="311543720"/>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Craigroyston!$B$177:$B$190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Craigroyston!$J$177:$J$190</c:f>
              <c:numCache>
                <c:formatCode>General</c:formatCode>
                <c:ptCount val="14"/>
                <c:pt idx="0">
                  <c:v>0</c:v>
                </c:pt>
                <c:pt idx="1">
                  <c:v>300</c:v>
                </c:pt>
                <c:pt idx="2">
                  <c:v>265</c:v>
                </c:pt>
                <c:pt idx="3">
                  <c:v>247</c:v>
                </c:pt>
                <c:pt idx="4">
                  <c:v>248</c:v>
                </c:pt>
                <c:pt idx="5">
                  <c:v>245</c:v>
                </c:pt>
                <c:pt idx="6">
                  <c:v>237</c:v>
                </c:pt>
                <c:pt idx="7">
                  <c:v>222</c:v>
                </c:pt>
                <c:pt idx="8">
                  <c:v>211</c:v>
                </c:pt>
                <c:pt idx="9">
                  <c:v>185</c:v>
                </c:pt>
                <c:pt idx="10">
                  <c:v>188</c:v>
                </c:pt>
                <c:pt idx="11">
                  <c:v>195</c:v>
                </c:pt>
                <c:pt idx="12">
                  <c:v>234</c:v>
                </c:pt>
                <c:pt idx="13">
                  <c:v>221</c:v>
                </c:pt>
              </c:numCache>
            </c:numRef>
          </c:val>
          <c:smooth val="0"/>
          <c:extLst xmlns:c16r2="http://schemas.microsoft.com/office/drawing/2015/06/chart">
            <c:ext xmlns:c16="http://schemas.microsoft.com/office/drawing/2014/chart" uri="{C3380CC4-5D6E-409C-BE32-E72D297353CC}">
              <c16:uniqueId val="{00000000-58A1-4829-A4CB-FBE450A3DC5D}"/>
            </c:ext>
          </c:extLst>
        </c:ser>
        <c:dLbls>
          <c:showLegendKey val="0"/>
          <c:showVal val="0"/>
          <c:showCatName val="0"/>
          <c:showSerName val="0"/>
          <c:showPercent val="0"/>
          <c:showBubbleSize val="0"/>
        </c:dLbls>
        <c:marker val="1"/>
        <c:smooth val="0"/>
        <c:axId val="311544896"/>
        <c:axId val="311545288"/>
      </c:lineChart>
      <c:catAx>
        <c:axId val="311544896"/>
        <c:scaling>
          <c:orientation val="minMax"/>
        </c:scaling>
        <c:delete val="0"/>
        <c:axPos val="b"/>
        <c:numFmt formatCode="General" sourceLinked="1"/>
        <c:majorTickMark val="out"/>
        <c:minorTickMark val="none"/>
        <c:tickLblPos val="nextTo"/>
        <c:crossAx val="311545288"/>
        <c:crosses val="autoZero"/>
        <c:auto val="1"/>
        <c:lblAlgn val="ctr"/>
        <c:lblOffset val="100"/>
        <c:noMultiLvlLbl val="0"/>
      </c:catAx>
      <c:valAx>
        <c:axId val="311545288"/>
        <c:scaling>
          <c:orientation val="minMax"/>
        </c:scaling>
        <c:delete val="0"/>
        <c:axPos val="l"/>
        <c:majorGridlines/>
        <c:numFmt formatCode="General" sourceLinked="1"/>
        <c:majorTickMark val="out"/>
        <c:minorTickMark val="none"/>
        <c:tickLblPos val="nextTo"/>
        <c:crossAx val="311544896"/>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Craigroyston!$B$169</c:f>
              <c:strCache>
                <c:ptCount val="1"/>
                <c:pt idx="0">
                  <c:v>Catchment Births (5yrs Prior)</c:v>
                </c:pt>
              </c:strCache>
            </c:strRef>
          </c:tx>
          <c:marker>
            <c:symbol val="square"/>
            <c:size val="7"/>
          </c:marker>
          <c:cat>
            <c:numRef>
              <c:f>Craigroyston!$D$168:$N$168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Craigroyston!$D$169:$N$169</c:f>
              <c:numCache>
                <c:formatCode>#,##0</c:formatCode>
                <c:ptCount val="11"/>
                <c:pt idx="0">
                  <c:v>102</c:v>
                </c:pt>
                <c:pt idx="1">
                  <c:v>107</c:v>
                </c:pt>
                <c:pt idx="2">
                  <c:v>94</c:v>
                </c:pt>
                <c:pt idx="3">
                  <c:v>101</c:v>
                </c:pt>
                <c:pt idx="4">
                  <c:v>93</c:v>
                </c:pt>
                <c:pt idx="5">
                  <c:v>78</c:v>
                </c:pt>
                <c:pt idx="6">
                  <c:v>85</c:v>
                </c:pt>
                <c:pt idx="7">
                  <c:v>81</c:v>
                </c:pt>
                <c:pt idx="8">
                  <c:v>85</c:v>
                </c:pt>
                <c:pt idx="9">
                  <c:v>84</c:v>
                </c:pt>
                <c:pt idx="10">
                  <c:v>77</c:v>
                </c:pt>
              </c:numCache>
            </c:numRef>
          </c:val>
          <c:smooth val="0"/>
          <c:extLst xmlns:c16r2="http://schemas.microsoft.com/office/drawing/2015/06/chart">
            <c:ext xmlns:c16="http://schemas.microsoft.com/office/drawing/2014/chart" uri="{C3380CC4-5D6E-409C-BE32-E72D297353CC}">
              <c16:uniqueId val="{00000000-2E2B-41C6-9999-45FB91C45863}"/>
            </c:ext>
          </c:extLst>
        </c:ser>
        <c:ser>
          <c:idx val="1"/>
          <c:order val="1"/>
          <c:tx>
            <c:strRef>
              <c:f>Craigroyston!$B$170</c:f>
              <c:strCache>
                <c:ptCount val="1"/>
                <c:pt idx="0">
                  <c:v>P1 ND Catchment Population (Actual)</c:v>
                </c:pt>
              </c:strCache>
            </c:strRef>
          </c:tx>
          <c:cat>
            <c:numRef>
              <c:f>Craigroyston!$D$168:$N$168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Craigroyston!$D$170:$I$170</c:f>
              <c:numCache>
                <c:formatCode>#,##0</c:formatCode>
                <c:ptCount val="6"/>
                <c:pt idx="0">
                  <c:v>51</c:v>
                </c:pt>
                <c:pt idx="1">
                  <c:v>43</c:v>
                </c:pt>
                <c:pt idx="2">
                  <c:v>58</c:v>
                </c:pt>
                <c:pt idx="3">
                  <c:v>68</c:v>
                </c:pt>
                <c:pt idx="4">
                  <c:v>62</c:v>
                </c:pt>
                <c:pt idx="5">
                  <c:v>60</c:v>
                </c:pt>
              </c:numCache>
            </c:numRef>
          </c:val>
          <c:smooth val="0"/>
          <c:extLst xmlns:c16r2="http://schemas.microsoft.com/office/drawing/2015/06/chart">
            <c:ext xmlns:c16="http://schemas.microsoft.com/office/drawing/2014/chart" uri="{C3380CC4-5D6E-409C-BE32-E72D297353CC}">
              <c16:uniqueId val="{00000001-2E2B-41C6-9999-45FB91C45863}"/>
            </c:ext>
          </c:extLst>
        </c:ser>
        <c:ser>
          <c:idx val="2"/>
          <c:order val="2"/>
          <c:tx>
            <c:strRef>
              <c:f>Craigroyston!$B$172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2E2B-41C6-9999-45FB91C45863}"/>
              </c:ext>
            </c:extLst>
          </c:dPt>
          <c:dPt>
            <c:idx val="5"/>
            <c:marker>
              <c:symbol val="none"/>
            </c:marker>
            <c:bubble3D val="0"/>
            <c:extLst xmlns:c16r2="http://schemas.microsoft.com/office/drawing/2015/06/chart">
              <c:ext xmlns:c16="http://schemas.microsoft.com/office/drawing/2014/chart" uri="{C3380CC4-5D6E-409C-BE32-E72D297353CC}">
                <c16:uniqueId val="{00000003-2E2B-41C6-9999-45FB91C45863}"/>
              </c:ext>
            </c:extLst>
          </c:dPt>
          <c:dPt>
            <c:idx val="6"/>
            <c:marker>
              <c:symbol val="circle"/>
              <c:size val="7"/>
            </c:marker>
            <c:bubble3D val="0"/>
            <c:extLst xmlns:c16r2="http://schemas.microsoft.com/office/drawing/2015/06/chart">
              <c:ext xmlns:c16="http://schemas.microsoft.com/office/drawing/2014/chart" uri="{C3380CC4-5D6E-409C-BE32-E72D297353CC}">
                <c16:uniqueId val="{00000004-2E2B-41C6-9999-45FB91C45863}"/>
              </c:ext>
            </c:extLst>
          </c:dPt>
          <c:dPt>
            <c:idx val="7"/>
            <c:marker>
              <c:symbol val="circle"/>
              <c:size val="7"/>
            </c:marker>
            <c:bubble3D val="0"/>
            <c:extLst xmlns:c16r2="http://schemas.microsoft.com/office/drawing/2015/06/chart">
              <c:ext xmlns:c16="http://schemas.microsoft.com/office/drawing/2014/chart" uri="{C3380CC4-5D6E-409C-BE32-E72D297353CC}">
                <c16:uniqueId val="{00000005-2E2B-41C6-9999-45FB91C45863}"/>
              </c:ext>
            </c:extLst>
          </c:dPt>
          <c:dPt>
            <c:idx val="8"/>
            <c:marker>
              <c:symbol val="circle"/>
              <c:size val="7"/>
            </c:marker>
            <c:bubble3D val="0"/>
            <c:extLst xmlns:c16r2="http://schemas.microsoft.com/office/drawing/2015/06/chart">
              <c:ext xmlns:c16="http://schemas.microsoft.com/office/drawing/2014/chart" uri="{C3380CC4-5D6E-409C-BE32-E72D297353CC}">
                <c16:uniqueId val="{00000006-2E2B-41C6-9999-45FB91C45863}"/>
              </c:ext>
            </c:extLst>
          </c:dPt>
          <c:dPt>
            <c:idx val="9"/>
            <c:marker>
              <c:symbol val="circle"/>
              <c:size val="7"/>
            </c:marker>
            <c:bubble3D val="0"/>
            <c:extLst xmlns:c16r2="http://schemas.microsoft.com/office/drawing/2015/06/chart">
              <c:ext xmlns:c16="http://schemas.microsoft.com/office/drawing/2014/chart" uri="{C3380CC4-5D6E-409C-BE32-E72D297353CC}">
                <c16:uniqueId val="{00000007-2E2B-41C6-9999-45FB91C45863}"/>
              </c:ext>
            </c:extLst>
          </c:dPt>
          <c:dPt>
            <c:idx val="10"/>
            <c:marker>
              <c:symbol val="circle"/>
              <c:size val="7"/>
            </c:marker>
            <c:bubble3D val="0"/>
            <c:extLst xmlns:c16r2="http://schemas.microsoft.com/office/drawing/2015/06/chart">
              <c:ext xmlns:c16="http://schemas.microsoft.com/office/drawing/2014/chart" uri="{C3380CC4-5D6E-409C-BE32-E72D297353CC}">
                <c16:uniqueId val="{00000008-2E2B-41C6-9999-45FB91C45863}"/>
              </c:ext>
            </c:extLst>
          </c:dPt>
          <c:cat>
            <c:numRef>
              <c:f>Craigroyston!$D$168:$N$168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Craigroyston!$D$172:$N$172</c:f>
              <c:numCache>
                <c:formatCode>General</c:formatCode>
                <c:ptCount val="11"/>
                <c:pt idx="5" formatCode="0">
                  <c:v>60</c:v>
                </c:pt>
                <c:pt idx="6" formatCode="0">
                  <c:v>0</c:v>
                </c:pt>
                <c:pt idx="7" formatCode="0">
                  <c:v>68</c:v>
                </c:pt>
                <c:pt idx="8" formatCode="0">
                  <c:v>63</c:v>
                </c:pt>
                <c:pt idx="9" formatCode="0">
                  <c:v>73</c:v>
                </c:pt>
                <c:pt idx="10" formatCode="0">
                  <c:v>87</c:v>
                </c:pt>
              </c:numCache>
            </c:numRef>
          </c:val>
          <c:smooth val="0"/>
          <c:extLst xmlns:c16r2="http://schemas.microsoft.com/office/drawing/2015/06/chart">
            <c:ext xmlns:c16="http://schemas.microsoft.com/office/drawing/2014/chart" uri="{C3380CC4-5D6E-409C-BE32-E72D297353CC}">
              <c16:uniqueId val="{00000009-2E2B-41C6-9999-45FB91C45863}"/>
            </c:ext>
          </c:extLst>
        </c:ser>
        <c:ser>
          <c:idx val="3"/>
          <c:order val="3"/>
          <c:tx>
            <c:strRef>
              <c:f>Craigroyston!$B$171</c:f>
              <c:strCache>
                <c:ptCount val="1"/>
                <c:pt idx="0">
                  <c:v>Actual P1 Registrations (as of Jan 2016)</c:v>
                </c:pt>
              </c:strCache>
            </c:strRef>
          </c:tx>
          <c:spPr>
            <a:ln w="15875">
              <a:noFill/>
            </a:ln>
          </c:spPr>
          <c:marker>
            <c:symbol val="diamond"/>
            <c:size val="9"/>
            <c:spPr>
              <a:solidFill>
                <a:schemeClr val="tx1"/>
              </a:solidFill>
            </c:spPr>
          </c:marker>
          <c:cat>
            <c:numRef>
              <c:f>Craigroyston!$D$168:$N$168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Craigroyston!$D$171:$M$171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2E2B-41C6-9999-45FB91C45863}"/>
            </c:ext>
          </c:extLst>
        </c:ser>
        <c:dLbls>
          <c:showLegendKey val="0"/>
          <c:showVal val="0"/>
          <c:showCatName val="0"/>
          <c:showSerName val="0"/>
          <c:showPercent val="0"/>
          <c:showBubbleSize val="0"/>
        </c:dLbls>
        <c:marker val="1"/>
        <c:smooth val="0"/>
        <c:axId val="311546072"/>
        <c:axId val="311546464"/>
      </c:lineChart>
      <c:catAx>
        <c:axId val="311546072"/>
        <c:scaling>
          <c:orientation val="minMax"/>
        </c:scaling>
        <c:delete val="0"/>
        <c:axPos val="b"/>
        <c:numFmt formatCode="General" sourceLinked="1"/>
        <c:majorTickMark val="out"/>
        <c:minorTickMark val="none"/>
        <c:tickLblPos val="nextTo"/>
        <c:crossAx val="311546464"/>
        <c:crosses val="autoZero"/>
        <c:auto val="1"/>
        <c:lblAlgn val="ctr"/>
        <c:lblOffset val="100"/>
        <c:noMultiLvlLbl val="0"/>
      </c:catAx>
      <c:valAx>
        <c:axId val="311546464"/>
        <c:scaling>
          <c:orientation val="minMax"/>
        </c:scaling>
        <c:delete val="0"/>
        <c:axPos val="l"/>
        <c:majorGridlines/>
        <c:numFmt formatCode="#,##0" sourceLinked="1"/>
        <c:majorTickMark val="out"/>
        <c:minorTickMark val="none"/>
        <c:tickLblPos val="nextTo"/>
        <c:crossAx val="311546072"/>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B04F-40EF-A909-D3F3122455ED}"/>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11547248"/>
        <c:axId val="311547640"/>
      </c:lineChart>
      <c:catAx>
        <c:axId val="311547248"/>
        <c:scaling>
          <c:orientation val="minMax"/>
        </c:scaling>
        <c:delete val="0"/>
        <c:axPos val="b"/>
        <c:numFmt formatCode="General" sourceLinked="1"/>
        <c:majorTickMark val="out"/>
        <c:minorTickMark val="none"/>
        <c:tickLblPos val="nextTo"/>
        <c:crossAx val="311547640"/>
        <c:crosses val="autoZero"/>
        <c:auto val="1"/>
        <c:lblAlgn val="ctr"/>
        <c:lblOffset val="100"/>
        <c:noMultiLvlLbl val="0"/>
      </c:catAx>
      <c:valAx>
        <c:axId val="311547640"/>
        <c:scaling>
          <c:orientation val="minMax"/>
        </c:scaling>
        <c:delete val="0"/>
        <c:axPos val="l"/>
        <c:majorGridlines/>
        <c:numFmt formatCode="General" sourceLinked="1"/>
        <c:majorTickMark val="out"/>
        <c:minorTickMark val="none"/>
        <c:tickLblPos val="nextTo"/>
        <c:crossAx val="311547248"/>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Cramond!$B$177:$B$190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Cramond!$J$177:$J$190</c:f>
              <c:numCache>
                <c:formatCode>General</c:formatCode>
                <c:ptCount val="14"/>
                <c:pt idx="0">
                  <c:v>335</c:v>
                </c:pt>
                <c:pt idx="1">
                  <c:v>327</c:v>
                </c:pt>
                <c:pt idx="2">
                  <c:v>330</c:v>
                </c:pt>
                <c:pt idx="3">
                  <c:v>344</c:v>
                </c:pt>
                <c:pt idx="4">
                  <c:v>360</c:v>
                </c:pt>
                <c:pt idx="5">
                  <c:v>355</c:v>
                </c:pt>
                <c:pt idx="6">
                  <c:v>371</c:v>
                </c:pt>
                <c:pt idx="7">
                  <c:v>375</c:v>
                </c:pt>
                <c:pt idx="8">
                  <c:v>374</c:v>
                </c:pt>
                <c:pt idx="9">
                  <c:v>391</c:v>
                </c:pt>
                <c:pt idx="10">
                  <c:v>396</c:v>
                </c:pt>
                <c:pt idx="11">
                  <c:v>394</c:v>
                </c:pt>
                <c:pt idx="12">
                  <c:v>402</c:v>
                </c:pt>
                <c:pt idx="13">
                  <c:v>396</c:v>
                </c:pt>
              </c:numCache>
            </c:numRef>
          </c:val>
          <c:smooth val="0"/>
          <c:extLst xmlns:c16r2="http://schemas.microsoft.com/office/drawing/2015/06/chart">
            <c:ext xmlns:c16="http://schemas.microsoft.com/office/drawing/2014/chart" uri="{C3380CC4-5D6E-409C-BE32-E72D297353CC}">
              <c16:uniqueId val="{00000000-ED88-4550-962F-8679264C49CE}"/>
            </c:ext>
          </c:extLst>
        </c:ser>
        <c:dLbls>
          <c:showLegendKey val="0"/>
          <c:showVal val="0"/>
          <c:showCatName val="0"/>
          <c:showSerName val="0"/>
          <c:showPercent val="0"/>
          <c:showBubbleSize val="0"/>
        </c:dLbls>
        <c:marker val="1"/>
        <c:smooth val="0"/>
        <c:axId val="311548424"/>
        <c:axId val="311548816"/>
      </c:lineChart>
      <c:catAx>
        <c:axId val="311548424"/>
        <c:scaling>
          <c:orientation val="minMax"/>
        </c:scaling>
        <c:delete val="0"/>
        <c:axPos val="b"/>
        <c:numFmt formatCode="General" sourceLinked="1"/>
        <c:majorTickMark val="out"/>
        <c:minorTickMark val="none"/>
        <c:tickLblPos val="nextTo"/>
        <c:crossAx val="311548816"/>
        <c:crosses val="autoZero"/>
        <c:auto val="1"/>
        <c:lblAlgn val="ctr"/>
        <c:lblOffset val="100"/>
        <c:noMultiLvlLbl val="0"/>
      </c:catAx>
      <c:valAx>
        <c:axId val="311548816"/>
        <c:scaling>
          <c:orientation val="minMax"/>
        </c:scaling>
        <c:delete val="0"/>
        <c:axPos val="l"/>
        <c:majorGridlines/>
        <c:numFmt formatCode="General" sourceLinked="1"/>
        <c:majorTickMark val="out"/>
        <c:minorTickMark val="none"/>
        <c:tickLblPos val="nextTo"/>
        <c:crossAx val="311548424"/>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Cramond!$B$169</c:f>
              <c:strCache>
                <c:ptCount val="1"/>
                <c:pt idx="0">
                  <c:v>Catchment Births (5yrs Prior)</c:v>
                </c:pt>
              </c:strCache>
            </c:strRef>
          </c:tx>
          <c:marker>
            <c:symbol val="square"/>
            <c:size val="7"/>
          </c:marker>
          <c:cat>
            <c:numRef>
              <c:f>Cramond!$D$168:$N$168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Cramond!$D$169:$N$169</c:f>
              <c:numCache>
                <c:formatCode>#,##0</c:formatCode>
                <c:ptCount val="11"/>
                <c:pt idx="0">
                  <c:v>33</c:v>
                </c:pt>
                <c:pt idx="1">
                  <c:v>32</c:v>
                </c:pt>
                <c:pt idx="2">
                  <c:v>51</c:v>
                </c:pt>
                <c:pt idx="3">
                  <c:v>46</c:v>
                </c:pt>
                <c:pt idx="4">
                  <c:v>36</c:v>
                </c:pt>
                <c:pt idx="5">
                  <c:v>44</c:v>
                </c:pt>
                <c:pt idx="6">
                  <c:v>47</c:v>
                </c:pt>
                <c:pt idx="7">
                  <c:v>44</c:v>
                </c:pt>
                <c:pt idx="8">
                  <c:v>53</c:v>
                </c:pt>
                <c:pt idx="9">
                  <c:v>45</c:v>
                </c:pt>
                <c:pt idx="10">
                  <c:v>46</c:v>
                </c:pt>
              </c:numCache>
            </c:numRef>
          </c:val>
          <c:smooth val="0"/>
          <c:extLst xmlns:c16r2="http://schemas.microsoft.com/office/drawing/2015/06/chart">
            <c:ext xmlns:c16="http://schemas.microsoft.com/office/drawing/2014/chart" uri="{C3380CC4-5D6E-409C-BE32-E72D297353CC}">
              <c16:uniqueId val="{00000000-228D-445B-81D3-169DCE6E1E66}"/>
            </c:ext>
          </c:extLst>
        </c:ser>
        <c:ser>
          <c:idx val="1"/>
          <c:order val="1"/>
          <c:tx>
            <c:strRef>
              <c:f>Cramond!$B$170</c:f>
              <c:strCache>
                <c:ptCount val="1"/>
                <c:pt idx="0">
                  <c:v>P1 ND Catchment Population (Actual)</c:v>
                </c:pt>
              </c:strCache>
            </c:strRef>
          </c:tx>
          <c:cat>
            <c:numRef>
              <c:f>Cramond!$D$168:$N$168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Cramond!$D$170:$I$170</c:f>
              <c:numCache>
                <c:formatCode>#,##0</c:formatCode>
                <c:ptCount val="6"/>
                <c:pt idx="0">
                  <c:v>52</c:v>
                </c:pt>
                <c:pt idx="1">
                  <c:v>53</c:v>
                </c:pt>
                <c:pt idx="2">
                  <c:v>50</c:v>
                </c:pt>
                <c:pt idx="3">
                  <c:v>55</c:v>
                </c:pt>
                <c:pt idx="4">
                  <c:v>53</c:v>
                </c:pt>
                <c:pt idx="5">
                  <c:v>58</c:v>
                </c:pt>
              </c:numCache>
            </c:numRef>
          </c:val>
          <c:smooth val="0"/>
          <c:extLst xmlns:c16r2="http://schemas.microsoft.com/office/drawing/2015/06/chart">
            <c:ext xmlns:c16="http://schemas.microsoft.com/office/drawing/2014/chart" uri="{C3380CC4-5D6E-409C-BE32-E72D297353CC}">
              <c16:uniqueId val="{00000001-228D-445B-81D3-169DCE6E1E66}"/>
            </c:ext>
          </c:extLst>
        </c:ser>
        <c:ser>
          <c:idx val="2"/>
          <c:order val="2"/>
          <c:tx>
            <c:strRef>
              <c:f>Cramond!$B$172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228D-445B-81D3-169DCE6E1E66}"/>
              </c:ext>
            </c:extLst>
          </c:dPt>
          <c:dPt>
            <c:idx val="5"/>
            <c:marker>
              <c:symbol val="none"/>
            </c:marker>
            <c:bubble3D val="0"/>
            <c:extLst xmlns:c16r2="http://schemas.microsoft.com/office/drawing/2015/06/chart">
              <c:ext xmlns:c16="http://schemas.microsoft.com/office/drawing/2014/chart" uri="{C3380CC4-5D6E-409C-BE32-E72D297353CC}">
                <c16:uniqueId val="{00000003-228D-445B-81D3-169DCE6E1E66}"/>
              </c:ext>
            </c:extLst>
          </c:dPt>
          <c:dPt>
            <c:idx val="6"/>
            <c:marker>
              <c:symbol val="circle"/>
              <c:size val="7"/>
            </c:marker>
            <c:bubble3D val="0"/>
            <c:extLst xmlns:c16r2="http://schemas.microsoft.com/office/drawing/2015/06/chart">
              <c:ext xmlns:c16="http://schemas.microsoft.com/office/drawing/2014/chart" uri="{C3380CC4-5D6E-409C-BE32-E72D297353CC}">
                <c16:uniqueId val="{00000004-228D-445B-81D3-169DCE6E1E66}"/>
              </c:ext>
            </c:extLst>
          </c:dPt>
          <c:dPt>
            <c:idx val="7"/>
            <c:marker>
              <c:symbol val="circle"/>
              <c:size val="7"/>
            </c:marker>
            <c:bubble3D val="0"/>
            <c:extLst xmlns:c16r2="http://schemas.microsoft.com/office/drawing/2015/06/chart">
              <c:ext xmlns:c16="http://schemas.microsoft.com/office/drawing/2014/chart" uri="{C3380CC4-5D6E-409C-BE32-E72D297353CC}">
                <c16:uniqueId val="{00000005-228D-445B-81D3-169DCE6E1E66}"/>
              </c:ext>
            </c:extLst>
          </c:dPt>
          <c:dPt>
            <c:idx val="8"/>
            <c:marker>
              <c:symbol val="circle"/>
              <c:size val="7"/>
            </c:marker>
            <c:bubble3D val="0"/>
            <c:extLst xmlns:c16r2="http://schemas.microsoft.com/office/drawing/2015/06/chart">
              <c:ext xmlns:c16="http://schemas.microsoft.com/office/drawing/2014/chart" uri="{C3380CC4-5D6E-409C-BE32-E72D297353CC}">
                <c16:uniqueId val="{00000006-228D-445B-81D3-169DCE6E1E66}"/>
              </c:ext>
            </c:extLst>
          </c:dPt>
          <c:dPt>
            <c:idx val="9"/>
            <c:marker>
              <c:symbol val="circle"/>
              <c:size val="7"/>
            </c:marker>
            <c:bubble3D val="0"/>
            <c:extLst xmlns:c16r2="http://schemas.microsoft.com/office/drawing/2015/06/chart">
              <c:ext xmlns:c16="http://schemas.microsoft.com/office/drawing/2014/chart" uri="{C3380CC4-5D6E-409C-BE32-E72D297353CC}">
                <c16:uniqueId val="{00000007-228D-445B-81D3-169DCE6E1E66}"/>
              </c:ext>
            </c:extLst>
          </c:dPt>
          <c:dPt>
            <c:idx val="10"/>
            <c:marker>
              <c:symbol val="circle"/>
              <c:size val="7"/>
            </c:marker>
            <c:bubble3D val="0"/>
            <c:extLst xmlns:c16r2="http://schemas.microsoft.com/office/drawing/2015/06/chart">
              <c:ext xmlns:c16="http://schemas.microsoft.com/office/drawing/2014/chart" uri="{C3380CC4-5D6E-409C-BE32-E72D297353CC}">
                <c16:uniqueId val="{00000008-228D-445B-81D3-169DCE6E1E66}"/>
              </c:ext>
            </c:extLst>
          </c:dPt>
          <c:cat>
            <c:numRef>
              <c:f>Cramond!$D$168:$N$168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Cramond!$D$172:$N$172</c:f>
              <c:numCache>
                <c:formatCode>General</c:formatCode>
                <c:ptCount val="11"/>
                <c:pt idx="5" formatCode="0">
                  <c:v>58</c:v>
                </c:pt>
                <c:pt idx="6" formatCode="0">
                  <c:v>0</c:v>
                </c:pt>
                <c:pt idx="7" formatCode="0">
                  <c:v>62</c:v>
                </c:pt>
                <c:pt idx="8" formatCode="0">
                  <c:v>64</c:v>
                </c:pt>
                <c:pt idx="9" formatCode="0">
                  <c:v>65</c:v>
                </c:pt>
                <c:pt idx="10" formatCode="0">
                  <c:v>56</c:v>
                </c:pt>
              </c:numCache>
            </c:numRef>
          </c:val>
          <c:smooth val="0"/>
          <c:extLst xmlns:c16r2="http://schemas.microsoft.com/office/drawing/2015/06/chart">
            <c:ext xmlns:c16="http://schemas.microsoft.com/office/drawing/2014/chart" uri="{C3380CC4-5D6E-409C-BE32-E72D297353CC}">
              <c16:uniqueId val="{00000009-228D-445B-81D3-169DCE6E1E66}"/>
            </c:ext>
          </c:extLst>
        </c:ser>
        <c:ser>
          <c:idx val="3"/>
          <c:order val="3"/>
          <c:tx>
            <c:strRef>
              <c:f>Cramond!$B$171</c:f>
              <c:strCache>
                <c:ptCount val="1"/>
                <c:pt idx="0">
                  <c:v>Actual P1 Registrations (as of Jan 2016)</c:v>
                </c:pt>
              </c:strCache>
            </c:strRef>
          </c:tx>
          <c:spPr>
            <a:ln w="15875">
              <a:noFill/>
            </a:ln>
          </c:spPr>
          <c:marker>
            <c:symbol val="diamond"/>
            <c:size val="9"/>
            <c:spPr>
              <a:solidFill>
                <a:schemeClr val="tx1"/>
              </a:solidFill>
            </c:spPr>
          </c:marker>
          <c:cat>
            <c:numRef>
              <c:f>Cramond!$D$168:$N$168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Cramond!$D$171:$M$171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228D-445B-81D3-169DCE6E1E66}"/>
            </c:ext>
          </c:extLst>
        </c:ser>
        <c:dLbls>
          <c:showLegendKey val="0"/>
          <c:showVal val="0"/>
          <c:showCatName val="0"/>
          <c:showSerName val="0"/>
          <c:showPercent val="0"/>
          <c:showBubbleSize val="0"/>
        </c:dLbls>
        <c:marker val="1"/>
        <c:smooth val="0"/>
        <c:axId val="312102928"/>
        <c:axId val="312103320"/>
      </c:lineChart>
      <c:catAx>
        <c:axId val="312102928"/>
        <c:scaling>
          <c:orientation val="minMax"/>
        </c:scaling>
        <c:delete val="0"/>
        <c:axPos val="b"/>
        <c:numFmt formatCode="General" sourceLinked="1"/>
        <c:majorTickMark val="out"/>
        <c:minorTickMark val="none"/>
        <c:tickLblPos val="nextTo"/>
        <c:crossAx val="312103320"/>
        <c:crosses val="autoZero"/>
        <c:auto val="1"/>
        <c:lblAlgn val="ctr"/>
        <c:lblOffset val="100"/>
        <c:noMultiLvlLbl val="0"/>
      </c:catAx>
      <c:valAx>
        <c:axId val="312103320"/>
        <c:scaling>
          <c:orientation val="minMax"/>
        </c:scaling>
        <c:delete val="0"/>
        <c:axPos val="l"/>
        <c:majorGridlines/>
        <c:numFmt formatCode="#,##0" sourceLinked="1"/>
        <c:majorTickMark val="out"/>
        <c:minorTickMark val="none"/>
        <c:tickLblPos val="nextTo"/>
        <c:crossAx val="312102928"/>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8939-4798-A46E-2089C2E6FDC4}"/>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12104104"/>
        <c:axId val="312104496"/>
      </c:lineChart>
      <c:catAx>
        <c:axId val="312104104"/>
        <c:scaling>
          <c:orientation val="minMax"/>
        </c:scaling>
        <c:delete val="0"/>
        <c:axPos val="b"/>
        <c:numFmt formatCode="General" sourceLinked="1"/>
        <c:majorTickMark val="out"/>
        <c:minorTickMark val="none"/>
        <c:tickLblPos val="nextTo"/>
        <c:crossAx val="312104496"/>
        <c:crosses val="autoZero"/>
        <c:auto val="1"/>
        <c:lblAlgn val="ctr"/>
        <c:lblOffset val="100"/>
        <c:noMultiLvlLbl val="0"/>
      </c:catAx>
      <c:valAx>
        <c:axId val="312104496"/>
        <c:scaling>
          <c:orientation val="minMax"/>
        </c:scaling>
        <c:delete val="0"/>
        <c:axPos val="l"/>
        <c:majorGridlines/>
        <c:numFmt formatCode="General" sourceLinked="1"/>
        <c:majorTickMark val="out"/>
        <c:minorTickMark val="none"/>
        <c:tickLblPos val="nextTo"/>
        <c:crossAx val="312104104"/>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Currie!$B$177:$B$190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Currie!$J$177:$J$190</c:f>
              <c:numCache>
                <c:formatCode>General</c:formatCode>
                <c:ptCount val="14"/>
                <c:pt idx="0">
                  <c:v>0</c:v>
                </c:pt>
                <c:pt idx="1">
                  <c:v>0</c:v>
                </c:pt>
                <c:pt idx="2">
                  <c:v>0</c:v>
                </c:pt>
                <c:pt idx="3">
                  <c:v>394</c:v>
                </c:pt>
                <c:pt idx="4">
                  <c:v>372</c:v>
                </c:pt>
                <c:pt idx="5">
                  <c:v>353</c:v>
                </c:pt>
                <c:pt idx="6">
                  <c:v>340</c:v>
                </c:pt>
                <c:pt idx="7">
                  <c:v>326</c:v>
                </c:pt>
                <c:pt idx="8">
                  <c:v>324</c:v>
                </c:pt>
                <c:pt idx="9">
                  <c:v>334</c:v>
                </c:pt>
                <c:pt idx="10">
                  <c:v>354</c:v>
                </c:pt>
                <c:pt idx="11">
                  <c:v>373</c:v>
                </c:pt>
                <c:pt idx="12">
                  <c:v>389</c:v>
                </c:pt>
                <c:pt idx="13">
                  <c:v>406</c:v>
                </c:pt>
              </c:numCache>
            </c:numRef>
          </c:val>
          <c:smooth val="0"/>
          <c:extLst xmlns:c16r2="http://schemas.microsoft.com/office/drawing/2015/06/chart">
            <c:ext xmlns:c16="http://schemas.microsoft.com/office/drawing/2014/chart" uri="{C3380CC4-5D6E-409C-BE32-E72D297353CC}">
              <c16:uniqueId val="{00000000-3DED-46AB-9C1B-EAAB7F491402}"/>
            </c:ext>
          </c:extLst>
        </c:ser>
        <c:dLbls>
          <c:showLegendKey val="0"/>
          <c:showVal val="0"/>
          <c:showCatName val="0"/>
          <c:showSerName val="0"/>
          <c:showPercent val="0"/>
          <c:showBubbleSize val="0"/>
        </c:dLbls>
        <c:marker val="1"/>
        <c:smooth val="0"/>
        <c:axId val="312105280"/>
        <c:axId val="312105672"/>
      </c:lineChart>
      <c:catAx>
        <c:axId val="312105280"/>
        <c:scaling>
          <c:orientation val="minMax"/>
        </c:scaling>
        <c:delete val="0"/>
        <c:axPos val="b"/>
        <c:numFmt formatCode="General" sourceLinked="1"/>
        <c:majorTickMark val="out"/>
        <c:minorTickMark val="none"/>
        <c:tickLblPos val="nextTo"/>
        <c:crossAx val="312105672"/>
        <c:crosses val="autoZero"/>
        <c:auto val="1"/>
        <c:lblAlgn val="ctr"/>
        <c:lblOffset val="100"/>
        <c:noMultiLvlLbl val="0"/>
      </c:catAx>
      <c:valAx>
        <c:axId val="312105672"/>
        <c:scaling>
          <c:orientation val="minMax"/>
        </c:scaling>
        <c:delete val="0"/>
        <c:axPos val="l"/>
        <c:majorGridlines/>
        <c:numFmt formatCode="General" sourceLinked="1"/>
        <c:majorTickMark val="out"/>
        <c:minorTickMark val="none"/>
        <c:tickLblPos val="nextTo"/>
        <c:crossAx val="312105280"/>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Currie!$B$169</c:f>
              <c:strCache>
                <c:ptCount val="1"/>
                <c:pt idx="0">
                  <c:v>Catchment Births (5yrs Prior)</c:v>
                </c:pt>
              </c:strCache>
            </c:strRef>
          </c:tx>
          <c:marker>
            <c:symbol val="square"/>
            <c:size val="7"/>
          </c:marker>
          <c:cat>
            <c:numRef>
              <c:f>Currie!$D$168:$N$168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Currie!$D$169:$N$169</c:f>
              <c:numCache>
                <c:formatCode>#,##0</c:formatCode>
                <c:ptCount val="11"/>
                <c:pt idx="0">
                  <c:v>56</c:v>
                </c:pt>
                <c:pt idx="1">
                  <c:v>44</c:v>
                </c:pt>
                <c:pt idx="2">
                  <c:v>53</c:v>
                </c:pt>
                <c:pt idx="3">
                  <c:v>53</c:v>
                </c:pt>
                <c:pt idx="4">
                  <c:v>48</c:v>
                </c:pt>
                <c:pt idx="5">
                  <c:v>48</c:v>
                </c:pt>
                <c:pt idx="6">
                  <c:v>40</c:v>
                </c:pt>
                <c:pt idx="7">
                  <c:v>46</c:v>
                </c:pt>
                <c:pt idx="8">
                  <c:v>52</c:v>
                </c:pt>
                <c:pt idx="9">
                  <c:v>63</c:v>
                </c:pt>
                <c:pt idx="10">
                  <c:v>68</c:v>
                </c:pt>
              </c:numCache>
            </c:numRef>
          </c:val>
          <c:smooth val="0"/>
          <c:extLst xmlns:c16r2="http://schemas.microsoft.com/office/drawing/2015/06/chart">
            <c:ext xmlns:c16="http://schemas.microsoft.com/office/drawing/2014/chart" uri="{C3380CC4-5D6E-409C-BE32-E72D297353CC}">
              <c16:uniqueId val="{00000000-16AC-4331-A052-4019224E4023}"/>
            </c:ext>
          </c:extLst>
        </c:ser>
        <c:ser>
          <c:idx val="1"/>
          <c:order val="1"/>
          <c:tx>
            <c:strRef>
              <c:f>Currie!$B$170</c:f>
              <c:strCache>
                <c:ptCount val="1"/>
                <c:pt idx="0">
                  <c:v>P1 ND Catchment Population (Actual)</c:v>
                </c:pt>
              </c:strCache>
            </c:strRef>
          </c:tx>
          <c:cat>
            <c:numRef>
              <c:f>Currie!$D$168:$N$168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Currie!$D$170:$I$170</c:f>
              <c:numCache>
                <c:formatCode>#,##0</c:formatCode>
                <c:ptCount val="6"/>
                <c:pt idx="0">
                  <c:v>63</c:v>
                </c:pt>
                <c:pt idx="1">
                  <c:v>59</c:v>
                </c:pt>
                <c:pt idx="2">
                  <c:v>59</c:v>
                </c:pt>
                <c:pt idx="3">
                  <c:v>65</c:v>
                </c:pt>
                <c:pt idx="4">
                  <c:v>58</c:v>
                </c:pt>
                <c:pt idx="5">
                  <c:v>67</c:v>
                </c:pt>
              </c:numCache>
            </c:numRef>
          </c:val>
          <c:smooth val="0"/>
          <c:extLst xmlns:c16r2="http://schemas.microsoft.com/office/drawing/2015/06/chart">
            <c:ext xmlns:c16="http://schemas.microsoft.com/office/drawing/2014/chart" uri="{C3380CC4-5D6E-409C-BE32-E72D297353CC}">
              <c16:uniqueId val="{00000001-16AC-4331-A052-4019224E4023}"/>
            </c:ext>
          </c:extLst>
        </c:ser>
        <c:ser>
          <c:idx val="2"/>
          <c:order val="2"/>
          <c:tx>
            <c:strRef>
              <c:f>Currie!$B$172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16AC-4331-A052-4019224E4023}"/>
              </c:ext>
            </c:extLst>
          </c:dPt>
          <c:dPt>
            <c:idx val="5"/>
            <c:marker>
              <c:symbol val="none"/>
            </c:marker>
            <c:bubble3D val="0"/>
            <c:extLst xmlns:c16r2="http://schemas.microsoft.com/office/drawing/2015/06/chart">
              <c:ext xmlns:c16="http://schemas.microsoft.com/office/drawing/2014/chart" uri="{C3380CC4-5D6E-409C-BE32-E72D297353CC}">
                <c16:uniqueId val="{00000003-16AC-4331-A052-4019224E4023}"/>
              </c:ext>
            </c:extLst>
          </c:dPt>
          <c:dPt>
            <c:idx val="6"/>
            <c:marker>
              <c:symbol val="circle"/>
              <c:size val="7"/>
            </c:marker>
            <c:bubble3D val="0"/>
            <c:extLst xmlns:c16r2="http://schemas.microsoft.com/office/drawing/2015/06/chart">
              <c:ext xmlns:c16="http://schemas.microsoft.com/office/drawing/2014/chart" uri="{C3380CC4-5D6E-409C-BE32-E72D297353CC}">
                <c16:uniqueId val="{00000004-16AC-4331-A052-4019224E4023}"/>
              </c:ext>
            </c:extLst>
          </c:dPt>
          <c:dPt>
            <c:idx val="7"/>
            <c:marker>
              <c:symbol val="circle"/>
              <c:size val="7"/>
            </c:marker>
            <c:bubble3D val="0"/>
            <c:extLst xmlns:c16r2="http://schemas.microsoft.com/office/drawing/2015/06/chart">
              <c:ext xmlns:c16="http://schemas.microsoft.com/office/drawing/2014/chart" uri="{C3380CC4-5D6E-409C-BE32-E72D297353CC}">
                <c16:uniqueId val="{00000005-16AC-4331-A052-4019224E4023}"/>
              </c:ext>
            </c:extLst>
          </c:dPt>
          <c:dPt>
            <c:idx val="8"/>
            <c:marker>
              <c:symbol val="circle"/>
              <c:size val="7"/>
            </c:marker>
            <c:bubble3D val="0"/>
            <c:extLst xmlns:c16r2="http://schemas.microsoft.com/office/drawing/2015/06/chart">
              <c:ext xmlns:c16="http://schemas.microsoft.com/office/drawing/2014/chart" uri="{C3380CC4-5D6E-409C-BE32-E72D297353CC}">
                <c16:uniqueId val="{00000006-16AC-4331-A052-4019224E4023}"/>
              </c:ext>
            </c:extLst>
          </c:dPt>
          <c:dPt>
            <c:idx val="9"/>
            <c:marker>
              <c:symbol val="circle"/>
              <c:size val="7"/>
            </c:marker>
            <c:bubble3D val="0"/>
            <c:extLst xmlns:c16r2="http://schemas.microsoft.com/office/drawing/2015/06/chart">
              <c:ext xmlns:c16="http://schemas.microsoft.com/office/drawing/2014/chart" uri="{C3380CC4-5D6E-409C-BE32-E72D297353CC}">
                <c16:uniqueId val="{00000007-16AC-4331-A052-4019224E4023}"/>
              </c:ext>
            </c:extLst>
          </c:dPt>
          <c:dPt>
            <c:idx val="10"/>
            <c:marker>
              <c:symbol val="circle"/>
              <c:size val="7"/>
            </c:marker>
            <c:bubble3D val="0"/>
            <c:extLst xmlns:c16r2="http://schemas.microsoft.com/office/drawing/2015/06/chart">
              <c:ext xmlns:c16="http://schemas.microsoft.com/office/drawing/2014/chart" uri="{C3380CC4-5D6E-409C-BE32-E72D297353CC}">
                <c16:uniqueId val="{00000008-16AC-4331-A052-4019224E4023}"/>
              </c:ext>
            </c:extLst>
          </c:dPt>
          <c:cat>
            <c:numRef>
              <c:f>Currie!$D$168:$N$168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Currie!$D$172:$N$172</c:f>
              <c:numCache>
                <c:formatCode>General</c:formatCode>
                <c:ptCount val="11"/>
                <c:pt idx="5" formatCode="0">
                  <c:v>67</c:v>
                </c:pt>
                <c:pt idx="6" formatCode="0">
                  <c:v>0</c:v>
                </c:pt>
                <c:pt idx="7" formatCode="0">
                  <c:v>94</c:v>
                </c:pt>
                <c:pt idx="8" formatCode="0">
                  <c:v>102</c:v>
                </c:pt>
                <c:pt idx="9" formatCode="0">
                  <c:v>93</c:v>
                </c:pt>
                <c:pt idx="10" formatCode="0">
                  <c:v>90</c:v>
                </c:pt>
              </c:numCache>
            </c:numRef>
          </c:val>
          <c:smooth val="0"/>
          <c:extLst xmlns:c16r2="http://schemas.microsoft.com/office/drawing/2015/06/chart">
            <c:ext xmlns:c16="http://schemas.microsoft.com/office/drawing/2014/chart" uri="{C3380CC4-5D6E-409C-BE32-E72D297353CC}">
              <c16:uniqueId val="{00000009-16AC-4331-A052-4019224E4023}"/>
            </c:ext>
          </c:extLst>
        </c:ser>
        <c:ser>
          <c:idx val="3"/>
          <c:order val="3"/>
          <c:tx>
            <c:strRef>
              <c:f>Currie!$B$171</c:f>
              <c:strCache>
                <c:ptCount val="1"/>
                <c:pt idx="0">
                  <c:v>Actual P1 Registrations (as of Jan 2016)</c:v>
                </c:pt>
              </c:strCache>
            </c:strRef>
          </c:tx>
          <c:spPr>
            <a:ln w="15875">
              <a:noFill/>
            </a:ln>
          </c:spPr>
          <c:marker>
            <c:symbol val="diamond"/>
            <c:size val="9"/>
            <c:spPr>
              <a:solidFill>
                <a:schemeClr val="tx1"/>
              </a:solidFill>
            </c:spPr>
          </c:marker>
          <c:cat>
            <c:numRef>
              <c:f>Currie!$D$168:$N$168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Currie!$D$171:$M$171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16AC-4331-A052-4019224E4023}"/>
            </c:ext>
          </c:extLst>
        </c:ser>
        <c:dLbls>
          <c:showLegendKey val="0"/>
          <c:showVal val="0"/>
          <c:showCatName val="0"/>
          <c:showSerName val="0"/>
          <c:showPercent val="0"/>
          <c:showBubbleSize val="0"/>
        </c:dLbls>
        <c:marker val="1"/>
        <c:smooth val="0"/>
        <c:axId val="312106456"/>
        <c:axId val="312106848"/>
      </c:lineChart>
      <c:catAx>
        <c:axId val="312106456"/>
        <c:scaling>
          <c:orientation val="minMax"/>
        </c:scaling>
        <c:delete val="0"/>
        <c:axPos val="b"/>
        <c:numFmt formatCode="General" sourceLinked="1"/>
        <c:majorTickMark val="out"/>
        <c:minorTickMark val="none"/>
        <c:tickLblPos val="nextTo"/>
        <c:crossAx val="312106848"/>
        <c:crosses val="autoZero"/>
        <c:auto val="1"/>
        <c:lblAlgn val="ctr"/>
        <c:lblOffset val="100"/>
        <c:noMultiLvlLbl val="0"/>
      </c:catAx>
      <c:valAx>
        <c:axId val="312106848"/>
        <c:scaling>
          <c:orientation val="minMax"/>
        </c:scaling>
        <c:delete val="0"/>
        <c:axPos val="l"/>
        <c:majorGridlines/>
        <c:numFmt formatCode="#,##0" sourceLinked="1"/>
        <c:majorTickMark val="out"/>
        <c:minorTickMark val="none"/>
        <c:tickLblPos val="nextTo"/>
        <c:crossAx val="312106456"/>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8F36-421B-A59B-DBEB3A7C6E80}"/>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12108024"/>
        <c:axId val="312108416"/>
      </c:lineChart>
      <c:catAx>
        <c:axId val="312108024"/>
        <c:scaling>
          <c:orientation val="minMax"/>
        </c:scaling>
        <c:delete val="0"/>
        <c:axPos val="b"/>
        <c:numFmt formatCode="General" sourceLinked="1"/>
        <c:majorTickMark val="out"/>
        <c:minorTickMark val="none"/>
        <c:tickLblPos val="nextTo"/>
        <c:crossAx val="312108416"/>
        <c:crosses val="autoZero"/>
        <c:auto val="1"/>
        <c:lblAlgn val="ctr"/>
        <c:lblOffset val="100"/>
        <c:noMultiLvlLbl val="0"/>
      </c:catAx>
      <c:valAx>
        <c:axId val="312108416"/>
        <c:scaling>
          <c:orientation val="minMax"/>
        </c:scaling>
        <c:delete val="0"/>
        <c:axPos val="l"/>
        <c:majorGridlines/>
        <c:numFmt formatCode="General" sourceLinked="1"/>
        <c:majorTickMark val="out"/>
        <c:minorTickMark val="none"/>
        <c:tickLblPos val="nextTo"/>
        <c:crossAx val="312108024"/>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Dalmeny!$B$177:$B$190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Dalmeny!$J$177:$J$190</c:f>
              <c:numCache>
                <c:formatCode>General</c:formatCode>
                <c:ptCount val="14"/>
                <c:pt idx="0">
                  <c:v>93</c:v>
                </c:pt>
                <c:pt idx="1">
                  <c:v>107</c:v>
                </c:pt>
                <c:pt idx="2">
                  <c:v>103</c:v>
                </c:pt>
                <c:pt idx="3">
                  <c:v>107</c:v>
                </c:pt>
                <c:pt idx="4">
                  <c:v>105</c:v>
                </c:pt>
                <c:pt idx="5">
                  <c:v>102</c:v>
                </c:pt>
                <c:pt idx="6">
                  <c:v>108</c:v>
                </c:pt>
                <c:pt idx="7">
                  <c:v>114</c:v>
                </c:pt>
                <c:pt idx="8">
                  <c:v>107</c:v>
                </c:pt>
                <c:pt idx="9">
                  <c:v>103</c:v>
                </c:pt>
                <c:pt idx="10">
                  <c:v>105</c:v>
                </c:pt>
                <c:pt idx="11">
                  <c:v>98</c:v>
                </c:pt>
                <c:pt idx="12">
                  <c:v>111</c:v>
                </c:pt>
                <c:pt idx="13">
                  <c:v>104</c:v>
                </c:pt>
              </c:numCache>
            </c:numRef>
          </c:val>
          <c:smooth val="0"/>
          <c:extLst xmlns:c16r2="http://schemas.microsoft.com/office/drawing/2015/06/chart">
            <c:ext xmlns:c16="http://schemas.microsoft.com/office/drawing/2014/chart" uri="{C3380CC4-5D6E-409C-BE32-E72D297353CC}">
              <c16:uniqueId val="{00000000-0A20-43AD-B753-7BAE4646883C}"/>
            </c:ext>
          </c:extLst>
        </c:ser>
        <c:dLbls>
          <c:showLegendKey val="0"/>
          <c:showVal val="0"/>
          <c:showCatName val="0"/>
          <c:showSerName val="0"/>
          <c:showPercent val="0"/>
          <c:showBubbleSize val="0"/>
        </c:dLbls>
        <c:marker val="1"/>
        <c:smooth val="0"/>
        <c:axId val="312109200"/>
        <c:axId val="312109592"/>
      </c:lineChart>
      <c:catAx>
        <c:axId val="312109200"/>
        <c:scaling>
          <c:orientation val="minMax"/>
        </c:scaling>
        <c:delete val="0"/>
        <c:axPos val="b"/>
        <c:numFmt formatCode="General" sourceLinked="1"/>
        <c:majorTickMark val="out"/>
        <c:minorTickMark val="none"/>
        <c:tickLblPos val="nextTo"/>
        <c:crossAx val="312109592"/>
        <c:crosses val="autoZero"/>
        <c:auto val="1"/>
        <c:lblAlgn val="ctr"/>
        <c:lblOffset val="100"/>
        <c:noMultiLvlLbl val="0"/>
      </c:catAx>
      <c:valAx>
        <c:axId val="312109592"/>
        <c:scaling>
          <c:orientation val="minMax"/>
        </c:scaling>
        <c:delete val="0"/>
        <c:axPos val="l"/>
        <c:majorGridlines/>
        <c:numFmt formatCode="General" sourceLinked="1"/>
        <c:majorTickMark val="out"/>
        <c:minorTickMark val="none"/>
        <c:tickLblPos val="nextTo"/>
        <c:crossAx val="312109200"/>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Dalmeny!$B$169</c:f>
              <c:strCache>
                <c:ptCount val="1"/>
                <c:pt idx="0">
                  <c:v>Catchment Births (5yrs Prior)</c:v>
                </c:pt>
              </c:strCache>
            </c:strRef>
          </c:tx>
          <c:marker>
            <c:symbol val="square"/>
            <c:size val="7"/>
          </c:marker>
          <c:cat>
            <c:numRef>
              <c:f>Dalmeny!$D$168:$N$168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Dalmeny!$D$169:$N$169</c:f>
              <c:numCache>
                <c:formatCode>#,##0</c:formatCode>
                <c:ptCount val="11"/>
                <c:pt idx="0">
                  <c:v>7</c:v>
                </c:pt>
                <c:pt idx="1">
                  <c:v>7</c:v>
                </c:pt>
                <c:pt idx="2">
                  <c:v>8</c:v>
                </c:pt>
                <c:pt idx="3">
                  <c:v>12</c:v>
                </c:pt>
                <c:pt idx="4">
                  <c:v>4</c:v>
                </c:pt>
                <c:pt idx="5">
                  <c:v>19</c:v>
                </c:pt>
                <c:pt idx="6">
                  <c:v>9</c:v>
                </c:pt>
                <c:pt idx="7">
                  <c:v>9</c:v>
                </c:pt>
                <c:pt idx="8">
                  <c:v>11</c:v>
                </c:pt>
                <c:pt idx="9">
                  <c:v>8</c:v>
                </c:pt>
                <c:pt idx="10">
                  <c:v>13</c:v>
                </c:pt>
              </c:numCache>
            </c:numRef>
          </c:val>
          <c:smooth val="0"/>
          <c:extLst xmlns:c16r2="http://schemas.microsoft.com/office/drawing/2015/06/chart">
            <c:ext xmlns:c16="http://schemas.microsoft.com/office/drawing/2014/chart" uri="{C3380CC4-5D6E-409C-BE32-E72D297353CC}">
              <c16:uniqueId val="{00000000-9D5B-4141-AC8E-EF0E513A5082}"/>
            </c:ext>
          </c:extLst>
        </c:ser>
        <c:ser>
          <c:idx val="1"/>
          <c:order val="1"/>
          <c:tx>
            <c:strRef>
              <c:f>Dalmeny!$B$170</c:f>
              <c:strCache>
                <c:ptCount val="1"/>
                <c:pt idx="0">
                  <c:v>P1 ND Catchment Population (Actual)</c:v>
                </c:pt>
              </c:strCache>
            </c:strRef>
          </c:tx>
          <c:cat>
            <c:numRef>
              <c:f>Dalmeny!$D$168:$N$168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Dalmeny!$D$170:$I$170</c:f>
              <c:numCache>
                <c:formatCode>#,##0</c:formatCode>
                <c:ptCount val="6"/>
                <c:pt idx="0">
                  <c:v>6</c:v>
                </c:pt>
                <c:pt idx="1">
                  <c:v>9</c:v>
                </c:pt>
                <c:pt idx="2">
                  <c:v>12</c:v>
                </c:pt>
                <c:pt idx="3">
                  <c:v>7</c:v>
                </c:pt>
                <c:pt idx="4">
                  <c:v>10</c:v>
                </c:pt>
                <c:pt idx="5">
                  <c:v>5</c:v>
                </c:pt>
              </c:numCache>
            </c:numRef>
          </c:val>
          <c:smooth val="0"/>
          <c:extLst xmlns:c16r2="http://schemas.microsoft.com/office/drawing/2015/06/chart">
            <c:ext xmlns:c16="http://schemas.microsoft.com/office/drawing/2014/chart" uri="{C3380CC4-5D6E-409C-BE32-E72D297353CC}">
              <c16:uniqueId val="{00000001-9D5B-4141-AC8E-EF0E513A5082}"/>
            </c:ext>
          </c:extLst>
        </c:ser>
        <c:ser>
          <c:idx val="2"/>
          <c:order val="2"/>
          <c:tx>
            <c:strRef>
              <c:f>Dalmeny!$B$172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9D5B-4141-AC8E-EF0E513A5082}"/>
              </c:ext>
            </c:extLst>
          </c:dPt>
          <c:dPt>
            <c:idx val="5"/>
            <c:marker>
              <c:symbol val="none"/>
            </c:marker>
            <c:bubble3D val="0"/>
            <c:extLst xmlns:c16r2="http://schemas.microsoft.com/office/drawing/2015/06/chart">
              <c:ext xmlns:c16="http://schemas.microsoft.com/office/drawing/2014/chart" uri="{C3380CC4-5D6E-409C-BE32-E72D297353CC}">
                <c16:uniqueId val="{00000003-9D5B-4141-AC8E-EF0E513A5082}"/>
              </c:ext>
            </c:extLst>
          </c:dPt>
          <c:dPt>
            <c:idx val="6"/>
            <c:marker>
              <c:symbol val="circle"/>
              <c:size val="7"/>
            </c:marker>
            <c:bubble3D val="0"/>
            <c:extLst xmlns:c16r2="http://schemas.microsoft.com/office/drawing/2015/06/chart">
              <c:ext xmlns:c16="http://schemas.microsoft.com/office/drawing/2014/chart" uri="{C3380CC4-5D6E-409C-BE32-E72D297353CC}">
                <c16:uniqueId val="{00000004-9D5B-4141-AC8E-EF0E513A5082}"/>
              </c:ext>
            </c:extLst>
          </c:dPt>
          <c:dPt>
            <c:idx val="7"/>
            <c:marker>
              <c:symbol val="circle"/>
              <c:size val="7"/>
            </c:marker>
            <c:bubble3D val="0"/>
            <c:extLst xmlns:c16r2="http://schemas.microsoft.com/office/drawing/2015/06/chart">
              <c:ext xmlns:c16="http://schemas.microsoft.com/office/drawing/2014/chart" uri="{C3380CC4-5D6E-409C-BE32-E72D297353CC}">
                <c16:uniqueId val="{00000005-9D5B-4141-AC8E-EF0E513A5082}"/>
              </c:ext>
            </c:extLst>
          </c:dPt>
          <c:dPt>
            <c:idx val="8"/>
            <c:marker>
              <c:symbol val="circle"/>
              <c:size val="7"/>
            </c:marker>
            <c:bubble3D val="0"/>
            <c:extLst xmlns:c16r2="http://schemas.microsoft.com/office/drawing/2015/06/chart">
              <c:ext xmlns:c16="http://schemas.microsoft.com/office/drawing/2014/chart" uri="{C3380CC4-5D6E-409C-BE32-E72D297353CC}">
                <c16:uniqueId val="{00000006-9D5B-4141-AC8E-EF0E513A5082}"/>
              </c:ext>
            </c:extLst>
          </c:dPt>
          <c:dPt>
            <c:idx val="9"/>
            <c:marker>
              <c:symbol val="circle"/>
              <c:size val="7"/>
            </c:marker>
            <c:bubble3D val="0"/>
            <c:extLst xmlns:c16r2="http://schemas.microsoft.com/office/drawing/2015/06/chart">
              <c:ext xmlns:c16="http://schemas.microsoft.com/office/drawing/2014/chart" uri="{C3380CC4-5D6E-409C-BE32-E72D297353CC}">
                <c16:uniqueId val="{00000007-9D5B-4141-AC8E-EF0E513A5082}"/>
              </c:ext>
            </c:extLst>
          </c:dPt>
          <c:dPt>
            <c:idx val="10"/>
            <c:marker>
              <c:symbol val="circle"/>
              <c:size val="7"/>
            </c:marker>
            <c:bubble3D val="0"/>
            <c:extLst xmlns:c16r2="http://schemas.microsoft.com/office/drawing/2015/06/chart">
              <c:ext xmlns:c16="http://schemas.microsoft.com/office/drawing/2014/chart" uri="{C3380CC4-5D6E-409C-BE32-E72D297353CC}">
                <c16:uniqueId val="{00000008-9D5B-4141-AC8E-EF0E513A5082}"/>
              </c:ext>
            </c:extLst>
          </c:dPt>
          <c:cat>
            <c:numRef>
              <c:f>Dalmeny!$D$168:$N$168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Dalmeny!$D$172:$N$172</c:f>
              <c:numCache>
                <c:formatCode>General</c:formatCode>
                <c:ptCount val="11"/>
                <c:pt idx="5" formatCode="0">
                  <c:v>5</c:v>
                </c:pt>
                <c:pt idx="6" formatCode="0">
                  <c:v>0</c:v>
                </c:pt>
                <c:pt idx="7" formatCode="0">
                  <c:v>10</c:v>
                </c:pt>
                <c:pt idx="8" formatCode="0">
                  <c:v>14</c:v>
                </c:pt>
                <c:pt idx="9" formatCode="0">
                  <c:v>19</c:v>
                </c:pt>
                <c:pt idx="10" formatCode="0">
                  <c:v>27</c:v>
                </c:pt>
              </c:numCache>
            </c:numRef>
          </c:val>
          <c:smooth val="0"/>
          <c:extLst xmlns:c16r2="http://schemas.microsoft.com/office/drawing/2015/06/chart">
            <c:ext xmlns:c16="http://schemas.microsoft.com/office/drawing/2014/chart" uri="{C3380CC4-5D6E-409C-BE32-E72D297353CC}">
              <c16:uniqueId val="{00000009-9D5B-4141-AC8E-EF0E513A5082}"/>
            </c:ext>
          </c:extLst>
        </c:ser>
        <c:ser>
          <c:idx val="3"/>
          <c:order val="3"/>
          <c:tx>
            <c:strRef>
              <c:f>Dalmeny!$B$171</c:f>
              <c:strCache>
                <c:ptCount val="1"/>
                <c:pt idx="0">
                  <c:v>Actual P1 Registrations (as of Jan 2016)</c:v>
                </c:pt>
              </c:strCache>
            </c:strRef>
          </c:tx>
          <c:spPr>
            <a:ln w="15875">
              <a:noFill/>
            </a:ln>
          </c:spPr>
          <c:marker>
            <c:symbol val="diamond"/>
            <c:size val="9"/>
            <c:spPr>
              <a:solidFill>
                <a:schemeClr val="tx1"/>
              </a:solidFill>
            </c:spPr>
          </c:marker>
          <c:cat>
            <c:numRef>
              <c:f>Dalmeny!$D$168:$N$168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Dalmeny!$D$171:$M$171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9D5B-4141-AC8E-EF0E513A5082}"/>
            </c:ext>
          </c:extLst>
        </c:ser>
        <c:dLbls>
          <c:showLegendKey val="0"/>
          <c:showVal val="0"/>
          <c:showCatName val="0"/>
          <c:showSerName val="0"/>
          <c:showPercent val="0"/>
          <c:showBubbleSize val="0"/>
        </c:dLbls>
        <c:marker val="1"/>
        <c:smooth val="0"/>
        <c:axId val="314227984"/>
        <c:axId val="314228376"/>
      </c:lineChart>
      <c:catAx>
        <c:axId val="314227984"/>
        <c:scaling>
          <c:orientation val="minMax"/>
        </c:scaling>
        <c:delete val="0"/>
        <c:axPos val="b"/>
        <c:numFmt formatCode="General" sourceLinked="1"/>
        <c:majorTickMark val="out"/>
        <c:minorTickMark val="none"/>
        <c:tickLblPos val="nextTo"/>
        <c:crossAx val="314228376"/>
        <c:crosses val="autoZero"/>
        <c:auto val="1"/>
        <c:lblAlgn val="ctr"/>
        <c:lblOffset val="100"/>
        <c:noMultiLvlLbl val="0"/>
      </c:catAx>
      <c:valAx>
        <c:axId val="314228376"/>
        <c:scaling>
          <c:orientation val="minMax"/>
        </c:scaling>
        <c:delete val="0"/>
        <c:axPos val="l"/>
        <c:majorGridlines/>
        <c:numFmt formatCode="#,##0" sourceLinked="1"/>
        <c:majorTickMark val="out"/>
        <c:minorTickMark val="none"/>
        <c:tickLblPos val="nextTo"/>
        <c:crossAx val="314227984"/>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9088-44C4-B760-F22AD3C9619E}"/>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14229160"/>
        <c:axId val="314229552"/>
      </c:lineChart>
      <c:catAx>
        <c:axId val="314229160"/>
        <c:scaling>
          <c:orientation val="minMax"/>
        </c:scaling>
        <c:delete val="0"/>
        <c:axPos val="b"/>
        <c:numFmt formatCode="General" sourceLinked="1"/>
        <c:majorTickMark val="out"/>
        <c:minorTickMark val="none"/>
        <c:tickLblPos val="nextTo"/>
        <c:crossAx val="314229552"/>
        <c:crosses val="autoZero"/>
        <c:auto val="1"/>
        <c:lblAlgn val="ctr"/>
        <c:lblOffset val="100"/>
        <c:noMultiLvlLbl val="0"/>
      </c:catAx>
      <c:valAx>
        <c:axId val="314229552"/>
        <c:scaling>
          <c:orientation val="minMax"/>
        </c:scaling>
        <c:delete val="0"/>
        <c:axPos val="l"/>
        <c:majorGridlines/>
        <c:numFmt formatCode="General" sourceLinked="1"/>
        <c:majorTickMark val="out"/>
        <c:minorTickMark val="none"/>
        <c:tickLblPos val="nextTo"/>
        <c:crossAx val="314229160"/>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Dalry!$B$177:$B$190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Dalry!$J$177:$J$190</c:f>
              <c:numCache>
                <c:formatCode>General</c:formatCode>
                <c:ptCount val="14"/>
                <c:pt idx="0">
                  <c:v>221</c:v>
                </c:pt>
                <c:pt idx="1">
                  <c:v>212</c:v>
                </c:pt>
                <c:pt idx="2">
                  <c:v>235</c:v>
                </c:pt>
                <c:pt idx="3">
                  <c:v>235</c:v>
                </c:pt>
                <c:pt idx="4">
                  <c:v>241</c:v>
                </c:pt>
                <c:pt idx="5">
                  <c:v>246</c:v>
                </c:pt>
                <c:pt idx="6">
                  <c:v>252</c:v>
                </c:pt>
                <c:pt idx="7">
                  <c:v>247</c:v>
                </c:pt>
                <c:pt idx="8">
                  <c:v>256</c:v>
                </c:pt>
                <c:pt idx="9">
                  <c:v>255</c:v>
                </c:pt>
                <c:pt idx="10">
                  <c:v>277</c:v>
                </c:pt>
                <c:pt idx="11">
                  <c:v>277</c:v>
                </c:pt>
                <c:pt idx="12">
                  <c:v>267</c:v>
                </c:pt>
                <c:pt idx="13">
                  <c:v>264</c:v>
                </c:pt>
              </c:numCache>
            </c:numRef>
          </c:val>
          <c:smooth val="0"/>
          <c:extLst xmlns:c16r2="http://schemas.microsoft.com/office/drawing/2015/06/chart">
            <c:ext xmlns:c16="http://schemas.microsoft.com/office/drawing/2014/chart" uri="{C3380CC4-5D6E-409C-BE32-E72D297353CC}">
              <c16:uniqueId val="{00000000-CB9A-480A-A349-B908622380C2}"/>
            </c:ext>
          </c:extLst>
        </c:ser>
        <c:dLbls>
          <c:showLegendKey val="0"/>
          <c:showVal val="0"/>
          <c:showCatName val="0"/>
          <c:showSerName val="0"/>
          <c:showPercent val="0"/>
          <c:showBubbleSize val="0"/>
        </c:dLbls>
        <c:marker val="1"/>
        <c:smooth val="0"/>
        <c:axId val="314230336"/>
        <c:axId val="314230728"/>
      </c:lineChart>
      <c:catAx>
        <c:axId val="314230336"/>
        <c:scaling>
          <c:orientation val="minMax"/>
        </c:scaling>
        <c:delete val="0"/>
        <c:axPos val="b"/>
        <c:numFmt formatCode="General" sourceLinked="1"/>
        <c:majorTickMark val="out"/>
        <c:minorTickMark val="none"/>
        <c:tickLblPos val="nextTo"/>
        <c:crossAx val="314230728"/>
        <c:crosses val="autoZero"/>
        <c:auto val="1"/>
        <c:lblAlgn val="ctr"/>
        <c:lblOffset val="100"/>
        <c:noMultiLvlLbl val="0"/>
      </c:catAx>
      <c:valAx>
        <c:axId val="314230728"/>
        <c:scaling>
          <c:orientation val="minMax"/>
        </c:scaling>
        <c:delete val="0"/>
        <c:axPos val="l"/>
        <c:majorGridlines/>
        <c:numFmt formatCode="General" sourceLinked="1"/>
        <c:majorTickMark val="out"/>
        <c:minorTickMark val="none"/>
        <c:tickLblPos val="nextTo"/>
        <c:crossAx val="314230336"/>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Dalry!$B$169</c:f>
              <c:strCache>
                <c:ptCount val="1"/>
                <c:pt idx="0">
                  <c:v>Catchment Births (5yrs Prior)</c:v>
                </c:pt>
              </c:strCache>
            </c:strRef>
          </c:tx>
          <c:marker>
            <c:symbol val="square"/>
            <c:size val="7"/>
          </c:marker>
          <c:cat>
            <c:numRef>
              <c:f>Dalry!$D$168:$N$168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Dalry!$D$169:$N$169</c:f>
              <c:numCache>
                <c:formatCode>#,##0</c:formatCode>
                <c:ptCount val="11"/>
                <c:pt idx="0">
                  <c:v>94</c:v>
                </c:pt>
                <c:pt idx="1">
                  <c:v>104</c:v>
                </c:pt>
                <c:pt idx="2">
                  <c:v>114</c:v>
                </c:pt>
                <c:pt idx="3">
                  <c:v>115</c:v>
                </c:pt>
                <c:pt idx="4">
                  <c:v>118</c:v>
                </c:pt>
                <c:pt idx="5">
                  <c:v>145</c:v>
                </c:pt>
                <c:pt idx="6">
                  <c:v>134</c:v>
                </c:pt>
                <c:pt idx="7">
                  <c:v>142</c:v>
                </c:pt>
                <c:pt idx="8">
                  <c:v>121</c:v>
                </c:pt>
                <c:pt idx="9">
                  <c:v>104</c:v>
                </c:pt>
                <c:pt idx="10">
                  <c:v>141</c:v>
                </c:pt>
              </c:numCache>
            </c:numRef>
          </c:val>
          <c:smooth val="0"/>
          <c:extLst xmlns:c16r2="http://schemas.microsoft.com/office/drawing/2015/06/chart">
            <c:ext xmlns:c16="http://schemas.microsoft.com/office/drawing/2014/chart" uri="{C3380CC4-5D6E-409C-BE32-E72D297353CC}">
              <c16:uniqueId val="{00000000-BF4B-43BC-B1C0-F8900C2B15CF}"/>
            </c:ext>
          </c:extLst>
        </c:ser>
        <c:ser>
          <c:idx val="1"/>
          <c:order val="1"/>
          <c:tx>
            <c:strRef>
              <c:f>Dalry!$B$170</c:f>
              <c:strCache>
                <c:ptCount val="1"/>
                <c:pt idx="0">
                  <c:v>P1 ND Catchment Population (Actual)</c:v>
                </c:pt>
              </c:strCache>
            </c:strRef>
          </c:tx>
          <c:cat>
            <c:numRef>
              <c:f>Dalry!$D$168:$N$168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Dalry!$D$170:$I$170</c:f>
              <c:numCache>
                <c:formatCode>#,##0</c:formatCode>
                <c:ptCount val="6"/>
                <c:pt idx="0">
                  <c:v>32</c:v>
                </c:pt>
                <c:pt idx="1">
                  <c:v>58</c:v>
                </c:pt>
                <c:pt idx="2">
                  <c:v>41</c:v>
                </c:pt>
                <c:pt idx="3">
                  <c:v>35</c:v>
                </c:pt>
                <c:pt idx="4">
                  <c:v>45</c:v>
                </c:pt>
                <c:pt idx="5">
                  <c:v>43</c:v>
                </c:pt>
              </c:numCache>
            </c:numRef>
          </c:val>
          <c:smooth val="0"/>
          <c:extLst xmlns:c16r2="http://schemas.microsoft.com/office/drawing/2015/06/chart">
            <c:ext xmlns:c16="http://schemas.microsoft.com/office/drawing/2014/chart" uri="{C3380CC4-5D6E-409C-BE32-E72D297353CC}">
              <c16:uniqueId val="{00000001-BF4B-43BC-B1C0-F8900C2B15CF}"/>
            </c:ext>
          </c:extLst>
        </c:ser>
        <c:ser>
          <c:idx val="2"/>
          <c:order val="2"/>
          <c:tx>
            <c:strRef>
              <c:f>Dalry!$B$172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BF4B-43BC-B1C0-F8900C2B15CF}"/>
              </c:ext>
            </c:extLst>
          </c:dPt>
          <c:dPt>
            <c:idx val="5"/>
            <c:marker>
              <c:symbol val="none"/>
            </c:marker>
            <c:bubble3D val="0"/>
            <c:extLst xmlns:c16r2="http://schemas.microsoft.com/office/drawing/2015/06/chart">
              <c:ext xmlns:c16="http://schemas.microsoft.com/office/drawing/2014/chart" uri="{C3380CC4-5D6E-409C-BE32-E72D297353CC}">
                <c16:uniqueId val="{00000003-BF4B-43BC-B1C0-F8900C2B15CF}"/>
              </c:ext>
            </c:extLst>
          </c:dPt>
          <c:dPt>
            <c:idx val="6"/>
            <c:marker>
              <c:symbol val="circle"/>
              <c:size val="7"/>
            </c:marker>
            <c:bubble3D val="0"/>
            <c:extLst xmlns:c16r2="http://schemas.microsoft.com/office/drawing/2015/06/chart">
              <c:ext xmlns:c16="http://schemas.microsoft.com/office/drawing/2014/chart" uri="{C3380CC4-5D6E-409C-BE32-E72D297353CC}">
                <c16:uniqueId val="{00000004-BF4B-43BC-B1C0-F8900C2B15CF}"/>
              </c:ext>
            </c:extLst>
          </c:dPt>
          <c:dPt>
            <c:idx val="7"/>
            <c:marker>
              <c:symbol val="circle"/>
              <c:size val="7"/>
            </c:marker>
            <c:bubble3D val="0"/>
            <c:extLst xmlns:c16r2="http://schemas.microsoft.com/office/drawing/2015/06/chart">
              <c:ext xmlns:c16="http://schemas.microsoft.com/office/drawing/2014/chart" uri="{C3380CC4-5D6E-409C-BE32-E72D297353CC}">
                <c16:uniqueId val="{00000005-BF4B-43BC-B1C0-F8900C2B15CF}"/>
              </c:ext>
            </c:extLst>
          </c:dPt>
          <c:dPt>
            <c:idx val="8"/>
            <c:marker>
              <c:symbol val="circle"/>
              <c:size val="7"/>
            </c:marker>
            <c:bubble3D val="0"/>
            <c:extLst xmlns:c16r2="http://schemas.microsoft.com/office/drawing/2015/06/chart">
              <c:ext xmlns:c16="http://schemas.microsoft.com/office/drawing/2014/chart" uri="{C3380CC4-5D6E-409C-BE32-E72D297353CC}">
                <c16:uniqueId val="{00000006-BF4B-43BC-B1C0-F8900C2B15CF}"/>
              </c:ext>
            </c:extLst>
          </c:dPt>
          <c:dPt>
            <c:idx val="9"/>
            <c:marker>
              <c:symbol val="circle"/>
              <c:size val="7"/>
            </c:marker>
            <c:bubble3D val="0"/>
            <c:extLst xmlns:c16r2="http://schemas.microsoft.com/office/drawing/2015/06/chart">
              <c:ext xmlns:c16="http://schemas.microsoft.com/office/drawing/2014/chart" uri="{C3380CC4-5D6E-409C-BE32-E72D297353CC}">
                <c16:uniqueId val="{00000007-BF4B-43BC-B1C0-F8900C2B15CF}"/>
              </c:ext>
            </c:extLst>
          </c:dPt>
          <c:dPt>
            <c:idx val="10"/>
            <c:marker>
              <c:symbol val="circle"/>
              <c:size val="7"/>
            </c:marker>
            <c:bubble3D val="0"/>
            <c:extLst xmlns:c16r2="http://schemas.microsoft.com/office/drawing/2015/06/chart">
              <c:ext xmlns:c16="http://schemas.microsoft.com/office/drawing/2014/chart" uri="{C3380CC4-5D6E-409C-BE32-E72D297353CC}">
                <c16:uniqueId val="{00000008-BF4B-43BC-B1C0-F8900C2B15CF}"/>
              </c:ext>
            </c:extLst>
          </c:dPt>
          <c:cat>
            <c:numRef>
              <c:f>Dalry!$D$168:$N$168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Dalry!$D$172:$N$172</c:f>
              <c:numCache>
                <c:formatCode>General</c:formatCode>
                <c:ptCount val="11"/>
                <c:pt idx="5" formatCode="0">
                  <c:v>43</c:v>
                </c:pt>
                <c:pt idx="6" formatCode="0">
                  <c:v>0</c:v>
                </c:pt>
                <c:pt idx="7" formatCode="0">
                  <c:v>38</c:v>
                </c:pt>
                <c:pt idx="8" formatCode="0">
                  <c:v>53</c:v>
                </c:pt>
                <c:pt idx="9" formatCode="0">
                  <c:v>49</c:v>
                </c:pt>
                <c:pt idx="10" formatCode="0">
                  <c:v>43</c:v>
                </c:pt>
              </c:numCache>
            </c:numRef>
          </c:val>
          <c:smooth val="0"/>
          <c:extLst xmlns:c16r2="http://schemas.microsoft.com/office/drawing/2015/06/chart">
            <c:ext xmlns:c16="http://schemas.microsoft.com/office/drawing/2014/chart" uri="{C3380CC4-5D6E-409C-BE32-E72D297353CC}">
              <c16:uniqueId val="{00000009-BF4B-43BC-B1C0-F8900C2B15CF}"/>
            </c:ext>
          </c:extLst>
        </c:ser>
        <c:ser>
          <c:idx val="3"/>
          <c:order val="3"/>
          <c:tx>
            <c:strRef>
              <c:f>Dalry!$B$171</c:f>
              <c:strCache>
                <c:ptCount val="1"/>
                <c:pt idx="0">
                  <c:v>Actual P1 Registrations (as of Jan 2016)</c:v>
                </c:pt>
              </c:strCache>
            </c:strRef>
          </c:tx>
          <c:spPr>
            <a:ln w="15875">
              <a:noFill/>
            </a:ln>
          </c:spPr>
          <c:marker>
            <c:symbol val="diamond"/>
            <c:size val="9"/>
            <c:spPr>
              <a:solidFill>
                <a:schemeClr val="tx1"/>
              </a:solidFill>
            </c:spPr>
          </c:marker>
          <c:cat>
            <c:numRef>
              <c:f>Dalry!$D$168:$N$168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Dalry!$D$171:$M$171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BF4B-43BC-B1C0-F8900C2B15CF}"/>
            </c:ext>
          </c:extLst>
        </c:ser>
        <c:dLbls>
          <c:showLegendKey val="0"/>
          <c:showVal val="0"/>
          <c:showCatName val="0"/>
          <c:showSerName val="0"/>
          <c:showPercent val="0"/>
          <c:showBubbleSize val="0"/>
        </c:dLbls>
        <c:marker val="1"/>
        <c:smooth val="0"/>
        <c:axId val="314231512"/>
        <c:axId val="314231904"/>
      </c:lineChart>
      <c:catAx>
        <c:axId val="314231512"/>
        <c:scaling>
          <c:orientation val="minMax"/>
        </c:scaling>
        <c:delete val="0"/>
        <c:axPos val="b"/>
        <c:numFmt formatCode="General" sourceLinked="1"/>
        <c:majorTickMark val="out"/>
        <c:minorTickMark val="none"/>
        <c:tickLblPos val="nextTo"/>
        <c:crossAx val="314231904"/>
        <c:crosses val="autoZero"/>
        <c:auto val="1"/>
        <c:lblAlgn val="ctr"/>
        <c:lblOffset val="100"/>
        <c:noMultiLvlLbl val="0"/>
      </c:catAx>
      <c:valAx>
        <c:axId val="314231904"/>
        <c:scaling>
          <c:orientation val="minMax"/>
        </c:scaling>
        <c:delete val="0"/>
        <c:axPos val="l"/>
        <c:majorGridlines/>
        <c:numFmt formatCode="#,##0" sourceLinked="1"/>
        <c:majorTickMark val="out"/>
        <c:minorTickMark val="none"/>
        <c:tickLblPos val="nextTo"/>
        <c:crossAx val="314231512"/>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D117-46ED-AB71-4156C68B26C0}"/>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14232688"/>
        <c:axId val="314233080"/>
      </c:lineChart>
      <c:catAx>
        <c:axId val="314232688"/>
        <c:scaling>
          <c:orientation val="minMax"/>
        </c:scaling>
        <c:delete val="0"/>
        <c:axPos val="b"/>
        <c:numFmt formatCode="General" sourceLinked="1"/>
        <c:majorTickMark val="out"/>
        <c:minorTickMark val="none"/>
        <c:tickLblPos val="nextTo"/>
        <c:crossAx val="314233080"/>
        <c:crosses val="autoZero"/>
        <c:auto val="1"/>
        <c:lblAlgn val="ctr"/>
        <c:lblOffset val="100"/>
        <c:noMultiLvlLbl val="0"/>
      </c:catAx>
      <c:valAx>
        <c:axId val="314233080"/>
        <c:scaling>
          <c:orientation val="minMax"/>
        </c:scaling>
        <c:delete val="0"/>
        <c:axPos val="l"/>
        <c:majorGridlines/>
        <c:numFmt formatCode="General" sourceLinked="1"/>
        <c:majorTickMark val="out"/>
        <c:minorTickMark val="none"/>
        <c:tickLblPos val="nextTo"/>
        <c:crossAx val="314232688"/>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'Davidsons Mains'!$B$177:$B$190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'Davidsons Mains'!$J$177:$J$190</c:f>
              <c:numCache>
                <c:formatCode>General</c:formatCode>
                <c:ptCount val="14"/>
                <c:pt idx="0">
                  <c:v>612</c:v>
                </c:pt>
                <c:pt idx="1">
                  <c:v>583</c:v>
                </c:pt>
                <c:pt idx="2">
                  <c:v>581</c:v>
                </c:pt>
                <c:pt idx="3">
                  <c:v>535</c:v>
                </c:pt>
                <c:pt idx="4">
                  <c:v>505</c:v>
                </c:pt>
                <c:pt idx="5">
                  <c:v>479</c:v>
                </c:pt>
                <c:pt idx="6">
                  <c:v>451</c:v>
                </c:pt>
                <c:pt idx="7">
                  <c:v>442</c:v>
                </c:pt>
                <c:pt idx="8">
                  <c:v>463</c:v>
                </c:pt>
                <c:pt idx="9">
                  <c:v>453</c:v>
                </c:pt>
                <c:pt idx="10">
                  <c:v>469</c:v>
                </c:pt>
                <c:pt idx="11">
                  <c:v>488</c:v>
                </c:pt>
                <c:pt idx="12">
                  <c:v>505</c:v>
                </c:pt>
                <c:pt idx="13">
                  <c:v>543</c:v>
                </c:pt>
              </c:numCache>
            </c:numRef>
          </c:val>
          <c:smooth val="0"/>
          <c:extLst xmlns:c16r2="http://schemas.microsoft.com/office/drawing/2015/06/chart">
            <c:ext xmlns:c16="http://schemas.microsoft.com/office/drawing/2014/chart" uri="{C3380CC4-5D6E-409C-BE32-E72D297353CC}">
              <c16:uniqueId val="{00000000-AE36-4FF4-9239-A3F0BFA26775}"/>
            </c:ext>
          </c:extLst>
        </c:ser>
        <c:dLbls>
          <c:showLegendKey val="0"/>
          <c:showVal val="0"/>
          <c:showCatName val="0"/>
          <c:showSerName val="0"/>
          <c:showPercent val="0"/>
          <c:showBubbleSize val="0"/>
        </c:dLbls>
        <c:marker val="1"/>
        <c:smooth val="0"/>
        <c:axId val="314233864"/>
        <c:axId val="314234256"/>
      </c:lineChart>
      <c:catAx>
        <c:axId val="314233864"/>
        <c:scaling>
          <c:orientation val="minMax"/>
        </c:scaling>
        <c:delete val="0"/>
        <c:axPos val="b"/>
        <c:numFmt formatCode="General" sourceLinked="1"/>
        <c:majorTickMark val="out"/>
        <c:minorTickMark val="none"/>
        <c:tickLblPos val="nextTo"/>
        <c:crossAx val="314234256"/>
        <c:crosses val="autoZero"/>
        <c:auto val="1"/>
        <c:lblAlgn val="ctr"/>
        <c:lblOffset val="100"/>
        <c:noMultiLvlLbl val="0"/>
      </c:catAx>
      <c:valAx>
        <c:axId val="314234256"/>
        <c:scaling>
          <c:orientation val="minMax"/>
        </c:scaling>
        <c:delete val="0"/>
        <c:axPos val="l"/>
        <c:majorGridlines/>
        <c:numFmt formatCode="General" sourceLinked="1"/>
        <c:majorTickMark val="out"/>
        <c:minorTickMark val="none"/>
        <c:tickLblPos val="nextTo"/>
        <c:crossAx val="314233864"/>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'Davidsons Mains'!$B$169</c:f>
              <c:strCache>
                <c:ptCount val="1"/>
                <c:pt idx="0">
                  <c:v>Catchment Births (5yrs Prior)</c:v>
                </c:pt>
              </c:strCache>
            </c:strRef>
          </c:tx>
          <c:marker>
            <c:symbol val="square"/>
            <c:size val="7"/>
          </c:marker>
          <c:cat>
            <c:numRef>
              <c:f>'Davidsons Mains'!$D$168:$N$168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'Davidsons Mains'!$D$169:$N$169</c:f>
              <c:numCache>
                <c:formatCode>#,##0</c:formatCode>
                <c:ptCount val="11"/>
                <c:pt idx="0">
                  <c:v>37</c:v>
                </c:pt>
                <c:pt idx="1">
                  <c:v>44</c:v>
                </c:pt>
                <c:pt idx="2">
                  <c:v>47</c:v>
                </c:pt>
                <c:pt idx="3">
                  <c:v>51</c:v>
                </c:pt>
                <c:pt idx="4">
                  <c:v>53</c:v>
                </c:pt>
                <c:pt idx="5">
                  <c:v>54</c:v>
                </c:pt>
                <c:pt idx="6">
                  <c:v>42</c:v>
                </c:pt>
                <c:pt idx="7">
                  <c:v>46</c:v>
                </c:pt>
                <c:pt idx="8">
                  <c:v>44</c:v>
                </c:pt>
                <c:pt idx="9">
                  <c:v>47</c:v>
                </c:pt>
                <c:pt idx="10">
                  <c:v>46</c:v>
                </c:pt>
              </c:numCache>
            </c:numRef>
          </c:val>
          <c:smooth val="0"/>
          <c:extLst xmlns:c16r2="http://schemas.microsoft.com/office/drawing/2015/06/chart">
            <c:ext xmlns:c16="http://schemas.microsoft.com/office/drawing/2014/chart" uri="{C3380CC4-5D6E-409C-BE32-E72D297353CC}">
              <c16:uniqueId val="{00000000-007E-4482-85E5-21696EF2A121}"/>
            </c:ext>
          </c:extLst>
        </c:ser>
        <c:ser>
          <c:idx val="1"/>
          <c:order val="1"/>
          <c:tx>
            <c:strRef>
              <c:f>'Davidsons Mains'!$B$170</c:f>
              <c:strCache>
                <c:ptCount val="1"/>
                <c:pt idx="0">
                  <c:v>P1 ND Catchment Population (Actual)</c:v>
                </c:pt>
              </c:strCache>
            </c:strRef>
          </c:tx>
          <c:cat>
            <c:numRef>
              <c:f>'Davidsons Mains'!$D$168:$N$168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'Davidsons Mains'!$D$170:$I$170</c:f>
              <c:numCache>
                <c:formatCode>#,##0</c:formatCode>
                <c:ptCount val="6"/>
                <c:pt idx="0">
                  <c:v>57</c:v>
                </c:pt>
                <c:pt idx="1">
                  <c:v>55</c:v>
                </c:pt>
                <c:pt idx="2">
                  <c:v>65</c:v>
                </c:pt>
                <c:pt idx="3">
                  <c:v>70</c:v>
                </c:pt>
                <c:pt idx="4">
                  <c:v>72</c:v>
                </c:pt>
                <c:pt idx="5">
                  <c:v>79</c:v>
                </c:pt>
              </c:numCache>
            </c:numRef>
          </c:val>
          <c:smooth val="0"/>
          <c:extLst xmlns:c16r2="http://schemas.microsoft.com/office/drawing/2015/06/chart">
            <c:ext xmlns:c16="http://schemas.microsoft.com/office/drawing/2014/chart" uri="{C3380CC4-5D6E-409C-BE32-E72D297353CC}">
              <c16:uniqueId val="{00000001-007E-4482-85E5-21696EF2A121}"/>
            </c:ext>
          </c:extLst>
        </c:ser>
        <c:ser>
          <c:idx val="2"/>
          <c:order val="2"/>
          <c:tx>
            <c:strRef>
              <c:f>'Davidsons Mains'!$B$172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007E-4482-85E5-21696EF2A121}"/>
              </c:ext>
            </c:extLst>
          </c:dPt>
          <c:dPt>
            <c:idx val="5"/>
            <c:marker>
              <c:symbol val="none"/>
            </c:marker>
            <c:bubble3D val="0"/>
            <c:extLst xmlns:c16r2="http://schemas.microsoft.com/office/drawing/2015/06/chart">
              <c:ext xmlns:c16="http://schemas.microsoft.com/office/drawing/2014/chart" uri="{C3380CC4-5D6E-409C-BE32-E72D297353CC}">
                <c16:uniqueId val="{00000003-007E-4482-85E5-21696EF2A121}"/>
              </c:ext>
            </c:extLst>
          </c:dPt>
          <c:dPt>
            <c:idx val="6"/>
            <c:marker>
              <c:symbol val="circle"/>
              <c:size val="7"/>
            </c:marker>
            <c:bubble3D val="0"/>
            <c:extLst xmlns:c16r2="http://schemas.microsoft.com/office/drawing/2015/06/chart">
              <c:ext xmlns:c16="http://schemas.microsoft.com/office/drawing/2014/chart" uri="{C3380CC4-5D6E-409C-BE32-E72D297353CC}">
                <c16:uniqueId val="{00000004-007E-4482-85E5-21696EF2A121}"/>
              </c:ext>
            </c:extLst>
          </c:dPt>
          <c:dPt>
            <c:idx val="7"/>
            <c:marker>
              <c:symbol val="circle"/>
              <c:size val="7"/>
            </c:marker>
            <c:bubble3D val="0"/>
            <c:extLst xmlns:c16r2="http://schemas.microsoft.com/office/drawing/2015/06/chart">
              <c:ext xmlns:c16="http://schemas.microsoft.com/office/drawing/2014/chart" uri="{C3380CC4-5D6E-409C-BE32-E72D297353CC}">
                <c16:uniqueId val="{00000005-007E-4482-85E5-21696EF2A121}"/>
              </c:ext>
            </c:extLst>
          </c:dPt>
          <c:dPt>
            <c:idx val="8"/>
            <c:marker>
              <c:symbol val="circle"/>
              <c:size val="7"/>
            </c:marker>
            <c:bubble3D val="0"/>
            <c:extLst xmlns:c16r2="http://schemas.microsoft.com/office/drawing/2015/06/chart">
              <c:ext xmlns:c16="http://schemas.microsoft.com/office/drawing/2014/chart" uri="{C3380CC4-5D6E-409C-BE32-E72D297353CC}">
                <c16:uniqueId val="{00000006-007E-4482-85E5-21696EF2A121}"/>
              </c:ext>
            </c:extLst>
          </c:dPt>
          <c:dPt>
            <c:idx val="9"/>
            <c:marker>
              <c:symbol val="circle"/>
              <c:size val="7"/>
            </c:marker>
            <c:bubble3D val="0"/>
            <c:extLst xmlns:c16r2="http://schemas.microsoft.com/office/drawing/2015/06/chart">
              <c:ext xmlns:c16="http://schemas.microsoft.com/office/drawing/2014/chart" uri="{C3380CC4-5D6E-409C-BE32-E72D297353CC}">
                <c16:uniqueId val="{00000007-007E-4482-85E5-21696EF2A121}"/>
              </c:ext>
            </c:extLst>
          </c:dPt>
          <c:dPt>
            <c:idx val="10"/>
            <c:marker>
              <c:symbol val="circle"/>
              <c:size val="7"/>
            </c:marker>
            <c:bubble3D val="0"/>
            <c:extLst xmlns:c16r2="http://schemas.microsoft.com/office/drawing/2015/06/chart">
              <c:ext xmlns:c16="http://schemas.microsoft.com/office/drawing/2014/chart" uri="{C3380CC4-5D6E-409C-BE32-E72D297353CC}">
                <c16:uniqueId val="{00000008-007E-4482-85E5-21696EF2A121}"/>
              </c:ext>
            </c:extLst>
          </c:dPt>
          <c:cat>
            <c:numRef>
              <c:f>'Davidsons Mains'!$D$168:$N$168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'Davidsons Mains'!$D$172:$N$172</c:f>
              <c:numCache>
                <c:formatCode>General</c:formatCode>
                <c:ptCount val="11"/>
                <c:pt idx="5" formatCode="0">
                  <c:v>79</c:v>
                </c:pt>
                <c:pt idx="6" formatCode="0">
                  <c:v>0</c:v>
                </c:pt>
                <c:pt idx="7" formatCode="0">
                  <c:v>70</c:v>
                </c:pt>
                <c:pt idx="8" formatCode="0">
                  <c:v>68</c:v>
                </c:pt>
                <c:pt idx="9" formatCode="0">
                  <c:v>62</c:v>
                </c:pt>
                <c:pt idx="10" formatCode="0">
                  <c:v>58</c:v>
                </c:pt>
              </c:numCache>
            </c:numRef>
          </c:val>
          <c:smooth val="0"/>
          <c:extLst xmlns:c16r2="http://schemas.microsoft.com/office/drawing/2015/06/chart">
            <c:ext xmlns:c16="http://schemas.microsoft.com/office/drawing/2014/chart" uri="{C3380CC4-5D6E-409C-BE32-E72D297353CC}">
              <c16:uniqueId val="{00000009-007E-4482-85E5-21696EF2A121}"/>
            </c:ext>
          </c:extLst>
        </c:ser>
        <c:ser>
          <c:idx val="3"/>
          <c:order val="3"/>
          <c:tx>
            <c:strRef>
              <c:f>'Davidsons Mains'!$B$171</c:f>
              <c:strCache>
                <c:ptCount val="1"/>
                <c:pt idx="0">
                  <c:v>Actual P1 Registrations (as of Jan 2016)</c:v>
                </c:pt>
              </c:strCache>
            </c:strRef>
          </c:tx>
          <c:spPr>
            <a:ln w="15875">
              <a:noFill/>
            </a:ln>
          </c:spPr>
          <c:marker>
            <c:symbol val="diamond"/>
            <c:size val="9"/>
            <c:spPr>
              <a:solidFill>
                <a:schemeClr val="tx1"/>
              </a:solidFill>
            </c:spPr>
          </c:marker>
          <c:cat>
            <c:numRef>
              <c:f>'Davidsons Mains'!$D$168:$N$168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'Davidsons Mains'!$D$171:$M$171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007E-4482-85E5-21696EF2A121}"/>
            </c:ext>
          </c:extLst>
        </c:ser>
        <c:dLbls>
          <c:showLegendKey val="0"/>
          <c:showVal val="0"/>
          <c:showCatName val="0"/>
          <c:showSerName val="0"/>
          <c:showPercent val="0"/>
          <c:showBubbleSize val="0"/>
        </c:dLbls>
        <c:marker val="1"/>
        <c:smooth val="0"/>
        <c:axId val="314235040"/>
        <c:axId val="314235432"/>
      </c:lineChart>
      <c:catAx>
        <c:axId val="314235040"/>
        <c:scaling>
          <c:orientation val="minMax"/>
        </c:scaling>
        <c:delete val="0"/>
        <c:axPos val="b"/>
        <c:numFmt formatCode="General" sourceLinked="1"/>
        <c:majorTickMark val="out"/>
        <c:minorTickMark val="none"/>
        <c:tickLblPos val="nextTo"/>
        <c:crossAx val="314235432"/>
        <c:crosses val="autoZero"/>
        <c:auto val="1"/>
        <c:lblAlgn val="ctr"/>
        <c:lblOffset val="100"/>
        <c:noMultiLvlLbl val="0"/>
      </c:catAx>
      <c:valAx>
        <c:axId val="314235432"/>
        <c:scaling>
          <c:orientation val="minMax"/>
        </c:scaling>
        <c:delete val="0"/>
        <c:axPos val="l"/>
        <c:majorGridlines/>
        <c:numFmt formatCode="#,##0" sourceLinked="1"/>
        <c:majorTickMark val="out"/>
        <c:minorTickMark val="none"/>
        <c:tickLblPos val="nextTo"/>
        <c:crossAx val="314235040"/>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C53F-4256-BABF-FBA556859A24}"/>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13810576"/>
        <c:axId val="313810968"/>
      </c:lineChart>
      <c:catAx>
        <c:axId val="313810576"/>
        <c:scaling>
          <c:orientation val="minMax"/>
        </c:scaling>
        <c:delete val="0"/>
        <c:axPos val="b"/>
        <c:numFmt formatCode="General" sourceLinked="1"/>
        <c:majorTickMark val="out"/>
        <c:minorTickMark val="none"/>
        <c:tickLblPos val="nextTo"/>
        <c:crossAx val="313810968"/>
        <c:crosses val="autoZero"/>
        <c:auto val="1"/>
        <c:lblAlgn val="ctr"/>
        <c:lblOffset val="100"/>
        <c:noMultiLvlLbl val="0"/>
      </c:catAx>
      <c:valAx>
        <c:axId val="313810968"/>
        <c:scaling>
          <c:orientation val="minMax"/>
        </c:scaling>
        <c:delete val="0"/>
        <c:axPos val="l"/>
        <c:majorGridlines/>
        <c:numFmt formatCode="General" sourceLinked="1"/>
        <c:majorTickMark val="out"/>
        <c:minorTickMark val="none"/>
        <c:tickLblPos val="nextTo"/>
        <c:crossAx val="313810576"/>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'Dean Park'!$B$177:$B$190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'Dean Park'!$J$177:$J$190</c:f>
              <c:numCache>
                <c:formatCode>General</c:formatCode>
                <c:ptCount val="14"/>
                <c:pt idx="0">
                  <c:v>466</c:v>
                </c:pt>
                <c:pt idx="1">
                  <c:v>461</c:v>
                </c:pt>
                <c:pt idx="2">
                  <c:v>486</c:v>
                </c:pt>
                <c:pt idx="3">
                  <c:v>492</c:v>
                </c:pt>
                <c:pt idx="4">
                  <c:v>473</c:v>
                </c:pt>
                <c:pt idx="5">
                  <c:v>469</c:v>
                </c:pt>
                <c:pt idx="6">
                  <c:v>454</c:v>
                </c:pt>
                <c:pt idx="7">
                  <c:v>461</c:v>
                </c:pt>
                <c:pt idx="8">
                  <c:v>464</c:v>
                </c:pt>
                <c:pt idx="9">
                  <c:v>456</c:v>
                </c:pt>
                <c:pt idx="10">
                  <c:v>461</c:v>
                </c:pt>
                <c:pt idx="11">
                  <c:v>463</c:v>
                </c:pt>
                <c:pt idx="12">
                  <c:v>474</c:v>
                </c:pt>
                <c:pt idx="13">
                  <c:v>466</c:v>
                </c:pt>
              </c:numCache>
            </c:numRef>
          </c:val>
          <c:smooth val="0"/>
          <c:extLst xmlns:c16r2="http://schemas.microsoft.com/office/drawing/2015/06/chart">
            <c:ext xmlns:c16="http://schemas.microsoft.com/office/drawing/2014/chart" uri="{C3380CC4-5D6E-409C-BE32-E72D297353CC}">
              <c16:uniqueId val="{00000000-7097-42F9-925B-093D300E4F8F}"/>
            </c:ext>
          </c:extLst>
        </c:ser>
        <c:dLbls>
          <c:showLegendKey val="0"/>
          <c:showVal val="0"/>
          <c:showCatName val="0"/>
          <c:showSerName val="0"/>
          <c:showPercent val="0"/>
          <c:showBubbleSize val="0"/>
        </c:dLbls>
        <c:marker val="1"/>
        <c:smooth val="0"/>
        <c:axId val="313811752"/>
        <c:axId val="313812144"/>
      </c:lineChart>
      <c:catAx>
        <c:axId val="313811752"/>
        <c:scaling>
          <c:orientation val="minMax"/>
        </c:scaling>
        <c:delete val="0"/>
        <c:axPos val="b"/>
        <c:numFmt formatCode="General" sourceLinked="1"/>
        <c:majorTickMark val="out"/>
        <c:minorTickMark val="none"/>
        <c:tickLblPos val="nextTo"/>
        <c:crossAx val="313812144"/>
        <c:crosses val="autoZero"/>
        <c:auto val="1"/>
        <c:lblAlgn val="ctr"/>
        <c:lblOffset val="100"/>
        <c:noMultiLvlLbl val="0"/>
      </c:catAx>
      <c:valAx>
        <c:axId val="313812144"/>
        <c:scaling>
          <c:orientation val="minMax"/>
        </c:scaling>
        <c:delete val="0"/>
        <c:axPos val="l"/>
        <c:majorGridlines/>
        <c:numFmt formatCode="General" sourceLinked="1"/>
        <c:majorTickMark val="out"/>
        <c:minorTickMark val="none"/>
        <c:tickLblPos val="nextTo"/>
        <c:crossAx val="313811752"/>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'Dean Park'!$B$169</c:f>
              <c:strCache>
                <c:ptCount val="1"/>
                <c:pt idx="0">
                  <c:v>Catchment Births (5yrs Prior)</c:v>
                </c:pt>
              </c:strCache>
            </c:strRef>
          </c:tx>
          <c:marker>
            <c:symbol val="square"/>
            <c:size val="7"/>
          </c:marker>
          <c:cat>
            <c:numRef>
              <c:f>'Dean Park'!$D$168:$N$168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'Dean Park'!$D$169:$N$169</c:f>
              <c:numCache>
                <c:formatCode>#,##0</c:formatCode>
                <c:ptCount val="11"/>
                <c:pt idx="0">
                  <c:v>38</c:v>
                </c:pt>
                <c:pt idx="1">
                  <c:v>43</c:v>
                </c:pt>
                <c:pt idx="2">
                  <c:v>42</c:v>
                </c:pt>
                <c:pt idx="3">
                  <c:v>44</c:v>
                </c:pt>
                <c:pt idx="4">
                  <c:v>42</c:v>
                </c:pt>
                <c:pt idx="5">
                  <c:v>45</c:v>
                </c:pt>
                <c:pt idx="6">
                  <c:v>46</c:v>
                </c:pt>
                <c:pt idx="7">
                  <c:v>29</c:v>
                </c:pt>
                <c:pt idx="8">
                  <c:v>33</c:v>
                </c:pt>
                <c:pt idx="9">
                  <c:v>49</c:v>
                </c:pt>
                <c:pt idx="10">
                  <c:v>35</c:v>
                </c:pt>
              </c:numCache>
            </c:numRef>
          </c:val>
          <c:smooth val="0"/>
          <c:extLst xmlns:c16r2="http://schemas.microsoft.com/office/drawing/2015/06/chart">
            <c:ext xmlns:c16="http://schemas.microsoft.com/office/drawing/2014/chart" uri="{C3380CC4-5D6E-409C-BE32-E72D297353CC}">
              <c16:uniqueId val="{00000000-128B-42BF-A99A-E533E518C929}"/>
            </c:ext>
          </c:extLst>
        </c:ser>
        <c:ser>
          <c:idx val="1"/>
          <c:order val="1"/>
          <c:tx>
            <c:strRef>
              <c:f>'Dean Park'!$B$170</c:f>
              <c:strCache>
                <c:ptCount val="1"/>
                <c:pt idx="0">
                  <c:v>P1 ND Catchment Population (Actual)</c:v>
                </c:pt>
              </c:strCache>
            </c:strRef>
          </c:tx>
          <c:cat>
            <c:numRef>
              <c:f>'Dean Park'!$D$168:$N$168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'Dean Park'!$D$170:$I$170</c:f>
              <c:numCache>
                <c:formatCode>#,##0</c:formatCode>
                <c:ptCount val="6"/>
                <c:pt idx="0">
                  <c:v>65</c:v>
                </c:pt>
                <c:pt idx="1">
                  <c:v>54</c:v>
                </c:pt>
                <c:pt idx="2">
                  <c:v>60</c:v>
                </c:pt>
                <c:pt idx="3">
                  <c:v>57</c:v>
                </c:pt>
                <c:pt idx="4">
                  <c:v>54</c:v>
                </c:pt>
                <c:pt idx="5">
                  <c:v>54</c:v>
                </c:pt>
              </c:numCache>
            </c:numRef>
          </c:val>
          <c:smooth val="0"/>
          <c:extLst xmlns:c16r2="http://schemas.microsoft.com/office/drawing/2015/06/chart">
            <c:ext xmlns:c16="http://schemas.microsoft.com/office/drawing/2014/chart" uri="{C3380CC4-5D6E-409C-BE32-E72D297353CC}">
              <c16:uniqueId val="{00000001-128B-42BF-A99A-E533E518C929}"/>
            </c:ext>
          </c:extLst>
        </c:ser>
        <c:ser>
          <c:idx val="2"/>
          <c:order val="2"/>
          <c:tx>
            <c:strRef>
              <c:f>'Dean Park'!$B$172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128B-42BF-A99A-E533E518C929}"/>
              </c:ext>
            </c:extLst>
          </c:dPt>
          <c:dPt>
            <c:idx val="5"/>
            <c:marker>
              <c:symbol val="none"/>
            </c:marker>
            <c:bubble3D val="0"/>
            <c:extLst xmlns:c16r2="http://schemas.microsoft.com/office/drawing/2015/06/chart">
              <c:ext xmlns:c16="http://schemas.microsoft.com/office/drawing/2014/chart" uri="{C3380CC4-5D6E-409C-BE32-E72D297353CC}">
                <c16:uniqueId val="{00000003-128B-42BF-A99A-E533E518C929}"/>
              </c:ext>
            </c:extLst>
          </c:dPt>
          <c:dPt>
            <c:idx val="6"/>
            <c:marker>
              <c:symbol val="circle"/>
              <c:size val="7"/>
            </c:marker>
            <c:bubble3D val="0"/>
            <c:extLst xmlns:c16r2="http://schemas.microsoft.com/office/drawing/2015/06/chart">
              <c:ext xmlns:c16="http://schemas.microsoft.com/office/drawing/2014/chart" uri="{C3380CC4-5D6E-409C-BE32-E72D297353CC}">
                <c16:uniqueId val="{00000004-128B-42BF-A99A-E533E518C929}"/>
              </c:ext>
            </c:extLst>
          </c:dPt>
          <c:dPt>
            <c:idx val="7"/>
            <c:marker>
              <c:symbol val="circle"/>
              <c:size val="7"/>
            </c:marker>
            <c:bubble3D val="0"/>
            <c:extLst xmlns:c16r2="http://schemas.microsoft.com/office/drawing/2015/06/chart">
              <c:ext xmlns:c16="http://schemas.microsoft.com/office/drawing/2014/chart" uri="{C3380CC4-5D6E-409C-BE32-E72D297353CC}">
                <c16:uniqueId val="{00000005-128B-42BF-A99A-E533E518C929}"/>
              </c:ext>
            </c:extLst>
          </c:dPt>
          <c:dPt>
            <c:idx val="8"/>
            <c:marker>
              <c:symbol val="circle"/>
              <c:size val="7"/>
            </c:marker>
            <c:bubble3D val="0"/>
            <c:extLst xmlns:c16r2="http://schemas.microsoft.com/office/drawing/2015/06/chart">
              <c:ext xmlns:c16="http://schemas.microsoft.com/office/drawing/2014/chart" uri="{C3380CC4-5D6E-409C-BE32-E72D297353CC}">
                <c16:uniqueId val="{00000006-128B-42BF-A99A-E533E518C929}"/>
              </c:ext>
            </c:extLst>
          </c:dPt>
          <c:dPt>
            <c:idx val="9"/>
            <c:marker>
              <c:symbol val="circle"/>
              <c:size val="7"/>
            </c:marker>
            <c:bubble3D val="0"/>
            <c:extLst xmlns:c16r2="http://schemas.microsoft.com/office/drawing/2015/06/chart">
              <c:ext xmlns:c16="http://schemas.microsoft.com/office/drawing/2014/chart" uri="{C3380CC4-5D6E-409C-BE32-E72D297353CC}">
                <c16:uniqueId val="{00000007-128B-42BF-A99A-E533E518C929}"/>
              </c:ext>
            </c:extLst>
          </c:dPt>
          <c:dPt>
            <c:idx val="10"/>
            <c:marker>
              <c:symbol val="circle"/>
              <c:size val="7"/>
            </c:marker>
            <c:bubble3D val="0"/>
            <c:extLst xmlns:c16r2="http://schemas.microsoft.com/office/drawing/2015/06/chart">
              <c:ext xmlns:c16="http://schemas.microsoft.com/office/drawing/2014/chart" uri="{C3380CC4-5D6E-409C-BE32-E72D297353CC}">
                <c16:uniqueId val="{00000008-128B-42BF-A99A-E533E518C929}"/>
              </c:ext>
            </c:extLst>
          </c:dPt>
          <c:cat>
            <c:numRef>
              <c:f>'Dean Park'!$D$168:$N$168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'Dean Park'!$D$172:$N$172</c:f>
              <c:numCache>
                <c:formatCode>General</c:formatCode>
                <c:ptCount val="11"/>
                <c:pt idx="5" formatCode="0">
                  <c:v>54</c:v>
                </c:pt>
                <c:pt idx="6" formatCode="0">
                  <c:v>0</c:v>
                </c:pt>
                <c:pt idx="7" formatCode="0">
                  <c:v>75</c:v>
                </c:pt>
                <c:pt idx="8" formatCode="0">
                  <c:v>55</c:v>
                </c:pt>
                <c:pt idx="9" formatCode="0">
                  <c:v>46</c:v>
                </c:pt>
                <c:pt idx="10" formatCode="0">
                  <c:v>54</c:v>
                </c:pt>
              </c:numCache>
            </c:numRef>
          </c:val>
          <c:smooth val="0"/>
          <c:extLst xmlns:c16r2="http://schemas.microsoft.com/office/drawing/2015/06/chart">
            <c:ext xmlns:c16="http://schemas.microsoft.com/office/drawing/2014/chart" uri="{C3380CC4-5D6E-409C-BE32-E72D297353CC}">
              <c16:uniqueId val="{00000009-128B-42BF-A99A-E533E518C929}"/>
            </c:ext>
          </c:extLst>
        </c:ser>
        <c:ser>
          <c:idx val="3"/>
          <c:order val="3"/>
          <c:tx>
            <c:strRef>
              <c:f>'Dean Park'!$B$171</c:f>
              <c:strCache>
                <c:ptCount val="1"/>
                <c:pt idx="0">
                  <c:v>Actual P1 Registrations (as of Jan 2016)</c:v>
                </c:pt>
              </c:strCache>
            </c:strRef>
          </c:tx>
          <c:spPr>
            <a:ln w="15875">
              <a:noFill/>
            </a:ln>
          </c:spPr>
          <c:marker>
            <c:symbol val="diamond"/>
            <c:size val="9"/>
            <c:spPr>
              <a:solidFill>
                <a:schemeClr val="tx1"/>
              </a:solidFill>
            </c:spPr>
          </c:marker>
          <c:cat>
            <c:numRef>
              <c:f>'Dean Park'!$D$168:$N$168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'Dean Park'!$D$171:$M$171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128B-42BF-A99A-E533E518C929}"/>
            </c:ext>
          </c:extLst>
        </c:ser>
        <c:dLbls>
          <c:showLegendKey val="0"/>
          <c:showVal val="0"/>
          <c:showCatName val="0"/>
          <c:showSerName val="0"/>
          <c:showPercent val="0"/>
          <c:showBubbleSize val="0"/>
        </c:dLbls>
        <c:marker val="1"/>
        <c:smooth val="0"/>
        <c:axId val="313812928"/>
        <c:axId val="313813320"/>
      </c:lineChart>
      <c:catAx>
        <c:axId val="313812928"/>
        <c:scaling>
          <c:orientation val="minMax"/>
        </c:scaling>
        <c:delete val="0"/>
        <c:axPos val="b"/>
        <c:numFmt formatCode="General" sourceLinked="1"/>
        <c:majorTickMark val="out"/>
        <c:minorTickMark val="none"/>
        <c:tickLblPos val="nextTo"/>
        <c:crossAx val="313813320"/>
        <c:crosses val="autoZero"/>
        <c:auto val="1"/>
        <c:lblAlgn val="ctr"/>
        <c:lblOffset val="100"/>
        <c:noMultiLvlLbl val="0"/>
      </c:catAx>
      <c:valAx>
        <c:axId val="313813320"/>
        <c:scaling>
          <c:orientation val="minMax"/>
        </c:scaling>
        <c:delete val="0"/>
        <c:axPos val="l"/>
        <c:majorGridlines/>
        <c:numFmt formatCode="#,##0" sourceLinked="1"/>
        <c:majorTickMark val="out"/>
        <c:minorTickMark val="none"/>
        <c:tickLblPos val="nextTo"/>
        <c:crossAx val="313812928"/>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1E66-4E38-8431-F61A91218EEC}"/>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13814104"/>
        <c:axId val="313814496"/>
      </c:lineChart>
      <c:catAx>
        <c:axId val="313814104"/>
        <c:scaling>
          <c:orientation val="minMax"/>
        </c:scaling>
        <c:delete val="0"/>
        <c:axPos val="b"/>
        <c:numFmt formatCode="General" sourceLinked="1"/>
        <c:majorTickMark val="out"/>
        <c:minorTickMark val="none"/>
        <c:tickLblPos val="nextTo"/>
        <c:crossAx val="313814496"/>
        <c:crosses val="autoZero"/>
        <c:auto val="1"/>
        <c:lblAlgn val="ctr"/>
        <c:lblOffset val="100"/>
        <c:noMultiLvlLbl val="0"/>
      </c:catAx>
      <c:valAx>
        <c:axId val="313814496"/>
        <c:scaling>
          <c:orientation val="minMax"/>
        </c:scaling>
        <c:delete val="0"/>
        <c:axPos val="l"/>
        <c:majorGridlines/>
        <c:numFmt formatCode="General" sourceLinked="1"/>
        <c:majorTickMark val="out"/>
        <c:minorTickMark val="none"/>
        <c:tickLblPos val="nextTo"/>
        <c:crossAx val="313814104"/>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Duddingston!$B$177:$B$190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Duddingston!$J$177:$J$190</c:f>
              <c:numCache>
                <c:formatCode>General</c:formatCode>
                <c:ptCount val="14"/>
                <c:pt idx="0">
                  <c:v>422</c:v>
                </c:pt>
                <c:pt idx="1">
                  <c:v>412</c:v>
                </c:pt>
                <c:pt idx="2">
                  <c:v>401</c:v>
                </c:pt>
                <c:pt idx="3">
                  <c:v>395</c:v>
                </c:pt>
                <c:pt idx="4">
                  <c:v>400</c:v>
                </c:pt>
                <c:pt idx="5">
                  <c:v>402</c:v>
                </c:pt>
                <c:pt idx="6">
                  <c:v>396</c:v>
                </c:pt>
                <c:pt idx="7">
                  <c:v>374</c:v>
                </c:pt>
                <c:pt idx="8">
                  <c:v>388</c:v>
                </c:pt>
                <c:pt idx="9">
                  <c:v>381</c:v>
                </c:pt>
                <c:pt idx="10">
                  <c:v>383</c:v>
                </c:pt>
                <c:pt idx="11">
                  <c:v>376</c:v>
                </c:pt>
                <c:pt idx="12">
                  <c:v>384</c:v>
                </c:pt>
                <c:pt idx="13">
                  <c:v>390</c:v>
                </c:pt>
              </c:numCache>
            </c:numRef>
          </c:val>
          <c:smooth val="0"/>
          <c:extLst xmlns:c16r2="http://schemas.microsoft.com/office/drawing/2015/06/chart">
            <c:ext xmlns:c16="http://schemas.microsoft.com/office/drawing/2014/chart" uri="{C3380CC4-5D6E-409C-BE32-E72D297353CC}">
              <c16:uniqueId val="{00000000-C5D1-42F9-95F1-DDB3452866D7}"/>
            </c:ext>
          </c:extLst>
        </c:ser>
        <c:dLbls>
          <c:showLegendKey val="0"/>
          <c:showVal val="0"/>
          <c:showCatName val="0"/>
          <c:showSerName val="0"/>
          <c:showPercent val="0"/>
          <c:showBubbleSize val="0"/>
        </c:dLbls>
        <c:marker val="1"/>
        <c:smooth val="0"/>
        <c:axId val="313815280"/>
        <c:axId val="313815672"/>
      </c:lineChart>
      <c:catAx>
        <c:axId val="313815280"/>
        <c:scaling>
          <c:orientation val="minMax"/>
        </c:scaling>
        <c:delete val="0"/>
        <c:axPos val="b"/>
        <c:numFmt formatCode="General" sourceLinked="1"/>
        <c:majorTickMark val="out"/>
        <c:minorTickMark val="none"/>
        <c:tickLblPos val="nextTo"/>
        <c:crossAx val="313815672"/>
        <c:crosses val="autoZero"/>
        <c:auto val="1"/>
        <c:lblAlgn val="ctr"/>
        <c:lblOffset val="100"/>
        <c:noMultiLvlLbl val="0"/>
      </c:catAx>
      <c:valAx>
        <c:axId val="313815672"/>
        <c:scaling>
          <c:orientation val="minMax"/>
        </c:scaling>
        <c:delete val="0"/>
        <c:axPos val="l"/>
        <c:majorGridlines/>
        <c:numFmt formatCode="General" sourceLinked="1"/>
        <c:majorTickMark val="out"/>
        <c:minorTickMark val="none"/>
        <c:tickLblPos val="nextTo"/>
        <c:crossAx val="313815280"/>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Duddingston!$B$169</c:f>
              <c:strCache>
                <c:ptCount val="1"/>
                <c:pt idx="0">
                  <c:v>Catchment Births (5yrs Prior)</c:v>
                </c:pt>
              </c:strCache>
            </c:strRef>
          </c:tx>
          <c:marker>
            <c:symbol val="square"/>
            <c:size val="7"/>
          </c:marker>
          <c:cat>
            <c:numRef>
              <c:f>Duddingston!$D$168:$N$168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Duddingston!$D$169:$N$169</c:f>
              <c:numCache>
                <c:formatCode>#,##0</c:formatCode>
                <c:ptCount val="11"/>
                <c:pt idx="0">
                  <c:v>43</c:v>
                </c:pt>
                <c:pt idx="1">
                  <c:v>50</c:v>
                </c:pt>
                <c:pt idx="2">
                  <c:v>35</c:v>
                </c:pt>
                <c:pt idx="3">
                  <c:v>58</c:v>
                </c:pt>
                <c:pt idx="4">
                  <c:v>42</c:v>
                </c:pt>
                <c:pt idx="5">
                  <c:v>42</c:v>
                </c:pt>
                <c:pt idx="6">
                  <c:v>52</c:v>
                </c:pt>
                <c:pt idx="7">
                  <c:v>49</c:v>
                </c:pt>
                <c:pt idx="8">
                  <c:v>51</c:v>
                </c:pt>
                <c:pt idx="9">
                  <c:v>33</c:v>
                </c:pt>
                <c:pt idx="10">
                  <c:v>46</c:v>
                </c:pt>
              </c:numCache>
            </c:numRef>
          </c:val>
          <c:smooth val="0"/>
          <c:extLst xmlns:c16r2="http://schemas.microsoft.com/office/drawing/2015/06/chart">
            <c:ext xmlns:c16="http://schemas.microsoft.com/office/drawing/2014/chart" uri="{C3380CC4-5D6E-409C-BE32-E72D297353CC}">
              <c16:uniqueId val="{00000000-0D04-4041-82EE-BCA7BE381517}"/>
            </c:ext>
          </c:extLst>
        </c:ser>
        <c:ser>
          <c:idx val="1"/>
          <c:order val="1"/>
          <c:tx>
            <c:strRef>
              <c:f>Duddingston!$B$170</c:f>
              <c:strCache>
                <c:ptCount val="1"/>
                <c:pt idx="0">
                  <c:v>P1 ND Catchment Population (Actual)</c:v>
                </c:pt>
              </c:strCache>
            </c:strRef>
          </c:tx>
          <c:cat>
            <c:numRef>
              <c:f>Duddingston!$D$168:$N$168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Duddingston!$D$170:$I$170</c:f>
              <c:numCache>
                <c:formatCode>#,##0</c:formatCode>
                <c:ptCount val="6"/>
                <c:pt idx="0">
                  <c:v>34</c:v>
                </c:pt>
                <c:pt idx="1">
                  <c:v>40</c:v>
                </c:pt>
                <c:pt idx="2">
                  <c:v>48</c:v>
                </c:pt>
                <c:pt idx="3">
                  <c:v>44</c:v>
                </c:pt>
                <c:pt idx="4">
                  <c:v>38</c:v>
                </c:pt>
                <c:pt idx="5">
                  <c:v>43</c:v>
                </c:pt>
              </c:numCache>
            </c:numRef>
          </c:val>
          <c:smooth val="0"/>
          <c:extLst xmlns:c16r2="http://schemas.microsoft.com/office/drawing/2015/06/chart">
            <c:ext xmlns:c16="http://schemas.microsoft.com/office/drawing/2014/chart" uri="{C3380CC4-5D6E-409C-BE32-E72D297353CC}">
              <c16:uniqueId val="{00000001-0D04-4041-82EE-BCA7BE381517}"/>
            </c:ext>
          </c:extLst>
        </c:ser>
        <c:ser>
          <c:idx val="2"/>
          <c:order val="2"/>
          <c:tx>
            <c:strRef>
              <c:f>Duddingston!$B$172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0D04-4041-82EE-BCA7BE381517}"/>
              </c:ext>
            </c:extLst>
          </c:dPt>
          <c:dPt>
            <c:idx val="5"/>
            <c:marker>
              <c:symbol val="none"/>
            </c:marker>
            <c:bubble3D val="0"/>
            <c:extLst xmlns:c16r2="http://schemas.microsoft.com/office/drawing/2015/06/chart">
              <c:ext xmlns:c16="http://schemas.microsoft.com/office/drawing/2014/chart" uri="{C3380CC4-5D6E-409C-BE32-E72D297353CC}">
                <c16:uniqueId val="{00000003-0D04-4041-82EE-BCA7BE381517}"/>
              </c:ext>
            </c:extLst>
          </c:dPt>
          <c:dPt>
            <c:idx val="6"/>
            <c:marker>
              <c:symbol val="circle"/>
              <c:size val="7"/>
            </c:marker>
            <c:bubble3D val="0"/>
            <c:extLst xmlns:c16r2="http://schemas.microsoft.com/office/drawing/2015/06/chart">
              <c:ext xmlns:c16="http://schemas.microsoft.com/office/drawing/2014/chart" uri="{C3380CC4-5D6E-409C-BE32-E72D297353CC}">
                <c16:uniqueId val="{00000004-0D04-4041-82EE-BCA7BE381517}"/>
              </c:ext>
            </c:extLst>
          </c:dPt>
          <c:dPt>
            <c:idx val="7"/>
            <c:marker>
              <c:symbol val="circle"/>
              <c:size val="7"/>
            </c:marker>
            <c:bubble3D val="0"/>
            <c:extLst xmlns:c16r2="http://schemas.microsoft.com/office/drawing/2015/06/chart">
              <c:ext xmlns:c16="http://schemas.microsoft.com/office/drawing/2014/chart" uri="{C3380CC4-5D6E-409C-BE32-E72D297353CC}">
                <c16:uniqueId val="{00000005-0D04-4041-82EE-BCA7BE381517}"/>
              </c:ext>
            </c:extLst>
          </c:dPt>
          <c:dPt>
            <c:idx val="8"/>
            <c:marker>
              <c:symbol val="circle"/>
              <c:size val="7"/>
            </c:marker>
            <c:bubble3D val="0"/>
            <c:extLst xmlns:c16r2="http://schemas.microsoft.com/office/drawing/2015/06/chart">
              <c:ext xmlns:c16="http://schemas.microsoft.com/office/drawing/2014/chart" uri="{C3380CC4-5D6E-409C-BE32-E72D297353CC}">
                <c16:uniqueId val="{00000006-0D04-4041-82EE-BCA7BE381517}"/>
              </c:ext>
            </c:extLst>
          </c:dPt>
          <c:dPt>
            <c:idx val="9"/>
            <c:marker>
              <c:symbol val="circle"/>
              <c:size val="7"/>
            </c:marker>
            <c:bubble3D val="0"/>
            <c:extLst xmlns:c16r2="http://schemas.microsoft.com/office/drawing/2015/06/chart">
              <c:ext xmlns:c16="http://schemas.microsoft.com/office/drawing/2014/chart" uri="{C3380CC4-5D6E-409C-BE32-E72D297353CC}">
                <c16:uniqueId val="{00000007-0D04-4041-82EE-BCA7BE381517}"/>
              </c:ext>
            </c:extLst>
          </c:dPt>
          <c:dPt>
            <c:idx val="10"/>
            <c:marker>
              <c:symbol val="circle"/>
              <c:size val="7"/>
            </c:marker>
            <c:bubble3D val="0"/>
            <c:extLst xmlns:c16r2="http://schemas.microsoft.com/office/drawing/2015/06/chart">
              <c:ext xmlns:c16="http://schemas.microsoft.com/office/drawing/2014/chart" uri="{C3380CC4-5D6E-409C-BE32-E72D297353CC}">
                <c16:uniqueId val="{00000008-0D04-4041-82EE-BCA7BE381517}"/>
              </c:ext>
            </c:extLst>
          </c:dPt>
          <c:cat>
            <c:numRef>
              <c:f>Duddingston!$D$168:$N$168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Duddingston!$D$172:$N$172</c:f>
              <c:numCache>
                <c:formatCode>General</c:formatCode>
                <c:ptCount val="11"/>
                <c:pt idx="5" formatCode="0">
                  <c:v>43</c:v>
                </c:pt>
                <c:pt idx="6" formatCode="0">
                  <c:v>0</c:v>
                </c:pt>
                <c:pt idx="7" formatCode="0">
                  <c:v>33</c:v>
                </c:pt>
                <c:pt idx="8" formatCode="0">
                  <c:v>46</c:v>
                </c:pt>
                <c:pt idx="9" formatCode="0">
                  <c:v>50</c:v>
                </c:pt>
                <c:pt idx="10" formatCode="0">
                  <c:v>56</c:v>
                </c:pt>
              </c:numCache>
            </c:numRef>
          </c:val>
          <c:smooth val="0"/>
          <c:extLst xmlns:c16r2="http://schemas.microsoft.com/office/drawing/2015/06/chart">
            <c:ext xmlns:c16="http://schemas.microsoft.com/office/drawing/2014/chart" uri="{C3380CC4-5D6E-409C-BE32-E72D297353CC}">
              <c16:uniqueId val="{00000009-0D04-4041-82EE-BCA7BE381517}"/>
            </c:ext>
          </c:extLst>
        </c:ser>
        <c:ser>
          <c:idx val="3"/>
          <c:order val="3"/>
          <c:tx>
            <c:strRef>
              <c:f>Duddingston!$B$171</c:f>
              <c:strCache>
                <c:ptCount val="1"/>
                <c:pt idx="0">
                  <c:v>Actual P1 Registrations (as of Jan 2016)</c:v>
                </c:pt>
              </c:strCache>
            </c:strRef>
          </c:tx>
          <c:spPr>
            <a:ln w="15875">
              <a:noFill/>
            </a:ln>
          </c:spPr>
          <c:marker>
            <c:symbol val="diamond"/>
            <c:size val="9"/>
            <c:spPr>
              <a:solidFill>
                <a:schemeClr val="tx1"/>
              </a:solidFill>
            </c:spPr>
          </c:marker>
          <c:cat>
            <c:numRef>
              <c:f>Duddingston!$D$168:$N$168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Duddingston!$D$171:$M$171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0D04-4041-82EE-BCA7BE381517}"/>
            </c:ext>
          </c:extLst>
        </c:ser>
        <c:dLbls>
          <c:showLegendKey val="0"/>
          <c:showVal val="0"/>
          <c:showCatName val="0"/>
          <c:showSerName val="0"/>
          <c:showPercent val="0"/>
          <c:showBubbleSize val="0"/>
        </c:dLbls>
        <c:marker val="1"/>
        <c:smooth val="0"/>
        <c:axId val="313816456"/>
        <c:axId val="313816848"/>
      </c:lineChart>
      <c:catAx>
        <c:axId val="313816456"/>
        <c:scaling>
          <c:orientation val="minMax"/>
        </c:scaling>
        <c:delete val="0"/>
        <c:axPos val="b"/>
        <c:numFmt formatCode="General" sourceLinked="1"/>
        <c:majorTickMark val="out"/>
        <c:minorTickMark val="none"/>
        <c:tickLblPos val="nextTo"/>
        <c:crossAx val="313816848"/>
        <c:crosses val="autoZero"/>
        <c:auto val="1"/>
        <c:lblAlgn val="ctr"/>
        <c:lblOffset val="100"/>
        <c:noMultiLvlLbl val="0"/>
      </c:catAx>
      <c:valAx>
        <c:axId val="313816848"/>
        <c:scaling>
          <c:orientation val="minMax"/>
        </c:scaling>
        <c:delete val="0"/>
        <c:axPos val="l"/>
        <c:majorGridlines/>
        <c:numFmt formatCode="#,##0" sourceLinked="1"/>
        <c:majorTickMark val="out"/>
        <c:minorTickMark val="none"/>
        <c:tickLblPos val="nextTo"/>
        <c:crossAx val="313816456"/>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4706-4113-BB5D-BB89548770EF}"/>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13817240"/>
        <c:axId val="313817632"/>
      </c:lineChart>
      <c:catAx>
        <c:axId val="313817240"/>
        <c:scaling>
          <c:orientation val="minMax"/>
        </c:scaling>
        <c:delete val="0"/>
        <c:axPos val="b"/>
        <c:numFmt formatCode="General" sourceLinked="1"/>
        <c:majorTickMark val="out"/>
        <c:minorTickMark val="none"/>
        <c:tickLblPos val="nextTo"/>
        <c:crossAx val="313817632"/>
        <c:crosses val="autoZero"/>
        <c:auto val="1"/>
        <c:lblAlgn val="ctr"/>
        <c:lblOffset val="100"/>
        <c:noMultiLvlLbl val="0"/>
      </c:catAx>
      <c:valAx>
        <c:axId val="313817632"/>
        <c:scaling>
          <c:orientation val="minMax"/>
        </c:scaling>
        <c:delete val="0"/>
        <c:axPos val="l"/>
        <c:majorGridlines/>
        <c:numFmt formatCode="General" sourceLinked="1"/>
        <c:majorTickMark val="out"/>
        <c:minorTickMark val="none"/>
        <c:tickLblPos val="nextTo"/>
        <c:crossAx val="313817240"/>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'East Craigs'!$B$177:$B$190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'East Craigs'!$J$177:$J$190</c:f>
              <c:numCache>
                <c:formatCode>General</c:formatCode>
                <c:ptCount val="14"/>
                <c:pt idx="0">
                  <c:v>385</c:v>
                </c:pt>
                <c:pt idx="1">
                  <c:v>375</c:v>
                </c:pt>
                <c:pt idx="2">
                  <c:v>360</c:v>
                </c:pt>
                <c:pt idx="3">
                  <c:v>362</c:v>
                </c:pt>
                <c:pt idx="4">
                  <c:v>361</c:v>
                </c:pt>
                <c:pt idx="5">
                  <c:v>370</c:v>
                </c:pt>
                <c:pt idx="6">
                  <c:v>359</c:v>
                </c:pt>
                <c:pt idx="7">
                  <c:v>343</c:v>
                </c:pt>
                <c:pt idx="8">
                  <c:v>365</c:v>
                </c:pt>
                <c:pt idx="9">
                  <c:v>389</c:v>
                </c:pt>
                <c:pt idx="10">
                  <c:v>374</c:v>
                </c:pt>
                <c:pt idx="11">
                  <c:v>373</c:v>
                </c:pt>
                <c:pt idx="12">
                  <c:v>402</c:v>
                </c:pt>
                <c:pt idx="13">
                  <c:v>415</c:v>
                </c:pt>
              </c:numCache>
            </c:numRef>
          </c:val>
          <c:smooth val="0"/>
          <c:extLst xmlns:c16r2="http://schemas.microsoft.com/office/drawing/2015/06/chart">
            <c:ext xmlns:c16="http://schemas.microsoft.com/office/drawing/2014/chart" uri="{C3380CC4-5D6E-409C-BE32-E72D297353CC}">
              <c16:uniqueId val="{00000000-BDCE-4736-8622-78961D917DA3}"/>
            </c:ext>
          </c:extLst>
        </c:ser>
        <c:dLbls>
          <c:showLegendKey val="0"/>
          <c:showVal val="0"/>
          <c:showCatName val="0"/>
          <c:showSerName val="0"/>
          <c:showPercent val="0"/>
          <c:showBubbleSize val="0"/>
        </c:dLbls>
        <c:marker val="1"/>
        <c:smooth val="0"/>
        <c:axId val="315248384"/>
        <c:axId val="315248776"/>
      </c:lineChart>
      <c:catAx>
        <c:axId val="315248384"/>
        <c:scaling>
          <c:orientation val="minMax"/>
        </c:scaling>
        <c:delete val="0"/>
        <c:axPos val="b"/>
        <c:numFmt formatCode="General" sourceLinked="1"/>
        <c:majorTickMark val="out"/>
        <c:minorTickMark val="none"/>
        <c:tickLblPos val="nextTo"/>
        <c:crossAx val="315248776"/>
        <c:crosses val="autoZero"/>
        <c:auto val="1"/>
        <c:lblAlgn val="ctr"/>
        <c:lblOffset val="100"/>
        <c:noMultiLvlLbl val="0"/>
      </c:catAx>
      <c:valAx>
        <c:axId val="315248776"/>
        <c:scaling>
          <c:orientation val="minMax"/>
        </c:scaling>
        <c:delete val="0"/>
        <c:axPos val="l"/>
        <c:majorGridlines/>
        <c:numFmt formatCode="General" sourceLinked="1"/>
        <c:majorTickMark val="out"/>
        <c:minorTickMark val="none"/>
        <c:tickLblPos val="nextTo"/>
        <c:crossAx val="315248384"/>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'East Craigs'!$B$169</c:f>
              <c:strCache>
                <c:ptCount val="1"/>
                <c:pt idx="0">
                  <c:v>Catchment Births (5yrs Prior)</c:v>
                </c:pt>
              </c:strCache>
            </c:strRef>
          </c:tx>
          <c:marker>
            <c:symbol val="square"/>
            <c:size val="7"/>
          </c:marker>
          <c:cat>
            <c:numRef>
              <c:f>'East Craigs'!$D$168:$N$168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'East Craigs'!$D$169:$N$169</c:f>
              <c:numCache>
                <c:formatCode>#,##0</c:formatCode>
                <c:ptCount val="11"/>
                <c:pt idx="0">
                  <c:v>45</c:v>
                </c:pt>
                <c:pt idx="1">
                  <c:v>63</c:v>
                </c:pt>
                <c:pt idx="2">
                  <c:v>43</c:v>
                </c:pt>
                <c:pt idx="3">
                  <c:v>53</c:v>
                </c:pt>
                <c:pt idx="4">
                  <c:v>70</c:v>
                </c:pt>
                <c:pt idx="5">
                  <c:v>62</c:v>
                </c:pt>
                <c:pt idx="6">
                  <c:v>62</c:v>
                </c:pt>
                <c:pt idx="7">
                  <c:v>60</c:v>
                </c:pt>
                <c:pt idx="8">
                  <c:v>65</c:v>
                </c:pt>
                <c:pt idx="9">
                  <c:v>70</c:v>
                </c:pt>
                <c:pt idx="10">
                  <c:v>63</c:v>
                </c:pt>
              </c:numCache>
            </c:numRef>
          </c:val>
          <c:smooth val="0"/>
          <c:extLst xmlns:c16r2="http://schemas.microsoft.com/office/drawing/2015/06/chart">
            <c:ext xmlns:c16="http://schemas.microsoft.com/office/drawing/2014/chart" uri="{C3380CC4-5D6E-409C-BE32-E72D297353CC}">
              <c16:uniqueId val="{00000000-1CC3-4FE7-92D8-BEC01C50D55B}"/>
            </c:ext>
          </c:extLst>
        </c:ser>
        <c:ser>
          <c:idx val="1"/>
          <c:order val="1"/>
          <c:tx>
            <c:strRef>
              <c:f>'East Craigs'!$B$170</c:f>
              <c:strCache>
                <c:ptCount val="1"/>
                <c:pt idx="0">
                  <c:v>P1 ND Catchment Population (Actual)</c:v>
                </c:pt>
              </c:strCache>
            </c:strRef>
          </c:tx>
          <c:cat>
            <c:numRef>
              <c:f>'East Craigs'!$D$168:$N$168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'East Craigs'!$D$170:$I$170</c:f>
              <c:numCache>
                <c:formatCode>#,##0</c:formatCode>
                <c:ptCount val="6"/>
                <c:pt idx="0">
                  <c:v>35</c:v>
                </c:pt>
                <c:pt idx="1">
                  <c:v>59</c:v>
                </c:pt>
                <c:pt idx="2">
                  <c:v>51</c:v>
                </c:pt>
                <c:pt idx="3">
                  <c:v>65</c:v>
                </c:pt>
                <c:pt idx="4">
                  <c:v>68</c:v>
                </c:pt>
                <c:pt idx="5">
                  <c:v>70</c:v>
                </c:pt>
              </c:numCache>
            </c:numRef>
          </c:val>
          <c:smooth val="0"/>
          <c:extLst xmlns:c16r2="http://schemas.microsoft.com/office/drawing/2015/06/chart">
            <c:ext xmlns:c16="http://schemas.microsoft.com/office/drawing/2014/chart" uri="{C3380CC4-5D6E-409C-BE32-E72D297353CC}">
              <c16:uniqueId val="{00000001-1CC3-4FE7-92D8-BEC01C50D55B}"/>
            </c:ext>
          </c:extLst>
        </c:ser>
        <c:ser>
          <c:idx val="2"/>
          <c:order val="2"/>
          <c:tx>
            <c:strRef>
              <c:f>'East Craigs'!$B$172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1CC3-4FE7-92D8-BEC01C50D55B}"/>
              </c:ext>
            </c:extLst>
          </c:dPt>
          <c:dPt>
            <c:idx val="5"/>
            <c:marker>
              <c:symbol val="none"/>
            </c:marker>
            <c:bubble3D val="0"/>
            <c:extLst xmlns:c16r2="http://schemas.microsoft.com/office/drawing/2015/06/chart">
              <c:ext xmlns:c16="http://schemas.microsoft.com/office/drawing/2014/chart" uri="{C3380CC4-5D6E-409C-BE32-E72D297353CC}">
                <c16:uniqueId val="{00000003-1CC3-4FE7-92D8-BEC01C50D55B}"/>
              </c:ext>
            </c:extLst>
          </c:dPt>
          <c:dPt>
            <c:idx val="6"/>
            <c:marker>
              <c:symbol val="circle"/>
              <c:size val="7"/>
            </c:marker>
            <c:bubble3D val="0"/>
            <c:extLst xmlns:c16r2="http://schemas.microsoft.com/office/drawing/2015/06/chart">
              <c:ext xmlns:c16="http://schemas.microsoft.com/office/drawing/2014/chart" uri="{C3380CC4-5D6E-409C-BE32-E72D297353CC}">
                <c16:uniqueId val="{00000004-1CC3-4FE7-92D8-BEC01C50D55B}"/>
              </c:ext>
            </c:extLst>
          </c:dPt>
          <c:dPt>
            <c:idx val="7"/>
            <c:marker>
              <c:symbol val="circle"/>
              <c:size val="7"/>
            </c:marker>
            <c:bubble3D val="0"/>
            <c:extLst xmlns:c16r2="http://schemas.microsoft.com/office/drawing/2015/06/chart">
              <c:ext xmlns:c16="http://schemas.microsoft.com/office/drawing/2014/chart" uri="{C3380CC4-5D6E-409C-BE32-E72D297353CC}">
                <c16:uniqueId val="{00000005-1CC3-4FE7-92D8-BEC01C50D55B}"/>
              </c:ext>
            </c:extLst>
          </c:dPt>
          <c:dPt>
            <c:idx val="8"/>
            <c:marker>
              <c:symbol val="circle"/>
              <c:size val="7"/>
            </c:marker>
            <c:bubble3D val="0"/>
            <c:extLst xmlns:c16r2="http://schemas.microsoft.com/office/drawing/2015/06/chart">
              <c:ext xmlns:c16="http://schemas.microsoft.com/office/drawing/2014/chart" uri="{C3380CC4-5D6E-409C-BE32-E72D297353CC}">
                <c16:uniqueId val="{00000006-1CC3-4FE7-92D8-BEC01C50D55B}"/>
              </c:ext>
            </c:extLst>
          </c:dPt>
          <c:dPt>
            <c:idx val="9"/>
            <c:marker>
              <c:symbol val="circle"/>
              <c:size val="7"/>
            </c:marker>
            <c:bubble3D val="0"/>
            <c:extLst xmlns:c16r2="http://schemas.microsoft.com/office/drawing/2015/06/chart">
              <c:ext xmlns:c16="http://schemas.microsoft.com/office/drawing/2014/chart" uri="{C3380CC4-5D6E-409C-BE32-E72D297353CC}">
                <c16:uniqueId val="{00000007-1CC3-4FE7-92D8-BEC01C50D55B}"/>
              </c:ext>
            </c:extLst>
          </c:dPt>
          <c:dPt>
            <c:idx val="10"/>
            <c:marker>
              <c:symbol val="circle"/>
              <c:size val="7"/>
            </c:marker>
            <c:bubble3D val="0"/>
            <c:extLst xmlns:c16r2="http://schemas.microsoft.com/office/drawing/2015/06/chart">
              <c:ext xmlns:c16="http://schemas.microsoft.com/office/drawing/2014/chart" uri="{C3380CC4-5D6E-409C-BE32-E72D297353CC}">
                <c16:uniqueId val="{00000008-1CC3-4FE7-92D8-BEC01C50D55B}"/>
              </c:ext>
            </c:extLst>
          </c:dPt>
          <c:cat>
            <c:numRef>
              <c:f>'East Craigs'!$D$168:$N$168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'East Craigs'!$D$172:$N$172</c:f>
              <c:numCache>
                <c:formatCode>General</c:formatCode>
                <c:ptCount val="11"/>
                <c:pt idx="5" formatCode="0">
                  <c:v>70</c:v>
                </c:pt>
                <c:pt idx="6" formatCode="0">
                  <c:v>0</c:v>
                </c:pt>
                <c:pt idx="7" formatCode="0">
                  <c:v>67</c:v>
                </c:pt>
                <c:pt idx="8" formatCode="0">
                  <c:v>61</c:v>
                </c:pt>
                <c:pt idx="9" formatCode="0">
                  <c:v>48</c:v>
                </c:pt>
                <c:pt idx="10" formatCode="0">
                  <c:v>69</c:v>
                </c:pt>
              </c:numCache>
            </c:numRef>
          </c:val>
          <c:smooth val="0"/>
          <c:extLst xmlns:c16r2="http://schemas.microsoft.com/office/drawing/2015/06/chart">
            <c:ext xmlns:c16="http://schemas.microsoft.com/office/drawing/2014/chart" uri="{C3380CC4-5D6E-409C-BE32-E72D297353CC}">
              <c16:uniqueId val="{00000009-1CC3-4FE7-92D8-BEC01C50D55B}"/>
            </c:ext>
          </c:extLst>
        </c:ser>
        <c:ser>
          <c:idx val="3"/>
          <c:order val="3"/>
          <c:tx>
            <c:strRef>
              <c:f>'East Craigs'!$B$171</c:f>
              <c:strCache>
                <c:ptCount val="1"/>
                <c:pt idx="0">
                  <c:v>Actual P1 Registrations (as of Jan 2016)</c:v>
                </c:pt>
              </c:strCache>
            </c:strRef>
          </c:tx>
          <c:spPr>
            <a:ln w="15875">
              <a:noFill/>
            </a:ln>
          </c:spPr>
          <c:marker>
            <c:symbol val="diamond"/>
            <c:size val="9"/>
            <c:spPr>
              <a:solidFill>
                <a:schemeClr val="tx1"/>
              </a:solidFill>
            </c:spPr>
          </c:marker>
          <c:cat>
            <c:numRef>
              <c:f>'East Craigs'!$D$168:$N$168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'East Craigs'!$D$171:$M$171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1CC3-4FE7-92D8-BEC01C50D55B}"/>
            </c:ext>
          </c:extLst>
        </c:ser>
        <c:dLbls>
          <c:showLegendKey val="0"/>
          <c:showVal val="0"/>
          <c:showCatName val="0"/>
          <c:showSerName val="0"/>
          <c:showPercent val="0"/>
          <c:showBubbleSize val="0"/>
        </c:dLbls>
        <c:marker val="1"/>
        <c:smooth val="0"/>
        <c:axId val="315249560"/>
        <c:axId val="315249952"/>
      </c:lineChart>
      <c:catAx>
        <c:axId val="315249560"/>
        <c:scaling>
          <c:orientation val="minMax"/>
        </c:scaling>
        <c:delete val="0"/>
        <c:axPos val="b"/>
        <c:numFmt formatCode="General" sourceLinked="1"/>
        <c:majorTickMark val="out"/>
        <c:minorTickMark val="none"/>
        <c:tickLblPos val="nextTo"/>
        <c:crossAx val="315249952"/>
        <c:crosses val="autoZero"/>
        <c:auto val="1"/>
        <c:lblAlgn val="ctr"/>
        <c:lblOffset val="100"/>
        <c:noMultiLvlLbl val="0"/>
      </c:catAx>
      <c:valAx>
        <c:axId val="315249952"/>
        <c:scaling>
          <c:orientation val="minMax"/>
        </c:scaling>
        <c:delete val="0"/>
        <c:axPos val="l"/>
        <c:majorGridlines/>
        <c:numFmt formatCode="#,##0" sourceLinked="1"/>
        <c:majorTickMark val="out"/>
        <c:minorTickMark val="none"/>
        <c:tickLblPos val="nextTo"/>
        <c:crossAx val="315249560"/>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F128-4334-9DB6-16D4C8C4C082}"/>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15250736"/>
        <c:axId val="315251128"/>
      </c:lineChart>
      <c:catAx>
        <c:axId val="315250736"/>
        <c:scaling>
          <c:orientation val="minMax"/>
        </c:scaling>
        <c:delete val="0"/>
        <c:axPos val="b"/>
        <c:numFmt formatCode="General" sourceLinked="1"/>
        <c:majorTickMark val="out"/>
        <c:minorTickMark val="none"/>
        <c:tickLblPos val="nextTo"/>
        <c:crossAx val="315251128"/>
        <c:crosses val="autoZero"/>
        <c:auto val="1"/>
        <c:lblAlgn val="ctr"/>
        <c:lblOffset val="100"/>
        <c:noMultiLvlLbl val="0"/>
      </c:catAx>
      <c:valAx>
        <c:axId val="315251128"/>
        <c:scaling>
          <c:orientation val="minMax"/>
        </c:scaling>
        <c:delete val="0"/>
        <c:axPos val="l"/>
        <c:majorGridlines/>
        <c:numFmt formatCode="General" sourceLinked="1"/>
        <c:majorTickMark val="out"/>
        <c:minorTickMark val="none"/>
        <c:tickLblPos val="nextTo"/>
        <c:crossAx val="315250736"/>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Echline!$B$177:$B$190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Echline!$J$177:$J$190</c:f>
              <c:numCache>
                <c:formatCode>General</c:formatCode>
                <c:ptCount val="14"/>
                <c:pt idx="0">
                  <c:v>342</c:v>
                </c:pt>
                <c:pt idx="1">
                  <c:v>311</c:v>
                </c:pt>
                <c:pt idx="2">
                  <c:v>281</c:v>
                </c:pt>
                <c:pt idx="3">
                  <c:v>272</c:v>
                </c:pt>
                <c:pt idx="4">
                  <c:v>255</c:v>
                </c:pt>
                <c:pt idx="5">
                  <c:v>252</c:v>
                </c:pt>
                <c:pt idx="6">
                  <c:v>231</c:v>
                </c:pt>
                <c:pt idx="7">
                  <c:v>226</c:v>
                </c:pt>
                <c:pt idx="8">
                  <c:v>236</c:v>
                </c:pt>
                <c:pt idx="9">
                  <c:v>239</c:v>
                </c:pt>
                <c:pt idx="10">
                  <c:v>246</c:v>
                </c:pt>
                <c:pt idx="11">
                  <c:v>248</c:v>
                </c:pt>
                <c:pt idx="12">
                  <c:v>267</c:v>
                </c:pt>
                <c:pt idx="13">
                  <c:v>275</c:v>
                </c:pt>
              </c:numCache>
            </c:numRef>
          </c:val>
          <c:smooth val="0"/>
          <c:extLst xmlns:c16r2="http://schemas.microsoft.com/office/drawing/2015/06/chart">
            <c:ext xmlns:c16="http://schemas.microsoft.com/office/drawing/2014/chart" uri="{C3380CC4-5D6E-409C-BE32-E72D297353CC}">
              <c16:uniqueId val="{00000000-DD48-414F-892B-EDE9ED4A273F}"/>
            </c:ext>
          </c:extLst>
        </c:ser>
        <c:dLbls>
          <c:showLegendKey val="0"/>
          <c:showVal val="0"/>
          <c:showCatName val="0"/>
          <c:showSerName val="0"/>
          <c:showPercent val="0"/>
          <c:showBubbleSize val="0"/>
        </c:dLbls>
        <c:marker val="1"/>
        <c:smooth val="0"/>
        <c:axId val="315251912"/>
        <c:axId val="315252304"/>
      </c:lineChart>
      <c:catAx>
        <c:axId val="315251912"/>
        <c:scaling>
          <c:orientation val="minMax"/>
        </c:scaling>
        <c:delete val="0"/>
        <c:axPos val="b"/>
        <c:numFmt formatCode="General" sourceLinked="1"/>
        <c:majorTickMark val="out"/>
        <c:minorTickMark val="none"/>
        <c:tickLblPos val="nextTo"/>
        <c:crossAx val="315252304"/>
        <c:crosses val="autoZero"/>
        <c:auto val="1"/>
        <c:lblAlgn val="ctr"/>
        <c:lblOffset val="100"/>
        <c:noMultiLvlLbl val="0"/>
      </c:catAx>
      <c:valAx>
        <c:axId val="315252304"/>
        <c:scaling>
          <c:orientation val="minMax"/>
        </c:scaling>
        <c:delete val="0"/>
        <c:axPos val="l"/>
        <c:majorGridlines/>
        <c:numFmt formatCode="General" sourceLinked="1"/>
        <c:majorTickMark val="out"/>
        <c:minorTickMark val="none"/>
        <c:tickLblPos val="nextTo"/>
        <c:crossAx val="315251912"/>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Echline!$B$169</c:f>
              <c:strCache>
                <c:ptCount val="1"/>
                <c:pt idx="0">
                  <c:v>Catchment Births (5yrs Prior)</c:v>
                </c:pt>
              </c:strCache>
            </c:strRef>
          </c:tx>
          <c:marker>
            <c:symbol val="square"/>
            <c:size val="7"/>
          </c:marker>
          <c:cat>
            <c:numRef>
              <c:f>Echline!$D$168:$N$168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Echline!$D$169:$N$169</c:f>
              <c:numCache>
                <c:formatCode>#,##0</c:formatCode>
                <c:ptCount val="11"/>
                <c:pt idx="0">
                  <c:v>39</c:v>
                </c:pt>
                <c:pt idx="1">
                  <c:v>42</c:v>
                </c:pt>
                <c:pt idx="2">
                  <c:v>43</c:v>
                </c:pt>
                <c:pt idx="3">
                  <c:v>34</c:v>
                </c:pt>
                <c:pt idx="4">
                  <c:v>48</c:v>
                </c:pt>
                <c:pt idx="5">
                  <c:v>29</c:v>
                </c:pt>
                <c:pt idx="6">
                  <c:v>38</c:v>
                </c:pt>
                <c:pt idx="7">
                  <c:v>46</c:v>
                </c:pt>
                <c:pt idx="8">
                  <c:v>37</c:v>
                </c:pt>
                <c:pt idx="9">
                  <c:v>45</c:v>
                </c:pt>
                <c:pt idx="10">
                  <c:v>39</c:v>
                </c:pt>
              </c:numCache>
            </c:numRef>
          </c:val>
          <c:smooth val="0"/>
          <c:extLst xmlns:c16r2="http://schemas.microsoft.com/office/drawing/2015/06/chart">
            <c:ext xmlns:c16="http://schemas.microsoft.com/office/drawing/2014/chart" uri="{C3380CC4-5D6E-409C-BE32-E72D297353CC}">
              <c16:uniqueId val="{00000000-62ED-432F-A891-383D25501235}"/>
            </c:ext>
          </c:extLst>
        </c:ser>
        <c:ser>
          <c:idx val="1"/>
          <c:order val="1"/>
          <c:tx>
            <c:strRef>
              <c:f>Echline!$B$170</c:f>
              <c:strCache>
                <c:ptCount val="1"/>
                <c:pt idx="0">
                  <c:v>P1 ND Catchment Population (Actual)</c:v>
                </c:pt>
              </c:strCache>
            </c:strRef>
          </c:tx>
          <c:cat>
            <c:numRef>
              <c:f>Echline!$D$168:$N$168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Echline!$D$170:$I$170</c:f>
              <c:numCache>
                <c:formatCode>#,##0</c:formatCode>
                <c:ptCount val="6"/>
                <c:pt idx="0">
                  <c:v>39</c:v>
                </c:pt>
                <c:pt idx="1">
                  <c:v>35</c:v>
                </c:pt>
                <c:pt idx="2">
                  <c:v>37</c:v>
                </c:pt>
                <c:pt idx="3">
                  <c:v>34</c:v>
                </c:pt>
                <c:pt idx="4">
                  <c:v>46</c:v>
                </c:pt>
                <c:pt idx="5">
                  <c:v>29</c:v>
                </c:pt>
              </c:numCache>
            </c:numRef>
          </c:val>
          <c:smooth val="0"/>
          <c:extLst xmlns:c16r2="http://schemas.microsoft.com/office/drawing/2015/06/chart">
            <c:ext xmlns:c16="http://schemas.microsoft.com/office/drawing/2014/chart" uri="{C3380CC4-5D6E-409C-BE32-E72D297353CC}">
              <c16:uniqueId val="{00000001-62ED-432F-A891-383D25501235}"/>
            </c:ext>
          </c:extLst>
        </c:ser>
        <c:ser>
          <c:idx val="2"/>
          <c:order val="2"/>
          <c:tx>
            <c:strRef>
              <c:f>Echline!$B$172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62ED-432F-A891-383D25501235}"/>
              </c:ext>
            </c:extLst>
          </c:dPt>
          <c:dPt>
            <c:idx val="5"/>
            <c:marker>
              <c:symbol val="none"/>
            </c:marker>
            <c:bubble3D val="0"/>
            <c:extLst xmlns:c16r2="http://schemas.microsoft.com/office/drawing/2015/06/chart">
              <c:ext xmlns:c16="http://schemas.microsoft.com/office/drawing/2014/chart" uri="{C3380CC4-5D6E-409C-BE32-E72D297353CC}">
                <c16:uniqueId val="{00000003-62ED-432F-A891-383D25501235}"/>
              </c:ext>
            </c:extLst>
          </c:dPt>
          <c:dPt>
            <c:idx val="6"/>
            <c:marker>
              <c:symbol val="circle"/>
              <c:size val="7"/>
            </c:marker>
            <c:bubble3D val="0"/>
            <c:extLst xmlns:c16r2="http://schemas.microsoft.com/office/drawing/2015/06/chart">
              <c:ext xmlns:c16="http://schemas.microsoft.com/office/drawing/2014/chart" uri="{C3380CC4-5D6E-409C-BE32-E72D297353CC}">
                <c16:uniqueId val="{00000004-62ED-432F-A891-383D25501235}"/>
              </c:ext>
            </c:extLst>
          </c:dPt>
          <c:dPt>
            <c:idx val="7"/>
            <c:marker>
              <c:symbol val="circle"/>
              <c:size val="7"/>
            </c:marker>
            <c:bubble3D val="0"/>
            <c:extLst xmlns:c16r2="http://schemas.microsoft.com/office/drawing/2015/06/chart">
              <c:ext xmlns:c16="http://schemas.microsoft.com/office/drawing/2014/chart" uri="{C3380CC4-5D6E-409C-BE32-E72D297353CC}">
                <c16:uniqueId val="{00000005-62ED-432F-A891-383D25501235}"/>
              </c:ext>
            </c:extLst>
          </c:dPt>
          <c:dPt>
            <c:idx val="8"/>
            <c:marker>
              <c:symbol val="circle"/>
              <c:size val="7"/>
            </c:marker>
            <c:bubble3D val="0"/>
            <c:extLst xmlns:c16r2="http://schemas.microsoft.com/office/drawing/2015/06/chart">
              <c:ext xmlns:c16="http://schemas.microsoft.com/office/drawing/2014/chart" uri="{C3380CC4-5D6E-409C-BE32-E72D297353CC}">
                <c16:uniqueId val="{00000006-62ED-432F-A891-383D25501235}"/>
              </c:ext>
            </c:extLst>
          </c:dPt>
          <c:dPt>
            <c:idx val="9"/>
            <c:marker>
              <c:symbol val="circle"/>
              <c:size val="7"/>
            </c:marker>
            <c:bubble3D val="0"/>
            <c:extLst xmlns:c16r2="http://schemas.microsoft.com/office/drawing/2015/06/chart">
              <c:ext xmlns:c16="http://schemas.microsoft.com/office/drawing/2014/chart" uri="{C3380CC4-5D6E-409C-BE32-E72D297353CC}">
                <c16:uniqueId val="{00000007-62ED-432F-A891-383D25501235}"/>
              </c:ext>
            </c:extLst>
          </c:dPt>
          <c:dPt>
            <c:idx val="10"/>
            <c:marker>
              <c:symbol val="circle"/>
              <c:size val="7"/>
            </c:marker>
            <c:bubble3D val="0"/>
            <c:extLst xmlns:c16r2="http://schemas.microsoft.com/office/drawing/2015/06/chart">
              <c:ext xmlns:c16="http://schemas.microsoft.com/office/drawing/2014/chart" uri="{C3380CC4-5D6E-409C-BE32-E72D297353CC}">
                <c16:uniqueId val="{00000008-62ED-432F-A891-383D25501235}"/>
              </c:ext>
            </c:extLst>
          </c:dPt>
          <c:cat>
            <c:numRef>
              <c:f>Echline!$D$168:$N$168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Echline!$D$172:$N$172</c:f>
              <c:numCache>
                <c:formatCode>General</c:formatCode>
                <c:ptCount val="11"/>
                <c:pt idx="5" formatCode="0">
                  <c:v>29</c:v>
                </c:pt>
                <c:pt idx="6" formatCode="0">
                  <c:v>0</c:v>
                </c:pt>
                <c:pt idx="7" formatCode="0">
                  <c:v>45</c:v>
                </c:pt>
                <c:pt idx="8" formatCode="0">
                  <c:v>39</c:v>
                </c:pt>
                <c:pt idx="9" formatCode="0">
                  <c:v>40</c:v>
                </c:pt>
                <c:pt idx="10" formatCode="0">
                  <c:v>37</c:v>
                </c:pt>
              </c:numCache>
            </c:numRef>
          </c:val>
          <c:smooth val="0"/>
          <c:extLst xmlns:c16r2="http://schemas.microsoft.com/office/drawing/2015/06/chart">
            <c:ext xmlns:c16="http://schemas.microsoft.com/office/drawing/2014/chart" uri="{C3380CC4-5D6E-409C-BE32-E72D297353CC}">
              <c16:uniqueId val="{00000009-62ED-432F-A891-383D25501235}"/>
            </c:ext>
          </c:extLst>
        </c:ser>
        <c:ser>
          <c:idx val="3"/>
          <c:order val="3"/>
          <c:tx>
            <c:strRef>
              <c:f>Echline!$B$171</c:f>
              <c:strCache>
                <c:ptCount val="1"/>
                <c:pt idx="0">
                  <c:v>Actual P1 Registrations (as of Jan 2016)</c:v>
                </c:pt>
              </c:strCache>
            </c:strRef>
          </c:tx>
          <c:spPr>
            <a:ln w="15875">
              <a:noFill/>
            </a:ln>
          </c:spPr>
          <c:marker>
            <c:symbol val="diamond"/>
            <c:size val="9"/>
            <c:spPr>
              <a:solidFill>
                <a:schemeClr val="tx1"/>
              </a:solidFill>
            </c:spPr>
          </c:marker>
          <c:cat>
            <c:numRef>
              <c:f>Echline!$D$168:$N$168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Echline!$D$171:$M$171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62ED-432F-A891-383D25501235}"/>
            </c:ext>
          </c:extLst>
        </c:ser>
        <c:dLbls>
          <c:showLegendKey val="0"/>
          <c:showVal val="0"/>
          <c:showCatName val="0"/>
          <c:showSerName val="0"/>
          <c:showPercent val="0"/>
          <c:showBubbleSize val="0"/>
        </c:dLbls>
        <c:marker val="1"/>
        <c:smooth val="0"/>
        <c:axId val="315253088"/>
        <c:axId val="315253480"/>
      </c:lineChart>
      <c:catAx>
        <c:axId val="315253088"/>
        <c:scaling>
          <c:orientation val="minMax"/>
        </c:scaling>
        <c:delete val="0"/>
        <c:axPos val="b"/>
        <c:numFmt formatCode="General" sourceLinked="1"/>
        <c:majorTickMark val="out"/>
        <c:minorTickMark val="none"/>
        <c:tickLblPos val="nextTo"/>
        <c:crossAx val="315253480"/>
        <c:crosses val="autoZero"/>
        <c:auto val="1"/>
        <c:lblAlgn val="ctr"/>
        <c:lblOffset val="100"/>
        <c:noMultiLvlLbl val="0"/>
      </c:catAx>
      <c:valAx>
        <c:axId val="315253480"/>
        <c:scaling>
          <c:orientation val="minMax"/>
        </c:scaling>
        <c:delete val="0"/>
        <c:axPos val="l"/>
        <c:majorGridlines/>
        <c:numFmt formatCode="#,##0" sourceLinked="1"/>
        <c:majorTickMark val="out"/>
        <c:minorTickMark val="none"/>
        <c:tickLblPos val="nextTo"/>
        <c:crossAx val="315253088"/>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ABED-4AD6-AF6B-BFEE56F98039}"/>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15254264"/>
        <c:axId val="315254656"/>
      </c:lineChart>
      <c:catAx>
        <c:axId val="315254264"/>
        <c:scaling>
          <c:orientation val="minMax"/>
        </c:scaling>
        <c:delete val="0"/>
        <c:axPos val="b"/>
        <c:numFmt formatCode="General" sourceLinked="1"/>
        <c:majorTickMark val="out"/>
        <c:minorTickMark val="none"/>
        <c:tickLblPos val="nextTo"/>
        <c:crossAx val="315254656"/>
        <c:crosses val="autoZero"/>
        <c:auto val="1"/>
        <c:lblAlgn val="ctr"/>
        <c:lblOffset val="100"/>
        <c:noMultiLvlLbl val="0"/>
      </c:catAx>
      <c:valAx>
        <c:axId val="315254656"/>
        <c:scaling>
          <c:orientation val="minMax"/>
        </c:scaling>
        <c:delete val="0"/>
        <c:axPos val="l"/>
        <c:majorGridlines/>
        <c:numFmt formatCode="General" sourceLinked="1"/>
        <c:majorTickMark val="out"/>
        <c:minorTickMark val="none"/>
        <c:tickLblPos val="nextTo"/>
        <c:crossAx val="315254264"/>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Ferryhill!$B$177:$B$190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Ferryhill!$J$177:$J$190</c:f>
              <c:numCache>
                <c:formatCode>General</c:formatCode>
                <c:ptCount val="14"/>
                <c:pt idx="0">
                  <c:v>273</c:v>
                </c:pt>
                <c:pt idx="1">
                  <c:v>281</c:v>
                </c:pt>
                <c:pt idx="2">
                  <c:v>284</c:v>
                </c:pt>
                <c:pt idx="3">
                  <c:v>290</c:v>
                </c:pt>
                <c:pt idx="4">
                  <c:v>288</c:v>
                </c:pt>
                <c:pt idx="5">
                  <c:v>296</c:v>
                </c:pt>
                <c:pt idx="6">
                  <c:v>303</c:v>
                </c:pt>
                <c:pt idx="7">
                  <c:v>302</c:v>
                </c:pt>
                <c:pt idx="8">
                  <c:v>306</c:v>
                </c:pt>
                <c:pt idx="9">
                  <c:v>297</c:v>
                </c:pt>
                <c:pt idx="10">
                  <c:v>281</c:v>
                </c:pt>
                <c:pt idx="11">
                  <c:v>303</c:v>
                </c:pt>
                <c:pt idx="12">
                  <c:v>299</c:v>
                </c:pt>
                <c:pt idx="13">
                  <c:v>318</c:v>
                </c:pt>
              </c:numCache>
            </c:numRef>
          </c:val>
          <c:smooth val="0"/>
          <c:extLst xmlns:c16r2="http://schemas.microsoft.com/office/drawing/2015/06/chart">
            <c:ext xmlns:c16="http://schemas.microsoft.com/office/drawing/2014/chart" uri="{C3380CC4-5D6E-409C-BE32-E72D297353CC}">
              <c16:uniqueId val="{00000000-224A-444E-8F56-63B80FD34969}"/>
            </c:ext>
          </c:extLst>
        </c:ser>
        <c:dLbls>
          <c:showLegendKey val="0"/>
          <c:showVal val="0"/>
          <c:showCatName val="0"/>
          <c:showSerName val="0"/>
          <c:showPercent val="0"/>
          <c:showBubbleSize val="0"/>
        </c:dLbls>
        <c:marker val="1"/>
        <c:smooth val="0"/>
        <c:axId val="315255440"/>
        <c:axId val="340562024"/>
      </c:lineChart>
      <c:catAx>
        <c:axId val="315255440"/>
        <c:scaling>
          <c:orientation val="minMax"/>
        </c:scaling>
        <c:delete val="0"/>
        <c:axPos val="b"/>
        <c:numFmt formatCode="General" sourceLinked="1"/>
        <c:majorTickMark val="out"/>
        <c:minorTickMark val="none"/>
        <c:tickLblPos val="nextTo"/>
        <c:crossAx val="340562024"/>
        <c:crosses val="autoZero"/>
        <c:auto val="1"/>
        <c:lblAlgn val="ctr"/>
        <c:lblOffset val="100"/>
        <c:noMultiLvlLbl val="0"/>
      </c:catAx>
      <c:valAx>
        <c:axId val="340562024"/>
        <c:scaling>
          <c:orientation val="minMax"/>
        </c:scaling>
        <c:delete val="0"/>
        <c:axPos val="l"/>
        <c:majorGridlines/>
        <c:numFmt formatCode="General" sourceLinked="1"/>
        <c:majorTickMark val="out"/>
        <c:minorTickMark val="none"/>
        <c:tickLblPos val="nextTo"/>
        <c:crossAx val="315255440"/>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Ferryhill!$B$169</c:f>
              <c:strCache>
                <c:ptCount val="1"/>
                <c:pt idx="0">
                  <c:v>Catchment Births (5yrs Prior)</c:v>
                </c:pt>
              </c:strCache>
            </c:strRef>
          </c:tx>
          <c:marker>
            <c:symbol val="square"/>
            <c:size val="7"/>
          </c:marker>
          <c:cat>
            <c:numRef>
              <c:f>Ferryhill!$D$168:$N$168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Ferryhill!$D$169:$N$169</c:f>
              <c:numCache>
                <c:formatCode>#,##0</c:formatCode>
                <c:ptCount val="11"/>
                <c:pt idx="0">
                  <c:v>47</c:v>
                </c:pt>
                <c:pt idx="1">
                  <c:v>32</c:v>
                </c:pt>
                <c:pt idx="2">
                  <c:v>49</c:v>
                </c:pt>
                <c:pt idx="3">
                  <c:v>51</c:v>
                </c:pt>
                <c:pt idx="4">
                  <c:v>53</c:v>
                </c:pt>
                <c:pt idx="5">
                  <c:v>59</c:v>
                </c:pt>
                <c:pt idx="6">
                  <c:v>60</c:v>
                </c:pt>
                <c:pt idx="7">
                  <c:v>68</c:v>
                </c:pt>
                <c:pt idx="8">
                  <c:v>68</c:v>
                </c:pt>
                <c:pt idx="9">
                  <c:v>56</c:v>
                </c:pt>
                <c:pt idx="10">
                  <c:v>66</c:v>
                </c:pt>
              </c:numCache>
            </c:numRef>
          </c:val>
          <c:smooth val="0"/>
          <c:extLst xmlns:c16r2="http://schemas.microsoft.com/office/drawing/2015/06/chart">
            <c:ext xmlns:c16="http://schemas.microsoft.com/office/drawing/2014/chart" uri="{C3380CC4-5D6E-409C-BE32-E72D297353CC}">
              <c16:uniqueId val="{00000000-AE91-4213-87D7-179D3850002D}"/>
            </c:ext>
          </c:extLst>
        </c:ser>
        <c:ser>
          <c:idx val="1"/>
          <c:order val="1"/>
          <c:tx>
            <c:strRef>
              <c:f>Ferryhill!$B$170</c:f>
              <c:strCache>
                <c:ptCount val="1"/>
                <c:pt idx="0">
                  <c:v>P1 ND Catchment Population (Actual)</c:v>
                </c:pt>
              </c:strCache>
            </c:strRef>
          </c:tx>
          <c:cat>
            <c:numRef>
              <c:f>Ferryhill!$D$168:$N$168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Ferryhill!$D$170:$I$170</c:f>
              <c:numCache>
                <c:formatCode>#,##0</c:formatCode>
                <c:ptCount val="6"/>
                <c:pt idx="0">
                  <c:v>40</c:v>
                </c:pt>
                <c:pt idx="1">
                  <c:v>38</c:v>
                </c:pt>
                <c:pt idx="2">
                  <c:v>51</c:v>
                </c:pt>
                <c:pt idx="3">
                  <c:v>53</c:v>
                </c:pt>
                <c:pt idx="4">
                  <c:v>63</c:v>
                </c:pt>
                <c:pt idx="5">
                  <c:v>54</c:v>
                </c:pt>
              </c:numCache>
            </c:numRef>
          </c:val>
          <c:smooth val="0"/>
          <c:extLst xmlns:c16r2="http://schemas.microsoft.com/office/drawing/2015/06/chart">
            <c:ext xmlns:c16="http://schemas.microsoft.com/office/drawing/2014/chart" uri="{C3380CC4-5D6E-409C-BE32-E72D297353CC}">
              <c16:uniqueId val="{00000001-AE91-4213-87D7-179D3850002D}"/>
            </c:ext>
          </c:extLst>
        </c:ser>
        <c:ser>
          <c:idx val="2"/>
          <c:order val="2"/>
          <c:tx>
            <c:strRef>
              <c:f>Ferryhill!$B$172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AE91-4213-87D7-179D3850002D}"/>
              </c:ext>
            </c:extLst>
          </c:dPt>
          <c:dPt>
            <c:idx val="5"/>
            <c:marker>
              <c:symbol val="none"/>
            </c:marker>
            <c:bubble3D val="0"/>
            <c:extLst xmlns:c16r2="http://schemas.microsoft.com/office/drawing/2015/06/chart">
              <c:ext xmlns:c16="http://schemas.microsoft.com/office/drawing/2014/chart" uri="{C3380CC4-5D6E-409C-BE32-E72D297353CC}">
                <c16:uniqueId val="{00000003-AE91-4213-87D7-179D3850002D}"/>
              </c:ext>
            </c:extLst>
          </c:dPt>
          <c:dPt>
            <c:idx val="6"/>
            <c:marker>
              <c:symbol val="circle"/>
              <c:size val="7"/>
            </c:marker>
            <c:bubble3D val="0"/>
            <c:extLst xmlns:c16r2="http://schemas.microsoft.com/office/drawing/2015/06/chart">
              <c:ext xmlns:c16="http://schemas.microsoft.com/office/drawing/2014/chart" uri="{C3380CC4-5D6E-409C-BE32-E72D297353CC}">
                <c16:uniqueId val="{00000004-AE91-4213-87D7-179D3850002D}"/>
              </c:ext>
            </c:extLst>
          </c:dPt>
          <c:dPt>
            <c:idx val="7"/>
            <c:marker>
              <c:symbol val="circle"/>
              <c:size val="7"/>
            </c:marker>
            <c:bubble3D val="0"/>
            <c:extLst xmlns:c16r2="http://schemas.microsoft.com/office/drawing/2015/06/chart">
              <c:ext xmlns:c16="http://schemas.microsoft.com/office/drawing/2014/chart" uri="{C3380CC4-5D6E-409C-BE32-E72D297353CC}">
                <c16:uniqueId val="{00000005-AE91-4213-87D7-179D3850002D}"/>
              </c:ext>
            </c:extLst>
          </c:dPt>
          <c:dPt>
            <c:idx val="8"/>
            <c:marker>
              <c:symbol val="circle"/>
              <c:size val="7"/>
            </c:marker>
            <c:bubble3D val="0"/>
            <c:extLst xmlns:c16r2="http://schemas.microsoft.com/office/drawing/2015/06/chart">
              <c:ext xmlns:c16="http://schemas.microsoft.com/office/drawing/2014/chart" uri="{C3380CC4-5D6E-409C-BE32-E72D297353CC}">
                <c16:uniqueId val="{00000006-AE91-4213-87D7-179D3850002D}"/>
              </c:ext>
            </c:extLst>
          </c:dPt>
          <c:dPt>
            <c:idx val="9"/>
            <c:marker>
              <c:symbol val="circle"/>
              <c:size val="7"/>
            </c:marker>
            <c:bubble3D val="0"/>
            <c:extLst xmlns:c16r2="http://schemas.microsoft.com/office/drawing/2015/06/chart">
              <c:ext xmlns:c16="http://schemas.microsoft.com/office/drawing/2014/chart" uri="{C3380CC4-5D6E-409C-BE32-E72D297353CC}">
                <c16:uniqueId val="{00000007-AE91-4213-87D7-179D3850002D}"/>
              </c:ext>
            </c:extLst>
          </c:dPt>
          <c:dPt>
            <c:idx val="10"/>
            <c:marker>
              <c:symbol val="circle"/>
              <c:size val="7"/>
            </c:marker>
            <c:bubble3D val="0"/>
            <c:extLst xmlns:c16r2="http://schemas.microsoft.com/office/drawing/2015/06/chart">
              <c:ext xmlns:c16="http://schemas.microsoft.com/office/drawing/2014/chart" uri="{C3380CC4-5D6E-409C-BE32-E72D297353CC}">
                <c16:uniqueId val="{00000008-AE91-4213-87D7-179D3850002D}"/>
              </c:ext>
            </c:extLst>
          </c:dPt>
          <c:cat>
            <c:numRef>
              <c:f>Ferryhill!$D$168:$N$168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Ferryhill!$D$172:$N$172</c:f>
              <c:numCache>
                <c:formatCode>General</c:formatCode>
                <c:ptCount val="11"/>
                <c:pt idx="5" formatCode="0">
                  <c:v>54</c:v>
                </c:pt>
                <c:pt idx="6" formatCode="0">
                  <c:v>0</c:v>
                </c:pt>
                <c:pt idx="7" formatCode="0">
                  <c:v>54</c:v>
                </c:pt>
                <c:pt idx="8" formatCode="0">
                  <c:v>63</c:v>
                </c:pt>
                <c:pt idx="9" formatCode="0">
                  <c:v>49</c:v>
                </c:pt>
                <c:pt idx="10" formatCode="0">
                  <c:v>43</c:v>
                </c:pt>
              </c:numCache>
            </c:numRef>
          </c:val>
          <c:smooth val="0"/>
          <c:extLst xmlns:c16r2="http://schemas.microsoft.com/office/drawing/2015/06/chart">
            <c:ext xmlns:c16="http://schemas.microsoft.com/office/drawing/2014/chart" uri="{C3380CC4-5D6E-409C-BE32-E72D297353CC}">
              <c16:uniqueId val="{00000009-AE91-4213-87D7-179D3850002D}"/>
            </c:ext>
          </c:extLst>
        </c:ser>
        <c:ser>
          <c:idx val="3"/>
          <c:order val="3"/>
          <c:tx>
            <c:strRef>
              <c:f>Ferryhill!$B$171</c:f>
              <c:strCache>
                <c:ptCount val="1"/>
                <c:pt idx="0">
                  <c:v>Actual P1 Registrations (as of Jan 2016)</c:v>
                </c:pt>
              </c:strCache>
            </c:strRef>
          </c:tx>
          <c:spPr>
            <a:ln w="15875">
              <a:noFill/>
            </a:ln>
          </c:spPr>
          <c:marker>
            <c:symbol val="diamond"/>
            <c:size val="9"/>
            <c:spPr>
              <a:solidFill>
                <a:schemeClr val="tx1"/>
              </a:solidFill>
            </c:spPr>
          </c:marker>
          <c:cat>
            <c:numRef>
              <c:f>Ferryhill!$D$168:$N$168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Ferryhill!$D$171:$M$171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AE91-4213-87D7-179D3850002D}"/>
            </c:ext>
          </c:extLst>
        </c:ser>
        <c:dLbls>
          <c:showLegendKey val="0"/>
          <c:showVal val="0"/>
          <c:showCatName val="0"/>
          <c:showSerName val="0"/>
          <c:showPercent val="0"/>
          <c:showBubbleSize val="0"/>
        </c:dLbls>
        <c:marker val="1"/>
        <c:smooth val="0"/>
        <c:axId val="340562808"/>
        <c:axId val="340563200"/>
      </c:lineChart>
      <c:catAx>
        <c:axId val="340562808"/>
        <c:scaling>
          <c:orientation val="minMax"/>
        </c:scaling>
        <c:delete val="0"/>
        <c:axPos val="b"/>
        <c:numFmt formatCode="General" sourceLinked="1"/>
        <c:majorTickMark val="out"/>
        <c:minorTickMark val="none"/>
        <c:tickLblPos val="nextTo"/>
        <c:crossAx val="340563200"/>
        <c:crosses val="autoZero"/>
        <c:auto val="1"/>
        <c:lblAlgn val="ctr"/>
        <c:lblOffset val="100"/>
        <c:noMultiLvlLbl val="0"/>
      </c:catAx>
      <c:valAx>
        <c:axId val="340563200"/>
        <c:scaling>
          <c:orientation val="minMax"/>
        </c:scaling>
        <c:delete val="0"/>
        <c:axPos val="l"/>
        <c:majorGridlines/>
        <c:numFmt formatCode="#,##0" sourceLinked="1"/>
        <c:majorTickMark val="out"/>
        <c:minorTickMark val="none"/>
        <c:tickLblPos val="nextTo"/>
        <c:crossAx val="340562808"/>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3787-49DF-B2CB-8812B5B1F1A3}"/>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40563984"/>
        <c:axId val="340564376"/>
      </c:lineChart>
      <c:catAx>
        <c:axId val="340563984"/>
        <c:scaling>
          <c:orientation val="minMax"/>
        </c:scaling>
        <c:delete val="0"/>
        <c:axPos val="b"/>
        <c:numFmt formatCode="General" sourceLinked="1"/>
        <c:majorTickMark val="out"/>
        <c:minorTickMark val="none"/>
        <c:tickLblPos val="nextTo"/>
        <c:crossAx val="340564376"/>
        <c:crosses val="autoZero"/>
        <c:auto val="1"/>
        <c:lblAlgn val="ctr"/>
        <c:lblOffset val="100"/>
        <c:noMultiLvlLbl val="0"/>
      </c:catAx>
      <c:valAx>
        <c:axId val="340564376"/>
        <c:scaling>
          <c:orientation val="minMax"/>
        </c:scaling>
        <c:delete val="0"/>
        <c:axPos val="l"/>
        <c:majorGridlines/>
        <c:numFmt formatCode="General" sourceLinked="1"/>
        <c:majorTickMark val="out"/>
        <c:minorTickMark val="none"/>
        <c:tickLblPos val="nextTo"/>
        <c:crossAx val="340563984"/>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'Flora Stevenson'!$B$177:$B$190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'Flora Stevenson'!$J$177:$J$190</c:f>
              <c:numCache>
                <c:formatCode>General</c:formatCode>
                <c:ptCount val="14"/>
                <c:pt idx="0">
                  <c:v>487</c:v>
                </c:pt>
                <c:pt idx="1">
                  <c:v>474</c:v>
                </c:pt>
                <c:pt idx="2">
                  <c:v>449</c:v>
                </c:pt>
                <c:pt idx="3">
                  <c:v>445</c:v>
                </c:pt>
                <c:pt idx="4">
                  <c:v>421</c:v>
                </c:pt>
                <c:pt idx="5">
                  <c:v>422</c:v>
                </c:pt>
                <c:pt idx="6">
                  <c:v>428</c:v>
                </c:pt>
                <c:pt idx="7">
                  <c:v>430</c:v>
                </c:pt>
                <c:pt idx="8">
                  <c:v>442</c:v>
                </c:pt>
                <c:pt idx="9">
                  <c:v>447</c:v>
                </c:pt>
                <c:pt idx="10">
                  <c:v>490</c:v>
                </c:pt>
                <c:pt idx="11">
                  <c:v>501</c:v>
                </c:pt>
                <c:pt idx="12">
                  <c:v>517</c:v>
                </c:pt>
                <c:pt idx="13">
                  <c:v>537</c:v>
                </c:pt>
              </c:numCache>
            </c:numRef>
          </c:val>
          <c:smooth val="0"/>
          <c:extLst xmlns:c16r2="http://schemas.microsoft.com/office/drawing/2015/06/chart">
            <c:ext xmlns:c16="http://schemas.microsoft.com/office/drawing/2014/chart" uri="{C3380CC4-5D6E-409C-BE32-E72D297353CC}">
              <c16:uniqueId val="{00000000-A88E-4FD7-81E1-47E7CAE42C80}"/>
            </c:ext>
          </c:extLst>
        </c:ser>
        <c:dLbls>
          <c:showLegendKey val="0"/>
          <c:showVal val="0"/>
          <c:showCatName val="0"/>
          <c:showSerName val="0"/>
          <c:showPercent val="0"/>
          <c:showBubbleSize val="0"/>
        </c:dLbls>
        <c:marker val="1"/>
        <c:smooth val="0"/>
        <c:axId val="340565160"/>
        <c:axId val="340565552"/>
      </c:lineChart>
      <c:catAx>
        <c:axId val="340565160"/>
        <c:scaling>
          <c:orientation val="minMax"/>
        </c:scaling>
        <c:delete val="0"/>
        <c:axPos val="b"/>
        <c:numFmt formatCode="General" sourceLinked="1"/>
        <c:majorTickMark val="out"/>
        <c:minorTickMark val="none"/>
        <c:tickLblPos val="nextTo"/>
        <c:crossAx val="340565552"/>
        <c:crosses val="autoZero"/>
        <c:auto val="1"/>
        <c:lblAlgn val="ctr"/>
        <c:lblOffset val="100"/>
        <c:noMultiLvlLbl val="0"/>
      </c:catAx>
      <c:valAx>
        <c:axId val="340565552"/>
        <c:scaling>
          <c:orientation val="minMax"/>
        </c:scaling>
        <c:delete val="0"/>
        <c:axPos val="l"/>
        <c:majorGridlines/>
        <c:numFmt formatCode="General" sourceLinked="1"/>
        <c:majorTickMark val="out"/>
        <c:minorTickMark val="none"/>
        <c:tickLblPos val="nextTo"/>
        <c:crossAx val="340565160"/>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'Flora Stevenson'!$B$169</c:f>
              <c:strCache>
                <c:ptCount val="1"/>
                <c:pt idx="0">
                  <c:v>Catchment Births (5yrs Prior)</c:v>
                </c:pt>
              </c:strCache>
            </c:strRef>
          </c:tx>
          <c:marker>
            <c:symbol val="square"/>
            <c:size val="7"/>
          </c:marker>
          <c:cat>
            <c:numRef>
              <c:f>'Flora Stevenson'!$D$168:$N$168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'Flora Stevenson'!$D$169:$N$169</c:f>
              <c:numCache>
                <c:formatCode>#,##0</c:formatCode>
                <c:ptCount val="11"/>
                <c:pt idx="0">
                  <c:v>123</c:v>
                </c:pt>
                <c:pt idx="1">
                  <c:v>120</c:v>
                </c:pt>
                <c:pt idx="2">
                  <c:v>133</c:v>
                </c:pt>
                <c:pt idx="3">
                  <c:v>126</c:v>
                </c:pt>
                <c:pt idx="4">
                  <c:v>135</c:v>
                </c:pt>
                <c:pt idx="5">
                  <c:v>166</c:v>
                </c:pt>
                <c:pt idx="6">
                  <c:v>168</c:v>
                </c:pt>
                <c:pt idx="7">
                  <c:v>133</c:v>
                </c:pt>
                <c:pt idx="8">
                  <c:v>177</c:v>
                </c:pt>
                <c:pt idx="9">
                  <c:v>149</c:v>
                </c:pt>
                <c:pt idx="10">
                  <c:v>149</c:v>
                </c:pt>
              </c:numCache>
            </c:numRef>
          </c:val>
          <c:smooth val="0"/>
          <c:extLst xmlns:c16r2="http://schemas.microsoft.com/office/drawing/2015/06/chart">
            <c:ext xmlns:c16="http://schemas.microsoft.com/office/drawing/2014/chart" uri="{C3380CC4-5D6E-409C-BE32-E72D297353CC}">
              <c16:uniqueId val="{00000000-DC08-42D5-A18E-3AF0E33EB95B}"/>
            </c:ext>
          </c:extLst>
        </c:ser>
        <c:ser>
          <c:idx val="1"/>
          <c:order val="1"/>
          <c:tx>
            <c:strRef>
              <c:f>'Flora Stevenson'!$B$170</c:f>
              <c:strCache>
                <c:ptCount val="1"/>
                <c:pt idx="0">
                  <c:v>P1 ND Catchment Population (Actual)</c:v>
                </c:pt>
              </c:strCache>
            </c:strRef>
          </c:tx>
          <c:cat>
            <c:numRef>
              <c:f>'Flora Stevenson'!$D$168:$N$168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'Flora Stevenson'!$D$170:$I$170</c:f>
              <c:numCache>
                <c:formatCode>#,##0</c:formatCode>
                <c:ptCount val="6"/>
                <c:pt idx="0">
                  <c:v>63</c:v>
                </c:pt>
                <c:pt idx="1">
                  <c:v>77</c:v>
                </c:pt>
                <c:pt idx="2">
                  <c:v>70</c:v>
                </c:pt>
                <c:pt idx="3">
                  <c:v>74</c:v>
                </c:pt>
                <c:pt idx="4">
                  <c:v>84</c:v>
                </c:pt>
                <c:pt idx="5">
                  <c:v>79</c:v>
                </c:pt>
              </c:numCache>
            </c:numRef>
          </c:val>
          <c:smooth val="0"/>
          <c:extLst xmlns:c16r2="http://schemas.microsoft.com/office/drawing/2015/06/chart">
            <c:ext xmlns:c16="http://schemas.microsoft.com/office/drawing/2014/chart" uri="{C3380CC4-5D6E-409C-BE32-E72D297353CC}">
              <c16:uniqueId val="{00000001-DC08-42D5-A18E-3AF0E33EB95B}"/>
            </c:ext>
          </c:extLst>
        </c:ser>
        <c:ser>
          <c:idx val="2"/>
          <c:order val="2"/>
          <c:tx>
            <c:strRef>
              <c:f>'Flora Stevenson'!$B$172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DC08-42D5-A18E-3AF0E33EB95B}"/>
              </c:ext>
            </c:extLst>
          </c:dPt>
          <c:dPt>
            <c:idx val="5"/>
            <c:marker>
              <c:symbol val="none"/>
            </c:marker>
            <c:bubble3D val="0"/>
            <c:extLst xmlns:c16r2="http://schemas.microsoft.com/office/drawing/2015/06/chart">
              <c:ext xmlns:c16="http://schemas.microsoft.com/office/drawing/2014/chart" uri="{C3380CC4-5D6E-409C-BE32-E72D297353CC}">
                <c16:uniqueId val="{00000003-DC08-42D5-A18E-3AF0E33EB95B}"/>
              </c:ext>
            </c:extLst>
          </c:dPt>
          <c:dPt>
            <c:idx val="6"/>
            <c:marker>
              <c:symbol val="circle"/>
              <c:size val="7"/>
            </c:marker>
            <c:bubble3D val="0"/>
            <c:extLst xmlns:c16r2="http://schemas.microsoft.com/office/drawing/2015/06/chart">
              <c:ext xmlns:c16="http://schemas.microsoft.com/office/drawing/2014/chart" uri="{C3380CC4-5D6E-409C-BE32-E72D297353CC}">
                <c16:uniqueId val="{00000004-DC08-42D5-A18E-3AF0E33EB95B}"/>
              </c:ext>
            </c:extLst>
          </c:dPt>
          <c:dPt>
            <c:idx val="7"/>
            <c:marker>
              <c:symbol val="circle"/>
              <c:size val="7"/>
            </c:marker>
            <c:bubble3D val="0"/>
            <c:extLst xmlns:c16r2="http://schemas.microsoft.com/office/drawing/2015/06/chart">
              <c:ext xmlns:c16="http://schemas.microsoft.com/office/drawing/2014/chart" uri="{C3380CC4-5D6E-409C-BE32-E72D297353CC}">
                <c16:uniqueId val="{00000005-DC08-42D5-A18E-3AF0E33EB95B}"/>
              </c:ext>
            </c:extLst>
          </c:dPt>
          <c:dPt>
            <c:idx val="8"/>
            <c:marker>
              <c:symbol val="circle"/>
              <c:size val="7"/>
            </c:marker>
            <c:bubble3D val="0"/>
            <c:extLst xmlns:c16r2="http://schemas.microsoft.com/office/drawing/2015/06/chart">
              <c:ext xmlns:c16="http://schemas.microsoft.com/office/drawing/2014/chart" uri="{C3380CC4-5D6E-409C-BE32-E72D297353CC}">
                <c16:uniqueId val="{00000006-DC08-42D5-A18E-3AF0E33EB95B}"/>
              </c:ext>
            </c:extLst>
          </c:dPt>
          <c:dPt>
            <c:idx val="9"/>
            <c:marker>
              <c:symbol val="circle"/>
              <c:size val="7"/>
            </c:marker>
            <c:bubble3D val="0"/>
            <c:extLst xmlns:c16r2="http://schemas.microsoft.com/office/drawing/2015/06/chart">
              <c:ext xmlns:c16="http://schemas.microsoft.com/office/drawing/2014/chart" uri="{C3380CC4-5D6E-409C-BE32-E72D297353CC}">
                <c16:uniqueId val="{00000007-DC08-42D5-A18E-3AF0E33EB95B}"/>
              </c:ext>
            </c:extLst>
          </c:dPt>
          <c:dPt>
            <c:idx val="10"/>
            <c:marker>
              <c:symbol val="circle"/>
              <c:size val="7"/>
            </c:marker>
            <c:bubble3D val="0"/>
            <c:extLst xmlns:c16r2="http://schemas.microsoft.com/office/drawing/2015/06/chart">
              <c:ext xmlns:c16="http://schemas.microsoft.com/office/drawing/2014/chart" uri="{C3380CC4-5D6E-409C-BE32-E72D297353CC}">
                <c16:uniqueId val="{00000008-DC08-42D5-A18E-3AF0E33EB95B}"/>
              </c:ext>
            </c:extLst>
          </c:dPt>
          <c:cat>
            <c:numRef>
              <c:f>'Flora Stevenson'!$D$168:$N$168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'Flora Stevenson'!$D$172:$N$172</c:f>
              <c:numCache>
                <c:formatCode>General</c:formatCode>
                <c:ptCount val="11"/>
                <c:pt idx="5" formatCode="0">
                  <c:v>79</c:v>
                </c:pt>
                <c:pt idx="6" formatCode="0">
                  <c:v>0</c:v>
                </c:pt>
                <c:pt idx="7" formatCode="0">
                  <c:v>79</c:v>
                </c:pt>
                <c:pt idx="8" formatCode="0">
                  <c:v>79</c:v>
                </c:pt>
                <c:pt idx="9" formatCode="0">
                  <c:v>72</c:v>
                </c:pt>
                <c:pt idx="10" formatCode="0">
                  <c:v>74</c:v>
                </c:pt>
              </c:numCache>
            </c:numRef>
          </c:val>
          <c:smooth val="0"/>
          <c:extLst xmlns:c16r2="http://schemas.microsoft.com/office/drawing/2015/06/chart">
            <c:ext xmlns:c16="http://schemas.microsoft.com/office/drawing/2014/chart" uri="{C3380CC4-5D6E-409C-BE32-E72D297353CC}">
              <c16:uniqueId val="{00000009-DC08-42D5-A18E-3AF0E33EB95B}"/>
            </c:ext>
          </c:extLst>
        </c:ser>
        <c:ser>
          <c:idx val="3"/>
          <c:order val="3"/>
          <c:tx>
            <c:strRef>
              <c:f>'Flora Stevenson'!$B$171</c:f>
              <c:strCache>
                <c:ptCount val="1"/>
                <c:pt idx="0">
                  <c:v>Actual P1 Registrations (as of Jan 2016)</c:v>
                </c:pt>
              </c:strCache>
            </c:strRef>
          </c:tx>
          <c:spPr>
            <a:ln w="15875">
              <a:noFill/>
            </a:ln>
          </c:spPr>
          <c:marker>
            <c:symbol val="diamond"/>
            <c:size val="9"/>
            <c:spPr>
              <a:solidFill>
                <a:schemeClr val="tx1"/>
              </a:solidFill>
            </c:spPr>
          </c:marker>
          <c:cat>
            <c:numRef>
              <c:f>'Flora Stevenson'!$D$168:$N$168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'Flora Stevenson'!$D$171:$M$171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DC08-42D5-A18E-3AF0E33EB95B}"/>
            </c:ext>
          </c:extLst>
        </c:ser>
        <c:dLbls>
          <c:showLegendKey val="0"/>
          <c:showVal val="0"/>
          <c:showCatName val="0"/>
          <c:showSerName val="0"/>
          <c:showPercent val="0"/>
          <c:showBubbleSize val="0"/>
        </c:dLbls>
        <c:marker val="1"/>
        <c:smooth val="0"/>
        <c:axId val="340566336"/>
        <c:axId val="340566728"/>
      </c:lineChart>
      <c:catAx>
        <c:axId val="340566336"/>
        <c:scaling>
          <c:orientation val="minMax"/>
        </c:scaling>
        <c:delete val="0"/>
        <c:axPos val="b"/>
        <c:numFmt formatCode="General" sourceLinked="1"/>
        <c:majorTickMark val="out"/>
        <c:minorTickMark val="none"/>
        <c:tickLblPos val="nextTo"/>
        <c:crossAx val="340566728"/>
        <c:crosses val="autoZero"/>
        <c:auto val="1"/>
        <c:lblAlgn val="ctr"/>
        <c:lblOffset val="100"/>
        <c:noMultiLvlLbl val="0"/>
      </c:catAx>
      <c:valAx>
        <c:axId val="340566728"/>
        <c:scaling>
          <c:orientation val="minMax"/>
        </c:scaling>
        <c:delete val="0"/>
        <c:axPos val="l"/>
        <c:majorGridlines/>
        <c:numFmt formatCode="#,##0" sourceLinked="1"/>
        <c:majorTickMark val="out"/>
        <c:minorTickMark val="none"/>
        <c:tickLblPos val="nextTo"/>
        <c:crossAx val="340566336"/>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2590-4B81-A214-72BAE87F718F}"/>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40567512"/>
        <c:axId val="340567904"/>
      </c:lineChart>
      <c:catAx>
        <c:axId val="340567512"/>
        <c:scaling>
          <c:orientation val="minMax"/>
        </c:scaling>
        <c:delete val="0"/>
        <c:axPos val="b"/>
        <c:numFmt formatCode="General" sourceLinked="1"/>
        <c:majorTickMark val="out"/>
        <c:minorTickMark val="none"/>
        <c:tickLblPos val="nextTo"/>
        <c:crossAx val="340567904"/>
        <c:crosses val="autoZero"/>
        <c:auto val="1"/>
        <c:lblAlgn val="ctr"/>
        <c:lblOffset val="100"/>
        <c:noMultiLvlLbl val="0"/>
      </c:catAx>
      <c:valAx>
        <c:axId val="340567904"/>
        <c:scaling>
          <c:orientation val="minMax"/>
        </c:scaling>
        <c:delete val="0"/>
        <c:axPos val="l"/>
        <c:majorGridlines/>
        <c:numFmt formatCode="General" sourceLinked="1"/>
        <c:majorTickMark val="out"/>
        <c:minorTickMark val="none"/>
        <c:tickLblPos val="nextTo"/>
        <c:crossAx val="340567512"/>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Forthview!$B$177:$B$190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Forthview!$J$177:$J$190</c:f>
              <c:numCache>
                <c:formatCode>General</c:formatCode>
                <c:ptCount val="14"/>
                <c:pt idx="0">
                  <c:v>0</c:v>
                </c:pt>
                <c:pt idx="1">
                  <c:v>212</c:v>
                </c:pt>
                <c:pt idx="2">
                  <c:v>209</c:v>
                </c:pt>
                <c:pt idx="3">
                  <c:v>215</c:v>
                </c:pt>
                <c:pt idx="4">
                  <c:v>238</c:v>
                </c:pt>
                <c:pt idx="5">
                  <c:v>244</c:v>
                </c:pt>
                <c:pt idx="6">
                  <c:v>262</c:v>
                </c:pt>
                <c:pt idx="7">
                  <c:v>284</c:v>
                </c:pt>
                <c:pt idx="8">
                  <c:v>327</c:v>
                </c:pt>
                <c:pt idx="9">
                  <c:v>342</c:v>
                </c:pt>
                <c:pt idx="10">
                  <c:v>356</c:v>
                </c:pt>
                <c:pt idx="11">
                  <c:v>365</c:v>
                </c:pt>
                <c:pt idx="12">
                  <c:v>363</c:v>
                </c:pt>
                <c:pt idx="13">
                  <c:v>363</c:v>
                </c:pt>
              </c:numCache>
            </c:numRef>
          </c:val>
          <c:smooth val="0"/>
          <c:extLst xmlns:c16r2="http://schemas.microsoft.com/office/drawing/2015/06/chart">
            <c:ext xmlns:c16="http://schemas.microsoft.com/office/drawing/2014/chart" uri="{C3380CC4-5D6E-409C-BE32-E72D297353CC}">
              <c16:uniqueId val="{00000000-FD41-493F-963D-02F8FC240024}"/>
            </c:ext>
          </c:extLst>
        </c:ser>
        <c:dLbls>
          <c:showLegendKey val="0"/>
          <c:showVal val="0"/>
          <c:showCatName val="0"/>
          <c:showSerName val="0"/>
          <c:showPercent val="0"/>
          <c:showBubbleSize val="0"/>
        </c:dLbls>
        <c:marker val="1"/>
        <c:smooth val="0"/>
        <c:axId val="340568688"/>
        <c:axId val="340569080"/>
      </c:lineChart>
      <c:catAx>
        <c:axId val="340568688"/>
        <c:scaling>
          <c:orientation val="minMax"/>
        </c:scaling>
        <c:delete val="0"/>
        <c:axPos val="b"/>
        <c:numFmt formatCode="General" sourceLinked="1"/>
        <c:majorTickMark val="out"/>
        <c:minorTickMark val="none"/>
        <c:tickLblPos val="nextTo"/>
        <c:crossAx val="340569080"/>
        <c:crosses val="autoZero"/>
        <c:auto val="1"/>
        <c:lblAlgn val="ctr"/>
        <c:lblOffset val="100"/>
        <c:noMultiLvlLbl val="0"/>
      </c:catAx>
      <c:valAx>
        <c:axId val="340569080"/>
        <c:scaling>
          <c:orientation val="minMax"/>
        </c:scaling>
        <c:delete val="0"/>
        <c:axPos val="l"/>
        <c:majorGridlines/>
        <c:numFmt formatCode="General" sourceLinked="1"/>
        <c:majorTickMark val="out"/>
        <c:minorTickMark val="none"/>
        <c:tickLblPos val="nextTo"/>
        <c:crossAx val="340568688"/>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Forthview!$B$169</c:f>
              <c:strCache>
                <c:ptCount val="1"/>
                <c:pt idx="0">
                  <c:v>Catchment Births (5yrs Prior)</c:v>
                </c:pt>
              </c:strCache>
            </c:strRef>
          </c:tx>
          <c:marker>
            <c:symbol val="square"/>
            <c:size val="7"/>
          </c:marker>
          <c:cat>
            <c:numRef>
              <c:f>Forthview!$D$168:$N$168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Forthview!$D$169:$N$169</c:f>
              <c:numCache>
                <c:formatCode>#,##0</c:formatCode>
                <c:ptCount val="11"/>
                <c:pt idx="0">
                  <c:v>58</c:v>
                </c:pt>
                <c:pt idx="1">
                  <c:v>93</c:v>
                </c:pt>
                <c:pt idx="2">
                  <c:v>76</c:v>
                </c:pt>
                <c:pt idx="3">
                  <c:v>82</c:v>
                </c:pt>
                <c:pt idx="4">
                  <c:v>85</c:v>
                </c:pt>
                <c:pt idx="5">
                  <c:v>78</c:v>
                </c:pt>
                <c:pt idx="6">
                  <c:v>96</c:v>
                </c:pt>
                <c:pt idx="7">
                  <c:v>86</c:v>
                </c:pt>
                <c:pt idx="8">
                  <c:v>79</c:v>
                </c:pt>
                <c:pt idx="9">
                  <c:v>102</c:v>
                </c:pt>
                <c:pt idx="10">
                  <c:v>107</c:v>
                </c:pt>
              </c:numCache>
            </c:numRef>
          </c:val>
          <c:smooth val="0"/>
          <c:extLst xmlns:c16r2="http://schemas.microsoft.com/office/drawing/2015/06/chart">
            <c:ext xmlns:c16="http://schemas.microsoft.com/office/drawing/2014/chart" uri="{C3380CC4-5D6E-409C-BE32-E72D297353CC}">
              <c16:uniqueId val="{00000000-C799-436B-84D1-31016A0B3C5F}"/>
            </c:ext>
          </c:extLst>
        </c:ser>
        <c:ser>
          <c:idx val="1"/>
          <c:order val="1"/>
          <c:tx>
            <c:strRef>
              <c:f>Forthview!$B$170</c:f>
              <c:strCache>
                <c:ptCount val="1"/>
                <c:pt idx="0">
                  <c:v>P1 ND Catchment Population (Actual)</c:v>
                </c:pt>
              </c:strCache>
            </c:strRef>
          </c:tx>
          <c:cat>
            <c:numRef>
              <c:f>Forthview!$D$168:$N$168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Forthview!$D$170:$I$170</c:f>
              <c:numCache>
                <c:formatCode>#,##0</c:formatCode>
                <c:ptCount val="6"/>
                <c:pt idx="0">
                  <c:v>54</c:v>
                </c:pt>
                <c:pt idx="1">
                  <c:v>61</c:v>
                </c:pt>
                <c:pt idx="2">
                  <c:v>67</c:v>
                </c:pt>
                <c:pt idx="3">
                  <c:v>71</c:v>
                </c:pt>
                <c:pt idx="4">
                  <c:v>66</c:v>
                </c:pt>
                <c:pt idx="5">
                  <c:v>63</c:v>
                </c:pt>
              </c:numCache>
            </c:numRef>
          </c:val>
          <c:smooth val="0"/>
          <c:extLst xmlns:c16r2="http://schemas.microsoft.com/office/drawing/2015/06/chart">
            <c:ext xmlns:c16="http://schemas.microsoft.com/office/drawing/2014/chart" uri="{C3380CC4-5D6E-409C-BE32-E72D297353CC}">
              <c16:uniqueId val="{00000001-C799-436B-84D1-31016A0B3C5F}"/>
            </c:ext>
          </c:extLst>
        </c:ser>
        <c:ser>
          <c:idx val="2"/>
          <c:order val="2"/>
          <c:tx>
            <c:strRef>
              <c:f>Forthview!$B$172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C799-436B-84D1-31016A0B3C5F}"/>
              </c:ext>
            </c:extLst>
          </c:dPt>
          <c:dPt>
            <c:idx val="5"/>
            <c:marker>
              <c:symbol val="none"/>
            </c:marker>
            <c:bubble3D val="0"/>
            <c:extLst xmlns:c16r2="http://schemas.microsoft.com/office/drawing/2015/06/chart">
              <c:ext xmlns:c16="http://schemas.microsoft.com/office/drawing/2014/chart" uri="{C3380CC4-5D6E-409C-BE32-E72D297353CC}">
                <c16:uniqueId val="{00000003-C799-436B-84D1-31016A0B3C5F}"/>
              </c:ext>
            </c:extLst>
          </c:dPt>
          <c:dPt>
            <c:idx val="6"/>
            <c:marker>
              <c:symbol val="circle"/>
              <c:size val="7"/>
            </c:marker>
            <c:bubble3D val="0"/>
            <c:extLst xmlns:c16r2="http://schemas.microsoft.com/office/drawing/2015/06/chart">
              <c:ext xmlns:c16="http://schemas.microsoft.com/office/drawing/2014/chart" uri="{C3380CC4-5D6E-409C-BE32-E72D297353CC}">
                <c16:uniqueId val="{00000004-C799-436B-84D1-31016A0B3C5F}"/>
              </c:ext>
            </c:extLst>
          </c:dPt>
          <c:dPt>
            <c:idx val="7"/>
            <c:marker>
              <c:symbol val="circle"/>
              <c:size val="7"/>
            </c:marker>
            <c:bubble3D val="0"/>
            <c:extLst xmlns:c16r2="http://schemas.microsoft.com/office/drawing/2015/06/chart">
              <c:ext xmlns:c16="http://schemas.microsoft.com/office/drawing/2014/chart" uri="{C3380CC4-5D6E-409C-BE32-E72D297353CC}">
                <c16:uniqueId val="{00000005-C799-436B-84D1-31016A0B3C5F}"/>
              </c:ext>
            </c:extLst>
          </c:dPt>
          <c:dPt>
            <c:idx val="8"/>
            <c:marker>
              <c:symbol val="circle"/>
              <c:size val="7"/>
            </c:marker>
            <c:bubble3D val="0"/>
            <c:extLst xmlns:c16r2="http://schemas.microsoft.com/office/drawing/2015/06/chart">
              <c:ext xmlns:c16="http://schemas.microsoft.com/office/drawing/2014/chart" uri="{C3380CC4-5D6E-409C-BE32-E72D297353CC}">
                <c16:uniqueId val="{00000006-C799-436B-84D1-31016A0B3C5F}"/>
              </c:ext>
            </c:extLst>
          </c:dPt>
          <c:dPt>
            <c:idx val="9"/>
            <c:marker>
              <c:symbol val="circle"/>
              <c:size val="7"/>
            </c:marker>
            <c:bubble3D val="0"/>
            <c:extLst xmlns:c16r2="http://schemas.microsoft.com/office/drawing/2015/06/chart">
              <c:ext xmlns:c16="http://schemas.microsoft.com/office/drawing/2014/chart" uri="{C3380CC4-5D6E-409C-BE32-E72D297353CC}">
                <c16:uniqueId val="{00000007-C799-436B-84D1-31016A0B3C5F}"/>
              </c:ext>
            </c:extLst>
          </c:dPt>
          <c:dPt>
            <c:idx val="10"/>
            <c:marker>
              <c:symbol val="circle"/>
              <c:size val="7"/>
            </c:marker>
            <c:bubble3D val="0"/>
            <c:extLst xmlns:c16r2="http://schemas.microsoft.com/office/drawing/2015/06/chart">
              <c:ext xmlns:c16="http://schemas.microsoft.com/office/drawing/2014/chart" uri="{C3380CC4-5D6E-409C-BE32-E72D297353CC}">
                <c16:uniqueId val="{00000008-C799-436B-84D1-31016A0B3C5F}"/>
              </c:ext>
            </c:extLst>
          </c:dPt>
          <c:cat>
            <c:numRef>
              <c:f>Forthview!$D$168:$N$168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Forthview!$D$172:$N$172</c:f>
              <c:numCache>
                <c:formatCode>General</c:formatCode>
                <c:ptCount val="11"/>
                <c:pt idx="5" formatCode="0">
                  <c:v>63</c:v>
                </c:pt>
                <c:pt idx="6" formatCode="0">
                  <c:v>0</c:v>
                </c:pt>
                <c:pt idx="7" formatCode="0">
                  <c:v>83</c:v>
                </c:pt>
                <c:pt idx="8" formatCode="0">
                  <c:v>86</c:v>
                </c:pt>
                <c:pt idx="9" formatCode="0">
                  <c:v>73</c:v>
                </c:pt>
                <c:pt idx="10" formatCode="0">
                  <c:v>83</c:v>
                </c:pt>
              </c:numCache>
            </c:numRef>
          </c:val>
          <c:smooth val="0"/>
          <c:extLst xmlns:c16r2="http://schemas.microsoft.com/office/drawing/2015/06/chart">
            <c:ext xmlns:c16="http://schemas.microsoft.com/office/drawing/2014/chart" uri="{C3380CC4-5D6E-409C-BE32-E72D297353CC}">
              <c16:uniqueId val="{00000009-C799-436B-84D1-31016A0B3C5F}"/>
            </c:ext>
          </c:extLst>
        </c:ser>
        <c:ser>
          <c:idx val="3"/>
          <c:order val="3"/>
          <c:tx>
            <c:strRef>
              <c:f>Forthview!$B$171</c:f>
              <c:strCache>
                <c:ptCount val="1"/>
                <c:pt idx="0">
                  <c:v>Actual P1 Registrations (as of Jan 2016)</c:v>
                </c:pt>
              </c:strCache>
            </c:strRef>
          </c:tx>
          <c:spPr>
            <a:ln w="15875">
              <a:noFill/>
            </a:ln>
          </c:spPr>
          <c:marker>
            <c:symbol val="diamond"/>
            <c:size val="9"/>
            <c:spPr>
              <a:solidFill>
                <a:schemeClr val="tx1"/>
              </a:solidFill>
            </c:spPr>
          </c:marker>
          <c:cat>
            <c:numRef>
              <c:f>Forthview!$D$168:$N$168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Forthview!$D$171:$M$171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C799-436B-84D1-31016A0B3C5F}"/>
            </c:ext>
          </c:extLst>
        </c:ser>
        <c:dLbls>
          <c:showLegendKey val="0"/>
          <c:showVal val="0"/>
          <c:showCatName val="0"/>
          <c:showSerName val="0"/>
          <c:showPercent val="0"/>
          <c:showBubbleSize val="0"/>
        </c:dLbls>
        <c:marker val="1"/>
        <c:smooth val="0"/>
        <c:axId val="340569864"/>
        <c:axId val="340570256"/>
      </c:lineChart>
      <c:catAx>
        <c:axId val="340569864"/>
        <c:scaling>
          <c:orientation val="minMax"/>
        </c:scaling>
        <c:delete val="0"/>
        <c:axPos val="b"/>
        <c:numFmt formatCode="General" sourceLinked="1"/>
        <c:majorTickMark val="out"/>
        <c:minorTickMark val="none"/>
        <c:tickLblPos val="nextTo"/>
        <c:crossAx val="340570256"/>
        <c:crosses val="autoZero"/>
        <c:auto val="1"/>
        <c:lblAlgn val="ctr"/>
        <c:lblOffset val="100"/>
        <c:noMultiLvlLbl val="0"/>
      </c:catAx>
      <c:valAx>
        <c:axId val="340570256"/>
        <c:scaling>
          <c:orientation val="minMax"/>
        </c:scaling>
        <c:delete val="0"/>
        <c:axPos val="l"/>
        <c:majorGridlines/>
        <c:numFmt formatCode="#,##0" sourceLinked="1"/>
        <c:majorTickMark val="out"/>
        <c:minorTickMark val="none"/>
        <c:tickLblPos val="nextTo"/>
        <c:crossAx val="340569864"/>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2CF1-429D-8EC5-69F59CEBEAA9}"/>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40571040"/>
        <c:axId val="340571432"/>
      </c:lineChart>
      <c:catAx>
        <c:axId val="340571040"/>
        <c:scaling>
          <c:orientation val="minMax"/>
        </c:scaling>
        <c:delete val="0"/>
        <c:axPos val="b"/>
        <c:numFmt formatCode="General" sourceLinked="1"/>
        <c:majorTickMark val="out"/>
        <c:minorTickMark val="none"/>
        <c:tickLblPos val="nextTo"/>
        <c:crossAx val="340571432"/>
        <c:crosses val="autoZero"/>
        <c:auto val="1"/>
        <c:lblAlgn val="ctr"/>
        <c:lblOffset val="100"/>
        <c:noMultiLvlLbl val="0"/>
      </c:catAx>
      <c:valAx>
        <c:axId val="340571432"/>
        <c:scaling>
          <c:orientation val="minMax"/>
        </c:scaling>
        <c:delete val="0"/>
        <c:axPos val="l"/>
        <c:majorGridlines/>
        <c:numFmt formatCode="General" sourceLinked="1"/>
        <c:majorTickMark val="out"/>
        <c:minorTickMark val="none"/>
        <c:tickLblPos val="nextTo"/>
        <c:crossAx val="340571040"/>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'Fox Covert ND'!$B$177:$B$190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'Fox Covert ND'!$J$177:$J$190</c:f>
              <c:numCache>
                <c:formatCode>General</c:formatCode>
                <c:ptCount val="14"/>
                <c:pt idx="0">
                  <c:v>175</c:v>
                </c:pt>
                <c:pt idx="1">
                  <c:v>163</c:v>
                </c:pt>
                <c:pt idx="2">
                  <c:v>144</c:v>
                </c:pt>
                <c:pt idx="3">
                  <c:v>152</c:v>
                </c:pt>
                <c:pt idx="4">
                  <c:v>136</c:v>
                </c:pt>
                <c:pt idx="5">
                  <c:v>137</c:v>
                </c:pt>
                <c:pt idx="6">
                  <c:v>140</c:v>
                </c:pt>
                <c:pt idx="7">
                  <c:v>147</c:v>
                </c:pt>
                <c:pt idx="8">
                  <c:v>171</c:v>
                </c:pt>
                <c:pt idx="9">
                  <c:v>196</c:v>
                </c:pt>
                <c:pt idx="10">
                  <c:v>201</c:v>
                </c:pt>
                <c:pt idx="11">
                  <c:v>210</c:v>
                </c:pt>
                <c:pt idx="12">
                  <c:v>225</c:v>
                </c:pt>
                <c:pt idx="13">
                  <c:v>220</c:v>
                </c:pt>
              </c:numCache>
            </c:numRef>
          </c:val>
          <c:smooth val="0"/>
          <c:extLst xmlns:c16r2="http://schemas.microsoft.com/office/drawing/2015/06/chart">
            <c:ext xmlns:c16="http://schemas.microsoft.com/office/drawing/2014/chart" uri="{C3380CC4-5D6E-409C-BE32-E72D297353CC}">
              <c16:uniqueId val="{00000000-EB0B-4DFC-B66E-80EE961CCDBD}"/>
            </c:ext>
          </c:extLst>
        </c:ser>
        <c:dLbls>
          <c:showLegendKey val="0"/>
          <c:showVal val="0"/>
          <c:showCatName val="0"/>
          <c:showSerName val="0"/>
          <c:showPercent val="0"/>
          <c:showBubbleSize val="0"/>
        </c:dLbls>
        <c:marker val="1"/>
        <c:smooth val="0"/>
        <c:axId val="340572216"/>
        <c:axId val="340572608"/>
      </c:lineChart>
      <c:catAx>
        <c:axId val="340572216"/>
        <c:scaling>
          <c:orientation val="minMax"/>
        </c:scaling>
        <c:delete val="0"/>
        <c:axPos val="b"/>
        <c:numFmt formatCode="General" sourceLinked="1"/>
        <c:majorTickMark val="out"/>
        <c:minorTickMark val="none"/>
        <c:tickLblPos val="nextTo"/>
        <c:crossAx val="340572608"/>
        <c:crosses val="autoZero"/>
        <c:auto val="1"/>
        <c:lblAlgn val="ctr"/>
        <c:lblOffset val="100"/>
        <c:noMultiLvlLbl val="0"/>
      </c:catAx>
      <c:valAx>
        <c:axId val="340572608"/>
        <c:scaling>
          <c:orientation val="minMax"/>
        </c:scaling>
        <c:delete val="0"/>
        <c:axPos val="l"/>
        <c:majorGridlines/>
        <c:numFmt formatCode="General" sourceLinked="1"/>
        <c:majorTickMark val="out"/>
        <c:minorTickMark val="none"/>
        <c:tickLblPos val="nextTo"/>
        <c:crossAx val="340572216"/>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'Fox Covert ND'!$B$169</c:f>
              <c:strCache>
                <c:ptCount val="1"/>
                <c:pt idx="0">
                  <c:v>Catchment Births (5yrs Prior)</c:v>
                </c:pt>
              </c:strCache>
            </c:strRef>
          </c:tx>
          <c:marker>
            <c:symbol val="square"/>
            <c:size val="7"/>
          </c:marker>
          <c:cat>
            <c:numRef>
              <c:f>'Fox Covert ND'!$D$168:$N$168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'Fox Covert ND'!$D$169:$N$169</c:f>
              <c:numCache>
                <c:formatCode>#,##0</c:formatCode>
                <c:ptCount val="11"/>
                <c:pt idx="0">
                  <c:v>23</c:v>
                </c:pt>
                <c:pt idx="1">
                  <c:v>18</c:v>
                </c:pt>
                <c:pt idx="2">
                  <c:v>32</c:v>
                </c:pt>
                <c:pt idx="3">
                  <c:v>32</c:v>
                </c:pt>
                <c:pt idx="4">
                  <c:v>28</c:v>
                </c:pt>
                <c:pt idx="5">
                  <c:v>34</c:v>
                </c:pt>
                <c:pt idx="6">
                  <c:v>40</c:v>
                </c:pt>
                <c:pt idx="7">
                  <c:v>37</c:v>
                </c:pt>
                <c:pt idx="8">
                  <c:v>45</c:v>
                </c:pt>
                <c:pt idx="9">
                  <c:v>36</c:v>
                </c:pt>
                <c:pt idx="10">
                  <c:v>50</c:v>
                </c:pt>
              </c:numCache>
            </c:numRef>
          </c:val>
          <c:smooth val="0"/>
          <c:extLst xmlns:c16r2="http://schemas.microsoft.com/office/drawing/2015/06/chart">
            <c:ext xmlns:c16="http://schemas.microsoft.com/office/drawing/2014/chart" uri="{C3380CC4-5D6E-409C-BE32-E72D297353CC}">
              <c16:uniqueId val="{00000000-F433-4D9A-8A88-4C6AA2976DD8}"/>
            </c:ext>
          </c:extLst>
        </c:ser>
        <c:ser>
          <c:idx val="1"/>
          <c:order val="1"/>
          <c:tx>
            <c:strRef>
              <c:f>'Fox Covert ND'!$B$170</c:f>
              <c:strCache>
                <c:ptCount val="1"/>
                <c:pt idx="0">
                  <c:v>P1 ND Catchment Population (Actual)</c:v>
                </c:pt>
              </c:strCache>
            </c:strRef>
          </c:tx>
          <c:cat>
            <c:numRef>
              <c:f>'Fox Covert ND'!$D$168:$N$168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'Fox Covert ND'!$D$170:$I$170</c:f>
              <c:numCache>
                <c:formatCode>#,##0</c:formatCode>
                <c:ptCount val="6"/>
                <c:pt idx="0">
                  <c:v>19</c:v>
                </c:pt>
                <c:pt idx="1">
                  <c:v>27</c:v>
                </c:pt>
                <c:pt idx="2">
                  <c:v>24</c:v>
                </c:pt>
                <c:pt idx="3">
                  <c:v>39</c:v>
                </c:pt>
                <c:pt idx="4">
                  <c:v>34</c:v>
                </c:pt>
                <c:pt idx="5">
                  <c:v>34</c:v>
                </c:pt>
              </c:numCache>
            </c:numRef>
          </c:val>
          <c:smooth val="0"/>
          <c:extLst xmlns:c16r2="http://schemas.microsoft.com/office/drawing/2015/06/chart">
            <c:ext xmlns:c16="http://schemas.microsoft.com/office/drawing/2014/chart" uri="{C3380CC4-5D6E-409C-BE32-E72D297353CC}">
              <c16:uniqueId val="{00000001-F433-4D9A-8A88-4C6AA2976DD8}"/>
            </c:ext>
          </c:extLst>
        </c:ser>
        <c:ser>
          <c:idx val="2"/>
          <c:order val="2"/>
          <c:tx>
            <c:strRef>
              <c:f>'Fox Covert ND'!$B$172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F433-4D9A-8A88-4C6AA2976DD8}"/>
              </c:ext>
            </c:extLst>
          </c:dPt>
          <c:dPt>
            <c:idx val="5"/>
            <c:marker>
              <c:symbol val="none"/>
            </c:marker>
            <c:bubble3D val="0"/>
            <c:extLst xmlns:c16r2="http://schemas.microsoft.com/office/drawing/2015/06/chart">
              <c:ext xmlns:c16="http://schemas.microsoft.com/office/drawing/2014/chart" uri="{C3380CC4-5D6E-409C-BE32-E72D297353CC}">
                <c16:uniqueId val="{00000003-F433-4D9A-8A88-4C6AA2976DD8}"/>
              </c:ext>
            </c:extLst>
          </c:dPt>
          <c:dPt>
            <c:idx val="6"/>
            <c:marker>
              <c:symbol val="circle"/>
              <c:size val="7"/>
            </c:marker>
            <c:bubble3D val="0"/>
            <c:extLst xmlns:c16r2="http://schemas.microsoft.com/office/drawing/2015/06/chart">
              <c:ext xmlns:c16="http://schemas.microsoft.com/office/drawing/2014/chart" uri="{C3380CC4-5D6E-409C-BE32-E72D297353CC}">
                <c16:uniqueId val="{00000004-F433-4D9A-8A88-4C6AA2976DD8}"/>
              </c:ext>
            </c:extLst>
          </c:dPt>
          <c:dPt>
            <c:idx val="7"/>
            <c:marker>
              <c:symbol val="circle"/>
              <c:size val="7"/>
            </c:marker>
            <c:bubble3D val="0"/>
            <c:extLst xmlns:c16r2="http://schemas.microsoft.com/office/drawing/2015/06/chart">
              <c:ext xmlns:c16="http://schemas.microsoft.com/office/drawing/2014/chart" uri="{C3380CC4-5D6E-409C-BE32-E72D297353CC}">
                <c16:uniqueId val="{00000005-F433-4D9A-8A88-4C6AA2976DD8}"/>
              </c:ext>
            </c:extLst>
          </c:dPt>
          <c:dPt>
            <c:idx val="8"/>
            <c:marker>
              <c:symbol val="circle"/>
              <c:size val="7"/>
            </c:marker>
            <c:bubble3D val="0"/>
            <c:extLst xmlns:c16r2="http://schemas.microsoft.com/office/drawing/2015/06/chart">
              <c:ext xmlns:c16="http://schemas.microsoft.com/office/drawing/2014/chart" uri="{C3380CC4-5D6E-409C-BE32-E72D297353CC}">
                <c16:uniqueId val="{00000006-F433-4D9A-8A88-4C6AA2976DD8}"/>
              </c:ext>
            </c:extLst>
          </c:dPt>
          <c:cat>
            <c:numRef>
              <c:f>'Fox Covert ND'!$D$168:$N$168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'Fox Covert ND'!$D$172:$N$172</c:f>
              <c:numCache>
                <c:formatCode>General</c:formatCode>
                <c:ptCount val="11"/>
                <c:pt idx="5" formatCode="0">
                  <c:v>34</c:v>
                </c:pt>
                <c:pt idx="6" formatCode="0">
                  <c:v>0</c:v>
                </c:pt>
                <c:pt idx="7" formatCode="0">
                  <c:v>41</c:v>
                </c:pt>
                <c:pt idx="8" formatCode="0">
                  <c:v>56</c:v>
                </c:pt>
                <c:pt idx="9" formatCode="0">
                  <c:v>46</c:v>
                </c:pt>
                <c:pt idx="10" formatCode="0">
                  <c:v>42</c:v>
                </c:pt>
              </c:numCache>
            </c:numRef>
          </c:val>
          <c:smooth val="0"/>
          <c:extLst xmlns:c16r2="http://schemas.microsoft.com/office/drawing/2015/06/chart">
            <c:ext xmlns:c16="http://schemas.microsoft.com/office/drawing/2014/chart" uri="{C3380CC4-5D6E-409C-BE32-E72D297353CC}">
              <c16:uniqueId val="{00000007-F433-4D9A-8A88-4C6AA2976DD8}"/>
            </c:ext>
          </c:extLst>
        </c:ser>
        <c:ser>
          <c:idx val="3"/>
          <c:order val="3"/>
          <c:tx>
            <c:strRef>
              <c:f>'Fox Covert ND'!$B$171</c:f>
              <c:strCache>
                <c:ptCount val="1"/>
                <c:pt idx="0">
                  <c:v>Actual P1 Registrations (as of Jan 2016)</c:v>
                </c:pt>
              </c:strCache>
            </c:strRef>
          </c:tx>
          <c:spPr>
            <a:ln w="15875">
              <a:noFill/>
            </a:ln>
          </c:spPr>
          <c:marker>
            <c:symbol val="diamond"/>
            <c:size val="9"/>
            <c:spPr>
              <a:solidFill>
                <a:schemeClr val="tx1"/>
              </a:solidFill>
            </c:spPr>
          </c:marker>
          <c:cat>
            <c:numRef>
              <c:f>'Fox Covert ND'!$D$168:$N$168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'Fox Covert ND'!$D$171:$M$171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8-F433-4D9A-8A88-4C6AA2976DD8}"/>
            </c:ext>
          </c:extLst>
        </c:ser>
        <c:dLbls>
          <c:showLegendKey val="0"/>
          <c:showVal val="0"/>
          <c:showCatName val="0"/>
          <c:showSerName val="0"/>
          <c:showPercent val="0"/>
          <c:showBubbleSize val="0"/>
        </c:dLbls>
        <c:marker val="1"/>
        <c:smooth val="0"/>
        <c:axId val="340573392"/>
        <c:axId val="340573784"/>
      </c:lineChart>
      <c:catAx>
        <c:axId val="340573392"/>
        <c:scaling>
          <c:orientation val="minMax"/>
        </c:scaling>
        <c:delete val="0"/>
        <c:axPos val="b"/>
        <c:numFmt formatCode="General" sourceLinked="1"/>
        <c:majorTickMark val="out"/>
        <c:minorTickMark val="none"/>
        <c:tickLblPos val="nextTo"/>
        <c:crossAx val="340573784"/>
        <c:crosses val="autoZero"/>
        <c:auto val="1"/>
        <c:lblAlgn val="ctr"/>
        <c:lblOffset val="100"/>
        <c:noMultiLvlLbl val="0"/>
      </c:catAx>
      <c:valAx>
        <c:axId val="340573784"/>
        <c:scaling>
          <c:orientation val="minMax"/>
        </c:scaling>
        <c:delete val="0"/>
        <c:axPos val="l"/>
        <c:majorGridlines/>
        <c:numFmt formatCode="#,##0" sourceLinked="1"/>
        <c:majorTickMark val="out"/>
        <c:minorTickMark val="none"/>
        <c:tickLblPos val="nextTo"/>
        <c:crossAx val="340573392"/>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3016-4DAB-9866-C9DB08092173}"/>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40574568"/>
        <c:axId val="340574960"/>
      </c:lineChart>
      <c:catAx>
        <c:axId val="340574568"/>
        <c:scaling>
          <c:orientation val="minMax"/>
        </c:scaling>
        <c:delete val="0"/>
        <c:axPos val="b"/>
        <c:numFmt formatCode="General" sourceLinked="1"/>
        <c:majorTickMark val="out"/>
        <c:minorTickMark val="none"/>
        <c:tickLblPos val="nextTo"/>
        <c:crossAx val="340574960"/>
        <c:crosses val="autoZero"/>
        <c:auto val="1"/>
        <c:lblAlgn val="ctr"/>
        <c:lblOffset val="100"/>
        <c:noMultiLvlLbl val="0"/>
      </c:catAx>
      <c:valAx>
        <c:axId val="340574960"/>
        <c:scaling>
          <c:orientation val="minMax"/>
        </c:scaling>
        <c:delete val="0"/>
        <c:axPos val="l"/>
        <c:majorGridlines/>
        <c:numFmt formatCode="General" sourceLinked="1"/>
        <c:majorTickMark val="out"/>
        <c:minorTickMark val="none"/>
        <c:tickLblPos val="nextTo"/>
        <c:crossAx val="340574568"/>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'Fox Covert RC'!$B$177:$B$190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'Fox Covert RC'!$J$177:$J$190</c:f>
              <c:numCache>
                <c:formatCode>General</c:formatCode>
                <c:ptCount val="14"/>
                <c:pt idx="0">
                  <c:v>164</c:v>
                </c:pt>
                <c:pt idx="1">
                  <c:v>158</c:v>
                </c:pt>
                <c:pt idx="2">
                  <c:v>148</c:v>
                </c:pt>
                <c:pt idx="3">
                  <c:v>156</c:v>
                </c:pt>
                <c:pt idx="4">
                  <c:v>143</c:v>
                </c:pt>
                <c:pt idx="5">
                  <c:v>145</c:v>
                </c:pt>
                <c:pt idx="6">
                  <c:v>149</c:v>
                </c:pt>
                <c:pt idx="7">
                  <c:v>150</c:v>
                </c:pt>
                <c:pt idx="8">
                  <c:v>150</c:v>
                </c:pt>
                <c:pt idx="9">
                  <c:v>162</c:v>
                </c:pt>
                <c:pt idx="10">
                  <c:v>166</c:v>
                </c:pt>
                <c:pt idx="11">
                  <c:v>174</c:v>
                </c:pt>
                <c:pt idx="12">
                  <c:v>165</c:v>
                </c:pt>
                <c:pt idx="13">
                  <c:v>174</c:v>
                </c:pt>
              </c:numCache>
            </c:numRef>
          </c:val>
          <c:smooth val="0"/>
          <c:extLst xmlns:c16r2="http://schemas.microsoft.com/office/drawing/2015/06/chart">
            <c:ext xmlns:c16="http://schemas.microsoft.com/office/drawing/2014/chart" uri="{C3380CC4-5D6E-409C-BE32-E72D297353CC}">
              <c16:uniqueId val="{00000000-DD2F-4AE6-ACD9-1830764266F9}"/>
            </c:ext>
          </c:extLst>
        </c:ser>
        <c:dLbls>
          <c:showLegendKey val="0"/>
          <c:showVal val="0"/>
          <c:showCatName val="0"/>
          <c:showSerName val="0"/>
          <c:showPercent val="0"/>
          <c:showBubbleSize val="0"/>
        </c:dLbls>
        <c:marker val="1"/>
        <c:smooth val="0"/>
        <c:axId val="340575744"/>
        <c:axId val="340576136"/>
      </c:lineChart>
      <c:catAx>
        <c:axId val="340575744"/>
        <c:scaling>
          <c:orientation val="minMax"/>
        </c:scaling>
        <c:delete val="0"/>
        <c:axPos val="b"/>
        <c:numFmt formatCode="General" sourceLinked="1"/>
        <c:majorTickMark val="out"/>
        <c:minorTickMark val="none"/>
        <c:tickLblPos val="nextTo"/>
        <c:crossAx val="340576136"/>
        <c:crosses val="autoZero"/>
        <c:auto val="1"/>
        <c:lblAlgn val="ctr"/>
        <c:lblOffset val="100"/>
        <c:noMultiLvlLbl val="0"/>
      </c:catAx>
      <c:valAx>
        <c:axId val="340576136"/>
        <c:scaling>
          <c:orientation val="minMax"/>
        </c:scaling>
        <c:delete val="0"/>
        <c:axPos val="l"/>
        <c:majorGridlines/>
        <c:numFmt formatCode="General" sourceLinked="1"/>
        <c:majorTickMark val="out"/>
        <c:minorTickMark val="none"/>
        <c:tickLblPos val="nextTo"/>
        <c:crossAx val="340575744"/>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'Fox Covert RC'!$B$169</c:f>
              <c:strCache>
                <c:ptCount val="1"/>
                <c:pt idx="0">
                  <c:v>Catchment Births (5yrs Prior)</c:v>
                </c:pt>
              </c:strCache>
            </c:strRef>
          </c:tx>
          <c:cat>
            <c:numRef>
              <c:f>'Fox Covert RC'!$D$168:$M$168</c:f>
              <c:numCache>
                <c:formatCode>General</c:formatCode>
                <c:ptCount val="10"/>
                <c:pt idx="0">
                  <c:v>2010</c:v>
                </c:pt>
                <c:pt idx="1">
                  <c:v>2011</c:v>
                </c:pt>
                <c:pt idx="2">
                  <c:v>2012</c:v>
                </c:pt>
                <c:pt idx="3">
                  <c:v>2013</c:v>
                </c:pt>
                <c:pt idx="4">
                  <c:v>2014</c:v>
                </c:pt>
                <c:pt idx="5">
                  <c:v>2015</c:v>
                </c:pt>
                <c:pt idx="6">
                  <c:v>2016</c:v>
                </c:pt>
                <c:pt idx="7">
                  <c:v>2017</c:v>
                </c:pt>
                <c:pt idx="8">
                  <c:v>2018</c:v>
                </c:pt>
                <c:pt idx="9">
                  <c:v>2019</c:v>
                </c:pt>
              </c:numCache>
            </c:numRef>
          </c:cat>
          <c:val>
            <c:numRef>
              <c:f>'Fox Covert RC'!$D$169:$M$169</c:f>
              <c:numCache>
                <c:formatCode>#,##0</c:formatCode>
                <c:ptCount val="10"/>
                <c:pt idx="0">
                  <c:v>442</c:v>
                </c:pt>
                <c:pt idx="1">
                  <c:v>484</c:v>
                </c:pt>
                <c:pt idx="2">
                  <c:v>506</c:v>
                </c:pt>
                <c:pt idx="3">
                  <c:v>518</c:v>
                </c:pt>
                <c:pt idx="4">
                  <c:v>524</c:v>
                </c:pt>
                <c:pt idx="5">
                  <c:v>528</c:v>
                </c:pt>
                <c:pt idx="6">
                  <c:v>541</c:v>
                </c:pt>
                <c:pt idx="7">
                  <c:v>536</c:v>
                </c:pt>
                <c:pt idx="8">
                  <c:v>566</c:v>
                </c:pt>
                <c:pt idx="9">
                  <c:v>534</c:v>
                </c:pt>
              </c:numCache>
            </c:numRef>
          </c:val>
          <c:smooth val="0"/>
          <c:extLst xmlns:c16r2="http://schemas.microsoft.com/office/drawing/2015/06/chart">
            <c:ext xmlns:c16="http://schemas.microsoft.com/office/drawing/2014/chart" uri="{C3380CC4-5D6E-409C-BE32-E72D297353CC}">
              <c16:uniqueId val="{00000000-8BDE-45AA-AA20-B2E9C7458976}"/>
            </c:ext>
          </c:extLst>
        </c:ser>
        <c:dLbls>
          <c:showLegendKey val="0"/>
          <c:showVal val="0"/>
          <c:showCatName val="0"/>
          <c:showSerName val="0"/>
          <c:showPercent val="0"/>
          <c:showBubbleSize val="0"/>
        </c:dLbls>
        <c:marker val="1"/>
        <c:smooth val="0"/>
        <c:axId val="340576920"/>
        <c:axId val="340577312"/>
      </c:lineChart>
      <c:catAx>
        <c:axId val="340576920"/>
        <c:scaling>
          <c:orientation val="minMax"/>
        </c:scaling>
        <c:delete val="0"/>
        <c:axPos val="b"/>
        <c:numFmt formatCode="General" sourceLinked="1"/>
        <c:majorTickMark val="out"/>
        <c:minorTickMark val="none"/>
        <c:tickLblPos val="nextTo"/>
        <c:crossAx val="340577312"/>
        <c:crosses val="autoZero"/>
        <c:auto val="1"/>
        <c:lblAlgn val="ctr"/>
        <c:lblOffset val="100"/>
        <c:noMultiLvlLbl val="0"/>
      </c:catAx>
      <c:valAx>
        <c:axId val="340577312"/>
        <c:scaling>
          <c:orientation val="minMax"/>
        </c:scaling>
        <c:delete val="0"/>
        <c:axPos val="l"/>
        <c:majorGridlines/>
        <c:numFmt formatCode="#,##0" sourceLinked="1"/>
        <c:majorTickMark val="out"/>
        <c:minorTickMark val="none"/>
        <c:tickLblPos val="nextTo"/>
        <c:crossAx val="340576920"/>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B719-4F9C-B02F-BEEE9A9F4DE9}"/>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41965216"/>
        <c:axId val="341965608"/>
      </c:lineChart>
      <c:catAx>
        <c:axId val="341965216"/>
        <c:scaling>
          <c:orientation val="minMax"/>
        </c:scaling>
        <c:delete val="0"/>
        <c:axPos val="b"/>
        <c:numFmt formatCode="General" sourceLinked="1"/>
        <c:majorTickMark val="out"/>
        <c:minorTickMark val="none"/>
        <c:tickLblPos val="nextTo"/>
        <c:crossAx val="341965608"/>
        <c:crosses val="autoZero"/>
        <c:auto val="1"/>
        <c:lblAlgn val="ctr"/>
        <c:lblOffset val="100"/>
        <c:noMultiLvlLbl val="0"/>
      </c:catAx>
      <c:valAx>
        <c:axId val="341965608"/>
        <c:scaling>
          <c:orientation val="minMax"/>
        </c:scaling>
        <c:delete val="0"/>
        <c:axPos val="l"/>
        <c:majorGridlines/>
        <c:numFmt formatCode="General" sourceLinked="1"/>
        <c:majorTickMark val="out"/>
        <c:minorTickMark val="none"/>
        <c:tickLblPos val="nextTo"/>
        <c:crossAx val="341965216"/>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Gilmerton!$B$177:$B$190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Gilmerton!$J$177:$J$190</c:f>
              <c:numCache>
                <c:formatCode>General</c:formatCode>
                <c:ptCount val="14"/>
                <c:pt idx="0">
                  <c:v>433</c:v>
                </c:pt>
                <c:pt idx="1">
                  <c:v>421</c:v>
                </c:pt>
                <c:pt idx="2">
                  <c:v>415</c:v>
                </c:pt>
                <c:pt idx="3">
                  <c:v>414</c:v>
                </c:pt>
                <c:pt idx="4">
                  <c:v>416</c:v>
                </c:pt>
                <c:pt idx="5">
                  <c:v>383</c:v>
                </c:pt>
                <c:pt idx="6">
                  <c:v>356</c:v>
                </c:pt>
                <c:pt idx="7">
                  <c:v>360</c:v>
                </c:pt>
                <c:pt idx="8">
                  <c:v>352</c:v>
                </c:pt>
                <c:pt idx="9">
                  <c:v>346</c:v>
                </c:pt>
                <c:pt idx="10">
                  <c:v>367</c:v>
                </c:pt>
                <c:pt idx="11">
                  <c:v>400</c:v>
                </c:pt>
                <c:pt idx="12">
                  <c:v>421</c:v>
                </c:pt>
                <c:pt idx="13">
                  <c:v>449</c:v>
                </c:pt>
              </c:numCache>
            </c:numRef>
          </c:val>
          <c:smooth val="0"/>
          <c:extLst xmlns:c16r2="http://schemas.microsoft.com/office/drawing/2015/06/chart">
            <c:ext xmlns:c16="http://schemas.microsoft.com/office/drawing/2014/chart" uri="{C3380CC4-5D6E-409C-BE32-E72D297353CC}">
              <c16:uniqueId val="{00000000-97A6-426A-B67C-F4FFAF518A1F}"/>
            </c:ext>
          </c:extLst>
        </c:ser>
        <c:dLbls>
          <c:showLegendKey val="0"/>
          <c:showVal val="0"/>
          <c:showCatName val="0"/>
          <c:showSerName val="0"/>
          <c:showPercent val="0"/>
          <c:showBubbleSize val="0"/>
        </c:dLbls>
        <c:marker val="1"/>
        <c:smooth val="0"/>
        <c:axId val="341966392"/>
        <c:axId val="341966784"/>
      </c:lineChart>
      <c:catAx>
        <c:axId val="341966392"/>
        <c:scaling>
          <c:orientation val="minMax"/>
        </c:scaling>
        <c:delete val="0"/>
        <c:axPos val="b"/>
        <c:numFmt formatCode="General" sourceLinked="1"/>
        <c:majorTickMark val="out"/>
        <c:minorTickMark val="none"/>
        <c:tickLblPos val="nextTo"/>
        <c:crossAx val="341966784"/>
        <c:crosses val="autoZero"/>
        <c:auto val="1"/>
        <c:lblAlgn val="ctr"/>
        <c:lblOffset val="100"/>
        <c:noMultiLvlLbl val="0"/>
      </c:catAx>
      <c:valAx>
        <c:axId val="341966784"/>
        <c:scaling>
          <c:orientation val="minMax"/>
        </c:scaling>
        <c:delete val="0"/>
        <c:axPos val="l"/>
        <c:majorGridlines/>
        <c:numFmt formatCode="General" sourceLinked="1"/>
        <c:majorTickMark val="out"/>
        <c:minorTickMark val="none"/>
        <c:tickLblPos val="nextTo"/>
        <c:crossAx val="341966392"/>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Gilmerton!$B$169</c:f>
              <c:strCache>
                <c:ptCount val="1"/>
                <c:pt idx="0">
                  <c:v>Catchment Births (5yrs Prior)</c:v>
                </c:pt>
              </c:strCache>
            </c:strRef>
          </c:tx>
          <c:marker>
            <c:symbol val="square"/>
            <c:size val="7"/>
          </c:marker>
          <c:cat>
            <c:numRef>
              <c:f>Gilmerton!$D$168:$N$168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Gilmerton!$D$169:$N$169</c:f>
              <c:numCache>
                <c:formatCode>#,##0</c:formatCode>
                <c:ptCount val="11"/>
                <c:pt idx="0">
                  <c:v>106</c:v>
                </c:pt>
                <c:pt idx="1">
                  <c:v>99</c:v>
                </c:pt>
                <c:pt idx="2">
                  <c:v>98</c:v>
                </c:pt>
                <c:pt idx="3">
                  <c:v>85</c:v>
                </c:pt>
                <c:pt idx="4">
                  <c:v>112</c:v>
                </c:pt>
                <c:pt idx="5">
                  <c:v>100</c:v>
                </c:pt>
                <c:pt idx="6">
                  <c:v>92</c:v>
                </c:pt>
                <c:pt idx="7">
                  <c:v>94</c:v>
                </c:pt>
                <c:pt idx="8">
                  <c:v>108</c:v>
                </c:pt>
                <c:pt idx="9">
                  <c:v>105</c:v>
                </c:pt>
                <c:pt idx="10">
                  <c:v>123</c:v>
                </c:pt>
              </c:numCache>
            </c:numRef>
          </c:val>
          <c:smooth val="0"/>
          <c:extLst xmlns:c16r2="http://schemas.microsoft.com/office/drawing/2015/06/chart">
            <c:ext xmlns:c16="http://schemas.microsoft.com/office/drawing/2014/chart" uri="{C3380CC4-5D6E-409C-BE32-E72D297353CC}">
              <c16:uniqueId val="{00000000-700F-4402-91AF-56579844816C}"/>
            </c:ext>
          </c:extLst>
        </c:ser>
        <c:ser>
          <c:idx val="1"/>
          <c:order val="1"/>
          <c:tx>
            <c:strRef>
              <c:f>Gilmerton!$B$170</c:f>
              <c:strCache>
                <c:ptCount val="1"/>
                <c:pt idx="0">
                  <c:v>P1 ND Catchment Population (Actual)</c:v>
                </c:pt>
              </c:strCache>
            </c:strRef>
          </c:tx>
          <c:cat>
            <c:numRef>
              <c:f>Gilmerton!$D$168:$N$168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Gilmerton!$D$170:$I$170</c:f>
              <c:numCache>
                <c:formatCode>#,##0</c:formatCode>
                <c:ptCount val="6"/>
                <c:pt idx="0">
                  <c:v>61</c:v>
                </c:pt>
                <c:pt idx="1">
                  <c:v>63</c:v>
                </c:pt>
                <c:pt idx="2">
                  <c:v>79</c:v>
                </c:pt>
                <c:pt idx="3">
                  <c:v>94</c:v>
                </c:pt>
                <c:pt idx="4">
                  <c:v>93</c:v>
                </c:pt>
                <c:pt idx="5">
                  <c:v>87</c:v>
                </c:pt>
              </c:numCache>
            </c:numRef>
          </c:val>
          <c:smooth val="0"/>
          <c:extLst xmlns:c16r2="http://schemas.microsoft.com/office/drawing/2015/06/chart">
            <c:ext xmlns:c16="http://schemas.microsoft.com/office/drawing/2014/chart" uri="{C3380CC4-5D6E-409C-BE32-E72D297353CC}">
              <c16:uniqueId val="{00000001-700F-4402-91AF-56579844816C}"/>
            </c:ext>
          </c:extLst>
        </c:ser>
        <c:ser>
          <c:idx val="2"/>
          <c:order val="2"/>
          <c:tx>
            <c:strRef>
              <c:f>Gilmerton!$B$172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700F-4402-91AF-56579844816C}"/>
              </c:ext>
            </c:extLst>
          </c:dPt>
          <c:dPt>
            <c:idx val="5"/>
            <c:marker>
              <c:symbol val="none"/>
            </c:marker>
            <c:bubble3D val="0"/>
            <c:extLst xmlns:c16r2="http://schemas.microsoft.com/office/drawing/2015/06/chart">
              <c:ext xmlns:c16="http://schemas.microsoft.com/office/drawing/2014/chart" uri="{C3380CC4-5D6E-409C-BE32-E72D297353CC}">
                <c16:uniqueId val="{00000003-700F-4402-91AF-56579844816C}"/>
              </c:ext>
            </c:extLst>
          </c:dPt>
          <c:dPt>
            <c:idx val="6"/>
            <c:marker>
              <c:symbol val="circle"/>
              <c:size val="7"/>
            </c:marker>
            <c:bubble3D val="0"/>
            <c:extLst xmlns:c16r2="http://schemas.microsoft.com/office/drawing/2015/06/chart">
              <c:ext xmlns:c16="http://schemas.microsoft.com/office/drawing/2014/chart" uri="{C3380CC4-5D6E-409C-BE32-E72D297353CC}">
                <c16:uniqueId val="{00000004-700F-4402-91AF-56579844816C}"/>
              </c:ext>
            </c:extLst>
          </c:dPt>
          <c:dPt>
            <c:idx val="7"/>
            <c:marker>
              <c:symbol val="circle"/>
              <c:size val="7"/>
            </c:marker>
            <c:bubble3D val="0"/>
            <c:extLst xmlns:c16r2="http://schemas.microsoft.com/office/drawing/2015/06/chart">
              <c:ext xmlns:c16="http://schemas.microsoft.com/office/drawing/2014/chart" uri="{C3380CC4-5D6E-409C-BE32-E72D297353CC}">
                <c16:uniqueId val="{00000005-700F-4402-91AF-56579844816C}"/>
              </c:ext>
            </c:extLst>
          </c:dPt>
          <c:dPt>
            <c:idx val="8"/>
            <c:marker>
              <c:symbol val="circle"/>
              <c:size val="7"/>
            </c:marker>
            <c:bubble3D val="0"/>
            <c:extLst xmlns:c16r2="http://schemas.microsoft.com/office/drawing/2015/06/chart">
              <c:ext xmlns:c16="http://schemas.microsoft.com/office/drawing/2014/chart" uri="{C3380CC4-5D6E-409C-BE32-E72D297353CC}">
                <c16:uniqueId val="{00000006-700F-4402-91AF-56579844816C}"/>
              </c:ext>
            </c:extLst>
          </c:dPt>
          <c:dPt>
            <c:idx val="9"/>
            <c:marker>
              <c:symbol val="circle"/>
              <c:size val="7"/>
            </c:marker>
            <c:bubble3D val="0"/>
            <c:extLst xmlns:c16r2="http://schemas.microsoft.com/office/drawing/2015/06/chart">
              <c:ext xmlns:c16="http://schemas.microsoft.com/office/drawing/2014/chart" uri="{C3380CC4-5D6E-409C-BE32-E72D297353CC}">
                <c16:uniqueId val="{00000007-700F-4402-91AF-56579844816C}"/>
              </c:ext>
            </c:extLst>
          </c:dPt>
          <c:dPt>
            <c:idx val="10"/>
            <c:marker>
              <c:symbol val="circle"/>
              <c:size val="7"/>
            </c:marker>
            <c:bubble3D val="0"/>
            <c:extLst xmlns:c16r2="http://schemas.microsoft.com/office/drawing/2015/06/chart">
              <c:ext xmlns:c16="http://schemas.microsoft.com/office/drawing/2014/chart" uri="{C3380CC4-5D6E-409C-BE32-E72D297353CC}">
                <c16:uniqueId val="{00000008-700F-4402-91AF-56579844816C}"/>
              </c:ext>
            </c:extLst>
          </c:dPt>
          <c:cat>
            <c:numRef>
              <c:f>Gilmerton!$D$168:$N$168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Gilmerton!$D$172:$N$172</c:f>
              <c:numCache>
                <c:formatCode>General</c:formatCode>
                <c:ptCount val="11"/>
                <c:pt idx="5" formatCode="0">
                  <c:v>87</c:v>
                </c:pt>
                <c:pt idx="6" formatCode="0">
                  <c:v>0</c:v>
                </c:pt>
                <c:pt idx="7" formatCode="0">
                  <c:v>81</c:v>
                </c:pt>
                <c:pt idx="8" formatCode="0">
                  <c:v>102</c:v>
                </c:pt>
                <c:pt idx="9" formatCode="0">
                  <c:v>98</c:v>
                </c:pt>
                <c:pt idx="10" formatCode="0">
                  <c:v>111</c:v>
                </c:pt>
              </c:numCache>
            </c:numRef>
          </c:val>
          <c:smooth val="0"/>
          <c:extLst xmlns:c16r2="http://schemas.microsoft.com/office/drawing/2015/06/chart">
            <c:ext xmlns:c16="http://schemas.microsoft.com/office/drawing/2014/chart" uri="{C3380CC4-5D6E-409C-BE32-E72D297353CC}">
              <c16:uniqueId val="{00000009-700F-4402-91AF-56579844816C}"/>
            </c:ext>
          </c:extLst>
        </c:ser>
        <c:ser>
          <c:idx val="3"/>
          <c:order val="3"/>
          <c:tx>
            <c:strRef>
              <c:f>Gilmerton!$B$171</c:f>
              <c:strCache>
                <c:ptCount val="1"/>
                <c:pt idx="0">
                  <c:v>Actual P1 Registrations (as of Jan 2016)</c:v>
                </c:pt>
              </c:strCache>
            </c:strRef>
          </c:tx>
          <c:spPr>
            <a:ln w="15875">
              <a:noFill/>
            </a:ln>
          </c:spPr>
          <c:marker>
            <c:symbol val="diamond"/>
            <c:size val="9"/>
            <c:spPr>
              <a:solidFill>
                <a:schemeClr val="tx1"/>
              </a:solidFill>
            </c:spPr>
          </c:marker>
          <c:cat>
            <c:numRef>
              <c:f>Gilmerton!$D$168:$N$168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Gilmerton!$D$171:$M$171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700F-4402-91AF-56579844816C}"/>
            </c:ext>
          </c:extLst>
        </c:ser>
        <c:dLbls>
          <c:showLegendKey val="0"/>
          <c:showVal val="0"/>
          <c:showCatName val="0"/>
          <c:showSerName val="0"/>
          <c:showPercent val="0"/>
          <c:showBubbleSize val="0"/>
        </c:dLbls>
        <c:marker val="1"/>
        <c:smooth val="0"/>
        <c:axId val="341967568"/>
        <c:axId val="341967960"/>
      </c:lineChart>
      <c:catAx>
        <c:axId val="341967568"/>
        <c:scaling>
          <c:orientation val="minMax"/>
        </c:scaling>
        <c:delete val="0"/>
        <c:axPos val="b"/>
        <c:numFmt formatCode="General" sourceLinked="1"/>
        <c:majorTickMark val="out"/>
        <c:minorTickMark val="none"/>
        <c:tickLblPos val="nextTo"/>
        <c:crossAx val="341967960"/>
        <c:crosses val="autoZero"/>
        <c:auto val="1"/>
        <c:lblAlgn val="ctr"/>
        <c:lblOffset val="100"/>
        <c:noMultiLvlLbl val="0"/>
      </c:catAx>
      <c:valAx>
        <c:axId val="341967960"/>
        <c:scaling>
          <c:orientation val="minMax"/>
        </c:scaling>
        <c:delete val="0"/>
        <c:axPos val="l"/>
        <c:majorGridlines/>
        <c:numFmt formatCode="#,##0" sourceLinked="1"/>
        <c:majorTickMark val="out"/>
        <c:minorTickMark val="none"/>
        <c:tickLblPos val="nextTo"/>
        <c:crossAx val="341967568"/>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1FEA-41F5-9EF3-D79A3C66F186}"/>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41968744"/>
        <c:axId val="341969136"/>
      </c:lineChart>
      <c:catAx>
        <c:axId val="341968744"/>
        <c:scaling>
          <c:orientation val="minMax"/>
        </c:scaling>
        <c:delete val="0"/>
        <c:axPos val="b"/>
        <c:numFmt formatCode="General" sourceLinked="1"/>
        <c:majorTickMark val="out"/>
        <c:minorTickMark val="none"/>
        <c:tickLblPos val="nextTo"/>
        <c:crossAx val="341969136"/>
        <c:crosses val="autoZero"/>
        <c:auto val="1"/>
        <c:lblAlgn val="ctr"/>
        <c:lblOffset val="100"/>
        <c:noMultiLvlLbl val="0"/>
      </c:catAx>
      <c:valAx>
        <c:axId val="341969136"/>
        <c:scaling>
          <c:orientation val="minMax"/>
        </c:scaling>
        <c:delete val="0"/>
        <c:axPos val="l"/>
        <c:majorGridlines/>
        <c:numFmt formatCode="General" sourceLinked="1"/>
        <c:majorTickMark val="out"/>
        <c:minorTickMark val="none"/>
        <c:tickLblPos val="nextTo"/>
        <c:crossAx val="341968744"/>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Gracemount!$B$177:$B$190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Gracemount!$J$177:$J$190</c:f>
              <c:numCache>
                <c:formatCode>General</c:formatCode>
                <c:ptCount val="14"/>
                <c:pt idx="0">
                  <c:v>360</c:v>
                </c:pt>
                <c:pt idx="1">
                  <c:v>349</c:v>
                </c:pt>
                <c:pt idx="2">
                  <c:v>376</c:v>
                </c:pt>
                <c:pt idx="3">
                  <c:v>356</c:v>
                </c:pt>
                <c:pt idx="4">
                  <c:v>353</c:v>
                </c:pt>
                <c:pt idx="5">
                  <c:v>353</c:v>
                </c:pt>
                <c:pt idx="6">
                  <c:v>360</c:v>
                </c:pt>
                <c:pt idx="7">
                  <c:v>355</c:v>
                </c:pt>
                <c:pt idx="8">
                  <c:v>423</c:v>
                </c:pt>
                <c:pt idx="9">
                  <c:v>405</c:v>
                </c:pt>
                <c:pt idx="10">
                  <c:v>419</c:v>
                </c:pt>
                <c:pt idx="11">
                  <c:v>433</c:v>
                </c:pt>
                <c:pt idx="12">
                  <c:v>463</c:v>
                </c:pt>
                <c:pt idx="13">
                  <c:v>440</c:v>
                </c:pt>
              </c:numCache>
            </c:numRef>
          </c:val>
          <c:smooth val="0"/>
          <c:extLst xmlns:c16r2="http://schemas.microsoft.com/office/drawing/2015/06/chart">
            <c:ext xmlns:c16="http://schemas.microsoft.com/office/drawing/2014/chart" uri="{C3380CC4-5D6E-409C-BE32-E72D297353CC}">
              <c16:uniqueId val="{00000000-3344-4AB5-9FBD-1312D96A5102}"/>
            </c:ext>
          </c:extLst>
        </c:ser>
        <c:dLbls>
          <c:showLegendKey val="0"/>
          <c:showVal val="0"/>
          <c:showCatName val="0"/>
          <c:showSerName val="0"/>
          <c:showPercent val="0"/>
          <c:showBubbleSize val="0"/>
        </c:dLbls>
        <c:marker val="1"/>
        <c:smooth val="0"/>
        <c:axId val="341969920"/>
        <c:axId val="341970312"/>
      </c:lineChart>
      <c:catAx>
        <c:axId val="341969920"/>
        <c:scaling>
          <c:orientation val="minMax"/>
        </c:scaling>
        <c:delete val="0"/>
        <c:axPos val="b"/>
        <c:numFmt formatCode="General" sourceLinked="1"/>
        <c:majorTickMark val="out"/>
        <c:minorTickMark val="none"/>
        <c:tickLblPos val="nextTo"/>
        <c:crossAx val="341970312"/>
        <c:crosses val="autoZero"/>
        <c:auto val="1"/>
        <c:lblAlgn val="ctr"/>
        <c:lblOffset val="100"/>
        <c:noMultiLvlLbl val="0"/>
      </c:catAx>
      <c:valAx>
        <c:axId val="341970312"/>
        <c:scaling>
          <c:orientation val="minMax"/>
        </c:scaling>
        <c:delete val="0"/>
        <c:axPos val="l"/>
        <c:majorGridlines/>
        <c:numFmt formatCode="General" sourceLinked="1"/>
        <c:majorTickMark val="out"/>
        <c:minorTickMark val="none"/>
        <c:tickLblPos val="nextTo"/>
        <c:crossAx val="341969920"/>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Gracemount!$B$169</c:f>
              <c:strCache>
                <c:ptCount val="1"/>
                <c:pt idx="0">
                  <c:v>Catchment Births (5yrs Prior)</c:v>
                </c:pt>
              </c:strCache>
            </c:strRef>
          </c:tx>
          <c:marker>
            <c:symbol val="square"/>
            <c:size val="7"/>
          </c:marker>
          <c:cat>
            <c:numRef>
              <c:f>Gracemount!$D$168:$N$168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Gracemount!$D$169:$N$169</c:f>
              <c:numCache>
                <c:formatCode>#,##0</c:formatCode>
                <c:ptCount val="11"/>
                <c:pt idx="0">
                  <c:v>143</c:v>
                </c:pt>
                <c:pt idx="1">
                  <c:v>130</c:v>
                </c:pt>
                <c:pt idx="2">
                  <c:v>124</c:v>
                </c:pt>
                <c:pt idx="3">
                  <c:v>137</c:v>
                </c:pt>
                <c:pt idx="4">
                  <c:v>129</c:v>
                </c:pt>
                <c:pt idx="5">
                  <c:v>133</c:v>
                </c:pt>
                <c:pt idx="6">
                  <c:v>114</c:v>
                </c:pt>
                <c:pt idx="7">
                  <c:v>129</c:v>
                </c:pt>
                <c:pt idx="8">
                  <c:v>138</c:v>
                </c:pt>
                <c:pt idx="9">
                  <c:v>130</c:v>
                </c:pt>
                <c:pt idx="10">
                  <c:v>115</c:v>
                </c:pt>
              </c:numCache>
            </c:numRef>
          </c:val>
          <c:smooth val="0"/>
          <c:extLst xmlns:c16r2="http://schemas.microsoft.com/office/drawing/2015/06/chart">
            <c:ext xmlns:c16="http://schemas.microsoft.com/office/drawing/2014/chart" uri="{C3380CC4-5D6E-409C-BE32-E72D297353CC}">
              <c16:uniqueId val="{00000000-5E05-4991-83D4-E22C1D378DF7}"/>
            </c:ext>
          </c:extLst>
        </c:ser>
        <c:ser>
          <c:idx val="1"/>
          <c:order val="1"/>
          <c:tx>
            <c:strRef>
              <c:f>Gracemount!$B$170</c:f>
              <c:strCache>
                <c:ptCount val="1"/>
                <c:pt idx="0">
                  <c:v>P1 ND Catchment Population (Actual)</c:v>
                </c:pt>
              </c:strCache>
            </c:strRef>
          </c:tx>
          <c:cat>
            <c:numRef>
              <c:f>Gracemount!$D$168:$N$168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Gracemount!$D$170:$I$170</c:f>
              <c:numCache>
                <c:formatCode>#,##0</c:formatCode>
                <c:ptCount val="6"/>
                <c:pt idx="0">
                  <c:v>81</c:v>
                </c:pt>
                <c:pt idx="1">
                  <c:v>64</c:v>
                </c:pt>
                <c:pt idx="2">
                  <c:v>77</c:v>
                </c:pt>
                <c:pt idx="3">
                  <c:v>81</c:v>
                </c:pt>
                <c:pt idx="4">
                  <c:v>83</c:v>
                </c:pt>
                <c:pt idx="5">
                  <c:v>65</c:v>
                </c:pt>
              </c:numCache>
            </c:numRef>
          </c:val>
          <c:smooth val="0"/>
          <c:extLst xmlns:c16r2="http://schemas.microsoft.com/office/drawing/2015/06/chart">
            <c:ext xmlns:c16="http://schemas.microsoft.com/office/drawing/2014/chart" uri="{C3380CC4-5D6E-409C-BE32-E72D297353CC}">
              <c16:uniqueId val="{00000001-5E05-4991-83D4-E22C1D378DF7}"/>
            </c:ext>
          </c:extLst>
        </c:ser>
        <c:ser>
          <c:idx val="2"/>
          <c:order val="2"/>
          <c:tx>
            <c:strRef>
              <c:f>Gracemount!$B$172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5E05-4991-83D4-E22C1D378DF7}"/>
              </c:ext>
            </c:extLst>
          </c:dPt>
          <c:dPt>
            <c:idx val="5"/>
            <c:marker>
              <c:symbol val="none"/>
            </c:marker>
            <c:bubble3D val="0"/>
            <c:extLst xmlns:c16r2="http://schemas.microsoft.com/office/drawing/2015/06/chart">
              <c:ext xmlns:c16="http://schemas.microsoft.com/office/drawing/2014/chart" uri="{C3380CC4-5D6E-409C-BE32-E72D297353CC}">
                <c16:uniqueId val="{00000003-5E05-4991-83D4-E22C1D378DF7}"/>
              </c:ext>
            </c:extLst>
          </c:dPt>
          <c:dPt>
            <c:idx val="6"/>
            <c:marker>
              <c:symbol val="circle"/>
              <c:size val="7"/>
            </c:marker>
            <c:bubble3D val="0"/>
            <c:extLst xmlns:c16r2="http://schemas.microsoft.com/office/drawing/2015/06/chart">
              <c:ext xmlns:c16="http://schemas.microsoft.com/office/drawing/2014/chart" uri="{C3380CC4-5D6E-409C-BE32-E72D297353CC}">
                <c16:uniqueId val="{00000004-5E05-4991-83D4-E22C1D378DF7}"/>
              </c:ext>
            </c:extLst>
          </c:dPt>
          <c:dPt>
            <c:idx val="7"/>
            <c:marker>
              <c:symbol val="circle"/>
              <c:size val="7"/>
            </c:marker>
            <c:bubble3D val="0"/>
            <c:extLst xmlns:c16r2="http://schemas.microsoft.com/office/drawing/2015/06/chart">
              <c:ext xmlns:c16="http://schemas.microsoft.com/office/drawing/2014/chart" uri="{C3380CC4-5D6E-409C-BE32-E72D297353CC}">
                <c16:uniqueId val="{00000005-5E05-4991-83D4-E22C1D378DF7}"/>
              </c:ext>
            </c:extLst>
          </c:dPt>
          <c:dPt>
            <c:idx val="8"/>
            <c:marker>
              <c:symbol val="circle"/>
              <c:size val="7"/>
            </c:marker>
            <c:bubble3D val="0"/>
            <c:extLst xmlns:c16r2="http://schemas.microsoft.com/office/drawing/2015/06/chart">
              <c:ext xmlns:c16="http://schemas.microsoft.com/office/drawing/2014/chart" uri="{C3380CC4-5D6E-409C-BE32-E72D297353CC}">
                <c16:uniqueId val="{00000006-5E05-4991-83D4-E22C1D378DF7}"/>
              </c:ext>
            </c:extLst>
          </c:dPt>
          <c:dPt>
            <c:idx val="9"/>
            <c:marker>
              <c:symbol val="circle"/>
              <c:size val="7"/>
            </c:marker>
            <c:bubble3D val="0"/>
            <c:extLst xmlns:c16r2="http://schemas.microsoft.com/office/drawing/2015/06/chart">
              <c:ext xmlns:c16="http://schemas.microsoft.com/office/drawing/2014/chart" uri="{C3380CC4-5D6E-409C-BE32-E72D297353CC}">
                <c16:uniqueId val="{00000007-5E05-4991-83D4-E22C1D378DF7}"/>
              </c:ext>
            </c:extLst>
          </c:dPt>
          <c:dPt>
            <c:idx val="10"/>
            <c:marker>
              <c:symbol val="circle"/>
              <c:size val="7"/>
            </c:marker>
            <c:bubble3D val="0"/>
            <c:extLst xmlns:c16r2="http://schemas.microsoft.com/office/drawing/2015/06/chart">
              <c:ext xmlns:c16="http://schemas.microsoft.com/office/drawing/2014/chart" uri="{C3380CC4-5D6E-409C-BE32-E72D297353CC}">
                <c16:uniqueId val="{00000008-5E05-4991-83D4-E22C1D378DF7}"/>
              </c:ext>
            </c:extLst>
          </c:dPt>
          <c:cat>
            <c:numRef>
              <c:f>Gracemount!$D$168:$N$168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Gracemount!$D$172:$N$172</c:f>
              <c:numCache>
                <c:formatCode>General</c:formatCode>
                <c:ptCount val="11"/>
                <c:pt idx="5" formatCode="0">
                  <c:v>65</c:v>
                </c:pt>
                <c:pt idx="6" formatCode="0">
                  <c:v>0</c:v>
                </c:pt>
                <c:pt idx="7" formatCode="0">
                  <c:v>84</c:v>
                </c:pt>
                <c:pt idx="8" formatCode="0">
                  <c:v>77</c:v>
                </c:pt>
                <c:pt idx="9" formatCode="0">
                  <c:v>96</c:v>
                </c:pt>
                <c:pt idx="10" formatCode="0">
                  <c:v>83</c:v>
                </c:pt>
              </c:numCache>
            </c:numRef>
          </c:val>
          <c:smooth val="0"/>
          <c:extLst xmlns:c16r2="http://schemas.microsoft.com/office/drawing/2015/06/chart">
            <c:ext xmlns:c16="http://schemas.microsoft.com/office/drawing/2014/chart" uri="{C3380CC4-5D6E-409C-BE32-E72D297353CC}">
              <c16:uniqueId val="{00000009-5E05-4991-83D4-E22C1D378DF7}"/>
            </c:ext>
          </c:extLst>
        </c:ser>
        <c:ser>
          <c:idx val="3"/>
          <c:order val="3"/>
          <c:tx>
            <c:strRef>
              <c:f>Gracemount!$B$171</c:f>
              <c:strCache>
                <c:ptCount val="1"/>
                <c:pt idx="0">
                  <c:v>Actual P1 Registrations (as of Jan 2016)</c:v>
                </c:pt>
              </c:strCache>
            </c:strRef>
          </c:tx>
          <c:spPr>
            <a:ln w="15875">
              <a:noFill/>
            </a:ln>
          </c:spPr>
          <c:marker>
            <c:symbol val="diamond"/>
            <c:size val="9"/>
            <c:spPr>
              <a:solidFill>
                <a:schemeClr val="tx1"/>
              </a:solidFill>
            </c:spPr>
          </c:marker>
          <c:cat>
            <c:numRef>
              <c:f>Gracemount!$D$168:$N$168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Gracemount!$D$171:$M$171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5E05-4991-83D4-E22C1D378DF7}"/>
            </c:ext>
          </c:extLst>
        </c:ser>
        <c:dLbls>
          <c:showLegendKey val="0"/>
          <c:showVal val="0"/>
          <c:showCatName val="0"/>
          <c:showSerName val="0"/>
          <c:showPercent val="0"/>
          <c:showBubbleSize val="0"/>
        </c:dLbls>
        <c:marker val="1"/>
        <c:smooth val="0"/>
        <c:axId val="341971096"/>
        <c:axId val="341971488"/>
      </c:lineChart>
      <c:catAx>
        <c:axId val="341971096"/>
        <c:scaling>
          <c:orientation val="minMax"/>
        </c:scaling>
        <c:delete val="0"/>
        <c:axPos val="b"/>
        <c:numFmt formatCode="General" sourceLinked="1"/>
        <c:majorTickMark val="out"/>
        <c:minorTickMark val="none"/>
        <c:tickLblPos val="nextTo"/>
        <c:crossAx val="341971488"/>
        <c:crosses val="autoZero"/>
        <c:auto val="1"/>
        <c:lblAlgn val="ctr"/>
        <c:lblOffset val="100"/>
        <c:noMultiLvlLbl val="0"/>
      </c:catAx>
      <c:valAx>
        <c:axId val="341971488"/>
        <c:scaling>
          <c:orientation val="minMax"/>
        </c:scaling>
        <c:delete val="0"/>
        <c:axPos val="l"/>
        <c:majorGridlines/>
        <c:numFmt formatCode="#,##0" sourceLinked="1"/>
        <c:majorTickMark val="out"/>
        <c:minorTickMark val="none"/>
        <c:tickLblPos val="nextTo"/>
        <c:crossAx val="341971096"/>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6D98-4E30-B950-C090E8CA4656}"/>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41972272"/>
        <c:axId val="341972664"/>
      </c:lineChart>
      <c:catAx>
        <c:axId val="341972272"/>
        <c:scaling>
          <c:orientation val="minMax"/>
        </c:scaling>
        <c:delete val="0"/>
        <c:axPos val="b"/>
        <c:numFmt formatCode="General" sourceLinked="1"/>
        <c:majorTickMark val="out"/>
        <c:minorTickMark val="none"/>
        <c:tickLblPos val="nextTo"/>
        <c:crossAx val="341972664"/>
        <c:crosses val="autoZero"/>
        <c:auto val="1"/>
        <c:lblAlgn val="ctr"/>
        <c:lblOffset val="100"/>
        <c:noMultiLvlLbl val="0"/>
      </c:catAx>
      <c:valAx>
        <c:axId val="341972664"/>
        <c:scaling>
          <c:orientation val="minMax"/>
        </c:scaling>
        <c:delete val="0"/>
        <c:axPos val="l"/>
        <c:majorGridlines/>
        <c:numFmt formatCode="General" sourceLinked="1"/>
        <c:majorTickMark val="out"/>
        <c:minorTickMark val="none"/>
        <c:tickLblPos val="nextTo"/>
        <c:crossAx val="341972272"/>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Granton!$B$177:$B$190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Granton!$J$177:$J$190</c:f>
              <c:numCache>
                <c:formatCode>General</c:formatCode>
                <c:ptCount val="14"/>
                <c:pt idx="0">
                  <c:v>238</c:v>
                </c:pt>
                <c:pt idx="1">
                  <c:v>215</c:v>
                </c:pt>
                <c:pt idx="2">
                  <c:v>223</c:v>
                </c:pt>
                <c:pt idx="3">
                  <c:v>219</c:v>
                </c:pt>
                <c:pt idx="4">
                  <c:v>210</c:v>
                </c:pt>
                <c:pt idx="5">
                  <c:v>212</c:v>
                </c:pt>
                <c:pt idx="6">
                  <c:v>209</c:v>
                </c:pt>
                <c:pt idx="7">
                  <c:v>205</c:v>
                </c:pt>
                <c:pt idx="8">
                  <c:v>289</c:v>
                </c:pt>
                <c:pt idx="9">
                  <c:v>316</c:v>
                </c:pt>
                <c:pt idx="10">
                  <c:v>344</c:v>
                </c:pt>
                <c:pt idx="11">
                  <c:v>365</c:v>
                </c:pt>
                <c:pt idx="12">
                  <c:v>375</c:v>
                </c:pt>
                <c:pt idx="13">
                  <c:v>386</c:v>
                </c:pt>
              </c:numCache>
            </c:numRef>
          </c:val>
          <c:smooth val="0"/>
          <c:extLst xmlns:c16r2="http://schemas.microsoft.com/office/drawing/2015/06/chart">
            <c:ext xmlns:c16="http://schemas.microsoft.com/office/drawing/2014/chart" uri="{C3380CC4-5D6E-409C-BE32-E72D297353CC}">
              <c16:uniqueId val="{00000000-6B92-43BA-8DCB-A887A20AE7AB}"/>
            </c:ext>
          </c:extLst>
        </c:ser>
        <c:dLbls>
          <c:showLegendKey val="0"/>
          <c:showVal val="0"/>
          <c:showCatName val="0"/>
          <c:showSerName val="0"/>
          <c:showPercent val="0"/>
          <c:showBubbleSize val="0"/>
        </c:dLbls>
        <c:marker val="1"/>
        <c:smooth val="0"/>
        <c:axId val="341580584"/>
        <c:axId val="341580976"/>
      </c:lineChart>
      <c:catAx>
        <c:axId val="341580584"/>
        <c:scaling>
          <c:orientation val="minMax"/>
        </c:scaling>
        <c:delete val="0"/>
        <c:axPos val="b"/>
        <c:numFmt formatCode="General" sourceLinked="1"/>
        <c:majorTickMark val="out"/>
        <c:minorTickMark val="none"/>
        <c:tickLblPos val="nextTo"/>
        <c:crossAx val="341580976"/>
        <c:crosses val="autoZero"/>
        <c:auto val="1"/>
        <c:lblAlgn val="ctr"/>
        <c:lblOffset val="100"/>
        <c:noMultiLvlLbl val="0"/>
      </c:catAx>
      <c:valAx>
        <c:axId val="341580976"/>
        <c:scaling>
          <c:orientation val="minMax"/>
        </c:scaling>
        <c:delete val="0"/>
        <c:axPos val="l"/>
        <c:majorGridlines/>
        <c:numFmt formatCode="General" sourceLinked="1"/>
        <c:majorTickMark val="out"/>
        <c:minorTickMark val="none"/>
        <c:tickLblPos val="nextTo"/>
        <c:crossAx val="341580584"/>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Granton!$B$169</c:f>
              <c:strCache>
                <c:ptCount val="1"/>
                <c:pt idx="0">
                  <c:v>Catchment Births (5yrs Prior)</c:v>
                </c:pt>
              </c:strCache>
            </c:strRef>
          </c:tx>
          <c:marker>
            <c:symbol val="square"/>
            <c:size val="7"/>
          </c:marker>
          <c:cat>
            <c:numRef>
              <c:f>Granton!$D$168:$N$168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Granton!$D$169:$N$169</c:f>
              <c:numCache>
                <c:formatCode>#,##0</c:formatCode>
                <c:ptCount val="11"/>
                <c:pt idx="0">
                  <c:v>72</c:v>
                </c:pt>
                <c:pt idx="1">
                  <c:v>97</c:v>
                </c:pt>
                <c:pt idx="2">
                  <c:v>115</c:v>
                </c:pt>
                <c:pt idx="3">
                  <c:v>137</c:v>
                </c:pt>
                <c:pt idx="4">
                  <c:v>132</c:v>
                </c:pt>
                <c:pt idx="5">
                  <c:v>139</c:v>
                </c:pt>
                <c:pt idx="6">
                  <c:v>161</c:v>
                </c:pt>
                <c:pt idx="7">
                  <c:v>155</c:v>
                </c:pt>
                <c:pt idx="8">
                  <c:v>139</c:v>
                </c:pt>
                <c:pt idx="9">
                  <c:v>134</c:v>
                </c:pt>
                <c:pt idx="10">
                  <c:v>148</c:v>
                </c:pt>
              </c:numCache>
            </c:numRef>
          </c:val>
          <c:smooth val="0"/>
          <c:extLst xmlns:c16r2="http://schemas.microsoft.com/office/drawing/2015/06/chart">
            <c:ext xmlns:c16="http://schemas.microsoft.com/office/drawing/2014/chart" uri="{C3380CC4-5D6E-409C-BE32-E72D297353CC}">
              <c16:uniqueId val="{00000000-F695-4152-841D-6A5C1341EF4F}"/>
            </c:ext>
          </c:extLst>
        </c:ser>
        <c:ser>
          <c:idx val="1"/>
          <c:order val="1"/>
          <c:tx>
            <c:strRef>
              <c:f>Granton!$B$170</c:f>
              <c:strCache>
                <c:ptCount val="1"/>
                <c:pt idx="0">
                  <c:v>P1 ND Catchment Population (Actual)</c:v>
                </c:pt>
              </c:strCache>
            </c:strRef>
          </c:tx>
          <c:cat>
            <c:numRef>
              <c:f>Granton!$D$168:$N$168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Granton!$D$170:$I$170</c:f>
              <c:numCache>
                <c:formatCode>#,##0</c:formatCode>
                <c:ptCount val="6"/>
                <c:pt idx="0">
                  <c:v>75</c:v>
                </c:pt>
                <c:pt idx="1">
                  <c:v>73</c:v>
                </c:pt>
                <c:pt idx="2">
                  <c:v>83</c:v>
                </c:pt>
                <c:pt idx="3">
                  <c:v>94</c:v>
                </c:pt>
                <c:pt idx="4">
                  <c:v>90</c:v>
                </c:pt>
                <c:pt idx="5">
                  <c:v>77</c:v>
                </c:pt>
              </c:numCache>
            </c:numRef>
          </c:val>
          <c:smooth val="0"/>
          <c:extLst xmlns:c16r2="http://schemas.microsoft.com/office/drawing/2015/06/chart">
            <c:ext xmlns:c16="http://schemas.microsoft.com/office/drawing/2014/chart" uri="{C3380CC4-5D6E-409C-BE32-E72D297353CC}">
              <c16:uniqueId val="{00000001-F695-4152-841D-6A5C1341EF4F}"/>
            </c:ext>
          </c:extLst>
        </c:ser>
        <c:ser>
          <c:idx val="2"/>
          <c:order val="2"/>
          <c:tx>
            <c:strRef>
              <c:f>Granton!$B$172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F695-4152-841D-6A5C1341EF4F}"/>
              </c:ext>
            </c:extLst>
          </c:dPt>
          <c:dPt>
            <c:idx val="5"/>
            <c:marker>
              <c:symbol val="none"/>
            </c:marker>
            <c:bubble3D val="0"/>
            <c:extLst xmlns:c16r2="http://schemas.microsoft.com/office/drawing/2015/06/chart">
              <c:ext xmlns:c16="http://schemas.microsoft.com/office/drawing/2014/chart" uri="{C3380CC4-5D6E-409C-BE32-E72D297353CC}">
                <c16:uniqueId val="{00000003-F695-4152-841D-6A5C1341EF4F}"/>
              </c:ext>
            </c:extLst>
          </c:dPt>
          <c:dPt>
            <c:idx val="6"/>
            <c:marker>
              <c:symbol val="circle"/>
              <c:size val="7"/>
            </c:marker>
            <c:bubble3D val="0"/>
            <c:extLst xmlns:c16r2="http://schemas.microsoft.com/office/drawing/2015/06/chart">
              <c:ext xmlns:c16="http://schemas.microsoft.com/office/drawing/2014/chart" uri="{C3380CC4-5D6E-409C-BE32-E72D297353CC}">
                <c16:uniqueId val="{00000004-F695-4152-841D-6A5C1341EF4F}"/>
              </c:ext>
            </c:extLst>
          </c:dPt>
          <c:dPt>
            <c:idx val="7"/>
            <c:marker>
              <c:symbol val="circle"/>
              <c:size val="7"/>
            </c:marker>
            <c:bubble3D val="0"/>
            <c:extLst xmlns:c16r2="http://schemas.microsoft.com/office/drawing/2015/06/chart">
              <c:ext xmlns:c16="http://schemas.microsoft.com/office/drawing/2014/chart" uri="{C3380CC4-5D6E-409C-BE32-E72D297353CC}">
                <c16:uniqueId val="{00000005-F695-4152-841D-6A5C1341EF4F}"/>
              </c:ext>
            </c:extLst>
          </c:dPt>
          <c:dPt>
            <c:idx val="8"/>
            <c:marker>
              <c:symbol val="circle"/>
              <c:size val="7"/>
            </c:marker>
            <c:bubble3D val="0"/>
            <c:extLst xmlns:c16r2="http://schemas.microsoft.com/office/drawing/2015/06/chart">
              <c:ext xmlns:c16="http://schemas.microsoft.com/office/drawing/2014/chart" uri="{C3380CC4-5D6E-409C-BE32-E72D297353CC}">
                <c16:uniqueId val="{00000006-F695-4152-841D-6A5C1341EF4F}"/>
              </c:ext>
            </c:extLst>
          </c:dPt>
          <c:cat>
            <c:numRef>
              <c:f>Granton!$D$168:$N$168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Granton!$D$172:$N$172</c:f>
              <c:numCache>
                <c:formatCode>General</c:formatCode>
                <c:ptCount val="11"/>
                <c:pt idx="5" formatCode="0">
                  <c:v>77</c:v>
                </c:pt>
                <c:pt idx="6" formatCode="0">
                  <c:v>0</c:v>
                </c:pt>
                <c:pt idx="7" formatCode="0">
                  <c:v>84</c:v>
                </c:pt>
                <c:pt idx="8" formatCode="0">
                  <c:v>96</c:v>
                </c:pt>
                <c:pt idx="9" formatCode="0">
                  <c:v>104</c:v>
                </c:pt>
                <c:pt idx="10" formatCode="0">
                  <c:v>102</c:v>
                </c:pt>
              </c:numCache>
            </c:numRef>
          </c:val>
          <c:smooth val="0"/>
          <c:extLst xmlns:c16r2="http://schemas.microsoft.com/office/drawing/2015/06/chart">
            <c:ext xmlns:c16="http://schemas.microsoft.com/office/drawing/2014/chart" uri="{C3380CC4-5D6E-409C-BE32-E72D297353CC}">
              <c16:uniqueId val="{00000007-F695-4152-841D-6A5C1341EF4F}"/>
            </c:ext>
          </c:extLst>
        </c:ser>
        <c:ser>
          <c:idx val="3"/>
          <c:order val="3"/>
          <c:tx>
            <c:strRef>
              <c:f>Granton!$B$171</c:f>
              <c:strCache>
                <c:ptCount val="1"/>
                <c:pt idx="0">
                  <c:v>Actual P1 Registrations (as of Jan 2016)</c:v>
                </c:pt>
              </c:strCache>
            </c:strRef>
          </c:tx>
          <c:spPr>
            <a:ln w="15875">
              <a:noFill/>
            </a:ln>
          </c:spPr>
          <c:marker>
            <c:symbol val="diamond"/>
            <c:size val="9"/>
            <c:spPr>
              <a:solidFill>
                <a:schemeClr val="tx1"/>
              </a:solidFill>
            </c:spPr>
          </c:marker>
          <c:cat>
            <c:numRef>
              <c:f>Granton!$D$168:$N$168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Granton!$D$171:$M$171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8-F695-4152-841D-6A5C1341EF4F}"/>
            </c:ext>
          </c:extLst>
        </c:ser>
        <c:dLbls>
          <c:showLegendKey val="0"/>
          <c:showVal val="0"/>
          <c:showCatName val="0"/>
          <c:showSerName val="0"/>
          <c:showPercent val="0"/>
          <c:showBubbleSize val="0"/>
        </c:dLbls>
        <c:marker val="1"/>
        <c:smooth val="0"/>
        <c:axId val="341581760"/>
        <c:axId val="341582152"/>
      </c:lineChart>
      <c:catAx>
        <c:axId val="341581760"/>
        <c:scaling>
          <c:orientation val="minMax"/>
        </c:scaling>
        <c:delete val="0"/>
        <c:axPos val="b"/>
        <c:numFmt formatCode="General" sourceLinked="1"/>
        <c:majorTickMark val="out"/>
        <c:minorTickMark val="none"/>
        <c:tickLblPos val="nextTo"/>
        <c:crossAx val="341582152"/>
        <c:crosses val="autoZero"/>
        <c:auto val="1"/>
        <c:lblAlgn val="ctr"/>
        <c:lblOffset val="100"/>
        <c:noMultiLvlLbl val="0"/>
      </c:catAx>
      <c:valAx>
        <c:axId val="341582152"/>
        <c:scaling>
          <c:orientation val="minMax"/>
        </c:scaling>
        <c:delete val="0"/>
        <c:axPos val="l"/>
        <c:majorGridlines/>
        <c:numFmt formatCode="#,##0" sourceLinked="1"/>
        <c:majorTickMark val="out"/>
        <c:minorTickMark val="none"/>
        <c:tickLblPos val="nextTo"/>
        <c:crossAx val="341581760"/>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4AE5-4913-980C-EEC347E19401}"/>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41582936"/>
        <c:axId val="341583328"/>
      </c:lineChart>
      <c:catAx>
        <c:axId val="341582936"/>
        <c:scaling>
          <c:orientation val="minMax"/>
        </c:scaling>
        <c:delete val="0"/>
        <c:axPos val="b"/>
        <c:numFmt formatCode="General" sourceLinked="1"/>
        <c:majorTickMark val="out"/>
        <c:minorTickMark val="none"/>
        <c:tickLblPos val="nextTo"/>
        <c:crossAx val="341583328"/>
        <c:crosses val="autoZero"/>
        <c:auto val="1"/>
        <c:lblAlgn val="ctr"/>
        <c:lblOffset val="100"/>
        <c:noMultiLvlLbl val="0"/>
      </c:catAx>
      <c:valAx>
        <c:axId val="341583328"/>
        <c:scaling>
          <c:orientation val="minMax"/>
        </c:scaling>
        <c:delete val="0"/>
        <c:axPos val="l"/>
        <c:majorGridlines/>
        <c:numFmt formatCode="General" sourceLinked="1"/>
        <c:majorTickMark val="out"/>
        <c:minorTickMark val="none"/>
        <c:tickLblPos val="nextTo"/>
        <c:crossAx val="341582936"/>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Gylemuir!$B$177:$B$190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Gylemuir!$J$177:$J$190</c:f>
              <c:numCache>
                <c:formatCode>General</c:formatCode>
                <c:ptCount val="14"/>
                <c:pt idx="0">
                  <c:v>508</c:v>
                </c:pt>
                <c:pt idx="1">
                  <c:v>486</c:v>
                </c:pt>
                <c:pt idx="2">
                  <c:v>445</c:v>
                </c:pt>
                <c:pt idx="3">
                  <c:v>429</c:v>
                </c:pt>
                <c:pt idx="4">
                  <c:v>396</c:v>
                </c:pt>
                <c:pt idx="5">
                  <c:v>394</c:v>
                </c:pt>
                <c:pt idx="6">
                  <c:v>395</c:v>
                </c:pt>
                <c:pt idx="7">
                  <c:v>385</c:v>
                </c:pt>
                <c:pt idx="8">
                  <c:v>408</c:v>
                </c:pt>
                <c:pt idx="9">
                  <c:v>397</c:v>
                </c:pt>
                <c:pt idx="10">
                  <c:v>411</c:v>
                </c:pt>
                <c:pt idx="11">
                  <c:v>449</c:v>
                </c:pt>
                <c:pt idx="12">
                  <c:v>471</c:v>
                </c:pt>
                <c:pt idx="13">
                  <c:v>475</c:v>
                </c:pt>
              </c:numCache>
            </c:numRef>
          </c:val>
          <c:smooth val="0"/>
          <c:extLst xmlns:c16r2="http://schemas.microsoft.com/office/drawing/2015/06/chart">
            <c:ext xmlns:c16="http://schemas.microsoft.com/office/drawing/2014/chart" uri="{C3380CC4-5D6E-409C-BE32-E72D297353CC}">
              <c16:uniqueId val="{00000000-86EB-48EB-B4B7-F3FCEA136FAB}"/>
            </c:ext>
          </c:extLst>
        </c:ser>
        <c:dLbls>
          <c:showLegendKey val="0"/>
          <c:showVal val="0"/>
          <c:showCatName val="0"/>
          <c:showSerName val="0"/>
          <c:showPercent val="0"/>
          <c:showBubbleSize val="0"/>
        </c:dLbls>
        <c:marker val="1"/>
        <c:smooth val="0"/>
        <c:axId val="341584112"/>
        <c:axId val="341584504"/>
      </c:lineChart>
      <c:catAx>
        <c:axId val="341584112"/>
        <c:scaling>
          <c:orientation val="minMax"/>
        </c:scaling>
        <c:delete val="0"/>
        <c:axPos val="b"/>
        <c:numFmt formatCode="General" sourceLinked="1"/>
        <c:majorTickMark val="out"/>
        <c:minorTickMark val="none"/>
        <c:tickLblPos val="nextTo"/>
        <c:crossAx val="341584504"/>
        <c:crosses val="autoZero"/>
        <c:auto val="1"/>
        <c:lblAlgn val="ctr"/>
        <c:lblOffset val="100"/>
        <c:noMultiLvlLbl val="0"/>
      </c:catAx>
      <c:valAx>
        <c:axId val="341584504"/>
        <c:scaling>
          <c:orientation val="minMax"/>
        </c:scaling>
        <c:delete val="0"/>
        <c:axPos val="l"/>
        <c:majorGridlines/>
        <c:numFmt formatCode="General" sourceLinked="1"/>
        <c:majorTickMark val="out"/>
        <c:minorTickMark val="none"/>
        <c:tickLblPos val="nextTo"/>
        <c:crossAx val="341584112"/>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Gylemuir!$B$169</c:f>
              <c:strCache>
                <c:ptCount val="1"/>
                <c:pt idx="0">
                  <c:v>Catchment Births (5yrs Prior)</c:v>
                </c:pt>
              </c:strCache>
            </c:strRef>
          </c:tx>
          <c:marker>
            <c:symbol val="square"/>
            <c:size val="7"/>
          </c:marker>
          <c:cat>
            <c:numRef>
              <c:f>Gylemuir!$D$168:$N$168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Gylemuir!$D$169:$N$169</c:f>
              <c:numCache>
                <c:formatCode>#,##0</c:formatCode>
                <c:ptCount val="11"/>
                <c:pt idx="0">
                  <c:v>63</c:v>
                </c:pt>
                <c:pt idx="1">
                  <c:v>65</c:v>
                </c:pt>
                <c:pt idx="2">
                  <c:v>78</c:v>
                </c:pt>
                <c:pt idx="3">
                  <c:v>81</c:v>
                </c:pt>
                <c:pt idx="4">
                  <c:v>81</c:v>
                </c:pt>
                <c:pt idx="5">
                  <c:v>88</c:v>
                </c:pt>
                <c:pt idx="6">
                  <c:v>81</c:v>
                </c:pt>
                <c:pt idx="7">
                  <c:v>83</c:v>
                </c:pt>
                <c:pt idx="8">
                  <c:v>70</c:v>
                </c:pt>
                <c:pt idx="9">
                  <c:v>71</c:v>
                </c:pt>
                <c:pt idx="10">
                  <c:v>75</c:v>
                </c:pt>
              </c:numCache>
            </c:numRef>
          </c:val>
          <c:smooth val="0"/>
          <c:extLst xmlns:c16r2="http://schemas.microsoft.com/office/drawing/2015/06/chart">
            <c:ext xmlns:c16="http://schemas.microsoft.com/office/drawing/2014/chart" uri="{C3380CC4-5D6E-409C-BE32-E72D297353CC}">
              <c16:uniqueId val="{00000000-EA12-40DD-A1C8-60D7448A83B5}"/>
            </c:ext>
          </c:extLst>
        </c:ser>
        <c:ser>
          <c:idx val="1"/>
          <c:order val="1"/>
          <c:tx>
            <c:strRef>
              <c:f>Gylemuir!$B$170</c:f>
              <c:strCache>
                <c:ptCount val="1"/>
                <c:pt idx="0">
                  <c:v>P1 ND Catchment Population (Actual)</c:v>
                </c:pt>
              </c:strCache>
            </c:strRef>
          </c:tx>
          <c:cat>
            <c:numRef>
              <c:f>Gylemuir!$D$168:$N$168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Gylemuir!$D$170:$I$170</c:f>
              <c:numCache>
                <c:formatCode>#,##0</c:formatCode>
                <c:ptCount val="6"/>
                <c:pt idx="0">
                  <c:v>66</c:v>
                </c:pt>
                <c:pt idx="1">
                  <c:v>55</c:v>
                </c:pt>
                <c:pt idx="2">
                  <c:v>66</c:v>
                </c:pt>
                <c:pt idx="3">
                  <c:v>76</c:v>
                </c:pt>
                <c:pt idx="4">
                  <c:v>79</c:v>
                </c:pt>
                <c:pt idx="5">
                  <c:v>71</c:v>
                </c:pt>
              </c:numCache>
            </c:numRef>
          </c:val>
          <c:smooth val="0"/>
          <c:extLst xmlns:c16r2="http://schemas.microsoft.com/office/drawing/2015/06/chart">
            <c:ext xmlns:c16="http://schemas.microsoft.com/office/drawing/2014/chart" uri="{C3380CC4-5D6E-409C-BE32-E72D297353CC}">
              <c16:uniqueId val="{00000001-EA12-40DD-A1C8-60D7448A83B5}"/>
            </c:ext>
          </c:extLst>
        </c:ser>
        <c:ser>
          <c:idx val="2"/>
          <c:order val="2"/>
          <c:tx>
            <c:strRef>
              <c:f>Gylemuir!$B$172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EA12-40DD-A1C8-60D7448A83B5}"/>
              </c:ext>
            </c:extLst>
          </c:dPt>
          <c:dPt>
            <c:idx val="5"/>
            <c:marker>
              <c:symbol val="none"/>
            </c:marker>
            <c:bubble3D val="0"/>
            <c:extLst xmlns:c16r2="http://schemas.microsoft.com/office/drawing/2015/06/chart">
              <c:ext xmlns:c16="http://schemas.microsoft.com/office/drawing/2014/chart" uri="{C3380CC4-5D6E-409C-BE32-E72D297353CC}">
                <c16:uniqueId val="{00000003-EA12-40DD-A1C8-60D7448A83B5}"/>
              </c:ext>
            </c:extLst>
          </c:dPt>
          <c:dPt>
            <c:idx val="6"/>
            <c:marker>
              <c:symbol val="circle"/>
              <c:size val="7"/>
            </c:marker>
            <c:bubble3D val="0"/>
            <c:extLst xmlns:c16r2="http://schemas.microsoft.com/office/drawing/2015/06/chart">
              <c:ext xmlns:c16="http://schemas.microsoft.com/office/drawing/2014/chart" uri="{C3380CC4-5D6E-409C-BE32-E72D297353CC}">
                <c16:uniqueId val="{00000004-EA12-40DD-A1C8-60D7448A83B5}"/>
              </c:ext>
            </c:extLst>
          </c:dPt>
          <c:dPt>
            <c:idx val="7"/>
            <c:marker>
              <c:symbol val="circle"/>
              <c:size val="7"/>
            </c:marker>
            <c:bubble3D val="0"/>
            <c:extLst xmlns:c16r2="http://schemas.microsoft.com/office/drawing/2015/06/chart">
              <c:ext xmlns:c16="http://schemas.microsoft.com/office/drawing/2014/chart" uri="{C3380CC4-5D6E-409C-BE32-E72D297353CC}">
                <c16:uniqueId val="{00000005-EA12-40DD-A1C8-60D7448A83B5}"/>
              </c:ext>
            </c:extLst>
          </c:dPt>
          <c:dPt>
            <c:idx val="8"/>
            <c:marker>
              <c:symbol val="circle"/>
              <c:size val="7"/>
            </c:marker>
            <c:bubble3D val="0"/>
            <c:extLst xmlns:c16r2="http://schemas.microsoft.com/office/drawing/2015/06/chart">
              <c:ext xmlns:c16="http://schemas.microsoft.com/office/drawing/2014/chart" uri="{C3380CC4-5D6E-409C-BE32-E72D297353CC}">
                <c16:uniqueId val="{00000006-EA12-40DD-A1C8-60D7448A83B5}"/>
              </c:ext>
            </c:extLst>
          </c:dPt>
          <c:cat>
            <c:numRef>
              <c:f>Gylemuir!$D$168:$N$168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Gylemuir!$D$172:$N$172</c:f>
              <c:numCache>
                <c:formatCode>General</c:formatCode>
                <c:ptCount val="11"/>
                <c:pt idx="5" formatCode="0">
                  <c:v>71</c:v>
                </c:pt>
                <c:pt idx="6" formatCode="0">
                  <c:v>0</c:v>
                </c:pt>
                <c:pt idx="7" formatCode="0">
                  <c:v>66</c:v>
                </c:pt>
                <c:pt idx="8" formatCode="0">
                  <c:v>69</c:v>
                </c:pt>
                <c:pt idx="9" formatCode="0">
                  <c:v>68</c:v>
                </c:pt>
                <c:pt idx="10" formatCode="0">
                  <c:v>75</c:v>
                </c:pt>
              </c:numCache>
            </c:numRef>
          </c:val>
          <c:smooth val="0"/>
          <c:extLst xmlns:c16r2="http://schemas.microsoft.com/office/drawing/2015/06/chart">
            <c:ext xmlns:c16="http://schemas.microsoft.com/office/drawing/2014/chart" uri="{C3380CC4-5D6E-409C-BE32-E72D297353CC}">
              <c16:uniqueId val="{00000007-EA12-40DD-A1C8-60D7448A83B5}"/>
            </c:ext>
          </c:extLst>
        </c:ser>
        <c:ser>
          <c:idx val="3"/>
          <c:order val="3"/>
          <c:tx>
            <c:strRef>
              <c:f>Gylemuir!$B$171</c:f>
              <c:strCache>
                <c:ptCount val="1"/>
                <c:pt idx="0">
                  <c:v>Actual P1 Registrations (as of Jan 2016)</c:v>
                </c:pt>
              </c:strCache>
            </c:strRef>
          </c:tx>
          <c:spPr>
            <a:ln w="15875">
              <a:noFill/>
            </a:ln>
          </c:spPr>
          <c:marker>
            <c:symbol val="diamond"/>
            <c:size val="9"/>
            <c:spPr>
              <a:solidFill>
                <a:schemeClr val="tx1"/>
              </a:solidFill>
            </c:spPr>
          </c:marker>
          <c:cat>
            <c:numRef>
              <c:f>Gylemuir!$D$168:$N$168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Gylemuir!$D$171:$M$171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8-EA12-40DD-A1C8-60D7448A83B5}"/>
            </c:ext>
          </c:extLst>
        </c:ser>
        <c:dLbls>
          <c:showLegendKey val="0"/>
          <c:showVal val="0"/>
          <c:showCatName val="0"/>
          <c:showSerName val="0"/>
          <c:showPercent val="0"/>
          <c:showBubbleSize val="0"/>
        </c:dLbls>
        <c:marker val="1"/>
        <c:smooth val="0"/>
        <c:axId val="341585288"/>
        <c:axId val="341585680"/>
      </c:lineChart>
      <c:catAx>
        <c:axId val="341585288"/>
        <c:scaling>
          <c:orientation val="minMax"/>
        </c:scaling>
        <c:delete val="0"/>
        <c:axPos val="b"/>
        <c:numFmt formatCode="General" sourceLinked="1"/>
        <c:majorTickMark val="out"/>
        <c:minorTickMark val="none"/>
        <c:tickLblPos val="nextTo"/>
        <c:crossAx val="341585680"/>
        <c:crosses val="autoZero"/>
        <c:auto val="1"/>
        <c:lblAlgn val="ctr"/>
        <c:lblOffset val="100"/>
        <c:noMultiLvlLbl val="0"/>
      </c:catAx>
      <c:valAx>
        <c:axId val="341585680"/>
        <c:scaling>
          <c:orientation val="minMax"/>
        </c:scaling>
        <c:delete val="0"/>
        <c:axPos val="l"/>
        <c:majorGridlines/>
        <c:numFmt formatCode="#,##0" sourceLinked="1"/>
        <c:majorTickMark val="out"/>
        <c:minorTickMark val="none"/>
        <c:tickLblPos val="nextTo"/>
        <c:crossAx val="341585288"/>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6928-4DA3-A27F-34130B1107C5}"/>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41586464"/>
        <c:axId val="341586856"/>
      </c:lineChart>
      <c:catAx>
        <c:axId val="341586464"/>
        <c:scaling>
          <c:orientation val="minMax"/>
        </c:scaling>
        <c:delete val="0"/>
        <c:axPos val="b"/>
        <c:numFmt formatCode="General" sourceLinked="1"/>
        <c:majorTickMark val="out"/>
        <c:minorTickMark val="none"/>
        <c:tickLblPos val="nextTo"/>
        <c:crossAx val="341586856"/>
        <c:crosses val="autoZero"/>
        <c:auto val="1"/>
        <c:lblAlgn val="ctr"/>
        <c:lblOffset val="100"/>
        <c:noMultiLvlLbl val="0"/>
      </c:catAx>
      <c:valAx>
        <c:axId val="341586856"/>
        <c:scaling>
          <c:orientation val="minMax"/>
        </c:scaling>
        <c:delete val="0"/>
        <c:axPos val="l"/>
        <c:majorGridlines/>
        <c:numFmt formatCode="General" sourceLinked="1"/>
        <c:majorTickMark val="out"/>
        <c:minorTickMark val="none"/>
        <c:tickLblPos val="nextTo"/>
        <c:crossAx val="341586464"/>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'Hermitage Park'!$B$177:$B$190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'Hermitage Park'!$J$177:$J$190</c:f>
              <c:numCache>
                <c:formatCode>General</c:formatCode>
                <c:ptCount val="14"/>
                <c:pt idx="0">
                  <c:v>390</c:v>
                </c:pt>
                <c:pt idx="1">
                  <c:v>389</c:v>
                </c:pt>
                <c:pt idx="2">
                  <c:v>377</c:v>
                </c:pt>
                <c:pt idx="3">
                  <c:v>360</c:v>
                </c:pt>
                <c:pt idx="4">
                  <c:v>349</c:v>
                </c:pt>
                <c:pt idx="5">
                  <c:v>352</c:v>
                </c:pt>
                <c:pt idx="6">
                  <c:v>364</c:v>
                </c:pt>
                <c:pt idx="7">
                  <c:v>356</c:v>
                </c:pt>
                <c:pt idx="8">
                  <c:v>352</c:v>
                </c:pt>
                <c:pt idx="9">
                  <c:v>351</c:v>
                </c:pt>
                <c:pt idx="10">
                  <c:v>362</c:v>
                </c:pt>
                <c:pt idx="11">
                  <c:v>352</c:v>
                </c:pt>
                <c:pt idx="12">
                  <c:v>343</c:v>
                </c:pt>
                <c:pt idx="13">
                  <c:v>348</c:v>
                </c:pt>
              </c:numCache>
            </c:numRef>
          </c:val>
          <c:smooth val="0"/>
          <c:extLst xmlns:c16r2="http://schemas.microsoft.com/office/drawing/2015/06/chart">
            <c:ext xmlns:c16="http://schemas.microsoft.com/office/drawing/2014/chart" uri="{C3380CC4-5D6E-409C-BE32-E72D297353CC}">
              <c16:uniqueId val="{00000000-304E-427E-8FEE-F5DA54C779E0}"/>
            </c:ext>
          </c:extLst>
        </c:ser>
        <c:dLbls>
          <c:showLegendKey val="0"/>
          <c:showVal val="0"/>
          <c:showCatName val="0"/>
          <c:showSerName val="0"/>
          <c:showPercent val="0"/>
          <c:showBubbleSize val="0"/>
        </c:dLbls>
        <c:marker val="1"/>
        <c:smooth val="0"/>
        <c:axId val="341587640"/>
        <c:axId val="341588032"/>
      </c:lineChart>
      <c:catAx>
        <c:axId val="341587640"/>
        <c:scaling>
          <c:orientation val="minMax"/>
        </c:scaling>
        <c:delete val="0"/>
        <c:axPos val="b"/>
        <c:numFmt formatCode="General" sourceLinked="1"/>
        <c:majorTickMark val="out"/>
        <c:minorTickMark val="none"/>
        <c:tickLblPos val="nextTo"/>
        <c:crossAx val="341588032"/>
        <c:crosses val="autoZero"/>
        <c:auto val="1"/>
        <c:lblAlgn val="ctr"/>
        <c:lblOffset val="100"/>
        <c:noMultiLvlLbl val="0"/>
      </c:catAx>
      <c:valAx>
        <c:axId val="341588032"/>
        <c:scaling>
          <c:orientation val="minMax"/>
        </c:scaling>
        <c:delete val="0"/>
        <c:axPos val="l"/>
        <c:majorGridlines/>
        <c:numFmt formatCode="General" sourceLinked="1"/>
        <c:majorTickMark val="out"/>
        <c:minorTickMark val="none"/>
        <c:tickLblPos val="nextTo"/>
        <c:crossAx val="341587640"/>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'Hermitage Park'!$B$169</c:f>
              <c:strCache>
                <c:ptCount val="1"/>
                <c:pt idx="0">
                  <c:v>Catchment Births (5yrs Prior)</c:v>
                </c:pt>
              </c:strCache>
            </c:strRef>
          </c:tx>
          <c:marker>
            <c:symbol val="square"/>
            <c:size val="7"/>
          </c:marker>
          <c:cat>
            <c:numRef>
              <c:f>'Hermitage Park'!$D$168:$N$168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'Hermitage Park'!$D$169:$N$169</c:f>
              <c:numCache>
                <c:formatCode>#,##0</c:formatCode>
                <c:ptCount val="11"/>
                <c:pt idx="0">
                  <c:v>63</c:v>
                </c:pt>
                <c:pt idx="1">
                  <c:v>63</c:v>
                </c:pt>
                <c:pt idx="2">
                  <c:v>74</c:v>
                </c:pt>
                <c:pt idx="3">
                  <c:v>90</c:v>
                </c:pt>
                <c:pt idx="4">
                  <c:v>99</c:v>
                </c:pt>
                <c:pt idx="5">
                  <c:v>89</c:v>
                </c:pt>
                <c:pt idx="6">
                  <c:v>84</c:v>
                </c:pt>
                <c:pt idx="7">
                  <c:v>101</c:v>
                </c:pt>
                <c:pt idx="8">
                  <c:v>101</c:v>
                </c:pt>
                <c:pt idx="9">
                  <c:v>90</c:v>
                </c:pt>
                <c:pt idx="10">
                  <c:v>93</c:v>
                </c:pt>
              </c:numCache>
            </c:numRef>
          </c:val>
          <c:smooth val="0"/>
          <c:extLst xmlns:c16r2="http://schemas.microsoft.com/office/drawing/2015/06/chart">
            <c:ext xmlns:c16="http://schemas.microsoft.com/office/drawing/2014/chart" uri="{C3380CC4-5D6E-409C-BE32-E72D297353CC}">
              <c16:uniqueId val="{00000000-213D-4DCC-B155-98E5CAD1CDEE}"/>
            </c:ext>
          </c:extLst>
        </c:ser>
        <c:ser>
          <c:idx val="1"/>
          <c:order val="1"/>
          <c:tx>
            <c:strRef>
              <c:f>'Hermitage Park'!$B$170</c:f>
              <c:strCache>
                <c:ptCount val="1"/>
                <c:pt idx="0">
                  <c:v>P1 ND Catchment Population (Actual)</c:v>
                </c:pt>
              </c:strCache>
            </c:strRef>
          </c:tx>
          <c:cat>
            <c:numRef>
              <c:f>'Hermitage Park'!$D$168:$N$168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'Hermitage Park'!$D$170:$I$170</c:f>
              <c:numCache>
                <c:formatCode>#,##0</c:formatCode>
                <c:ptCount val="6"/>
                <c:pt idx="0">
                  <c:v>31</c:v>
                </c:pt>
                <c:pt idx="1">
                  <c:v>45</c:v>
                </c:pt>
                <c:pt idx="2">
                  <c:v>47</c:v>
                </c:pt>
                <c:pt idx="3">
                  <c:v>48</c:v>
                </c:pt>
                <c:pt idx="4">
                  <c:v>53</c:v>
                </c:pt>
                <c:pt idx="5">
                  <c:v>50</c:v>
                </c:pt>
              </c:numCache>
            </c:numRef>
          </c:val>
          <c:smooth val="0"/>
          <c:extLst xmlns:c16r2="http://schemas.microsoft.com/office/drawing/2015/06/chart">
            <c:ext xmlns:c16="http://schemas.microsoft.com/office/drawing/2014/chart" uri="{C3380CC4-5D6E-409C-BE32-E72D297353CC}">
              <c16:uniqueId val="{00000001-213D-4DCC-B155-98E5CAD1CDEE}"/>
            </c:ext>
          </c:extLst>
        </c:ser>
        <c:ser>
          <c:idx val="2"/>
          <c:order val="2"/>
          <c:tx>
            <c:strRef>
              <c:f>'Hermitage Park'!$B$172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213D-4DCC-B155-98E5CAD1CDEE}"/>
              </c:ext>
            </c:extLst>
          </c:dPt>
          <c:dPt>
            <c:idx val="5"/>
            <c:marker>
              <c:symbol val="none"/>
            </c:marker>
            <c:bubble3D val="0"/>
            <c:extLst xmlns:c16r2="http://schemas.microsoft.com/office/drawing/2015/06/chart">
              <c:ext xmlns:c16="http://schemas.microsoft.com/office/drawing/2014/chart" uri="{C3380CC4-5D6E-409C-BE32-E72D297353CC}">
                <c16:uniqueId val="{00000003-213D-4DCC-B155-98E5CAD1CDEE}"/>
              </c:ext>
            </c:extLst>
          </c:dPt>
          <c:dPt>
            <c:idx val="6"/>
            <c:marker>
              <c:symbol val="circle"/>
              <c:size val="7"/>
            </c:marker>
            <c:bubble3D val="0"/>
            <c:extLst xmlns:c16r2="http://schemas.microsoft.com/office/drawing/2015/06/chart">
              <c:ext xmlns:c16="http://schemas.microsoft.com/office/drawing/2014/chart" uri="{C3380CC4-5D6E-409C-BE32-E72D297353CC}">
                <c16:uniqueId val="{00000004-213D-4DCC-B155-98E5CAD1CDEE}"/>
              </c:ext>
            </c:extLst>
          </c:dPt>
          <c:dPt>
            <c:idx val="7"/>
            <c:marker>
              <c:symbol val="circle"/>
              <c:size val="7"/>
            </c:marker>
            <c:bubble3D val="0"/>
            <c:extLst xmlns:c16r2="http://schemas.microsoft.com/office/drawing/2015/06/chart">
              <c:ext xmlns:c16="http://schemas.microsoft.com/office/drawing/2014/chart" uri="{C3380CC4-5D6E-409C-BE32-E72D297353CC}">
                <c16:uniqueId val="{00000005-213D-4DCC-B155-98E5CAD1CDEE}"/>
              </c:ext>
            </c:extLst>
          </c:dPt>
          <c:dPt>
            <c:idx val="8"/>
            <c:marker>
              <c:symbol val="circle"/>
              <c:size val="7"/>
            </c:marker>
            <c:bubble3D val="0"/>
            <c:extLst xmlns:c16r2="http://schemas.microsoft.com/office/drawing/2015/06/chart">
              <c:ext xmlns:c16="http://schemas.microsoft.com/office/drawing/2014/chart" uri="{C3380CC4-5D6E-409C-BE32-E72D297353CC}">
                <c16:uniqueId val="{00000006-213D-4DCC-B155-98E5CAD1CDEE}"/>
              </c:ext>
            </c:extLst>
          </c:dPt>
          <c:cat>
            <c:numRef>
              <c:f>'Hermitage Park'!$D$168:$N$168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'Hermitage Park'!$D$172:$N$172</c:f>
              <c:numCache>
                <c:formatCode>General</c:formatCode>
                <c:ptCount val="11"/>
                <c:pt idx="5" formatCode="0">
                  <c:v>50</c:v>
                </c:pt>
                <c:pt idx="6" formatCode="0">
                  <c:v>0</c:v>
                </c:pt>
                <c:pt idx="7" formatCode="0">
                  <c:v>51</c:v>
                </c:pt>
                <c:pt idx="8" formatCode="0">
                  <c:v>54</c:v>
                </c:pt>
                <c:pt idx="9" formatCode="0">
                  <c:v>52</c:v>
                </c:pt>
                <c:pt idx="10" formatCode="0">
                  <c:v>41</c:v>
                </c:pt>
              </c:numCache>
            </c:numRef>
          </c:val>
          <c:smooth val="0"/>
          <c:extLst xmlns:c16r2="http://schemas.microsoft.com/office/drawing/2015/06/chart">
            <c:ext xmlns:c16="http://schemas.microsoft.com/office/drawing/2014/chart" uri="{C3380CC4-5D6E-409C-BE32-E72D297353CC}">
              <c16:uniqueId val="{00000007-213D-4DCC-B155-98E5CAD1CDEE}"/>
            </c:ext>
          </c:extLst>
        </c:ser>
        <c:ser>
          <c:idx val="3"/>
          <c:order val="3"/>
          <c:tx>
            <c:strRef>
              <c:f>'Hermitage Park'!$B$171</c:f>
              <c:strCache>
                <c:ptCount val="1"/>
                <c:pt idx="0">
                  <c:v>Actual P1 Registrations (as of Jan 2016)</c:v>
                </c:pt>
              </c:strCache>
            </c:strRef>
          </c:tx>
          <c:spPr>
            <a:ln w="15875">
              <a:noFill/>
            </a:ln>
          </c:spPr>
          <c:marker>
            <c:symbol val="diamond"/>
            <c:size val="9"/>
            <c:spPr>
              <a:solidFill>
                <a:schemeClr val="tx1"/>
              </a:solidFill>
            </c:spPr>
          </c:marker>
          <c:cat>
            <c:numRef>
              <c:f>'Hermitage Park'!$D$168:$N$168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'Hermitage Park'!$D$171:$M$171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8-213D-4DCC-B155-98E5CAD1CDEE}"/>
            </c:ext>
          </c:extLst>
        </c:ser>
        <c:dLbls>
          <c:showLegendKey val="0"/>
          <c:showVal val="0"/>
          <c:showCatName val="0"/>
          <c:showSerName val="0"/>
          <c:showPercent val="0"/>
          <c:showBubbleSize val="0"/>
        </c:dLbls>
        <c:marker val="1"/>
        <c:smooth val="0"/>
        <c:axId val="341588816"/>
        <c:axId val="341589208"/>
      </c:lineChart>
      <c:catAx>
        <c:axId val="341588816"/>
        <c:scaling>
          <c:orientation val="minMax"/>
        </c:scaling>
        <c:delete val="0"/>
        <c:axPos val="b"/>
        <c:numFmt formatCode="General" sourceLinked="1"/>
        <c:majorTickMark val="out"/>
        <c:minorTickMark val="none"/>
        <c:tickLblPos val="nextTo"/>
        <c:crossAx val="341589208"/>
        <c:crosses val="autoZero"/>
        <c:auto val="1"/>
        <c:lblAlgn val="ctr"/>
        <c:lblOffset val="100"/>
        <c:noMultiLvlLbl val="0"/>
      </c:catAx>
      <c:valAx>
        <c:axId val="341589208"/>
        <c:scaling>
          <c:orientation val="minMax"/>
        </c:scaling>
        <c:delete val="0"/>
        <c:axPos val="l"/>
        <c:majorGridlines/>
        <c:numFmt formatCode="#,##0" sourceLinked="1"/>
        <c:majorTickMark val="out"/>
        <c:minorTickMark val="none"/>
        <c:tickLblPos val="nextTo"/>
        <c:crossAx val="341588816"/>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EC91-4FA4-889A-43B84A3353DC}"/>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41589992"/>
        <c:axId val="341590384"/>
      </c:lineChart>
      <c:catAx>
        <c:axId val="341589992"/>
        <c:scaling>
          <c:orientation val="minMax"/>
        </c:scaling>
        <c:delete val="0"/>
        <c:axPos val="b"/>
        <c:numFmt formatCode="General" sourceLinked="1"/>
        <c:majorTickMark val="out"/>
        <c:minorTickMark val="none"/>
        <c:tickLblPos val="nextTo"/>
        <c:crossAx val="341590384"/>
        <c:crosses val="autoZero"/>
        <c:auto val="1"/>
        <c:lblAlgn val="ctr"/>
        <c:lblOffset val="100"/>
        <c:noMultiLvlLbl val="0"/>
      </c:catAx>
      <c:valAx>
        <c:axId val="341590384"/>
        <c:scaling>
          <c:orientation val="minMax"/>
        </c:scaling>
        <c:delete val="0"/>
        <c:axPos val="l"/>
        <c:majorGridlines/>
        <c:numFmt formatCode="General" sourceLinked="1"/>
        <c:majorTickMark val="out"/>
        <c:minorTickMark val="none"/>
        <c:tickLblPos val="nextTo"/>
        <c:crossAx val="341589992"/>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Hillwood!$B$177:$B$190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Hillwood!$J$177:$J$190</c:f>
              <c:numCache>
                <c:formatCode>General</c:formatCode>
                <c:ptCount val="14"/>
                <c:pt idx="0">
                  <c:v>77</c:v>
                </c:pt>
                <c:pt idx="1">
                  <c:v>75</c:v>
                </c:pt>
                <c:pt idx="2">
                  <c:v>78</c:v>
                </c:pt>
                <c:pt idx="3">
                  <c:v>76</c:v>
                </c:pt>
                <c:pt idx="4">
                  <c:v>72</c:v>
                </c:pt>
                <c:pt idx="5">
                  <c:v>67</c:v>
                </c:pt>
                <c:pt idx="6">
                  <c:v>61</c:v>
                </c:pt>
                <c:pt idx="7">
                  <c:v>59</c:v>
                </c:pt>
                <c:pt idx="8">
                  <c:v>64</c:v>
                </c:pt>
                <c:pt idx="9">
                  <c:v>61</c:v>
                </c:pt>
                <c:pt idx="10">
                  <c:v>56</c:v>
                </c:pt>
                <c:pt idx="11">
                  <c:v>49</c:v>
                </c:pt>
                <c:pt idx="12">
                  <c:v>55</c:v>
                </c:pt>
                <c:pt idx="13">
                  <c:v>68</c:v>
                </c:pt>
              </c:numCache>
            </c:numRef>
          </c:val>
          <c:smooth val="0"/>
          <c:extLst xmlns:c16r2="http://schemas.microsoft.com/office/drawing/2015/06/chart">
            <c:ext xmlns:c16="http://schemas.microsoft.com/office/drawing/2014/chart" uri="{C3380CC4-5D6E-409C-BE32-E72D297353CC}">
              <c16:uniqueId val="{00000000-C1F9-4C23-87FB-9E54EBDEE165}"/>
            </c:ext>
          </c:extLst>
        </c:ser>
        <c:dLbls>
          <c:showLegendKey val="0"/>
          <c:showVal val="0"/>
          <c:showCatName val="0"/>
          <c:showSerName val="0"/>
          <c:showPercent val="0"/>
          <c:showBubbleSize val="0"/>
        </c:dLbls>
        <c:marker val="1"/>
        <c:smooth val="0"/>
        <c:axId val="341591168"/>
        <c:axId val="341591560"/>
      </c:lineChart>
      <c:catAx>
        <c:axId val="341591168"/>
        <c:scaling>
          <c:orientation val="minMax"/>
        </c:scaling>
        <c:delete val="0"/>
        <c:axPos val="b"/>
        <c:numFmt formatCode="General" sourceLinked="1"/>
        <c:majorTickMark val="out"/>
        <c:minorTickMark val="none"/>
        <c:tickLblPos val="nextTo"/>
        <c:crossAx val="341591560"/>
        <c:crosses val="autoZero"/>
        <c:auto val="1"/>
        <c:lblAlgn val="ctr"/>
        <c:lblOffset val="100"/>
        <c:noMultiLvlLbl val="0"/>
      </c:catAx>
      <c:valAx>
        <c:axId val="341591560"/>
        <c:scaling>
          <c:orientation val="minMax"/>
        </c:scaling>
        <c:delete val="0"/>
        <c:axPos val="l"/>
        <c:majorGridlines/>
        <c:numFmt formatCode="General" sourceLinked="1"/>
        <c:majorTickMark val="out"/>
        <c:minorTickMark val="none"/>
        <c:tickLblPos val="nextTo"/>
        <c:crossAx val="341591168"/>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Hillwood!$B$169</c:f>
              <c:strCache>
                <c:ptCount val="1"/>
                <c:pt idx="0">
                  <c:v>Catchment Births (5yrs Prior)</c:v>
                </c:pt>
              </c:strCache>
            </c:strRef>
          </c:tx>
          <c:marker>
            <c:symbol val="square"/>
            <c:size val="7"/>
          </c:marker>
          <c:cat>
            <c:numRef>
              <c:f>Hillwood!$D$168:$N$168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Hillwood!$D$169:$N$169</c:f>
              <c:numCache>
                <c:formatCode>#,##0</c:formatCode>
                <c:ptCount val="11"/>
                <c:pt idx="0">
                  <c:v>13</c:v>
                </c:pt>
                <c:pt idx="1">
                  <c:v>6</c:v>
                </c:pt>
                <c:pt idx="2">
                  <c:v>6</c:v>
                </c:pt>
                <c:pt idx="3">
                  <c:v>9</c:v>
                </c:pt>
                <c:pt idx="4">
                  <c:v>9</c:v>
                </c:pt>
                <c:pt idx="5">
                  <c:v>10</c:v>
                </c:pt>
                <c:pt idx="6">
                  <c:v>16</c:v>
                </c:pt>
                <c:pt idx="7">
                  <c:v>16</c:v>
                </c:pt>
                <c:pt idx="8">
                  <c:v>10</c:v>
                </c:pt>
                <c:pt idx="9">
                  <c:v>15</c:v>
                </c:pt>
                <c:pt idx="10">
                  <c:v>8</c:v>
                </c:pt>
              </c:numCache>
            </c:numRef>
          </c:val>
          <c:smooth val="0"/>
          <c:extLst xmlns:c16r2="http://schemas.microsoft.com/office/drawing/2015/06/chart">
            <c:ext xmlns:c16="http://schemas.microsoft.com/office/drawing/2014/chart" uri="{C3380CC4-5D6E-409C-BE32-E72D297353CC}">
              <c16:uniqueId val="{00000000-7B4C-4F29-96C3-C7B3CE1E250F}"/>
            </c:ext>
          </c:extLst>
        </c:ser>
        <c:ser>
          <c:idx val="1"/>
          <c:order val="1"/>
          <c:tx>
            <c:strRef>
              <c:f>Hillwood!$B$170</c:f>
              <c:strCache>
                <c:ptCount val="1"/>
                <c:pt idx="0">
                  <c:v>P1 ND Catchment Population (Actual)</c:v>
                </c:pt>
              </c:strCache>
            </c:strRef>
          </c:tx>
          <c:cat>
            <c:numRef>
              <c:f>Hillwood!$D$168:$N$168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Hillwood!$D$170:$I$170</c:f>
              <c:numCache>
                <c:formatCode>#,##0</c:formatCode>
                <c:ptCount val="6"/>
                <c:pt idx="0">
                  <c:v>13</c:v>
                </c:pt>
                <c:pt idx="1">
                  <c:v>11</c:v>
                </c:pt>
                <c:pt idx="2">
                  <c:v>8</c:v>
                </c:pt>
                <c:pt idx="3">
                  <c:v>6</c:v>
                </c:pt>
                <c:pt idx="4">
                  <c:v>6</c:v>
                </c:pt>
                <c:pt idx="5">
                  <c:v>15</c:v>
                </c:pt>
              </c:numCache>
            </c:numRef>
          </c:val>
          <c:smooth val="0"/>
          <c:extLst xmlns:c16r2="http://schemas.microsoft.com/office/drawing/2015/06/chart">
            <c:ext xmlns:c16="http://schemas.microsoft.com/office/drawing/2014/chart" uri="{C3380CC4-5D6E-409C-BE32-E72D297353CC}">
              <c16:uniqueId val="{00000001-7B4C-4F29-96C3-C7B3CE1E250F}"/>
            </c:ext>
          </c:extLst>
        </c:ser>
        <c:ser>
          <c:idx val="2"/>
          <c:order val="2"/>
          <c:tx>
            <c:strRef>
              <c:f>Hillwood!$B$172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7B4C-4F29-96C3-C7B3CE1E250F}"/>
              </c:ext>
            </c:extLst>
          </c:dPt>
          <c:dPt>
            <c:idx val="5"/>
            <c:marker>
              <c:symbol val="none"/>
            </c:marker>
            <c:bubble3D val="0"/>
            <c:extLst xmlns:c16r2="http://schemas.microsoft.com/office/drawing/2015/06/chart">
              <c:ext xmlns:c16="http://schemas.microsoft.com/office/drawing/2014/chart" uri="{C3380CC4-5D6E-409C-BE32-E72D297353CC}">
                <c16:uniqueId val="{00000003-7B4C-4F29-96C3-C7B3CE1E250F}"/>
              </c:ext>
            </c:extLst>
          </c:dPt>
          <c:dPt>
            <c:idx val="6"/>
            <c:marker>
              <c:symbol val="circle"/>
              <c:size val="7"/>
            </c:marker>
            <c:bubble3D val="0"/>
            <c:extLst xmlns:c16r2="http://schemas.microsoft.com/office/drawing/2015/06/chart">
              <c:ext xmlns:c16="http://schemas.microsoft.com/office/drawing/2014/chart" uri="{C3380CC4-5D6E-409C-BE32-E72D297353CC}">
                <c16:uniqueId val="{00000004-7B4C-4F29-96C3-C7B3CE1E250F}"/>
              </c:ext>
            </c:extLst>
          </c:dPt>
          <c:dPt>
            <c:idx val="7"/>
            <c:marker>
              <c:symbol val="circle"/>
              <c:size val="7"/>
            </c:marker>
            <c:bubble3D val="0"/>
            <c:extLst xmlns:c16r2="http://schemas.microsoft.com/office/drawing/2015/06/chart">
              <c:ext xmlns:c16="http://schemas.microsoft.com/office/drawing/2014/chart" uri="{C3380CC4-5D6E-409C-BE32-E72D297353CC}">
                <c16:uniqueId val="{00000005-7B4C-4F29-96C3-C7B3CE1E250F}"/>
              </c:ext>
            </c:extLst>
          </c:dPt>
          <c:dPt>
            <c:idx val="8"/>
            <c:marker>
              <c:symbol val="circle"/>
              <c:size val="7"/>
            </c:marker>
            <c:bubble3D val="0"/>
            <c:extLst xmlns:c16r2="http://schemas.microsoft.com/office/drawing/2015/06/chart">
              <c:ext xmlns:c16="http://schemas.microsoft.com/office/drawing/2014/chart" uri="{C3380CC4-5D6E-409C-BE32-E72D297353CC}">
                <c16:uniqueId val="{00000006-7B4C-4F29-96C3-C7B3CE1E250F}"/>
              </c:ext>
            </c:extLst>
          </c:dPt>
          <c:cat>
            <c:numRef>
              <c:f>Hillwood!$D$168:$N$168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Hillwood!$D$172:$N$172</c:f>
              <c:numCache>
                <c:formatCode>General</c:formatCode>
                <c:ptCount val="11"/>
                <c:pt idx="5" formatCode="0">
                  <c:v>15</c:v>
                </c:pt>
                <c:pt idx="6" formatCode="0">
                  <c:v>0</c:v>
                </c:pt>
                <c:pt idx="7" formatCode="0">
                  <c:v>14</c:v>
                </c:pt>
                <c:pt idx="8" formatCode="0">
                  <c:v>8</c:v>
                </c:pt>
                <c:pt idx="9" formatCode="0">
                  <c:v>18</c:v>
                </c:pt>
                <c:pt idx="10" formatCode="0">
                  <c:v>18</c:v>
                </c:pt>
              </c:numCache>
            </c:numRef>
          </c:val>
          <c:smooth val="0"/>
          <c:extLst xmlns:c16r2="http://schemas.microsoft.com/office/drawing/2015/06/chart">
            <c:ext xmlns:c16="http://schemas.microsoft.com/office/drawing/2014/chart" uri="{C3380CC4-5D6E-409C-BE32-E72D297353CC}">
              <c16:uniqueId val="{00000007-7B4C-4F29-96C3-C7B3CE1E250F}"/>
            </c:ext>
          </c:extLst>
        </c:ser>
        <c:ser>
          <c:idx val="3"/>
          <c:order val="3"/>
          <c:tx>
            <c:strRef>
              <c:f>Hillwood!$B$171</c:f>
              <c:strCache>
                <c:ptCount val="1"/>
                <c:pt idx="0">
                  <c:v>Actual P1 Registrations (as of Jan 2016)</c:v>
                </c:pt>
              </c:strCache>
            </c:strRef>
          </c:tx>
          <c:spPr>
            <a:ln w="15875">
              <a:noFill/>
            </a:ln>
          </c:spPr>
          <c:marker>
            <c:symbol val="diamond"/>
            <c:size val="9"/>
            <c:spPr>
              <a:solidFill>
                <a:schemeClr val="tx1"/>
              </a:solidFill>
            </c:spPr>
          </c:marker>
          <c:cat>
            <c:numRef>
              <c:f>Hillwood!$D$168:$N$168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Hillwood!$D$171:$M$171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8-7B4C-4F29-96C3-C7B3CE1E250F}"/>
            </c:ext>
          </c:extLst>
        </c:ser>
        <c:dLbls>
          <c:showLegendKey val="0"/>
          <c:showVal val="0"/>
          <c:showCatName val="0"/>
          <c:showSerName val="0"/>
          <c:showPercent val="0"/>
          <c:showBubbleSize val="0"/>
        </c:dLbls>
        <c:marker val="1"/>
        <c:smooth val="0"/>
        <c:axId val="341592344"/>
        <c:axId val="341592736"/>
      </c:lineChart>
      <c:catAx>
        <c:axId val="341592344"/>
        <c:scaling>
          <c:orientation val="minMax"/>
        </c:scaling>
        <c:delete val="0"/>
        <c:axPos val="b"/>
        <c:numFmt formatCode="General" sourceLinked="1"/>
        <c:majorTickMark val="out"/>
        <c:minorTickMark val="none"/>
        <c:tickLblPos val="nextTo"/>
        <c:crossAx val="341592736"/>
        <c:crosses val="autoZero"/>
        <c:auto val="1"/>
        <c:lblAlgn val="ctr"/>
        <c:lblOffset val="100"/>
        <c:noMultiLvlLbl val="0"/>
      </c:catAx>
      <c:valAx>
        <c:axId val="341592736"/>
        <c:scaling>
          <c:orientation val="minMax"/>
        </c:scaling>
        <c:delete val="0"/>
        <c:axPos val="l"/>
        <c:majorGridlines/>
        <c:numFmt formatCode="#,##0" sourceLinked="1"/>
        <c:majorTickMark val="out"/>
        <c:minorTickMark val="none"/>
        <c:tickLblPos val="nextTo"/>
        <c:crossAx val="341592344"/>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B4C9-4147-AE5A-F9F8A4992330}"/>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41593520"/>
        <c:axId val="341593912"/>
      </c:lineChart>
      <c:catAx>
        <c:axId val="341593520"/>
        <c:scaling>
          <c:orientation val="minMax"/>
        </c:scaling>
        <c:delete val="0"/>
        <c:axPos val="b"/>
        <c:numFmt formatCode="General" sourceLinked="1"/>
        <c:majorTickMark val="out"/>
        <c:minorTickMark val="none"/>
        <c:tickLblPos val="nextTo"/>
        <c:crossAx val="341593912"/>
        <c:crosses val="autoZero"/>
        <c:auto val="1"/>
        <c:lblAlgn val="ctr"/>
        <c:lblOffset val="100"/>
        <c:noMultiLvlLbl val="0"/>
      </c:catAx>
      <c:valAx>
        <c:axId val="341593912"/>
        <c:scaling>
          <c:orientation val="minMax"/>
        </c:scaling>
        <c:delete val="0"/>
        <c:axPos val="l"/>
        <c:majorGridlines/>
        <c:numFmt formatCode="General" sourceLinked="1"/>
        <c:majorTickMark val="out"/>
        <c:minorTickMark val="none"/>
        <c:tickLblPos val="nextTo"/>
        <c:crossAx val="341593520"/>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'Holy Cross RC'!$B$177:$B$190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'Holy Cross RC'!$J$177:$J$190</c:f>
              <c:numCache>
                <c:formatCode>General</c:formatCode>
                <c:ptCount val="14"/>
                <c:pt idx="0">
                  <c:v>270</c:v>
                </c:pt>
                <c:pt idx="1">
                  <c:v>243</c:v>
                </c:pt>
                <c:pt idx="2">
                  <c:v>229</c:v>
                </c:pt>
                <c:pt idx="3">
                  <c:v>202</c:v>
                </c:pt>
                <c:pt idx="4">
                  <c:v>194</c:v>
                </c:pt>
                <c:pt idx="5">
                  <c:v>188</c:v>
                </c:pt>
                <c:pt idx="6">
                  <c:v>213</c:v>
                </c:pt>
                <c:pt idx="7">
                  <c:v>200</c:v>
                </c:pt>
                <c:pt idx="8">
                  <c:v>219</c:v>
                </c:pt>
                <c:pt idx="9">
                  <c:v>251</c:v>
                </c:pt>
                <c:pt idx="10">
                  <c:v>273</c:v>
                </c:pt>
                <c:pt idx="11">
                  <c:v>282</c:v>
                </c:pt>
                <c:pt idx="12">
                  <c:v>282</c:v>
                </c:pt>
                <c:pt idx="13">
                  <c:v>291</c:v>
                </c:pt>
              </c:numCache>
            </c:numRef>
          </c:val>
          <c:smooth val="0"/>
          <c:extLst xmlns:c16r2="http://schemas.microsoft.com/office/drawing/2015/06/chart">
            <c:ext xmlns:c16="http://schemas.microsoft.com/office/drawing/2014/chart" uri="{C3380CC4-5D6E-409C-BE32-E72D297353CC}">
              <c16:uniqueId val="{00000000-F4C5-415D-8CD9-999636F3D679}"/>
            </c:ext>
          </c:extLst>
        </c:ser>
        <c:dLbls>
          <c:showLegendKey val="0"/>
          <c:showVal val="0"/>
          <c:showCatName val="0"/>
          <c:showSerName val="0"/>
          <c:showPercent val="0"/>
          <c:showBubbleSize val="0"/>
        </c:dLbls>
        <c:marker val="1"/>
        <c:smooth val="0"/>
        <c:axId val="341594696"/>
        <c:axId val="341595088"/>
      </c:lineChart>
      <c:catAx>
        <c:axId val="341594696"/>
        <c:scaling>
          <c:orientation val="minMax"/>
        </c:scaling>
        <c:delete val="0"/>
        <c:axPos val="b"/>
        <c:numFmt formatCode="General" sourceLinked="1"/>
        <c:majorTickMark val="out"/>
        <c:minorTickMark val="none"/>
        <c:tickLblPos val="nextTo"/>
        <c:crossAx val="341595088"/>
        <c:crosses val="autoZero"/>
        <c:auto val="1"/>
        <c:lblAlgn val="ctr"/>
        <c:lblOffset val="100"/>
        <c:noMultiLvlLbl val="0"/>
      </c:catAx>
      <c:valAx>
        <c:axId val="341595088"/>
        <c:scaling>
          <c:orientation val="minMax"/>
        </c:scaling>
        <c:delete val="0"/>
        <c:axPos val="l"/>
        <c:majorGridlines/>
        <c:numFmt formatCode="General" sourceLinked="1"/>
        <c:majorTickMark val="out"/>
        <c:minorTickMark val="none"/>
        <c:tickLblPos val="nextTo"/>
        <c:crossAx val="341594696"/>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'Holy Cross RC'!$B$169</c:f>
              <c:strCache>
                <c:ptCount val="1"/>
                <c:pt idx="0">
                  <c:v>Catchment Births (5yrs Prior)</c:v>
                </c:pt>
              </c:strCache>
            </c:strRef>
          </c:tx>
          <c:marker>
            <c:symbol val="square"/>
            <c:size val="7"/>
          </c:marker>
          <c:cat>
            <c:numRef>
              <c:f>'Holy Cross RC'!$D$168:$M$168</c:f>
              <c:numCache>
                <c:formatCode>General</c:formatCode>
                <c:ptCount val="10"/>
                <c:pt idx="0">
                  <c:v>2010</c:v>
                </c:pt>
                <c:pt idx="1">
                  <c:v>2011</c:v>
                </c:pt>
                <c:pt idx="2">
                  <c:v>2012</c:v>
                </c:pt>
                <c:pt idx="3">
                  <c:v>2013</c:v>
                </c:pt>
                <c:pt idx="4">
                  <c:v>2014</c:v>
                </c:pt>
                <c:pt idx="5">
                  <c:v>2015</c:v>
                </c:pt>
                <c:pt idx="6">
                  <c:v>2016</c:v>
                </c:pt>
                <c:pt idx="7">
                  <c:v>2017</c:v>
                </c:pt>
                <c:pt idx="8">
                  <c:v>2018</c:v>
                </c:pt>
                <c:pt idx="9">
                  <c:v>2019</c:v>
                </c:pt>
              </c:numCache>
            </c:numRef>
          </c:cat>
          <c:val>
            <c:numRef>
              <c:f>'Holy Cross RC'!$D$169:$M$169</c:f>
              <c:numCache>
                <c:formatCode>#,##0</c:formatCode>
                <c:ptCount val="10"/>
                <c:pt idx="0">
                  <c:v>293</c:v>
                </c:pt>
                <c:pt idx="1">
                  <c:v>331</c:v>
                </c:pt>
                <c:pt idx="2">
                  <c:v>371</c:v>
                </c:pt>
                <c:pt idx="3">
                  <c:v>395</c:v>
                </c:pt>
                <c:pt idx="4">
                  <c:v>419</c:v>
                </c:pt>
                <c:pt idx="5">
                  <c:v>446</c:v>
                </c:pt>
                <c:pt idx="6">
                  <c:v>456</c:v>
                </c:pt>
                <c:pt idx="7">
                  <c:v>419</c:v>
                </c:pt>
                <c:pt idx="8">
                  <c:v>404</c:v>
                </c:pt>
                <c:pt idx="9">
                  <c:v>423</c:v>
                </c:pt>
              </c:numCache>
            </c:numRef>
          </c:val>
          <c:smooth val="0"/>
          <c:extLst xmlns:c16r2="http://schemas.microsoft.com/office/drawing/2015/06/chart">
            <c:ext xmlns:c16="http://schemas.microsoft.com/office/drawing/2014/chart" uri="{C3380CC4-5D6E-409C-BE32-E72D297353CC}">
              <c16:uniqueId val="{00000000-945D-4AB5-B9A5-253B5499FDBB}"/>
            </c:ext>
          </c:extLst>
        </c:ser>
        <c:dLbls>
          <c:showLegendKey val="0"/>
          <c:showVal val="0"/>
          <c:showCatName val="0"/>
          <c:showSerName val="0"/>
          <c:showPercent val="0"/>
          <c:showBubbleSize val="0"/>
        </c:dLbls>
        <c:marker val="1"/>
        <c:smooth val="0"/>
        <c:axId val="341595872"/>
        <c:axId val="344109744"/>
      </c:lineChart>
      <c:catAx>
        <c:axId val="341595872"/>
        <c:scaling>
          <c:orientation val="minMax"/>
        </c:scaling>
        <c:delete val="0"/>
        <c:axPos val="b"/>
        <c:numFmt formatCode="General" sourceLinked="1"/>
        <c:majorTickMark val="out"/>
        <c:minorTickMark val="none"/>
        <c:tickLblPos val="nextTo"/>
        <c:crossAx val="344109744"/>
        <c:crosses val="autoZero"/>
        <c:auto val="1"/>
        <c:lblAlgn val="ctr"/>
        <c:lblOffset val="100"/>
        <c:noMultiLvlLbl val="0"/>
      </c:catAx>
      <c:valAx>
        <c:axId val="344109744"/>
        <c:scaling>
          <c:orientation val="minMax"/>
        </c:scaling>
        <c:delete val="0"/>
        <c:axPos val="l"/>
        <c:majorGridlines/>
        <c:numFmt formatCode="#,##0" sourceLinked="1"/>
        <c:majorTickMark val="out"/>
        <c:minorTickMark val="none"/>
        <c:tickLblPos val="nextTo"/>
        <c:crossAx val="341595872"/>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EA66-4376-92C3-201DA687B1A6}"/>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44110528"/>
        <c:axId val="344110920"/>
      </c:lineChart>
      <c:catAx>
        <c:axId val="344110528"/>
        <c:scaling>
          <c:orientation val="minMax"/>
        </c:scaling>
        <c:delete val="0"/>
        <c:axPos val="b"/>
        <c:numFmt formatCode="General" sourceLinked="1"/>
        <c:majorTickMark val="out"/>
        <c:minorTickMark val="none"/>
        <c:tickLblPos val="nextTo"/>
        <c:crossAx val="344110920"/>
        <c:crosses val="autoZero"/>
        <c:auto val="1"/>
        <c:lblAlgn val="ctr"/>
        <c:lblOffset val="100"/>
        <c:noMultiLvlLbl val="0"/>
      </c:catAx>
      <c:valAx>
        <c:axId val="344110920"/>
        <c:scaling>
          <c:orientation val="minMax"/>
        </c:scaling>
        <c:delete val="0"/>
        <c:axPos val="l"/>
        <c:majorGridlines/>
        <c:numFmt formatCode="General" sourceLinked="1"/>
        <c:majorTickMark val="out"/>
        <c:minorTickMark val="none"/>
        <c:tickLblPos val="nextTo"/>
        <c:crossAx val="344110528"/>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'James Gillespies'!$B$177:$B$190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'James Gillespies'!$J$177:$J$190</c:f>
              <c:numCache>
                <c:formatCode>General</c:formatCode>
                <c:ptCount val="14"/>
                <c:pt idx="0">
                  <c:v>441</c:v>
                </c:pt>
                <c:pt idx="1">
                  <c:v>441</c:v>
                </c:pt>
                <c:pt idx="2">
                  <c:v>429</c:v>
                </c:pt>
                <c:pt idx="3">
                  <c:v>415</c:v>
                </c:pt>
                <c:pt idx="4">
                  <c:v>409</c:v>
                </c:pt>
                <c:pt idx="5">
                  <c:v>412</c:v>
                </c:pt>
                <c:pt idx="6">
                  <c:v>397</c:v>
                </c:pt>
                <c:pt idx="7">
                  <c:v>403</c:v>
                </c:pt>
                <c:pt idx="8">
                  <c:v>402</c:v>
                </c:pt>
                <c:pt idx="9">
                  <c:v>406</c:v>
                </c:pt>
                <c:pt idx="10">
                  <c:v>407</c:v>
                </c:pt>
                <c:pt idx="11">
                  <c:v>419</c:v>
                </c:pt>
                <c:pt idx="12">
                  <c:v>451</c:v>
                </c:pt>
                <c:pt idx="13">
                  <c:v>495</c:v>
                </c:pt>
              </c:numCache>
            </c:numRef>
          </c:val>
          <c:smooth val="0"/>
          <c:extLst xmlns:c16r2="http://schemas.microsoft.com/office/drawing/2015/06/chart">
            <c:ext xmlns:c16="http://schemas.microsoft.com/office/drawing/2014/chart" uri="{C3380CC4-5D6E-409C-BE32-E72D297353CC}">
              <c16:uniqueId val="{00000000-DFE2-409F-B7B1-21878B6F3556}"/>
            </c:ext>
          </c:extLst>
        </c:ser>
        <c:dLbls>
          <c:showLegendKey val="0"/>
          <c:showVal val="0"/>
          <c:showCatName val="0"/>
          <c:showSerName val="0"/>
          <c:showPercent val="0"/>
          <c:showBubbleSize val="0"/>
        </c:dLbls>
        <c:marker val="1"/>
        <c:smooth val="0"/>
        <c:axId val="344111704"/>
        <c:axId val="344112096"/>
      </c:lineChart>
      <c:catAx>
        <c:axId val="344111704"/>
        <c:scaling>
          <c:orientation val="minMax"/>
        </c:scaling>
        <c:delete val="0"/>
        <c:axPos val="b"/>
        <c:numFmt formatCode="General" sourceLinked="1"/>
        <c:majorTickMark val="out"/>
        <c:minorTickMark val="none"/>
        <c:tickLblPos val="nextTo"/>
        <c:crossAx val="344112096"/>
        <c:crosses val="autoZero"/>
        <c:auto val="1"/>
        <c:lblAlgn val="ctr"/>
        <c:lblOffset val="100"/>
        <c:noMultiLvlLbl val="0"/>
      </c:catAx>
      <c:valAx>
        <c:axId val="344112096"/>
        <c:scaling>
          <c:orientation val="minMax"/>
        </c:scaling>
        <c:delete val="0"/>
        <c:axPos val="l"/>
        <c:majorGridlines/>
        <c:numFmt formatCode="General" sourceLinked="1"/>
        <c:majorTickMark val="out"/>
        <c:minorTickMark val="none"/>
        <c:tickLblPos val="nextTo"/>
        <c:crossAx val="344111704"/>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'James Gillespies'!$B$169</c:f>
              <c:strCache>
                <c:ptCount val="1"/>
                <c:pt idx="0">
                  <c:v>Catchment Births (5yrs Prior)</c:v>
                </c:pt>
              </c:strCache>
            </c:strRef>
          </c:tx>
          <c:marker>
            <c:symbol val="square"/>
            <c:size val="7"/>
          </c:marker>
          <c:cat>
            <c:numRef>
              <c:f>'James Gillespies'!$D$168:$N$168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'James Gillespies'!$D$169:$N$169</c:f>
              <c:numCache>
                <c:formatCode>#,##0</c:formatCode>
                <c:ptCount val="11"/>
                <c:pt idx="0">
                  <c:v>78</c:v>
                </c:pt>
                <c:pt idx="1">
                  <c:v>97</c:v>
                </c:pt>
                <c:pt idx="2">
                  <c:v>74</c:v>
                </c:pt>
                <c:pt idx="3">
                  <c:v>75</c:v>
                </c:pt>
                <c:pt idx="4">
                  <c:v>96</c:v>
                </c:pt>
                <c:pt idx="5">
                  <c:v>101</c:v>
                </c:pt>
                <c:pt idx="6">
                  <c:v>62</c:v>
                </c:pt>
                <c:pt idx="7">
                  <c:v>84</c:v>
                </c:pt>
                <c:pt idx="8">
                  <c:v>90</c:v>
                </c:pt>
                <c:pt idx="9">
                  <c:v>93</c:v>
                </c:pt>
                <c:pt idx="10">
                  <c:v>90</c:v>
                </c:pt>
              </c:numCache>
            </c:numRef>
          </c:val>
          <c:smooth val="0"/>
          <c:extLst xmlns:c16r2="http://schemas.microsoft.com/office/drawing/2015/06/chart">
            <c:ext xmlns:c16="http://schemas.microsoft.com/office/drawing/2014/chart" uri="{C3380CC4-5D6E-409C-BE32-E72D297353CC}">
              <c16:uniqueId val="{00000000-505D-405F-B672-D59941FB7CBF}"/>
            </c:ext>
          </c:extLst>
        </c:ser>
        <c:ser>
          <c:idx val="1"/>
          <c:order val="1"/>
          <c:tx>
            <c:strRef>
              <c:f>'James Gillespies'!$B$170</c:f>
              <c:strCache>
                <c:ptCount val="1"/>
                <c:pt idx="0">
                  <c:v>P1 ND Catchment Population (Actual)</c:v>
                </c:pt>
              </c:strCache>
            </c:strRef>
          </c:tx>
          <c:cat>
            <c:numRef>
              <c:f>'James Gillespies'!$D$168:$N$168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'James Gillespies'!$D$170:$I$170</c:f>
              <c:numCache>
                <c:formatCode>#,##0</c:formatCode>
                <c:ptCount val="6"/>
                <c:pt idx="0">
                  <c:v>64</c:v>
                </c:pt>
                <c:pt idx="1">
                  <c:v>65</c:v>
                </c:pt>
                <c:pt idx="2">
                  <c:v>66</c:v>
                </c:pt>
                <c:pt idx="3">
                  <c:v>79</c:v>
                </c:pt>
                <c:pt idx="4">
                  <c:v>85</c:v>
                </c:pt>
                <c:pt idx="5">
                  <c:v>93</c:v>
                </c:pt>
              </c:numCache>
            </c:numRef>
          </c:val>
          <c:smooth val="0"/>
          <c:extLst xmlns:c16r2="http://schemas.microsoft.com/office/drawing/2015/06/chart">
            <c:ext xmlns:c16="http://schemas.microsoft.com/office/drawing/2014/chart" uri="{C3380CC4-5D6E-409C-BE32-E72D297353CC}">
              <c16:uniqueId val="{00000001-505D-405F-B672-D59941FB7CBF}"/>
            </c:ext>
          </c:extLst>
        </c:ser>
        <c:ser>
          <c:idx val="2"/>
          <c:order val="2"/>
          <c:tx>
            <c:strRef>
              <c:f>'James Gillespies'!$B$172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505D-405F-B672-D59941FB7CBF}"/>
              </c:ext>
            </c:extLst>
          </c:dPt>
          <c:dPt>
            <c:idx val="5"/>
            <c:marker>
              <c:symbol val="none"/>
            </c:marker>
            <c:bubble3D val="0"/>
            <c:extLst xmlns:c16r2="http://schemas.microsoft.com/office/drawing/2015/06/chart">
              <c:ext xmlns:c16="http://schemas.microsoft.com/office/drawing/2014/chart" uri="{C3380CC4-5D6E-409C-BE32-E72D297353CC}">
                <c16:uniqueId val="{00000003-505D-405F-B672-D59941FB7CBF}"/>
              </c:ext>
            </c:extLst>
          </c:dPt>
          <c:dPt>
            <c:idx val="6"/>
            <c:marker>
              <c:symbol val="circle"/>
              <c:size val="7"/>
            </c:marker>
            <c:bubble3D val="0"/>
            <c:extLst xmlns:c16r2="http://schemas.microsoft.com/office/drawing/2015/06/chart">
              <c:ext xmlns:c16="http://schemas.microsoft.com/office/drawing/2014/chart" uri="{C3380CC4-5D6E-409C-BE32-E72D297353CC}">
                <c16:uniqueId val="{00000004-505D-405F-B672-D59941FB7CBF}"/>
              </c:ext>
            </c:extLst>
          </c:dPt>
          <c:dPt>
            <c:idx val="7"/>
            <c:marker>
              <c:symbol val="circle"/>
              <c:size val="7"/>
            </c:marker>
            <c:bubble3D val="0"/>
            <c:extLst xmlns:c16r2="http://schemas.microsoft.com/office/drawing/2015/06/chart">
              <c:ext xmlns:c16="http://schemas.microsoft.com/office/drawing/2014/chart" uri="{C3380CC4-5D6E-409C-BE32-E72D297353CC}">
                <c16:uniqueId val="{00000005-505D-405F-B672-D59941FB7CBF}"/>
              </c:ext>
            </c:extLst>
          </c:dPt>
          <c:dPt>
            <c:idx val="8"/>
            <c:marker>
              <c:symbol val="circle"/>
              <c:size val="7"/>
            </c:marker>
            <c:bubble3D val="0"/>
            <c:extLst xmlns:c16r2="http://schemas.microsoft.com/office/drawing/2015/06/chart">
              <c:ext xmlns:c16="http://schemas.microsoft.com/office/drawing/2014/chart" uri="{C3380CC4-5D6E-409C-BE32-E72D297353CC}">
                <c16:uniqueId val="{00000006-505D-405F-B672-D59941FB7CBF}"/>
              </c:ext>
            </c:extLst>
          </c:dPt>
          <c:cat>
            <c:numRef>
              <c:f>'James Gillespies'!$D$168:$N$168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'James Gillespies'!$D$172:$N$172</c:f>
              <c:numCache>
                <c:formatCode>General</c:formatCode>
                <c:ptCount val="11"/>
                <c:pt idx="5" formatCode="0">
                  <c:v>93</c:v>
                </c:pt>
                <c:pt idx="6" formatCode="0">
                  <c:v>0</c:v>
                </c:pt>
                <c:pt idx="7" formatCode="0">
                  <c:v>92</c:v>
                </c:pt>
                <c:pt idx="8" formatCode="0">
                  <c:v>89</c:v>
                </c:pt>
                <c:pt idx="9" formatCode="0">
                  <c:v>58</c:v>
                </c:pt>
                <c:pt idx="10" formatCode="0">
                  <c:v>62</c:v>
                </c:pt>
              </c:numCache>
            </c:numRef>
          </c:val>
          <c:smooth val="0"/>
          <c:extLst xmlns:c16r2="http://schemas.microsoft.com/office/drawing/2015/06/chart">
            <c:ext xmlns:c16="http://schemas.microsoft.com/office/drawing/2014/chart" uri="{C3380CC4-5D6E-409C-BE32-E72D297353CC}">
              <c16:uniqueId val="{00000007-505D-405F-B672-D59941FB7CBF}"/>
            </c:ext>
          </c:extLst>
        </c:ser>
        <c:ser>
          <c:idx val="3"/>
          <c:order val="3"/>
          <c:tx>
            <c:strRef>
              <c:f>'James Gillespies'!$B$171</c:f>
              <c:strCache>
                <c:ptCount val="1"/>
                <c:pt idx="0">
                  <c:v>Actual P1 Registrations (as of Jan 2016)</c:v>
                </c:pt>
              </c:strCache>
            </c:strRef>
          </c:tx>
          <c:spPr>
            <a:ln w="15875">
              <a:noFill/>
            </a:ln>
          </c:spPr>
          <c:marker>
            <c:symbol val="diamond"/>
            <c:size val="9"/>
            <c:spPr>
              <a:solidFill>
                <a:schemeClr val="tx1"/>
              </a:solidFill>
            </c:spPr>
          </c:marker>
          <c:cat>
            <c:numRef>
              <c:f>'James Gillespies'!$D$168:$N$168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'James Gillespies'!$D$171:$M$171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8-505D-405F-B672-D59941FB7CBF}"/>
            </c:ext>
          </c:extLst>
        </c:ser>
        <c:dLbls>
          <c:showLegendKey val="0"/>
          <c:showVal val="0"/>
          <c:showCatName val="0"/>
          <c:showSerName val="0"/>
          <c:showPercent val="0"/>
          <c:showBubbleSize val="0"/>
        </c:dLbls>
        <c:marker val="1"/>
        <c:smooth val="0"/>
        <c:axId val="344112880"/>
        <c:axId val="344113272"/>
      </c:lineChart>
      <c:catAx>
        <c:axId val="344112880"/>
        <c:scaling>
          <c:orientation val="minMax"/>
        </c:scaling>
        <c:delete val="0"/>
        <c:axPos val="b"/>
        <c:numFmt formatCode="General" sourceLinked="1"/>
        <c:majorTickMark val="out"/>
        <c:minorTickMark val="none"/>
        <c:tickLblPos val="nextTo"/>
        <c:crossAx val="344113272"/>
        <c:crosses val="autoZero"/>
        <c:auto val="1"/>
        <c:lblAlgn val="ctr"/>
        <c:lblOffset val="100"/>
        <c:noMultiLvlLbl val="0"/>
      </c:catAx>
      <c:valAx>
        <c:axId val="344113272"/>
        <c:scaling>
          <c:orientation val="minMax"/>
        </c:scaling>
        <c:delete val="0"/>
        <c:axPos val="l"/>
        <c:majorGridlines/>
        <c:numFmt formatCode="#,##0" sourceLinked="1"/>
        <c:majorTickMark val="out"/>
        <c:minorTickMark val="none"/>
        <c:tickLblPos val="nextTo"/>
        <c:crossAx val="344112880"/>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2314-4D54-8A8F-1A8CAFC361A0}"/>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44114056"/>
        <c:axId val="344114448"/>
      </c:lineChart>
      <c:catAx>
        <c:axId val="344114056"/>
        <c:scaling>
          <c:orientation val="minMax"/>
        </c:scaling>
        <c:delete val="0"/>
        <c:axPos val="b"/>
        <c:numFmt formatCode="General" sourceLinked="1"/>
        <c:majorTickMark val="out"/>
        <c:minorTickMark val="none"/>
        <c:tickLblPos val="nextTo"/>
        <c:crossAx val="344114448"/>
        <c:crosses val="autoZero"/>
        <c:auto val="1"/>
        <c:lblAlgn val="ctr"/>
        <c:lblOffset val="100"/>
        <c:noMultiLvlLbl val="0"/>
      </c:catAx>
      <c:valAx>
        <c:axId val="344114448"/>
        <c:scaling>
          <c:orientation val="minMax"/>
        </c:scaling>
        <c:delete val="0"/>
        <c:axPos val="l"/>
        <c:majorGridlines/>
        <c:numFmt formatCode="General" sourceLinked="1"/>
        <c:majorTickMark val="out"/>
        <c:minorTickMark val="none"/>
        <c:tickLblPos val="nextTo"/>
        <c:crossAx val="344114056"/>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3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square"/>
            <c:size val="7"/>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5A5B-4CEC-A13B-2C6454BFB8F7}"/>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1"/>
          <c:order val="1"/>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1-5A5B-4CEC-A13B-2C6454BFB8F7}"/>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2"/>
          <c:order val="2"/>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5A5B-4CEC-A13B-2C6454BFB8F7}"/>
              </c:ext>
            </c:extLst>
          </c:dPt>
          <c:dPt>
            <c:idx val="5"/>
            <c:marker>
              <c:symbol val="circle"/>
              <c:size val="7"/>
            </c:marker>
            <c:bubble3D val="0"/>
            <c:extLst xmlns:c16r2="http://schemas.microsoft.com/office/drawing/2015/06/chart">
              <c:ext xmlns:c16="http://schemas.microsoft.com/office/drawing/2014/chart" uri="{C3380CC4-5D6E-409C-BE32-E72D297353CC}">
                <c16:uniqueId val="{00000003-5A5B-4CEC-A13B-2C6454BFB8F7}"/>
              </c:ext>
            </c:extLst>
          </c:dPt>
          <c:dPt>
            <c:idx val="6"/>
            <c:marker>
              <c:symbol val="circle"/>
              <c:size val="7"/>
            </c:marker>
            <c:bubble3D val="0"/>
            <c:extLst xmlns:c16r2="http://schemas.microsoft.com/office/drawing/2015/06/chart">
              <c:ext xmlns:c16="http://schemas.microsoft.com/office/drawing/2014/chart" uri="{C3380CC4-5D6E-409C-BE32-E72D297353CC}">
                <c16:uniqueId val="{00000004-5A5B-4CEC-A13B-2C6454BFB8F7}"/>
              </c:ext>
            </c:extLst>
          </c:dPt>
          <c:dPt>
            <c:idx val="7"/>
            <c:marker>
              <c:symbol val="circle"/>
              <c:size val="7"/>
            </c:marker>
            <c:bubble3D val="0"/>
            <c:extLst xmlns:c16r2="http://schemas.microsoft.com/office/drawing/2015/06/chart">
              <c:ext xmlns:c16="http://schemas.microsoft.com/office/drawing/2014/chart" uri="{C3380CC4-5D6E-409C-BE32-E72D297353CC}">
                <c16:uniqueId val="{00000005-5A5B-4CEC-A13B-2C6454BFB8F7}"/>
              </c:ext>
            </c:extLst>
          </c:dPt>
          <c:dPt>
            <c:idx val="8"/>
            <c:marker>
              <c:symbol val="circle"/>
              <c:size val="7"/>
            </c:marker>
            <c:bubble3D val="0"/>
            <c:extLst xmlns:c16r2="http://schemas.microsoft.com/office/drawing/2015/06/chart">
              <c:ext xmlns:c16="http://schemas.microsoft.com/office/drawing/2014/chart" uri="{C3380CC4-5D6E-409C-BE32-E72D297353CC}">
                <c16:uniqueId val="{00000006-5A5B-4CEC-A13B-2C6454BFB8F7}"/>
              </c:ext>
            </c:extLst>
          </c:dPt>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7-5A5B-4CEC-A13B-2C6454BFB8F7}"/>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44115232"/>
        <c:axId val="344115624"/>
      </c:lineChart>
      <c:catAx>
        <c:axId val="344115232"/>
        <c:scaling>
          <c:orientation val="minMax"/>
        </c:scaling>
        <c:delete val="0"/>
        <c:axPos val="b"/>
        <c:numFmt formatCode="General" sourceLinked="1"/>
        <c:majorTickMark val="out"/>
        <c:minorTickMark val="none"/>
        <c:tickLblPos val="nextTo"/>
        <c:crossAx val="344115624"/>
        <c:crosses val="autoZero"/>
        <c:auto val="1"/>
        <c:lblAlgn val="ctr"/>
        <c:lblOffset val="100"/>
        <c:noMultiLvlLbl val="0"/>
      </c:catAx>
      <c:valAx>
        <c:axId val="344115624"/>
        <c:scaling>
          <c:orientation val="minMax"/>
        </c:scaling>
        <c:delete val="0"/>
        <c:axPos val="l"/>
        <c:majorGridlines/>
        <c:numFmt formatCode="General" sourceLinked="1"/>
        <c:majorTickMark val="out"/>
        <c:minorTickMark val="none"/>
        <c:tickLblPos val="nextTo"/>
        <c:crossAx val="344115232"/>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3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'Juniper Green'!$B$177:$B$190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'Juniper Green'!$J$177:$J$190</c:f>
              <c:numCache>
                <c:formatCode>General</c:formatCode>
                <c:ptCount val="14"/>
                <c:pt idx="0">
                  <c:v>416</c:v>
                </c:pt>
                <c:pt idx="1">
                  <c:v>411</c:v>
                </c:pt>
                <c:pt idx="2">
                  <c:v>403</c:v>
                </c:pt>
                <c:pt idx="3">
                  <c:v>393</c:v>
                </c:pt>
                <c:pt idx="4">
                  <c:v>378</c:v>
                </c:pt>
                <c:pt idx="5">
                  <c:v>352</c:v>
                </c:pt>
                <c:pt idx="6">
                  <c:v>363</c:v>
                </c:pt>
                <c:pt idx="7">
                  <c:v>369</c:v>
                </c:pt>
                <c:pt idx="8">
                  <c:v>395</c:v>
                </c:pt>
                <c:pt idx="9">
                  <c:v>379</c:v>
                </c:pt>
                <c:pt idx="10">
                  <c:v>401</c:v>
                </c:pt>
                <c:pt idx="11">
                  <c:v>404</c:v>
                </c:pt>
                <c:pt idx="12">
                  <c:v>400</c:v>
                </c:pt>
                <c:pt idx="13">
                  <c:v>420</c:v>
                </c:pt>
              </c:numCache>
            </c:numRef>
          </c:val>
          <c:smooth val="0"/>
          <c:extLst xmlns:c16r2="http://schemas.microsoft.com/office/drawing/2015/06/chart">
            <c:ext xmlns:c16="http://schemas.microsoft.com/office/drawing/2014/chart" uri="{C3380CC4-5D6E-409C-BE32-E72D297353CC}">
              <c16:uniqueId val="{00000000-EBE6-435B-9B7C-532518131288}"/>
            </c:ext>
          </c:extLst>
        </c:ser>
        <c:dLbls>
          <c:showLegendKey val="0"/>
          <c:showVal val="0"/>
          <c:showCatName val="0"/>
          <c:showSerName val="0"/>
          <c:showPercent val="0"/>
          <c:showBubbleSize val="0"/>
        </c:dLbls>
        <c:marker val="1"/>
        <c:smooth val="0"/>
        <c:axId val="344116408"/>
        <c:axId val="344116800"/>
      </c:lineChart>
      <c:catAx>
        <c:axId val="344116408"/>
        <c:scaling>
          <c:orientation val="minMax"/>
        </c:scaling>
        <c:delete val="0"/>
        <c:axPos val="b"/>
        <c:numFmt formatCode="General" sourceLinked="1"/>
        <c:majorTickMark val="out"/>
        <c:minorTickMark val="none"/>
        <c:tickLblPos val="nextTo"/>
        <c:crossAx val="344116800"/>
        <c:crosses val="autoZero"/>
        <c:auto val="1"/>
        <c:lblAlgn val="ctr"/>
        <c:lblOffset val="100"/>
        <c:noMultiLvlLbl val="0"/>
      </c:catAx>
      <c:valAx>
        <c:axId val="344116800"/>
        <c:scaling>
          <c:orientation val="minMax"/>
        </c:scaling>
        <c:delete val="0"/>
        <c:axPos val="l"/>
        <c:majorGridlines/>
        <c:numFmt formatCode="General" sourceLinked="1"/>
        <c:majorTickMark val="out"/>
        <c:minorTickMark val="none"/>
        <c:tickLblPos val="nextTo"/>
        <c:crossAx val="344116408"/>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3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'Juniper Green'!$B$169</c:f>
              <c:strCache>
                <c:ptCount val="1"/>
                <c:pt idx="0">
                  <c:v>Catchment Births (5yrs Prior)</c:v>
                </c:pt>
              </c:strCache>
            </c:strRef>
          </c:tx>
          <c:marker>
            <c:symbol val="square"/>
            <c:size val="7"/>
          </c:marker>
          <c:cat>
            <c:numRef>
              <c:f>'Juniper Green'!$D$168:$N$168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'Juniper Green'!$D$169:$N$169</c:f>
              <c:numCache>
                <c:formatCode>#,##0</c:formatCode>
                <c:ptCount val="11"/>
                <c:pt idx="0">
                  <c:v>52</c:v>
                </c:pt>
                <c:pt idx="1">
                  <c:v>46</c:v>
                </c:pt>
                <c:pt idx="2">
                  <c:v>66</c:v>
                </c:pt>
                <c:pt idx="3">
                  <c:v>37</c:v>
                </c:pt>
                <c:pt idx="4">
                  <c:v>55</c:v>
                </c:pt>
                <c:pt idx="5">
                  <c:v>36</c:v>
                </c:pt>
                <c:pt idx="6">
                  <c:v>39</c:v>
                </c:pt>
                <c:pt idx="7">
                  <c:v>45</c:v>
                </c:pt>
                <c:pt idx="8">
                  <c:v>41</c:v>
                </c:pt>
                <c:pt idx="9">
                  <c:v>58</c:v>
                </c:pt>
                <c:pt idx="10">
                  <c:v>41</c:v>
                </c:pt>
              </c:numCache>
            </c:numRef>
          </c:val>
          <c:smooth val="0"/>
          <c:extLst xmlns:c16r2="http://schemas.microsoft.com/office/drawing/2015/06/chart">
            <c:ext xmlns:c16="http://schemas.microsoft.com/office/drawing/2014/chart" uri="{C3380CC4-5D6E-409C-BE32-E72D297353CC}">
              <c16:uniqueId val="{00000000-B159-4CDC-BB42-6F6BE37B9DD4}"/>
            </c:ext>
          </c:extLst>
        </c:ser>
        <c:ser>
          <c:idx val="1"/>
          <c:order val="1"/>
          <c:tx>
            <c:strRef>
              <c:f>'Juniper Green'!$B$170</c:f>
              <c:strCache>
                <c:ptCount val="1"/>
                <c:pt idx="0">
                  <c:v>P1 ND Catchment Population (Actual)</c:v>
                </c:pt>
              </c:strCache>
            </c:strRef>
          </c:tx>
          <c:cat>
            <c:numRef>
              <c:f>'Juniper Green'!$D$168:$N$168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'Juniper Green'!$D$170:$I$170</c:f>
              <c:numCache>
                <c:formatCode>#,##0</c:formatCode>
                <c:ptCount val="6"/>
                <c:pt idx="0">
                  <c:v>50</c:v>
                </c:pt>
                <c:pt idx="1">
                  <c:v>49</c:v>
                </c:pt>
                <c:pt idx="2">
                  <c:v>55</c:v>
                </c:pt>
                <c:pt idx="3">
                  <c:v>54</c:v>
                </c:pt>
                <c:pt idx="4">
                  <c:v>49</c:v>
                </c:pt>
                <c:pt idx="5">
                  <c:v>62</c:v>
                </c:pt>
              </c:numCache>
            </c:numRef>
          </c:val>
          <c:smooth val="0"/>
          <c:extLst xmlns:c16r2="http://schemas.microsoft.com/office/drawing/2015/06/chart">
            <c:ext xmlns:c16="http://schemas.microsoft.com/office/drawing/2014/chart" uri="{C3380CC4-5D6E-409C-BE32-E72D297353CC}">
              <c16:uniqueId val="{00000001-B159-4CDC-BB42-6F6BE37B9DD4}"/>
            </c:ext>
          </c:extLst>
        </c:ser>
        <c:ser>
          <c:idx val="2"/>
          <c:order val="2"/>
          <c:tx>
            <c:strRef>
              <c:f>'Juniper Green'!$B$172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B159-4CDC-BB42-6F6BE37B9DD4}"/>
              </c:ext>
            </c:extLst>
          </c:dPt>
          <c:dPt>
            <c:idx val="5"/>
            <c:marker>
              <c:symbol val="none"/>
            </c:marker>
            <c:bubble3D val="0"/>
            <c:extLst xmlns:c16r2="http://schemas.microsoft.com/office/drawing/2015/06/chart">
              <c:ext xmlns:c16="http://schemas.microsoft.com/office/drawing/2014/chart" uri="{C3380CC4-5D6E-409C-BE32-E72D297353CC}">
                <c16:uniqueId val="{00000003-B159-4CDC-BB42-6F6BE37B9DD4}"/>
              </c:ext>
            </c:extLst>
          </c:dPt>
          <c:dPt>
            <c:idx val="6"/>
            <c:marker>
              <c:symbol val="circle"/>
              <c:size val="7"/>
            </c:marker>
            <c:bubble3D val="0"/>
            <c:extLst xmlns:c16r2="http://schemas.microsoft.com/office/drawing/2015/06/chart">
              <c:ext xmlns:c16="http://schemas.microsoft.com/office/drawing/2014/chart" uri="{C3380CC4-5D6E-409C-BE32-E72D297353CC}">
                <c16:uniqueId val="{00000004-B159-4CDC-BB42-6F6BE37B9DD4}"/>
              </c:ext>
            </c:extLst>
          </c:dPt>
          <c:dPt>
            <c:idx val="7"/>
            <c:marker>
              <c:symbol val="circle"/>
              <c:size val="7"/>
            </c:marker>
            <c:bubble3D val="0"/>
            <c:extLst xmlns:c16r2="http://schemas.microsoft.com/office/drawing/2015/06/chart">
              <c:ext xmlns:c16="http://schemas.microsoft.com/office/drawing/2014/chart" uri="{C3380CC4-5D6E-409C-BE32-E72D297353CC}">
                <c16:uniqueId val="{00000005-B159-4CDC-BB42-6F6BE37B9DD4}"/>
              </c:ext>
            </c:extLst>
          </c:dPt>
          <c:dPt>
            <c:idx val="8"/>
            <c:marker>
              <c:symbol val="circle"/>
              <c:size val="7"/>
            </c:marker>
            <c:bubble3D val="0"/>
            <c:extLst xmlns:c16r2="http://schemas.microsoft.com/office/drawing/2015/06/chart">
              <c:ext xmlns:c16="http://schemas.microsoft.com/office/drawing/2014/chart" uri="{C3380CC4-5D6E-409C-BE32-E72D297353CC}">
                <c16:uniqueId val="{00000006-B159-4CDC-BB42-6F6BE37B9DD4}"/>
              </c:ext>
            </c:extLst>
          </c:dPt>
          <c:cat>
            <c:numRef>
              <c:f>'Juniper Green'!$D$168:$N$168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'Juniper Green'!$D$172:$N$172</c:f>
              <c:numCache>
                <c:formatCode>General</c:formatCode>
                <c:ptCount val="11"/>
                <c:pt idx="5" formatCode="0">
                  <c:v>62</c:v>
                </c:pt>
                <c:pt idx="6" formatCode="0">
                  <c:v>0</c:v>
                </c:pt>
                <c:pt idx="7" formatCode="0">
                  <c:v>71</c:v>
                </c:pt>
                <c:pt idx="8" formatCode="0">
                  <c:v>50</c:v>
                </c:pt>
                <c:pt idx="9" formatCode="0">
                  <c:v>44</c:v>
                </c:pt>
                <c:pt idx="10" formatCode="0">
                  <c:v>66</c:v>
                </c:pt>
              </c:numCache>
            </c:numRef>
          </c:val>
          <c:smooth val="0"/>
          <c:extLst xmlns:c16r2="http://schemas.microsoft.com/office/drawing/2015/06/chart">
            <c:ext xmlns:c16="http://schemas.microsoft.com/office/drawing/2014/chart" uri="{C3380CC4-5D6E-409C-BE32-E72D297353CC}">
              <c16:uniqueId val="{00000007-B159-4CDC-BB42-6F6BE37B9DD4}"/>
            </c:ext>
          </c:extLst>
        </c:ser>
        <c:ser>
          <c:idx val="3"/>
          <c:order val="3"/>
          <c:tx>
            <c:strRef>
              <c:f>'Juniper Green'!$B$171</c:f>
              <c:strCache>
                <c:ptCount val="1"/>
                <c:pt idx="0">
                  <c:v>Actual P1 Registrations (as of Jan 2016)</c:v>
                </c:pt>
              </c:strCache>
            </c:strRef>
          </c:tx>
          <c:spPr>
            <a:ln w="15875">
              <a:noFill/>
            </a:ln>
          </c:spPr>
          <c:marker>
            <c:symbol val="diamond"/>
            <c:size val="9"/>
            <c:spPr>
              <a:solidFill>
                <a:schemeClr val="tx1"/>
              </a:solidFill>
            </c:spPr>
          </c:marker>
          <c:cat>
            <c:numRef>
              <c:f>'Juniper Green'!$D$168:$N$168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'Juniper Green'!$D$171:$M$171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8-B159-4CDC-BB42-6F6BE37B9DD4}"/>
            </c:ext>
          </c:extLst>
        </c:ser>
        <c:dLbls>
          <c:showLegendKey val="0"/>
          <c:showVal val="0"/>
          <c:showCatName val="0"/>
          <c:showSerName val="0"/>
          <c:showPercent val="0"/>
          <c:showBubbleSize val="0"/>
        </c:dLbls>
        <c:marker val="1"/>
        <c:smooth val="0"/>
        <c:axId val="344117584"/>
        <c:axId val="344117976"/>
      </c:lineChart>
      <c:catAx>
        <c:axId val="344117584"/>
        <c:scaling>
          <c:orientation val="minMax"/>
        </c:scaling>
        <c:delete val="0"/>
        <c:axPos val="b"/>
        <c:numFmt formatCode="General" sourceLinked="1"/>
        <c:majorTickMark val="out"/>
        <c:minorTickMark val="none"/>
        <c:tickLblPos val="nextTo"/>
        <c:crossAx val="344117976"/>
        <c:crosses val="autoZero"/>
        <c:auto val="1"/>
        <c:lblAlgn val="ctr"/>
        <c:lblOffset val="100"/>
        <c:noMultiLvlLbl val="0"/>
      </c:catAx>
      <c:valAx>
        <c:axId val="344117976"/>
        <c:scaling>
          <c:orientation val="minMax"/>
        </c:scaling>
        <c:delete val="0"/>
        <c:axPos val="l"/>
        <c:majorGridlines/>
        <c:numFmt formatCode="#,##0" sourceLinked="1"/>
        <c:majorTickMark val="out"/>
        <c:minorTickMark val="none"/>
        <c:tickLblPos val="nextTo"/>
        <c:crossAx val="344117584"/>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3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2C60-4AF6-B847-09AD603AC246}"/>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44118760"/>
        <c:axId val="344119152"/>
      </c:lineChart>
      <c:catAx>
        <c:axId val="344118760"/>
        <c:scaling>
          <c:orientation val="minMax"/>
        </c:scaling>
        <c:delete val="0"/>
        <c:axPos val="b"/>
        <c:numFmt formatCode="General" sourceLinked="1"/>
        <c:majorTickMark val="out"/>
        <c:minorTickMark val="none"/>
        <c:tickLblPos val="nextTo"/>
        <c:crossAx val="344119152"/>
        <c:crosses val="autoZero"/>
        <c:auto val="1"/>
        <c:lblAlgn val="ctr"/>
        <c:lblOffset val="100"/>
        <c:noMultiLvlLbl val="0"/>
      </c:catAx>
      <c:valAx>
        <c:axId val="344119152"/>
        <c:scaling>
          <c:orientation val="minMax"/>
        </c:scaling>
        <c:delete val="0"/>
        <c:axPos val="l"/>
        <c:majorGridlines/>
        <c:numFmt formatCode="General" sourceLinked="1"/>
        <c:majorTickMark val="out"/>
        <c:minorTickMark val="none"/>
        <c:tickLblPos val="nextTo"/>
        <c:crossAx val="344118760"/>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3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square"/>
            <c:size val="7"/>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E2CA-4BC4-9C83-0E7CBA15CDC9}"/>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1"/>
          <c:order val="1"/>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1-E2CA-4BC4-9C83-0E7CBA15CDC9}"/>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2"/>
          <c:order val="2"/>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E2CA-4BC4-9C83-0E7CBA15CDC9}"/>
              </c:ext>
            </c:extLst>
          </c:dPt>
          <c:dPt>
            <c:idx val="5"/>
            <c:marker>
              <c:symbol val="circle"/>
              <c:size val="7"/>
            </c:marker>
            <c:bubble3D val="0"/>
            <c:extLst xmlns:c16r2="http://schemas.microsoft.com/office/drawing/2015/06/chart">
              <c:ext xmlns:c16="http://schemas.microsoft.com/office/drawing/2014/chart" uri="{C3380CC4-5D6E-409C-BE32-E72D297353CC}">
                <c16:uniqueId val="{00000003-E2CA-4BC4-9C83-0E7CBA15CDC9}"/>
              </c:ext>
            </c:extLst>
          </c:dPt>
          <c:dPt>
            <c:idx val="6"/>
            <c:marker>
              <c:symbol val="circle"/>
              <c:size val="7"/>
            </c:marker>
            <c:bubble3D val="0"/>
            <c:extLst xmlns:c16r2="http://schemas.microsoft.com/office/drawing/2015/06/chart">
              <c:ext xmlns:c16="http://schemas.microsoft.com/office/drawing/2014/chart" uri="{C3380CC4-5D6E-409C-BE32-E72D297353CC}">
                <c16:uniqueId val="{00000004-E2CA-4BC4-9C83-0E7CBA15CDC9}"/>
              </c:ext>
            </c:extLst>
          </c:dPt>
          <c:dPt>
            <c:idx val="7"/>
            <c:marker>
              <c:symbol val="circle"/>
              <c:size val="7"/>
            </c:marker>
            <c:bubble3D val="0"/>
            <c:extLst xmlns:c16r2="http://schemas.microsoft.com/office/drawing/2015/06/chart">
              <c:ext xmlns:c16="http://schemas.microsoft.com/office/drawing/2014/chart" uri="{C3380CC4-5D6E-409C-BE32-E72D297353CC}">
                <c16:uniqueId val="{00000005-E2CA-4BC4-9C83-0E7CBA15CDC9}"/>
              </c:ext>
            </c:extLst>
          </c:dPt>
          <c:dPt>
            <c:idx val="8"/>
            <c:marker>
              <c:symbol val="circle"/>
              <c:size val="7"/>
            </c:marker>
            <c:bubble3D val="0"/>
            <c:extLst xmlns:c16r2="http://schemas.microsoft.com/office/drawing/2015/06/chart">
              <c:ext xmlns:c16="http://schemas.microsoft.com/office/drawing/2014/chart" uri="{C3380CC4-5D6E-409C-BE32-E72D297353CC}">
                <c16:uniqueId val="{00000006-E2CA-4BC4-9C83-0E7CBA15CDC9}"/>
              </c:ext>
            </c:extLst>
          </c:dPt>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7-E2CA-4BC4-9C83-0E7CBA15CDC9}"/>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44119936"/>
        <c:axId val="344120328"/>
      </c:lineChart>
      <c:catAx>
        <c:axId val="344119936"/>
        <c:scaling>
          <c:orientation val="minMax"/>
        </c:scaling>
        <c:delete val="0"/>
        <c:axPos val="b"/>
        <c:numFmt formatCode="General" sourceLinked="1"/>
        <c:majorTickMark val="out"/>
        <c:minorTickMark val="none"/>
        <c:tickLblPos val="nextTo"/>
        <c:crossAx val="344120328"/>
        <c:crosses val="autoZero"/>
        <c:auto val="1"/>
        <c:lblAlgn val="ctr"/>
        <c:lblOffset val="100"/>
        <c:noMultiLvlLbl val="0"/>
      </c:catAx>
      <c:valAx>
        <c:axId val="344120328"/>
        <c:scaling>
          <c:orientation val="minMax"/>
        </c:scaling>
        <c:delete val="0"/>
        <c:axPos val="l"/>
        <c:majorGridlines/>
        <c:numFmt formatCode="General" sourceLinked="1"/>
        <c:majorTickMark val="out"/>
        <c:minorTickMark val="none"/>
        <c:tickLblPos val="nextTo"/>
        <c:crossAx val="344119936"/>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3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Kirkliston!$B$177:$B$191</c:f>
              <c:numCache>
                <c:formatCode>General</c:formatCode>
                <c:ptCount val="15"/>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numCache>
            </c:numRef>
          </c:cat>
          <c:val>
            <c:numRef>
              <c:f>Kirkliston!$J$177:$J$191</c:f>
              <c:numCache>
                <c:formatCode>General</c:formatCode>
                <c:ptCount val="15"/>
                <c:pt idx="0">
                  <c:v>309</c:v>
                </c:pt>
                <c:pt idx="1">
                  <c:v>307</c:v>
                </c:pt>
                <c:pt idx="2">
                  <c:v>301</c:v>
                </c:pt>
                <c:pt idx="3">
                  <c:v>323</c:v>
                </c:pt>
                <c:pt idx="4">
                  <c:v>307</c:v>
                </c:pt>
                <c:pt idx="5">
                  <c:v>301</c:v>
                </c:pt>
                <c:pt idx="6">
                  <c:v>305</c:v>
                </c:pt>
                <c:pt idx="7">
                  <c:v>304</c:v>
                </c:pt>
                <c:pt idx="8">
                  <c:v>303</c:v>
                </c:pt>
                <c:pt idx="9">
                  <c:v>314</c:v>
                </c:pt>
                <c:pt idx="10">
                  <c:v>332</c:v>
                </c:pt>
                <c:pt idx="11">
                  <c:v>361</c:v>
                </c:pt>
                <c:pt idx="12">
                  <c:v>403</c:v>
                </c:pt>
                <c:pt idx="13">
                  <c:v>437</c:v>
                </c:pt>
                <c:pt idx="14">
                  <c:v>491</c:v>
                </c:pt>
              </c:numCache>
            </c:numRef>
          </c:val>
          <c:smooth val="0"/>
          <c:extLst xmlns:c16r2="http://schemas.microsoft.com/office/drawing/2015/06/chart">
            <c:ext xmlns:c16="http://schemas.microsoft.com/office/drawing/2014/chart" uri="{C3380CC4-5D6E-409C-BE32-E72D297353CC}">
              <c16:uniqueId val="{00000000-6A4C-469A-A83C-359108E3F8DA}"/>
            </c:ext>
          </c:extLst>
        </c:ser>
        <c:dLbls>
          <c:showLegendKey val="0"/>
          <c:showVal val="0"/>
          <c:showCatName val="0"/>
          <c:showSerName val="0"/>
          <c:showPercent val="0"/>
          <c:showBubbleSize val="0"/>
        </c:dLbls>
        <c:marker val="1"/>
        <c:smooth val="0"/>
        <c:axId val="344121112"/>
        <c:axId val="344121504"/>
      </c:lineChart>
      <c:catAx>
        <c:axId val="344121112"/>
        <c:scaling>
          <c:orientation val="minMax"/>
        </c:scaling>
        <c:delete val="0"/>
        <c:axPos val="b"/>
        <c:numFmt formatCode="General" sourceLinked="1"/>
        <c:majorTickMark val="out"/>
        <c:minorTickMark val="none"/>
        <c:tickLblPos val="nextTo"/>
        <c:crossAx val="344121504"/>
        <c:crosses val="autoZero"/>
        <c:auto val="1"/>
        <c:lblAlgn val="ctr"/>
        <c:lblOffset val="100"/>
        <c:noMultiLvlLbl val="0"/>
      </c:catAx>
      <c:valAx>
        <c:axId val="344121504"/>
        <c:scaling>
          <c:orientation val="minMax"/>
        </c:scaling>
        <c:delete val="0"/>
        <c:axPos val="l"/>
        <c:majorGridlines/>
        <c:numFmt formatCode="General" sourceLinked="1"/>
        <c:majorTickMark val="out"/>
        <c:minorTickMark val="none"/>
        <c:tickLblPos val="nextTo"/>
        <c:crossAx val="344121112"/>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3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Kirkliston!$B$169</c:f>
              <c:strCache>
                <c:ptCount val="1"/>
                <c:pt idx="0">
                  <c:v>Catchment Births (5yrs Prior)</c:v>
                </c:pt>
              </c:strCache>
            </c:strRef>
          </c:tx>
          <c:marker>
            <c:symbol val="square"/>
            <c:size val="7"/>
          </c:marker>
          <c:cat>
            <c:numRef>
              <c:f>Kirkliston!$D$168:$N$168</c:f>
              <c:numCache>
                <c:formatCode>General</c:formatCode>
                <c:ptCount val="11"/>
                <c:pt idx="0">
                  <c:v>2010</c:v>
                </c:pt>
                <c:pt idx="1">
                  <c:v>2011</c:v>
                </c:pt>
                <c:pt idx="2">
                  <c:v>2012</c:v>
                </c:pt>
                <c:pt idx="3">
                  <c:v>2013</c:v>
                </c:pt>
                <c:pt idx="4">
                  <c:v>2014</c:v>
                </c:pt>
                <c:pt idx="5">
                  <c:v>2015</c:v>
                </c:pt>
                <c:pt idx="6">
                  <c:v>168</c:v>
                </c:pt>
                <c:pt idx="7">
                  <c:v>2017</c:v>
                </c:pt>
                <c:pt idx="8">
                  <c:v>2018</c:v>
                </c:pt>
                <c:pt idx="9">
                  <c:v>2019</c:v>
                </c:pt>
                <c:pt idx="10">
                  <c:v>2020</c:v>
                </c:pt>
              </c:numCache>
            </c:numRef>
          </c:cat>
          <c:val>
            <c:numRef>
              <c:f>Kirkliston!$D$169:$N$169</c:f>
              <c:numCache>
                <c:formatCode>#,##0</c:formatCode>
                <c:ptCount val="11"/>
                <c:pt idx="0">
                  <c:v>41</c:v>
                </c:pt>
                <c:pt idx="1">
                  <c:v>43</c:v>
                </c:pt>
                <c:pt idx="2">
                  <c:v>59</c:v>
                </c:pt>
                <c:pt idx="3">
                  <c:v>48</c:v>
                </c:pt>
                <c:pt idx="4">
                  <c:v>48</c:v>
                </c:pt>
                <c:pt idx="5">
                  <c:v>41</c:v>
                </c:pt>
                <c:pt idx="6">
                  <c:v>50</c:v>
                </c:pt>
                <c:pt idx="7">
                  <c:v>58</c:v>
                </c:pt>
                <c:pt idx="8">
                  <c:v>70</c:v>
                </c:pt>
                <c:pt idx="9">
                  <c:v>69</c:v>
                </c:pt>
                <c:pt idx="10">
                  <c:v>80</c:v>
                </c:pt>
              </c:numCache>
            </c:numRef>
          </c:val>
          <c:smooth val="0"/>
          <c:extLst xmlns:c16r2="http://schemas.microsoft.com/office/drawing/2015/06/chart">
            <c:ext xmlns:c16="http://schemas.microsoft.com/office/drawing/2014/chart" uri="{C3380CC4-5D6E-409C-BE32-E72D297353CC}">
              <c16:uniqueId val="{00000000-6AA3-48E7-9784-5863F9BBEF97}"/>
            </c:ext>
          </c:extLst>
        </c:ser>
        <c:ser>
          <c:idx val="1"/>
          <c:order val="1"/>
          <c:tx>
            <c:strRef>
              <c:f>Kirkliston!$B$170</c:f>
              <c:strCache>
                <c:ptCount val="1"/>
                <c:pt idx="0">
                  <c:v>P1 ND Catchment Population (Actual)</c:v>
                </c:pt>
              </c:strCache>
            </c:strRef>
          </c:tx>
          <c:cat>
            <c:numRef>
              <c:f>Kirkliston!$D$168:$N$168</c:f>
              <c:numCache>
                <c:formatCode>General</c:formatCode>
                <c:ptCount val="11"/>
                <c:pt idx="0">
                  <c:v>2010</c:v>
                </c:pt>
                <c:pt idx="1">
                  <c:v>2011</c:v>
                </c:pt>
                <c:pt idx="2">
                  <c:v>2012</c:v>
                </c:pt>
                <c:pt idx="3">
                  <c:v>2013</c:v>
                </c:pt>
                <c:pt idx="4">
                  <c:v>2014</c:v>
                </c:pt>
                <c:pt idx="5">
                  <c:v>2015</c:v>
                </c:pt>
                <c:pt idx="6">
                  <c:v>168</c:v>
                </c:pt>
                <c:pt idx="7">
                  <c:v>2017</c:v>
                </c:pt>
                <c:pt idx="8">
                  <c:v>2018</c:v>
                </c:pt>
                <c:pt idx="9">
                  <c:v>2019</c:v>
                </c:pt>
                <c:pt idx="10">
                  <c:v>2020</c:v>
                </c:pt>
              </c:numCache>
            </c:numRef>
          </c:cat>
          <c:val>
            <c:numRef>
              <c:f>Kirkliston!$D$170:$I$170</c:f>
              <c:numCache>
                <c:formatCode>#,##0</c:formatCode>
                <c:ptCount val="6"/>
                <c:pt idx="0">
                  <c:v>53</c:v>
                </c:pt>
                <c:pt idx="1">
                  <c:v>46</c:v>
                </c:pt>
                <c:pt idx="2">
                  <c:v>59</c:v>
                </c:pt>
                <c:pt idx="3">
                  <c:v>64</c:v>
                </c:pt>
                <c:pt idx="4">
                  <c:v>86</c:v>
                </c:pt>
                <c:pt idx="5">
                  <c:v>67</c:v>
                </c:pt>
              </c:numCache>
            </c:numRef>
          </c:val>
          <c:smooth val="0"/>
          <c:extLst xmlns:c16r2="http://schemas.microsoft.com/office/drawing/2015/06/chart">
            <c:ext xmlns:c16="http://schemas.microsoft.com/office/drawing/2014/chart" uri="{C3380CC4-5D6E-409C-BE32-E72D297353CC}">
              <c16:uniqueId val="{00000001-6AA3-48E7-9784-5863F9BBEF97}"/>
            </c:ext>
          </c:extLst>
        </c:ser>
        <c:ser>
          <c:idx val="2"/>
          <c:order val="2"/>
          <c:tx>
            <c:strRef>
              <c:f>Kirkliston!$B$172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6AA3-48E7-9784-5863F9BBEF97}"/>
              </c:ext>
            </c:extLst>
          </c:dPt>
          <c:dPt>
            <c:idx val="5"/>
            <c:marker>
              <c:symbol val="none"/>
            </c:marker>
            <c:bubble3D val="0"/>
            <c:extLst xmlns:c16r2="http://schemas.microsoft.com/office/drawing/2015/06/chart">
              <c:ext xmlns:c16="http://schemas.microsoft.com/office/drawing/2014/chart" uri="{C3380CC4-5D6E-409C-BE32-E72D297353CC}">
                <c16:uniqueId val="{00000003-6AA3-48E7-9784-5863F9BBEF97}"/>
              </c:ext>
            </c:extLst>
          </c:dPt>
          <c:dPt>
            <c:idx val="6"/>
            <c:marker>
              <c:symbol val="circle"/>
              <c:size val="7"/>
            </c:marker>
            <c:bubble3D val="0"/>
            <c:extLst xmlns:c16r2="http://schemas.microsoft.com/office/drawing/2015/06/chart">
              <c:ext xmlns:c16="http://schemas.microsoft.com/office/drawing/2014/chart" uri="{C3380CC4-5D6E-409C-BE32-E72D297353CC}">
                <c16:uniqueId val="{00000004-6AA3-48E7-9784-5863F9BBEF97}"/>
              </c:ext>
            </c:extLst>
          </c:dPt>
          <c:dPt>
            <c:idx val="7"/>
            <c:marker>
              <c:symbol val="circle"/>
              <c:size val="7"/>
            </c:marker>
            <c:bubble3D val="0"/>
            <c:extLst xmlns:c16r2="http://schemas.microsoft.com/office/drawing/2015/06/chart">
              <c:ext xmlns:c16="http://schemas.microsoft.com/office/drawing/2014/chart" uri="{C3380CC4-5D6E-409C-BE32-E72D297353CC}">
                <c16:uniqueId val="{00000005-6AA3-48E7-9784-5863F9BBEF97}"/>
              </c:ext>
            </c:extLst>
          </c:dPt>
          <c:dPt>
            <c:idx val="8"/>
            <c:marker>
              <c:symbol val="circle"/>
              <c:size val="7"/>
            </c:marker>
            <c:bubble3D val="0"/>
            <c:extLst xmlns:c16r2="http://schemas.microsoft.com/office/drawing/2015/06/chart">
              <c:ext xmlns:c16="http://schemas.microsoft.com/office/drawing/2014/chart" uri="{C3380CC4-5D6E-409C-BE32-E72D297353CC}">
                <c16:uniqueId val="{00000006-6AA3-48E7-9784-5863F9BBEF97}"/>
              </c:ext>
            </c:extLst>
          </c:dPt>
          <c:dPt>
            <c:idx val="9"/>
            <c:marker>
              <c:symbol val="circle"/>
              <c:size val="7"/>
            </c:marker>
            <c:bubble3D val="0"/>
            <c:extLst xmlns:c16r2="http://schemas.microsoft.com/office/drawing/2015/06/chart">
              <c:ext xmlns:c16="http://schemas.microsoft.com/office/drawing/2014/chart" uri="{C3380CC4-5D6E-409C-BE32-E72D297353CC}">
                <c16:uniqueId val="{00000007-6AA3-48E7-9784-5863F9BBEF97}"/>
              </c:ext>
            </c:extLst>
          </c:dPt>
          <c:dPt>
            <c:idx val="10"/>
            <c:marker>
              <c:symbol val="circle"/>
              <c:size val="7"/>
            </c:marker>
            <c:bubble3D val="0"/>
            <c:extLst xmlns:c16r2="http://schemas.microsoft.com/office/drawing/2015/06/chart">
              <c:ext xmlns:c16="http://schemas.microsoft.com/office/drawing/2014/chart" uri="{C3380CC4-5D6E-409C-BE32-E72D297353CC}">
                <c16:uniqueId val="{00000008-6AA3-48E7-9784-5863F9BBEF97}"/>
              </c:ext>
            </c:extLst>
          </c:dPt>
          <c:cat>
            <c:numRef>
              <c:f>Kirkliston!$D$168:$N$168</c:f>
              <c:numCache>
                <c:formatCode>General</c:formatCode>
                <c:ptCount val="11"/>
                <c:pt idx="0">
                  <c:v>2010</c:v>
                </c:pt>
                <c:pt idx="1">
                  <c:v>2011</c:v>
                </c:pt>
                <c:pt idx="2">
                  <c:v>2012</c:v>
                </c:pt>
                <c:pt idx="3">
                  <c:v>2013</c:v>
                </c:pt>
                <c:pt idx="4">
                  <c:v>2014</c:v>
                </c:pt>
                <c:pt idx="5">
                  <c:v>2015</c:v>
                </c:pt>
                <c:pt idx="6">
                  <c:v>168</c:v>
                </c:pt>
                <c:pt idx="7">
                  <c:v>2017</c:v>
                </c:pt>
                <c:pt idx="8">
                  <c:v>2018</c:v>
                </c:pt>
                <c:pt idx="9">
                  <c:v>2019</c:v>
                </c:pt>
                <c:pt idx="10">
                  <c:v>2020</c:v>
                </c:pt>
              </c:numCache>
            </c:numRef>
          </c:cat>
          <c:val>
            <c:numRef>
              <c:f>Kirkliston!$D$172:$N$172</c:f>
              <c:numCache>
                <c:formatCode>General</c:formatCode>
                <c:ptCount val="11"/>
                <c:pt idx="5" formatCode="0">
                  <c:v>67</c:v>
                </c:pt>
                <c:pt idx="6" formatCode="0">
                  <c:v>0</c:v>
                </c:pt>
                <c:pt idx="7" formatCode="0">
                  <c:v>119</c:v>
                </c:pt>
                <c:pt idx="8" formatCode="0">
                  <c:v>138</c:v>
                </c:pt>
                <c:pt idx="9" formatCode="0">
                  <c:v>143</c:v>
                </c:pt>
                <c:pt idx="10" formatCode="0">
                  <c:v>168</c:v>
                </c:pt>
              </c:numCache>
            </c:numRef>
          </c:val>
          <c:smooth val="0"/>
          <c:extLst xmlns:c16r2="http://schemas.microsoft.com/office/drawing/2015/06/chart">
            <c:ext xmlns:c16="http://schemas.microsoft.com/office/drawing/2014/chart" uri="{C3380CC4-5D6E-409C-BE32-E72D297353CC}">
              <c16:uniqueId val="{00000009-6AA3-48E7-9784-5863F9BBEF97}"/>
            </c:ext>
          </c:extLst>
        </c:ser>
        <c:ser>
          <c:idx val="3"/>
          <c:order val="3"/>
          <c:tx>
            <c:strRef>
              <c:f>Kirkliston!$B$171</c:f>
              <c:strCache>
                <c:ptCount val="1"/>
                <c:pt idx="0">
                  <c:v>Actual P1 Registrations (as of Jan 2016)</c:v>
                </c:pt>
              </c:strCache>
            </c:strRef>
          </c:tx>
          <c:spPr>
            <a:ln w="15875">
              <a:noFill/>
            </a:ln>
          </c:spPr>
          <c:marker>
            <c:symbol val="diamond"/>
            <c:size val="9"/>
            <c:spPr>
              <a:solidFill>
                <a:schemeClr val="tx1"/>
              </a:solidFill>
            </c:spPr>
          </c:marker>
          <c:cat>
            <c:numRef>
              <c:f>Kirkliston!$D$168:$N$168</c:f>
              <c:numCache>
                <c:formatCode>General</c:formatCode>
                <c:ptCount val="11"/>
                <c:pt idx="0">
                  <c:v>2010</c:v>
                </c:pt>
                <c:pt idx="1">
                  <c:v>2011</c:v>
                </c:pt>
                <c:pt idx="2">
                  <c:v>2012</c:v>
                </c:pt>
                <c:pt idx="3">
                  <c:v>2013</c:v>
                </c:pt>
                <c:pt idx="4">
                  <c:v>2014</c:v>
                </c:pt>
                <c:pt idx="5">
                  <c:v>2015</c:v>
                </c:pt>
                <c:pt idx="6">
                  <c:v>168</c:v>
                </c:pt>
                <c:pt idx="7">
                  <c:v>2017</c:v>
                </c:pt>
                <c:pt idx="8">
                  <c:v>2018</c:v>
                </c:pt>
                <c:pt idx="9">
                  <c:v>2019</c:v>
                </c:pt>
                <c:pt idx="10">
                  <c:v>2020</c:v>
                </c:pt>
              </c:numCache>
            </c:numRef>
          </c:cat>
          <c:val>
            <c:numRef>
              <c:f>Kirkliston!$D$171:$M$171</c:f>
              <c:numCache>
                <c:formatCode>#,##0</c:formatCode>
                <c:ptCount val="10"/>
                <c:pt idx="6" formatCode="0">
                  <c:v>103</c:v>
                </c:pt>
              </c:numCache>
            </c:numRef>
          </c:val>
          <c:smooth val="0"/>
          <c:extLst xmlns:c16r2="http://schemas.microsoft.com/office/drawing/2015/06/chart">
            <c:ext xmlns:c16="http://schemas.microsoft.com/office/drawing/2014/chart" uri="{C3380CC4-5D6E-409C-BE32-E72D297353CC}">
              <c16:uniqueId val="{0000000A-6AA3-48E7-9784-5863F9BBEF97}"/>
            </c:ext>
          </c:extLst>
        </c:ser>
        <c:dLbls>
          <c:showLegendKey val="0"/>
          <c:showVal val="0"/>
          <c:showCatName val="0"/>
          <c:showSerName val="0"/>
          <c:showPercent val="0"/>
          <c:showBubbleSize val="0"/>
        </c:dLbls>
        <c:marker val="1"/>
        <c:smooth val="0"/>
        <c:axId val="344122288"/>
        <c:axId val="344122680"/>
      </c:lineChart>
      <c:catAx>
        <c:axId val="344122288"/>
        <c:scaling>
          <c:orientation val="minMax"/>
        </c:scaling>
        <c:delete val="0"/>
        <c:axPos val="b"/>
        <c:numFmt formatCode="General" sourceLinked="1"/>
        <c:majorTickMark val="out"/>
        <c:minorTickMark val="none"/>
        <c:tickLblPos val="nextTo"/>
        <c:crossAx val="344122680"/>
        <c:crosses val="autoZero"/>
        <c:auto val="1"/>
        <c:lblAlgn val="ctr"/>
        <c:lblOffset val="100"/>
        <c:noMultiLvlLbl val="0"/>
      </c:catAx>
      <c:valAx>
        <c:axId val="344122680"/>
        <c:scaling>
          <c:orientation val="minMax"/>
        </c:scaling>
        <c:delete val="0"/>
        <c:axPos val="l"/>
        <c:majorGridlines/>
        <c:numFmt formatCode="#,##0" sourceLinked="1"/>
        <c:majorTickMark val="out"/>
        <c:minorTickMark val="none"/>
        <c:tickLblPos val="nextTo"/>
        <c:crossAx val="344122288"/>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3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1F99-4AE1-8293-6C1E390C5C3E}"/>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44123464"/>
        <c:axId val="344123856"/>
      </c:lineChart>
      <c:catAx>
        <c:axId val="344123464"/>
        <c:scaling>
          <c:orientation val="minMax"/>
        </c:scaling>
        <c:delete val="0"/>
        <c:axPos val="b"/>
        <c:numFmt formatCode="General" sourceLinked="1"/>
        <c:majorTickMark val="out"/>
        <c:minorTickMark val="none"/>
        <c:tickLblPos val="nextTo"/>
        <c:crossAx val="344123856"/>
        <c:crosses val="autoZero"/>
        <c:auto val="1"/>
        <c:lblAlgn val="ctr"/>
        <c:lblOffset val="100"/>
        <c:noMultiLvlLbl val="0"/>
      </c:catAx>
      <c:valAx>
        <c:axId val="344123856"/>
        <c:scaling>
          <c:orientation val="minMax"/>
        </c:scaling>
        <c:delete val="0"/>
        <c:axPos val="l"/>
        <c:majorGridlines/>
        <c:numFmt formatCode="General" sourceLinked="1"/>
        <c:majorTickMark val="out"/>
        <c:minorTickMark val="none"/>
        <c:tickLblPos val="nextTo"/>
        <c:crossAx val="344123464"/>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3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square"/>
            <c:size val="7"/>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0B17-4F09-9D6C-34289BB17952}"/>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1"/>
          <c:order val="1"/>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1-0B17-4F09-9D6C-34289BB17952}"/>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2"/>
          <c:order val="2"/>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0B17-4F09-9D6C-34289BB17952}"/>
              </c:ext>
            </c:extLst>
          </c:dPt>
          <c:dPt>
            <c:idx val="5"/>
            <c:marker>
              <c:symbol val="circle"/>
              <c:size val="7"/>
            </c:marker>
            <c:bubble3D val="0"/>
            <c:extLst xmlns:c16r2="http://schemas.microsoft.com/office/drawing/2015/06/chart">
              <c:ext xmlns:c16="http://schemas.microsoft.com/office/drawing/2014/chart" uri="{C3380CC4-5D6E-409C-BE32-E72D297353CC}">
                <c16:uniqueId val="{00000003-0B17-4F09-9D6C-34289BB17952}"/>
              </c:ext>
            </c:extLst>
          </c:dPt>
          <c:dPt>
            <c:idx val="6"/>
            <c:marker>
              <c:symbol val="circle"/>
              <c:size val="7"/>
            </c:marker>
            <c:bubble3D val="0"/>
            <c:extLst xmlns:c16r2="http://schemas.microsoft.com/office/drawing/2015/06/chart">
              <c:ext xmlns:c16="http://schemas.microsoft.com/office/drawing/2014/chart" uri="{C3380CC4-5D6E-409C-BE32-E72D297353CC}">
                <c16:uniqueId val="{00000004-0B17-4F09-9D6C-34289BB17952}"/>
              </c:ext>
            </c:extLst>
          </c:dPt>
          <c:dPt>
            <c:idx val="7"/>
            <c:marker>
              <c:symbol val="circle"/>
              <c:size val="7"/>
            </c:marker>
            <c:bubble3D val="0"/>
            <c:extLst xmlns:c16r2="http://schemas.microsoft.com/office/drawing/2015/06/chart">
              <c:ext xmlns:c16="http://schemas.microsoft.com/office/drawing/2014/chart" uri="{C3380CC4-5D6E-409C-BE32-E72D297353CC}">
                <c16:uniqueId val="{00000005-0B17-4F09-9D6C-34289BB17952}"/>
              </c:ext>
            </c:extLst>
          </c:dPt>
          <c:dPt>
            <c:idx val="8"/>
            <c:marker>
              <c:symbol val="circle"/>
              <c:size val="7"/>
            </c:marker>
            <c:bubble3D val="0"/>
            <c:extLst xmlns:c16r2="http://schemas.microsoft.com/office/drawing/2015/06/chart">
              <c:ext xmlns:c16="http://schemas.microsoft.com/office/drawing/2014/chart" uri="{C3380CC4-5D6E-409C-BE32-E72D297353CC}">
                <c16:uniqueId val="{00000006-0B17-4F09-9D6C-34289BB17952}"/>
              </c:ext>
            </c:extLst>
          </c:dPt>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7-0B17-4F09-9D6C-34289BB17952}"/>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44124640"/>
        <c:axId val="344125032"/>
      </c:lineChart>
      <c:catAx>
        <c:axId val="344124640"/>
        <c:scaling>
          <c:orientation val="minMax"/>
        </c:scaling>
        <c:delete val="0"/>
        <c:axPos val="b"/>
        <c:numFmt formatCode="General" sourceLinked="1"/>
        <c:majorTickMark val="out"/>
        <c:minorTickMark val="none"/>
        <c:tickLblPos val="nextTo"/>
        <c:crossAx val="344125032"/>
        <c:crosses val="autoZero"/>
        <c:auto val="1"/>
        <c:lblAlgn val="ctr"/>
        <c:lblOffset val="100"/>
        <c:noMultiLvlLbl val="0"/>
      </c:catAx>
      <c:valAx>
        <c:axId val="344125032"/>
        <c:scaling>
          <c:orientation val="minMax"/>
        </c:scaling>
        <c:delete val="0"/>
        <c:axPos val="l"/>
        <c:majorGridlines/>
        <c:numFmt formatCode="General" sourceLinked="1"/>
        <c:majorTickMark val="out"/>
        <c:minorTickMark val="none"/>
        <c:tickLblPos val="nextTo"/>
        <c:crossAx val="344124640"/>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3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Leith!$B$177:$B$190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Leith!$J$177:$J$190</c:f>
              <c:numCache>
                <c:formatCode>General</c:formatCode>
                <c:ptCount val="14"/>
                <c:pt idx="0">
                  <c:v>199</c:v>
                </c:pt>
                <c:pt idx="1">
                  <c:v>189</c:v>
                </c:pt>
                <c:pt idx="2">
                  <c:v>177</c:v>
                </c:pt>
                <c:pt idx="3">
                  <c:v>193</c:v>
                </c:pt>
                <c:pt idx="4">
                  <c:v>200</c:v>
                </c:pt>
                <c:pt idx="5">
                  <c:v>203</c:v>
                </c:pt>
                <c:pt idx="6">
                  <c:v>208</c:v>
                </c:pt>
                <c:pt idx="7">
                  <c:v>218</c:v>
                </c:pt>
                <c:pt idx="8">
                  <c:v>215</c:v>
                </c:pt>
                <c:pt idx="9">
                  <c:v>240</c:v>
                </c:pt>
                <c:pt idx="10">
                  <c:v>263</c:v>
                </c:pt>
                <c:pt idx="11">
                  <c:v>278</c:v>
                </c:pt>
                <c:pt idx="12">
                  <c:v>325</c:v>
                </c:pt>
                <c:pt idx="13">
                  <c:v>367</c:v>
                </c:pt>
              </c:numCache>
            </c:numRef>
          </c:val>
          <c:smooth val="0"/>
          <c:extLst xmlns:c16r2="http://schemas.microsoft.com/office/drawing/2015/06/chart">
            <c:ext xmlns:c16="http://schemas.microsoft.com/office/drawing/2014/chart" uri="{C3380CC4-5D6E-409C-BE32-E72D297353CC}">
              <c16:uniqueId val="{00000000-C8D6-4103-894B-030B60161C12}"/>
            </c:ext>
          </c:extLst>
        </c:ser>
        <c:dLbls>
          <c:showLegendKey val="0"/>
          <c:showVal val="0"/>
          <c:showCatName val="0"/>
          <c:showSerName val="0"/>
          <c:showPercent val="0"/>
          <c:showBubbleSize val="0"/>
        </c:dLbls>
        <c:marker val="1"/>
        <c:smooth val="0"/>
        <c:axId val="345019080"/>
        <c:axId val="345019472"/>
      </c:lineChart>
      <c:catAx>
        <c:axId val="345019080"/>
        <c:scaling>
          <c:orientation val="minMax"/>
        </c:scaling>
        <c:delete val="0"/>
        <c:axPos val="b"/>
        <c:numFmt formatCode="General" sourceLinked="1"/>
        <c:majorTickMark val="out"/>
        <c:minorTickMark val="none"/>
        <c:tickLblPos val="nextTo"/>
        <c:crossAx val="345019472"/>
        <c:crosses val="autoZero"/>
        <c:auto val="1"/>
        <c:lblAlgn val="ctr"/>
        <c:lblOffset val="100"/>
        <c:noMultiLvlLbl val="0"/>
      </c:catAx>
      <c:valAx>
        <c:axId val="345019472"/>
        <c:scaling>
          <c:orientation val="minMax"/>
        </c:scaling>
        <c:delete val="0"/>
        <c:axPos val="l"/>
        <c:majorGridlines/>
        <c:numFmt formatCode="General" sourceLinked="1"/>
        <c:majorTickMark val="out"/>
        <c:minorTickMark val="none"/>
        <c:tickLblPos val="nextTo"/>
        <c:crossAx val="345019080"/>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4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Leith!$B$169</c:f>
              <c:strCache>
                <c:ptCount val="1"/>
                <c:pt idx="0">
                  <c:v>Catchment Births (5yrs Prior)</c:v>
                </c:pt>
              </c:strCache>
            </c:strRef>
          </c:tx>
          <c:marker>
            <c:symbol val="square"/>
            <c:size val="7"/>
          </c:marker>
          <c:cat>
            <c:numRef>
              <c:f>Leith!$D$168:$N$168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Leith!$D$169:$N$169</c:f>
              <c:numCache>
                <c:formatCode>#,##0</c:formatCode>
                <c:ptCount val="11"/>
                <c:pt idx="0">
                  <c:v>137</c:v>
                </c:pt>
                <c:pt idx="1">
                  <c:v>135</c:v>
                </c:pt>
                <c:pt idx="2">
                  <c:v>124</c:v>
                </c:pt>
                <c:pt idx="3">
                  <c:v>167</c:v>
                </c:pt>
                <c:pt idx="4">
                  <c:v>181</c:v>
                </c:pt>
                <c:pt idx="5">
                  <c:v>181</c:v>
                </c:pt>
                <c:pt idx="6">
                  <c:v>168</c:v>
                </c:pt>
                <c:pt idx="7">
                  <c:v>207</c:v>
                </c:pt>
                <c:pt idx="8">
                  <c:v>162</c:v>
                </c:pt>
                <c:pt idx="9">
                  <c:v>175</c:v>
                </c:pt>
                <c:pt idx="10">
                  <c:v>146</c:v>
                </c:pt>
              </c:numCache>
            </c:numRef>
          </c:val>
          <c:smooth val="0"/>
          <c:extLst xmlns:c16r2="http://schemas.microsoft.com/office/drawing/2015/06/chart">
            <c:ext xmlns:c16="http://schemas.microsoft.com/office/drawing/2014/chart" uri="{C3380CC4-5D6E-409C-BE32-E72D297353CC}">
              <c16:uniqueId val="{00000000-81DA-4924-B475-8FC47B9A7568}"/>
            </c:ext>
          </c:extLst>
        </c:ser>
        <c:ser>
          <c:idx val="1"/>
          <c:order val="1"/>
          <c:tx>
            <c:strRef>
              <c:f>Leith!$B$170</c:f>
              <c:strCache>
                <c:ptCount val="1"/>
                <c:pt idx="0">
                  <c:v>P1 ND Catchment Population (Actual)</c:v>
                </c:pt>
              </c:strCache>
            </c:strRef>
          </c:tx>
          <c:cat>
            <c:numRef>
              <c:f>Leith!$D$168:$N$168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Leith!$D$170:$I$170</c:f>
              <c:numCache>
                <c:formatCode>#,##0</c:formatCode>
                <c:ptCount val="6"/>
                <c:pt idx="0">
                  <c:v>52</c:v>
                </c:pt>
                <c:pt idx="1">
                  <c:v>67</c:v>
                </c:pt>
                <c:pt idx="2">
                  <c:v>67</c:v>
                </c:pt>
                <c:pt idx="3">
                  <c:v>70</c:v>
                </c:pt>
                <c:pt idx="4">
                  <c:v>83</c:v>
                </c:pt>
                <c:pt idx="5">
                  <c:v>70</c:v>
                </c:pt>
              </c:numCache>
            </c:numRef>
          </c:val>
          <c:smooth val="0"/>
          <c:extLst xmlns:c16r2="http://schemas.microsoft.com/office/drawing/2015/06/chart">
            <c:ext xmlns:c16="http://schemas.microsoft.com/office/drawing/2014/chart" uri="{C3380CC4-5D6E-409C-BE32-E72D297353CC}">
              <c16:uniqueId val="{00000001-81DA-4924-B475-8FC47B9A7568}"/>
            </c:ext>
          </c:extLst>
        </c:ser>
        <c:ser>
          <c:idx val="2"/>
          <c:order val="2"/>
          <c:tx>
            <c:strRef>
              <c:f>Leith!$B$172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81DA-4924-B475-8FC47B9A7568}"/>
              </c:ext>
            </c:extLst>
          </c:dPt>
          <c:dPt>
            <c:idx val="5"/>
            <c:marker>
              <c:symbol val="none"/>
            </c:marker>
            <c:bubble3D val="0"/>
            <c:extLst xmlns:c16r2="http://schemas.microsoft.com/office/drawing/2015/06/chart">
              <c:ext xmlns:c16="http://schemas.microsoft.com/office/drawing/2014/chart" uri="{C3380CC4-5D6E-409C-BE32-E72D297353CC}">
                <c16:uniqueId val="{00000003-81DA-4924-B475-8FC47B9A7568}"/>
              </c:ext>
            </c:extLst>
          </c:dPt>
          <c:dPt>
            <c:idx val="6"/>
            <c:marker>
              <c:symbol val="circle"/>
              <c:size val="7"/>
            </c:marker>
            <c:bubble3D val="0"/>
            <c:extLst xmlns:c16r2="http://schemas.microsoft.com/office/drawing/2015/06/chart">
              <c:ext xmlns:c16="http://schemas.microsoft.com/office/drawing/2014/chart" uri="{C3380CC4-5D6E-409C-BE32-E72D297353CC}">
                <c16:uniqueId val="{00000004-81DA-4924-B475-8FC47B9A7568}"/>
              </c:ext>
            </c:extLst>
          </c:dPt>
          <c:dPt>
            <c:idx val="7"/>
            <c:marker>
              <c:symbol val="circle"/>
              <c:size val="7"/>
            </c:marker>
            <c:bubble3D val="0"/>
            <c:extLst xmlns:c16r2="http://schemas.microsoft.com/office/drawing/2015/06/chart">
              <c:ext xmlns:c16="http://schemas.microsoft.com/office/drawing/2014/chart" uri="{C3380CC4-5D6E-409C-BE32-E72D297353CC}">
                <c16:uniqueId val="{00000005-81DA-4924-B475-8FC47B9A7568}"/>
              </c:ext>
            </c:extLst>
          </c:dPt>
          <c:dPt>
            <c:idx val="8"/>
            <c:marker>
              <c:symbol val="circle"/>
              <c:size val="7"/>
            </c:marker>
            <c:bubble3D val="0"/>
            <c:extLst xmlns:c16r2="http://schemas.microsoft.com/office/drawing/2015/06/chart">
              <c:ext xmlns:c16="http://schemas.microsoft.com/office/drawing/2014/chart" uri="{C3380CC4-5D6E-409C-BE32-E72D297353CC}">
                <c16:uniqueId val="{00000006-81DA-4924-B475-8FC47B9A7568}"/>
              </c:ext>
            </c:extLst>
          </c:dPt>
          <c:cat>
            <c:numRef>
              <c:f>Leith!$D$168:$N$168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Leith!$D$172:$N$172</c:f>
              <c:numCache>
                <c:formatCode>General</c:formatCode>
                <c:ptCount val="11"/>
                <c:pt idx="5" formatCode="0">
                  <c:v>70</c:v>
                </c:pt>
                <c:pt idx="6" formatCode="0">
                  <c:v>0</c:v>
                </c:pt>
                <c:pt idx="7" formatCode="0">
                  <c:v>65</c:v>
                </c:pt>
                <c:pt idx="8" formatCode="0">
                  <c:v>56</c:v>
                </c:pt>
                <c:pt idx="9" formatCode="0">
                  <c:v>60</c:v>
                </c:pt>
                <c:pt idx="10" formatCode="0">
                  <c:v>67</c:v>
                </c:pt>
              </c:numCache>
            </c:numRef>
          </c:val>
          <c:smooth val="0"/>
          <c:extLst xmlns:c16r2="http://schemas.microsoft.com/office/drawing/2015/06/chart">
            <c:ext xmlns:c16="http://schemas.microsoft.com/office/drawing/2014/chart" uri="{C3380CC4-5D6E-409C-BE32-E72D297353CC}">
              <c16:uniqueId val="{00000007-81DA-4924-B475-8FC47B9A7568}"/>
            </c:ext>
          </c:extLst>
        </c:ser>
        <c:ser>
          <c:idx val="3"/>
          <c:order val="3"/>
          <c:tx>
            <c:strRef>
              <c:f>Leith!$B$171</c:f>
              <c:strCache>
                <c:ptCount val="1"/>
                <c:pt idx="0">
                  <c:v>Actual P1 Registrations (as of Jan 2016)</c:v>
                </c:pt>
              </c:strCache>
            </c:strRef>
          </c:tx>
          <c:spPr>
            <a:ln w="15875">
              <a:noFill/>
            </a:ln>
          </c:spPr>
          <c:marker>
            <c:symbol val="diamond"/>
            <c:size val="9"/>
            <c:spPr>
              <a:solidFill>
                <a:schemeClr val="tx1"/>
              </a:solidFill>
            </c:spPr>
          </c:marker>
          <c:cat>
            <c:numRef>
              <c:f>Leith!$D$168:$N$168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Leith!$D$171:$M$171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8-81DA-4924-B475-8FC47B9A7568}"/>
            </c:ext>
          </c:extLst>
        </c:ser>
        <c:dLbls>
          <c:showLegendKey val="0"/>
          <c:showVal val="0"/>
          <c:showCatName val="0"/>
          <c:showSerName val="0"/>
          <c:showPercent val="0"/>
          <c:showBubbleSize val="0"/>
        </c:dLbls>
        <c:marker val="1"/>
        <c:smooth val="0"/>
        <c:axId val="345020256"/>
        <c:axId val="345020648"/>
      </c:lineChart>
      <c:catAx>
        <c:axId val="345020256"/>
        <c:scaling>
          <c:orientation val="minMax"/>
        </c:scaling>
        <c:delete val="0"/>
        <c:axPos val="b"/>
        <c:numFmt formatCode="General" sourceLinked="1"/>
        <c:majorTickMark val="out"/>
        <c:minorTickMark val="none"/>
        <c:tickLblPos val="nextTo"/>
        <c:crossAx val="345020648"/>
        <c:crosses val="autoZero"/>
        <c:auto val="1"/>
        <c:lblAlgn val="ctr"/>
        <c:lblOffset val="100"/>
        <c:noMultiLvlLbl val="0"/>
      </c:catAx>
      <c:valAx>
        <c:axId val="345020648"/>
        <c:scaling>
          <c:orientation val="minMax"/>
        </c:scaling>
        <c:delete val="0"/>
        <c:axPos val="l"/>
        <c:majorGridlines/>
        <c:numFmt formatCode="#,##0" sourceLinked="1"/>
        <c:majorTickMark val="out"/>
        <c:minorTickMark val="none"/>
        <c:tickLblPos val="nextTo"/>
        <c:crossAx val="345020256"/>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4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3520-4321-8F48-9DC1B8834449}"/>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45021432"/>
        <c:axId val="345021824"/>
      </c:lineChart>
      <c:catAx>
        <c:axId val="345021432"/>
        <c:scaling>
          <c:orientation val="minMax"/>
        </c:scaling>
        <c:delete val="0"/>
        <c:axPos val="b"/>
        <c:numFmt formatCode="General" sourceLinked="1"/>
        <c:majorTickMark val="out"/>
        <c:minorTickMark val="none"/>
        <c:tickLblPos val="nextTo"/>
        <c:crossAx val="345021824"/>
        <c:crosses val="autoZero"/>
        <c:auto val="1"/>
        <c:lblAlgn val="ctr"/>
        <c:lblOffset val="100"/>
        <c:noMultiLvlLbl val="0"/>
      </c:catAx>
      <c:valAx>
        <c:axId val="345021824"/>
        <c:scaling>
          <c:orientation val="minMax"/>
        </c:scaling>
        <c:delete val="0"/>
        <c:axPos val="l"/>
        <c:majorGridlines/>
        <c:numFmt formatCode="General" sourceLinked="1"/>
        <c:majorTickMark val="out"/>
        <c:minorTickMark val="none"/>
        <c:tickLblPos val="nextTo"/>
        <c:crossAx val="345021432"/>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4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square"/>
            <c:size val="7"/>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4746-435D-BBC3-27E470FAE761}"/>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1"/>
          <c:order val="1"/>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1-4746-435D-BBC3-27E470FAE761}"/>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2"/>
          <c:order val="2"/>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4746-435D-BBC3-27E470FAE761}"/>
              </c:ext>
            </c:extLst>
          </c:dPt>
          <c:dPt>
            <c:idx val="5"/>
            <c:marker>
              <c:symbol val="circle"/>
              <c:size val="7"/>
            </c:marker>
            <c:bubble3D val="0"/>
            <c:extLst xmlns:c16r2="http://schemas.microsoft.com/office/drawing/2015/06/chart">
              <c:ext xmlns:c16="http://schemas.microsoft.com/office/drawing/2014/chart" uri="{C3380CC4-5D6E-409C-BE32-E72D297353CC}">
                <c16:uniqueId val="{00000003-4746-435D-BBC3-27E470FAE761}"/>
              </c:ext>
            </c:extLst>
          </c:dPt>
          <c:dPt>
            <c:idx val="6"/>
            <c:marker>
              <c:symbol val="circle"/>
              <c:size val="7"/>
            </c:marker>
            <c:bubble3D val="0"/>
            <c:extLst xmlns:c16r2="http://schemas.microsoft.com/office/drawing/2015/06/chart">
              <c:ext xmlns:c16="http://schemas.microsoft.com/office/drawing/2014/chart" uri="{C3380CC4-5D6E-409C-BE32-E72D297353CC}">
                <c16:uniqueId val="{00000004-4746-435D-BBC3-27E470FAE761}"/>
              </c:ext>
            </c:extLst>
          </c:dPt>
          <c:dPt>
            <c:idx val="7"/>
            <c:marker>
              <c:symbol val="circle"/>
              <c:size val="7"/>
            </c:marker>
            <c:bubble3D val="0"/>
            <c:extLst xmlns:c16r2="http://schemas.microsoft.com/office/drawing/2015/06/chart">
              <c:ext xmlns:c16="http://schemas.microsoft.com/office/drawing/2014/chart" uri="{C3380CC4-5D6E-409C-BE32-E72D297353CC}">
                <c16:uniqueId val="{00000005-4746-435D-BBC3-27E470FAE761}"/>
              </c:ext>
            </c:extLst>
          </c:dPt>
          <c:dPt>
            <c:idx val="8"/>
            <c:marker>
              <c:symbol val="circle"/>
              <c:size val="7"/>
            </c:marker>
            <c:bubble3D val="0"/>
            <c:extLst xmlns:c16r2="http://schemas.microsoft.com/office/drawing/2015/06/chart">
              <c:ext xmlns:c16="http://schemas.microsoft.com/office/drawing/2014/chart" uri="{C3380CC4-5D6E-409C-BE32-E72D297353CC}">
                <c16:uniqueId val="{00000006-4746-435D-BBC3-27E470FAE761}"/>
              </c:ext>
            </c:extLst>
          </c:dPt>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7-4746-435D-BBC3-27E470FAE761}"/>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45022608"/>
        <c:axId val="345023000"/>
      </c:lineChart>
      <c:catAx>
        <c:axId val="345022608"/>
        <c:scaling>
          <c:orientation val="minMax"/>
        </c:scaling>
        <c:delete val="0"/>
        <c:axPos val="b"/>
        <c:numFmt formatCode="General" sourceLinked="1"/>
        <c:majorTickMark val="out"/>
        <c:minorTickMark val="none"/>
        <c:tickLblPos val="nextTo"/>
        <c:crossAx val="345023000"/>
        <c:crosses val="autoZero"/>
        <c:auto val="1"/>
        <c:lblAlgn val="ctr"/>
        <c:lblOffset val="100"/>
        <c:noMultiLvlLbl val="0"/>
      </c:catAx>
      <c:valAx>
        <c:axId val="345023000"/>
        <c:scaling>
          <c:orientation val="minMax"/>
        </c:scaling>
        <c:delete val="0"/>
        <c:axPos val="l"/>
        <c:majorGridlines/>
        <c:numFmt formatCode="General" sourceLinked="1"/>
        <c:majorTickMark val="out"/>
        <c:minorTickMark val="none"/>
        <c:tickLblPos val="nextTo"/>
        <c:crossAx val="345022608"/>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4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'Leith Walk'!$B$177:$B$190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'Leith Walk'!$J$177:$J$190</c:f>
              <c:numCache>
                <c:formatCode>General</c:formatCode>
                <c:ptCount val="14"/>
                <c:pt idx="0">
                  <c:v>203</c:v>
                </c:pt>
                <c:pt idx="1">
                  <c:v>216</c:v>
                </c:pt>
                <c:pt idx="2">
                  <c:v>218</c:v>
                </c:pt>
                <c:pt idx="3">
                  <c:v>208</c:v>
                </c:pt>
                <c:pt idx="4">
                  <c:v>215</c:v>
                </c:pt>
                <c:pt idx="5">
                  <c:v>197</c:v>
                </c:pt>
                <c:pt idx="6">
                  <c:v>188</c:v>
                </c:pt>
                <c:pt idx="7">
                  <c:v>183</c:v>
                </c:pt>
                <c:pt idx="8">
                  <c:v>169</c:v>
                </c:pt>
                <c:pt idx="9">
                  <c:v>179</c:v>
                </c:pt>
                <c:pt idx="10">
                  <c:v>193</c:v>
                </c:pt>
                <c:pt idx="11">
                  <c:v>217</c:v>
                </c:pt>
                <c:pt idx="12">
                  <c:v>232</c:v>
                </c:pt>
                <c:pt idx="13">
                  <c:v>235</c:v>
                </c:pt>
              </c:numCache>
            </c:numRef>
          </c:val>
          <c:smooth val="0"/>
          <c:extLst xmlns:c16r2="http://schemas.microsoft.com/office/drawing/2015/06/chart">
            <c:ext xmlns:c16="http://schemas.microsoft.com/office/drawing/2014/chart" uri="{C3380CC4-5D6E-409C-BE32-E72D297353CC}">
              <c16:uniqueId val="{00000000-3FC9-4652-A012-56C5EFBEC251}"/>
            </c:ext>
          </c:extLst>
        </c:ser>
        <c:dLbls>
          <c:showLegendKey val="0"/>
          <c:showVal val="0"/>
          <c:showCatName val="0"/>
          <c:showSerName val="0"/>
          <c:showPercent val="0"/>
          <c:showBubbleSize val="0"/>
        </c:dLbls>
        <c:marker val="1"/>
        <c:smooth val="0"/>
        <c:axId val="345023784"/>
        <c:axId val="345024176"/>
      </c:lineChart>
      <c:catAx>
        <c:axId val="345023784"/>
        <c:scaling>
          <c:orientation val="minMax"/>
        </c:scaling>
        <c:delete val="0"/>
        <c:axPos val="b"/>
        <c:numFmt formatCode="General" sourceLinked="1"/>
        <c:majorTickMark val="out"/>
        <c:minorTickMark val="none"/>
        <c:tickLblPos val="nextTo"/>
        <c:crossAx val="345024176"/>
        <c:crosses val="autoZero"/>
        <c:auto val="1"/>
        <c:lblAlgn val="ctr"/>
        <c:lblOffset val="100"/>
        <c:noMultiLvlLbl val="0"/>
      </c:catAx>
      <c:valAx>
        <c:axId val="345024176"/>
        <c:scaling>
          <c:orientation val="minMax"/>
        </c:scaling>
        <c:delete val="0"/>
        <c:axPos val="l"/>
        <c:majorGridlines/>
        <c:numFmt formatCode="General" sourceLinked="1"/>
        <c:majorTickMark val="out"/>
        <c:minorTickMark val="none"/>
        <c:tickLblPos val="nextTo"/>
        <c:crossAx val="345023784"/>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4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'Leith Walk'!$B$169</c:f>
              <c:strCache>
                <c:ptCount val="1"/>
                <c:pt idx="0">
                  <c:v>Catchment Births (5yrs Prior)</c:v>
                </c:pt>
              </c:strCache>
            </c:strRef>
          </c:tx>
          <c:marker>
            <c:symbol val="square"/>
            <c:size val="7"/>
          </c:marker>
          <c:cat>
            <c:numRef>
              <c:f>'Leith Walk'!$D$168:$N$168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'Leith Walk'!$D$169:$N$169</c:f>
              <c:numCache>
                <c:formatCode>#,##0</c:formatCode>
                <c:ptCount val="11"/>
                <c:pt idx="0">
                  <c:v>93</c:v>
                </c:pt>
                <c:pt idx="1">
                  <c:v>94</c:v>
                </c:pt>
                <c:pt idx="2">
                  <c:v>100</c:v>
                </c:pt>
                <c:pt idx="3">
                  <c:v>133</c:v>
                </c:pt>
                <c:pt idx="4">
                  <c:v>155</c:v>
                </c:pt>
                <c:pt idx="5">
                  <c:v>145</c:v>
                </c:pt>
                <c:pt idx="6">
                  <c:v>150</c:v>
                </c:pt>
                <c:pt idx="7">
                  <c:v>133</c:v>
                </c:pt>
                <c:pt idx="8">
                  <c:v>146</c:v>
                </c:pt>
                <c:pt idx="9">
                  <c:v>137</c:v>
                </c:pt>
                <c:pt idx="10">
                  <c:v>112</c:v>
                </c:pt>
              </c:numCache>
            </c:numRef>
          </c:val>
          <c:smooth val="0"/>
          <c:extLst xmlns:c16r2="http://schemas.microsoft.com/office/drawing/2015/06/chart">
            <c:ext xmlns:c16="http://schemas.microsoft.com/office/drawing/2014/chart" uri="{C3380CC4-5D6E-409C-BE32-E72D297353CC}">
              <c16:uniqueId val="{00000000-6AA4-4D0F-9025-7998E62E07FD}"/>
            </c:ext>
          </c:extLst>
        </c:ser>
        <c:ser>
          <c:idx val="1"/>
          <c:order val="1"/>
          <c:tx>
            <c:strRef>
              <c:f>'Leith Walk'!$B$170</c:f>
              <c:strCache>
                <c:ptCount val="1"/>
                <c:pt idx="0">
                  <c:v>P1 ND Catchment Population (Actual)</c:v>
                </c:pt>
              </c:strCache>
            </c:strRef>
          </c:tx>
          <c:cat>
            <c:numRef>
              <c:f>'Leith Walk'!$D$168:$N$168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'Leith Walk'!$D$170:$I$170</c:f>
              <c:numCache>
                <c:formatCode>#,##0</c:formatCode>
                <c:ptCount val="6"/>
                <c:pt idx="0">
                  <c:v>31</c:v>
                </c:pt>
                <c:pt idx="1">
                  <c:v>34</c:v>
                </c:pt>
                <c:pt idx="2">
                  <c:v>32</c:v>
                </c:pt>
                <c:pt idx="3">
                  <c:v>56</c:v>
                </c:pt>
                <c:pt idx="4">
                  <c:v>48</c:v>
                </c:pt>
                <c:pt idx="5">
                  <c:v>43</c:v>
                </c:pt>
              </c:numCache>
            </c:numRef>
          </c:val>
          <c:smooth val="0"/>
          <c:extLst xmlns:c16r2="http://schemas.microsoft.com/office/drawing/2015/06/chart">
            <c:ext xmlns:c16="http://schemas.microsoft.com/office/drawing/2014/chart" uri="{C3380CC4-5D6E-409C-BE32-E72D297353CC}">
              <c16:uniqueId val="{00000001-6AA4-4D0F-9025-7998E62E07FD}"/>
            </c:ext>
          </c:extLst>
        </c:ser>
        <c:ser>
          <c:idx val="2"/>
          <c:order val="2"/>
          <c:tx>
            <c:strRef>
              <c:f>'Leith Walk'!$B$172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6AA4-4D0F-9025-7998E62E07FD}"/>
              </c:ext>
            </c:extLst>
          </c:dPt>
          <c:dPt>
            <c:idx val="5"/>
            <c:marker>
              <c:symbol val="none"/>
            </c:marker>
            <c:bubble3D val="0"/>
            <c:extLst xmlns:c16r2="http://schemas.microsoft.com/office/drawing/2015/06/chart">
              <c:ext xmlns:c16="http://schemas.microsoft.com/office/drawing/2014/chart" uri="{C3380CC4-5D6E-409C-BE32-E72D297353CC}">
                <c16:uniqueId val="{00000003-6AA4-4D0F-9025-7998E62E07FD}"/>
              </c:ext>
            </c:extLst>
          </c:dPt>
          <c:dPt>
            <c:idx val="6"/>
            <c:marker>
              <c:symbol val="circle"/>
              <c:size val="7"/>
            </c:marker>
            <c:bubble3D val="0"/>
            <c:extLst xmlns:c16r2="http://schemas.microsoft.com/office/drawing/2015/06/chart">
              <c:ext xmlns:c16="http://schemas.microsoft.com/office/drawing/2014/chart" uri="{C3380CC4-5D6E-409C-BE32-E72D297353CC}">
                <c16:uniqueId val="{00000004-6AA4-4D0F-9025-7998E62E07FD}"/>
              </c:ext>
            </c:extLst>
          </c:dPt>
          <c:dPt>
            <c:idx val="7"/>
            <c:marker>
              <c:symbol val="circle"/>
              <c:size val="7"/>
            </c:marker>
            <c:bubble3D val="0"/>
            <c:extLst xmlns:c16r2="http://schemas.microsoft.com/office/drawing/2015/06/chart">
              <c:ext xmlns:c16="http://schemas.microsoft.com/office/drawing/2014/chart" uri="{C3380CC4-5D6E-409C-BE32-E72D297353CC}">
                <c16:uniqueId val="{00000005-6AA4-4D0F-9025-7998E62E07FD}"/>
              </c:ext>
            </c:extLst>
          </c:dPt>
          <c:dPt>
            <c:idx val="8"/>
            <c:marker>
              <c:symbol val="circle"/>
              <c:size val="7"/>
            </c:marker>
            <c:bubble3D val="0"/>
            <c:extLst xmlns:c16r2="http://schemas.microsoft.com/office/drawing/2015/06/chart">
              <c:ext xmlns:c16="http://schemas.microsoft.com/office/drawing/2014/chart" uri="{C3380CC4-5D6E-409C-BE32-E72D297353CC}">
                <c16:uniqueId val="{00000006-6AA4-4D0F-9025-7998E62E07FD}"/>
              </c:ext>
            </c:extLst>
          </c:dPt>
          <c:dPt>
            <c:idx val="9"/>
            <c:marker>
              <c:symbol val="circle"/>
              <c:size val="7"/>
            </c:marker>
            <c:bubble3D val="0"/>
            <c:extLst xmlns:c16r2="http://schemas.microsoft.com/office/drawing/2015/06/chart">
              <c:ext xmlns:c16="http://schemas.microsoft.com/office/drawing/2014/chart" uri="{C3380CC4-5D6E-409C-BE32-E72D297353CC}">
                <c16:uniqueId val="{00000007-6AA4-4D0F-9025-7998E62E07FD}"/>
              </c:ext>
            </c:extLst>
          </c:dPt>
          <c:dPt>
            <c:idx val="10"/>
            <c:marker>
              <c:symbol val="circle"/>
              <c:size val="7"/>
            </c:marker>
            <c:bubble3D val="0"/>
            <c:extLst xmlns:c16r2="http://schemas.microsoft.com/office/drawing/2015/06/chart">
              <c:ext xmlns:c16="http://schemas.microsoft.com/office/drawing/2014/chart" uri="{C3380CC4-5D6E-409C-BE32-E72D297353CC}">
                <c16:uniqueId val="{00000008-6AA4-4D0F-9025-7998E62E07FD}"/>
              </c:ext>
            </c:extLst>
          </c:dPt>
          <c:cat>
            <c:numRef>
              <c:f>'Leith Walk'!$D$168:$N$168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'Leith Walk'!$D$172:$N$172</c:f>
              <c:numCache>
                <c:formatCode>General</c:formatCode>
                <c:ptCount val="11"/>
                <c:pt idx="5" formatCode="0">
                  <c:v>43</c:v>
                </c:pt>
                <c:pt idx="6" formatCode="0">
                  <c:v>0</c:v>
                </c:pt>
                <c:pt idx="7" formatCode="0">
                  <c:v>41</c:v>
                </c:pt>
                <c:pt idx="8" formatCode="0">
                  <c:v>33</c:v>
                </c:pt>
                <c:pt idx="9" formatCode="0">
                  <c:v>38</c:v>
                </c:pt>
                <c:pt idx="10" formatCode="0">
                  <c:v>30</c:v>
                </c:pt>
              </c:numCache>
            </c:numRef>
          </c:val>
          <c:smooth val="0"/>
          <c:extLst xmlns:c16r2="http://schemas.microsoft.com/office/drawing/2015/06/chart">
            <c:ext xmlns:c16="http://schemas.microsoft.com/office/drawing/2014/chart" uri="{C3380CC4-5D6E-409C-BE32-E72D297353CC}">
              <c16:uniqueId val="{00000009-6AA4-4D0F-9025-7998E62E07FD}"/>
            </c:ext>
          </c:extLst>
        </c:ser>
        <c:ser>
          <c:idx val="3"/>
          <c:order val="3"/>
          <c:tx>
            <c:strRef>
              <c:f>'Leith Walk'!$B$171</c:f>
              <c:strCache>
                <c:ptCount val="1"/>
                <c:pt idx="0">
                  <c:v>Actual P1 Registrations (as of Jan 2016)</c:v>
                </c:pt>
              </c:strCache>
            </c:strRef>
          </c:tx>
          <c:spPr>
            <a:ln w="15875">
              <a:noFill/>
            </a:ln>
          </c:spPr>
          <c:marker>
            <c:symbol val="diamond"/>
            <c:size val="9"/>
            <c:spPr>
              <a:solidFill>
                <a:schemeClr val="tx1"/>
              </a:solidFill>
            </c:spPr>
          </c:marker>
          <c:cat>
            <c:numRef>
              <c:f>'Leith Walk'!$D$168:$N$168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'Leith Walk'!$D$171:$M$171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6AA4-4D0F-9025-7998E62E07FD}"/>
            </c:ext>
          </c:extLst>
        </c:ser>
        <c:dLbls>
          <c:showLegendKey val="0"/>
          <c:showVal val="0"/>
          <c:showCatName val="0"/>
          <c:showSerName val="0"/>
          <c:showPercent val="0"/>
          <c:showBubbleSize val="0"/>
        </c:dLbls>
        <c:marker val="1"/>
        <c:smooth val="0"/>
        <c:axId val="345024960"/>
        <c:axId val="345025352"/>
      </c:lineChart>
      <c:catAx>
        <c:axId val="345024960"/>
        <c:scaling>
          <c:orientation val="minMax"/>
        </c:scaling>
        <c:delete val="0"/>
        <c:axPos val="b"/>
        <c:numFmt formatCode="General" sourceLinked="1"/>
        <c:majorTickMark val="out"/>
        <c:minorTickMark val="none"/>
        <c:tickLblPos val="nextTo"/>
        <c:crossAx val="345025352"/>
        <c:crosses val="autoZero"/>
        <c:auto val="1"/>
        <c:lblAlgn val="ctr"/>
        <c:lblOffset val="100"/>
        <c:noMultiLvlLbl val="0"/>
      </c:catAx>
      <c:valAx>
        <c:axId val="345025352"/>
        <c:scaling>
          <c:orientation val="minMax"/>
        </c:scaling>
        <c:delete val="0"/>
        <c:axPos val="l"/>
        <c:majorGridlines/>
        <c:numFmt formatCode="#,##0" sourceLinked="1"/>
        <c:majorTickMark val="out"/>
        <c:minorTickMark val="none"/>
        <c:tickLblPos val="nextTo"/>
        <c:crossAx val="345024960"/>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4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B911-4E6E-9A28-6F26948E7785}"/>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45026136"/>
        <c:axId val="345026528"/>
      </c:lineChart>
      <c:catAx>
        <c:axId val="345026136"/>
        <c:scaling>
          <c:orientation val="minMax"/>
        </c:scaling>
        <c:delete val="0"/>
        <c:axPos val="b"/>
        <c:numFmt formatCode="General" sourceLinked="1"/>
        <c:majorTickMark val="out"/>
        <c:minorTickMark val="none"/>
        <c:tickLblPos val="nextTo"/>
        <c:crossAx val="345026528"/>
        <c:crosses val="autoZero"/>
        <c:auto val="1"/>
        <c:lblAlgn val="ctr"/>
        <c:lblOffset val="100"/>
        <c:noMultiLvlLbl val="0"/>
      </c:catAx>
      <c:valAx>
        <c:axId val="345026528"/>
        <c:scaling>
          <c:orientation val="minMax"/>
        </c:scaling>
        <c:delete val="0"/>
        <c:axPos val="l"/>
        <c:majorGridlines/>
        <c:numFmt formatCode="General" sourceLinked="1"/>
        <c:majorTickMark val="out"/>
        <c:minorTickMark val="none"/>
        <c:tickLblPos val="nextTo"/>
        <c:crossAx val="345026136"/>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4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square"/>
            <c:size val="7"/>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3CB4-40A9-80CB-B61EB930B357}"/>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1"/>
          <c:order val="1"/>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1-3CB4-40A9-80CB-B61EB930B357}"/>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2"/>
          <c:order val="2"/>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3CB4-40A9-80CB-B61EB930B357}"/>
              </c:ext>
            </c:extLst>
          </c:dPt>
          <c:dPt>
            <c:idx val="5"/>
            <c:marker>
              <c:symbol val="circle"/>
              <c:size val="7"/>
            </c:marker>
            <c:bubble3D val="0"/>
            <c:extLst xmlns:c16r2="http://schemas.microsoft.com/office/drawing/2015/06/chart">
              <c:ext xmlns:c16="http://schemas.microsoft.com/office/drawing/2014/chart" uri="{C3380CC4-5D6E-409C-BE32-E72D297353CC}">
                <c16:uniqueId val="{00000003-3CB4-40A9-80CB-B61EB930B357}"/>
              </c:ext>
            </c:extLst>
          </c:dPt>
          <c:dPt>
            <c:idx val="6"/>
            <c:marker>
              <c:symbol val="circle"/>
              <c:size val="7"/>
            </c:marker>
            <c:bubble3D val="0"/>
            <c:extLst xmlns:c16r2="http://schemas.microsoft.com/office/drawing/2015/06/chart">
              <c:ext xmlns:c16="http://schemas.microsoft.com/office/drawing/2014/chart" uri="{C3380CC4-5D6E-409C-BE32-E72D297353CC}">
                <c16:uniqueId val="{00000004-3CB4-40A9-80CB-B61EB930B357}"/>
              </c:ext>
            </c:extLst>
          </c:dPt>
          <c:dPt>
            <c:idx val="7"/>
            <c:marker>
              <c:symbol val="circle"/>
              <c:size val="7"/>
            </c:marker>
            <c:bubble3D val="0"/>
            <c:extLst xmlns:c16r2="http://schemas.microsoft.com/office/drawing/2015/06/chart">
              <c:ext xmlns:c16="http://schemas.microsoft.com/office/drawing/2014/chart" uri="{C3380CC4-5D6E-409C-BE32-E72D297353CC}">
                <c16:uniqueId val="{00000005-3CB4-40A9-80CB-B61EB930B357}"/>
              </c:ext>
            </c:extLst>
          </c:dPt>
          <c:dPt>
            <c:idx val="8"/>
            <c:marker>
              <c:symbol val="circle"/>
              <c:size val="7"/>
            </c:marker>
            <c:bubble3D val="0"/>
            <c:extLst xmlns:c16r2="http://schemas.microsoft.com/office/drawing/2015/06/chart">
              <c:ext xmlns:c16="http://schemas.microsoft.com/office/drawing/2014/chart" uri="{C3380CC4-5D6E-409C-BE32-E72D297353CC}">
                <c16:uniqueId val="{00000006-3CB4-40A9-80CB-B61EB930B357}"/>
              </c:ext>
            </c:extLst>
          </c:dPt>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7-3CB4-40A9-80CB-B61EB930B357}"/>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45027312"/>
        <c:axId val="345027704"/>
      </c:lineChart>
      <c:catAx>
        <c:axId val="345027312"/>
        <c:scaling>
          <c:orientation val="minMax"/>
        </c:scaling>
        <c:delete val="0"/>
        <c:axPos val="b"/>
        <c:numFmt formatCode="General" sourceLinked="1"/>
        <c:majorTickMark val="out"/>
        <c:minorTickMark val="none"/>
        <c:tickLblPos val="nextTo"/>
        <c:crossAx val="345027704"/>
        <c:crosses val="autoZero"/>
        <c:auto val="1"/>
        <c:lblAlgn val="ctr"/>
        <c:lblOffset val="100"/>
        <c:noMultiLvlLbl val="0"/>
      </c:catAx>
      <c:valAx>
        <c:axId val="345027704"/>
        <c:scaling>
          <c:orientation val="minMax"/>
        </c:scaling>
        <c:delete val="0"/>
        <c:axPos val="l"/>
        <c:majorGridlines/>
        <c:numFmt formatCode="General" sourceLinked="1"/>
        <c:majorTickMark val="out"/>
        <c:minorTickMark val="none"/>
        <c:tickLblPos val="nextTo"/>
        <c:crossAx val="345027312"/>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4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Liberton!$B$177:$B$190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Liberton!$J$177:$J$190</c:f>
              <c:numCache>
                <c:formatCode>General</c:formatCode>
                <c:ptCount val="14"/>
                <c:pt idx="0">
                  <c:v>476</c:v>
                </c:pt>
                <c:pt idx="1">
                  <c:v>451</c:v>
                </c:pt>
                <c:pt idx="2">
                  <c:v>406</c:v>
                </c:pt>
                <c:pt idx="3">
                  <c:v>424</c:v>
                </c:pt>
                <c:pt idx="4">
                  <c:v>404</c:v>
                </c:pt>
                <c:pt idx="5">
                  <c:v>395</c:v>
                </c:pt>
                <c:pt idx="6">
                  <c:v>398</c:v>
                </c:pt>
                <c:pt idx="7">
                  <c:v>370</c:v>
                </c:pt>
                <c:pt idx="8">
                  <c:v>384</c:v>
                </c:pt>
                <c:pt idx="9">
                  <c:v>390</c:v>
                </c:pt>
                <c:pt idx="10">
                  <c:v>392</c:v>
                </c:pt>
                <c:pt idx="11">
                  <c:v>389</c:v>
                </c:pt>
                <c:pt idx="12">
                  <c:v>399</c:v>
                </c:pt>
                <c:pt idx="13">
                  <c:v>417</c:v>
                </c:pt>
              </c:numCache>
            </c:numRef>
          </c:val>
          <c:smooth val="0"/>
          <c:extLst xmlns:c16r2="http://schemas.microsoft.com/office/drawing/2015/06/chart">
            <c:ext xmlns:c16="http://schemas.microsoft.com/office/drawing/2014/chart" uri="{C3380CC4-5D6E-409C-BE32-E72D297353CC}">
              <c16:uniqueId val="{00000000-3D5D-4B50-AB7F-461CC4C0FC6E}"/>
            </c:ext>
          </c:extLst>
        </c:ser>
        <c:dLbls>
          <c:showLegendKey val="0"/>
          <c:showVal val="0"/>
          <c:showCatName val="0"/>
          <c:showSerName val="0"/>
          <c:showPercent val="0"/>
          <c:showBubbleSize val="0"/>
        </c:dLbls>
        <c:marker val="1"/>
        <c:smooth val="0"/>
        <c:axId val="345028488"/>
        <c:axId val="345028880"/>
      </c:lineChart>
      <c:catAx>
        <c:axId val="345028488"/>
        <c:scaling>
          <c:orientation val="minMax"/>
        </c:scaling>
        <c:delete val="0"/>
        <c:axPos val="b"/>
        <c:numFmt formatCode="General" sourceLinked="1"/>
        <c:majorTickMark val="out"/>
        <c:minorTickMark val="none"/>
        <c:tickLblPos val="nextTo"/>
        <c:crossAx val="345028880"/>
        <c:crosses val="autoZero"/>
        <c:auto val="1"/>
        <c:lblAlgn val="ctr"/>
        <c:lblOffset val="100"/>
        <c:noMultiLvlLbl val="0"/>
      </c:catAx>
      <c:valAx>
        <c:axId val="345028880"/>
        <c:scaling>
          <c:orientation val="minMax"/>
        </c:scaling>
        <c:delete val="0"/>
        <c:axPos val="l"/>
        <c:majorGridlines/>
        <c:numFmt formatCode="General" sourceLinked="1"/>
        <c:majorTickMark val="out"/>
        <c:minorTickMark val="none"/>
        <c:tickLblPos val="nextTo"/>
        <c:crossAx val="345028488"/>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4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Liberton!$B$169</c:f>
              <c:strCache>
                <c:ptCount val="1"/>
                <c:pt idx="0">
                  <c:v>Catchment Births (5yrs Prior)</c:v>
                </c:pt>
              </c:strCache>
            </c:strRef>
          </c:tx>
          <c:marker>
            <c:symbol val="square"/>
            <c:size val="7"/>
          </c:marker>
          <c:cat>
            <c:numRef>
              <c:f>Liberton!$D$168:$N$168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Liberton!$D$169:$N$169</c:f>
              <c:numCache>
                <c:formatCode>#,##0</c:formatCode>
                <c:ptCount val="11"/>
                <c:pt idx="0">
                  <c:v>99</c:v>
                </c:pt>
                <c:pt idx="1">
                  <c:v>94</c:v>
                </c:pt>
                <c:pt idx="2">
                  <c:v>92</c:v>
                </c:pt>
                <c:pt idx="3">
                  <c:v>115</c:v>
                </c:pt>
                <c:pt idx="4">
                  <c:v>85</c:v>
                </c:pt>
                <c:pt idx="5">
                  <c:v>115</c:v>
                </c:pt>
                <c:pt idx="6">
                  <c:v>99</c:v>
                </c:pt>
                <c:pt idx="7">
                  <c:v>102</c:v>
                </c:pt>
                <c:pt idx="8">
                  <c:v>98</c:v>
                </c:pt>
                <c:pt idx="9">
                  <c:v>96</c:v>
                </c:pt>
                <c:pt idx="10">
                  <c:v>100</c:v>
                </c:pt>
              </c:numCache>
            </c:numRef>
          </c:val>
          <c:smooth val="0"/>
          <c:extLst xmlns:c16r2="http://schemas.microsoft.com/office/drawing/2015/06/chart">
            <c:ext xmlns:c16="http://schemas.microsoft.com/office/drawing/2014/chart" uri="{C3380CC4-5D6E-409C-BE32-E72D297353CC}">
              <c16:uniqueId val="{00000000-7B5A-4A89-A2A7-8851118C4424}"/>
            </c:ext>
          </c:extLst>
        </c:ser>
        <c:ser>
          <c:idx val="1"/>
          <c:order val="1"/>
          <c:tx>
            <c:strRef>
              <c:f>Liberton!$B$170</c:f>
              <c:strCache>
                <c:ptCount val="1"/>
                <c:pt idx="0">
                  <c:v>P1 ND Catchment Population (Actual)</c:v>
                </c:pt>
              </c:strCache>
            </c:strRef>
          </c:tx>
          <c:cat>
            <c:numRef>
              <c:f>Liberton!$D$168:$N$168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Liberton!$D$170:$I$170</c:f>
              <c:numCache>
                <c:formatCode>#,##0</c:formatCode>
                <c:ptCount val="6"/>
                <c:pt idx="0">
                  <c:v>65</c:v>
                </c:pt>
                <c:pt idx="1">
                  <c:v>65</c:v>
                </c:pt>
                <c:pt idx="2">
                  <c:v>65</c:v>
                </c:pt>
                <c:pt idx="3">
                  <c:v>67</c:v>
                </c:pt>
                <c:pt idx="4">
                  <c:v>64</c:v>
                </c:pt>
                <c:pt idx="5">
                  <c:v>86</c:v>
                </c:pt>
              </c:numCache>
            </c:numRef>
          </c:val>
          <c:smooth val="0"/>
          <c:extLst xmlns:c16r2="http://schemas.microsoft.com/office/drawing/2015/06/chart">
            <c:ext xmlns:c16="http://schemas.microsoft.com/office/drawing/2014/chart" uri="{C3380CC4-5D6E-409C-BE32-E72D297353CC}">
              <c16:uniqueId val="{00000001-7B5A-4A89-A2A7-8851118C4424}"/>
            </c:ext>
          </c:extLst>
        </c:ser>
        <c:ser>
          <c:idx val="2"/>
          <c:order val="2"/>
          <c:tx>
            <c:strRef>
              <c:f>Liberton!$B$172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7B5A-4A89-A2A7-8851118C4424}"/>
              </c:ext>
            </c:extLst>
          </c:dPt>
          <c:dPt>
            <c:idx val="5"/>
            <c:marker>
              <c:symbol val="none"/>
            </c:marker>
            <c:bubble3D val="0"/>
            <c:extLst xmlns:c16r2="http://schemas.microsoft.com/office/drawing/2015/06/chart">
              <c:ext xmlns:c16="http://schemas.microsoft.com/office/drawing/2014/chart" uri="{C3380CC4-5D6E-409C-BE32-E72D297353CC}">
                <c16:uniqueId val="{00000003-7B5A-4A89-A2A7-8851118C4424}"/>
              </c:ext>
            </c:extLst>
          </c:dPt>
          <c:dPt>
            <c:idx val="6"/>
            <c:marker>
              <c:symbol val="circle"/>
              <c:size val="7"/>
            </c:marker>
            <c:bubble3D val="0"/>
            <c:extLst xmlns:c16r2="http://schemas.microsoft.com/office/drawing/2015/06/chart">
              <c:ext xmlns:c16="http://schemas.microsoft.com/office/drawing/2014/chart" uri="{C3380CC4-5D6E-409C-BE32-E72D297353CC}">
                <c16:uniqueId val="{00000004-7B5A-4A89-A2A7-8851118C4424}"/>
              </c:ext>
            </c:extLst>
          </c:dPt>
          <c:dPt>
            <c:idx val="7"/>
            <c:marker>
              <c:symbol val="circle"/>
              <c:size val="7"/>
            </c:marker>
            <c:bubble3D val="0"/>
            <c:extLst xmlns:c16r2="http://schemas.microsoft.com/office/drawing/2015/06/chart">
              <c:ext xmlns:c16="http://schemas.microsoft.com/office/drawing/2014/chart" uri="{C3380CC4-5D6E-409C-BE32-E72D297353CC}">
                <c16:uniqueId val="{00000005-7B5A-4A89-A2A7-8851118C4424}"/>
              </c:ext>
            </c:extLst>
          </c:dPt>
          <c:dPt>
            <c:idx val="8"/>
            <c:marker>
              <c:symbol val="circle"/>
              <c:size val="7"/>
            </c:marker>
            <c:bubble3D val="0"/>
            <c:extLst xmlns:c16r2="http://schemas.microsoft.com/office/drawing/2015/06/chart">
              <c:ext xmlns:c16="http://schemas.microsoft.com/office/drawing/2014/chart" uri="{C3380CC4-5D6E-409C-BE32-E72D297353CC}">
                <c16:uniqueId val="{00000006-7B5A-4A89-A2A7-8851118C4424}"/>
              </c:ext>
            </c:extLst>
          </c:dPt>
          <c:dPt>
            <c:idx val="9"/>
            <c:marker>
              <c:symbol val="circle"/>
              <c:size val="7"/>
            </c:marker>
            <c:bubble3D val="0"/>
            <c:extLst xmlns:c16r2="http://schemas.microsoft.com/office/drawing/2015/06/chart">
              <c:ext xmlns:c16="http://schemas.microsoft.com/office/drawing/2014/chart" uri="{C3380CC4-5D6E-409C-BE32-E72D297353CC}">
                <c16:uniqueId val="{00000007-7B5A-4A89-A2A7-8851118C4424}"/>
              </c:ext>
            </c:extLst>
          </c:dPt>
          <c:dPt>
            <c:idx val="10"/>
            <c:marker>
              <c:symbol val="circle"/>
              <c:size val="7"/>
            </c:marker>
            <c:bubble3D val="0"/>
            <c:extLst xmlns:c16r2="http://schemas.microsoft.com/office/drawing/2015/06/chart">
              <c:ext xmlns:c16="http://schemas.microsoft.com/office/drawing/2014/chart" uri="{C3380CC4-5D6E-409C-BE32-E72D297353CC}">
                <c16:uniqueId val="{00000008-7B5A-4A89-A2A7-8851118C4424}"/>
              </c:ext>
            </c:extLst>
          </c:dPt>
          <c:cat>
            <c:numRef>
              <c:f>Liberton!$D$168:$N$168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Liberton!$D$172:$N$172</c:f>
              <c:numCache>
                <c:formatCode>General</c:formatCode>
                <c:ptCount val="11"/>
                <c:pt idx="5" formatCode="0">
                  <c:v>86</c:v>
                </c:pt>
                <c:pt idx="6" formatCode="0">
                  <c:v>0</c:v>
                </c:pt>
                <c:pt idx="7" formatCode="0">
                  <c:v>66</c:v>
                </c:pt>
                <c:pt idx="8" formatCode="0">
                  <c:v>69</c:v>
                </c:pt>
                <c:pt idx="9" formatCode="0">
                  <c:v>74</c:v>
                </c:pt>
                <c:pt idx="10" formatCode="0">
                  <c:v>74</c:v>
                </c:pt>
              </c:numCache>
            </c:numRef>
          </c:val>
          <c:smooth val="0"/>
          <c:extLst xmlns:c16r2="http://schemas.microsoft.com/office/drawing/2015/06/chart">
            <c:ext xmlns:c16="http://schemas.microsoft.com/office/drawing/2014/chart" uri="{C3380CC4-5D6E-409C-BE32-E72D297353CC}">
              <c16:uniqueId val="{00000009-7B5A-4A89-A2A7-8851118C4424}"/>
            </c:ext>
          </c:extLst>
        </c:ser>
        <c:ser>
          <c:idx val="3"/>
          <c:order val="3"/>
          <c:tx>
            <c:strRef>
              <c:f>Liberton!$B$171</c:f>
              <c:strCache>
                <c:ptCount val="1"/>
                <c:pt idx="0">
                  <c:v>Actual P1 Registrations (as of Jan 2016)</c:v>
                </c:pt>
              </c:strCache>
            </c:strRef>
          </c:tx>
          <c:spPr>
            <a:ln w="15875">
              <a:noFill/>
            </a:ln>
          </c:spPr>
          <c:marker>
            <c:symbol val="diamond"/>
            <c:size val="9"/>
            <c:spPr>
              <a:solidFill>
                <a:schemeClr val="tx1"/>
              </a:solidFill>
            </c:spPr>
          </c:marker>
          <c:cat>
            <c:numRef>
              <c:f>Liberton!$D$168:$N$168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Liberton!$D$171:$M$171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7B5A-4A89-A2A7-8851118C4424}"/>
            </c:ext>
          </c:extLst>
        </c:ser>
        <c:dLbls>
          <c:showLegendKey val="0"/>
          <c:showVal val="0"/>
          <c:showCatName val="0"/>
          <c:showSerName val="0"/>
          <c:showPercent val="0"/>
          <c:showBubbleSize val="0"/>
        </c:dLbls>
        <c:marker val="1"/>
        <c:smooth val="0"/>
        <c:axId val="345029664"/>
        <c:axId val="345030056"/>
      </c:lineChart>
      <c:catAx>
        <c:axId val="345029664"/>
        <c:scaling>
          <c:orientation val="minMax"/>
        </c:scaling>
        <c:delete val="0"/>
        <c:axPos val="b"/>
        <c:numFmt formatCode="General" sourceLinked="1"/>
        <c:majorTickMark val="out"/>
        <c:minorTickMark val="none"/>
        <c:tickLblPos val="nextTo"/>
        <c:crossAx val="345030056"/>
        <c:crosses val="autoZero"/>
        <c:auto val="1"/>
        <c:lblAlgn val="ctr"/>
        <c:lblOffset val="100"/>
        <c:noMultiLvlLbl val="0"/>
      </c:catAx>
      <c:valAx>
        <c:axId val="345030056"/>
        <c:scaling>
          <c:orientation val="minMax"/>
          <c:min val="40"/>
        </c:scaling>
        <c:delete val="0"/>
        <c:axPos val="l"/>
        <c:majorGridlines/>
        <c:numFmt formatCode="#,##0" sourceLinked="1"/>
        <c:majorTickMark val="out"/>
        <c:minorTickMark val="none"/>
        <c:tickLblPos val="nextTo"/>
        <c:crossAx val="345029664"/>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4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F972-4565-96B7-5A2B4CE2B6C9}"/>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45030840"/>
        <c:axId val="345031232"/>
      </c:lineChart>
      <c:catAx>
        <c:axId val="345030840"/>
        <c:scaling>
          <c:orientation val="minMax"/>
        </c:scaling>
        <c:delete val="0"/>
        <c:axPos val="b"/>
        <c:numFmt formatCode="General" sourceLinked="1"/>
        <c:majorTickMark val="out"/>
        <c:minorTickMark val="none"/>
        <c:tickLblPos val="nextTo"/>
        <c:crossAx val="345031232"/>
        <c:crosses val="autoZero"/>
        <c:auto val="1"/>
        <c:lblAlgn val="ctr"/>
        <c:lblOffset val="100"/>
        <c:noMultiLvlLbl val="0"/>
      </c:catAx>
      <c:valAx>
        <c:axId val="345031232"/>
        <c:scaling>
          <c:orientation val="minMax"/>
        </c:scaling>
        <c:delete val="0"/>
        <c:axPos val="l"/>
        <c:majorGridlines/>
        <c:numFmt formatCode="General" sourceLinked="1"/>
        <c:majorTickMark val="out"/>
        <c:minorTickMark val="none"/>
        <c:tickLblPos val="nextTo"/>
        <c:crossAx val="345030840"/>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5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square"/>
            <c:size val="7"/>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DA32-487F-A447-4D0A49A08F71}"/>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1"/>
          <c:order val="1"/>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1-DA32-487F-A447-4D0A49A08F71}"/>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2"/>
          <c:order val="2"/>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DA32-487F-A447-4D0A49A08F71}"/>
              </c:ext>
            </c:extLst>
          </c:dPt>
          <c:dPt>
            <c:idx val="5"/>
            <c:marker>
              <c:symbol val="circle"/>
              <c:size val="7"/>
            </c:marker>
            <c:bubble3D val="0"/>
            <c:extLst xmlns:c16r2="http://schemas.microsoft.com/office/drawing/2015/06/chart">
              <c:ext xmlns:c16="http://schemas.microsoft.com/office/drawing/2014/chart" uri="{C3380CC4-5D6E-409C-BE32-E72D297353CC}">
                <c16:uniqueId val="{00000003-DA32-487F-A447-4D0A49A08F71}"/>
              </c:ext>
            </c:extLst>
          </c:dPt>
          <c:dPt>
            <c:idx val="6"/>
            <c:marker>
              <c:symbol val="circle"/>
              <c:size val="7"/>
            </c:marker>
            <c:bubble3D val="0"/>
            <c:extLst xmlns:c16r2="http://schemas.microsoft.com/office/drawing/2015/06/chart">
              <c:ext xmlns:c16="http://schemas.microsoft.com/office/drawing/2014/chart" uri="{C3380CC4-5D6E-409C-BE32-E72D297353CC}">
                <c16:uniqueId val="{00000004-DA32-487F-A447-4D0A49A08F71}"/>
              </c:ext>
            </c:extLst>
          </c:dPt>
          <c:dPt>
            <c:idx val="7"/>
            <c:marker>
              <c:symbol val="circle"/>
              <c:size val="7"/>
            </c:marker>
            <c:bubble3D val="0"/>
            <c:extLst xmlns:c16r2="http://schemas.microsoft.com/office/drawing/2015/06/chart">
              <c:ext xmlns:c16="http://schemas.microsoft.com/office/drawing/2014/chart" uri="{C3380CC4-5D6E-409C-BE32-E72D297353CC}">
                <c16:uniqueId val="{00000005-DA32-487F-A447-4D0A49A08F71}"/>
              </c:ext>
            </c:extLst>
          </c:dPt>
          <c:dPt>
            <c:idx val="8"/>
            <c:marker>
              <c:symbol val="circle"/>
              <c:size val="7"/>
            </c:marker>
            <c:bubble3D val="0"/>
            <c:extLst xmlns:c16r2="http://schemas.microsoft.com/office/drawing/2015/06/chart">
              <c:ext xmlns:c16="http://schemas.microsoft.com/office/drawing/2014/chart" uri="{C3380CC4-5D6E-409C-BE32-E72D297353CC}">
                <c16:uniqueId val="{00000006-DA32-487F-A447-4D0A49A08F71}"/>
              </c:ext>
            </c:extLst>
          </c:dPt>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7-DA32-487F-A447-4D0A49A08F71}"/>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45032016"/>
        <c:axId val="345032408"/>
      </c:lineChart>
      <c:catAx>
        <c:axId val="345032016"/>
        <c:scaling>
          <c:orientation val="minMax"/>
        </c:scaling>
        <c:delete val="0"/>
        <c:axPos val="b"/>
        <c:numFmt formatCode="General" sourceLinked="1"/>
        <c:majorTickMark val="out"/>
        <c:minorTickMark val="none"/>
        <c:tickLblPos val="nextTo"/>
        <c:crossAx val="345032408"/>
        <c:crosses val="autoZero"/>
        <c:auto val="1"/>
        <c:lblAlgn val="ctr"/>
        <c:lblOffset val="100"/>
        <c:noMultiLvlLbl val="0"/>
      </c:catAx>
      <c:valAx>
        <c:axId val="345032408"/>
        <c:scaling>
          <c:orientation val="minMax"/>
        </c:scaling>
        <c:delete val="0"/>
        <c:axPos val="l"/>
        <c:majorGridlines/>
        <c:numFmt formatCode="General" sourceLinked="1"/>
        <c:majorTickMark val="out"/>
        <c:minorTickMark val="none"/>
        <c:tickLblPos val="nextTo"/>
        <c:crossAx val="345032016"/>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5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Longstone!$B$177:$B$190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Longstone!$J$177:$J$190</c:f>
              <c:numCache>
                <c:formatCode>General</c:formatCode>
                <c:ptCount val="14"/>
                <c:pt idx="0">
                  <c:v>244</c:v>
                </c:pt>
                <c:pt idx="1">
                  <c:v>230</c:v>
                </c:pt>
                <c:pt idx="2">
                  <c:v>204</c:v>
                </c:pt>
                <c:pt idx="3">
                  <c:v>198</c:v>
                </c:pt>
                <c:pt idx="4">
                  <c:v>191</c:v>
                </c:pt>
                <c:pt idx="5">
                  <c:v>188</c:v>
                </c:pt>
                <c:pt idx="6">
                  <c:v>201</c:v>
                </c:pt>
                <c:pt idx="7">
                  <c:v>203</c:v>
                </c:pt>
                <c:pt idx="8">
                  <c:v>209</c:v>
                </c:pt>
                <c:pt idx="9">
                  <c:v>222</c:v>
                </c:pt>
                <c:pt idx="10">
                  <c:v>242</c:v>
                </c:pt>
                <c:pt idx="11">
                  <c:v>247</c:v>
                </c:pt>
                <c:pt idx="12">
                  <c:v>257</c:v>
                </c:pt>
                <c:pt idx="13">
                  <c:v>250</c:v>
                </c:pt>
              </c:numCache>
            </c:numRef>
          </c:val>
          <c:smooth val="0"/>
          <c:extLst xmlns:c16r2="http://schemas.microsoft.com/office/drawing/2015/06/chart">
            <c:ext xmlns:c16="http://schemas.microsoft.com/office/drawing/2014/chart" uri="{C3380CC4-5D6E-409C-BE32-E72D297353CC}">
              <c16:uniqueId val="{00000000-AA67-4ED9-8311-D58554D62BF4}"/>
            </c:ext>
          </c:extLst>
        </c:ser>
        <c:dLbls>
          <c:showLegendKey val="0"/>
          <c:showVal val="0"/>
          <c:showCatName val="0"/>
          <c:showSerName val="0"/>
          <c:showPercent val="0"/>
          <c:showBubbleSize val="0"/>
        </c:dLbls>
        <c:marker val="1"/>
        <c:smooth val="0"/>
        <c:axId val="345033192"/>
        <c:axId val="345033584"/>
      </c:lineChart>
      <c:catAx>
        <c:axId val="345033192"/>
        <c:scaling>
          <c:orientation val="minMax"/>
        </c:scaling>
        <c:delete val="0"/>
        <c:axPos val="b"/>
        <c:numFmt formatCode="General" sourceLinked="1"/>
        <c:majorTickMark val="out"/>
        <c:minorTickMark val="none"/>
        <c:tickLblPos val="nextTo"/>
        <c:crossAx val="345033584"/>
        <c:crosses val="autoZero"/>
        <c:auto val="1"/>
        <c:lblAlgn val="ctr"/>
        <c:lblOffset val="100"/>
        <c:noMultiLvlLbl val="0"/>
      </c:catAx>
      <c:valAx>
        <c:axId val="345033584"/>
        <c:scaling>
          <c:orientation val="minMax"/>
        </c:scaling>
        <c:delete val="0"/>
        <c:axPos val="l"/>
        <c:majorGridlines/>
        <c:numFmt formatCode="General" sourceLinked="1"/>
        <c:majorTickMark val="out"/>
        <c:minorTickMark val="none"/>
        <c:tickLblPos val="nextTo"/>
        <c:crossAx val="345033192"/>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5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Longstone!$B$169</c:f>
              <c:strCache>
                <c:ptCount val="1"/>
                <c:pt idx="0">
                  <c:v>Catchment Births (5yrs Prior)</c:v>
                </c:pt>
              </c:strCache>
            </c:strRef>
          </c:tx>
          <c:marker>
            <c:symbol val="square"/>
            <c:size val="7"/>
          </c:marker>
          <c:cat>
            <c:numRef>
              <c:f>Longstone!$D$168:$N$168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Longstone!$D$169:$N$169</c:f>
              <c:numCache>
                <c:formatCode>#,##0</c:formatCode>
                <c:ptCount val="11"/>
                <c:pt idx="0">
                  <c:v>31</c:v>
                </c:pt>
                <c:pt idx="1">
                  <c:v>36</c:v>
                </c:pt>
                <c:pt idx="2">
                  <c:v>47</c:v>
                </c:pt>
                <c:pt idx="3">
                  <c:v>23</c:v>
                </c:pt>
                <c:pt idx="4">
                  <c:v>50</c:v>
                </c:pt>
                <c:pt idx="5">
                  <c:v>52</c:v>
                </c:pt>
                <c:pt idx="6">
                  <c:v>54</c:v>
                </c:pt>
                <c:pt idx="7">
                  <c:v>45</c:v>
                </c:pt>
                <c:pt idx="8">
                  <c:v>40</c:v>
                </c:pt>
                <c:pt idx="9">
                  <c:v>48</c:v>
                </c:pt>
                <c:pt idx="10">
                  <c:v>28</c:v>
                </c:pt>
              </c:numCache>
            </c:numRef>
          </c:val>
          <c:smooth val="0"/>
          <c:extLst xmlns:c16r2="http://schemas.microsoft.com/office/drawing/2015/06/chart">
            <c:ext xmlns:c16="http://schemas.microsoft.com/office/drawing/2014/chart" uri="{C3380CC4-5D6E-409C-BE32-E72D297353CC}">
              <c16:uniqueId val="{00000000-B2D1-4989-A4F2-1CBFDD8D08B3}"/>
            </c:ext>
          </c:extLst>
        </c:ser>
        <c:ser>
          <c:idx val="1"/>
          <c:order val="1"/>
          <c:tx>
            <c:strRef>
              <c:f>Longstone!$B$170</c:f>
              <c:strCache>
                <c:ptCount val="1"/>
                <c:pt idx="0">
                  <c:v>P1 ND Catchment Population (Actual)</c:v>
                </c:pt>
              </c:strCache>
            </c:strRef>
          </c:tx>
          <c:cat>
            <c:numRef>
              <c:f>Longstone!$D$168:$N$168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Longstone!$D$170:$I$170</c:f>
              <c:numCache>
                <c:formatCode>#,##0</c:formatCode>
                <c:ptCount val="6"/>
                <c:pt idx="0">
                  <c:v>38</c:v>
                </c:pt>
                <c:pt idx="1">
                  <c:v>42</c:v>
                </c:pt>
                <c:pt idx="2">
                  <c:v>48</c:v>
                </c:pt>
                <c:pt idx="3">
                  <c:v>32</c:v>
                </c:pt>
                <c:pt idx="4">
                  <c:v>34</c:v>
                </c:pt>
                <c:pt idx="5">
                  <c:v>37</c:v>
                </c:pt>
              </c:numCache>
            </c:numRef>
          </c:val>
          <c:smooth val="0"/>
          <c:extLst xmlns:c16r2="http://schemas.microsoft.com/office/drawing/2015/06/chart">
            <c:ext xmlns:c16="http://schemas.microsoft.com/office/drawing/2014/chart" uri="{C3380CC4-5D6E-409C-BE32-E72D297353CC}">
              <c16:uniqueId val="{00000001-B2D1-4989-A4F2-1CBFDD8D08B3}"/>
            </c:ext>
          </c:extLst>
        </c:ser>
        <c:ser>
          <c:idx val="2"/>
          <c:order val="2"/>
          <c:tx>
            <c:strRef>
              <c:f>Longstone!$B$172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B2D1-4989-A4F2-1CBFDD8D08B3}"/>
              </c:ext>
            </c:extLst>
          </c:dPt>
          <c:dPt>
            <c:idx val="5"/>
            <c:marker>
              <c:symbol val="none"/>
            </c:marker>
            <c:bubble3D val="0"/>
            <c:extLst xmlns:c16r2="http://schemas.microsoft.com/office/drawing/2015/06/chart">
              <c:ext xmlns:c16="http://schemas.microsoft.com/office/drawing/2014/chart" uri="{C3380CC4-5D6E-409C-BE32-E72D297353CC}">
                <c16:uniqueId val="{00000003-B2D1-4989-A4F2-1CBFDD8D08B3}"/>
              </c:ext>
            </c:extLst>
          </c:dPt>
          <c:dPt>
            <c:idx val="6"/>
            <c:marker>
              <c:symbol val="circle"/>
              <c:size val="7"/>
            </c:marker>
            <c:bubble3D val="0"/>
            <c:extLst xmlns:c16r2="http://schemas.microsoft.com/office/drawing/2015/06/chart">
              <c:ext xmlns:c16="http://schemas.microsoft.com/office/drawing/2014/chart" uri="{C3380CC4-5D6E-409C-BE32-E72D297353CC}">
                <c16:uniqueId val="{00000004-B2D1-4989-A4F2-1CBFDD8D08B3}"/>
              </c:ext>
            </c:extLst>
          </c:dPt>
          <c:dPt>
            <c:idx val="7"/>
            <c:marker>
              <c:symbol val="circle"/>
              <c:size val="7"/>
            </c:marker>
            <c:bubble3D val="0"/>
            <c:extLst xmlns:c16r2="http://schemas.microsoft.com/office/drawing/2015/06/chart">
              <c:ext xmlns:c16="http://schemas.microsoft.com/office/drawing/2014/chart" uri="{C3380CC4-5D6E-409C-BE32-E72D297353CC}">
                <c16:uniqueId val="{00000005-B2D1-4989-A4F2-1CBFDD8D08B3}"/>
              </c:ext>
            </c:extLst>
          </c:dPt>
          <c:dPt>
            <c:idx val="8"/>
            <c:marker>
              <c:symbol val="circle"/>
              <c:size val="7"/>
            </c:marker>
            <c:bubble3D val="0"/>
            <c:extLst xmlns:c16r2="http://schemas.microsoft.com/office/drawing/2015/06/chart">
              <c:ext xmlns:c16="http://schemas.microsoft.com/office/drawing/2014/chart" uri="{C3380CC4-5D6E-409C-BE32-E72D297353CC}">
                <c16:uniqueId val="{00000006-B2D1-4989-A4F2-1CBFDD8D08B3}"/>
              </c:ext>
            </c:extLst>
          </c:dPt>
          <c:dPt>
            <c:idx val="9"/>
            <c:marker>
              <c:symbol val="circle"/>
              <c:size val="7"/>
            </c:marker>
            <c:bubble3D val="0"/>
            <c:extLst xmlns:c16r2="http://schemas.microsoft.com/office/drawing/2015/06/chart">
              <c:ext xmlns:c16="http://schemas.microsoft.com/office/drawing/2014/chart" uri="{C3380CC4-5D6E-409C-BE32-E72D297353CC}">
                <c16:uniqueId val="{00000007-B2D1-4989-A4F2-1CBFDD8D08B3}"/>
              </c:ext>
            </c:extLst>
          </c:dPt>
          <c:dPt>
            <c:idx val="10"/>
            <c:marker>
              <c:symbol val="circle"/>
              <c:size val="7"/>
            </c:marker>
            <c:bubble3D val="0"/>
            <c:extLst xmlns:c16r2="http://schemas.microsoft.com/office/drawing/2015/06/chart">
              <c:ext xmlns:c16="http://schemas.microsoft.com/office/drawing/2014/chart" uri="{C3380CC4-5D6E-409C-BE32-E72D297353CC}">
                <c16:uniqueId val="{00000008-B2D1-4989-A4F2-1CBFDD8D08B3}"/>
              </c:ext>
            </c:extLst>
          </c:dPt>
          <c:cat>
            <c:numRef>
              <c:f>Longstone!$D$168:$N$168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Longstone!$D$172:$N$172</c:f>
              <c:numCache>
                <c:formatCode>General</c:formatCode>
                <c:ptCount val="11"/>
                <c:pt idx="5" formatCode="0">
                  <c:v>37</c:v>
                </c:pt>
                <c:pt idx="6" formatCode="0">
                  <c:v>0</c:v>
                </c:pt>
                <c:pt idx="7" formatCode="0">
                  <c:v>37</c:v>
                </c:pt>
                <c:pt idx="8" formatCode="0">
                  <c:v>21</c:v>
                </c:pt>
                <c:pt idx="9" formatCode="0">
                  <c:v>24</c:v>
                </c:pt>
                <c:pt idx="10" formatCode="0">
                  <c:v>26</c:v>
                </c:pt>
              </c:numCache>
            </c:numRef>
          </c:val>
          <c:smooth val="0"/>
          <c:extLst xmlns:c16r2="http://schemas.microsoft.com/office/drawing/2015/06/chart">
            <c:ext xmlns:c16="http://schemas.microsoft.com/office/drawing/2014/chart" uri="{C3380CC4-5D6E-409C-BE32-E72D297353CC}">
              <c16:uniqueId val="{00000009-B2D1-4989-A4F2-1CBFDD8D08B3}"/>
            </c:ext>
          </c:extLst>
        </c:ser>
        <c:ser>
          <c:idx val="3"/>
          <c:order val="3"/>
          <c:tx>
            <c:strRef>
              <c:f>Longstone!$B$171</c:f>
              <c:strCache>
                <c:ptCount val="1"/>
                <c:pt idx="0">
                  <c:v>Actual P1 Registrations (as of Jan 2016)</c:v>
                </c:pt>
              </c:strCache>
            </c:strRef>
          </c:tx>
          <c:spPr>
            <a:ln w="15875">
              <a:noFill/>
            </a:ln>
          </c:spPr>
          <c:marker>
            <c:symbol val="diamond"/>
            <c:size val="9"/>
            <c:spPr>
              <a:solidFill>
                <a:schemeClr val="tx1"/>
              </a:solidFill>
            </c:spPr>
          </c:marker>
          <c:cat>
            <c:numRef>
              <c:f>Longstone!$D$168:$N$168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Longstone!$D$171:$M$171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B2D1-4989-A4F2-1CBFDD8D08B3}"/>
            </c:ext>
          </c:extLst>
        </c:ser>
        <c:dLbls>
          <c:showLegendKey val="0"/>
          <c:showVal val="0"/>
          <c:showCatName val="0"/>
          <c:showSerName val="0"/>
          <c:showPercent val="0"/>
          <c:showBubbleSize val="0"/>
        </c:dLbls>
        <c:marker val="1"/>
        <c:smooth val="0"/>
        <c:axId val="345034368"/>
        <c:axId val="345034760"/>
      </c:lineChart>
      <c:catAx>
        <c:axId val="345034368"/>
        <c:scaling>
          <c:orientation val="minMax"/>
        </c:scaling>
        <c:delete val="0"/>
        <c:axPos val="b"/>
        <c:numFmt formatCode="General" sourceLinked="1"/>
        <c:majorTickMark val="out"/>
        <c:minorTickMark val="none"/>
        <c:tickLblPos val="nextTo"/>
        <c:crossAx val="345034760"/>
        <c:crosses val="autoZero"/>
        <c:auto val="1"/>
        <c:lblAlgn val="ctr"/>
        <c:lblOffset val="100"/>
        <c:noMultiLvlLbl val="0"/>
      </c:catAx>
      <c:valAx>
        <c:axId val="345034760"/>
        <c:scaling>
          <c:orientation val="minMax"/>
        </c:scaling>
        <c:delete val="0"/>
        <c:axPos val="l"/>
        <c:majorGridlines/>
        <c:numFmt formatCode="#,##0" sourceLinked="1"/>
        <c:majorTickMark val="out"/>
        <c:minorTickMark val="none"/>
        <c:tickLblPos val="nextTo"/>
        <c:crossAx val="345034368"/>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5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7D8F-43DC-AFC4-95D6AF65E725}"/>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46715264"/>
        <c:axId val="346715656"/>
      </c:lineChart>
      <c:catAx>
        <c:axId val="346715264"/>
        <c:scaling>
          <c:orientation val="minMax"/>
        </c:scaling>
        <c:delete val="0"/>
        <c:axPos val="b"/>
        <c:numFmt formatCode="General" sourceLinked="1"/>
        <c:majorTickMark val="out"/>
        <c:minorTickMark val="none"/>
        <c:tickLblPos val="nextTo"/>
        <c:crossAx val="346715656"/>
        <c:crosses val="autoZero"/>
        <c:auto val="1"/>
        <c:lblAlgn val="ctr"/>
        <c:lblOffset val="100"/>
        <c:noMultiLvlLbl val="0"/>
      </c:catAx>
      <c:valAx>
        <c:axId val="346715656"/>
        <c:scaling>
          <c:orientation val="minMax"/>
        </c:scaling>
        <c:delete val="0"/>
        <c:axPos val="l"/>
        <c:majorGridlines/>
        <c:numFmt formatCode="General" sourceLinked="1"/>
        <c:majorTickMark val="out"/>
        <c:minorTickMark val="none"/>
        <c:tickLblPos val="nextTo"/>
        <c:crossAx val="346715264"/>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5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square"/>
            <c:size val="7"/>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2DCB-4406-87CF-DAFD503137F3}"/>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1"/>
          <c:order val="1"/>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1-2DCB-4406-87CF-DAFD503137F3}"/>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2"/>
          <c:order val="2"/>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2DCB-4406-87CF-DAFD503137F3}"/>
              </c:ext>
            </c:extLst>
          </c:dPt>
          <c:dPt>
            <c:idx val="5"/>
            <c:marker>
              <c:symbol val="circle"/>
              <c:size val="7"/>
            </c:marker>
            <c:bubble3D val="0"/>
            <c:extLst xmlns:c16r2="http://schemas.microsoft.com/office/drawing/2015/06/chart">
              <c:ext xmlns:c16="http://schemas.microsoft.com/office/drawing/2014/chart" uri="{C3380CC4-5D6E-409C-BE32-E72D297353CC}">
                <c16:uniqueId val="{00000003-2DCB-4406-87CF-DAFD503137F3}"/>
              </c:ext>
            </c:extLst>
          </c:dPt>
          <c:dPt>
            <c:idx val="6"/>
            <c:marker>
              <c:symbol val="circle"/>
              <c:size val="7"/>
            </c:marker>
            <c:bubble3D val="0"/>
            <c:extLst xmlns:c16r2="http://schemas.microsoft.com/office/drawing/2015/06/chart">
              <c:ext xmlns:c16="http://schemas.microsoft.com/office/drawing/2014/chart" uri="{C3380CC4-5D6E-409C-BE32-E72D297353CC}">
                <c16:uniqueId val="{00000004-2DCB-4406-87CF-DAFD503137F3}"/>
              </c:ext>
            </c:extLst>
          </c:dPt>
          <c:dPt>
            <c:idx val="7"/>
            <c:marker>
              <c:symbol val="circle"/>
              <c:size val="7"/>
            </c:marker>
            <c:bubble3D val="0"/>
            <c:extLst xmlns:c16r2="http://schemas.microsoft.com/office/drawing/2015/06/chart">
              <c:ext xmlns:c16="http://schemas.microsoft.com/office/drawing/2014/chart" uri="{C3380CC4-5D6E-409C-BE32-E72D297353CC}">
                <c16:uniqueId val="{00000005-2DCB-4406-87CF-DAFD503137F3}"/>
              </c:ext>
            </c:extLst>
          </c:dPt>
          <c:dPt>
            <c:idx val="8"/>
            <c:marker>
              <c:symbol val="circle"/>
              <c:size val="7"/>
            </c:marker>
            <c:bubble3D val="0"/>
            <c:extLst xmlns:c16r2="http://schemas.microsoft.com/office/drawing/2015/06/chart">
              <c:ext xmlns:c16="http://schemas.microsoft.com/office/drawing/2014/chart" uri="{C3380CC4-5D6E-409C-BE32-E72D297353CC}">
                <c16:uniqueId val="{00000006-2DCB-4406-87CF-DAFD503137F3}"/>
              </c:ext>
            </c:extLst>
          </c:dPt>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7-2DCB-4406-87CF-DAFD503137F3}"/>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46716440"/>
        <c:axId val="346716832"/>
      </c:lineChart>
      <c:catAx>
        <c:axId val="346716440"/>
        <c:scaling>
          <c:orientation val="minMax"/>
        </c:scaling>
        <c:delete val="0"/>
        <c:axPos val="b"/>
        <c:numFmt formatCode="General" sourceLinked="1"/>
        <c:majorTickMark val="out"/>
        <c:minorTickMark val="none"/>
        <c:tickLblPos val="nextTo"/>
        <c:crossAx val="346716832"/>
        <c:crosses val="autoZero"/>
        <c:auto val="1"/>
        <c:lblAlgn val="ctr"/>
        <c:lblOffset val="100"/>
        <c:noMultiLvlLbl val="0"/>
      </c:catAx>
      <c:valAx>
        <c:axId val="346716832"/>
        <c:scaling>
          <c:orientation val="minMax"/>
        </c:scaling>
        <c:delete val="0"/>
        <c:axPos val="l"/>
        <c:majorGridlines/>
        <c:numFmt formatCode="General" sourceLinked="1"/>
        <c:majorTickMark val="out"/>
        <c:minorTickMark val="none"/>
        <c:tickLblPos val="nextTo"/>
        <c:crossAx val="346716440"/>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5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Lorne!$B$177:$B$190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Lorne!$J$177:$J$190</c:f>
              <c:numCache>
                <c:formatCode>General</c:formatCode>
                <c:ptCount val="14"/>
                <c:pt idx="0">
                  <c:v>225</c:v>
                </c:pt>
                <c:pt idx="1">
                  <c:v>233</c:v>
                </c:pt>
                <c:pt idx="2">
                  <c:v>240</c:v>
                </c:pt>
                <c:pt idx="3">
                  <c:v>253</c:v>
                </c:pt>
                <c:pt idx="4">
                  <c:v>253</c:v>
                </c:pt>
                <c:pt idx="5">
                  <c:v>234</c:v>
                </c:pt>
                <c:pt idx="6">
                  <c:v>245</c:v>
                </c:pt>
                <c:pt idx="7">
                  <c:v>256</c:v>
                </c:pt>
                <c:pt idx="8">
                  <c:v>240</c:v>
                </c:pt>
                <c:pt idx="9">
                  <c:v>246</c:v>
                </c:pt>
                <c:pt idx="10">
                  <c:v>242</c:v>
                </c:pt>
                <c:pt idx="11">
                  <c:v>242</c:v>
                </c:pt>
                <c:pt idx="12">
                  <c:v>231</c:v>
                </c:pt>
                <c:pt idx="13">
                  <c:v>234</c:v>
                </c:pt>
              </c:numCache>
            </c:numRef>
          </c:val>
          <c:smooth val="0"/>
          <c:extLst xmlns:c16r2="http://schemas.microsoft.com/office/drawing/2015/06/chart">
            <c:ext xmlns:c16="http://schemas.microsoft.com/office/drawing/2014/chart" uri="{C3380CC4-5D6E-409C-BE32-E72D297353CC}">
              <c16:uniqueId val="{00000000-749F-4B13-9B40-897A98AA22BD}"/>
            </c:ext>
          </c:extLst>
        </c:ser>
        <c:dLbls>
          <c:showLegendKey val="0"/>
          <c:showVal val="0"/>
          <c:showCatName val="0"/>
          <c:showSerName val="0"/>
          <c:showPercent val="0"/>
          <c:showBubbleSize val="0"/>
        </c:dLbls>
        <c:marker val="1"/>
        <c:smooth val="0"/>
        <c:axId val="346717616"/>
        <c:axId val="346718008"/>
      </c:lineChart>
      <c:catAx>
        <c:axId val="346717616"/>
        <c:scaling>
          <c:orientation val="minMax"/>
        </c:scaling>
        <c:delete val="0"/>
        <c:axPos val="b"/>
        <c:numFmt formatCode="General" sourceLinked="1"/>
        <c:majorTickMark val="out"/>
        <c:minorTickMark val="none"/>
        <c:tickLblPos val="nextTo"/>
        <c:crossAx val="346718008"/>
        <c:crosses val="autoZero"/>
        <c:auto val="1"/>
        <c:lblAlgn val="ctr"/>
        <c:lblOffset val="100"/>
        <c:noMultiLvlLbl val="0"/>
      </c:catAx>
      <c:valAx>
        <c:axId val="346718008"/>
        <c:scaling>
          <c:orientation val="minMax"/>
        </c:scaling>
        <c:delete val="0"/>
        <c:axPos val="l"/>
        <c:majorGridlines/>
        <c:numFmt formatCode="General" sourceLinked="1"/>
        <c:majorTickMark val="out"/>
        <c:minorTickMark val="none"/>
        <c:tickLblPos val="nextTo"/>
        <c:crossAx val="346717616"/>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5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Lorne!$B$169</c:f>
              <c:strCache>
                <c:ptCount val="1"/>
                <c:pt idx="0">
                  <c:v>Catchment Births (5yrs Prior)</c:v>
                </c:pt>
              </c:strCache>
            </c:strRef>
          </c:tx>
          <c:marker>
            <c:symbol val="square"/>
            <c:size val="7"/>
          </c:marker>
          <c:cat>
            <c:numRef>
              <c:f>Lorne!$D$168:$N$168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Lorne!$D$169:$N$169</c:f>
              <c:numCache>
                <c:formatCode>#,##0</c:formatCode>
                <c:ptCount val="11"/>
                <c:pt idx="0">
                  <c:v>62</c:v>
                </c:pt>
                <c:pt idx="1">
                  <c:v>61</c:v>
                </c:pt>
                <c:pt idx="2">
                  <c:v>84</c:v>
                </c:pt>
                <c:pt idx="3">
                  <c:v>78</c:v>
                </c:pt>
                <c:pt idx="4">
                  <c:v>78</c:v>
                </c:pt>
                <c:pt idx="5">
                  <c:v>90</c:v>
                </c:pt>
                <c:pt idx="6">
                  <c:v>101</c:v>
                </c:pt>
                <c:pt idx="7">
                  <c:v>84</c:v>
                </c:pt>
                <c:pt idx="8">
                  <c:v>84</c:v>
                </c:pt>
                <c:pt idx="9">
                  <c:v>95</c:v>
                </c:pt>
                <c:pt idx="10">
                  <c:v>77</c:v>
                </c:pt>
              </c:numCache>
            </c:numRef>
          </c:val>
          <c:smooth val="0"/>
          <c:extLst xmlns:c16r2="http://schemas.microsoft.com/office/drawing/2015/06/chart">
            <c:ext xmlns:c16="http://schemas.microsoft.com/office/drawing/2014/chart" uri="{C3380CC4-5D6E-409C-BE32-E72D297353CC}">
              <c16:uniqueId val="{00000000-6911-404F-B7E0-78D3399D61D0}"/>
            </c:ext>
          </c:extLst>
        </c:ser>
        <c:ser>
          <c:idx val="1"/>
          <c:order val="1"/>
          <c:tx>
            <c:strRef>
              <c:f>Lorne!$B$170</c:f>
              <c:strCache>
                <c:ptCount val="1"/>
                <c:pt idx="0">
                  <c:v>P1 ND Catchment Population (Actual)</c:v>
                </c:pt>
              </c:strCache>
            </c:strRef>
          </c:tx>
          <c:cat>
            <c:numRef>
              <c:f>Lorne!$D$168:$N$168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Lorne!$D$170:$I$170</c:f>
              <c:numCache>
                <c:formatCode>#,##0</c:formatCode>
                <c:ptCount val="6"/>
                <c:pt idx="0">
                  <c:v>25</c:v>
                </c:pt>
                <c:pt idx="1">
                  <c:v>39</c:v>
                </c:pt>
                <c:pt idx="2">
                  <c:v>32</c:v>
                </c:pt>
                <c:pt idx="3">
                  <c:v>42</c:v>
                </c:pt>
                <c:pt idx="4">
                  <c:v>30</c:v>
                </c:pt>
                <c:pt idx="5">
                  <c:v>31</c:v>
                </c:pt>
              </c:numCache>
            </c:numRef>
          </c:val>
          <c:smooth val="0"/>
          <c:extLst xmlns:c16r2="http://schemas.microsoft.com/office/drawing/2015/06/chart">
            <c:ext xmlns:c16="http://schemas.microsoft.com/office/drawing/2014/chart" uri="{C3380CC4-5D6E-409C-BE32-E72D297353CC}">
              <c16:uniqueId val="{00000001-6911-404F-B7E0-78D3399D61D0}"/>
            </c:ext>
          </c:extLst>
        </c:ser>
        <c:ser>
          <c:idx val="2"/>
          <c:order val="2"/>
          <c:tx>
            <c:strRef>
              <c:f>Lorne!$B$172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6911-404F-B7E0-78D3399D61D0}"/>
              </c:ext>
            </c:extLst>
          </c:dPt>
          <c:dPt>
            <c:idx val="5"/>
            <c:marker>
              <c:symbol val="none"/>
            </c:marker>
            <c:bubble3D val="0"/>
            <c:extLst xmlns:c16r2="http://schemas.microsoft.com/office/drawing/2015/06/chart">
              <c:ext xmlns:c16="http://schemas.microsoft.com/office/drawing/2014/chart" uri="{C3380CC4-5D6E-409C-BE32-E72D297353CC}">
                <c16:uniqueId val="{00000003-6911-404F-B7E0-78D3399D61D0}"/>
              </c:ext>
            </c:extLst>
          </c:dPt>
          <c:dPt>
            <c:idx val="6"/>
            <c:marker>
              <c:symbol val="circle"/>
              <c:size val="7"/>
            </c:marker>
            <c:bubble3D val="0"/>
            <c:extLst xmlns:c16r2="http://schemas.microsoft.com/office/drawing/2015/06/chart">
              <c:ext xmlns:c16="http://schemas.microsoft.com/office/drawing/2014/chart" uri="{C3380CC4-5D6E-409C-BE32-E72D297353CC}">
                <c16:uniqueId val="{00000004-6911-404F-B7E0-78D3399D61D0}"/>
              </c:ext>
            </c:extLst>
          </c:dPt>
          <c:dPt>
            <c:idx val="7"/>
            <c:marker>
              <c:symbol val="circle"/>
              <c:size val="7"/>
            </c:marker>
            <c:bubble3D val="0"/>
            <c:extLst xmlns:c16r2="http://schemas.microsoft.com/office/drawing/2015/06/chart">
              <c:ext xmlns:c16="http://schemas.microsoft.com/office/drawing/2014/chart" uri="{C3380CC4-5D6E-409C-BE32-E72D297353CC}">
                <c16:uniqueId val="{00000005-6911-404F-B7E0-78D3399D61D0}"/>
              </c:ext>
            </c:extLst>
          </c:dPt>
          <c:dPt>
            <c:idx val="8"/>
            <c:marker>
              <c:symbol val="circle"/>
              <c:size val="7"/>
            </c:marker>
            <c:bubble3D val="0"/>
            <c:extLst xmlns:c16r2="http://schemas.microsoft.com/office/drawing/2015/06/chart">
              <c:ext xmlns:c16="http://schemas.microsoft.com/office/drawing/2014/chart" uri="{C3380CC4-5D6E-409C-BE32-E72D297353CC}">
                <c16:uniqueId val="{00000006-6911-404F-B7E0-78D3399D61D0}"/>
              </c:ext>
            </c:extLst>
          </c:dPt>
          <c:dPt>
            <c:idx val="9"/>
            <c:marker>
              <c:symbol val="circle"/>
              <c:size val="7"/>
            </c:marker>
            <c:bubble3D val="0"/>
            <c:extLst xmlns:c16r2="http://schemas.microsoft.com/office/drawing/2015/06/chart">
              <c:ext xmlns:c16="http://schemas.microsoft.com/office/drawing/2014/chart" uri="{C3380CC4-5D6E-409C-BE32-E72D297353CC}">
                <c16:uniqueId val="{00000007-6911-404F-B7E0-78D3399D61D0}"/>
              </c:ext>
            </c:extLst>
          </c:dPt>
          <c:dPt>
            <c:idx val="10"/>
            <c:marker>
              <c:symbol val="circle"/>
              <c:size val="7"/>
            </c:marker>
            <c:bubble3D val="0"/>
            <c:extLst xmlns:c16r2="http://schemas.microsoft.com/office/drawing/2015/06/chart">
              <c:ext xmlns:c16="http://schemas.microsoft.com/office/drawing/2014/chart" uri="{C3380CC4-5D6E-409C-BE32-E72D297353CC}">
                <c16:uniqueId val="{00000008-6911-404F-B7E0-78D3399D61D0}"/>
              </c:ext>
            </c:extLst>
          </c:dPt>
          <c:cat>
            <c:numRef>
              <c:f>Lorne!$D$168:$N$168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Lorne!$D$172:$N$172</c:f>
              <c:numCache>
                <c:formatCode>General</c:formatCode>
                <c:ptCount val="11"/>
                <c:pt idx="5" formatCode="0">
                  <c:v>31</c:v>
                </c:pt>
                <c:pt idx="6" formatCode="0">
                  <c:v>0</c:v>
                </c:pt>
                <c:pt idx="7" formatCode="0">
                  <c:v>36</c:v>
                </c:pt>
                <c:pt idx="8" formatCode="0">
                  <c:v>28</c:v>
                </c:pt>
                <c:pt idx="9" formatCode="0">
                  <c:v>28</c:v>
                </c:pt>
                <c:pt idx="10" formatCode="0">
                  <c:v>24</c:v>
                </c:pt>
              </c:numCache>
            </c:numRef>
          </c:val>
          <c:smooth val="0"/>
          <c:extLst xmlns:c16r2="http://schemas.microsoft.com/office/drawing/2015/06/chart">
            <c:ext xmlns:c16="http://schemas.microsoft.com/office/drawing/2014/chart" uri="{C3380CC4-5D6E-409C-BE32-E72D297353CC}">
              <c16:uniqueId val="{00000009-6911-404F-B7E0-78D3399D61D0}"/>
            </c:ext>
          </c:extLst>
        </c:ser>
        <c:ser>
          <c:idx val="3"/>
          <c:order val="3"/>
          <c:tx>
            <c:strRef>
              <c:f>Lorne!$B$171</c:f>
              <c:strCache>
                <c:ptCount val="1"/>
                <c:pt idx="0">
                  <c:v>Actual P1 Registrations (as of Jan 2016)</c:v>
                </c:pt>
              </c:strCache>
            </c:strRef>
          </c:tx>
          <c:spPr>
            <a:ln w="15875">
              <a:noFill/>
            </a:ln>
          </c:spPr>
          <c:marker>
            <c:symbol val="diamond"/>
            <c:size val="9"/>
            <c:spPr>
              <a:solidFill>
                <a:schemeClr val="tx1"/>
              </a:solidFill>
            </c:spPr>
          </c:marker>
          <c:cat>
            <c:numRef>
              <c:f>Lorne!$D$168:$N$168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Lorne!$D$171:$M$171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6911-404F-B7E0-78D3399D61D0}"/>
            </c:ext>
          </c:extLst>
        </c:ser>
        <c:dLbls>
          <c:showLegendKey val="0"/>
          <c:showVal val="0"/>
          <c:showCatName val="0"/>
          <c:showSerName val="0"/>
          <c:showPercent val="0"/>
          <c:showBubbleSize val="0"/>
        </c:dLbls>
        <c:marker val="1"/>
        <c:smooth val="0"/>
        <c:axId val="346718792"/>
        <c:axId val="346719184"/>
      </c:lineChart>
      <c:catAx>
        <c:axId val="346718792"/>
        <c:scaling>
          <c:orientation val="minMax"/>
        </c:scaling>
        <c:delete val="0"/>
        <c:axPos val="b"/>
        <c:numFmt formatCode="General" sourceLinked="1"/>
        <c:majorTickMark val="out"/>
        <c:minorTickMark val="none"/>
        <c:tickLblPos val="nextTo"/>
        <c:crossAx val="346719184"/>
        <c:crosses val="autoZero"/>
        <c:auto val="1"/>
        <c:lblAlgn val="ctr"/>
        <c:lblOffset val="100"/>
        <c:noMultiLvlLbl val="0"/>
      </c:catAx>
      <c:valAx>
        <c:axId val="346719184"/>
        <c:scaling>
          <c:orientation val="minMax"/>
        </c:scaling>
        <c:delete val="0"/>
        <c:axPos val="l"/>
        <c:majorGridlines/>
        <c:numFmt formatCode="#,##0" sourceLinked="1"/>
        <c:majorTickMark val="out"/>
        <c:minorTickMark val="none"/>
        <c:tickLblPos val="nextTo"/>
        <c:crossAx val="346718792"/>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5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8C4E-4E4B-80CC-A6B4F392D1F1}"/>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46719968"/>
        <c:axId val="346720360"/>
      </c:lineChart>
      <c:catAx>
        <c:axId val="346719968"/>
        <c:scaling>
          <c:orientation val="minMax"/>
        </c:scaling>
        <c:delete val="0"/>
        <c:axPos val="b"/>
        <c:numFmt formatCode="General" sourceLinked="1"/>
        <c:majorTickMark val="out"/>
        <c:minorTickMark val="none"/>
        <c:tickLblPos val="nextTo"/>
        <c:crossAx val="346720360"/>
        <c:crosses val="autoZero"/>
        <c:auto val="1"/>
        <c:lblAlgn val="ctr"/>
        <c:lblOffset val="100"/>
        <c:noMultiLvlLbl val="0"/>
      </c:catAx>
      <c:valAx>
        <c:axId val="346720360"/>
        <c:scaling>
          <c:orientation val="minMax"/>
        </c:scaling>
        <c:delete val="0"/>
        <c:axPos val="l"/>
        <c:majorGridlines/>
        <c:numFmt formatCode="General" sourceLinked="1"/>
        <c:majorTickMark val="out"/>
        <c:minorTickMark val="none"/>
        <c:tickLblPos val="nextTo"/>
        <c:crossAx val="346719968"/>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5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square"/>
            <c:size val="7"/>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AE2A-40FB-9984-680A27F2E6FF}"/>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1"/>
          <c:order val="1"/>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1-AE2A-40FB-9984-680A27F2E6FF}"/>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2"/>
          <c:order val="2"/>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AE2A-40FB-9984-680A27F2E6FF}"/>
              </c:ext>
            </c:extLst>
          </c:dPt>
          <c:dPt>
            <c:idx val="5"/>
            <c:marker>
              <c:symbol val="circle"/>
              <c:size val="7"/>
            </c:marker>
            <c:bubble3D val="0"/>
            <c:extLst xmlns:c16r2="http://schemas.microsoft.com/office/drawing/2015/06/chart">
              <c:ext xmlns:c16="http://schemas.microsoft.com/office/drawing/2014/chart" uri="{C3380CC4-5D6E-409C-BE32-E72D297353CC}">
                <c16:uniqueId val="{00000003-AE2A-40FB-9984-680A27F2E6FF}"/>
              </c:ext>
            </c:extLst>
          </c:dPt>
          <c:dPt>
            <c:idx val="6"/>
            <c:marker>
              <c:symbol val="circle"/>
              <c:size val="7"/>
            </c:marker>
            <c:bubble3D val="0"/>
            <c:extLst xmlns:c16r2="http://schemas.microsoft.com/office/drawing/2015/06/chart">
              <c:ext xmlns:c16="http://schemas.microsoft.com/office/drawing/2014/chart" uri="{C3380CC4-5D6E-409C-BE32-E72D297353CC}">
                <c16:uniqueId val="{00000004-AE2A-40FB-9984-680A27F2E6FF}"/>
              </c:ext>
            </c:extLst>
          </c:dPt>
          <c:dPt>
            <c:idx val="7"/>
            <c:marker>
              <c:symbol val="circle"/>
              <c:size val="7"/>
            </c:marker>
            <c:bubble3D val="0"/>
            <c:extLst xmlns:c16r2="http://schemas.microsoft.com/office/drawing/2015/06/chart">
              <c:ext xmlns:c16="http://schemas.microsoft.com/office/drawing/2014/chart" uri="{C3380CC4-5D6E-409C-BE32-E72D297353CC}">
                <c16:uniqueId val="{00000005-AE2A-40FB-9984-680A27F2E6FF}"/>
              </c:ext>
            </c:extLst>
          </c:dPt>
          <c:dPt>
            <c:idx val="8"/>
            <c:marker>
              <c:symbol val="circle"/>
              <c:size val="7"/>
            </c:marker>
            <c:bubble3D val="0"/>
            <c:extLst xmlns:c16r2="http://schemas.microsoft.com/office/drawing/2015/06/chart">
              <c:ext xmlns:c16="http://schemas.microsoft.com/office/drawing/2014/chart" uri="{C3380CC4-5D6E-409C-BE32-E72D297353CC}">
                <c16:uniqueId val="{00000006-AE2A-40FB-9984-680A27F2E6FF}"/>
              </c:ext>
            </c:extLst>
          </c:dPt>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7-AE2A-40FB-9984-680A27F2E6FF}"/>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46721144"/>
        <c:axId val="346721536"/>
      </c:lineChart>
      <c:catAx>
        <c:axId val="346721144"/>
        <c:scaling>
          <c:orientation val="minMax"/>
        </c:scaling>
        <c:delete val="0"/>
        <c:axPos val="b"/>
        <c:numFmt formatCode="General" sourceLinked="1"/>
        <c:majorTickMark val="out"/>
        <c:minorTickMark val="none"/>
        <c:tickLblPos val="nextTo"/>
        <c:crossAx val="346721536"/>
        <c:crosses val="autoZero"/>
        <c:auto val="1"/>
        <c:lblAlgn val="ctr"/>
        <c:lblOffset val="100"/>
        <c:noMultiLvlLbl val="0"/>
      </c:catAx>
      <c:valAx>
        <c:axId val="346721536"/>
        <c:scaling>
          <c:orientation val="minMax"/>
        </c:scaling>
        <c:delete val="0"/>
        <c:axPos val="l"/>
        <c:majorGridlines/>
        <c:numFmt formatCode="General" sourceLinked="1"/>
        <c:majorTickMark val="out"/>
        <c:minorTickMark val="none"/>
        <c:tickLblPos val="nextTo"/>
        <c:crossAx val="346721144"/>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5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Murrayburn!$B$177:$B$190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Murrayburn!$J$177:$J$190</c:f>
              <c:numCache>
                <c:formatCode>General</c:formatCode>
                <c:ptCount val="14"/>
                <c:pt idx="0">
                  <c:v>347</c:v>
                </c:pt>
                <c:pt idx="1">
                  <c:v>318</c:v>
                </c:pt>
                <c:pt idx="2">
                  <c:v>310</c:v>
                </c:pt>
                <c:pt idx="3">
                  <c:v>326</c:v>
                </c:pt>
                <c:pt idx="4">
                  <c:v>296</c:v>
                </c:pt>
                <c:pt idx="5">
                  <c:v>294</c:v>
                </c:pt>
                <c:pt idx="6">
                  <c:v>295</c:v>
                </c:pt>
                <c:pt idx="7">
                  <c:v>357</c:v>
                </c:pt>
                <c:pt idx="8">
                  <c:v>352</c:v>
                </c:pt>
                <c:pt idx="9">
                  <c:v>377</c:v>
                </c:pt>
                <c:pt idx="10">
                  <c:v>365</c:v>
                </c:pt>
                <c:pt idx="11">
                  <c:v>364</c:v>
                </c:pt>
                <c:pt idx="12">
                  <c:v>370</c:v>
                </c:pt>
                <c:pt idx="13">
                  <c:v>374</c:v>
                </c:pt>
              </c:numCache>
            </c:numRef>
          </c:val>
          <c:smooth val="0"/>
          <c:extLst xmlns:c16r2="http://schemas.microsoft.com/office/drawing/2015/06/chart">
            <c:ext xmlns:c16="http://schemas.microsoft.com/office/drawing/2014/chart" uri="{C3380CC4-5D6E-409C-BE32-E72D297353CC}">
              <c16:uniqueId val="{00000000-FC15-4526-922E-3086ED32332D}"/>
            </c:ext>
          </c:extLst>
        </c:ser>
        <c:dLbls>
          <c:showLegendKey val="0"/>
          <c:showVal val="0"/>
          <c:showCatName val="0"/>
          <c:showSerName val="0"/>
          <c:showPercent val="0"/>
          <c:showBubbleSize val="0"/>
        </c:dLbls>
        <c:marker val="1"/>
        <c:smooth val="0"/>
        <c:axId val="346722320"/>
        <c:axId val="346722712"/>
      </c:lineChart>
      <c:catAx>
        <c:axId val="346722320"/>
        <c:scaling>
          <c:orientation val="minMax"/>
        </c:scaling>
        <c:delete val="0"/>
        <c:axPos val="b"/>
        <c:numFmt formatCode="General" sourceLinked="1"/>
        <c:majorTickMark val="out"/>
        <c:minorTickMark val="none"/>
        <c:tickLblPos val="nextTo"/>
        <c:crossAx val="346722712"/>
        <c:crosses val="autoZero"/>
        <c:auto val="1"/>
        <c:lblAlgn val="ctr"/>
        <c:lblOffset val="100"/>
        <c:noMultiLvlLbl val="0"/>
      </c:catAx>
      <c:valAx>
        <c:axId val="346722712"/>
        <c:scaling>
          <c:orientation val="minMax"/>
        </c:scaling>
        <c:delete val="0"/>
        <c:axPos val="l"/>
        <c:majorGridlines/>
        <c:numFmt formatCode="General" sourceLinked="1"/>
        <c:majorTickMark val="out"/>
        <c:minorTickMark val="none"/>
        <c:tickLblPos val="nextTo"/>
        <c:crossAx val="346722320"/>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6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Murrayburn!$B$169</c:f>
              <c:strCache>
                <c:ptCount val="1"/>
                <c:pt idx="0">
                  <c:v>Catchment Births (5yrs Prior)</c:v>
                </c:pt>
              </c:strCache>
            </c:strRef>
          </c:tx>
          <c:marker>
            <c:symbol val="square"/>
            <c:size val="7"/>
          </c:marker>
          <c:cat>
            <c:numRef>
              <c:f>Murrayburn!$D$168:$N$168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Murrayburn!$D$169:$N$169</c:f>
              <c:numCache>
                <c:formatCode>#,##0</c:formatCode>
                <c:ptCount val="11"/>
                <c:pt idx="0">
                  <c:v>44</c:v>
                </c:pt>
                <c:pt idx="1">
                  <c:v>40</c:v>
                </c:pt>
                <c:pt idx="2">
                  <c:v>61</c:v>
                </c:pt>
                <c:pt idx="3">
                  <c:v>59</c:v>
                </c:pt>
                <c:pt idx="4">
                  <c:v>56</c:v>
                </c:pt>
                <c:pt idx="5">
                  <c:v>44</c:v>
                </c:pt>
                <c:pt idx="6">
                  <c:v>52</c:v>
                </c:pt>
                <c:pt idx="7">
                  <c:v>54</c:v>
                </c:pt>
                <c:pt idx="8">
                  <c:v>55</c:v>
                </c:pt>
                <c:pt idx="9">
                  <c:v>64</c:v>
                </c:pt>
                <c:pt idx="10">
                  <c:v>53</c:v>
                </c:pt>
              </c:numCache>
            </c:numRef>
          </c:val>
          <c:smooth val="0"/>
          <c:extLst xmlns:c16r2="http://schemas.microsoft.com/office/drawing/2015/06/chart">
            <c:ext xmlns:c16="http://schemas.microsoft.com/office/drawing/2014/chart" uri="{C3380CC4-5D6E-409C-BE32-E72D297353CC}">
              <c16:uniqueId val="{00000000-271B-4565-AAC7-A74F8582288A}"/>
            </c:ext>
          </c:extLst>
        </c:ser>
        <c:ser>
          <c:idx val="1"/>
          <c:order val="1"/>
          <c:tx>
            <c:strRef>
              <c:f>Murrayburn!$B$170</c:f>
              <c:strCache>
                <c:ptCount val="1"/>
                <c:pt idx="0">
                  <c:v>P1 ND Catchment Population (Actual)</c:v>
                </c:pt>
              </c:strCache>
            </c:strRef>
          </c:tx>
          <c:cat>
            <c:numRef>
              <c:f>Murrayburn!$D$168:$N$168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Murrayburn!$D$170:$I$170</c:f>
              <c:numCache>
                <c:formatCode>#,##0</c:formatCode>
                <c:ptCount val="6"/>
                <c:pt idx="0">
                  <c:v>37</c:v>
                </c:pt>
                <c:pt idx="1">
                  <c:v>45</c:v>
                </c:pt>
                <c:pt idx="2">
                  <c:v>48</c:v>
                </c:pt>
                <c:pt idx="3">
                  <c:v>45</c:v>
                </c:pt>
                <c:pt idx="4">
                  <c:v>56</c:v>
                </c:pt>
                <c:pt idx="5">
                  <c:v>38</c:v>
                </c:pt>
              </c:numCache>
            </c:numRef>
          </c:val>
          <c:smooth val="0"/>
          <c:extLst xmlns:c16r2="http://schemas.microsoft.com/office/drawing/2015/06/chart">
            <c:ext xmlns:c16="http://schemas.microsoft.com/office/drawing/2014/chart" uri="{C3380CC4-5D6E-409C-BE32-E72D297353CC}">
              <c16:uniqueId val="{00000001-271B-4565-AAC7-A74F8582288A}"/>
            </c:ext>
          </c:extLst>
        </c:ser>
        <c:ser>
          <c:idx val="2"/>
          <c:order val="2"/>
          <c:tx>
            <c:strRef>
              <c:f>Murrayburn!$B$172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271B-4565-AAC7-A74F8582288A}"/>
              </c:ext>
            </c:extLst>
          </c:dPt>
          <c:dPt>
            <c:idx val="5"/>
            <c:marker>
              <c:symbol val="none"/>
            </c:marker>
            <c:bubble3D val="0"/>
            <c:extLst xmlns:c16r2="http://schemas.microsoft.com/office/drawing/2015/06/chart">
              <c:ext xmlns:c16="http://schemas.microsoft.com/office/drawing/2014/chart" uri="{C3380CC4-5D6E-409C-BE32-E72D297353CC}">
                <c16:uniqueId val="{00000003-271B-4565-AAC7-A74F8582288A}"/>
              </c:ext>
            </c:extLst>
          </c:dPt>
          <c:dPt>
            <c:idx val="6"/>
            <c:marker>
              <c:symbol val="circle"/>
              <c:size val="7"/>
            </c:marker>
            <c:bubble3D val="0"/>
            <c:extLst xmlns:c16r2="http://schemas.microsoft.com/office/drawing/2015/06/chart">
              <c:ext xmlns:c16="http://schemas.microsoft.com/office/drawing/2014/chart" uri="{C3380CC4-5D6E-409C-BE32-E72D297353CC}">
                <c16:uniqueId val="{00000004-271B-4565-AAC7-A74F8582288A}"/>
              </c:ext>
            </c:extLst>
          </c:dPt>
          <c:dPt>
            <c:idx val="7"/>
            <c:marker>
              <c:symbol val="circle"/>
              <c:size val="7"/>
            </c:marker>
            <c:bubble3D val="0"/>
            <c:extLst xmlns:c16r2="http://schemas.microsoft.com/office/drawing/2015/06/chart">
              <c:ext xmlns:c16="http://schemas.microsoft.com/office/drawing/2014/chart" uri="{C3380CC4-5D6E-409C-BE32-E72D297353CC}">
                <c16:uniqueId val="{00000005-271B-4565-AAC7-A74F8582288A}"/>
              </c:ext>
            </c:extLst>
          </c:dPt>
          <c:dPt>
            <c:idx val="8"/>
            <c:marker>
              <c:symbol val="circle"/>
              <c:size val="7"/>
            </c:marker>
            <c:bubble3D val="0"/>
            <c:extLst xmlns:c16r2="http://schemas.microsoft.com/office/drawing/2015/06/chart">
              <c:ext xmlns:c16="http://schemas.microsoft.com/office/drawing/2014/chart" uri="{C3380CC4-5D6E-409C-BE32-E72D297353CC}">
                <c16:uniqueId val="{00000006-271B-4565-AAC7-A74F8582288A}"/>
              </c:ext>
            </c:extLst>
          </c:dPt>
          <c:dPt>
            <c:idx val="9"/>
            <c:marker>
              <c:symbol val="circle"/>
              <c:size val="7"/>
            </c:marker>
            <c:bubble3D val="0"/>
            <c:extLst xmlns:c16r2="http://schemas.microsoft.com/office/drawing/2015/06/chart">
              <c:ext xmlns:c16="http://schemas.microsoft.com/office/drawing/2014/chart" uri="{C3380CC4-5D6E-409C-BE32-E72D297353CC}">
                <c16:uniqueId val="{00000007-271B-4565-AAC7-A74F8582288A}"/>
              </c:ext>
            </c:extLst>
          </c:dPt>
          <c:dPt>
            <c:idx val="10"/>
            <c:marker>
              <c:symbol val="circle"/>
              <c:size val="7"/>
            </c:marker>
            <c:bubble3D val="0"/>
            <c:extLst xmlns:c16r2="http://schemas.microsoft.com/office/drawing/2015/06/chart">
              <c:ext xmlns:c16="http://schemas.microsoft.com/office/drawing/2014/chart" uri="{C3380CC4-5D6E-409C-BE32-E72D297353CC}">
                <c16:uniqueId val="{00000008-271B-4565-AAC7-A74F8582288A}"/>
              </c:ext>
            </c:extLst>
          </c:dPt>
          <c:cat>
            <c:numRef>
              <c:f>Murrayburn!$D$168:$N$168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Murrayburn!$D$172:$N$172</c:f>
              <c:numCache>
                <c:formatCode>General</c:formatCode>
                <c:ptCount val="11"/>
                <c:pt idx="5" formatCode="0">
                  <c:v>38</c:v>
                </c:pt>
                <c:pt idx="6" formatCode="0">
                  <c:v>0</c:v>
                </c:pt>
                <c:pt idx="7" formatCode="0">
                  <c:v>55</c:v>
                </c:pt>
                <c:pt idx="8" formatCode="0">
                  <c:v>45</c:v>
                </c:pt>
                <c:pt idx="9" formatCode="0">
                  <c:v>33</c:v>
                </c:pt>
                <c:pt idx="10" formatCode="0">
                  <c:v>49</c:v>
                </c:pt>
              </c:numCache>
            </c:numRef>
          </c:val>
          <c:smooth val="0"/>
          <c:extLst xmlns:c16r2="http://schemas.microsoft.com/office/drawing/2015/06/chart">
            <c:ext xmlns:c16="http://schemas.microsoft.com/office/drawing/2014/chart" uri="{C3380CC4-5D6E-409C-BE32-E72D297353CC}">
              <c16:uniqueId val="{00000009-271B-4565-AAC7-A74F8582288A}"/>
            </c:ext>
          </c:extLst>
        </c:ser>
        <c:ser>
          <c:idx val="3"/>
          <c:order val="3"/>
          <c:tx>
            <c:strRef>
              <c:f>Murrayburn!$B$171</c:f>
              <c:strCache>
                <c:ptCount val="1"/>
                <c:pt idx="0">
                  <c:v>Actual P1 Registrations (as of Jan 2016)</c:v>
                </c:pt>
              </c:strCache>
            </c:strRef>
          </c:tx>
          <c:spPr>
            <a:ln w="15875">
              <a:noFill/>
            </a:ln>
          </c:spPr>
          <c:marker>
            <c:symbol val="diamond"/>
            <c:size val="9"/>
            <c:spPr>
              <a:solidFill>
                <a:schemeClr val="tx1"/>
              </a:solidFill>
            </c:spPr>
          </c:marker>
          <c:cat>
            <c:numRef>
              <c:f>Murrayburn!$D$168:$N$168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Murrayburn!$D$171:$M$171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271B-4565-AAC7-A74F8582288A}"/>
            </c:ext>
          </c:extLst>
        </c:ser>
        <c:dLbls>
          <c:showLegendKey val="0"/>
          <c:showVal val="0"/>
          <c:showCatName val="0"/>
          <c:showSerName val="0"/>
          <c:showPercent val="0"/>
          <c:showBubbleSize val="0"/>
        </c:dLbls>
        <c:marker val="1"/>
        <c:smooth val="0"/>
        <c:axId val="346723496"/>
        <c:axId val="346723888"/>
      </c:lineChart>
      <c:catAx>
        <c:axId val="346723496"/>
        <c:scaling>
          <c:orientation val="minMax"/>
        </c:scaling>
        <c:delete val="0"/>
        <c:axPos val="b"/>
        <c:numFmt formatCode="General" sourceLinked="1"/>
        <c:majorTickMark val="out"/>
        <c:minorTickMark val="none"/>
        <c:tickLblPos val="nextTo"/>
        <c:crossAx val="346723888"/>
        <c:crosses val="autoZero"/>
        <c:auto val="1"/>
        <c:lblAlgn val="ctr"/>
        <c:lblOffset val="100"/>
        <c:noMultiLvlLbl val="0"/>
      </c:catAx>
      <c:valAx>
        <c:axId val="346723888"/>
        <c:scaling>
          <c:orientation val="minMax"/>
        </c:scaling>
        <c:delete val="0"/>
        <c:axPos val="l"/>
        <c:majorGridlines/>
        <c:numFmt formatCode="#,##0" sourceLinked="1"/>
        <c:majorTickMark val="out"/>
        <c:minorTickMark val="none"/>
        <c:tickLblPos val="nextTo"/>
        <c:crossAx val="346723496"/>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6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0717-438A-9DAF-15C7200C0BDD}"/>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46724672"/>
        <c:axId val="346725064"/>
      </c:lineChart>
      <c:catAx>
        <c:axId val="346724672"/>
        <c:scaling>
          <c:orientation val="minMax"/>
        </c:scaling>
        <c:delete val="0"/>
        <c:axPos val="b"/>
        <c:numFmt formatCode="General" sourceLinked="1"/>
        <c:majorTickMark val="out"/>
        <c:minorTickMark val="none"/>
        <c:tickLblPos val="nextTo"/>
        <c:crossAx val="346725064"/>
        <c:crosses val="autoZero"/>
        <c:auto val="1"/>
        <c:lblAlgn val="ctr"/>
        <c:lblOffset val="100"/>
        <c:noMultiLvlLbl val="0"/>
      </c:catAx>
      <c:valAx>
        <c:axId val="346725064"/>
        <c:scaling>
          <c:orientation val="minMax"/>
        </c:scaling>
        <c:delete val="0"/>
        <c:axPos val="l"/>
        <c:majorGridlines/>
        <c:numFmt formatCode="General" sourceLinked="1"/>
        <c:majorTickMark val="out"/>
        <c:minorTickMark val="none"/>
        <c:tickLblPos val="nextTo"/>
        <c:crossAx val="346724672"/>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6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square"/>
            <c:size val="7"/>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EE4C-462B-98CE-91FED3E56F8C}"/>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1"/>
          <c:order val="1"/>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1-EE4C-462B-98CE-91FED3E56F8C}"/>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2"/>
          <c:order val="2"/>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EE4C-462B-98CE-91FED3E56F8C}"/>
              </c:ext>
            </c:extLst>
          </c:dPt>
          <c:dPt>
            <c:idx val="5"/>
            <c:marker>
              <c:symbol val="circle"/>
              <c:size val="7"/>
            </c:marker>
            <c:bubble3D val="0"/>
            <c:extLst xmlns:c16r2="http://schemas.microsoft.com/office/drawing/2015/06/chart">
              <c:ext xmlns:c16="http://schemas.microsoft.com/office/drawing/2014/chart" uri="{C3380CC4-5D6E-409C-BE32-E72D297353CC}">
                <c16:uniqueId val="{00000003-EE4C-462B-98CE-91FED3E56F8C}"/>
              </c:ext>
            </c:extLst>
          </c:dPt>
          <c:dPt>
            <c:idx val="6"/>
            <c:marker>
              <c:symbol val="circle"/>
              <c:size val="7"/>
            </c:marker>
            <c:bubble3D val="0"/>
            <c:extLst xmlns:c16r2="http://schemas.microsoft.com/office/drawing/2015/06/chart">
              <c:ext xmlns:c16="http://schemas.microsoft.com/office/drawing/2014/chart" uri="{C3380CC4-5D6E-409C-BE32-E72D297353CC}">
                <c16:uniqueId val="{00000004-EE4C-462B-98CE-91FED3E56F8C}"/>
              </c:ext>
            </c:extLst>
          </c:dPt>
          <c:dPt>
            <c:idx val="7"/>
            <c:marker>
              <c:symbol val="circle"/>
              <c:size val="7"/>
            </c:marker>
            <c:bubble3D val="0"/>
            <c:extLst xmlns:c16r2="http://schemas.microsoft.com/office/drawing/2015/06/chart">
              <c:ext xmlns:c16="http://schemas.microsoft.com/office/drawing/2014/chart" uri="{C3380CC4-5D6E-409C-BE32-E72D297353CC}">
                <c16:uniqueId val="{00000005-EE4C-462B-98CE-91FED3E56F8C}"/>
              </c:ext>
            </c:extLst>
          </c:dPt>
          <c:dPt>
            <c:idx val="8"/>
            <c:marker>
              <c:symbol val="circle"/>
              <c:size val="7"/>
            </c:marker>
            <c:bubble3D val="0"/>
            <c:extLst xmlns:c16r2="http://schemas.microsoft.com/office/drawing/2015/06/chart">
              <c:ext xmlns:c16="http://schemas.microsoft.com/office/drawing/2014/chart" uri="{C3380CC4-5D6E-409C-BE32-E72D297353CC}">
                <c16:uniqueId val="{00000006-EE4C-462B-98CE-91FED3E56F8C}"/>
              </c:ext>
            </c:extLst>
          </c:dPt>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7-EE4C-462B-98CE-91FED3E56F8C}"/>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46725848"/>
        <c:axId val="346726240"/>
      </c:lineChart>
      <c:catAx>
        <c:axId val="346725848"/>
        <c:scaling>
          <c:orientation val="minMax"/>
        </c:scaling>
        <c:delete val="0"/>
        <c:axPos val="b"/>
        <c:numFmt formatCode="General" sourceLinked="1"/>
        <c:majorTickMark val="out"/>
        <c:minorTickMark val="none"/>
        <c:tickLblPos val="nextTo"/>
        <c:crossAx val="346726240"/>
        <c:crosses val="autoZero"/>
        <c:auto val="1"/>
        <c:lblAlgn val="ctr"/>
        <c:lblOffset val="100"/>
        <c:noMultiLvlLbl val="0"/>
      </c:catAx>
      <c:valAx>
        <c:axId val="346726240"/>
        <c:scaling>
          <c:orientation val="minMax"/>
        </c:scaling>
        <c:delete val="0"/>
        <c:axPos val="l"/>
        <c:majorGridlines/>
        <c:numFmt formatCode="General" sourceLinked="1"/>
        <c:majorTickMark val="out"/>
        <c:minorTickMark val="none"/>
        <c:tickLblPos val="nextTo"/>
        <c:crossAx val="346725848"/>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6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'Nether Currie'!$B$177:$B$190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'Nether Currie'!$J$177:$J$190</c:f>
              <c:numCache>
                <c:formatCode>General</c:formatCode>
                <c:ptCount val="14"/>
                <c:pt idx="0">
                  <c:v>193</c:v>
                </c:pt>
                <c:pt idx="1">
                  <c:v>191</c:v>
                </c:pt>
                <c:pt idx="2">
                  <c:v>191</c:v>
                </c:pt>
                <c:pt idx="3">
                  <c:v>175</c:v>
                </c:pt>
                <c:pt idx="4">
                  <c:v>166</c:v>
                </c:pt>
                <c:pt idx="5">
                  <c:v>175</c:v>
                </c:pt>
                <c:pt idx="6">
                  <c:v>163</c:v>
                </c:pt>
                <c:pt idx="7">
                  <c:v>157</c:v>
                </c:pt>
                <c:pt idx="8">
                  <c:v>162</c:v>
                </c:pt>
                <c:pt idx="9">
                  <c:v>159</c:v>
                </c:pt>
                <c:pt idx="10">
                  <c:v>148</c:v>
                </c:pt>
                <c:pt idx="11">
                  <c:v>159</c:v>
                </c:pt>
                <c:pt idx="12">
                  <c:v>149</c:v>
                </c:pt>
                <c:pt idx="13">
                  <c:v>150</c:v>
                </c:pt>
              </c:numCache>
            </c:numRef>
          </c:val>
          <c:smooth val="0"/>
          <c:extLst xmlns:c16r2="http://schemas.microsoft.com/office/drawing/2015/06/chart">
            <c:ext xmlns:c16="http://schemas.microsoft.com/office/drawing/2014/chart" uri="{C3380CC4-5D6E-409C-BE32-E72D297353CC}">
              <c16:uniqueId val="{00000000-85D6-47E5-AC7B-2BC973B392E6}"/>
            </c:ext>
          </c:extLst>
        </c:ser>
        <c:dLbls>
          <c:showLegendKey val="0"/>
          <c:showVal val="0"/>
          <c:showCatName val="0"/>
          <c:showSerName val="0"/>
          <c:showPercent val="0"/>
          <c:showBubbleSize val="0"/>
        </c:dLbls>
        <c:marker val="1"/>
        <c:smooth val="0"/>
        <c:axId val="346727024"/>
        <c:axId val="346727416"/>
      </c:lineChart>
      <c:catAx>
        <c:axId val="346727024"/>
        <c:scaling>
          <c:orientation val="minMax"/>
        </c:scaling>
        <c:delete val="0"/>
        <c:axPos val="b"/>
        <c:numFmt formatCode="General" sourceLinked="1"/>
        <c:majorTickMark val="out"/>
        <c:minorTickMark val="none"/>
        <c:tickLblPos val="nextTo"/>
        <c:crossAx val="346727416"/>
        <c:crosses val="autoZero"/>
        <c:auto val="1"/>
        <c:lblAlgn val="ctr"/>
        <c:lblOffset val="100"/>
        <c:noMultiLvlLbl val="0"/>
      </c:catAx>
      <c:valAx>
        <c:axId val="346727416"/>
        <c:scaling>
          <c:orientation val="minMax"/>
        </c:scaling>
        <c:delete val="0"/>
        <c:axPos val="l"/>
        <c:majorGridlines/>
        <c:numFmt formatCode="General" sourceLinked="1"/>
        <c:majorTickMark val="out"/>
        <c:minorTickMark val="none"/>
        <c:tickLblPos val="nextTo"/>
        <c:crossAx val="346727024"/>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6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'Nether Currie'!$B$169</c:f>
              <c:strCache>
                <c:ptCount val="1"/>
                <c:pt idx="0">
                  <c:v>Catchment Births (5yrs Prior)</c:v>
                </c:pt>
              </c:strCache>
            </c:strRef>
          </c:tx>
          <c:marker>
            <c:symbol val="square"/>
            <c:size val="7"/>
          </c:marker>
          <c:cat>
            <c:numRef>
              <c:f>'Nether Currie'!$D$168:$N$168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'Nether Currie'!$D$169:$N$169</c:f>
              <c:numCache>
                <c:formatCode>#,##0</c:formatCode>
                <c:ptCount val="11"/>
                <c:pt idx="0">
                  <c:v>14</c:v>
                </c:pt>
                <c:pt idx="1">
                  <c:v>10</c:v>
                </c:pt>
                <c:pt idx="2">
                  <c:v>5</c:v>
                </c:pt>
                <c:pt idx="3">
                  <c:v>16</c:v>
                </c:pt>
                <c:pt idx="4">
                  <c:v>9</c:v>
                </c:pt>
                <c:pt idx="5">
                  <c:v>8</c:v>
                </c:pt>
                <c:pt idx="6">
                  <c:v>9</c:v>
                </c:pt>
                <c:pt idx="7">
                  <c:v>8</c:v>
                </c:pt>
                <c:pt idx="8">
                  <c:v>9</c:v>
                </c:pt>
                <c:pt idx="9">
                  <c:v>11</c:v>
                </c:pt>
                <c:pt idx="10">
                  <c:v>9</c:v>
                </c:pt>
              </c:numCache>
            </c:numRef>
          </c:val>
          <c:smooth val="0"/>
          <c:extLst xmlns:c16r2="http://schemas.microsoft.com/office/drawing/2015/06/chart">
            <c:ext xmlns:c16="http://schemas.microsoft.com/office/drawing/2014/chart" uri="{C3380CC4-5D6E-409C-BE32-E72D297353CC}">
              <c16:uniqueId val="{00000000-5FE3-4FA8-AC6A-25DE2AEF7B4E}"/>
            </c:ext>
          </c:extLst>
        </c:ser>
        <c:ser>
          <c:idx val="1"/>
          <c:order val="1"/>
          <c:tx>
            <c:strRef>
              <c:f>'Nether Currie'!$B$170</c:f>
              <c:strCache>
                <c:ptCount val="1"/>
                <c:pt idx="0">
                  <c:v>P1 ND Catchment Population (Actual)</c:v>
                </c:pt>
              </c:strCache>
            </c:strRef>
          </c:tx>
          <c:cat>
            <c:numRef>
              <c:f>'Nether Currie'!$D$168:$N$168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'Nether Currie'!$D$170:$I$170</c:f>
              <c:numCache>
                <c:formatCode>#,##0</c:formatCode>
                <c:ptCount val="6"/>
                <c:pt idx="0">
                  <c:v>16</c:v>
                </c:pt>
                <c:pt idx="1">
                  <c:v>19</c:v>
                </c:pt>
                <c:pt idx="2">
                  <c:v>9</c:v>
                </c:pt>
                <c:pt idx="3">
                  <c:v>16</c:v>
                </c:pt>
                <c:pt idx="4">
                  <c:v>19</c:v>
                </c:pt>
                <c:pt idx="5">
                  <c:v>6</c:v>
                </c:pt>
              </c:numCache>
            </c:numRef>
          </c:val>
          <c:smooth val="0"/>
          <c:extLst xmlns:c16r2="http://schemas.microsoft.com/office/drawing/2015/06/chart">
            <c:ext xmlns:c16="http://schemas.microsoft.com/office/drawing/2014/chart" uri="{C3380CC4-5D6E-409C-BE32-E72D297353CC}">
              <c16:uniqueId val="{00000001-5FE3-4FA8-AC6A-25DE2AEF7B4E}"/>
            </c:ext>
          </c:extLst>
        </c:ser>
        <c:ser>
          <c:idx val="2"/>
          <c:order val="2"/>
          <c:tx>
            <c:strRef>
              <c:f>'Nether Currie'!$B$172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5FE3-4FA8-AC6A-25DE2AEF7B4E}"/>
              </c:ext>
            </c:extLst>
          </c:dPt>
          <c:dPt>
            <c:idx val="5"/>
            <c:marker>
              <c:symbol val="none"/>
            </c:marker>
            <c:bubble3D val="0"/>
            <c:extLst xmlns:c16r2="http://schemas.microsoft.com/office/drawing/2015/06/chart">
              <c:ext xmlns:c16="http://schemas.microsoft.com/office/drawing/2014/chart" uri="{C3380CC4-5D6E-409C-BE32-E72D297353CC}">
                <c16:uniqueId val="{00000003-5FE3-4FA8-AC6A-25DE2AEF7B4E}"/>
              </c:ext>
            </c:extLst>
          </c:dPt>
          <c:dPt>
            <c:idx val="6"/>
            <c:marker>
              <c:symbol val="circle"/>
              <c:size val="7"/>
            </c:marker>
            <c:bubble3D val="0"/>
            <c:extLst xmlns:c16r2="http://schemas.microsoft.com/office/drawing/2015/06/chart">
              <c:ext xmlns:c16="http://schemas.microsoft.com/office/drawing/2014/chart" uri="{C3380CC4-5D6E-409C-BE32-E72D297353CC}">
                <c16:uniqueId val="{00000004-5FE3-4FA8-AC6A-25DE2AEF7B4E}"/>
              </c:ext>
            </c:extLst>
          </c:dPt>
          <c:dPt>
            <c:idx val="7"/>
            <c:marker>
              <c:symbol val="circle"/>
              <c:size val="7"/>
            </c:marker>
            <c:bubble3D val="0"/>
            <c:extLst xmlns:c16r2="http://schemas.microsoft.com/office/drawing/2015/06/chart">
              <c:ext xmlns:c16="http://schemas.microsoft.com/office/drawing/2014/chart" uri="{C3380CC4-5D6E-409C-BE32-E72D297353CC}">
                <c16:uniqueId val="{00000005-5FE3-4FA8-AC6A-25DE2AEF7B4E}"/>
              </c:ext>
            </c:extLst>
          </c:dPt>
          <c:dPt>
            <c:idx val="8"/>
            <c:marker>
              <c:symbol val="circle"/>
              <c:size val="7"/>
            </c:marker>
            <c:bubble3D val="0"/>
            <c:extLst xmlns:c16r2="http://schemas.microsoft.com/office/drawing/2015/06/chart">
              <c:ext xmlns:c16="http://schemas.microsoft.com/office/drawing/2014/chart" uri="{C3380CC4-5D6E-409C-BE32-E72D297353CC}">
                <c16:uniqueId val="{00000006-5FE3-4FA8-AC6A-25DE2AEF7B4E}"/>
              </c:ext>
            </c:extLst>
          </c:dPt>
          <c:dPt>
            <c:idx val="9"/>
            <c:marker>
              <c:symbol val="circle"/>
              <c:size val="7"/>
            </c:marker>
            <c:bubble3D val="0"/>
            <c:extLst xmlns:c16r2="http://schemas.microsoft.com/office/drawing/2015/06/chart">
              <c:ext xmlns:c16="http://schemas.microsoft.com/office/drawing/2014/chart" uri="{C3380CC4-5D6E-409C-BE32-E72D297353CC}">
                <c16:uniqueId val="{00000007-5FE3-4FA8-AC6A-25DE2AEF7B4E}"/>
              </c:ext>
            </c:extLst>
          </c:dPt>
          <c:dPt>
            <c:idx val="10"/>
            <c:marker>
              <c:symbol val="circle"/>
              <c:size val="7"/>
            </c:marker>
            <c:bubble3D val="0"/>
            <c:extLst xmlns:c16r2="http://schemas.microsoft.com/office/drawing/2015/06/chart">
              <c:ext xmlns:c16="http://schemas.microsoft.com/office/drawing/2014/chart" uri="{C3380CC4-5D6E-409C-BE32-E72D297353CC}">
                <c16:uniqueId val="{00000008-5FE3-4FA8-AC6A-25DE2AEF7B4E}"/>
              </c:ext>
            </c:extLst>
          </c:dPt>
          <c:cat>
            <c:numRef>
              <c:f>'Nether Currie'!$D$168:$N$168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'Nether Currie'!$D$172:$N$172</c:f>
              <c:numCache>
                <c:formatCode>General</c:formatCode>
                <c:ptCount val="11"/>
                <c:pt idx="5" formatCode="0">
                  <c:v>6</c:v>
                </c:pt>
                <c:pt idx="6" formatCode="0">
                  <c:v>0</c:v>
                </c:pt>
                <c:pt idx="7" formatCode="0">
                  <c:v>18</c:v>
                </c:pt>
                <c:pt idx="8" formatCode="0">
                  <c:v>15</c:v>
                </c:pt>
                <c:pt idx="9" formatCode="0">
                  <c:v>15</c:v>
                </c:pt>
                <c:pt idx="10" formatCode="0">
                  <c:v>21</c:v>
                </c:pt>
              </c:numCache>
            </c:numRef>
          </c:val>
          <c:smooth val="0"/>
          <c:extLst xmlns:c16r2="http://schemas.microsoft.com/office/drawing/2015/06/chart">
            <c:ext xmlns:c16="http://schemas.microsoft.com/office/drawing/2014/chart" uri="{C3380CC4-5D6E-409C-BE32-E72D297353CC}">
              <c16:uniqueId val="{00000009-5FE3-4FA8-AC6A-25DE2AEF7B4E}"/>
            </c:ext>
          </c:extLst>
        </c:ser>
        <c:ser>
          <c:idx val="3"/>
          <c:order val="3"/>
          <c:tx>
            <c:strRef>
              <c:f>'Nether Currie'!$B$171</c:f>
              <c:strCache>
                <c:ptCount val="1"/>
                <c:pt idx="0">
                  <c:v>Actual P1 Registrations (as of Jan 2016)</c:v>
                </c:pt>
              </c:strCache>
            </c:strRef>
          </c:tx>
          <c:spPr>
            <a:ln w="15875">
              <a:noFill/>
            </a:ln>
          </c:spPr>
          <c:marker>
            <c:symbol val="diamond"/>
            <c:size val="9"/>
            <c:spPr>
              <a:solidFill>
                <a:schemeClr val="tx1"/>
              </a:solidFill>
            </c:spPr>
          </c:marker>
          <c:cat>
            <c:numRef>
              <c:f>'Nether Currie'!$D$168:$N$168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'Nether Currie'!$D$171:$M$171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5FE3-4FA8-AC6A-25DE2AEF7B4E}"/>
            </c:ext>
          </c:extLst>
        </c:ser>
        <c:dLbls>
          <c:showLegendKey val="0"/>
          <c:showVal val="0"/>
          <c:showCatName val="0"/>
          <c:showSerName val="0"/>
          <c:showPercent val="0"/>
          <c:showBubbleSize val="0"/>
        </c:dLbls>
        <c:marker val="1"/>
        <c:smooth val="0"/>
        <c:axId val="346728200"/>
        <c:axId val="346728592"/>
      </c:lineChart>
      <c:catAx>
        <c:axId val="346728200"/>
        <c:scaling>
          <c:orientation val="minMax"/>
        </c:scaling>
        <c:delete val="0"/>
        <c:axPos val="b"/>
        <c:numFmt formatCode="General" sourceLinked="1"/>
        <c:majorTickMark val="out"/>
        <c:minorTickMark val="none"/>
        <c:tickLblPos val="nextTo"/>
        <c:crossAx val="346728592"/>
        <c:crosses val="autoZero"/>
        <c:auto val="1"/>
        <c:lblAlgn val="ctr"/>
        <c:lblOffset val="100"/>
        <c:noMultiLvlLbl val="0"/>
      </c:catAx>
      <c:valAx>
        <c:axId val="346728592"/>
        <c:scaling>
          <c:orientation val="minMax"/>
        </c:scaling>
        <c:delete val="0"/>
        <c:axPos val="l"/>
        <c:majorGridlines/>
        <c:numFmt formatCode="#,##0" sourceLinked="1"/>
        <c:majorTickMark val="out"/>
        <c:minorTickMark val="none"/>
        <c:tickLblPos val="nextTo"/>
        <c:crossAx val="346728200"/>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6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A95C-4219-865E-61169366ED62}"/>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46729376"/>
        <c:axId val="346729768"/>
      </c:lineChart>
      <c:catAx>
        <c:axId val="346729376"/>
        <c:scaling>
          <c:orientation val="minMax"/>
        </c:scaling>
        <c:delete val="0"/>
        <c:axPos val="b"/>
        <c:numFmt formatCode="General" sourceLinked="1"/>
        <c:majorTickMark val="out"/>
        <c:minorTickMark val="none"/>
        <c:tickLblPos val="nextTo"/>
        <c:crossAx val="346729768"/>
        <c:crosses val="autoZero"/>
        <c:auto val="1"/>
        <c:lblAlgn val="ctr"/>
        <c:lblOffset val="100"/>
        <c:noMultiLvlLbl val="0"/>
      </c:catAx>
      <c:valAx>
        <c:axId val="346729768"/>
        <c:scaling>
          <c:orientation val="minMax"/>
        </c:scaling>
        <c:delete val="0"/>
        <c:axPos val="l"/>
        <c:majorGridlines/>
        <c:numFmt formatCode="General" sourceLinked="1"/>
        <c:majorTickMark val="out"/>
        <c:minorTickMark val="none"/>
        <c:tickLblPos val="nextTo"/>
        <c:crossAx val="346729376"/>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6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square"/>
            <c:size val="7"/>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7FBC-49AE-B2A1-D595FDD3EB1C}"/>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1"/>
          <c:order val="1"/>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1-7FBC-49AE-B2A1-D595FDD3EB1C}"/>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2"/>
          <c:order val="2"/>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7FBC-49AE-B2A1-D595FDD3EB1C}"/>
              </c:ext>
            </c:extLst>
          </c:dPt>
          <c:dPt>
            <c:idx val="5"/>
            <c:marker>
              <c:symbol val="circle"/>
              <c:size val="7"/>
            </c:marker>
            <c:bubble3D val="0"/>
            <c:extLst xmlns:c16r2="http://schemas.microsoft.com/office/drawing/2015/06/chart">
              <c:ext xmlns:c16="http://schemas.microsoft.com/office/drawing/2014/chart" uri="{C3380CC4-5D6E-409C-BE32-E72D297353CC}">
                <c16:uniqueId val="{00000003-7FBC-49AE-B2A1-D595FDD3EB1C}"/>
              </c:ext>
            </c:extLst>
          </c:dPt>
          <c:dPt>
            <c:idx val="6"/>
            <c:marker>
              <c:symbol val="circle"/>
              <c:size val="7"/>
            </c:marker>
            <c:bubble3D val="0"/>
            <c:extLst xmlns:c16r2="http://schemas.microsoft.com/office/drawing/2015/06/chart">
              <c:ext xmlns:c16="http://schemas.microsoft.com/office/drawing/2014/chart" uri="{C3380CC4-5D6E-409C-BE32-E72D297353CC}">
                <c16:uniqueId val="{00000004-7FBC-49AE-B2A1-D595FDD3EB1C}"/>
              </c:ext>
            </c:extLst>
          </c:dPt>
          <c:dPt>
            <c:idx val="7"/>
            <c:marker>
              <c:symbol val="circle"/>
              <c:size val="7"/>
            </c:marker>
            <c:bubble3D val="0"/>
            <c:extLst xmlns:c16r2="http://schemas.microsoft.com/office/drawing/2015/06/chart">
              <c:ext xmlns:c16="http://schemas.microsoft.com/office/drawing/2014/chart" uri="{C3380CC4-5D6E-409C-BE32-E72D297353CC}">
                <c16:uniqueId val="{00000005-7FBC-49AE-B2A1-D595FDD3EB1C}"/>
              </c:ext>
            </c:extLst>
          </c:dPt>
          <c:dPt>
            <c:idx val="8"/>
            <c:marker>
              <c:symbol val="circle"/>
              <c:size val="7"/>
            </c:marker>
            <c:bubble3D val="0"/>
            <c:extLst xmlns:c16r2="http://schemas.microsoft.com/office/drawing/2015/06/chart">
              <c:ext xmlns:c16="http://schemas.microsoft.com/office/drawing/2014/chart" uri="{C3380CC4-5D6E-409C-BE32-E72D297353CC}">
                <c16:uniqueId val="{00000006-7FBC-49AE-B2A1-D595FDD3EB1C}"/>
              </c:ext>
            </c:extLst>
          </c:dPt>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7-7FBC-49AE-B2A1-D595FDD3EB1C}"/>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46730552"/>
        <c:axId val="347321104"/>
      </c:lineChart>
      <c:catAx>
        <c:axId val="346730552"/>
        <c:scaling>
          <c:orientation val="minMax"/>
        </c:scaling>
        <c:delete val="0"/>
        <c:axPos val="b"/>
        <c:numFmt formatCode="General" sourceLinked="1"/>
        <c:majorTickMark val="out"/>
        <c:minorTickMark val="none"/>
        <c:tickLblPos val="nextTo"/>
        <c:crossAx val="347321104"/>
        <c:crosses val="autoZero"/>
        <c:auto val="1"/>
        <c:lblAlgn val="ctr"/>
        <c:lblOffset val="100"/>
        <c:noMultiLvlLbl val="0"/>
      </c:catAx>
      <c:valAx>
        <c:axId val="347321104"/>
        <c:scaling>
          <c:orientation val="minMax"/>
        </c:scaling>
        <c:delete val="0"/>
        <c:axPos val="l"/>
        <c:majorGridlines/>
        <c:numFmt formatCode="General" sourceLinked="1"/>
        <c:majorTickMark val="out"/>
        <c:minorTickMark val="none"/>
        <c:tickLblPos val="nextTo"/>
        <c:crossAx val="346730552"/>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6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Newcraighall!$B$177:$B$190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Newcraighall!$J$177:$J$190</c:f>
              <c:numCache>
                <c:formatCode>General</c:formatCode>
                <c:ptCount val="14"/>
                <c:pt idx="0">
                  <c:v>136</c:v>
                </c:pt>
                <c:pt idx="1">
                  <c:v>128</c:v>
                </c:pt>
                <c:pt idx="2">
                  <c:v>125</c:v>
                </c:pt>
                <c:pt idx="3">
                  <c:v>127</c:v>
                </c:pt>
                <c:pt idx="4">
                  <c:v>102</c:v>
                </c:pt>
                <c:pt idx="5">
                  <c:v>107</c:v>
                </c:pt>
                <c:pt idx="6">
                  <c:v>119</c:v>
                </c:pt>
                <c:pt idx="7">
                  <c:v>122</c:v>
                </c:pt>
                <c:pt idx="8">
                  <c:v>124</c:v>
                </c:pt>
                <c:pt idx="9">
                  <c:v>113</c:v>
                </c:pt>
                <c:pt idx="10">
                  <c:v>117</c:v>
                </c:pt>
                <c:pt idx="11">
                  <c:v>109</c:v>
                </c:pt>
                <c:pt idx="12">
                  <c:v>110</c:v>
                </c:pt>
                <c:pt idx="13">
                  <c:v>116</c:v>
                </c:pt>
              </c:numCache>
            </c:numRef>
          </c:val>
          <c:smooth val="0"/>
          <c:extLst xmlns:c16r2="http://schemas.microsoft.com/office/drawing/2015/06/chart">
            <c:ext xmlns:c16="http://schemas.microsoft.com/office/drawing/2014/chart" uri="{C3380CC4-5D6E-409C-BE32-E72D297353CC}">
              <c16:uniqueId val="{00000000-286C-4B7D-8C2D-A9D28B78A8E0}"/>
            </c:ext>
          </c:extLst>
        </c:ser>
        <c:dLbls>
          <c:showLegendKey val="0"/>
          <c:showVal val="0"/>
          <c:showCatName val="0"/>
          <c:showSerName val="0"/>
          <c:showPercent val="0"/>
          <c:showBubbleSize val="0"/>
        </c:dLbls>
        <c:marker val="1"/>
        <c:smooth val="0"/>
        <c:axId val="347321888"/>
        <c:axId val="347322280"/>
      </c:lineChart>
      <c:catAx>
        <c:axId val="347321888"/>
        <c:scaling>
          <c:orientation val="minMax"/>
        </c:scaling>
        <c:delete val="0"/>
        <c:axPos val="b"/>
        <c:numFmt formatCode="General" sourceLinked="1"/>
        <c:majorTickMark val="out"/>
        <c:minorTickMark val="none"/>
        <c:tickLblPos val="nextTo"/>
        <c:crossAx val="347322280"/>
        <c:crosses val="autoZero"/>
        <c:auto val="1"/>
        <c:lblAlgn val="ctr"/>
        <c:lblOffset val="100"/>
        <c:noMultiLvlLbl val="0"/>
      </c:catAx>
      <c:valAx>
        <c:axId val="347322280"/>
        <c:scaling>
          <c:orientation val="minMax"/>
        </c:scaling>
        <c:delete val="0"/>
        <c:axPos val="l"/>
        <c:majorGridlines/>
        <c:numFmt formatCode="General" sourceLinked="1"/>
        <c:majorTickMark val="out"/>
        <c:minorTickMark val="none"/>
        <c:tickLblPos val="nextTo"/>
        <c:crossAx val="347321888"/>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6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Newcraighall!$B$169</c:f>
              <c:strCache>
                <c:ptCount val="1"/>
                <c:pt idx="0">
                  <c:v>Catchment Births (5yrs Prior)</c:v>
                </c:pt>
              </c:strCache>
            </c:strRef>
          </c:tx>
          <c:marker>
            <c:symbol val="square"/>
            <c:size val="7"/>
          </c:marker>
          <c:cat>
            <c:numRef>
              <c:f>Newcraighall!$D$168:$N$168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Newcraighall!$D$169:$N$169</c:f>
              <c:numCache>
                <c:formatCode>#,##0</c:formatCode>
                <c:ptCount val="11"/>
                <c:pt idx="0">
                  <c:v>13</c:v>
                </c:pt>
                <c:pt idx="1">
                  <c:v>17</c:v>
                </c:pt>
                <c:pt idx="2">
                  <c:v>15</c:v>
                </c:pt>
                <c:pt idx="3">
                  <c:v>7</c:v>
                </c:pt>
                <c:pt idx="4">
                  <c:v>20</c:v>
                </c:pt>
                <c:pt idx="5">
                  <c:v>19</c:v>
                </c:pt>
                <c:pt idx="6">
                  <c:v>14</c:v>
                </c:pt>
                <c:pt idx="7">
                  <c:v>14</c:v>
                </c:pt>
                <c:pt idx="8">
                  <c:v>14</c:v>
                </c:pt>
                <c:pt idx="9">
                  <c:v>9</c:v>
                </c:pt>
                <c:pt idx="10">
                  <c:v>20</c:v>
                </c:pt>
              </c:numCache>
            </c:numRef>
          </c:val>
          <c:smooth val="0"/>
          <c:extLst xmlns:c16r2="http://schemas.microsoft.com/office/drawing/2015/06/chart">
            <c:ext xmlns:c16="http://schemas.microsoft.com/office/drawing/2014/chart" uri="{C3380CC4-5D6E-409C-BE32-E72D297353CC}">
              <c16:uniqueId val="{00000000-0B0B-4CD4-A145-CC681E1B635B}"/>
            </c:ext>
          </c:extLst>
        </c:ser>
        <c:ser>
          <c:idx val="1"/>
          <c:order val="1"/>
          <c:tx>
            <c:strRef>
              <c:f>Newcraighall!$B$170</c:f>
              <c:strCache>
                <c:ptCount val="1"/>
                <c:pt idx="0">
                  <c:v>P1 ND Catchment Population (Actual)</c:v>
                </c:pt>
              </c:strCache>
            </c:strRef>
          </c:tx>
          <c:cat>
            <c:numRef>
              <c:f>Newcraighall!$D$168:$N$168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Newcraighall!$D$170:$I$170</c:f>
              <c:numCache>
                <c:formatCode>#,##0</c:formatCode>
                <c:ptCount val="6"/>
                <c:pt idx="0">
                  <c:v>8</c:v>
                </c:pt>
                <c:pt idx="1">
                  <c:v>9</c:v>
                </c:pt>
                <c:pt idx="2">
                  <c:v>13</c:v>
                </c:pt>
                <c:pt idx="3">
                  <c:v>4</c:v>
                </c:pt>
                <c:pt idx="4">
                  <c:v>15</c:v>
                </c:pt>
                <c:pt idx="5">
                  <c:v>13</c:v>
                </c:pt>
              </c:numCache>
            </c:numRef>
          </c:val>
          <c:smooth val="0"/>
          <c:extLst xmlns:c16r2="http://schemas.microsoft.com/office/drawing/2015/06/chart">
            <c:ext xmlns:c16="http://schemas.microsoft.com/office/drawing/2014/chart" uri="{C3380CC4-5D6E-409C-BE32-E72D297353CC}">
              <c16:uniqueId val="{00000001-0B0B-4CD4-A145-CC681E1B635B}"/>
            </c:ext>
          </c:extLst>
        </c:ser>
        <c:ser>
          <c:idx val="2"/>
          <c:order val="2"/>
          <c:tx>
            <c:strRef>
              <c:f>Newcraighall!$B$172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0B0B-4CD4-A145-CC681E1B635B}"/>
              </c:ext>
            </c:extLst>
          </c:dPt>
          <c:dPt>
            <c:idx val="5"/>
            <c:marker>
              <c:symbol val="none"/>
            </c:marker>
            <c:bubble3D val="0"/>
            <c:extLst xmlns:c16r2="http://schemas.microsoft.com/office/drawing/2015/06/chart">
              <c:ext xmlns:c16="http://schemas.microsoft.com/office/drawing/2014/chart" uri="{C3380CC4-5D6E-409C-BE32-E72D297353CC}">
                <c16:uniqueId val="{00000003-0B0B-4CD4-A145-CC681E1B635B}"/>
              </c:ext>
            </c:extLst>
          </c:dPt>
          <c:dPt>
            <c:idx val="6"/>
            <c:marker>
              <c:symbol val="circle"/>
              <c:size val="7"/>
            </c:marker>
            <c:bubble3D val="0"/>
            <c:extLst xmlns:c16r2="http://schemas.microsoft.com/office/drawing/2015/06/chart">
              <c:ext xmlns:c16="http://schemas.microsoft.com/office/drawing/2014/chart" uri="{C3380CC4-5D6E-409C-BE32-E72D297353CC}">
                <c16:uniqueId val="{00000004-0B0B-4CD4-A145-CC681E1B635B}"/>
              </c:ext>
            </c:extLst>
          </c:dPt>
          <c:dPt>
            <c:idx val="7"/>
            <c:marker>
              <c:symbol val="circle"/>
              <c:size val="7"/>
            </c:marker>
            <c:bubble3D val="0"/>
            <c:extLst xmlns:c16r2="http://schemas.microsoft.com/office/drawing/2015/06/chart">
              <c:ext xmlns:c16="http://schemas.microsoft.com/office/drawing/2014/chart" uri="{C3380CC4-5D6E-409C-BE32-E72D297353CC}">
                <c16:uniqueId val="{00000005-0B0B-4CD4-A145-CC681E1B635B}"/>
              </c:ext>
            </c:extLst>
          </c:dPt>
          <c:dPt>
            <c:idx val="8"/>
            <c:marker>
              <c:symbol val="circle"/>
              <c:size val="7"/>
            </c:marker>
            <c:bubble3D val="0"/>
            <c:extLst xmlns:c16r2="http://schemas.microsoft.com/office/drawing/2015/06/chart">
              <c:ext xmlns:c16="http://schemas.microsoft.com/office/drawing/2014/chart" uri="{C3380CC4-5D6E-409C-BE32-E72D297353CC}">
                <c16:uniqueId val="{00000006-0B0B-4CD4-A145-CC681E1B635B}"/>
              </c:ext>
            </c:extLst>
          </c:dPt>
          <c:dPt>
            <c:idx val="9"/>
            <c:marker>
              <c:symbol val="circle"/>
              <c:size val="7"/>
            </c:marker>
            <c:bubble3D val="0"/>
            <c:extLst xmlns:c16r2="http://schemas.microsoft.com/office/drawing/2015/06/chart">
              <c:ext xmlns:c16="http://schemas.microsoft.com/office/drawing/2014/chart" uri="{C3380CC4-5D6E-409C-BE32-E72D297353CC}">
                <c16:uniqueId val="{00000007-0B0B-4CD4-A145-CC681E1B635B}"/>
              </c:ext>
            </c:extLst>
          </c:dPt>
          <c:dPt>
            <c:idx val="10"/>
            <c:marker>
              <c:symbol val="circle"/>
              <c:size val="7"/>
            </c:marker>
            <c:bubble3D val="0"/>
            <c:extLst xmlns:c16r2="http://schemas.microsoft.com/office/drawing/2015/06/chart">
              <c:ext xmlns:c16="http://schemas.microsoft.com/office/drawing/2014/chart" uri="{C3380CC4-5D6E-409C-BE32-E72D297353CC}">
                <c16:uniqueId val="{00000008-0B0B-4CD4-A145-CC681E1B635B}"/>
              </c:ext>
            </c:extLst>
          </c:dPt>
          <c:cat>
            <c:numRef>
              <c:f>Newcraighall!$D$168:$N$168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Newcraighall!$D$172:$N$172</c:f>
              <c:numCache>
                <c:formatCode>General</c:formatCode>
                <c:ptCount val="11"/>
                <c:pt idx="5" formatCode="0">
                  <c:v>13</c:v>
                </c:pt>
                <c:pt idx="6" formatCode="0">
                  <c:v>0</c:v>
                </c:pt>
                <c:pt idx="7" formatCode="0">
                  <c:v>11</c:v>
                </c:pt>
                <c:pt idx="8" formatCode="0">
                  <c:v>24</c:v>
                </c:pt>
                <c:pt idx="9" formatCode="0">
                  <c:v>21</c:v>
                </c:pt>
                <c:pt idx="10" formatCode="0">
                  <c:v>28</c:v>
                </c:pt>
              </c:numCache>
            </c:numRef>
          </c:val>
          <c:smooth val="0"/>
          <c:extLst xmlns:c16r2="http://schemas.microsoft.com/office/drawing/2015/06/chart">
            <c:ext xmlns:c16="http://schemas.microsoft.com/office/drawing/2014/chart" uri="{C3380CC4-5D6E-409C-BE32-E72D297353CC}">
              <c16:uniqueId val="{00000009-0B0B-4CD4-A145-CC681E1B635B}"/>
            </c:ext>
          </c:extLst>
        </c:ser>
        <c:ser>
          <c:idx val="3"/>
          <c:order val="3"/>
          <c:tx>
            <c:strRef>
              <c:f>Newcraighall!$B$171</c:f>
              <c:strCache>
                <c:ptCount val="1"/>
                <c:pt idx="0">
                  <c:v>Actual P1 Registrations (as of Jan 2016)</c:v>
                </c:pt>
              </c:strCache>
            </c:strRef>
          </c:tx>
          <c:spPr>
            <a:ln w="15875">
              <a:noFill/>
            </a:ln>
          </c:spPr>
          <c:marker>
            <c:symbol val="diamond"/>
            <c:size val="9"/>
            <c:spPr>
              <a:solidFill>
                <a:schemeClr val="tx1"/>
              </a:solidFill>
            </c:spPr>
          </c:marker>
          <c:cat>
            <c:numRef>
              <c:f>Newcraighall!$D$168:$N$168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Newcraighall!$D$171:$M$171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0B0B-4CD4-A145-CC681E1B635B}"/>
            </c:ext>
          </c:extLst>
        </c:ser>
        <c:dLbls>
          <c:showLegendKey val="0"/>
          <c:showVal val="0"/>
          <c:showCatName val="0"/>
          <c:showSerName val="0"/>
          <c:showPercent val="0"/>
          <c:showBubbleSize val="0"/>
        </c:dLbls>
        <c:marker val="1"/>
        <c:smooth val="0"/>
        <c:axId val="347323064"/>
        <c:axId val="347323456"/>
      </c:lineChart>
      <c:catAx>
        <c:axId val="347323064"/>
        <c:scaling>
          <c:orientation val="minMax"/>
        </c:scaling>
        <c:delete val="0"/>
        <c:axPos val="b"/>
        <c:numFmt formatCode="General" sourceLinked="1"/>
        <c:majorTickMark val="out"/>
        <c:minorTickMark val="none"/>
        <c:tickLblPos val="nextTo"/>
        <c:crossAx val="347323456"/>
        <c:crosses val="autoZero"/>
        <c:auto val="1"/>
        <c:lblAlgn val="ctr"/>
        <c:lblOffset val="100"/>
        <c:noMultiLvlLbl val="0"/>
      </c:catAx>
      <c:valAx>
        <c:axId val="347323456"/>
        <c:scaling>
          <c:orientation val="minMax"/>
        </c:scaling>
        <c:delete val="0"/>
        <c:axPos val="l"/>
        <c:majorGridlines/>
        <c:numFmt formatCode="#,##0" sourceLinked="1"/>
        <c:majorTickMark val="out"/>
        <c:minorTickMark val="none"/>
        <c:tickLblPos val="nextTo"/>
        <c:crossAx val="347323064"/>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6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FAD0-4318-86CF-8BF4C0EED011}"/>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47324240"/>
        <c:axId val="347324632"/>
      </c:lineChart>
      <c:catAx>
        <c:axId val="347324240"/>
        <c:scaling>
          <c:orientation val="minMax"/>
        </c:scaling>
        <c:delete val="0"/>
        <c:axPos val="b"/>
        <c:numFmt formatCode="General" sourceLinked="1"/>
        <c:majorTickMark val="out"/>
        <c:minorTickMark val="none"/>
        <c:tickLblPos val="nextTo"/>
        <c:crossAx val="347324632"/>
        <c:crosses val="autoZero"/>
        <c:auto val="1"/>
        <c:lblAlgn val="ctr"/>
        <c:lblOffset val="100"/>
        <c:noMultiLvlLbl val="0"/>
      </c:catAx>
      <c:valAx>
        <c:axId val="347324632"/>
        <c:scaling>
          <c:orientation val="minMax"/>
        </c:scaling>
        <c:delete val="0"/>
        <c:axPos val="l"/>
        <c:majorGridlines/>
        <c:numFmt formatCode="General" sourceLinked="1"/>
        <c:majorTickMark val="out"/>
        <c:minorTickMark val="none"/>
        <c:tickLblPos val="nextTo"/>
        <c:crossAx val="347324240"/>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7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square"/>
            <c:size val="7"/>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D9DB-4512-AE8E-97007099055F}"/>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1"/>
          <c:order val="1"/>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1-D9DB-4512-AE8E-97007099055F}"/>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2"/>
          <c:order val="2"/>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D9DB-4512-AE8E-97007099055F}"/>
              </c:ext>
            </c:extLst>
          </c:dPt>
          <c:dPt>
            <c:idx val="5"/>
            <c:marker>
              <c:symbol val="circle"/>
              <c:size val="7"/>
            </c:marker>
            <c:bubble3D val="0"/>
            <c:extLst xmlns:c16r2="http://schemas.microsoft.com/office/drawing/2015/06/chart">
              <c:ext xmlns:c16="http://schemas.microsoft.com/office/drawing/2014/chart" uri="{C3380CC4-5D6E-409C-BE32-E72D297353CC}">
                <c16:uniqueId val="{00000003-D9DB-4512-AE8E-97007099055F}"/>
              </c:ext>
            </c:extLst>
          </c:dPt>
          <c:dPt>
            <c:idx val="6"/>
            <c:marker>
              <c:symbol val="circle"/>
              <c:size val="7"/>
            </c:marker>
            <c:bubble3D val="0"/>
            <c:extLst xmlns:c16r2="http://schemas.microsoft.com/office/drawing/2015/06/chart">
              <c:ext xmlns:c16="http://schemas.microsoft.com/office/drawing/2014/chart" uri="{C3380CC4-5D6E-409C-BE32-E72D297353CC}">
                <c16:uniqueId val="{00000004-D9DB-4512-AE8E-97007099055F}"/>
              </c:ext>
            </c:extLst>
          </c:dPt>
          <c:dPt>
            <c:idx val="7"/>
            <c:marker>
              <c:symbol val="circle"/>
              <c:size val="7"/>
            </c:marker>
            <c:bubble3D val="0"/>
            <c:extLst xmlns:c16r2="http://schemas.microsoft.com/office/drawing/2015/06/chart">
              <c:ext xmlns:c16="http://schemas.microsoft.com/office/drawing/2014/chart" uri="{C3380CC4-5D6E-409C-BE32-E72D297353CC}">
                <c16:uniqueId val="{00000005-D9DB-4512-AE8E-97007099055F}"/>
              </c:ext>
            </c:extLst>
          </c:dPt>
          <c:dPt>
            <c:idx val="8"/>
            <c:marker>
              <c:symbol val="circle"/>
              <c:size val="7"/>
            </c:marker>
            <c:bubble3D val="0"/>
            <c:extLst xmlns:c16r2="http://schemas.microsoft.com/office/drawing/2015/06/chart">
              <c:ext xmlns:c16="http://schemas.microsoft.com/office/drawing/2014/chart" uri="{C3380CC4-5D6E-409C-BE32-E72D297353CC}">
                <c16:uniqueId val="{00000006-D9DB-4512-AE8E-97007099055F}"/>
              </c:ext>
            </c:extLst>
          </c:dPt>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7-D9DB-4512-AE8E-97007099055F}"/>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47325416"/>
        <c:axId val="347325808"/>
      </c:lineChart>
      <c:catAx>
        <c:axId val="347325416"/>
        <c:scaling>
          <c:orientation val="minMax"/>
        </c:scaling>
        <c:delete val="0"/>
        <c:axPos val="b"/>
        <c:numFmt formatCode="General" sourceLinked="1"/>
        <c:majorTickMark val="out"/>
        <c:minorTickMark val="none"/>
        <c:tickLblPos val="nextTo"/>
        <c:crossAx val="347325808"/>
        <c:crosses val="autoZero"/>
        <c:auto val="1"/>
        <c:lblAlgn val="ctr"/>
        <c:lblOffset val="100"/>
        <c:noMultiLvlLbl val="0"/>
      </c:catAx>
      <c:valAx>
        <c:axId val="347325808"/>
        <c:scaling>
          <c:orientation val="minMax"/>
        </c:scaling>
        <c:delete val="0"/>
        <c:axPos val="l"/>
        <c:majorGridlines/>
        <c:numFmt formatCode="General" sourceLinked="1"/>
        <c:majorTickMark val="out"/>
        <c:minorTickMark val="none"/>
        <c:tickLblPos val="nextTo"/>
        <c:crossAx val="347325416"/>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7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'Niddrie Mill'!$B$177:$B$190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'Niddrie Mill'!$J$177:$J$190</c:f>
              <c:numCache>
                <c:formatCode>General</c:formatCode>
                <c:ptCount val="14"/>
                <c:pt idx="0">
                  <c:v>224</c:v>
                </c:pt>
                <c:pt idx="1">
                  <c:v>222</c:v>
                </c:pt>
                <c:pt idx="2">
                  <c:v>237</c:v>
                </c:pt>
                <c:pt idx="3">
                  <c:v>263</c:v>
                </c:pt>
                <c:pt idx="4">
                  <c:v>253</c:v>
                </c:pt>
                <c:pt idx="5">
                  <c:v>224</c:v>
                </c:pt>
                <c:pt idx="6">
                  <c:v>240</c:v>
                </c:pt>
                <c:pt idx="7">
                  <c:v>246</c:v>
                </c:pt>
                <c:pt idx="8">
                  <c:v>257</c:v>
                </c:pt>
                <c:pt idx="9">
                  <c:v>273</c:v>
                </c:pt>
                <c:pt idx="10">
                  <c:v>270</c:v>
                </c:pt>
                <c:pt idx="11">
                  <c:v>270</c:v>
                </c:pt>
                <c:pt idx="12">
                  <c:v>284</c:v>
                </c:pt>
                <c:pt idx="13">
                  <c:v>284</c:v>
                </c:pt>
              </c:numCache>
            </c:numRef>
          </c:val>
          <c:smooth val="0"/>
          <c:extLst xmlns:c16r2="http://schemas.microsoft.com/office/drawing/2015/06/chart">
            <c:ext xmlns:c16="http://schemas.microsoft.com/office/drawing/2014/chart" uri="{C3380CC4-5D6E-409C-BE32-E72D297353CC}">
              <c16:uniqueId val="{00000000-DBD6-471E-ADC3-638E29C5D628}"/>
            </c:ext>
          </c:extLst>
        </c:ser>
        <c:dLbls>
          <c:showLegendKey val="0"/>
          <c:showVal val="0"/>
          <c:showCatName val="0"/>
          <c:showSerName val="0"/>
          <c:showPercent val="0"/>
          <c:showBubbleSize val="0"/>
        </c:dLbls>
        <c:marker val="1"/>
        <c:smooth val="0"/>
        <c:axId val="347326592"/>
        <c:axId val="347326984"/>
      </c:lineChart>
      <c:catAx>
        <c:axId val="347326592"/>
        <c:scaling>
          <c:orientation val="minMax"/>
        </c:scaling>
        <c:delete val="0"/>
        <c:axPos val="b"/>
        <c:numFmt formatCode="General" sourceLinked="1"/>
        <c:majorTickMark val="out"/>
        <c:minorTickMark val="none"/>
        <c:tickLblPos val="nextTo"/>
        <c:crossAx val="347326984"/>
        <c:crosses val="autoZero"/>
        <c:auto val="1"/>
        <c:lblAlgn val="ctr"/>
        <c:lblOffset val="100"/>
        <c:noMultiLvlLbl val="0"/>
      </c:catAx>
      <c:valAx>
        <c:axId val="347326984"/>
        <c:scaling>
          <c:orientation val="minMax"/>
        </c:scaling>
        <c:delete val="0"/>
        <c:axPos val="l"/>
        <c:majorGridlines/>
        <c:numFmt formatCode="General" sourceLinked="1"/>
        <c:majorTickMark val="out"/>
        <c:minorTickMark val="none"/>
        <c:tickLblPos val="nextTo"/>
        <c:crossAx val="347326592"/>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7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'Niddrie Mill'!$B$169</c:f>
              <c:strCache>
                <c:ptCount val="1"/>
                <c:pt idx="0">
                  <c:v>Catchment Births (5yrs Prior)</c:v>
                </c:pt>
              </c:strCache>
            </c:strRef>
          </c:tx>
          <c:marker>
            <c:symbol val="square"/>
            <c:size val="7"/>
          </c:marker>
          <c:cat>
            <c:numRef>
              <c:f>'Niddrie Mill'!$D$168:$N$168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'Niddrie Mill'!$D$169:$N$169</c:f>
              <c:numCache>
                <c:formatCode>#,##0</c:formatCode>
                <c:ptCount val="11"/>
                <c:pt idx="0">
                  <c:v>105</c:v>
                </c:pt>
                <c:pt idx="1">
                  <c:v>88</c:v>
                </c:pt>
                <c:pt idx="2">
                  <c:v>95</c:v>
                </c:pt>
                <c:pt idx="3">
                  <c:v>94</c:v>
                </c:pt>
                <c:pt idx="4">
                  <c:v>112</c:v>
                </c:pt>
                <c:pt idx="5">
                  <c:v>99</c:v>
                </c:pt>
                <c:pt idx="6">
                  <c:v>102</c:v>
                </c:pt>
                <c:pt idx="7">
                  <c:v>104</c:v>
                </c:pt>
                <c:pt idx="8">
                  <c:v>126</c:v>
                </c:pt>
                <c:pt idx="9">
                  <c:v>114</c:v>
                </c:pt>
                <c:pt idx="10">
                  <c:v>103</c:v>
                </c:pt>
              </c:numCache>
            </c:numRef>
          </c:val>
          <c:smooth val="0"/>
          <c:extLst xmlns:c16r2="http://schemas.microsoft.com/office/drawing/2015/06/chart">
            <c:ext xmlns:c16="http://schemas.microsoft.com/office/drawing/2014/chart" uri="{C3380CC4-5D6E-409C-BE32-E72D297353CC}">
              <c16:uniqueId val="{00000000-5955-48D6-AFF0-EB6B8E41E118}"/>
            </c:ext>
          </c:extLst>
        </c:ser>
        <c:ser>
          <c:idx val="1"/>
          <c:order val="1"/>
          <c:tx>
            <c:strRef>
              <c:f>'Niddrie Mill'!$B$170</c:f>
              <c:strCache>
                <c:ptCount val="1"/>
                <c:pt idx="0">
                  <c:v>P1 ND Catchment Population (Actual)</c:v>
                </c:pt>
              </c:strCache>
            </c:strRef>
          </c:tx>
          <c:cat>
            <c:numRef>
              <c:f>'Niddrie Mill'!$D$168:$N$168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'Niddrie Mill'!$D$170:$I$170</c:f>
              <c:numCache>
                <c:formatCode>#,##0</c:formatCode>
                <c:ptCount val="6"/>
                <c:pt idx="0">
                  <c:v>65</c:v>
                </c:pt>
                <c:pt idx="1">
                  <c:v>61</c:v>
                </c:pt>
                <c:pt idx="2">
                  <c:v>78</c:v>
                </c:pt>
                <c:pt idx="3">
                  <c:v>67</c:v>
                </c:pt>
                <c:pt idx="4">
                  <c:v>72</c:v>
                </c:pt>
                <c:pt idx="5">
                  <c:v>62</c:v>
                </c:pt>
              </c:numCache>
            </c:numRef>
          </c:val>
          <c:smooth val="0"/>
          <c:extLst xmlns:c16r2="http://schemas.microsoft.com/office/drawing/2015/06/chart">
            <c:ext xmlns:c16="http://schemas.microsoft.com/office/drawing/2014/chart" uri="{C3380CC4-5D6E-409C-BE32-E72D297353CC}">
              <c16:uniqueId val="{00000001-5955-48D6-AFF0-EB6B8E41E118}"/>
            </c:ext>
          </c:extLst>
        </c:ser>
        <c:ser>
          <c:idx val="2"/>
          <c:order val="2"/>
          <c:tx>
            <c:strRef>
              <c:f>'Niddrie Mill'!$B$172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5955-48D6-AFF0-EB6B8E41E118}"/>
              </c:ext>
            </c:extLst>
          </c:dPt>
          <c:dPt>
            <c:idx val="5"/>
            <c:marker>
              <c:symbol val="none"/>
            </c:marker>
            <c:bubble3D val="0"/>
            <c:extLst xmlns:c16r2="http://schemas.microsoft.com/office/drawing/2015/06/chart">
              <c:ext xmlns:c16="http://schemas.microsoft.com/office/drawing/2014/chart" uri="{C3380CC4-5D6E-409C-BE32-E72D297353CC}">
                <c16:uniqueId val="{00000003-5955-48D6-AFF0-EB6B8E41E118}"/>
              </c:ext>
            </c:extLst>
          </c:dPt>
          <c:dPt>
            <c:idx val="6"/>
            <c:marker>
              <c:symbol val="circle"/>
              <c:size val="7"/>
            </c:marker>
            <c:bubble3D val="0"/>
            <c:extLst xmlns:c16r2="http://schemas.microsoft.com/office/drawing/2015/06/chart">
              <c:ext xmlns:c16="http://schemas.microsoft.com/office/drawing/2014/chart" uri="{C3380CC4-5D6E-409C-BE32-E72D297353CC}">
                <c16:uniqueId val="{00000004-5955-48D6-AFF0-EB6B8E41E118}"/>
              </c:ext>
            </c:extLst>
          </c:dPt>
          <c:dPt>
            <c:idx val="7"/>
            <c:marker>
              <c:symbol val="circle"/>
              <c:size val="7"/>
            </c:marker>
            <c:bubble3D val="0"/>
            <c:extLst xmlns:c16r2="http://schemas.microsoft.com/office/drawing/2015/06/chart">
              <c:ext xmlns:c16="http://schemas.microsoft.com/office/drawing/2014/chart" uri="{C3380CC4-5D6E-409C-BE32-E72D297353CC}">
                <c16:uniqueId val="{00000005-5955-48D6-AFF0-EB6B8E41E118}"/>
              </c:ext>
            </c:extLst>
          </c:dPt>
          <c:dPt>
            <c:idx val="8"/>
            <c:marker>
              <c:symbol val="circle"/>
              <c:size val="7"/>
            </c:marker>
            <c:bubble3D val="0"/>
            <c:extLst xmlns:c16r2="http://schemas.microsoft.com/office/drawing/2015/06/chart">
              <c:ext xmlns:c16="http://schemas.microsoft.com/office/drawing/2014/chart" uri="{C3380CC4-5D6E-409C-BE32-E72D297353CC}">
                <c16:uniqueId val="{00000006-5955-48D6-AFF0-EB6B8E41E118}"/>
              </c:ext>
            </c:extLst>
          </c:dPt>
          <c:dPt>
            <c:idx val="9"/>
            <c:marker>
              <c:symbol val="circle"/>
              <c:size val="7"/>
            </c:marker>
            <c:bubble3D val="0"/>
            <c:extLst xmlns:c16r2="http://schemas.microsoft.com/office/drawing/2015/06/chart">
              <c:ext xmlns:c16="http://schemas.microsoft.com/office/drawing/2014/chart" uri="{C3380CC4-5D6E-409C-BE32-E72D297353CC}">
                <c16:uniqueId val="{00000007-5955-48D6-AFF0-EB6B8E41E118}"/>
              </c:ext>
            </c:extLst>
          </c:dPt>
          <c:dPt>
            <c:idx val="10"/>
            <c:marker>
              <c:symbol val="circle"/>
              <c:size val="7"/>
            </c:marker>
            <c:bubble3D val="0"/>
            <c:extLst xmlns:c16r2="http://schemas.microsoft.com/office/drawing/2015/06/chart">
              <c:ext xmlns:c16="http://schemas.microsoft.com/office/drawing/2014/chart" uri="{C3380CC4-5D6E-409C-BE32-E72D297353CC}">
                <c16:uniqueId val="{00000008-5955-48D6-AFF0-EB6B8E41E118}"/>
              </c:ext>
            </c:extLst>
          </c:dPt>
          <c:cat>
            <c:numRef>
              <c:f>'Niddrie Mill'!$D$168:$N$168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'Niddrie Mill'!$D$172:$N$172</c:f>
              <c:numCache>
                <c:formatCode>General</c:formatCode>
                <c:ptCount val="11"/>
                <c:pt idx="5" formatCode="0">
                  <c:v>62</c:v>
                </c:pt>
                <c:pt idx="6" formatCode="0">
                  <c:v>0</c:v>
                </c:pt>
                <c:pt idx="7" formatCode="0">
                  <c:v>71</c:v>
                </c:pt>
                <c:pt idx="8" formatCode="0">
                  <c:v>67</c:v>
                </c:pt>
                <c:pt idx="9" formatCode="0">
                  <c:v>70</c:v>
                </c:pt>
                <c:pt idx="10" formatCode="0">
                  <c:v>86</c:v>
                </c:pt>
              </c:numCache>
            </c:numRef>
          </c:val>
          <c:smooth val="0"/>
          <c:extLst xmlns:c16r2="http://schemas.microsoft.com/office/drawing/2015/06/chart">
            <c:ext xmlns:c16="http://schemas.microsoft.com/office/drawing/2014/chart" uri="{C3380CC4-5D6E-409C-BE32-E72D297353CC}">
              <c16:uniqueId val="{00000009-5955-48D6-AFF0-EB6B8E41E118}"/>
            </c:ext>
          </c:extLst>
        </c:ser>
        <c:ser>
          <c:idx val="3"/>
          <c:order val="3"/>
          <c:tx>
            <c:strRef>
              <c:f>'Niddrie Mill'!$B$171</c:f>
              <c:strCache>
                <c:ptCount val="1"/>
                <c:pt idx="0">
                  <c:v>Actual P1 Registrations (as of Jan 2016)</c:v>
                </c:pt>
              </c:strCache>
            </c:strRef>
          </c:tx>
          <c:spPr>
            <a:ln w="15875">
              <a:noFill/>
            </a:ln>
          </c:spPr>
          <c:marker>
            <c:symbol val="diamond"/>
            <c:size val="9"/>
            <c:spPr>
              <a:solidFill>
                <a:schemeClr val="tx1"/>
              </a:solidFill>
            </c:spPr>
          </c:marker>
          <c:cat>
            <c:numRef>
              <c:f>'Niddrie Mill'!$D$168:$N$168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'Niddrie Mill'!$D$171:$M$171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5955-48D6-AFF0-EB6B8E41E118}"/>
            </c:ext>
          </c:extLst>
        </c:ser>
        <c:dLbls>
          <c:showLegendKey val="0"/>
          <c:showVal val="0"/>
          <c:showCatName val="0"/>
          <c:showSerName val="0"/>
          <c:showPercent val="0"/>
          <c:showBubbleSize val="0"/>
        </c:dLbls>
        <c:marker val="1"/>
        <c:smooth val="0"/>
        <c:axId val="347327768"/>
        <c:axId val="347328160"/>
      </c:lineChart>
      <c:catAx>
        <c:axId val="347327768"/>
        <c:scaling>
          <c:orientation val="minMax"/>
        </c:scaling>
        <c:delete val="0"/>
        <c:axPos val="b"/>
        <c:numFmt formatCode="General" sourceLinked="1"/>
        <c:majorTickMark val="out"/>
        <c:minorTickMark val="none"/>
        <c:tickLblPos val="nextTo"/>
        <c:crossAx val="347328160"/>
        <c:crosses val="autoZero"/>
        <c:auto val="1"/>
        <c:lblAlgn val="ctr"/>
        <c:lblOffset val="100"/>
        <c:noMultiLvlLbl val="0"/>
      </c:catAx>
      <c:valAx>
        <c:axId val="347328160"/>
        <c:scaling>
          <c:orientation val="minMax"/>
        </c:scaling>
        <c:delete val="0"/>
        <c:axPos val="l"/>
        <c:majorGridlines/>
        <c:numFmt formatCode="#,##0" sourceLinked="1"/>
        <c:majorTickMark val="out"/>
        <c:minorTickMark val="none"/>
        <c:tickLblPos val="nextTo"/>
        <c:crossAx val="347327768"/>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7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A591-4A9B-8E01-65A4A541BFE5}"/>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47328944"/>
        <c:axId val="347329336"/>
      </c:lineChart>
      <c:catAx>
        <c:axId val="347328944"/>
        <c:scaling>
          <c:orientation val="minMax"/>
        </c:scaling>
        <c:delete val="0"/>
        <c:axPos val="b"/>
        <c:numFmt formatCode="General" sourceLinked="1"/>
        <c:majorTickMark val="out"/>
        <c:minorTickMark val="none"/>
        <c:tickLblPos val="nextTo"/>
        <c:crossAx val="347329336"/>
        <c:crosses val="autoZero"/>
        <c:auto val="1"/>
        <c:lblAlgn val="ctr"/>
        <c:lblOffset val="100"/>
        <c:noMultiLvlLbl val="0"/>
      </c:catAx>
      <c:valAx>
        <c:axId val="347329336"/>
        <c:scaling>
          <c:orientation val="minMax"/>
        </c:scaling>
        <c:delete val="0"/>
        <c:axPos val="l"/>
        <c:majorGridlines/>
        <c:numFmt formatCode="General" sourceLinked="1"/>
        <c:majorTickMark val="out"/>
        <c:minorTickMark val="none"/>
        <c:tickLblPos val="nextTo"/>
        <c:crossAx val="347328944"/>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7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square"/>
            <c:size val="7"/>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1634-4B32-B786-F15D1D312ACB}"/>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1"/>
          <c:order val="1"/>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1-1634-4B32-B786-F15D1D312ACB}"/>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2"/>
          <c:order val="2"/>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1634-4B32-B786-F15D1D312ACB}"/>
              </c:ext>
            </c:extLst>
          </c:dPt>
          <c:dPt>
            <c:idx val="5"/>
            <c:marker>
              <c:symbol val="circle"/>
              <c:size val="7"/>
            </c:marker>
            <c:bubble3D val="0"/>
            <c:extLst xmlns:c16r2="http://schemas.microsoft.com/office/drawing/2015/06/chart">
              <c:ext xmlns:c16="http://schemas.microsoft.com/office/drawing/2014/chart" uri="{C3380CC4-5D6E-409C-BE32-E72D297353CC}">
                <c16:uniqueId val="{00000003-1634-4B32-B786-F15D1D312ACB}"/>
              </c:ext>
            </c:extLst>
          </c:dPt>
          <c:dPt>
            <c:idx val="6"/>
            <c:marker>
              <c:symbol val="circle"/>
              <c:size val="7"/>
            </c:marker>
            <c:bubble3D val="0"/>
            <c:extLst xmlns:c16r2="http://schemas.microsoft.com/office/drawing/2015/06/chart">
              <c:ext xmlns:c16="http://schemas.microsoft.com/office/drawing/2014/chart" uri="{C3380CC4-5D6E-409C-BE32-E72D297353CC}">
                <c16:uniqueId val="{00000004-1634-4B32-B786-F15D1D312ACB}"/>
              </c:ext>
            </c:extLst>
          </c:dPt>
          <c:dPt>
            <c:idx val="7"/>
            <c:marker>
              <c:symbol val="circle"/>
              <c:size val="7"/>
            </c:marker>
            <c:bubble3D val="0"/>
            <c:extLst xmlns:c16r2="http://schemas.microsoft.com/office/drawing/2015/06/chart">
              <c:ext xmlns:c16="http://schemas.microsoft.com/office/drawing/2014/chart" uri="{C3380CC4-5D6E-409C-BE32-E72D297353CC}">
                <c16:uniqueId val="{00000005-1634-4B32-B786-F15D1D312ACB}"/>
              </c:ext>
            </c:extLst>
          </c:dPt>
          <c:dPt>
            <c:idx val="8"/>
            <c:marker>
              <c:symbol val="circle"/>
              <c:size val="7"/>
            </c:marker>
            <c:bubble3D val="0"/>
            <c:extLst xmlns:c16r2="http://schemas.microsoft.com/office/drawing/2015/06/chart">
              <c:ext xmlns:c16="http://schemas.microsoft.com/office/drawing/2014/chart" uri="{C3380CC4-5D6E-409C-BE32-E72D297353CC}">
                <c16:uniqueId val="{00000006-1634-4B32-B786-F15D1D312ACB}"/>
              </c:ext>
            </c:extLst>
          </c:dPt>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7-1634-4B32-B786-F15D1D312ACB}"/>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47330120"/>
        <c:axId val="347330512"/>
      </c:lineChart>
      <c:catAx>
        <c:axId val="347330120"/>
        <c:scaling>
          <c:orientation val="minMax"/>
        </c:scaling>
        <c:delete val="0"/>
        <c:axPos val="b"/>
        <c:numFmt formatCode="General" sourceLinked="1"/>
        <c:majorTickMark val="out"/>
        <c:minorTickMark val="none"/>
        <c:tickLblPos val="nextTo"/>
        <c:crossAx val="347330512"/>
        <c:crosses val="autoZero"/>
        <c:auto val="1"/>
        <c:lblAlgn val="ctr"/>
        <c:lblOffset val="100"/>
        <c:noMultiLvlLbl val="0"/>
      </c:catAx>
      <c:valAx>
        <c:axId val="347330512"/>
        <c:scaling>
          <c:orientation val="minMax"/>
        </c:scaling>
        <c:delete val="0"/>
        <c:axPos val="l"/>
        <c:majorGridlines/>
        <c:numFmt formatCode="General" sourceLinked="1"/>
        <c:majorTickMark val="out"/>
        <c:minorTickMark val="none"/>
        <c:tickLblPos val="nextTo"/>
        <c:crossAx val="347330120"/>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7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Oxgangs!$B$177:$B$190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Oxgangs!$J$177:$J$190</c:f>
              <c:numCache>
                <c:formatCode>General</c:formatCode>
                <c:ptCount val="14"/>
                <c:pt idx="0">
                  <c:v>351</c:v>
                </c:pt>
                <c:pt idx="1">
                  <c:v>333</c:v>
                </c:pt>
                <c:pt idx="2">
                  <c:v>316</c:v>
                </c:pt>
                <c:pt idx="3">
                  <c:v>310</c:v>
                </c:pt>
                <c:pt idx="4">
                  <c:v>318</c:v>
                </c:pt>
                <c:pt idx="5">
                  <c:v>307</c:v>
                </c:pt>
                <c:pt idx="6">
                  <c:v>304</c:v>
                </c:pt>
                <c:pt idx="7">
                  <c:v>314</c:v>
                </c:pt>
                <c:pt idx="8">
                  <c:v>324</c:v>
                </c:pt>
                <c:pt idx="9">
                  <c:v>344</c:v>
                </c:pt>
                <c:pt idx="10">
                  <c:v>362</c:v>
                </c:pt>
                <c:pt idx="11">
                  <c:v>387</c:v>
                </c:pt>
                <c:pt idx="12">
                  <c:v>391</c:v>
                </c:pt>
                <c:pt idx="13">
                  <c:v>410</c:v>
                </c:pt>
              </c:numCache>
            </c:numRef>
          </c:val>
          <c:smooth val="0"/>
          <c:extLst xmlns:c16r2="http://schemas.microsoft.com/office/drawing/2015/06/chart">
            <c:ext xmlns:c16="http://schemas.microsoft.com/office/drawing/2014/chart" uri="{C3380CC4-5D6E-409C-BE32-E72D297353CC}">
              <c16:uniqueId val="{00000000-9049-4139-8266-2930138836B8}"/>
            </c:ext>
          </c:extLst>
        </c:ser>
        <c:dLbls>
          <c:showLegendKey val="0"/>
          <c:showVal val="0"/>
          <c:showCatName val="0"/>
          <c:showSerName val="0"/>
          <c:showPercent val="0"/>
          <c:showBubbleSize val="0"/>
        </c:dLbls>
        <c:marker val="1"/>
        <c:smooth val="0"/>
        <c:axId val="347331296"/>
        <c:axId val="347331688"/>
      </c:lineChart>
      <c:catAx>
        <c:axId val="347331296"/>
        <c:scaling>
          <c:orientation val="minMax"/>
        </c:scaling>
        <c:delete val="0"/>
        <c:axPos val="b"/>
        <c:numFmt formatCode="General" sourceLinked="1"/>
        <c:majorTickMark val="out"/>
        <c:minorTickMark val="none"/>
        <c:tickLblPos val="nextTo"/>
        <c:crossAx val="347331688"/>
        <c:crosses val="autoZero"/>
        <c:auto val="1"/>
        <c:lblAlgn val="ctr"/>
        <c:lblOffset val="100"/>
        <c:noMultiLvlLbl val="0"/>
      </c:catAx>
      <c:valAx>
        <c:axId val="347331688"/>
        <c:scaling>
          <c:orientation val="minMax"/>
        </c:scaling>
        <c:delete val="0"/>
        <c:axPos val="l"/>
        <c:majorGridlines/>
        <c:numFmt formatCode="General" sourceLinked="1"/>
        <c:majorTickMark val="out"/>
        <c:minorTickMark val="none"/>
        <c:tickLblPos val="nextTo"/>
        <c:crossAx val="347331296"/>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7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Oxgangs!$B$169</c:f>
              <c:strCache>
                <c:ptCount val="1"/>
                <c:pt idx="0">
                  <c:v>Catchment Births (5yrs Prior)</c:v>
                </c:pt>
              </c:strCache>
            </c:strRef>
          </c:tx>
          <c:marker>
            <c:symbol val="square"/>
            <c:size val="7"/>
          </c:marker>
          <c:cat>
            <c:numRef>
              <c:f>Oxgangs!$D$168:$N$168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Oxgangs!$D$169:$N$169</c:f>
              <c:numCache>
                <c:formatCode>#,##0</c:formatCode>
                <c:ptCount val="11"/>
                <c:pt idx="0">
                  <c:v>79</c:v>
                </c:pt>
                <c:pt idx="1">
                  <c:v>96</c:v>
                </c:pt>
                <c:pt idx="2">
                  <c:v>87</c:v>
                </c:pt>
                <c:pt idx="3">
                  <c:v>101</c:v>
                </c:pt>
                <c:pt idx="4">
                  <c:v>91</c:v>
                </c:pt>
                <c:pt idx="5">
                  <c:v>107</c:v>
                </c:pt>
                <c:pt idx="6">
                  <c:v>89</c:v>
                </c:pt>
                <c:pt idx="7">
                  <c:v>104</c:v>
                </c:pt>
                <c:pt idx="8">
                  <c:v>76</c:v>
                </c:pt>
                <c:pt idx="9">
                  <c:v>86</c:v>
                </c:pt>
                <c:pt idx="10">
                  <c:v>85</c:v>
                </c:pt>
              </c:numCache>
            </c:numRef>
          </c:val>
          <c:smooth val="0"/>
          <c:extLst xmlns:c16r2="http://schemas.microsoft.com/office/drawing/2015/06/chart">
            <c:ext xmlns:c16="http://schemas.microsoft.com/office/drawing/2014/chart" uri="{C3380CC4-5D6E-409C-BE32-E72D297353CC}">
              <c16:uniqueId val="{00000000-8D94-49D2-A217-CFA893A5D658}"/>
            </c:ext>
          </c:extLst>
        </c:ser>
        <c:ser>
          <c:idx val="1"/>
          <c:order val="1"/>
          <c:tx>
            <c:strRef>
              <c:f>Oxgangs!$B$170</c:f>
              <c:strCache>
                <c:ptCount val="1"/>
                <c:pt idx="0">
                  <c:v>P1 ND Catchment Population (Actual)</c:v>
                </c:pt>
              </c:strCache>
            </c:strRef>
          </c:tx>
          <c:cat>
            <c:numRef>
              <c:f>Oxgangs!$D$168:$N$168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Oxgangs!$D$170:$I$170</c:f>
              <c:numCache>
                <c:formatCode>#,##0</c:formatCode>
                <c:ptCount val="6"/>
                <c:pt idx="0">
                  <c:v>46</c:v>
                </c:pt>
                <c:pt idx="1">
                  <c:v>62</c:v>
                </c:pt>
                <c:pt idx="2">
                  <c:v>67</c:v>
                </c:pt>
                <c:pt idx="3">
                  <c:v>56</c:v>
                </c:pt>
                <c:pt idx="4">
                  <c:v>64</c:v>
                </c:pt>
                <c:pt idx="5">
                  <c:v>65</c:v>
                </c:pt>
              </c:numCache>
            </c:numRef>
          </c:val>
          <c:smooth val="0"/>
          <c:extLst xmlns:c16r2="http://schemas.microsoft.com/office/drawing/2015/06/chart">
            <c:ext xmlns:c16="http://schemas.microsoft.com/office/drawing/2014/chart" uri="{C3380CC4-5D6E-409C-BE32-E72D297353CC}">
              <c16:uniqueId val="{00000001-8D94-49D2-A217-CFA893A5D658}"/>
            </c:ext>
          </c:extLst>
        </c:ser>
        <c:ser>
          <c:idx val="2"/>
          <c:order val="2"/>
          <c:tx>
            <c:strRef>
              <c:f>Oxgangs!$B$172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8D94-49D2-A217-CFA893A5D658}"/>
              </c:ext>
            </c:extLst>
          </c:dPt>
          <c:dPt>
            <c:idx val="5"/>
            <c:marker>
              <c:symbol val="none"/>
            </c:marker>
            <c:bubble3D val="0"/>
            <c:extLst xmlns:c16r2="http://schemas.microsoft.com/office/drawing/2015/06/chart">
              <c:ext xmlns:c16="http://schemas.microsoft.com/office/drawing/2014/chart" uri="{C3380CC4-5D6E-409C-BE32-E72D297353CC}">
                <c16:uniqueId val="{00000003-8D94-49D2-A217-CFA893A5D658}"/>
              </c:ext>
            </c:extLst>
          </c:dPt>
          <c:dPt>
            <c:idx val="6"/>
            <c:marker>
              <c:symbol val="circle"/>
              <c:size val="7"/>
            </c:marker>
            <c:bubble3D val="0"/>
            <c:extLst xmlns:c16r2="http://schemas.microsoft.com/office/drawing/2015/06/chart">
              <c:ext xmlns:c16="http://schemas.microsoft.com/office/drawing/2014/chart" uri="{C3380CC4-5D6E-409C-BE32-E72D297353CC}">
                <c16:uniqueId val="{00000004-8D94-49D2-A217-CFA893A5D658}"/>
              </c:ext>
            </c:extLst>
          </c:dPt>
          <c:dPt>
            <c:idx val="7"/>
            <c:marker>
              <c:symbol val="circle"/>
              <c:size val="7"/>
            </c:marker>
            <c:bubble3D val="0"/>
            <c:extLst xmlns:c16r2="http://schemas.microsoft.com/office/drawing/2015/06/chart">
              <c:ext xmlns:c16="http://schemas.microsoft.com/office/drawing/2014/chart" uri="{C3380CC4-5D6E-409C-BE32-E72D297353CC}">
                <c16:uniqueId val="{00000005-8D94-49D2-A217-CFA893A5D658}"/>
              </c:ext>
            </c:extLst>
          </c:dPt>
          <c:dPt>
            <c:idx val="8"/>
            <c:marker>
              <c:symbol val="circle"/>
              <c:size val="7"/>
            </c:marker>
            <c:bubble3D val="0"/>
            <c:extLst xmlns:c16r2="http://schemas.microsoft.com/office/drawing/2015/06/chart">
              <c:ext xmlns:c16="http://schemas.microsoft.com/office/drawing/2014/chart" uri="{C3380CC4-5D6E-409C-BE32-E72D297353CC}">
                <c16:uniqueId val="{00000006-8D94-49D2-A217-CFA893A5D658}"/>
              </c:ext>
            </c:extLst>
          </c:dPt>
          <c:dPt>
            <c:idx val="9"/>
            <c:marker>
              <c:symbol val="circle"/>
              <c:size val="7"/>
            </c:marker>
            <c:bubble3D val="0"/>
            <c:extLst xmlns:c16r2="http://schemas.microsoft.com/office/drawing/2015/06/chart">
              <c:ext xmlns:c16="http://schemas.microsoft.com/office/drawing/2014/chart" uri="{C3380CC4-5D6E-409C-BE32-E72D297353CC}">
                <c16:uniqueId val="{00000007-8D94-49D2-A217-CFA893A5D658}"/>
              </c:ext>
            </c:extLst>
          </c:dPt>
          <c:dPt>
            <c:idx val="10"/>
            <c:marker>
              <c:symbol val="circle"/>
              <c:size val="7"/>
            </c:marker>
            <c:bubble3D val="0"/>
            <c:extLst xmlns:c16r2="http://schemas.microsoft.com/office/drawing/2015/06/chart">
              <c:ext xmlns:c16="http://schemas.microsoft.com/office/drawing/2014/chart" uri="{C3380CC4-5D6E-409C-BE32-E72D297353CC}">
                <c16:uniqueId val="{00000008-8D94-49D2-A217-CFA893A5D658}"/>
              </c:ext>
            </c:extLst>
          </c:dPt>
          <c:cat>
            <c:numRef>
              <c:f>Oxgangs!$D$168:$N$168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Oxgangs!$D$172:$N$172</c:f>
              <c:numCache>
                <c:formatCode>General</c:formatCode>
                <c:ptCount val="11"/>
                <c:pt idx="5" formatCode="0">
                  <c:v>65</c:v>
                </c:pt>
                <c:pt idx="6" formatCode="0">
                  <c:v>0</c:v>
                </c:pt>
                <c:pt idx="7" formatCode="0">
                  <c:v>57</c:v>
                </c:pt>
                <c:pt idx="8" formatCode="0">
                  <c:v>58</c:v>
                </c:pt>
                <c:pt idx="9" formatCode="0">
                  <c:v>64</c:v>
                </c:pt>
                <c:pt idx="10" formatCode="0">
                  <c:v>52</c:v>
                </c:pt>
              </c:numCache>
            </c:numRef>
          </c:val>
          <c:smooth val="0"/>
          <c:extLst xmlns:c16r2="http://schemas.microsoft.com/office/drawing/2015/06/chart">
            <c:ext xmlns:c16="http://schemas.microsoft.com/office/drawing/2014/chart" uri="{C3380CC4-5D6E-409C-BE32-E72D297353CC}">
              <c16:uniqueId val="{00000009-8D94-49D2-A217-CFA893A5D658}"/>
            </c:ext>
          </c:extLst>
        </c:ser>
        <c:ser>
          <c:idx val="3"/>
          <c:order val="3"/>
          <c:tx>
            <c:strRef>
              <c:f>Oxgangs!$B$171</c:f>
              <c:strCache>
                <c:ptCount val="1"/>
                <c:pt idx="0">
                  <c:v>Actual P1 Registrations (as of Jan 2016)</c:v>
                </c:pt>
              </c:strCache>
            </c:strRef>
          </c:tx>
          <c:spPr>
            <a:ln w="15875">
              <a:noFill/>
            </a:ln>
          </c:spPr>
          <c:marker>
            <c:symbol val="diamond"/>
            <c:size val="9"/>
            <c:spPr>
              <a:solidFill>
                <a:schemeClr val="tx1"/>
              </a:solidFill>
            </c:spPr>
          </c:marker>
          <c:cat>
            <c:numRef>
              <c:f>Oxgangs!$D$168:$N$168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Oxgangs!$D$171:$M$171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8D94-49D2-A217-CFA893A5D658}"/>
            </c:ext>
          </c:extLst>
        </c:ser>
        <c:dLbls>
          <c:showLegendKey val="0"/>
          <c:showVal val="0"/>
          <c:showCatName val="0"/>
          <c:showSerName val="0"/>
          <c:showPercent val="0"/>
          <c:showBubbleSize val="0"/>
        </c:dLbls>
        <c:marker val="1"/>
        <c:smooth val="0"/>
        <c:axId val="347332472"/>
        <c:axId val="347332864"/>
      </c:lineChart>
      <c:catAx>
        <c:axId val="347332472"/>
        <c:scaling>
          <c:orientation val="minMax"/>
        </c:scaling>
        <c:delete val="0"/>
        <c:axPos val="b"/>
        <c:numFmt formatCode="General" sourceLinked="1"/>
        <c:majorTickMark val="out"/>
        <c:minorTickMark val="none"/>
        <c:tickLblPos val="nextTo"/>
        <c:crossAx val="347332864"/>
        <c:crosses val="autoZero"/>
        <c:auto val="1"/>
        <c:lblAlgn val="ctr"/>
        <c:lblOffset val="100"/>
        <c:noMultiLvlLbl val="0"/>
      </c:catAx>
      <c:valAx>
        <c:axId val="347332864"/>
        <c:scaling>
          <c:orientation val="minMax"/>
        </c:scaling>
        <c:delete val="0"/>
        <c:axPos val="l"/>
        <c:majorGridlines/>
        <c:numFmt formatCode="#,##0" sourceLinked="1"/>
        <c:majorTickMark val="out"/>
        <c:minorTickMark val="none"/>
        <c:tickLblPos val="nextTo"/>
        <c:crossAx val="347332472"/>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7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A333-4B20-A3E6-E00860B5F4A9}"/>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47333648"/>
        <c:axId val="347334040"/>
      </c:lineChart>
      <c:catAx>
        <c:axId val="347333648"/>
        <c:scaling>
          <c:orientation val="minMax"/>
        </c:scaling>
        <c:delete val="0"/>
        <c:axPos val="b"/>
        <c:numFmt formatCode="General" sourceLinked="1"/>
        <c:majorTickMark val="out"/>
        <c:minorTickMark val="none"/>
        <c:tickLblPos val="nextTo"/>
        <c:crossAx val="347334040"/>
        <c:crosses val="autoZero"/>
        <c:auto val="1"/>
        <c:lblAlgn val="ctr"/>
        <c:lblOffset val="100"/>
        <c:noMultiLvlLbl val="0"/>
      </c:catAx>
      <c:valAx>
        <c:axId val="347334040"/>
        <c:scaling>
          <c:orientation val="minMax"/>
        </c:scaling>
        <c:delete val="0"/>
        <c:axPos val="l"/>
        <c:majorGridlines/>
        <c:numFmt formatCode="General" sourceLinked="1"/>
        <c:majorTickMark val="out"/>
        <c:minorTickMark val="none"/>
        <c:tickLblPos val="nextTo"/>
        <c:crossAx val="347333648"/>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7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square"/>
            <c:size val="7"/>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6EB7-48AD-ACFC-52378CF225F4}"/>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1"/>
          <c:order val="1"/>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1-6EB7-48AD-ACFC-52378CF225F4}"/>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2"/>
          <c:order val="2"/>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6EB7-48AD-ACFC-52378CF225F4}"/>
              </c:ext>
            </c:extLst>
          </c:dPt>
          <c:dPt>
            <c:idx val="5"/>
            <c:marker>
              <c:symbol val="circle"/>
              <c:size val="7"/>
            </c:marker>
            <c:bubble3D val="0"/>
            <c:extLst xmlns:c16r2="http://schemas.microsoft.com/office/drawing/2015/06/chart">
              <c:ext xmlns:c16="http://schemas.microsoft.com/office/drawing/2014/chart" uri="{C3380CC4-5D6E-409C-BE32-E72D297353CC}">
                <c16:uniqueId val="{00000003-6EB7-48AD-ACFC-52378CF225F4}"/>
              </c:ext>
            </c:extLst>
          </c:dPt>
          <c:dPt>
            <c:idx val="6"/>
            <c:marker>
              <c:symbol val="circle"/>
              <c:size val="7"/>
            </c:marker>
            <c:bubble3D val="0"/>
            <c:extLst xmlns:c16r2="http://schemas.microsoft.com/office/drawing/2015/06/chart">
              <c:ext xmlns:c16="http://schemas.microsoft.com/office/drawing/2014/chart" uri="{C3380CC4-5D6E-409C-BE32-E72D297353CC}">
                <c16:uniqueId val="{00000004-6EB7-48AD-ACFC-52378CF225F4}"/>
              </c:ext>
            </c:extLst>
          </c:dPt>
          <c:dPt>
            <c:idx val="7"/>
            <c:marker>
              <c:symbol val="circle"/>
              <c:size val="7"/>
            </c:marker>
            <c:bubble3D val="0"/>
            <c:extLst xmlns:c16r2="http://schemas.microsoft.com/office/drawing/2015/06/chart">
              <c:ext xmlns:c16="http://schemas.microsoft.com/office/drawing/2014/chart" uri="{C3380CC4-5D6E-409C-BE32-E72D297353CC}">
                <c16:uniqueId val="{00000005-6EB7-48AD-ACFC-52378CF225F4}"/>
              </c:ext>
            </c:extLst>
          </c:dPt>
          <c:dPt>
            <c:idx val="8"/>
            <c:marker>
              <c:symbol val="circle"/>
              <c:size val="7"/>
            </c:marker>
            <c:bubble3D val="0"/>
            <c:extLst xmlns:c16r2="http://schemas.microsoft.com/office/drawing/2015/06/chart">
              <c:ext xmlns:c16="http://schemas.microsoft.com/office/drawing/2014/chart" uri="{C3380CC4-5D6E-409C-BE32-E72D297353CC}">
                <c16:uniqueId val="{00000006-6EB7-48AD-ACFC-52378CF225F4}"/>
              </c:ext>
            </c:extLst>
          </c:dPt>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7-6EB7-48AD-ACFC-52378CF225F4}"/>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47334824"/>
        <c:axId val="347335216"/>
      </c:lineChart>
      <c:catAx>
        <c:axId val="347334824"/>
        <c:scaling>
          <c:orientation val="minMax"/>
        </c:scaling>
        <c:delete val="0"/>
        <c:axPos val="b"/>
        <c:numFmt formatCode="General" sourceLinked="1"/>
        <c:majorTickMark val="out"/>
        <c:minorTickMark val="none"/>
        <c:tickLblPos val="nextTo"/>
        <c:crossAx val="347335216"/>
        <c:crosses val="autoZero"/>
        <c:auto val="1"/>
        <c:lblAlgn val="ctr"/>
        <c:lblOffset val="100"/>
        <c:noMultiLvlLbl val="0"/>
      </c:catAx>
      <c:valAx>
        <c:axId val="347335216"/>
        <c:scaling>
          <c:orientation val="minMax"/>
        </c:scaling>
        <c:delete val="0"/>
        <c:axPos val="l"/>
        <c:majorGridlines/>
        <c:numFmt formatCode="General" sourceLinked="1"/>
        <c:majorTickMark val="out"/>
        <c:minorTickMark val="none"/>
        <c:tickLblPos val="nextTo"/>
        <c:crossAx val="347334824"/>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7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'Parsons Green'!$B$177:$B$190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'Parsons Green'!$J$177:$J$190</c:f>
              <c:numCache>
                <c:formatCode>General</c:formatCode>
                <c:ptCount val="14"/>
                <c:pt idx="0">
                  <c:v>364</c:v>
                </c:pt>
                <c:pt idx="1">
                  <c:v>337</c:v>
                </c:pt>
                <c:pt idx="2">
                  <c:v>336</c:v>
                </c:pt>
                <c:pt idx="3">
                  <c:v>320</c:v>
                </c:pt>
                <c:pt idx="4">
                  <c:v>318</c:v>
                </c:pt>
                <c:pt idx="5">
                  <c:v>295</c:v>
                </c:pt>
                <c:pt idx="6">
                  <c:v>291</c:v>
                </c:pt>
                <c:pt idx="7">
                  <c:v>289</c:v>
                </c:pt>
                <c:pt idx="8">
                  <c:v>274</c:v>
                </c:pt>
                <c:pt idx="9">
                  <c:v>262</c:v>
                </c:pt>
                <c:pt idx="10">
                  <c:v>280</c:v>
                </c:pt>
                <c:pt idx="11">
                  <c:v>292</c:v>
                </c:pt>
                <c:pt idx="12">
                  <c:v>311</c:v>
                </c:pt>
                <c:pt idx="13">
                  <c:v>338</c:v>
                </c:pt>
              </c:numCache>
            </c:numRef>
          </c:val>
          <c:smooth val="0"/>
          <c:extLst xmlns:c16r2="http://schemas.microsoft.com/office/drawing/2015/06/chart">
            <c:ext xmlns:c16="http://schemas.microsoft.com/office/drawing/2014/chart" uri="{C3380CC4-5D6E-409C-BE32-E72D297353CC}">
              <c16:uniqueId val="{00000000-8D5B-43BD-BBAD-72B879681C60}"/>
            </c:ext>
          </c:extLst>
        </c:ser>
        <c:dLbls>
          <c:showLegendKey val="0"/>
          <c:showVal val="0"/>
          <c:showCatName val="0"/>
          <c:showSerName val="0"/>
          <c:showPercent val="0"/>
          <c:showBubbleSize val="0"/>
        </c:dLbls>
        <c:marker val="1"/>
        <c:smooth val="0"/>
        <c:axId val="347336000"/>
        <c:axId val="347336392"/>
      </c:lineChart>
      <c:catAx>
        <c:axId val="347336000"/>
        <c:scaling>
          <c:orientation val="minMax"/>
        </c:scaling>
        <c:delete val="0"/>
        <c:axPos val="b"/>
        <c:numFmt formatCode="General" sourceLinked="1"/>
        <c:majorTickMark val="out"/>
        <c:minorTickMark val="none"/>
        <c:tickLblPos val="nextTo"/>
        <c:crossAx val="347336392"/>
        <c:crosses val="autoZero"/>
        <c:auto val="1"/>
        <c:lblAlgn val="ctr"/>
        <c:lblOffset val="100"/>
        <c:noMultiLvlLbl val="0"/>
      </c:catAx>
      <c:valAx>
        <c:axId val="347336392"/>
        <c:scaling>
          <c:orientation val="minMax"/>
        </c:scaling>
        <c:delete val="0"/>
        <c:axPos val="l"/>
        <c:majorGridlines/>
        <c:numFmt formatCode="General" sourceLinked="1"/>
        <c:majorTickMark val="out"/>
        <c:minorTickMark val="none"/>
        <c:tickLblPos val="nextTo"/>
        <c:crossAx val="347336000"/>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8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'Parsons Green'!$B$169</c:f>
              <c:strCache>
                <c:ptCount val="1"/>
                <c:pt idx="0">
                  <c:v>Catchment Births (5yrs Prior)</c:v>
                </c:pt>
              </c:strCache>
            </c:strRef>
          </c:tx>
          <c:marker>
            <c:symbol val="square"/>
            <c:size val="7"/>
          </c:marker>
          <c:cat>
            <c:numRef>
              <c:f>'Parsons Green'!$D$168:$N$168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'Parsons Green'!$D$169:$N$169</c:f>
              <c:numCache>
                <c:formatCode>#,##0</c:formatCode>
                <c:ptCount val="11"/>
                <c:pt idx="0">
                  <c:v>53</c:v>
                </c:pt>
                <c:pt idx="1">
                  <c:v>54</c:v>
                </c:pt>
                <c:pt idx="2">
                  <c:v>64</c:v>
                </c:pt>
                <c:pt idx="3">
                  <c:v>59</c:v>
                </c:pt>
                <c:pt idx="4">
                  <c:v>62</c:v>
                </c:pt>
                <c:pt idx="5">
                  <c:v>83</c:v>
                </c:pt>
                <c:pt idx="6">
                  <c:v>52</c:v>
                </c:pt>
                <c:pt idx="7">
                  <c:v>64</c:v>
                </c:pt>
                <c:pt idx="8">
                  <c:v>72</c:v>
                </c:pt>
                <c:pt idx="9">
                  <c:v>62</c:v>
                </c:pt>
                <c:pt idx="10">
                  <c:v>38</c:v>
                </c:pt>
              </c:numCache>
            </c:numRef>
          </c:val>
          <c:smooth val="0"/>
          <c:extLst xmlns:c16r2="http://schemas.microsoft.com/office/drawing/2015/06/chart">
            <c:ext xmlns:c16="http://schemas.microsoft.com/office/drawing/2014/chart" uri="{C3380CC4-5D6E-409C-BE32-E72D297353CC}">
              <c16:uniqueId val="{00000000-78A4-44E7-A135-DB7E7F174B3E}"/>
            </c:ext>
          </c:extLst>
        </c:ser>
        <c:ser>
          <c:idx val="1"/>
          <c:order val="1"/>
          <c:tx>
            <c:strRef>
              <c:f>'Parsons Green'!$B$170</c:f>
              <c:strCache>
                <c:ptCount val="1"/>
                <c:pt idx="0">
                  <c:v>P1 ND Catchment Population (Actual)</c:v>
                </c:pt>
              </c:strCache>
            </c:strRef>
          </c:tx>
          <c:cat>
            <c:numRef>
              <c:f>'Parsons Green'!$D$168:$N$168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'Parsons Green'!$D$170:$I$170</c:f>
              <c:numCache>
                <c:formatCode>#,##0</c:formatCode>
                <c:ptCount val="6"/>
                <c:pt idx="0">
                  <c:v>29</c:v>
                </c:pt>
                <c:pt idx="1">
                  <c:v>36</c:v>
                </c:pt>
                <c:pt idx="2">
                  <c:v>54</c:v>
                </c:pt>
                <c:pt idx="3">
                  <c:v>39</c:v>
                </c:pt>
                <c:pt idx="4">
                  <c:v>49</c:v>
                </c:pt>
                <c:pt idx="5">
                  <c:v>57</c:v>
                </c:pt>
              </c:numCache>
            </c:numRef>
          </c:val>
          <c:smooth val="0"/>
          <c:extLst xmlns:c16r2="http://schemas.microsoft.com/office/drawing/2015/06/chart">
            <c:ext xmlns:c16="http://schemas.microsoft.com/office/drawing/2014/chart" uri="{C3380CC4-5D6E-409C-BE32-E72D297353CC}">
              <c16:uniqueId val="{00000001-78A4-44E7-A135-DB7E7F174B3E}"/>
            </c:ext>
          </c:extLst>
        </c:ser>
        <c:ser>
          <c:idx val="2"/>
          <c:order val="2"/>
          <c:tx>
            <c:strRef>
              <c:f>'Parsons Green'!$B$172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78A4-44E7-A135-DB7E7F174B3E}"/>
              </c:ext>
            </c:extLst>
          </c:dPt>
          <c:dPt>
            <c:idx val="5"/>
            <c:marker>
              <c:symbol val="none"/>
            </c:marker>
            <c:bubble3D val="0"/>
            <c:extLst xmlns:c16r2="http://schemas.microsoft.com/office/drawing/2015/06/chart">
              <c:ext xmlns:c16="http://schemas.microsoft.com/office/drawing/2014/chart" uri="{C3380CC4-5D6E-409C-BE32-E72D297353CC}">
                <c16:uniqueId val="{00000003-78A4-44E7-A135-DB7E7F174B3E}"/>
              </c:ext>
            </c:extLst>
          </c:dPt>
          <c:dPt>
            <c:idx val="6"/>
            <c:marker>
              <c:symbol val="circle"/>
              <c:size val="7"/>
            </c:marker>
            <c:bubble3D val="0"/>
            <c:extLst xmlns:c16r2="http://schemas.microsoft.com/office/drawing/2015/06/chart">
              <c:ext xmlns:c16="http://schemas.microsoft.com/office/drawing/2014/chart" uri="{C3380CC4-5D6E-409C-BE32-E72D297353CC}">
                <c16:uniqueId val="{00000004-78A4-44E7-A135-DB7E7F174B3E}"/>
              </c:ext>
            </c:extLst>
          </c:dPt>
          <c:dPt>
            <c:idx val="7"/>
            <c:marker>
              <c:symbol val="circle"/>
              <c:size val="7"/>
            </c:marker>
            <c:bubble3D val="0"/>
            <c:extLst xmlns:c16r2="http://schemas.microsoft.com/office/drawing/2015/06/chart">
              <c:ext xmlns:c16="http://schemas.microsoft.com/office/drawing/2014/chart" uri="{C3380CC4-5D6E-409C-BE32-E72D297353CC}">
                <c16:uniqueId val="{00000005-78A4-44E7-A135-DB7E7F174B3E}"/>
              </c:ext>
            </c:extLst>
          </c:dPt>
          <c:dPt>
            <c:idx val="8"/>
            <c:marker>
              <c:symbol val="circle"/>
              <c:size val="7"/>
            </c:marker>
            <c:bubble3D val="0"/>
            <c:extLst xmlns:c16r2="http://schemas.microsoft.com/office/drawing/2015/06/chart">
              <c:ext xmlns:c16="http://schemas.microsoft.com/office/drawing/2014/chart" uri="{C3380CC4-5D6E-409C-BE32-E72D297353CC}">
                <c16:uniqueId val="{00000006-78A4-44E7-A135-DB7E7F174B3E}"/>
              </c:ext>
            </c:extLst>
          </c:dPt>
          <c:dPt>
            <c:idx val="9"/>
            <c:marker>
              <c:symbol val="circle"/>
              <c:size val="7"/>
            </c:marker>
            <c:bubble3D val="0"/>
            <c:extLst xmlns:c16r2="http://schemas.microsoft.com/office/drawing/2015/06/chart">
              <c:ext xmlns:c16="http://schemas.microsoft.com/office/drawing/2014/chart" uri="{C3380CC4-5D6E-409C-BE32-E72D297353CC}">
                <c16:uniqueId val="{00000007-78A4-44E7-A135-DB7E7F174B3E}"/>
              </c:ext>
            </c:extLst>
          </c:dPt>
          <c:dPt>
            <c:idx val="10"/>
            <c:marker>
              <c:symbol val="circle"/>
              <c:size val="7"/>
            </c:marker>
            <c:bubble3D val="0"/>
            <c:extLst xmlns:c16r2="http://schemas.microsoft.com/office/drawing/2015/06/chart">
              <c:ext xmlns:c16="http://schemas.microsoft.com/office/drawing/2014/chart" uri="{C3380CC4-5D6E-409C-BE32-E72D297353CC}">
                <c16:uniqueId val="{00000008-78A4-44E7-A135-DB7E7F174B3E}"/>
              </c:ext>
            </c:extLst>
          </c:dPt>
          <c:cat>
            <c:numRef>
              <c:f>'Parsons Green'!$D$168:$N$168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'Parsons Green'!$D$172:$N$172</c:f>
              <c:numCache>
                <c:formatCode>General</c:formatCode>
                <c:ptCount val="11"/>
                <c:pt idx="5" formatCode="0">
                  <c:v>57</c:v>
                </c:pt>
                <c:pt idx="6" formatCode="0">
                  <c:v>0</c:v>
                </c:pt>
                <c:pt idx="7" formatCode="0">
                  <c:v>45</c:v>
                </c:pt>
                <c:pt idx="8" formatCode="0">
                  <c:v>27</c:v>
                </c:pt>
                <c:pt idx="9" formatCode="0">
                  <c:v>42</c:v>
                </c:pt>
                <c:pt idx="10" formatCode="0">
                  <c:v>41</c:v>
                </c:pt>
              </c:numCache>
            </c:numRef>
          </c:val>
          <c:smooth val="0"/>
          <c:extLst xmlns:c16r2="http://schemas.microsoft.com/office/drawing/2015/06/chart">
            <c:ext xmlns:c16="http://schemas.microsoft.com/office/drawing/2014/chart" uri="{C3380CC4-5D6E-409C-BE32-E72D297353CC}">
              <c16:uniqueId val="{00000009-78A4-44E7-A135-DB7E7F174B3E}"/>
            </c:ext>
          </c:extLst>
        </c:ser>
        <c:ser>
          <c:idx val="3"/>
          <c:order val="3"/>
          <c:tx>
            <c:strRef>
              <c:f>'Parsons Green'!$B$171</c:f>
              <c:strCache>
                <c:ptCount val="1"/>
                <c:pt idx="0">
                  <c:v>Actual P1 Registrations (as of Jan 2016)</c:v>
                </c:pt>
              </c:strCache>
            </c:strRef>
          </c:tx>
          <c:spPr>
            <a:ln w="15875">
              <a:noFill/>
            </a:ln>
          </c:spPr>
          <c:marker>
            <c:symbol val="diamond"/>
            <c:size val="9"/>
            <c:spPr>
              <a:solidFill>
                <a:schemeClr val="tx1"/>
              </a:solidFill>
            </c:spPr>
          </c:marker>
          <c:cat>
            <c:numRef>
              <c:f>'Parsons Green'!$D$168:$N$168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'Parsons Green'!$D$171:$M$171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78A4-44E7-A135-DB7E7F174B3E}"/>
            </c:ext>
          </c:extLst>
        </c:ser>
        <c:dLbls>
          <c:showLegendKey val="0"/>
          <c:showVal val="0"/>
          <c:showCatName val="0"/>
          <c:showSerName val="0"/>
          <c:showPercent val="0"/>
          <c:showBubbleSize val="0"/>
        </c:dLbls>
        <c:marker val="1"/>
        <c:smooth val="0"/>
        <c:axId val="345871072"/>
        <c:axId val="345871464"/>
      </c:lineChart>
      <c:catAx>
        <c:axId val="345871072"/>
        <c:scaling>
          <c:orientation val="minMax"/>
        </c:scaling>
        <c:delete val="0"/>
        <c:axPos val="b"/>
        <c:numFmt formatCode="General" sourceLinked="1"/>
        <c:majorTickMark val="out"/>
        <c:minorTickMark val="none"/>
        <c:tickLblPos val="nextTo"/>
        <c:crossAx val="345871464"/>
        <c:crosses val="autoZero"/>
        <c:auto val="1"/>
        <c:lblAlgn val="ctr"/>
        <c:lblOffset val="100"/>
        <c:noMultiLvlLbl val="0"/>
      </c:catAx>
      <c:valAx>
        <c:axId val="345871464"/>
        <c:scaling>
          <c:orientation val="minMax"/>
        </c:scaling>
        <c:delete val="0"/>
        <c:axPos val="l"/>
        <c:majorGridlines/>
        <c:numFmt formatCode="#,##0" sourceLinked="1"/>
        <c:majorTickMark val="out"/>
        <c:minorTickMark val="none"/>
        <c:tickLblPos val="nextTo"/>
        <c:crossAx val="345871072"/>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8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AD05-4A14-9B78-E9784F8FB350}"/>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45872248"/>
        <c:axId val="345872640"/>
      </c:lineChart>
      <c:catAx>
        <c:axId val="345872248"/>
        <c:scaling>
          <c:orientation val="minMax"/>
        </c:scaling>
        <c:delete val="0"/>
        <c:axPos val="b"/>
        <c:numFmt formatCode="General" sourceLinked="1"/>
        <c:majorTickMark val="out"/>
        <c:minorTickMark val="none"/>
        <c:tickLblPos val="nextTo"/>
        <c:crossAx val="345872640"/>
        <c:crosses val="autoZero"/>
        <c:auto val="1"/>
        <c:lblAlgn val="ctr"/>
        <c:lblOffset val="100"/>
        <c:noMultiLvlLbl val="0"/>
      </c:catAx>
      <c:valAx>
        <c:axId val="345872640"/>
        <c:scaling>
          <c:orientation val="minMax"/>
        </c:scaling>
        <c:delete val="0"/>
        <c:axPos val="l"/>
        <c:majorGridlines/>
        <c:numFmt formatCode="General" sourceLinked="1"/>
        <c:majorTickMark val="out"/>
        <c:minorTickMark val="none"/>
        <c:tickLblPos val="nextTo"/>
        <c:crossAx val="345872248"/>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8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square"/>
            <c:size val="7"/>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17AE-4C5B-A628-A29CB0317851}"/>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1"/>
          <c:order val="1"/>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1-17AE-4C5B-A628-A29CB0317851}"/>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2"/>
          <c:order val="2"/>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17AE-4C5B-A628-A29CB0317851}"/>
              </c:ext>
            </c:extLst>
          </c:dPt>
          <c:dPt>
            <c:idx val="5"/>
            <c:marker>
              <c:symbol val="circle"/>
              <c:size val="7"/>
            </c:marker>
            <c:bubble3D val="0"/>
            <c:extLst xmlns:c16r2="http://schemas.microsoft.com/office/drawing/2015/06/chart">
              <c:ext xmlns:c16="http://schemas.microsoft.com/office/drawing/2014/chart" uri="{C3380CC4-5D6E-409C-BE32-E72D297353CC}">
                <c16:uniqueId val="{00000003-17AE-4C5B-A628-A29CB0317851}"/>
              </c:ext>
            </c:extLst>
          </c:dPt>
          <c:dPt>
            <c:idx val="6"/>
            <c:marker>
              <c:symbol val="circle"/>
              <c:size val="7"/>
            </c:marker>
            <c:bubble3D val="0"/>
            <c:extLst xmlns:c16r2="http://schemas.microsoft.com/office/drawing/2015/06/chart">
              <c:ext xmlns:c16="http://schemas.microsoft.com/office/drawing/2014/chart" uri="{C3380CC4-5D6E-409C-BE32-E72D297353CC}">
                <c16:uniqueId val="{00000004-17AE-4C5B-A628-A29CB0317851}"/>
              </c:ext>
            </c:extLst>
          </c:dPt>
          <c:dPt>
            <c:idx val="7"/>
            <c:marker>
              <c:symbol val="circle"/>
              <c:size val="7"/>
            </c:marker>
            <c:bubble3D val="0"/>
            <c:extLst xmlns:c16r2="http://schemas.microsoft.com/office/drawing/2015/06/chart">
              <c:ext xmlns:c16="http://schemas.microsoft.com/office/drawing/2014/chart" uri="{C3380CC4-5D6E-409C-BE32-E72D297353CC}">
                <c16:uniqueId val="{00000005-17AE-4C5B-A628-A29CB0317851}"/>
              </c:ext>
            </c:extLst>
          </c:dPt>
          <c:dPt>
            <c:idx val="8"/>
            <c:marker>
              <c:symbol val="circle"/>
              <c:size val="7"/>
            </c:marker>
            <c:bubble3D val="0"/>
            <c:extLst xmlns:c16r2="http://schemas.microsoft.com/office/drawing/2015/06/chart">
              <c:ext xmlns:c16="http://schemas.microsoft.com/office/drawing/2014/chart" uri="{C3380CC4-5D6E-409C-BE32-E72D297353CC}">
                <c16:uniqueId val="{00000006-17AE-4C5B-A628-A29CB0317851}"/>
              </c:ext>
            </c:extLst>
          </c:dPt>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7-17AE-4C5B-A628-A29CB0317851}"/>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45873424"/>
        <c:axId val="345873816"/>
      </c:lineChart>
      <c:catAx>
        <c:axId val="345873424"/>
        <c:scaling>
          <c:orientation val="minMax"/>
        </c:scaling>
        <c:delete val="0"/>
        <c:axPos val="b"/>
        <c:numFmt formatCode="General" sourceLinked="1"/>
        <c:majorTickMark val="out"/>
        <c:minorTickMark val="none"/>
        <c:tickLblPos val="nextTo"/>
        <c:crossAx val="345873816"/>
        <c:crosses val="autoZero"/>
        <c:auto val="1"/>
        <c:lblAlgn val="ctr"/>
        <c:lblOffset val="100"/>
        <c:noMultiLvlLbl val="0"/>
      </c:catAx>
      <c:valAx>
        <c:axId val="345873816"/>
        <c:scaling>
          <c:orientation val="minMax"/>
        </c:scaling>
        <c:delete val="0"/>
        <c:axPos val="l"/>
        <c:majorGridlines/>
        <c:numFmt formatCode="General" sourceLinked="1"/>
        <c:majorTickMark val="out"/>
        <c:minorTickMark val="none"/>
        <c:tickLblPos val="nextTo"/>
        <c:crossAx val="345873424"/>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8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Pentland!$B$177:$B$190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Pentland!$J$177:$J$190</c:f>
              <c:numCache>
                <c:formatCode>General</c:formatCode>
                <c:ptCount val="14"/>
                <c:pt idx="0">
                  <c:v>0</c:v>
                </c:pt>
                <c:pt idx="1">
                  <c:v>0</c:v>
                </c:pt>
                <c:pt idx="2">
                  <c:v>0</c:v>
                </c:pt>
                <c:pt idx="3">
                  <c:v>345</c:v>
                </c:pt>
                <c:pt idx="4">
                  <c:v>331</c:v>
                </c:pt>
                <c:pt idx="5">
                  <c:v>326</c:v>
                </c:pt>
                <c:pt idx="6">
                  <c:v>326</c:v>
                </c:pt>
                <c:pt idx="7">
                  <c:v>334</c:v>
                </c:pt>
                <c:pt idx="8">
                  <c:v>339</c:v>
                </c:pt>
                <c:pt idx="9">
                  <c:v>368</c:v>
                </c:pt>
                <c:pt idx="10">
                  <c:v>378</c:v>
                </c:pt>
                <c:pt idx="11">
                  <c:v>405</c:v>
                </c:pt>
                <c:pt idx="12">
                  <c:v>418</c:v>
                </c:pt>
                <c:pt idx="13">
                  <c:v>437</c:v>
                </c:pt>
              </c:numCache>
            </c:numRef>
          </c:val>
          <c:smooth val="0"/>
          <c:extLst xmlns:c16r2="http://schemas.microsoft.com/office/drawing/2015/06/chart">
            <c:ext xmlns:c16="http://schemas.microsoft.com/office/drawing/2014/chart" uri="{C3380CC4-5D6E-409C-BE32-E72D297353CC}">
              <c16:uniqueId val="{00000000-6F10-432E-9C04-79FDAD8C57ED}"/>
            </c:ext>
          </c:extLst>
        </c:ser>
        <c:dLbls>
          <c:showLegendKey val="0"/>
          <c:showVal val="0"/>
          <c:showCatName val="0"/>
          <c:showSerName val="0"/>
          <c:showPercent val="0"/>
          <c:showBubbleSize val="0"/>
        </c:dLbls>
        <c:marker val="1"/>
        <c:smooth val="0"/>
        <c:axId val="345874600"/>
        <c:axId val="345874992"/>
      </c:lineChart>
      <c:catAx>
        <c:axId val="345874600"/>
        <c:scaling>
          <c:orientation val="minMax"/>
        </c:scaling>
        <c:delete val="0"/>
        <c:axPos val="b"/>
        <c:numFmt formatCode="General" sourceLinked="1"/>
        <c:majorTickMark val="out"/>
        <c:minorTickMark val="none"/>
        <c:tickLblPos val="nextTo"/>
        <c:crossAx val="345874992"/>
        <c:crosses val="autoZero"/>
        <c:auto val="1"/>
        <c:lblAlgn val="ctr"/>
        <c:lblOffset val="100"/>
        <c:noMultiLvlLbl val="0"/>
      </c:catAx>
      <c:valAx>
        <c:axId val="345874992"/>
        <c:scaling>
          <c:orientation val="minMax"/>
        </c:scaling>
        <c:delete val="0"/>
        <c:axPos val="l"/>
        <c:majorGridlines/>
        <c:numFmt formatCode="General" sourceLinked="1"/>
        <c:majorTickMark val="out"/>
        <c:minorTickMark val="none"/>
        <c:tickLblPos val="nextTo"/>
        <c:crossAx val="345874600"/>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8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Pentland!$B$169</c:f>
              <c:strCache>
                <c:ptCount val="1"/>
                <c:pt idx="0">
                  <c:v>Catchment Births (5yrs Prior)</c:v>
                </c:pt>
              </c:strCache>
            </c:strRef>
          </c:tx>
          <c:marker>
            <c:symbol val="square"/>
            <c:size val="7"/>
          </c:marker>
          <c:cat>
            <c:numRef>
              <c:f>Pentland!$D$168:$N$168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Pentland!$D$169:$N$169</c:f>
              <c:numCache>
                <c:formatCode>#,##0</c:formatCode>
                <c:ptCount val="11"/>
                <c:pt idx="0">
                  <c:v>73</c:v>
                </c:pt>
                <c:pt idx="1">
                  <c:v>79</c:v>
                </c:pt>
                <c:pt idx="2">
                  <c:v>93</c:v>
                </c:pt>
                <c:pt idx="3">
                  <c:v>85</c:v>
                </c:pt>
                <c:pt idx="4">
                  <c:v>83</c:v>
                </c:pt>
                <c:pt idx="5">
                  <c:v>92</c:v>
                </c:pt>
                <c:pt idx="6">
                  <c:v>78</c:v>
                </c:pt>
                <c:pt idx="7">
                  <c:v>83</c:v>
                </c:pt>
                <c:pt idx="8">
                  <c:v>64</c:v>
                </c:pt>
                <c:pt idx="9">
                  <c:v>77</c:v>
                </c:pt>
                <c:pt idx="10">
                  <c:v>87</c:v>
                </c:pt>
              </c:numCache>
            </c:numRef>
          </c:val>
          <c:smooth val="0"/>
          <c:extLst xmlns:c16r2="http://schemas.microsoft.com/office/drawing/2015/06/chart">
            <c:ext xmlns:c16="http://schemas.microsoft.com/office/drawing/2014/chart" uri="{C3380CC4-5D6E-409C-BE32-E72D297353CC}">
              <c16:uniqueId val="{00000000-0C3E-4C7F-B553-FCAEB054055E}"/>
            </c:ext>
          </c:extLst>
        </c:ser>
        <c:ser>
          <c:idx val="1"/>
          <c:order val="1"/>
          <c:tx>
            <c:strRef>
              <c:f>Pentland!$B$170</c:f>
              <c:strCache>
                <c:ptCount val="1"/>
                <c:pt idx="0">
                  <c:v>P1 ND Catchment Population (Actual)</c:v>
                </c:pt>
              </c:strCache>
            </c:strRef>
          </c:tx>
          <c:cat>
            <c:numRef>
              <c:f>Pentland!$D$168:$N$168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Pentland!$D$170:$I$170</c:f>
              <c:numCache>
                <c:formatCode>#,##0</c:formatCode>
                <c:ptCount val="6"/>
                <c:pt idx="0">
                  <c:v>54</c:v>
                </c:pt>
                <c:pt idx="1">
                  <c:v>75</c:v>
                </c:pt>
                <c:pt idx="2">
                  <c:v>88</c:v>
                </c:pt>
                <c:pt idx="3">
                  <c:v>68</c:v>
                </c:pt>
                <c:pt idx="4">
                  <c:v>75</c:v>
                </c:pt>
                <c:pt idx="5">
                  <c:v>74</c:v>
                </c:pt>
              </c:numCache>
            </c:numRef>
          </c:val>
          <c:smooth val="0"/>
          <c:extLst xmlns:c16r2="http://schemas.microsoft.com/office/drawing/2015/06/chart">
            <c:ext xmlns:c16="http://schemas.microsoft.com/office/drawing/2014/chart" uri="{C3380CC4-5D6E-409C-BE32-E72D297353CC}">
              <c16:uniqueId val="{00000001-0C3E-4C7F-B553-FCAEB054055E}"/>
            </c:ext>
          </c:extLst>
        </c:ser>
        <c:ser>
          <c:idx val="2"/>
          <c:order val="2"/>
          <c:tx>
            <c:strRef>
              <c:f>Pentland!$B$172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0C3E-4C7F-B553-FCAEB054055E}"/>
              </c:ext>
            </c:extLst>
          </c:dPt>
          <c:dPt>
            <c:idx val="5"/>
            <c:marker>
              <c:symbol val="none"/>
            </c:marker>
            <c:bubble3D val="0"/>
            <c:extLst xmlns:c16r2="http://schemas.microsoft.com/office/drawing/2015/06/chart">
              <c:ext xmlns:c16="http://schemas.microsoft.com/office/drawing/2014/chart" uri="{C3380CC4-5D6E-409C-BE32-E72D297353CC}">
                <c16:uniqueId val="{00000003-0C3E-4C7F-B553-FCAEB054055E}"/>
              </c:ext>
            </c:extLst>
          </c:dPt>
          <c:dPt>
            <c:idx val="6"/>
            <c:marker>
              <c:symbol val="circle"/>
              <c:size val="7"/>
            </c:marker>
            <c:bubble3D val="0"/>
            <c:extLst xmlns:c16r2="http://schemas.microsoft.com/office/drawing/2015/06/chart">
              <c:ext xmlns:c16="http://schemas.microsoft.com/office/drawing/2014/chart" uri="{C3380CC4-5D6E-409C-BE32-E72D297353CC}">
                <c16:uniqueId val="{00000004-0C3E-4C7F-B553-FCAEB054055E}"/>
              </c:ext>
            </c:extLst>
          </c:dPt>
          <c:dPt>
            <c:idx val="7"/>
            <c:marker>
              <c:symbol val="circle"/>
              <c:size val="7"/>
            </c:marker>
            <c:bubble3D val="0"/>
            <c:extLst xmlns:c16r2="http://schemas.microsoft.com/office/drawing/2015/06/chart">
              <c:ext xmlns:c16="http://schemas.microsoft.com/office/drawing/2014/chart" uri="{C3380CC4-5D6E-409C-BE32-E72D297353CC}">
                <c16:uniqueId val="{00000005-0C3E-4C7F-B553-FCAEB054055E}"/>
              </c:ext>
            </c:extLst>
          </c:dPt>
          <c:dPt>
            <c:idx val="8"/>
            <c:marker>
              <c:symbol val="circle"/>
              <c:size val="7"/>
            </c:marker>
            <c:bubble3D val="0"/>
            <c:extLst xmlns:c16r2="http://schemas.microsoft.com/office/drawing/2015/06/chart">
              <c:ext xmlns:c16="http://schemas.microsoft.com/office/drawing/2014/chart" uri="{C3380CC4-5D6E-409C-BE32-E72D297353CC}">
                <c16:uniqueId val="{00000006-0C3E-4C7F-B553-FCAEB054055E}"/>
              </c:ext>
            </c:extLst>
          </c:dPt>
          <c:dPt>
            <c:idx val="9"/>
            <c:marker>
              <c:symbol val="circle"/>
              <c:size val="7"/>
            </c:marker>
            <c:bubble3D val="0"/>
            <c:extLst xmlns:c16r2="http://schemas.microsoft.com/office/drawing/2015/06/chart">
              <c:ext xmlns:c16="http://schemas.microsoft.com/office/drawing/2014/chart" uri="{C3380CC4-5D6E-409C-BE32-E72D297353CC}">
                <c16:uniqueId val="{00000007-0C3E-4C7F-B553-FCAEB054055E}"/>
              </c:ext>
            </c:extLst>
          </c:dPt>
          <c:dPt>
            <c:idx val="10"/>
            <c:marker>
              <c:symbol val="circle"/>
              <c:size val="7"/>
            </c:marker>
            <c:bubble3D val="0"/>
            <c:extLst xmlns:c16r2="http://schemas.microsoft.com/office/drawing/2015/06/chart">
              <c:ext xmlns:c16="http://schemas.microsoft.com/office/drawing/2014/chart" uri="{C3380CC4-5D6E-409C-BE32-E72D297353CC}">
                <c16:uniqueId val="{00000008-0C3E-4C7F-B553-FCAEB054055E}"/>
              </c:ext>
            </c:extLst>
          </c:dPt>
          <c:cat>
            <c:numRef>
              <c:f>Pentland!$D$168:$N$168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Pentland!$D$172:$N$172</c:f>
              <c:numCache>
                <c:formatCode>General</c:formatCode>
                <c:ptCount val="11"/>
                <c:pt idx="5" formatCode="0">
                  <c:v>74</c:v>
                </c:pt>
                <c:pt idx="6" formatCode="0">
                  <c:v>0</c:v>
                </c:pt>
                <c:pt idx="7" formatCode="0">
                  <c:v>67</c:v>
                </c:pt>
                <c:pt idx="8" formatCode="0">
                  <c:v>75</c:v>
                </c:pt>
                <c:pt idx="9" formatCode="0">
                  <c:v>77</c:v>
                </c:pt>
                <c:pt idx="10" formatCode="0">
                  <c:v>64</c:v>
                </c:pt>
              </c:numCache>
            </c:numRef>
          </c:val>
          <c:smooth val="0"/>
          <c:extLst xmlns:c16r2="http://schemas.microsoft.com/office/drawing/2015/06/chart">
            <c:ext xmlns:c16="http://schemas.microsoft.com/office/drawing/2014/chart" uri="{C3380CC4-5D6E-409C-BE32-E72D297353CC}">
              <c16:uniqueId val="{00000009-0C3E-4C7F-B553-FCAEB054055E}"/>
            </c:ext>
          </c:extLst>
        </c:ser>
        <c:ser>
          <c:idx val="3"/>
          <c:order val="3"/>
          <c:tx>
            <c:strRef>
              <c:f>Pentland!$B$171</c:f>
              <c:strCache>
                <c:ptCount val="1"/>
                <c:pt idx="0">
                  <c:v>Actual P1 Registrations (as of Jan 2016)</c:v>
                </c:pt>
              </c:strCache>
            </c:strRef>
          </c:tx>
          <c:spPr>
            <a:ln w="15875">
              <a:noFill/>
            </a:ln>
          </c:spPr>
          <c:marker>
            <c:symbol val="diamond"/>
            <c:size val="9"/>
            <c:spPr>
              <a:solidFill>
                <a:schemeClr val="tx1"/>
              </a:solidFill>
            </c:spPr>
          </c:marker>
          <c:cat>
            <c:numRef>
              <c:f>Pentland!$D$168:$N$168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Pentland!$D$171:$M$171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0C3E-4C7F-B553-FCAEB054055E}"/>
            </c:ext>
          </c:extLst>
        </c:ser>
        <c:dLbls>
          <c:showLegendKey val="0"/>
          <c:showVal val="0"/>
          <c:showCatName val="0"/>
          <c:showSerName val="0"/>
          <c:showPercent val="0"/>
          <c:showBubbleSize val="0"/>
        </c:dLbls>
        <c:marker val="1"/>
        <c:smooth val="0"/>
        <c:axId val="345875776"/>
        <c:axId val="345876168"/>
      </c:lineChart>
      <c:catAx>
        <c:axId val="345875776"/>
        <c:scaling>
          <c:orientation val="minMax"/>
        </c:scaling>
        <c:delete val="0"/>
        <c:axPos val="b"/>
        <c:numFmt formatCode="General" sourceLinked="1"/>
        <c:majorTickMark val="out"/>
        <c:minorTickMark val="none"/>
        <c:tickLblPos val="nextTo"/>
        <c:crossAx val="345876168"/>
        <c:crosses val="autoZero"/>
        <c:auto val="1"/>
        <c:lblAlgn val="ctr"/>
        <c:lblOffset val="100"/>
        <c:noMultiLvlLbl val="0"/>
      </c:catAx>
      <c:valAx>
        <c:axId val="345876168"/>
        <c:scaling>
          <c:orientation val="minMax"/>
        </c:scaling>
        <c:delete val="0"/>
        <c:axPos val="l"/>
        <c:majorGridlines/>
        <c:numFmt formatCode="#,##0" sourceLinked="1"/>
        <c:majorTickMark val="out"/>
        <c:minorTickMark val="none"/>
        <c:tickLblPos val="nextTo"/>
        <c:crossAx val="345875776"/>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8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3D94-4126-99D7-52AD43EA14AC}"/>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45876952"/>
        <c:axId val="345877344"/>
      </c:lineChart>
      <c:catAx>
        <c:axId val="345876952"/>
        <c:scaling>
          <c:orientation val="minMax"/>
        </c:scaling>
        <c:delete val="0"/>
        <c:axPos val="b"/>
        <c:numFmt formatCode="General" sourceLinked="1"/>
        <c:majorTickMark val="out"/>
        <c:minorTickMark val="none"/>
        <c:tickLblPos val="nextTo"/>
        <c:crossAx val="345877344"/>
        <c:crosses val="autoZero"/>
        <c:auto val="1"/>
        <c:lblAlgn val="ctr"/>
        <c:lblOffset val="100"/>
        <c:noMultiLvlLbl val="0"/>
      </c:catAx>
      <c:valAx>
        <c:axId val="345877344"/>
        <c:scaling>
          <c:orientation val="minMax"/>
        </c:scaling>
        <c:delete val="0"/>
        <c:axPos val="l"/>
        <c:majorGridlines/>
        <c:numFmt formatCode="General" sourceLinked="1"/>
        <c:majorTickMark val="out"/>
        <c:minorTickMark val="none"/>
        <c:tickLblPos val="nextTo"/>
        <c:crossAx val="345876952"/>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8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square"/>
            <c:size val="7"/>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6074-4D41-9C15-B7F891DBD221}"/>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1"/>
          <c:order val="1"/>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1-6074-4D41-9C15-B7F891DBD221}"/>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2"/>
          <c:order val="2"/>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6074-4D41-9C15-B7F891DBD221}"/>
              </c:ext>
            </c:extLst>
          </c:dPt>
          <c:dPt>
            <c:idx val="5"/>
            <c:marker>
              <c:symbol val="circle"/>
              <c:size val="7"/>
            </c:marker>
            <c:bubble3D val="0"/>
            <c:extLst xmlns:c16r2="http://schemas.microsoft.com/office/drawing/2015/06/chart">
              <c:ext xmlns:c16="http://schemas.microsoft.com/office/drawing/2014/chart" uri="{C3380CC4-5D6E-409C-BE32-E72D297353CC}">
                <c16:uniqueId val="{00000003-6074-4D41-9C15-B7F891DBD221}"/>
              </c:ext>
            </c:extLst>
          </c:dPt>
          <c:dPt>
            <c:idx val="6"/>
            <c:marker>
              <c:symbol val="circle"/>
              <c:size val="7"/>
            </c:marker>
            <c:bubble3D val="0"/>
            <c:extLst xmlns:c16r2="http://schemas.microsoft.com/office/drawing/2015/06/chart">
              <c:ext xmlns:c16="http://schemas.microsoft.com/office/drawing/2014/chart" uri="{C3380CC4-5D6E-409C-BE32-E72D297353CC}">
                <c16:uniqueId val="{00000004-6074-4D41-9C15-B7F891DBD221}"/>
              </c:ext>
            </c:extLst>
          </c:dPt>
          <c:dPt>
            <c:idx val="7"/>
            <c:marker>
              <c:symbol val="circle"/>
              <c:size val="7"/>
            </c:marker>
            <c:bubble3D val="0"/>
            <c:extLst xmlns:c16r2="http://schemas.microsoft.com/office/drawing/2015/06/chart">
              <c:ext xmlns:c16="http://schemas.microsoft.com/office/drawing/2014/chart" uri="{C3380CC4-5D6E-409C-BE32-E72D297353CC}">
                <c16:uniqueId val="{00000005-6074-4D41-9C15-B7F891DBD221}"/>
              </c:ext>
            </c:extLst>
          </c:dPt>
          <c:dPt>
            <c:idx val="8"/>
            <c:marker>
              <c:symbol val="circle"/>
              <c:size val="7"/>
            </c:marker>
            <c:bubble3D val="0"/>
            <c:extLst xmlns:c16r2="http://schemas.microsoft.com/office/drawing/2015/06/chart">
              <c:ext xmlns:c16="http://schemas.microsoft.com/office/drawing/2014/chart" uri="{C3380CC4-5D6E-409C-BE32-E72D297353CC}">
                <c16:uniqueId val="{00000006-6074-4D41-9C15-B7F891DBD221}"/>
              </c:ext>
            </c:extLst>
          </c:dPt>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7-6074-4D41-9C15-B7F891DBD221}"/>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45878128"/>
        <c:axId val="345878520"/>
      </c:lineChart>
      <c:catAx>
        <c:axId val="345878128"/>
        <c:scaling>
          <c:orientation val="minMax"/>
        </c:scaling>
        <c:delete val="0"/>
        <c:axPos val="b"/>
        <c:numFmt formatCode="General" sourceLinked="1"/>
        <c:majorTickMark val="out"/>
        <c:minorTickMark val="none"/>
        <c:tickLblPos val="nextTo"/>
        <c:crossAx val="345878520"/>
        <c:crosses val="autoZero"/>
        <c:auto val="1"/>
        <c:lblAlgn val="ctr"/>
        <c:lblOffset val="100"/>
        <c:noMultiLvlLbl val="0"/>
      </c:catAx>
      <c:valAx>
        <c:axId val="345878520"/>
        <c:scaling>
          <c:orientation val="minMax"/>
        </c:scaling>
        <c:delete val="0"/>
        <c:axPos val="l"/>
        <c:majorGridlines/>
        <c:numFmt formatCode="General" sourceLinked="1"/>
        <c:majorTickMark val="out"/>
        <c:minorTickMark val="none"/>
        <c:tickLblPos val="nextTo"/>
        <c:crossAx val="345878128"/>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8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Pirniehall!$B$177:$B$190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Pirniehall!$J$177:$J$190</c:f>
              <c:numCache>
                <c:formatCode>General</c:formatCode>
                <c:ptCount val="14"/>
                <c:pt idx="0">
                  <c:v>188</c:v>
                </c:pt>
                <c:pt idx="1">
                  <c:v>184</c:v>
                </c:pt>
                <c:pt idx="2">
                  <c:v>185</c:v>
                </c:pt>
                <c:pt idx="3">
                  <c:v>174</c:v>
                </c:pt>
                <c:pt idx="4">
                  <c:v>170</c:v>
                </c:pt>
                <c:pt idx="5">
                  <c:v>177</c:v>
                </c:pt>
                <c:pt idx="6">
                  <c:v>194</c:v>
                </c:pt>
                <c:pt idx="7">
                  <c:v>192</c:v>
                </c:pt>
                <c:pt idx="8">
                  <c:v>224</c:v>
                </c:pt>
                <c:pt idx="9">
                  <c:v>220</c:v>
                </c:pt>
                <c:pt idx="10">
                  <c:v>245</c:v>
                </c:pt>
                <c:pt idx="11">
                  <c:v>267</c:v>
                </c:pt>
                <c:pt idx="12">
                  <c:v>280</c:v>
                </c:pt>
                <c:pt idx="13">
                  <c:v>289</c:v>
                </c:pt>
              </c:numCache>
            </c:numRef>
          </c:val>
          <c:smooth val="0"/>
          <c:extLst xmlns:c16r2="http://schemas.microsoft.com/office/drawing/2015/06/chart">
            <c:ext xmlns:c16="http://schemas.microsoft.com/office/drawing/2014/chart" uri="{C3380CC4-5D6E-409C-BE32-E72D297353CC}">
              <c16:uniqueId val="{00000000-87EA-437E-8F29-67FD650AD855}"/>
            </c:ext>
          </c:extLst>
        </c:ser>
        <c:dLbls>
          <c:showLegendKey val="0"/>
          <c:showVal val="0"/>
          <c:showCatName val="0"/>
          <c:showSerName val="0"/>
          <c:showPercent val="0"/>
          <c:showBubbleSize val="0"/>
        </c:dLbls>
        <c:marker val="1"/>
        <c:smooth val="0"/>
        <c:axId val="345879304"/>
        <c:axId val="345879696"/>
      </c:lineChart>
      <c:catAx>
        <c:axId val="345879304"/>
        <c:scaling>
          <c:orientation val="minMax"/>
        </c:scaling>
        <c:delete val="0"/>
        <c:axPos val="b"/>
        <c:numFmt formatCode="General" sourceLinked="1"/>
        <c:majorTickMark val="out"/>
        <c:minorTickMark val="none"/>
        <c:tickLblPos val="nextTo"/>
        <c:crossAx val="345879696"/>
        <c:crosses val="autoZero"/>
        <c:auto val="1"/>
        <c:lblAlgn val="ctr"/>
        <c:lblOffset val="100"/>
        <c:noMultiLvlLbl val="0"/>
      </c:catAx>
      <c:valAx>
        <c:axId val="345879696"/>
        <c:scaling>
          <c:orientation val="minMax"/>
        </c:scaling>
        <c:delete val="0"/>
        <c:axPos val="l"/>
        <c:majorGridlines/>
        <c:numFmt formatCode="General" sourceLinked="1"/>
        <c:majorTickMark val="out"/>
        <c:minorTickMark val="none"/>
        <c:tickLblPos val="nextTo"/>
        <c:crossAx val="345879304"/>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8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Pirniehall!$B$169</c:f>
              <c:strCache>
                <c:ptCount val="1"/>
                <c:pt idx="0">
                  <c:v>Catchment Births (5yrs Prior)</c:v>
                </c:pt>
              </c:strCache>
            </c:strRef>
          </c:tx>
          <c:marker>
            <c:symbol val="square"/>
            <c:size val="7"/>
          </c:marker>
          <c:cat>
            <c:numRef>
              <c:f>Pirniehall!$D$168:$N$168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Pirniehall!$D$169:$N$169</c:f>
              <c:numCache>
                <c:formatCode>#,##0</c:formatCode>
                <c:ptCount val="11"/>
                <c:pt idx="0">
                  <c:v>44</c:v>
                </c:pt>
                <c:pt idx="1">
                  <c:v>46</c:v>
                </c:pt>
                <c:pt idx="2">
                  <c:v>51</c:v>
                </c:pt>
                <c:pt idx="3">
                  <c:v>53</c:v>
                </c:pt>
                <c:pt idx="4">
                  <c:v>53</c:v>
                </c:pt>
                <c:pt idx="5">
                  <c:v>51</c:v>
                </c:pt>
                <c:pt idx="6">
                  <c:v>84</c:v>
                </c:pt>
                <c:pt idx="7">
                  <c:v>61</c:v>
                </c:pt>
                <c:pt idx="8">
                  <c:v>68</c:v>
                </c:pt>
                <c:pt idx="9">
                  <c:v>58</c:v>
                </c:pt>
                <c:pt idx="10">
                  <c:v>82</c:v>
                </c:pt>
              </c:numCache>
            </c:numRef>
          </c:val>
          <c:smooth val="0"/>
          <c:extLst xmlns:c16r2="http://schemas.microsoft.com/office/drawing/2015/06/chart">
            <c:ext xmlns:c16="http://schemas.microsoft.com/office/drawing/2014/chart" uri="{C3380CC4-5D6E-409C-BE32-E72D297353CC}">
              <c16:uniqueId val="{00000000-8049-4548-B811-9632D3DFD6D1}"/>
            </c:ext>
          </c:extLst>
        </c:ser>
        <c:ser>
          <c:idx val="1"/>
          <c:order val="1"/>
          <c:tx>
            <c:strRef>
              <c:f>Pirniehall!$B$170</c:f>
              <c:strCache>
                <c:ptCount val="1"/>
                <c:pt idx="0">
                  <c:v>P1 ND Catchment Population (Actual)</c:v>
                </c:pt>
              </c:strCache>
            </c:strRef>
          </c:tx>
          <c:cat>
            <c:numRef>
              <c:f>Pirniehall!$D$168:$N$168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Pirniehall!$D$170:$I$170</c:f>
              <c:numCache>
                <c:formatCode>#,##0</c:formatCode>
                <c:ptCount val="6"/>
                <c:pt idx="0">
                  <c:v>18</c:v>
                </c:pt>
                <c:pt idx="1">
                  <c:v>23</c:v>
                </c:pt>
                <c:pt idx="2">
                  <c:v>45</c:v>
                </c:pt>
                <c:pt idx="3">
                  <c:v>44</c:v>
                </c:pt>
                <c:pt idx="4">
                  <c:v>28</c:v>
                </c:pt>
                <c:pt idx="5">
                  <c:v>26</c:v>
                </c:pt>
              </c:numCache>
            </c:numRef>
          </c:val>
          <c:smooth val="0"/>
          <c:extLst xmlns:c16r2="http://schemas.microsoft.com/office/drawing/2015/06/chart">
            <c:ext xmlns:c16="http://schemas.microsoft.com/office/drawing/2014/chart" uri="{C3380CC4-5D6E-409C-BE32-E72D297353CC}">
              <c16:uniqueId val="{00000001-8049-4548-B811-9632D3DFD6D1}"/>
            </c:ext>
          </c:extLst>
        </c:ser>
        <c:ser>
          <c:idx val="2"/>
          <c:order val="2"/>
          <c:tx>
            <c:strRef>
              <c:f>Pirniehall!$B$172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8049-4548-B811-9632D3DFD6D1}"/>
              </c:ext>
            </c:extLst>
          </c:dPt>
          <c:dPt>
            <c:idx val="5"/>
            <c:marker>
              <c:symbol val="none"/>
            </c:marker>
            <c:bubble3D val="0"/>
            <c:extLst xmlns:c16r2="http://schemas.microsoft.com/office/drawing/2015/06/chart">
              <c:ext xmlns:c16="http://schemas.microsoft.com/office/drawing/2014/chart" uri="{C3380CC4-5D6E-409C-BE32-E72D297353CC}">
                <c16:uniqueId val="{00000003-8049-4548-B811-9632D3DFD6D1}"/>
              </c:ext>
            </c:extLst>
          </c:dPt>
          <c:dPt>
            <c:idx val="6"/>
            <c:marker>
              <c:symbol val="circle"/>
              <c:size val="7"/>
            </c:marker>
            <c:bubble3D val="0"/>
            <c:extLst xmlns:c16r2="http://schemas.microsoft.com/office/drawing/2015/06/chart">
              <c:ext xmlns:c16="http://schemas.microsoft.com/office/drawing/2014/chart" uri="{C3380CC4-5D6E-409C-BE32-E72D297353CC}">
                <c16:uniqueId val="{00000004-8049-4548-B811-9632D3DFD6D1}"/>
              </c:ext>
            </c:extLst>
          </c:dPt>
          <c:dPt>
            <c:idx val="7"/>
            <c:marker>
              <c:symbol val="circle"/>
              <c:size val="7"/>
            </c:marker>
            <c:bubble3D val="0"/>
            <c:extLst xmlns:c16r2="http://schemas.microsoft.com/office/drawing/2015/06/chart">
              <c:ext xmlns:c16="http://schemas.microsoft.com/office/drawing/2014/chart" uri="{C3380CC4-5D6E-409C-BE32-E72D297353CC}">
                <c16:uniqueId val="{00000005-8049-4548-B811-9632D3DFD6D1}"/>
              </c:ext>
            </c:extLst>
          </c:dPt>
          <c:dPt>
            <c:idx val="8"/>
            <c:marker>
              <c:symbol val="circle"/>
              <c:size val="7"/>
            </c:marker>
            <c:bubble3D val="0"/>
            <c:extLst xmlns:c16r2="http://schemas.microsoft.com/office/drawing/2015/06/chart">
              <c:ext xmlns:c16="http://schemas.microsoft.com/office/drawing/2014/chart" uri="{C3380CC4-5D6E-409C-BE32-E72D297353CC}">
                <c16:uniqueId val="{00000006-8049-4548-B811-9632D3DFD6D1}"/>
              </c:ext>
            </c:extLst>
          </c:dPt>
          <c:dPt>
            <c:idx val="9"/>
            <c:marker>
              <c:symbol val="circle"/>
              <c:size val="7"/>
            </c:marker>
            <c:bubble3D val="0"/>
            <c:extLst xmlns:c16r2="http://schemas.microsoft.com/office/drawing/2015/06/chart">
              <c:ext xmlns:c16="http://schemas.microsoft.com/office/drawing/2014/chart" uri="{C3380CC4-5D6E-409C-BE32-E72D297353CC}">
                <c16:uniqueId val="{00000007-8049-4548-B811-9632D3DFD6D1}"/>
              </c:ext>
            </c:extLst>
          </c:dPt>
          <c:dPt>
            <c:idx val="10"/>
            <c:marker>
              <c:symbol val="circle"/>
              <c:size val="7"/>
            </c:marker>
            <c:bubble3D val="0"/>
            <c:extLst xmlns:c16r2="http://schemas.microsoft.com/office/drawing/2015/06/chart">
              <c:ext xmlns:c16="http://schemas.microsoft.com/office/drawing/2014/chart" uri="{C3380CC4-5D6E-409C-BE32-E72D297353CC}">
                <c16:uniqueId val="{00000008-8049-4548-B811-9632D3DFD6D1}"/>
              </c:ext>
            </c:extLst>
          </c:dPt>
          <c:cat>
            <c:numRef>
              <c:f>Pirniehall!$D$168:$N$168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Pirniehall!$D$172:$N$172</c:f>
              <c:numCache>
                <c:formatCode>General</c:formatCode>
                <c:ptCount val="11"/>
                <c:pt idx="5" formatCode="0">
                  <c:v>26</c:v>
                </c:pt>
                <c:pt idx="6" formatCode="0">
                  <c:v>0</c:v>
                </c:pt>
                <c:pt idx="7" formatCode="0">
                  <c:v>32</c:v>
                </c:pt>
                <c:pt idx="8" formatCode="0">
                  <c:v>45</c:v>
                </c:pt>
                <c:pt idx="9" formatCode="0">
                  <c:v>35</c:v>
                </c:pt>
                <c:pt idx="10" formatCode="0">
                  <c:v>44</c:v>
                </c:pt>
              </c:numCache>
            </c:numRef>
          </c:val>
          <c:smooth val="0"/>
          <c:extLst xmlns:c16r2="http://schemas.microsoft.com/office/drawing/2015/06/chart">
            <c:ext xmlns:c16="http://schemas.microsoft.com/office/drawing/2014/chart" uri="{C3380CC4-5D6E-409C-BE32-E72D297353CC}">
              <c16:uniqueId val="{00000009-8049-4548-B811-9632D3DFD6D1}"/>
            </c:ext>
          </c:extLst>
        </c:ser>
        <c:ser>
          <c:idx val="3"/>
          <c:order val="3"/>
          <c:tx>
            <c:strRef>
              <c:f>Pirniehall!$B$171</c:f>
              <c:strCache>
                <c:ptCount val="1"/>
                <c:pt idx="0">
                  <c:v>Actual P1 Registrations (as of Jan 2016)</c:v>
                </c:pt>
              </c:strCache>
            </c:strRef>
          </c:tx>
          <c:spPr>
            <a:ln w="15875">
              <a:noFill/>
            </a:ln>
          </c:spPr>
          <c:marker>
            <c:symbol val="diamond"/>
            <c:size val="9"/>
            <c:spPr>
              <a:solidFill>
                <a:schemeClr val="tx1"/>
              </a:solidFill>
            </c:spPr>
          </c:marker>
          <c:cat>
            <c:numRef>
              <c:f>Pirniehall!$D$168:$N$168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Pirniehall!$D$171:$M$171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8049-4548-B811-9632D3DFD6D1}"/>
            </c:ext>
          </c:extLst>
        </c:ser>
        <c:dLbls>
          <c:showLegendKey val="0"/>
          <c:showVal val="0"/>
          <c:showCatName val="0"/>
          <c:showSerName val="0"/>
          <c:showPercent val="0"/>
          <c:showBubbleSize val="0"/>
        </c:dLbls>
        <c:marker val="1"/>
        <c:smooth val="0"/>
        <c:axId val="345880480"/>
        <c:axId val="345880872"/>
      </c:lineChart>
      <c:catAx>
        <c:axId val="345880480"/>
        <c:scaling>
          <c:orientation val="minMax"/>
        </c:scaling>
        <c:delete val="0"/>
        <c:axPos val="b"/>
        <c:numFmt formatCode="General" sourceLinked="1"/>
        <c:majorTickMark val="out"/>
        <c:minorTickMark val="none"/>
        <c:tickLblPos val="nextTo"/>
        <c:crossAx val="345880872"/>
        <c:crosses val="autoZero"/>
        <c:auto val="1"/>
        <c:lblAlgn val="ctr"/>
        <c:lblOffset val="100"/>
        <c:noMultiLvlLbl val="0"/>
      </c:catAx>
      <c:valAx>
        <c:axId val="345880872"/>
        <c:scaling>
          <c:orientation val="minMax"/>
        </c:scaling>
        <c:delete val="0"/>
        <c:axPos val="l"/>
        <c:majorGridlines/>
        <c:numFmt formatCode="#,##0" sourceLinked="1"/>
        <c:majorTickMark val="out"/>
        <c:minorTickMark val="none"/>
        <c:tickLblPos val="nextTo"/>
        <c:crossAx val="345880480"/>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8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A394-4761-80CD-F4EBF46FE9ED}"/>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45881656"/>
        <c:axId val="345882048"/>
      </c:lineChart>
      <c:catAx>
        <c:axId val="345881656"/>
        <c:scaling>
          <c:orientation val="minMax"/>
        </c:scaling>
        <c:delete val="0"/>
        <c:axPos val="b"/>
        <c:numFmt formatCode="General" sourceLinked="1"/>
        <c:majorTickMark val="out"/>
        <c:minorTickMark val="none"/>
        <c:tickLblPos val="nextTo"/>
        <c:crossAx val="345882048"/>
        <c:crosses val="autoZero"/>
        <c:auto val="1"/>
        <c:lblAlgn val="ctr"/>
        <c:lblOffset val="100"/>
        <c:noMultiLvlLbl val="0"/>
      </c:catAx>
      <c:valAx>
        <c:axId val="345882048"/>
        <c:scaling>
          <c:orientation val="minMax"/>
        </c:scaling>
        <c:delete val="0"/>
        <c:axPos val="l"/>
        <c:majorGridlines/>
        <c:numFmt formatCode="General" sourceLinked="1"/>
        <c:majorTickMark val="out"/>
        <c:minorTickMark val="none"/>
        <c:tickLblPos val="nextTo"/>
        <c:crossAx val="345881656"/>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9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square"/>
            <c:size val="7"/>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4876-4DED-8F31-6141DC56CCC6}"/>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1"/>
          <c:order val="1"/>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1-4876-4DED-8F31-6141DC56CCC6}"/>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2"/>
          <c:order val="2"/>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4876-4DED-8F31-6141DC56CCC6}"/>
              </c:ext>
            </c:extLst>
          </c:dPt>
          <c:dPt>
            <c:idx val="5"/>
            <c:marker>
              <c:symbol val="circle"/>
              <c:size val="7"/>
            </c:marker>
            <c:bubble3D val="0"/>
            <c:extLst xmlns:c16r2="http://schemas.microsoft.com/office/drawing/2015/06/chart">
              <c:ext xmlns:c16="http://schemas.microsoft.com/office/drawing/2014/chart" uri="{C3380CC4-5D6E-409C-BE32-E72D297353CC}">
                <c16:uniqueId val="{00000003-4876-4DED-8F31-6141DC56CCC6}"/>
              </c:ext>
            </c:extLst>
          </c:dPt>
          <c:dPt>
            <c:idx val="6"/>
            <c:marker>
              <c:symbol val="circle"/>
              <c:size val="7"/>
            </c:marker>
            <c:bubble3D val="0"/>
            <c:extLst xmlns:c16r2="http://schemas.microsoft.com/office/drawing/2015/06/chart">
              <c:ext xmlns:c16="http://schemas.microsoft.com/office/drawing/2014/chart" uri="{C3380CC4-5D6E-409C-BE32-E72D297353CC}">
                <c16:uniqueId val="{00000004-4876-4DED-8F31-6141DC56CCC6}"/>
              </c:ext>
            </c:extLst>
          </c:dPt>
          <c:dPt>
            <c:idx val="7"/>
            <c:marker>
              <c:symbol val="circle"/>
              <c:size val="7"/>
            </c:marker>
            <c:bubble3D val="0"/>
            <c:extLst xmlns:c16r2="http://schemas.microsoft.com/office/drawing/2015/06/chart">
              <c:ext xmlns:c16="http://schemas.microsoft.com/office/drawing/2014/chart" uri="{C3380CC4-5D6E-409C-BE32-E72D297353CC}">
                <c16:uniqueId val="{00000005-4876-4DED-8F31-6141DC56CCC6}"/>
              </c:ext>
            </c:extLst>
          </c:dPt>
          <c:dPt>
            <c:idx val="8"/>
            <c:marker>
              <c:symbol val="circle"/>
              <c:size val="7"/>
            </c:marker>
            <c:bubble3D val="0"/>
            <c:extLst xmlns:c16r2="http://schemas.microsoft.com/office/drawing/2015/06/chart">
              <c:ext xmlns:c16="http://schemas.microsoft.com/office/drawing/2014/chart" uri="{C3380CC4-5D6E-409C-BE32-E72D297353CC}">
                <c16:uniqueId val="{00000006-4876-4DED-8F31-6141DC56CCC6}"/>
              </c:ext>
            </c:extLst>
          </c:dPt>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7-4876-4DED-8F31-6141DC56CCC6}"/>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45882832"/>
        <c:axId val="345883224"/>
      </c:lineChart>
      <c:catAx>
        <c:axId val="345882832"/>
        <c:scaling>
          <c:orientation val="minMax"/>
        </c:scaling>
        <c:delete val="0"/>
        <c:axPos val="b"/>
        <c:numFmt formatCode="General" sourceLinked="1"/>
        <c:majorTickMark val="out"/>
        <c:minorTickMark val="none"/>
        <c:tickLblPos val="nextTo"/>
        <c:crossAx val="345883224"/>
        <c:crosses val="autoZero"/>
        <c:auto val="1"/>
        <c:lblAlgn val="ctr"/>
        <c:lblOffset val="100"/>
        <c:noMultiLvlLbl val="0"/>
      </c:catAx>
      <c:valAx>
        <c:axId val="345883224"/>
        <c:scaling>
          <c:orientation val="minMax"/>
        </c:scaling>
        <c:delete val="0"/>
        <c:axPos val="l"/>
        <c:majorGridlines/>
        <c:numFmt formatCode="General" sourceLinked="1"/>
        <c:majorTickMark val="out"/>
        <c:minorTickMark val="none"/>
        <c:tickLblPos val="nextTo"/>
        <c:crossAx val="345882832"/>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9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'Preston Street'!$B$177:$B$190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'Preston Street'!$J$177:$J$190</c:f>
              <c:numCache>
                <c:formatCode>General</c:formatCode>
                <c:ptCount val="14"/>
                <c:pt idx="0">
                  <c:v>286</c:v>
                </c:pt>
                <c:pt idx="1">
                  <c:v>282</c:v>
                </c:pt>
                <c:pt idx="2">
                  <c:v>280</c:v>
                </c:pt>
                <c:pt idx="3">
                  <c:v>265</c:v>
                </c:pt>
                <c:pt idx="4">
                  <c:v>246</c:v>
                </c:pt>
                <c:pt idx="5">
                  <c:v>266</c:v>
                </c:pt>
                <c:pt idx="6">
                  <c:v>261</c:v>
                </c:pt>
                <c:pt idx="7">
                  <c:v>255</c:v>
                </c:pt>
                <c:pt idx="8">
                  <c:v>253</c:v>
                </c:pt>
                <c:pt idx="9">
                  <c:v>257</c:v>
                </c:pt>
                <c:pt idx="10">
                  <c:v>270</c:v>
                </c:pt>
                <c:pt idx="11">
                  <c:v>271</c:v>
                </c:pt>
                <c:pt idx="12">
                  <c:v>292</c:v>
                </c:pt>
                <c:pt idx="13">
                  <c:v>271</c:v>
                </c:pt>
              </c:numCache>
            </c:numRef>
          </c:val>
          <c:smooth val="0"/>
          <c:extLst xmlns:c16r2="http://schemas.microsoft.com/office/drawing/2015/06/chart">
            <c:ext xmlns:c16="http://schemas.microsoft.com/office/drawing/2014/chart" uri="{C3380CC4-5D6E-409C-BE32-E72D297353CC}">
              <c16:uniqueId val="{00000000-A0A1-4A23-96C1-9AFC7FD3375B}"/>
            </c:ext>
          </c:extLst>
        </c:ser>
        <c:dLbls>
          <c:showLegendKey val="0"/>
          <c:showVal val="0"/>
          <c:showCatName val="0"/>
          <c:showSerName val="0"/>
          <c:showPercent val="0"/>
          <c:showBubbleSize val="0"/>
        </c:dLbls>
        <c:marker val="1"/>
        <c:smooth val="0"/>
        <c:axId val="345884008"/>
        <c:axId val="345884400"/>
      </c:lineChart>
      <c:catAx>
        <c:axId val="345884008"/>
        <c:scaling>
          <c:orientation val="minMax"/>
        </c:scaling>
        <c:delete val="0"/>
        <c:axPos val="b"/>
        <c:numFmt formatCode="General" sourceLinked="1"/>
        <c:majorTickMark val="out"/>
        <c:minorTickMark val="none"/>
        <c:tickLblPos val="nextTo"/>
        <c:crossAx val="345884400"/>
        <c:crosses val="autoZero"/>
        <c:auto val="1"/>
        <c:lblAlgn val="ctr"/>
        <c:lblOffset val="100"/>
        <c:noMultiLvlLbl val="0"/>
      </c:catAx>
      <c:valAx>
        <c:axId val="345884400"/>
        <c:scaling>
          <c:orientation val="minMax"/>
        </c:scaling>
        <c:delete val="0"/>
        <c:axPos val="l"/>
        <c:majorGridlines/>
        <c:numFmt formatCode="General" sourceLinked="1"/>
        <c:majorTickMark val="out"/>
        <c:minorTickMark val="none"/>
        <c:tickLblPos val="nextTo"/>
        <c:crossAx val="345884008"/>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9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'Preston Street'!$B$169</c:f>
              <c:strCache>
                <c:ptCount val="1"/>
                <c:pt idx="0">
                  <c:v>Catchment Births (5yrs Prior)</c:v>
                </c:pt>
              </c:strCache>
            </c:strRef>
          </c:tx>
          <c:marker>
            <c:symbol val="square"/>
            <c:size val="7"/>
          </c:marker>
          <c:cat>
            <c:numRef>
              <c:f>'Preston Street'!$D$168:$N$168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'Preston Street'!$D$169:$N$169</c:f>
              <c:numCache>
                <c:formatCode>#,##0</c:formatCode>
                <c:ptCount val="11"/>
                <c:pt idx="0">
                  <c:v>51</c:v>
                </c:pt>
                <c:pt idx="1">
                  <c:v>67</c:v>
                </c:pt>
                <c:pt idx="2">
                  <c:v>72</c:v>
                </c:pt>
                <c:pt idx="3">
                  <c:v>72</c:v>
                </c:pt>
                <c:pt idx="4">
                  <c:v>83</c:v>
                </c:pt>
                <c:pt idx="5">
                  <c:v>70</c:v>
                </c:pt>
                <c:pt idx="6">
                  <c:v>65</c:v>
                </c:pt>
                <c:pt idx="7">
                  <c:v>63</c:v>
                </c:pt>
                <c:pt idx="8">
                  <c:v>72</c:v>
                </c:pt>
                <c:pt idx="9">
                  <c:v>66</c:v>
                </c:pt>
                <c:pt idx="10">
                  <c:v>63</c:v>
                </c:pt>
              </c:numCache>
            </c:numRef>
          </c:val>
          <c:smooth val="0"/>
          <c:extLst xmlns:c16r2="http://schemas.microsoft.com/office/drawing/2015/06/chart">
            <c:ext xmlns:c16="http://schemas.microsoft.com/office/drawing/2014/chart" uri="{C3380CC4-5D6E-409C-BE32-E72D297353CC}">
              <c16:uniqueId val="{00000000-170D-42F6-B047-2FCB273388DA}"/>
            </c:ext>
          </c:extLst>
        </c:ser>
        <c:ser>
          <c:idx val="1"/>
          <c:order val="1"/>
          <c:tx>
            <c:strRef>
              <c:f>'Preston Street'!$B$170</c:f>
              <c:strCache>
                <c:ptCount val="1"/>
                <c:pt idx="0">
                  <c:v>P1 ND Catchment Population (Actual)</c:v>
                </c:pt>
              </c:strCache>
            </c:strRef>
          </c:tx>
          <c:cat>
            <c:numRef>
              <c:f>'Preston Street'!$D$168:$N$168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'Preston Street'!$D$170:$I$170</c:f>
              <c:numCache>
                <c:formatCode>#,##0</c:formatCode>
                <c:ptCount val="6"/>
                <c:pt idx="0">
                  <c:v>44</c:v>
                </c:pt>
                <c:pt idx="1">
                  <c:v>41</c:v>
                </c:pt>
                <c:pt idx="2">
                  <c:v>44</c:v>
                </c:pt>
                <c:pt idx="3">
                  <c:v>41</c:v>
                </c:pt>
                <c:pt idx="4">
                  <c:v>46</c:v>
                </c:pt>
                <c:pt idx="5">
                  <c:v>41</c:v>
                </c:pt>
              </c:numCache>
            </c:numRef>
          </c:val>
          <c:smooth val="0"/>
          <c:extLst xmlns:c16r2="http://schemas.microsoft.com/office/drawing/2015/06/chart">
            <c:ext xmlns:c16="http://schemas.microsoft.com/office/drawing/2014/chart" uri="{C3380CC4-5D6E-409C-BE32-E72D297353CC}">
              <c16:uniqueId val="{00000001-170D-42F6-B047-2FCB273388DA}"/>
            </c:ext>
          </c:extLst>
        </c:ser>
        <c:ser>
          <c:idx val="2"/>
          <c:order val="2"/>
          <c:tx>
            <c:strRef>
              <c:f>'Preston Street'!$B$172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170D-42F6-B047-2FCB273388DA}"/>
              </c:ext>
            </c:extLst>
          </c:dPt>
          <c:dPt>
            <c:idx val="5"/>
            <c:marker>
              <c:symbol val="none"/>
            </c:marker>
            <c:bubble3D val="0"/>
            <c:extLst xmlns:c16r2="http://schemas.microsoft.com/office/drawing/2015/06/chart">
              <c:ext xmlns:c16="http://schemas.microsoft.com/office/drawing/2014/chart" uri="{C3380CC4-5D6E-409C-BE32-E72D297353CC}">
                <c16:uniqueId val="{00000003-170D-42F6-B047-2FCB273388DA}"/>
              </c:ext>
            </c:extLst>
          </c:dPt>
          <c:dPt>
            <c:idx val="6"/>
            <c:marker>
              <c:symbol val="circle"/>
              <c:size val="7"/>
            </c:marker>
            <c:bubble3D val="0"/>
            <c:extLst xmlns:c16r2="http://schemas.microsoft.com/office/drawing/2015/06/chart">
              <c:ext xmlns:c16="http://schemas.microsoft.com/office/drawing/2014/chart" uri="{C3380CC4-5D6E-409C-BE32-E72D297353CC}">
                <c16:uniqueId val="{00000004-170D-42F6-B047-2FCB273388DA}"/>
              </c:ext>
            </c:extLst>
          </c:dPt>
          <c:dPt>
            <c:idx val="7"/>
            <c:marker>
              <c:symbol val="circle"/>
              <c:size val="7"/>
            </c:marker>
            <c:bubble3D val="0"/>
            <c:extLst xmlns:c16r2="http://schemas.microsoft.com/office/drawing/2015/06/chart">
              <c:ext xmlns:c16="http://schemas.microsoft.com/office/drawing/2014/chart" uri="{C3380CC4-5D6E-409C-BE32-E72D297353CC}">
                <c16:uniqueId val="{00000005-170D-42F6-B047-2FCB273388DA}"/>
              </c:ext>
            </c:extLst>
          </c:dPt>
          <c:dPt>
            <c:idx val="8"/>
            <c:marker>
              <c:symbol val="circle"/>
              <c:size val="7"/>
            </c:marker>
            <c:bubble3D val="0"/>
            <c:extLst xmlns:c16r2="http://schemas.microsoft.com/office/drawing/2015/06/chart">
              <c:ext xmlns:c16="http://schemas.microsoft.com/office/drawing/2014/chart" uri="{C3380CC4-5D6E-409C-BE32-E72D297353CC}">
                <c16:uniqueId val="{00000006-170D-42F6-B047-2FCB273388DA}"/>
              </c:ext>
            </c:extLst>
          </c:dPt>
          <c:dPt>
            <c:idx val="9"/>
            <c:marker>
              <c:symbol val="circle"/>
              <c:size val="7"/>
            </c:marker>
            <c:bubble3D val="0"/>
            <c:extLst xmlns:c16r2="http://schemas.microsoft.com/office/drawing/2015/06/chart">
              <c:ext xmlns:c16="http://schemas.microsoft.com/office/drawing/2014/chart" uri="{C3380CC4-5D6E-409C-BE32-E72D297353CC}">
                <c16:uniqueId val="{00000007-170D-42F6-B047-2FCB273388DA}"/>
              </c:ext>
            </c:extLst>
          </c:dPt>
          <c:dPt>
            <c:idx val="10"/>
            <c:marker>
              <c:symbol val="circle"/>
              <c:size val="7"/>
            </c:marker>
            <c:bubble3D val="0"/>
            <c:extLst xmlns:c16r2="http://schemas.microsoft.com/office/drawing/2015/06/chart">
              <c:ext xmlns:c16="http://schemas.microsoft.com/office/drawing/2014/chart" uri="{C3380CC4-5D6E-409C-BE32-E72D297353CC}">
                <c16:uniqueId val="{00000008-170D-42F6-B047-2FCB273388DA}"/>
              </c:ext>
            </c:extLst>
          </c:dPt>
          <c:cat>
            <c:numRef>
              <c:f>'Preston Street'!$D$168:$N$168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'Preston Street'!$D$172:$N$172</c:f>
              <c:numCache>
                <c:formatCode>General</c:formatCode>
                <c:ptCount val="11"/>
                <c:pt idx="5" formatCode="0">
                  <c:v>41</c:v>
                </c:pt>
                <c:pt idx="6" formatCode="0">
                  <c:v>0</c:v>
                </c:pt>
                <c:pt idx="7" formatCode="0">
                  <c:v>36</c:v>
                </c:pt>
                <c:pt idx="8" formatCode="0">
                  <c:v>34</c:v>
                </c:pt>
                <c:pt idx="9" formatCode="0">
                  <c:v>30</c:v>
                </c:pt>
                <c:pt idx="10" formatCode="0">
                  <c:v>25</c:v>
                </c:pt>
              </c:numCache>
            </c:numRef>
          </c:val>
          <c:smooth val="0"/>
          <c:extLst xmlns:c16r2="http://schemas.microsoft.com/office/drawing/2015/06/chart">
            <c:ext xmlns:c16="http://schemas.microsoft.com/office/drawing/2014/chart" uri="{C3380CC4-5D6E-409C-BE32-E72D297353CC}">
              <c16:uniqueId val="{00000009-170D-42F6-B047-2FCB273388DA}"/>
            </c:ext>
          </c:extLst>
        </c:ser>
        <c:ser>
          <c:idx val="3"/>
          <c:order val="3"/>
          <c:tx>
            <c:strRef>
              <c:f>'Preston Street'!$B$171</c:f>
              <c:strCache>
                <c:ptCount val="1"/>
                <c:pt idx="0">
                  <c:v>Actual P1 Registrations (as of Jan 2016)</c:v>
                </c:pt>
              </c:strCache>
            </c:strRef>
          </c:tx>
          <c:spPr>
            <a:ln w="15875">
              <a:noFill/>
            </a:ln>
          </c:spPr>
          <c:marker>
            <c:symbol val="diamond"/>
            <c:size val="9"/>
            <c:spPr>
              <a:solidFill>
                <a:schemeClr val="tx1"/>
              </a:solidFill>
            </c:spPr>
          </c:marker>
          <c:cat>
            <c:numRef>
              <c:f>'Preston Street'!$D$168:$N$168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'Preston Street'!$D$171:$M$171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170D-42F6-B047-2FCB273388DA}"/>
            </c:ext>
          </c:extLst>
        </c:ser>
        <c:dLbls>
          <c:showLegendKey val="0"/>
          <c:showVal val="0"/>
          <c:showCatName val="0"/>
          <c:showSerName val="0"/>
          <c:showPercent val="0"/>
          <c:showBubbleSize val="0"/>
        </c:dLbls>
        <c:marker val="1"/>
        <c:smooth val="0"/>
        <c:axId val="345885184"/>
        <c:axId val="345885576"/>
      </c:lineChart>
      <c:catAx>
        <c:axId val="345885184"/>
        <c:scaling>
          <c:orientation val="minMax"/>
        </c:scaling>
        <c:delete val="0"/>
        <c:axPos val="b"/>
        <c:numFmt formatCode="General" sourceLinked="1"/>
        <c:majorTickMark val="out"/>
        <c:minorTickMark val="none"/>
        <c:tickLblPos val="nextTo"/>
        <c:crossAx val="345885576"/>
        <c:crosses val="autoZero"/>
        <c:auto val="1"/>
        <c:lblAlgn val="ctr"/>
        <c:lblOffset val="100"/>
        <c:noMultiLvlLbl val="0"/>
      </c:catAx>
      <c:valAx>
        <c:axId val="345885576"/>
        <c:scaling>
          <c:orientation val="minMax"/>
        </c:scaling>
        <c:delete val="0"/>
        <c:axPos val="l"/>
        <c:majorGridlines/>
        <c:numFmt formatCode="#,##0" sourceLinked="1"/>
        <c:majorTickMark val="out"/>
        <c:minorTickMark val="none"/>
        <c:tickLblPos val="nextTo"/>
        <c:crossAx val="345885184"/>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9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2D8D-4B2B-AAC5-5FB54221D197}"/>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45886360"/>
        <c:axId val="345886752"/>
      </c:lineChart>
      <c:catAx>
        <c:axId val="345886360"/>
        <c:scaling>
          <c:orientation val="minMax"/>
        </c:scaling>
        <c:delete val="0"/>
        <c:axPos val="b"/>
        <c:numFmt formatCode="General" sourceLinked="1"/>
        <c:majorTickMark val="out"/>
        <c:minorTickMark val="none"/>
        <c:tickLblPos val="nextTo"/>
        <c:crossAx val="345886752"/>
        <c:crosses val="autoZero"/>
        <c:auto val="1"/>
        <c:lblAlgn val="ctr"/>
        <c:lblOffset val="100"/>
        <c:noMultiLvlLbl val="0"/>
      </c:catAx>
      <c:valAx>
        <c:axId val="345886752"/>
        <c:scaling>
          <c:orientation val="minMax"/>
        </c:scaling>
        <c:delete val="0"/>
        <c:axPos val="l"/>
        <c:majorGridlines/>
        <c:numFmt formatCode="General" sourceLinked="1"/>
        <c:majorTickMark val="out"/>
        <c:minorTickMark val="none"/>
        <c:tickLblPos val="nextTo"/>
        <c:crossAx val="345886360"/>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9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square"/>
            <c:size val="7"/>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35D8-4A12-A481-0F0F3658DC09}"/>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1"/>
          <c:order val="1"/>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1-35D8-4A12-A481-0F0F3658DC09}"/>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2"/>
          <c:order val="2"/>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35D8-4A12-A481-0F0F3658DC09}"/>
              </c:ext>
            </c:extLst>
          </c:dPt>
          <c:dPt>
            <c:idx val="5"/>
            <c:marker>
              <c:symbol val="circle"/>
              <c:size val="7"/>
            </c:marker>
            <c:bubble3D val="0"/>
            <c:extLst xmlns:c16r2="http://schemas.microsoft.com/office/drawing/2015/06/chart">
              <c:ext xmlns:c16="http://schemas.microsoft.com/office/drawing/2014/chart" uri="{C3380CC4-5D6E-409C-BE32-E72D297353CC}">
                <c16:uniqueId val="{00000003-35D8-4A12-A481-0F0F3658DC09}"/>
              </c:ext>
            </c:extLst>
          </c:dPt>
          <c:dPt>
            <c:idx val="6"/>
            <c:marker>
              <c:symbol val="circle"/>
              <c:size val="7"/>
            </c:marker>
            <c:bubble3D val="0"/>
            <c:extLst xmlns:c16r2="http://schemas.microsoft.com/office/drawing/2015/06/chart">
              <c:ext xmlns:c16="http://schemas.microsoft.com/office/drawing/2014/chart" uri="{C3380CC4-5D6E-409C-BE32-E72D297353CC}">
                <c16:uniqueId val="{00000004-35D8-4A12-A481-0F0F3658DC09}"/>
              </c:ext>
            </c:extLst>
          </c:dPt>
          <c:dPt>
            <c:idx val="7"/>
            <c:marker>
              <c:symbol val="circle"/>
              <c:size val="7"/>
            </c:marker>
            <c:bubble3D val="0"/>
            <c:extLst xmlns:c16r2="http://schemas.microsoft.com/office/drawing/2015/06/chart">
              <c:ext xmlns:c16="http://schemas.microsoft.com/office/drawing/2014/chart" uri="{C3380CC4-5D6E-409C-BE32-E72D297353CC}">
                <c16:uniqueId val="{00000005-35D8-4A12-A481-0F0F3658DC09}"/>
              </c:ext>
            </c:extLst>
          </c:dPt>
          <c:dPt>
            <c:idx val="8"/>
            <c:marker>
              <c:symbol val="circle"/>
              <c:size val="7"/>
            </c:marker>
            <c:bubble3D val="0"/>
            <c:extLst xmlns:c16r2="http://schemas.microsoft.com/office/drawing/2015/06/chart">
              <c:ext xmlns:c16="http://schemas.microsoft.com/office/drawing/2014/chart" uri="{C3380CC4-5D6E-409C-BE32-E72D297353CC}">
                <c16:uniqueId val="{00000006-35D8-4A12-A481-0F0F3658DC09}"/>
              </c:ext>
            </c:extLst>
          </c:dPt>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7-35D8-4A12-A481-0F0F3658DC09}"/>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49874928"/>
        <c:axId val="349875320"/>
      </c:lineChart>
      <c:catAx>
        <c:axId val="349874928"/>
        <c:scaling>
          <c:orientation val="minMax"/>
        </c:scaling>
        <c:delete val="0"/>
        <c:axPos val="b"/>
        <c:numFmt formatCode="General" sourceLinked="1"/>
        <c:majorTickMark val="out"/>
        <c:minorTickMark val="none"/>
        <c:tickLblPos val="nextTo"/>
        <c:crossAx val="349875320"/>
        <c:crosses val="autoZero"/>
        <c:auto val="1"/>
        <c:lblAlgn val="ctr"/>
        <c:lblOffset val="100"/>
        <c:noMultiLvlLbl val="0"/>
      </c:catAx>
      <c:valAx>
        <c:axId val="349875320"/>
        <c:scaling>
          <c:orientation val="minMax"/>
        </c:scaling>
        <c:delete val="0"/>
        <c:axPos val="l"/>
        <c:majorGridlines/>
        <c:numFmt formatCode="General" sourceLinked="1"/>
        <c:majorTickMark val="out"/>
        <c:minorTickMark val="none"/>
        <c:tickLblPos val="nextTo"/>
        <c:crossAx val="349874928"/>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9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Prestonfield!$B$177:$B$190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Prestonfield!$J$177:$J$190</c:f>
              <c:numCache>
                <c:formatCode>General</c:formatCode>
                <c:ptCount val="14"/>
                <c:pt idx="0">
                  <c:v>265</c:v>
                </c:pt>
                <c:pt idx="1">
                  <c:v>267</c:v>
                </c:pt>
                <c:pt idx="2">
                  <c:v>253</c:v>
                </c:pt>
                <c:pt idx="3">
                  <c:v>237</c:v>
                </c:pt>
                <c:pt idx="4">
                  <c:v>235</c:v>
                </c:pt>
                <c:pt idx="5">
                  <c:v>211</c:v>
                </c:pt>
                <c:pt idx="6">
                  <c:v>203</c:v>
                </c:pt>
                <c:pt idx="7">
                  <c:v>191</c:v>
                </c:pt>
                <c:pt idx="8">
                  <c:v>180</c:v>
                </c:pt>
                <c:pt idx="9">
                  <c:v>165</c:v>
                </c:pt>
                <c:pt idx="10">
                  <c:v>172</c:v>
                </c:pt>
                <c:pt idx="11">
                  <c:v>184</c:v>
                </c:pt>
                <c:pt idx="12">
                  <c:v>191</c:v>
                </c:pt>
                <c:pt idx="13">
                  <c:v>209</c:v>
                </c:pt>
              </c:numCache>
            </c:numRef>
          </c:val>
          <c:smooth val="0"/>
          <c:extLst xmlns:c16r2="http://schemas.microsoft.com/office/drawing/2015/06/chart">
            <c:ext xmlns:c16="http://schemas.microsoft.com/office/drawing/2014/chart" uri="{C3380CC4-5D6E-409C-BE32-E72D297353CC}">
              <c16:uniqueId val="{00000000-CFC5-4BDD-A484-7B0C091991F9}"/>
            </c:ext>
          </c:extLst>
        </c:ser>
        <c:dLbls>
          <c:showLegendKey val="0"/>
          <c:showVal val="0"/>
          <c:showCatName val="0"/>
          <c:showSerName val="0"/>
          <c:showPercent val="0"/>
          <c:showBubbleSize val="0"/>
        </c:dLbls>
        <c:marker val="1"/>
        <c:smooth val="0"/>
        <c:axId val="349876104"/>
        <c:axId val="349876496"/>
      </c:lineChart>
      <c:catAx>
        <c:axId val="349876104"/>
        <c:scaling>
          <c:orientation val="minMax"/>
        </c:scaling>
        <c:delete val="0"/>
        <c:axPos val="b"/>
        <c:numFmt formatCode="General" sourceLinked="1"/>
        <c:majorTickMark val="out"/>
        <c:minorTickMark val="none"/>
        <c:tickLblPos val="nextTo"/>
        <c:crossAx val="349876496"/>
        <c:crosses val="autoZero"/>
        <c:auto val="1"/>
        <c:lblAlgn val="ctr"/>
        <c:lblOffset val="100"/>
        <c:noMultiLvlLbl val="0"/>
      </c:catAx>
      <c:valAx>
        <c:axId val="349876496"/>
        <c:scaling>
          <c:orientation val="minMax"/>
        </c:scaling>
        <c:delete val="0"/>
        <c:axPos val="l"/>
        <c:majorGridlines/>
        <c:numFmt formatCode="General" sourceLinked="1"/>
        <c:majorTickMark val="out"/>
        <c:minorTickMark val="none"/>
        <c:tickLblPos val="nextTo"/>
        <c:crossAx val="349876104"/>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9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Prestonfield!$B$169</c:f>
              <c:strCache>
                <c:ptCount val="1"/>
                <c:pt idx="0">
                  <c:v>Catchment Births (5yrs Prior)</c:v>
                </c:pt>
              </c:strCache>
            </c:strRef>
          </c:tx>
          <c:marker>
            <c:symbol val="square"/>
            <c:size val="7"/>
          </c:marker>
          <c:cat>
            <c:numRef>
              <c:f>Prestonfield!$D$168:$N$168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Prestonfield!$D$169:$N$169</c:f>
              <c:numCache>
                <c:formatCode>#,##0</c:formatCode>
                <c:ptCount val="11"/>
                <c:pt idx="0">
                  <c:v>10</c:v>
                </c:pt>
                <c:pt idx="1">
                  <c:v>31</c:v>
                </c:pt>
                <c:pt idx="2">
                  <c:v>32</c:v>
                </c:pt>
                <c:pt idx="3">
                  <c:v>32</c:v>
                </c:pt>
                <c:pt idx="4">
                  <c:v>29</c:v>
                </c:pt>
                <c:pt idx="5">
                  <c:v>32</c:v>
                </c:pt>
                <c:pt idx="6">
                  <c:v>28</c:v>
                </c:pt>
                <c:pt idx="7">
                  <c:v>34</c:v>
                </c:pt>
                <c:pt idx="8">
                  <c:v>32</c:v>
                </c:pt>
                <c:pt idx="9">
                  <c:v>44</c:v>
                </c:pt>
                <c:pt idx="10">
                  <c:v>37</c:v>
                </c:pt>
              </c:numCache>
            </c:numRef>
          </c:val>
          <c:smooth val="0"/>
          <c:extLst xmlns:c16r2="http://schemas.microsoft.com/office/drawing/2015/06/chart">
            <c:ext xmlns:c16="http://schemas.microsoft.com/office/drawing/2014/chart" uri="{C3380CC4-5D6E-409C-BE32-E72D297353CC}">
              <c16:uniqueId val="{00000000-C930-4ED1-996F-A85ABB007456}"/>
            </c:ext>
          </c:extLst>
        </c:ser>
        <c:ser>
          <c:idx val="1"/>
          <c:order val="1"/>
          <c:tx>
            <c:strRef>
              <c:f>Prestonfield!$B$170</c:f>
              <c:strCache>
                <c:ptCount val="1"/>
                <c:pt idx="0">
                  <c:v>P1 ND Catchment Population (Actual)</c:v>
                </c:pt>
              </c:strCache>
            </c:strRef>
          </c:tx>
          <c:cat>
            <c:numRef>
              <c:f>Prestonfield!$D$168:$N$168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Prestonfield!$D$170:$I$170</c:f>
              <c:numCache>
                <c:formatCode>#,##0</c:formatCode>
                <c:ptCount val="6"/>
                <c:pt idx="0">
                  <c:v>13</c:v>
                </c:pt>
                <c:pt idx="1">
                  <c:v>25</c:v>
                </c:pt>
                <c:pt idx="2">
                  <c:v>28</c:v>
                </c:pt>
                <c:pt idx="3">
                  <c:v>25</c:v>
                </c:pt>
                <c:pt idx="4">
                  <c:v>20</c:v>
                </c:pt>
                <c:pt idx="5">
                  <c:v>20</c:v>
                </c:pt>
              </c:numCache>
            </c:numRef>
          </c:val>
          <c:smooth val="0"/>
          <c:extLst xmlns:c16r2="http://schemas.microsoft.com/office/drawing/2015/06/chart">
            <c:ext xmlns:c16="http://schemas.microsoft.com/office/drawing/2014/chart" uri="{C3380CC4-5D6E-409C-BE32-E72D297353CC}">
              <c16:uniqueId val="{00000001-C930-4ED1-996F-A85ABB007456}"/>
            </c:ext>
          </c:extLst>
        </c:ser>
        <c:ser>
          <c:idx val="2"/>
          <c:order val="2"/>
          <c:tx>
            <c:strRef>
              <c:f>Prestonfield!$B$172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C930-4ED1-996F-A85ABB007456}"/>
              </c:ext>
            </c:extLst>
          </c:dPt>
          <c:dPt>
            <c:idx val="5"/>
            <c:marker>
              <c:symbol val="none"/>
            </c:marker>
            <c:bubble3D val="0"/>
            <c:extLst xmlns:c16r2="http://schemas.microsoft.com/office/drawing/2015/06/chart">
              <c:ext xmlns:c16="http://schemas.microsoft.com/office/drawing/2014/chart" uri="{C3380CC4-5D6E-409C-BE32-E72D297353CC}">
                <c16:uniqueId val="{00000003-C930-4ED1-996F-A85ABB007456}"/>
              </c:ext>
            </c:extLst>
          </c:dPt>
          <c:dPt>
            <c:idx val="6"/>
            <c:marker>
              <c:symbol val="circle"/>
              <c:size val="7"/>
            </c:marker>
            <c:bubble3D val="0"/>
            <c:extLst xmlns:c16r2="http://schemas.microsoft.com/office/drawing/2015/06/chart">
              <c:ext xmlns:c16="http://schemas.microsoft.com/office/drawing/2014/chart" uri="{C3380CC4-5D6E-409C-BE32-E72D297353CC}">
                <c16:uniqueId val="{00000004-C930-4ED1-996F-A85ABB007456}"/>
              </c:ext>
            </c:extLst>
          </c:dPt>
          <c:dPt>
            <c:idx val="7"/>
            <c:marker>
              <c:symbol val="circle"/>
              <c:size val="7"/>
            </c:marker>
            <c:bubble3D val="0"/>
            <c:extLst xmlns:c16r2="http://schemas.microsoft.com/office/drawing/2015/06/chart">
              <c:ext xmlns:c16="http://schemas.microsoft.com/office/drawing/2014/chart" uri="{C3380CC4-5D6E-409C-BE32-E72D297353CC}">
                <c16:uniqueId val="{00000005-C930-4ED1-996F-A85ABB007456}"/>
              </c:ext>
            </c:extLst>
          </c:dPt>
          <c:dPt>
            <c:idx val="8"/>
            <c:marker>
              <c:symbol val="circle"/>
              <c:size val="7"/>
            </c:marker>
            <c:bubble3D val="0"/>
            <c:extLst xmlns:c16r2="http://schemas.microsoft.com/office/drawing/2015/06/chart">
              <c:ext xmlns:c16="http://schemas.microsoft.com/office/drawing/2014/chart" uri="{C3380CC4-5D6E-409C-BE32-E72D297353CC}">
                <c16:uniqueId val="{00000006-C930-4ED1-996F-A85ABB007456}"/>
              </c:ext>
            </c:extLst>
          </c:dPt>
          <c:dPt>
            <c:idx val="9"/>
            <c:marker>
              <c:symbol val="circle"/>
              <c:size val="7"/>
            </c:marker>
            <c:bubble3D val="0"/>
            <c:extLst xmlns:c16r2="http://schemas.microsoft.com/office/drawing/2015/06/chart">
              <c:ext xmlns:c16="http://schemas.microsoft.com/office/drawing/2014/chart" uri="{C3380CC4-5D6E-409C-BE32-E72D297353CC}">
                <c16:uniqueId val="{00000007-C930-4ED1-996F-A85ABB007456}"/>
              </c:ext>
            </c:extLst>
          </c:dPt>
          <c:dPt>
            <c:idx val="10"/>
            <c:marker>
              <c:symbol val="circle"/>
              <c:size val="7"/>
            </c:marker>
            <c:bubble3D val="0"/>
            <c:extLst xmlns:c16r2="http://schemas.microsoft.com/office/drawing/2015/06/chart">
              <c:ext xmlns:c16="http://schemas.microsoft.com/office/drawing/2014/chart" uri="{C3380CC4-5D6E-409C-BE32-E72D297353CC}">
                <c16:uniqueId val="{00000008-C930-4ED1-996F-A85ABB007456}"/>
              </c:ext>
            </c:extLst>
          </c:dPt>
          <c:cat>
            <c:numRef>
              <c:f>Prestonfield!$D$168:$N$168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Prestonfield!$D$172:$N$172</c:f>
              <c:numCache>
                <c:formatCode>General</c:formatCode>
                <c:ptCount val="11"/>
                <c:pt idx="5" formatCode="0">
                  <c:v>20</c:v>
                </c:pt>
                <c:pt idx="6" formatCode="0">
                  <c:v>0</c:v>
                </c:pt>
                <c:pt idx="7" formatCode="0">
                  <c:v>28</c:v>
                </c:pt>
                <c:pt idx="8" formatCode="0">
                  <c:v>25</c:v>
                </c:pt>
                <c:pt idx="9" formatCode="0">
                  <c:v>14</c:v>
                </c:pt>
                <c:pt idx="10" formatCode="0">
                  <c:v>13</c:v>
                </c:pt>
              </c:numCache>
            </c:numRef>
          </c:val>
          <c:smooth val="0"/>
          <c:extLst xmlns:c16r2="http://schemas.microsoft.com/office/drawing/2015/06/chart">
            <c:ext xmlns:c16="http://schemas.microsoft.com/office/drawing/2014/chart" uri="{C3380CC4-5D6E-409C-BE32-E72D297353CC}">
              <c16:uniqueId val="{00000009-C930-4ED1-996F-A85ABB007456}"/>
            </c:ext>
          </c:extLst>
        </c:ser>
        <c:ser>
          <c:idx val="3"/>
          <c:order val="3"/>
          <c:tx>
            <c:strRef>
              <c:f>Prestonfield!$B$171</c:f>
              <c:strCache>
                <c:ptCount val="1"/>
                <c:pt idx="0">
                  <c:v>Actual P1 Registrations (as of Jan 2016)</c:v>
                </c:pt>
              </c:strCache>
            </c:strRef>
          </c:tx>
          <c:spPr>
            <a:ln w="15875">
              <a:noFill/>
            </a:ln>
          </c:spPr>
          <c:marker>
            <c:symbol val="diamond"/>
            <c:size val="9"/>
            <c:spPr>
              <a:solidFill>
                <a:schemeClr val="tx1"/>
              </a:solidFill>
            </c:spPr>
          </c:marker>
          <c:cat>
            <c:numRef>
              <c:f>Prestonfield!$D$168:$N$168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Prestonfield!$D$171:$M$171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C930-4ED1-996F-A85ABB007456}"/>
            </c:ext>
          </c:extLst>
        </c:ser>
        <c:dLbls>
          <c:showLegendKey val="0"/>
          <c:showVal val="0"/>
          <c:showCatName val="0"/>
          <c:showSerName val="0"/>
          <c:showPercent val="0"/>
          <c:showBubbleSize val="0"/>
        </c:dLbls>
        <c:marker val="1"/>
        <c:smooth val="0"/>
        <c:axId val="349877280"/>
        <c:axId val="349877672"/>
      </c:lineChart>
      <c:catAx>
        <c:axId val="349877280"/>
        <c:scaling>
          <c:orientation val="minMax"/>
        </c:scaling>
        <c:delete val="0"/>
        <c:axPos val="b"/>
        <c:numFmt formatCode="General" sourceLinked="1"/>
        <c:majorTickMark val="out"/>
        <c:minorTickMark val="none"/>
        <c:tickLblPos val="nextTo"/>
        <c:crossAx val="349877672"/>
        <c:crosses val="autoZero"/>
        <c:auto val="1"/>
        <c:lblAlgn val="ctr"/>
        <c:lblOffset val="100"/>
        <c:noMultiLvlLbl val="0"/>
      </c:catAx>
      <c:valAx>
        <c:axId val="349877672"/>
        <c:scaling>
          <c:orientation val="minMax"/>
        </c:scaling>
        <c:delete val="0"/>
        <c:axPos val="l"/>
        <c:majorGridlines/>
        <c:numFmt formatCode="#,##0" sourceLinked="1"/>
        <c:majorTickMark val="out"/>
        <c:minorTickMark val="none"/>
        <c:tickLblPos val="nextTo"/>
        <c:crossAx val="349877280"/>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9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1082-4F8F-BA4D-CCB4A4BB0D19}"/>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49878456"/>
        <c:axId val="349878848"/>
      </c:lineChart>
      <c:catAx>
        <c:axId val="349878456"/>
        <c:scaling>
          <c:orientation val="minMax"/>
        </c:scaling>
        <c:delete val="0"/>
        <c:axPos val="b"/>
        <c:numFmt formatCode="General" sourceLinked="1"/>
        <c:majorTickMark val="out"/>
        <c:minorTickMark val="none"/>
        <c:tickLblPos val="nextTo"/>
        <c:crossAx val="349878848"/>
        <c:crosses val="autoZero"/>
        <c:auto val="1"/>
        <c:lblAlgn val="ctr"/>
        <c:lblOffset val="100"/>
        <c:noMultiLvlLbl val="0"/>
      </c:catAx>
      <c:valAx>
        <c:axId val="349878848"/>
        <c:scaling>
          <c:orientation val="minMax"/>
        </c:scaling>
        <c:delete val="0"/>
        <c:axPos val="l"/>
        <c:majorGridlines/>
        <c:numFmt formatCode="General" sourceLinked="1"/>
        <c:majorTickMark val="out"/>
        <c:minorTickMark val="none"/>
        <c:tickLblPos val="nextTo"/>
        <c:crossAx val="349878456"/>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9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square"/>
            <c:size val="7"/>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E55F-4068-9568-76E424A56D0B}"/>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1"/>
          <c:order val="1"/>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1-E55F-4068-9568-76E424A56D0B}"/>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2"/>
          <c:order val="2"/>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E55F-4068-9568-76E424A56D0B}"/>
              </c:ext>
            </c:extLst>
          </c:dPt>
          <c:dPt>
            <c:idx val="5"/>
            <c:marker>
              <c:symbol val="circle"/>
              <c:size val="7"/>
            </c:marker>
            <c:bubble3D val="0"/>
            <c:extLst xmlns:c16r2="http://schemas.microsoft.com/office/drawing/2015/06/chart">
              <c:ext xmlns:c16="http://schemas.microsoft.com/office/drawing/2014/chart" uri="{C3380CC4-5D6E-409C-BE32-E72D297353CC}">
                <c16:uniqueId val="{00000003-E55F-4068-9568-76E424A56D0B}"/>
              </c:ext>
            </c:extLst>
          </c:dPt>
          <c:dPt>
            <c:idx val="6"/>
            <c:marker>
              <c:symbol val="circle"/>
              <c:size val="7"/>
            </c:marker>
            <c:bubble3D val="0"/>
            <c:extLst xmlns:c16r2="http://schemas.microsoft.com/office/drawing/2015/06/chart">
              <c:ext xmlns:c16="http://schemas.microsoft.com/office/drawing/2014/chart" uri="{C3380CC4-5D6E-409C-BE32-E72D297353CC}">
                <c16:uniqueId val="{00000004-E55F-4068-9568-76E424A56D0B}"/>
              </c:ext>
            </c:extLst>
          </c:dPt>
          <c:dPt>
            <c:idx val="7"/>
            <c:marker>
              <c:symbol val="circle"/>
              <c:size val="7"/>
            </c:marker>
            <c:bubble3D val="0"/>
            <c:extLst xmlns:c16r2="http://schemas.microsoft.com/office/drawing/2015/06/chart">
              <c:ext xmlns:c16="http://schemas.microsoft.com/office/drawing/2014/chart" uri="{C3380CC4-5D6E-409C-BE32-E72D297353CC}">
                <c16:uniqueId val="{00000005-E55F-4068-9568-76E424A56D0B}"/>
              </c:ext>
            </c:extLst>
          </c:dPt>
          <c:dPt>
            <c:idx val="8"/>
            <c:marker>
              <c:symbol val="circle"/>
              <c:size val="7"/>
            </c:marker>
            <c:bubble3D val="0"/>
            <c:extLst xmlns:c16r2="http://schemas.microsoft.com/office/drawing/2015/06/chart">
              <c:ext xmlns:c16="http://schemas.microsoft.com/office/drawing/2014/chart" uri="{C3380CC4-5D6E-409C-BE32-E72D297353CC}">
                <c16:uniqueId val="{00000006-E55F-4068-9568-76E424A56D0B}"/>
              </c:ext>
            </c:extLst>
          </c:dPt>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7-E55F-4068-9568-76E424A56D0B}"/>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49879632"/>
        <c:axId val="349880024"/>
      </c:lineChart>
      <c:catAx>
        <c:axId val="349879632"/>
        <c:scaling>
          <c:orientation val="minMax"/>
        </c:scaling>
        <c:delete val="0"/>
        <c:axPos val="b"/>
        <c:numFmt formatCode="General" sourceLinked="1"/>
        <c:majorTickMark val="out"/>
        <c:minorTickMark val="none"/>
        <c:tickLblPos val="nextTo"/>
        <c:crossAx val="349880024"/>
        <c:crosses val="autoZero"/>
        <c:auto val="1"/>
        <c:lblAlgn val="ctr"/>
        <c:lblOffset val="100"/>
        <c:noMultiLvlLbl val="0"/>
      </c:catAx>
      <c:valAx>
        <c:axId val="349880024"/>
        <c:scaling>
          <c:orientation val="minMax"/>
        </c:scaling>
        <c:delete val="0"/>
        <c:axPos val="l"/>
        <c:majorGridlines/>
        <c:numFmt formatCode="General" sourceLinked="1"/>
        <c:majorTickMark val="out"/>
        <c:minorTickMark val="none"/>
        <c:tickLblPos val="nextTo"/>
        <c:crossAx val="349879632"/>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19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Queensferry!$B$177:$B$190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Queensferry!$J$177:$J$190</c:f>
              <c:numCache>
                <c:formatCode>General</c:formatCode>
                <c:ptCount val="14"/>
                <c:pt idx="0">
                  <c:v>337</c:v>
                </c:pt>
                <c:pt idx="1">
                  <c:v>309</c:v>
                </c:pt>
                <c:pt idx="2">
                  <c:v>304</c:v>
                </c:pt>
                <c:pt idx="3">
                  <c:v>281</c:v>
                </c:pt>
                <c:pt idx="4">
                  <c:v>289</c:v>
                </c:pt>
                <c:pt idx="5">
                  <c:v>289</c:v>
                </c:pt>
                <c:pt idx="6">
                  <c:v>296</c:v>
                </c:pt>
                <c:pt idx="7">
                  <c:v>319</c:v>
                </c:pt>
                <c:pt idx="8">
                  <c:v>341</c:v>
                </c:pt>
                <c:pt idx="9">
                  <c:v>348</c:v>
                </c:pt>
                <c:pt idx="10">
                  <c:v>370</c:v>
                </c:pt>
                <c:pt idx="11">
                  <c:v>395</c:v>
                </c:pt>
                <c:pt idx="12">
                  <c:v>398</c:v>
                </c:pt>
                <c:pt idx="13">
                  <c:v>390</c:v>
                </c:pt>
              </c:numCache>
            </c:numRef>
          </c:val>
          <c:smooth val="0"/>
          <c:extLst xmlns:c16r2="http://schemas.microsoft.com/office/drawing/2015/06/chart">
            <c:ext xmlns:c16="http://schemas.microsoft.com/office/drawing/2014/chart" uri="{C3380CC4-5D6E-409C-BE32-E72D297353CC}">
              <c16:uniqueId val="{00000000-0CC1-454A-BFCE-D5F26BFBB9FA}"/>
            </c:ext>
          </c:extLst>
        </c:ser>
        <c:dLbls>
          <c:showLegendKey val="0"/>
          <c:showVal val="0"/>
          <c:showCatName val="0"/>
          <c:showSerName val="0"/>
          <c:showPercent val="0"/>
          <c:showBubbleSize val="0"/>
        </c:dLbls>
        <c:marker val="1"/>
        <c:smooth val="0"/>
        <c:axId val="349880808"/>
        <c:axId val="349881200"/>
      </c:lineChart>
      <c:catAx>
        <c:axId val="349880808"/>
        <c:scaling>
          <c:orientation val="minMax"/>
        </c:scaling>
        <c:delete val="0"/>
        <c:axPos val="b"/>
        <c:numFmt formatCode="General" sourceLinked="1"/>
        <c:majorTickMark val="out"/>
        <c:minorTickMark val="none"/>
        <c:tickLblPos val="nextTo"/>
        <c:crossAx val="349881200"/>
        <c:crosses val="autoZero"/>
        <c:auto val="1"/>
        <c:lblAlgn val="ctr"/>
        <c:lblOffset val="100"/>
        <c:noMultiLvlLbl val="0"/>
      </c:catAx>
      <c:valAx>
        <c:axId val="349881200"/>
        <c:scaling>
          <c:orientation val="minMax"/>
        </c:scaling>
        <c:delete val="0"/>
        <c:axPos val="l"/>
        <c:majorGridlines/>
        <c:numFmt formatCode="General" sourceLinked="1"/>
        <c:majorTickMark val="out"/>
        <c:minorTickMark val="none"/>
        <c:tickLblPos val="nextTo"/>
        <c:crossAx val="349880808"/>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0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Queensferry!$B$169</c:f>
              <c:strCache>
                <c:ptCount val="1"/>
                <c:pt idx="0">
                  <c:v>Catchment Births (5yrs Prior)</c:v>
                </c:pt>
              </c:strCache>
            </c:strRef>
          </c:tx>
          <c:marker>
            <c:symbol val="square"/>
            <c:size val="7"/>
          </c:marker>
          <c:cat>
            <c:numRef>
              <c:f>Queensferry!$D$168:$N$168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Queensferry!$D$169:$N$169</c:f>
              <c:numCache>
                <c:formatCode>#,##0</c:formatCode>
                <c:ptCount val="11"/>
                <c:pt idx="0">
                  <c:v>66</c:v>
                </c:pt>
                <c:pt idx="1">
                  <c:v>88</c:v>
                </c:pt>
                <c:pt idx="2">
                  <c:v>87</c:v>
                </c:pt>
                <c:pt idx="3">
                  <c:v>73</c:v>
                </c:pt>
                <c:pt idx="4">
                  <c:v>66</c:v>
                </c:pt>
                <c:pt idx="5">
                  <c:v>64</c:v>
                </c:pt>
                <c:pt idx="6">
                  <c:v>63</c:v>
                </c:pt>
                <c:pt idx="7">
                  <c:v>53</c:v>
                </c:pt>
                <c:pt idx="8">
                  <c:v>60</c:v>
                </c:pt>
                <c:pt idx="9">
                  <c:v>60</c:v>
                </c:pt>
                <c:pt idx="10">
                  <c:v>59</c:v>
                </c:pt>
              </c:numCache>
            </c:numRef>
          </c:val>
          <c:smooth val="0"/>
          <c:extLst xmlns:c16r2="http://schemas.microsoft.com/office/drawing/2015/06/chart">
            <c:ext xmlns:c16="http://schemas.microsoft.com/office/drawing/2014/chart" uri="{C3380CC4-5D6E-409C-BE32-E72D297353CC}">
              <c16:uniqueId val="{00000000-8AC5-4373-8A77-8D26AC1AD0B2}"/>
            </c:ext>
          </c:extLst>
        </c:ser>
        <c:ser>
          <c:idx val="1"/>
          <c:order val="1"/>
          <c:tx>
            <c:strRef>
              <c:f>Queensferry!$B$170</c:f>
              <c:strCache>
                <c:ptCount val="1"/>
                <c:pt idx="0">
                  <c:v>P1 ND Catchment Population (Actual)</c:v>
                </c:pt>
              </c:strCache>
            </c:strRef>
          </c:tx>
          <c:cat>
            <c:numRef>
              <c:f>Queensferry!$D$168:$N$168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Queensferry!$D$170:$I$170</c:f>
              <c:numCache>
                <c:formatCode>#,##0</c:formatCode>
                <c:ptCount val="6"/>
                <c:pt idx="0">
                  <c:v>66</c:v>
                </c:pt>
                <c:pt idx="1">
                  <c:v>59</c:v>
                </c:pt>
                <c:pt idx="2">
                  <c:v>67</c:v>
                </c:pt>
                <c:pt idx="3">
                  <c:v>69</c:v>
                </c:pt>
                <c:pt idx="4">
                  <c:v>62</c:v>
                </c:pt>
                <c:pt idx="5">
                  <c:v>67</c:v>
                </c:pt>
              </c:numCache>
            </c:numRef>
          </c:val>
          <c:smooth val="0"/>
          <c:extLst xmlns:c16r2="http://schemas.microsoft.com/office/drawing/2015/06/chart">
            <c:ext xmlns:c16="http://schemas.microsoft.com/office/drawing/2014/chart" uri="{C3380CC4-5D6E-409C-BE32-E72D297353CC}">
              <c16:uniqueId val="{00000001-8AC5-4373-8A77-8D26AC1AD0B2}"/>
            </c:ext>
          </c:extLst>
        </c:ser>
        <c:ser>
          <c:idx val="2"/>
          <c:order val="2"/>
          <c:tx>
            <c:strRef>
              <c:f>Queensferry!$B$172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8AC5-4373-8A77-8D26AC1AD0B2}"/>
              </c:ext>
            </c:extLst>
          </c:dPt>
          <c:dPt>
            <c:idx val="5"/>
            <c:marker>
              <c:symbol val="none"/>
            </c:marker>
            <c:bubble3D val="0"/>
            <c:extLst xmlns:c16r2="http://schemas.microsoft.com/office/drawing/2015/06/chart">
              <c:ext xmlns:c16="http://schemas.microsoft.com/office/drawing/2014/chart" uri="{C3380CC4-5D6E-409C-BE32-E72D297353CC}">
                <c16:uniqueId val="{00000003-8AC5-4373-8A77-8D26AC1AD0B2}"/>
              </c:ext>
            </c:extLst>
          </c:dPt>
          <c:dPt>
            <c:idx val="6"/>
            <c:marker>
              <c:symbol val="circle"/>
              <c:size val="7"/>
            </c:marker>
            <c:bubble3D val="0"/>
            <c:extLst xmlns:c16r2="http://schemas.microsoft.com/office/drawing/2015/06/chart">
              <c:ext xmlns:c16="http://schemas.microsoft.com/office/drawing/2014/chart" uri="{C3380CC4-5D6E-409C-BE32-E72D297353CC}">
                <c16:uniqueId val="{00000004-8AC5-4373-8A77-8D26AC1AD0B2}"/>
              </c:ext>
            </c:extLst>
          </c:dPt>
          <c:dPt>
            <c:idx val="7"/>
            <c:marker>
              <c:symbol val="circle"/>
              <c:size val="7"/>
            </c:marker>
            <c:bubble3D val="0"/>
            <c:extLst xmlns:c16r2="http://schemas.microsoft.com/office/drawing/2015/06/chart">
              <c:ext xmlns:c16="http://schemas.microsoft.com/office/drawing/2014/chart" uri="{C3380CC4-5D6E-409C-BE32-E72D297353CC}">
                <c16:uniqueId val="{00000005-8AC5-4373-8A77-8D26AC1AD0B2}"/>
              </c:ext>
            </c:extLst>
          </c:dPt>
          <c:dPt>
            <c:idx val="8"/>
            <c:marker>
              <c:symbol val="circle"/>
              <c:size val="7"/>
            </c:marker>
            <c:bubble3D val="0"/>
            <c:extLst xmlns:c16r2="http://schemas.microsoft.com/office/drawing/2015/06/chart">
              <c:ext xmlns:c16="http://schemas.microsoft.com/office/drawing/2014/chart" uri="{C3380CC4-5D6E-409C-BE32-E72D297353CC}">
                <c16:uniqueId val="{00000006-8AC5-4373-8A77-8D26AC1AD0B2}"/>
              </c:ext>
            </c:extLst>
          </c:dPt>
          <c:dPt>
            <c:idx val="9"/>
            <c:marker>
              <c:symbol val="circle"/>
              <c:size val="7"/>
            </c:marker>
            <c:bubble3D val="0"/>
            <c:extLst xmlns:c16r2="http://schemas.microsoft.com/office/drawing/2015/06/chart">
              <c:ext xmlns:c16="http://schemas.microsoft.com/office/drawing/2014/chart" uri="{C3380CC4-5D6E-409C-BE32-E72D297353CC}">
                <c16:uniqueId val="{00000007-8AC5-4373-8A77-8D26AC1AD0B2}"/>
              </c:ext>
            </c:extLst>
          </c:dPt>
          <c:dPt>
            <c:idx val="10"/>
            <c:marker>
              <c:symbol val="circle"/>
              <c:size val="7"/>
            </c:marker>
            <c:bubble3D val="0"/>
            <c:extLst xmlns:c16r2="http://schemas.microsoft.com/office/drawing/2015/06/chart">
              <c:ext xmlns:c16="http://schemas.microsoft.com/office/drawing/2014/chart" uri="{C3380CC4-5D6E-409C-BE32-E72D297353CC}">
                <c16:uniqueId val="{00000008-8AC5-4373-8A77-8D26AC1AD0B2}"/>
              </c:ext>
            </c:extLst>
          </c:dPt>
          <c:cat>
            <c:numRef>
              <c:f>Queensferry!$D$168:$N$168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Queensferry!$D$172:$N$172</c:f>
              <c:numCache>
                <c:formatCode>General</c:formatCode>
                <c:ptCount val="11"/>
                <c:pt idx="5" formatCode="0">
                  <c:v>67</c:v>
                </c:pt>
                <c:pt idx="6" formatCode="0">
                  <c:v>0</c:v>
                </c:pt>
                <c:pt idx="7" formatCode="0">
                  <c:v>68</c:v>
                </c:pt>
                <c:pt idx="8" formatCode="0">
                  <c:v>67</c:v>
                </c:pt>
                <c:pt idx="9" formatCode="0">
                  <c:v>72</c:v>
                </c:pt>
                <c:pt idx="10" formatCode="0">
                  <c:v>84</c:v>
                </c:pt>
              </c:numCache>
            </c:numRef>
          </c:val>
          <c:smooth val="0"/>
          <c:extLst xmlns:c16r2="http://schemas.microsoft.com/office/drawing/2015/06/chart">
            <c:ext xmlns:c16="http://schemas.microsoft.com/office/drawing/2014/chart" uri="{C3380CC4-5D6E-409C-BE32-E72D297353CC}">
              <c16:uniqueId val="{00000009-8AC5-4373-8A77-8D26AC1AD0B2}"/>
            </c:ext>
          </c:extLst>
        </c:ser>
        <c:ser>
          <c:idx val="3"/>
          <c:order val="3"/>
          <c:tx>
            <c:strRef>
              <c:f>Queensferry!$B$171</c:f>
              <c:strCache>
                <c:ptCount val="1"/>
                <c:pt idx="0">
                  <c:v>Actual P1 Registrations (as of Jan 2016)</c:v>
                </c:pt>
              </c:strCache>
            </c:strRef>
          </c:tx>
          <c:spPr>
            <a:ln w="15875">
              <a:noFill/>
            </a:ln>
          </c:spPr>
          <c:marker>
            <c:symbol val="diamond"/>
            <c:size val="9"/>
            <c:spPr>
              <a:solidFill>
                <a:schemeClr val="tx1"/>
              </a:solidFill>
            </c:spPr>
          </c:marker>
          <c:cat>
            <c:numRef>
              <c:f>Queensferry!$D$168:$N$168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Queensferry!$D$171:$M$171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8AC5-4373-8A77-8D26AC1AD0B2}"/>
            </c:ext>
          </c:extLst>
        </c:ser>
        <c:dLbls>
          <c:showLegendKey val="0"/>
          <c:showVal val="0"/>
          <c:showCatName val="0"/>
          <c:showSerName val="0"/>
          <c:showPercent val="0"/>
          <c:showBubbleSize val="0"/>
        </c:dLbls>
        <c:marker val="1"/>
        <c:smooth val="0"/>
        <c:axId val="349881984"/>
        <c:axId val="349882376"/>
      </c:lineChart>
      <c:catAx>
        <c:axId val="349881984"/>
        <c:scaling>
          <c:orientation val="minMax"/>
        </c:scaling>
        <c:delete val="0"/>
        <c:axPos val="b"/>
        <c:numFmt formatCode="General" sourceLinked="1"/>
        <c:majorTickMark val="out"/>
        <c:minorTickMark val="none"/>
        <c:tickLblPos val="nextTo"/>
        <c:crossAx val="349882376"/>
        <c:crosses val="autoZero"/>
        <c:auto val="1"/>
        <c:lblAlgn val="ctr"/>
        <c:lblOffset val="100"/>
        <c:noMultiLvlLbl val="0"/>
      </c:catAx>
      <c:valAx>
        <c:axId val="349882376"/>
        <c:scaling>
          <c:orientation val="minMax"/>
        </c:scaling>
        <c:delete val="0"/>
        <c:axPos val="l"/>
        <c:majorGridlines/>
        <c:numFmt formatCode="#,##0" sourceLinked="1"/>
        <c:majorTickMark val="out"/>
        <c:minorTickMark val="none"/>
        <c:tickLblPos val="nextTo"/>
        <c:crossAx val="349881984"/>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0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AF9D-4BA8-9411-CD9269C994BB}"/>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49883160"/>
        <c:axId val="349883552"/>
      </c:lineChart>
      <c:catAx>
        <c:axId val="349883160"/>
        <c:scaling>
          <c:orientation val="minMax"/>
        </c:scaling>
        <c:delete val="0"/>
        <c:axPos val="b"/>
        <c:numFmt formatCode="General" sourceLinked="1"/>
        <c:majorTickMark val="out"/>
        <c:minorTickMark val="none"/>
        <c:tickLblPos val="nextTo"/>
        <c:crossAx val="349883552"/>
        <c:crosses val="autoZero"/>
        <c:auto val="1"/>
        <c:lblAlgn val="ctr"/>
        <c:lblOffset val="100"/>
        <c:noMultiLvlLbl val="0"/>
      </c:catAx>
      <c:valAx>
        <c:axId val="349883552"/>
        <c:scaling>
          <c:orientation val="minMax"/>
        </c:scaling>
        <c:delete val="0"/>
        <c:axPos val="l"/>
        <c:majorGridlines/>
        <c:numFmt formatCode="General" sourceLinked="1"/>
        <c:majorTickMark val="out"/>
        <c:minorTickMark val="none"/>
        <c:tickLblPos val="nextTo"/>
        <c:crossAx val="349883160"/>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0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square"/>
            <c:size val="7"/>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4E22-48B8-9E03-5578EB85269F}"/>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1"/>
          <c:order val="1"/>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1-4E22-48B8-9E03-5578EB85269F}"/>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2"/>
          <c:order val="2"/>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4E22-48B8-9E03-5578EB85269F}"/>
              </c:ext>
            </c:extLst>
          </c:dPt>
          <c:dPt>
            <c:idx val="5"/>
            <c:marker>
              <c:symbol val="circle"/>
              <c:size val="7"/>
            </c:marker>
            <c:bubble3D val="0"/>
            <c:extLst xmlns:c16r2="http://schemas.microsoft.com/office/drawing/2015/06/chart">
              <c:ext xmlns:c16="http://schemas.microsoft.com/office/drawing/2014/chart" uri="{C3380CC4-5D6E-409C-BE32-E72D297353CC}">
                <c16:uniqueId val="{00000003-4E22-48B8-9E03-5578EB85269F}"/>
              </c:ext>
            </c:extLst>
          </c:dPt>
          <c:dPt>
            <c:idx val="6"/>
            <c:marker>
              <c:symbol val="circle"/>
              <c:size val="7"/>
            </c:marker>
            <c:bubble3D val="0"/>
            <c:extLst xmlns:c16r2="http://schemas.microsoft.com/office/drawing/2015/06/chart">
              <c:ext xmlns:c16="http://schemas.microsoft.com/office/drawing/2014/chart" uri="{C3380CC4-5D6E-409C-BE32-E72D297353CC}">
                <c16:uniqueId val="{00000004-4E22-48B8-9E03-5578EB85269F}"/>
              </c:ext>
            </c:extLst>
          </c:dPt>
          <c:dPt>
            <c:idx val="7"/>
            <c:marker>
              <c:symbol val="circle"/>
              <c:size val="7"/>
            </c:marker>
            <c:bubble3D val="0"/>
            <c:extLst xmlns:c16r2="http://schemas.microsoft.com/office/drawing/2015/06/chart">
              <c:ext xmlns:c16="http://schemas.microsoft.com/office/drawing/2014/chart" uri="{C3380CC4-5D6E-409C-BE32-E72D297353CC}">
                <c16:uniqueId val="{00000005-4E22-48B8-9E03-5578EB85269F}"/>
              </c:ext>
            </c:extLst>
          </c:dPt>
          <c:dPt>
            <c:idx val="8"/>
            <c:marker>
              <c:symbol val="circle"/>
              <c:size val="7"/>
            </c:marker>
            <c:bubble3D val="0"/>
            <c:extLst xmlns:c16r2="http://schemas.microsoft.com/office/drawing/2015/06/chart">
              <c:ext xmlns:c16="http://schemas.microsoft.com/office/drawing/2014/chart" uri="{C3380CC4-5D6E-409C-BE32-E72D297353CC}">
                <c16:uniqueId val="{00000006-4E22-48B8-9E03-5578EB85269F}"/>
              </c:ext>
            </c:extLst>
          </c:dPt>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7-4E22-48B8-9E03-5578EB85269F}"/>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49884336"/>
        <c:axId val="349884728"/>
      </c:lineChart>
      <c:catAx>
        <c:axId val="349884336"/>
        <c:scaling>
          <c:orientation val="minMax"/>
        </c:scaling>
        <c:delete val="0"/>
        <c:axPos val="b"/>
        <c:numFmt formatCode="General" sourceLinked="1"/>
        <c:majorTickMark val="out"/>
        <c:minorTickMark val="none"/>
        <c:tickLblPos val="nextTo"/>
        <c:crossAx val="349884728"/>
        <c:crosses val="autoZero"/>
        <c:auto val="1"/>
        <c:lblAlgn val="ctr"/>
        <c:lblOffset val="100"/>
        <c:noMultiLvlLbl val="0"/>
      </c:catAx>
      <c:valAx>
        <c:axId val="349884728"/>
        <c:scaling>
          <c:orientation val="minMax"/>
        </c:scaling>
        <c:delete val="0"/>
        <c:axPos val="l"/>
        <c:majorGridlines/>
        <c:numFmt formatCode="General" sourceLinked="1"/>
        <c:majorTickMark val="out"/>
        <c:minorTickMark val="none"/>
        <c:tickLblPos val="nextTo"/>
        <c:crossAx val="349884336"/>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0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Ratho!$B$177:$B$190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Ratho!$J$177:$J$190</c:f>
              <c:numCache>
                <c:formatCode>General</c:formatCode>
                <c:ptCount val="14"/>
                <c:pt idx="0">
                  <c:v>161</c:v>
                </c:pt>
                <c:pt idx="1">
                  <c:v>149</c:v>
                </c:pt>
                <c:pt idx="2">
                  <c:v>161</c:v>
                </c:pt>
                <c:pt idx="3">
                  <c:v>148</c:v>
                </c:pt>
                <c:pt idx="4">
                  <c:v>129</c:v>
                </c:pt>
                <c:pt idx="5">
                  <c:v>137</c:v>
                </c:pt>
                <c:pt idx="6">
                  <c:v>121</c:v>
                </c:pt>
                <c:pt idx="7">
                  <c:v>116</c:v>
                </c:pt>
                <c:pt idx="8">
                  <c:v>114</c:v>
                </c:pt>
                <c:pt idx="9">
                  <c:v>109</c:v>
                </c:pt>
                <c:pt idx="10">
                  <c:v>119</c:v>
                </c:pt>
                <c:pt idx="11">
                  <c:v>135</c:v>
                </c:pt>
                <c:pt idx="12">
                  <c:v>165</c:v>
                </c:pt>
                <c:pt idx="13">
                  <c:v>183</c:v>
                </c:pt>
              </c:numCache>
            </c:numRef>
          </c:val>
          <c:smooth val="0"/>
          <c:extLst xmlns:c16r2="http://schemas.microsoft.com/office/drawing/2015/06/chart">
            <c:ext xmlns:c16="http://schemas.microsoft.com/office/drawing/2014/chart" uri="{C3380CC4-5D6E-409C-BE32-E72D297353CC}">
              <c16:uniqueId val="{00000000-B266-4D80-8D86-4021C03084A4}"/>
            </c:ext>
          </c:extLst>
        </c:ser>
        <c:dLbls>
          <c:showLegendKey val="0"/>
          <c:showVal val="0"/>
          <c:showCatName val="0"/>
          <c:showSerName val="0"/>
          <c:showPercent val="0"/>
          <c:showBubbleSize val="0"/>
        </c:dLbls>
        <c:marker val="1"/>
        <c:smooth val="0"/>
        <c:axId val="349885512"/>
        <c:axId val="349885904"/>
      </c:lineChart>
      <c:catAx>
        <c:axId val="349885512"/>
        <c:scaling>
          <c:orientation val="minMax"/>
        </c:scaling>
        <c:delete val="0"/>
        <c:axPos val="b"/>
        <c:numFmt formatCode="General" sourceLinked="1"/>
        <c:majorTickMark val="out"/>
        <c:minorTickMark val="none"/>
        <c:tickLblPos val="nextTo"/>
        <c:crossAx val="349885904"/>
        <c:crosses val="autoZero"/>
        <c:auto val="1"/>
        <c:lblAlgn val="ctr"/>
        <c:lblOffset val="100"/>
        <c:noMultiLvlLbl val="0"/>
      </c:catAx>
      <c:valAx>
        <c:axId val="349885904"/>
        <c:scaling>
          <c:orientation val="minMax"/>
        </c:scaling>
        <c:delete val="0"/>
        <c:axPos val="l"/>
        <c:majorGridlines/>
        <c:numFmt formatCode="General" sourceLinked="1"/>
        <c:majorTickMark val="out"/>
        <c:minorTickMark val="none"/>
        <c:tickLblPos val="nextTo"/>
        <c:crossAx val="349885512"/>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0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Ratho!$B$169</c:f>
              <c:strCache>
                <c:ptCount val="1"/>
                <c:pt idx="0">
                  <c:v>Catchment Births (5yrs Prior)</c:v>
                </c:pt>
              </c:strCache>
            </c:strRef>
          </c:tx>
          <c:marker>
            <c:symbol val="square"/>
            <c:size val="7"/>
          </c:marker>
          <c:cat>
            <c:numRef>
              <c:f>Ratho!$D$168:$N$168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Ratho!$D$169:$N$169</c:f>
              <c:numCache>
                <c:formatCode>#,##0</c:formatCode>
                <c:ptCount val="11"/>
                <c:pt idx="0">
                  <c:v>21</c:v>
                </c:pt>
                <c:pt idx="1">
                  <c:v>16</c:v>
                </c:pt>
                <c:pt idx="2">
                  <c:v>22</c:v>
                </c:pt>
                <c:pt idx="3">
                  <c:v>20</c:v>
                </c:pt>
                <c:pt idx="4">
                  <c:v>24</c:v>
                </c:pt>
                <c:pt idx="5">
                  <c:v>20</c:v>
                </c:pt>
                <c:pt idx="6">
                  <c:v>16</c:v>
                </c:pt>
                <c:pt idx="7">
                  <c:v>28</c:v>
                </c:pt>
                <c:pt idx="8">
                  <c:v>28</c:v>
                </c:pt>
                <c:pt idx="9">
                  <c:v>32</c:v>
                </c:pt>
                <c:pt idx="10">
                  <c:v>29</c:v>
                </c:pt>
              </c:numCache>
            </c:numRef>
          </c:val>
          <c:smooth val="0"/>
          <c:extLst xmlns:c16r2="http://schemas.microsoft.com/office/drawing/2015/06/chart">
            <c:ext xmlns:c16="http://schemas.microsoft.com/office/drawing/2014/chart" uri="{C3380CC4-5D6E-409C-BE32-E72D297353CC}">
              <c16:uniqueId val="{00000000-BCDC-4A78-A809-1C7244F68C1B}"/>
            </c:ext>
          </c:extLst>
        </c:ser>
        <c:ser>
          <c:idx val="1"/>
          <c:order val="1"/>
          <c:tx>
            <c:strRef>
              <c:f>Ratho!$B$170</c:f>
              <c:strCache>
                <c:ptCount val="1"/>
                <c:pt idx="0">
                  <c:v>P1 ND Catchment Population (Actual)</c:v>
                </c:pt>
              </c:strCache>
            </c:strRef>
          </c:tx>
          <c:cat>
            <c:numRef>
              <c:f>Ratho!$D$168:$N$168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Ratho!$D$170:$I$170</c:f>
              <c:numCache>
                <c:formatCode>#,##0</c:formatCode>
                <c:ptCount val="6"/>
                <c:pt idx="0">
                  <c:v>18</c:v>
                </c:pt>
                <c:pt idx="1">
                  <c:v>14</c:v>
                </c:pt>
                <c:pt idx="2">
                  <c:v>21</c:v>
                </c:pt>
                <c:pt idx="3">
                  <c:v>24</c:v>
                </c:pt>
                <c:pt idx="4">
                  <c:v>42</c:v>
                </c:pt>
                <c:pt idx="5">
                  <c:v>25</c:v>
                </c:pt>
              </c:numCache>
            </c:numRef>
          </c:val>
          <c:smooth val="0"/>
          <c:extLst xmlns:c16r2="http://schemas.microsoft.com/office/drawing/2015/06/chart">
            <c:ext xmlns:c16="http://schemas.microsoft.com/office/drawing/2014/chart" uri="{C3380CC4-5D6E-409C-BE32-E72D297353CC}">
              <c16:uniqueId val="{00000001-BCDC-4A78-A809-1C7244F68C1B}"/>
            </c:ext>
          </c:extLst>
        </c:ser>
        <c:ser>
          <c:idx val="2"/>
          <c:order val="2"/>
          <c:tx>
            <c:strRef>
              <c:f>Ratho!$B$172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BCDC-4A78-A809-1C7244F68C1B}"/>
              </c:ext>
            </c:extLst>
          </c:dPt>
          <c:dPt>
            <c:idx val="5"/>
            <c:marker>
              <c:symbol val="none"/>
            </c:marker>
            <c:bubble3D val="0"/>
            <c:extLst xmlns:c16r2="http://schemas.microsoft.com/office/drawing/2015/06/chart">
              <c:ext xmlns:c16="http://schemas.microsoft.com/office/drawing/2014/chart" uri="{C3380CC4-5D6E-409C-BE32-E72D297353CC}">
                <c16:uniqueId val="{00000003-BCDC-4A78-A809-1C7244F68C1B}"/>
              </c:ext>
            </c:extLst>
          </c:dPt>
          <c:dPt>
            <c:idx val="6"/>
            <c:marker>
              <c:symbol val="circle"/>
              <c:size val="7"/>
            </c:marker>
            <c:bubble3D val="0"/>
            <c:extLst xmlns:c16r2="http://schemas.microsoft.com/office/drawing/2015/06/chart">
              <c:ext xmlns:c16="http://schemas.microsoft.com/office/drawing/2014/chart" uri="{C3380CC4-5D6E-409C-BE32-E72D297353CC}">
                <c16:uniqueId val="{00000004-BCDC-4A78-A809-1C7244F68C1B}"/>
              </c:ext>
            </c:extLst>
          </c:dPt>
          <c:dPt>
            <c:idx val="7"/>
            <c:marker>
              <c:symbol val="circle"/>
              <c:size val="7"/>
            </c:marker>
            <c:bubble3D val="0"/>
            <c:extLst xmlns:c16r2="http://schemas.microsoft.com/office/drawing/2015/06/chart">
              <c:ext xmlns:c16="http://schemas.microsoft.com/office/drawing/2014/chart" uri="{C3380CC4-5D6E-409C-BE32-E72D297353CC}">
                <c16:uniqueId val="{00000005-BCDC-4A78-A809-1C7244F68C1B}"/>
              </c:ext>
            </c:extLst>
          </c:dPt>
          <c:dPt>
            <c:idx val="8"/>
            <c:marker>
              <c:symbol val="circle"/>
              <c:size val="7"/>
            </c:marker>
            <c:bubble3D val="0"/>
            <c:extLst xmlns:c16r2="http://schemas.microsoft.com/office/drawing/2015/06/chart">
              <c:ext xmlns:c16="http://schemas.microsoft.com/office/drawing/2014/chart" uri="{C3380CC4-5D6E-409C-BE32-E72D297353CC}">
                <c16:uniqueId val="{00000006-BCDC-4A78-A809-1C7244F68C1B}"/>
              </c:ext>
            </c:extLst>
          </c:dPt>
          <c:dPt>
            <c:idx val="9"/>
            <c:marker>
              <c:symbol val="circle"/>
              <c:size val="7"/>
            </c:marker>
            <c:bubble3D val="0"/>
            <c:extLst xmlns:c16r2="http://schemas.microsoft.com/office/drawing/2015/06/chart">
              <c:ext xmlns:c16="http://schemas.microsoft.com/office/drawing/2014/chart" uri="{C3380CC4-5D6E-409C-BE32-E72D297353CC}">
                <c16:uniqueId val="{00000007-BCDC-4A78-A809-1C7244F68C1B}"/>
              </c:ext>
            </c:extLst>
          </c:dPt>
          <c:dPt>
            <c:idx val="10"/>
            <c:marker>
              <c:symbol val="circle"/>
              <c:size val="7"/>
            </c:marker>
            <c:bubble3D val="0"/>
            <c:extLst xmlns:c16r2="http://schemas.microsoft.com/office/drawing/2015/06/chart">
              <c:ext xmlns:c16="http://schemas.microsoft.com/office/drawing/2014/chart" uri="{C3380CC4-5D6E-409C-BE32-E72D297353CC}">
                <c16:uniqueId val="{00000008-BCDC-4A78-A809-1C7244F68C1B}"/>
              </c:ext>
            </c:extLst>
          </c:dPt>
          <c:cat>
            <c:numRef>
              <c:f>Ratho!$D$168:$N$168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Ratho!$D$172:$N$172</c:f>
              <c:numCache>
                <c:formatCode>General</c:formatCode>
                <c:ptCount val="11"/>
                <c:pt idx="5" formatCode="0">
                  <c:v>25</c:v>
                </c:pt>
                <c:pt idx="6" formatCode="0">
                  <c:v>0</c:v>
                </c:pt>
                <c:pt idx="7" formatCode="0">
                  <c:v>53</c:v>
                </c:pt>
                <c:pt idx="8" formatCode="0">
                  <c:v>48</c:v>
                </c:pt>
                <c:pt idx="9" formatCode="0">
                  <c:v>46</c:v>
                </c:pt>
                <c:pt idx="10" formatCode="0">
                  <c:v>46</c:v>
                </c:pt>
              </c:numCache>
            </c:numRef>
          </c:val>
          <c:smooth val="0"/>
          <c:extLst xmlns:c16r2="http://schemas.microsoft.com/office/drawing/2015/06/chart">
            <c:ext xmlns:c16="http://schemas.microsoft.com/office/drawing/2014/chart" uri="{C3380CC4-5D6E-409C-BE32-E72D297353CC}">
              <c16:uniqueId val="{00000009-BCDC-4A78-A809-1C7244F68C1B}"/>
            </c:ext>
          </c:extLst>
        </c:ser>
        <c:ser>
          <c:idx val="3"/>
          <c:order val="3"/>
          <c:tx>
            <c:strRef>
              <c:f>Ratho!$B$171</c:f>
              <c:strCache>
                <c:ptCount val="1"/>
                <c:pt idx="0">
                  <c:v>Actual P1 Registrations (as of Jan 2016)</c:v>
                </c:pt>
              </c:strCache>
            </c:strRef>
          </c:tx>
          <c:spPr>
            <a:ln w="15875">
              <a:noFill/>
            </a:ln>
          </c:spPr>
          <c:marker>
            <c:symbol val="diamond"/>
            <c:size val="9"/>
            <c:spPr>
              <a:solidFill>
                <a:schemeClr val="tx1"/>
              </a:solidFill>
            </c:spPr>
          </c:marker>
          <c:cat>
            <c:numRef>
              <c:f>Ratho!$D$168:$N$168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Ratho!$D$171:$M$171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BCDC-4A78-A809-1C7244F68C1B}"/>
            </c:ext>
          </c:extLst>
        </c:ser>
        <c:dLbls>
          <c:showLegendKey val="0"/>
          <c:showVal val="0"/>
          <c:showCatName val="0"/>
          <c:showSerName val="0"/>
          <c:showPercent val="0"/>
          <c:showBubbleSize val="0"/>
        </c:dLbls>
        <c:marker val="1"/>
        <c:smooth val="0"/>
        <c:axId val="349886688"/>
        <c:axId val="349887080"/>
      </c:lineChart>
      <c:catAx>
        <c:axId val="349886688"/>
        <c:scaling>
          <c:orientation val="minMax"/>
        </c:scaling>
        <c:delete val="0"/>
        <c:axPos val="b"/>
        <c:numFmt formatCode="General" sourceLinked="1"/>
        <c:majorTickMark val="out"/>
        <c:minorTickMark val="none"/>
        <c:tickLblPos val="nextTo"/>
        <c:crossAx val="349887080"/>
        <c:crosses val="autoZero"/>
        <c:auto val="1"/>
        <c:lblAlgn val="ctr"/>
        <c:lblOffset val="100"/>
        <c:noMultiLvlLbl val="0"/>
      </c:catAx>
      <c:valAx>
        <c:axId val="349887080"/>
        <c:scaling>
          <c:orientation val="minMax"/>
        </c:scaling>
        <c:delete val="0"/>
        <c:axPos val="l"/>
        <c:majorGridlines/>
        <c:numFmt formatCode="#,##0" sourceLinked="1"/>
        <c:majorTickMark val="out"/>
        <c:minorTickMark val="none"/>
        <c:tickLblPos val="nextTo"/>
        <c:crossAx val="349886688"/>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0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FEE2-449A-A470-13ED0F837988}"/>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49887864"/>
        <c:axId val="349888256"/>
      </c:lineChart>
      <c:catAx>
        <c:axId val="349887864"/>
        <c:scaling>
          <c:orientation val="minMax"/>
        </c:scaling>
        <c:delete val="0"/>
        <c:axPos val="b"/>
        <c:numFmt formatCode="General" sourceLinked="1"/>
        <c:majorTickMark val="out"/>
        <c:minorTickMark val="none"/>
        <c:tickLblPos val="nextTo"/>
        <c:crossAx val="349888256"/>
        <c:crosses val="autoZero"/>
        <c:auto val="1"/>
        <c:lblAlgn val="ctr"/>
        <c:lblOffset val="100"/>
        <c:noMultiLvlLbl val="0"/>
      </c:catAx>
      <c:valAx>
        <c:axId val="349888256"/>
        <c:scaling>
          <c:orientation val="minMax"/>
        </c:scaling>
        <c:delete val="0"/>
        <c:axPos val="l"/>
        <c:majorGridlines/>
        <c:numFmt formatCode="General" sourceLinked="1"/>
        <c:majorTickMark val="out"/>
        <c:minorTickMark val="none"/>
        <c:tickLblPos val="nextTo"/>
        <c:crossAx val="349887864"/>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0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square"/>
            <c:size val="7"/>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7CBA-4F50-8611-72E3F89D1721}"/>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1"/>
          <c:order val="1"/>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1-7CBA-4F50-8611-72E3F89D1721}"/>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2"/>
          <c:order val="2"/>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7CBA-4F50-8611-72E3F89D1721}"/>
              </c:ext>
            </c:extLst>
          </c:dPt>
          <c:dPt>
            <c:idx val="5"/>
            <c:marker>
              <c:symbol val="circle"/>
              <c:size val="7"/>
            </c:marker>
            <c:bubble3D val="0"/>
            <c:extLst xmlns:c16r2="http://schemas.microsoft.com/office/drawing/2015/06/chart">
              <c:ext xmlns:c16="http://schemas.microsoft.com/office/drawing/2014/chart" uri="{C3380CC4-5D6E-409C-BE32-E72D297353CC}">
                <c16:uniqueId val="{00000003-7CBA-4F50-8611-72E3F89D1721}"/>
              </c:ext>
            </c:extLst>
          </c:dPt>
          <c:dPt>
            <c:idx val="6"/>
            <c:marker>
              <c:symbol val="circle"/>
              <c:size val="7"/>
            </c:marker>
            <c:bubble3D val="0"/>
            <c:extLst xmlns:c16r2="http://schemas.microsoft.com/office/drawing/2015/06/chart">
              <c:ext xmlns:c16="http://schemas.microsoft.com/office/drawing/2014/chart" uri="{C3380CC4-5D6E-409C-BE32-E72D297353CC}">
                <c16:uniqueId val="{00000004-7CBA-4F50-8611-72E3F89D1721}"/>
              </c:ext>
            </c:extLst>
          </c:dPt>
          <c:dPt>
            <c:idx val="7"/>
            <c:marker>
              <c:symbol val="circle"/>
              <c:size val="7"/>
            </c:marker>
            <c:bubble3D val="0"/>
            <c:extLst xmlns:c16r2="http://schemas.microsoft.com/office/drawing/2015/06/chart">
              <c:ext xmlns:c16="http://schemas.microsoft.com/office/drawing/2014/chart" uri="{C3380CC4-5D6E-409C-BE32-E72D297353CC}">
                <c16:uniqueId val="{00000005-7CBA-4F50-8611-72E3F89D1721}"/>
              </c:ext>
            </c:extLst>
          </c:dPt>
          <c:dPt>
            <c:idx val="8"/>
            <c:marker>
              <c:symbol val="circle"/>
              <c:size val="7"/>
            </c:marker>
            <c:bubble3D val="0"/>
            <c:extLst xmlns:c16r2="http://schemas.microsoft.com/office/drawing/2015/06/chart">
              <c:ext xmlns:c16="http://schemas.microsoft.com/office/drawing/2014/chart" uri="{C3380CC4-5D6E-409C-BE32-E72D297353CC}">
                <c16:uniqueId val="{00000006-7CBA-4F50-8611-72E3F89D1721}"/>
              </c:ext>
            </c:extLst>
          </c:dPt>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7-7CBA-4F50-8611-72E3F89D1721}"/>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49889040"/>
        <c:axId val="349889432"/>
      </c:lineChart>
      <c:catAx>
        <c:axId val="349889040"/>
        <c:scaling>
          <c:orientation val="minMax"/>
        </c:scaling>
        <c:delete val="0"/>
        <c:axPos val="b"/>
        <c:numFmt formatCode="General" sourceLinked="1"/>
        <c:majorTickMark val="out"/>
        <c:minorTickMark val="none"/>
        <c:tickLblPos val="nextTo"/>
        <c:crossAx val="349889432"/>
        <c:crosses val="autoZero"/>
        <c:auto val="1"/>
        <c:lblAlgn val="ctr"/>
        <c:lblOffset val="100"/>
        <c:noMultiLvlLbl val="0"/>
      </c:catAx>
      <c:valAx>
        <c:axId val="349889432"/>
        <c:scaling>
          <c:orientation val="minMax"/>
        </c:scaling>
        <c:delete val="0"/>
        <c:axPos val="l"/>
        <c:majorGridlines/>
        <c:numFmt formatCode="General" sourceLinked="1"/>
        <c:majorTickMark val="out"/>
        <c:minorTickMark val="none"/>
        <c:tickLblPos val="nextTo"/>
        <c:crossAx val="349889040"/>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0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Roseburn!$B$177:$B$190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Roseburn!$J$177:$J$190</c:f>
              <c:numCache>
                <c:formatCode>General</c:formatCode>
                <c:ptCount val="14"/>
                <c:pt idx="0">
                  <c:v>258</c:v>
                </c:pt>
                <c:pt idx="1">
                  <c:v>250</c:v>
                </c:pt>
                <c:pt idx="2">
                  <c:v>233</c:v>
                </c:pt>
                <c:pt idx="3">
                  <c:v>228</c:v>
                </c:pt>
                <c:pt idx="4">
                  <c:v>218</c:v>
                </c:pt>
                <c:pt idx="5">
                  <c:v>218</c:v>
                </c:pt>
                <c:pt idx="6">
                  <c:v>227</c:v>
                </c:pt>
                <c:pt idx="7">
                  <c:v>208</c:v>
                </c:pt>
                <c:pt idx="8">
                  <c:v>208</c:v>
                </c:pt>
                <c:pt idx="9">
                  <c:v>202</c:v>
                </c:pt>
                <c:pt idx="10">
                  <c:v>222</c:v>
                </c:pt>
                <c:pt idx="11">
                  <c:v>233</c:v>
                </c:pt>
                <c:pt idx="12">
                  <c:v>252</c:v>
                </c:pt>
                <c:pt idx="13">
                  <c:v>252</c:v>
                </c:pt>
              </c:numCache>
            </c:numRef>
          </c:val>
          <c:smooth val="0"/>
          <c:extLst xmlns:c16r2="http://schemas.microsoft.com/office/drawing/2015/06/chart">
            <c:ext xmlns:c16="http://schemas.microsoft.com/office/drawing/2014/chart" uri="{C3380CC4-5D6E-409C-BE32-E72D297353CC}">
              <c16:uniqueId val="{00000000-03E2-4766-A971-789B66473384}"/>
            </c:ext>
          </c:extLst>
        </c:ser>
        <c:dLbls>
          <c:showLegendKey val="0"/>
          <c:showVal val="0"/>
          <c:showCatName val="0"/>
          <c:showSerName val="0"/>
          <c:showPercent val="0"/>
          <c:showBubbleSize val="0"/>
        </c:dLbls>
        <c:marker val="1"/>
        <c:smooth val="0"/>
        <c:axId val="349890216"/>
        <c:axId val="351302536"/>
      </c:lineChart>
      <c:catAx>
        <c:axId val="349890216"/>
        <c:scaling>
          <c:orientation val="minMax"/>
        </c:scaling>
        <c:delete val="0"/>
        <c:axPos val="b"/>
        <c:numFmt formatCode="General" sourceLinked="1"/>
        <c:majorTickMark val="out"/>
        <c:minorTickMark val="none"/>
        <c:tickLblPos val="nextTo"/>
        <c:crossAx val="351302536"/>
        <c:crosses val="autoZero"/>
        <c:auto val="1"/>
        <c:lblAlgn val="ctr"/>
        <c:lblOffset val="100"/>
        <c:noMultiLvlLbl val="0"/>
      </c:catAx>
      <c:valAx>
        <c:axId val="351302536"/>
        <c:scaling>
          <c:orientation val="minMax"/>
        </c:scaling>
        <c:delete val="0"/>
        <c:axPos val="l"/>
        <c:majorGridlines/>
        <c:numFmt formatCode="General" sourceLinked="1"/>
        <c:majorTickMark val="out"/>
        <c:minorTickMark val="none"/>
        <c:tickLblPos val="nextTo"/>
        <c:crossAx val="349890216"/>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0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Roseburn!$B$169</c:f>
              <c:strCache>
                <c:ptCount val="1"/>
                <c:pt idx="0">
                  <c:v>Catchment Births (5yrs Prior)</c:v>
                </c:pt>
              </c:strCache>
            </c:strRef>
          </c:tx>
          <c:marker>
            <c:symbol val="square"/>
            <c:size val="7"/>
          </c:marker>
          <c:cat>
            <c:numRef>
              <c:f>Roseburn!$D$168:$N$168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Roseburn!$D$169:$N$169</c:f>
              <c:numCache>
                <c:formatCode>#,##0</c:formatCode>
                <c:ptCount val="11"/>
                <c:pt idx="0">
                  <c:v>55</c:v>
                </c:pt>
                <c:pt idx="1">
                  <c:v>67</c:v>
                </c:pt>
                <c:pt idx="2">
                  <c:v>83</c:v>
                </c:pt>
                <c:pt idx="3">
                  <c:v>76</c:v>
                </c:pt>
                <c:pt idx="4">
                  <c:v>86</c:v>
                </c:pt>
                <c:pt idx="5">
                  <c:v>79</c:v>
                </c:pt>
                <c:pt idx="6">
                  <c:v>69</c:v>
                </c:pt>
                <c:pt idx="7">
                  <c:v>85</c:v>
                </c:pt>
                <c:pt idx="8">
                  <c:v>74</c:v>
                </c:pt>
                <c:pt idx="9">
                  <c:v>75</c:v>
                </c:pt>
                <c:pt idx="10">
                  <c:v>63</c:v>
                </c:pt>
              </c:numCache>
            </c:numRef>
          </c:val>
          <c:smooth val="0"/>
          <c:extLst xmlns:c16r2="http://schemas.microsoft.com/office/drawing/2015/06/chart">
            <c:ext xmlns:c16="http://schemas.microsoft.com/office/drawing/2014/chart" uri="{C3380CC4-5D6E-409C-BE32-E72D297353CC}">
              <c16:uniqueId val="{00000000-97C7-4D60-AADF-DEFD91AF0254}"/>
            </c:ext>
          </c:extLst>
        </c:ser>
        <c:ser>
          <c:idx val="1"/>
          <c:order val="1"/>
          <c:tx>
            <c:strRef>
              <c:f>Roseburn!$B$170</c:f>
              <c:strCache>
                <c:ptCount val="1"/>
                <c:pt idx="0">
                  <c:v>P1 ND Catchment Population (Actual)</c:v>
                </c:pt>
              </c:strCache>
            </c:strRef>
          </c:tx>
          <c:cat>
            <c:numRef>
              <c:f>Roseburn!$D$168:$N$168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Roseburn!$D$170:$I$170</c:f>
              <c:numCache>
                <c:formatCode>#,##0</c:formatCode>
                <c:ptCount val="6"/>
                <c:pt idx="0">
                  <c:v>30</c:v>
                </c:pt>
                <c:pt idx="1">
                  <c:v>25</c:v>
                </c:pt>
                <c:pt idx="2">
                  <c:v>37</c:v>
                </c:pt>
                <c:pt idx="3">
                  <c:v>31</c:v>
                </c:pt>
                <c:pt idx="4">
                  <c:v>34</c:v>
                </c:pt>
                <c:pt idx="5">
                  <c:v>39</c:v>
                </c:pt>
              </c:numCache>
            </c:numRef>
          </c:val>
          <c:smooth val="0"/>
          <c:extLst xmlns:c16r2="http://schemas.microsoft.com/office/drawing/2015/06/chart">
            <c:ext xmlns:c16="http://schemas.microsoft.com/office/drawing/2014/chart" uri="{C3380CC4-5D6E-409C-BE32-E72D297353CC}">
              <c16:uniqueId val="{00000001-97C7-4D60-AADF-DEFD91AF0254}"/>
            </c:ext>
          </c:extLst>
        </c:ser>
        <c:ser>
          <c:idx val="2"/>
          <c:order val="2"/>
          <c:tx>
            <c:strRef>
              <c:f>Roseburn!$B$172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97C7-4D60-AADF-DEFD91AF0254}"/>
              </c:ext>
            </c:extLst>
          </c:dPt>
          <c:dPt>
            <c:idx val="5"/>
            <c:marker>
              <c:symbol val="none"/>
            </c:marker>
            <c:bubble3D val="0"/>
            <c:extLst xmlns:c16r2="http://schemas.microsoft.com/office/drawing/2015/06/chart">
              <c:ext xmlns:c16="http://schemas.microsoft.com/office/drawing/2014/chart" uri="{C3380CC4-5D6E-409C-BE32-E72D297353CC}">
                <c16:uniqueId val="{00000003-97C7-4D60-AADF-DEFD91AF0254}"/>
              </c:ext>
            </c:extLst>
          </c:dPt>
          <c:dPt>
            <c:idx val="6"/>
            <c:marker>
              <c:symbol val="circle"/>
              <c:size val="7"/>
            </c:marker>
            <c:bubble3D val="0"/>
            <c:extLst xmlns:c16r2="http://schemas.microsoft.com/office/drawing/2015/06/chart">
              <c:ext xmlns:c16="http://schemas.microsoft.com/office/drawing/2014/chart" uri="{C3380CC4-5D6E-409C-BE32-E72D297353CC}">
                <c16:uniqueId val="{00000004-97C7-4D60-AADF-DEFD91AF0254}"/>
              </c:ext>
            </c:extLst>
          </c:dPt>
          <c:dPt>
            <c:idx val="7"/>
            <c:marker>
              <c:symbol val="circle"/>
              <c:size val="7"/>
            </c:marker>
            <c:bubble3D val="0"/>
            <c:extLst xmlns:c16r2="http://schemas.microsoft.com/office/drawing/2015/06/chart">
              <c:ext xmlns:c16="http://schemas.microsoft.com/office/drawing/2014/chart" uri="{C3380CC4-5D6E-409C-BE32-E72D297353CC}">
                <c16:uniqueId val="{00000005-97C7-4D60-AADF-DEFD91AF0254}"/>
              </c:ext>
            </c:extLst>
          </c:dPt>
          <c:dPt>
            <c:idx val="8"/>
            <c:marker>
              <c:symbol val="circle"/>
              <c:size val="7"/>
            </c:marker>
            <c:bubble3D val="0"/>
            <c:extLst xmlns:c16r2="http://schemas.microsoft.com/office/drawing/2015/06/chart">
              <c:ext xmlns:c16="http://schemas.microsoft.com/office/drawing/2014/chart" uri="{C3380CC4-5D6E-409C-BE32-E72D297353CC}">
                <c16:uniqueId val="{00000006-97C7-4D60-AADF-DEFD91AF0254}"/>
              </c:ext>
            </c:extLst>
          </c:dPt>
          <c:dPt>
            <c:idx val="9"/>
            <c:marker>
              <c:symbol val="circle"/>
              <c:size val="7"/>
            </c:marker>
            <c:bubble3D val="0"/>
            <c:extLst xmlns:c16r2="http://schemas.microsoft.com/office/drawing/2015/06/chart">
              <c:ext xmlns:c16="http://schemas.microsoft.com/office/drawing/2014/chart" uri="{C3380CC4-5D6E-409C-BE32-E72D297353CC}">
                <c16:uniqueId val="{00000007-97C7-4D60-AADF-DEFD91AF0254}"/>
              </c:ext>
            </c:extLst>
          </c:dPt>
          <c:dPt>
            <c:idx val="10"/>
            <c:marker>
              <c:symbol val="circle"/>
              <c:size val="7"/>
            </c:marker>
            <c:bubble3D val="0"/>
            <c:extLst xmlns:c16r2="http://schemas.microsoft.com/office/drawing/2015/06/chart">
              <c:ext xmlns:c16="http://schemas.microsoft.com/office/drawing/2014/chart" uri="{C3380CC4-5D6E-409C-BE32-E72D297353CC}">
                <c16:uniqueId val="{00000008-97C7-4D60-AADF-DEFD91AF0254}"/>
              </c:ext>
            </c:extLst>
          </c:dPt>
          <c:cat>
            <c:numRef>
              <c:f>Roseburn!$D$168:$N$168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Roseburn!$D$172:$N$172</c:f>
              <c:numCache>
                <c:formatCode>General</c:formatCode>
                <c:ptCount val="11"/>
                <c:pt idx="5" formatCode="0">
                  <c:v>39</c:v>
                </c:pt>
                <c:pt idx="6" formatCode="0">
                  <c:v>0</c:v>
                </c:pt>
                <c:pt idx="7" formatCode="0">
                  <c:v>33</c:v>
                </c:pt>
                <c:pt idx="8" formatCode="0">
                  <c:v>28</c:v>
                </c:pt>
                <c:pt idx="9" formatCode="0">
                  <c:v>37</c:v>
                </c:pt>
                <c:pt idx="10" formatCode="0">
                  <c:v>22</c:v>
                </c:pt>
              </c:numCache>
            </c:numRef>
          </c:val>
          <c:smooth val="0"/>
          <c:extLst xmlns:c16r2="http://schemas.microsoft.com/office/drawing/2015/06/chart">
            <c:ext xmlns:c16="http://schemas.microsoft.com/office/drawing/2014/chart" uri="{C3380CC4-5D6E-409C-BE32-E72D297353CC}">
              <c16:uniqueId val="{00000009-97C7-4D60-AADF-DEFD91AF0254}"/>
            </c:ext>
          </c:extLst>
        </c:ser>
        <c:ser>
          <c:idx val="3"/>
          <c:order val="3"/>
          <c:tx>
            <c:strRef>
              <c:f>Roseburn!$B$171</c:f>
              <c:strCache>
                <c:ptCount val="1"/>
                <c:pt idx="0">
                  <c:v>Actual P1 Registrations (as of Jan 2016)</c:v>
                </c:pt>
              </c:strCache>
            </c:strRef>
          </c:tx>
          <c:spPr>
            <a:ln w="15875">
              <a:noFill/>
            </a:ln>
          </c:spPr>
          <c:marker>
            <c:symbol val="diamond"/>
            <c:size val="9"/>
            <c:spPr>
              <a:solidFill>
                <a:schemeClr val="tx1"/>
              </a:solidFill>
            </c:spPr>
          </c:marker>
          <c:cat>
            <c:numRef>
              <c:f>Roseburn!$D$168:$N$168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Roseburn!$D$171:$M$171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97C7-4D60-AADF-DEFD91AF0254}"/>
            </c:ext>
          </c:extLst>
        </c:ser>
        <c:dLbls>
          <c:showLegendKey val="0"/>
          <c:showVal val="0"/>
          <c:showCatName val="0"/>
          <c:showSerName val="0"/>
          <c:showPercent val="0"/>
          <c:showBubbleSize val="0"/>
        </c:dLbls>
        <c:marker val="1"/>
        <c:smooth val="0"/>
        <c:axId val="351303320"/>
        <c:axId val="351303712"/>
      </c:lineChart>
      <c:catAx>
        <c:axId val="351303320"/>
        <c:scaling>
          <c:orientation val="minMax"/>
        </c:scaling>
        <c:delete val="0"/>
        <c:axPos val="b"/>
        <c:numFmt formatCode="General" sourceLinked="1"/>
        <c:majorTickMark val="out"/>
        <c:minorTickMark val="none"/>
        <c:tickLblPos val="nextTo"/>
        <c:crossAx val="351303712"/>
        <c:crosses val="autoZero"/>
        <c:auto val="1"/>
        <c:lblAlgn val="ctr"/>
        <c:lblOffset val="100"/>
        <c:noMultiLvlLbl val="0"/>
      </c:catAx>
      <c:valAx>
        <c:axId val="351303712"/>
        <c:scaling>
          <c:orientation val="minMax"/>
        </c:scaling>
        <c:delete val="0"/>
        <c:axPos val="l"/>
        <c:majorGridlines/>
        <c:numFmt formatCode="#,##0" sourceLinked="1"/>
        <c:majorTickMark val="out"/>
        <c:minorTickMark val="none"/>
        <c:tickLblPos val="nextTo"/>
        <c:crossAx val="351303320"/>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0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828C-4A07-9A7D-289B485BBB8F}"/>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51304496"/>
        <c:axId val="351304888"/>
      </c:lineChart>
      <c:catAx>
        <c:axId val="351304496"/>
        <c:scaling>
          <c:orientation val="minMax"/>
        </c:scaling>
        <c:delete val="0"/>
        <c:axPos val="b"/>
        <c:numFmt formatCode="General" sourceLinked="1"/>
        <c:majorTickMark val="out"/>
        <c:minorTickMark val="none"/>
        <c:tickLblPos val="nextTo"/>
        <c:crossAx val="351304888"/>
        <c:crosses val="autoZero"/>
        <c:auto val="1"/>
        <c:lblAlgn val="ctr"/>
        <c:lblOffset val="100"/>
        <c:noMultiLvlLbl val="0"/>
      </c:catAx>
      <c:valAx>
        <c:axId val="351304888"/>
        <c:scaling>
          <c:orientation val="minMax"/>
        </c:scaling>
        <c:delete val="0"/>
        <c:axPos val="l"/>
        <c:majorGridlines/>
        <c:numFmt formatCode="General" sourceLinked="1"/>
        <c:majorTickMark val="out"/>
        <c:minorTickMark val="none"/>
        <c:tickLblPos val="nextTo"/>
        <c:crossAx val="351304496"/>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square"/>
            <c:size val="7"/>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C374-4587-9C22-B4D87DDAEECA}"/>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1"/>
          <c:order val="1"/>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1-C374-4587-9C22-B4D87DDAEECA}"/>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2"/>
          <c:order val="2"/>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C374-4587-9C22-B4D87DDAEECA}"/>
              </c:ext>
            </c:extLst>
          </c:dPt>
          <c:dPt>
            <c:idx val="5"/>
            <c:marker>
              <c:symbol val="circle"/>
              <c:size val="7"/>
            </c:marker>
            <c:bubble3D val="0"/>
            <c:extLst xmlns:c16r2="http://schemas.microsoft.com/office/drawing/2015/06/chart">
              <c:ext xmlns:c16="http://schemas.microsoft.com/office/drawing/2014/chart" uri="{C3380CC4-5D6E-409C-BE32-E72D297353CC}">
                <c16:uniqueId val="{00000003-C374-4587-9C22-B4D87DDAEECA}"/>
              </c:ext>
            </c:extLst>
          </c:dPt>
          <c:dPt>
            <c:idx val="6"/>
            <c:marker>
              <c:symbol val="circle"/>
              <c:size val="7"/>
            </c:marker>
            <c:bubble3D val="0"/>
            <c:extLst xmlns:c16r2="http://schemas.microsoft.com/office/drawing/2015/06/chart">
              <c:ext xmlns:c16="http://schemas.microsoft.com/office/drawing/2014/chart" uri="{C3380CC4-5D6E-409C-BE32-E72D297353CC}">
                <c16:uniqueId val="{00000004-C374-4587-9C22-B4D87DDAEECA}"/>
              </c:ext>
            </c:extLst>
          </c:dPt>
          <c:dPt>
            <c:idx val="7"/>
            <c:marker>
              <c:symbol val="circle"/>
              <c:size val="7"/>
            </c:marker>
            <c:bubble3D val="0"/>
            <c:extLst xmlns:c16r2="http://schemas.microsoft.com/office/drawing/2015/06/chart">
              <c:ext xmlns:c16="http://schemas.microsoft.com/office/drawing/2014/chart" uri="{C3380CC4-5D6E-409C-BE32-E72D297353CC}">
                <c16:uniqueId val="{00000005-C374-4587-9C22-B4D87DDAEECA}"/>
              </c:ext>
            </c:extLst>
          </c:dPt>
          <c:dPt>
            <c:idx val="8"/>
            <c:marker>
              <c:symbol val="circle"/>
              <c:size val="7"/>
            </c:marker>
            <c:bubble3D val="0"/>
            <c:extLst xmlns:c16r2="http://schemas.microsoft.com/office/drawing/2015/06/chart">
              <c:ext xmlns:c16="http://schemas.microsoft.com/office/drawing/2014/chart" uri="{C3380CC4-5D6E-409C-BE32-E72D297353CC}">
                <c16:uniqueId val="{00000006-C374-4587-9C22-B4D87DDAEECA}"/>
              </c:ext>
            </c:extLst>
          </c:dPt>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7-C374-4587-9C22-B4D87DDAEECA}"/>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51305672"/>
        <c:axId val="351306064"/>
      </c:lineChart>
      <c:catAx>
        <c:axId val="351305672"/>
        <c:scaling>
          <c:orientation val="minMax"/>
        </c:scaling>
        <c:delete val="0"/>
        <c:axPos val="b"/>
        <c:numFmt formatCode="General" sourceLinked="1"/>
        <c:majorTickMark val="out"/>
        <c:minorTickMark val="none"/>
        <c:tickLblPos val="nextTo"/>
        <c:crossAx val="351306064"/>
        <c:crosses val="autoZero"/>
        <c:auto val="1"/>
        <c:lblAlgn val="ctr"/>
        <c:lblOffset val="100"/>
        <c:noMultiLvlLbl val="0"/>
      </c:catAx>
      <c:valAx>
        <c:axId val="351306064"/>
        <c:scaling>
          <c:orientation val="minMax"/>
        </c:scaling>
        <c:delete val="0"/>
        <c:axPos val="l"/>
        <c:majorGridlines/>
        <c:numFmt formatCode="General" sourceLinked="1"/>
        <c:majorTickMark val="out"/>
        <c:minorTickMark val="none"/>
        <c:tickLblPos val="nextTo"/>
        <c:crossAx val="351305672"/>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'Royal Mile'!$B$177:$B$190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'Royal Mile'!$J$177:$J$190</c:f>
              <c:numCache>
                <c:formatCode>General</c:formatCode>
                <c:ptCount val="14"/>
                <c:pt idx="0">
                  <c:v>145</c:v>
                </c:pt>
                <c:pt idx="1">
                  <c:v>145</c:v>
                </c:pt>
                <c:pt idx="2">
                  <c:v>136</c:v>
                </c:pt>
                <c:pt idx="3">
                  <c:v>132</c:v>
                </c:pt>
                <c:pt idx="4">
                  <c:v>142</c:v>
                </c:pt>
                <c:pt idx="5">
                  <c:v>143</c:v>
                </c:pt>
                <c:pt idx="6">
                  <c:v>145</c:v>
                </c:pt>
                <c:pt idx="7">
                  <c:v>127</c:v>
                </c:pt>
                <c:pt idx="8">
                  <c:v>95</c:v>
                </c:pt>
                <c:pt idx="9">
                  <c:v>107</c:v>
                </c:pt>
                <c:pt idx="10">
                  <c:v>126</c:v>
                </c:pt>
                <c:pt idx="11">
                  <c:v>127</c:v>
                </c:pt>
                <c:pt idx="12">
                  <c:v>129</c:v>
                </c:pt>
                <c:pt idx="13">
                  <c:v>135</c:v>
                </c:pt>
              </c:numCache>
            </c:numRef>
          </c:val>
          <c:smooth val="0"/>
          <c:extLst xmlns:c16r2="http://schemas.microsoft.com/office/drawing/2015/06/chart">
            <c:ext xmlns:c16="http://schemas.microsoft.com/office/drawing/2014/chart" uri="{C3380CC4-5D6E-409C-BE32-E72D297353CC}">
              <c16:uniqueId val="{00000000-1406-4BEE-8C9D-79D70EB86F20}"/>
            </c:ext>
          </c:extLst>
        </c:ser>
        <c:dLbls>
          <c:showLegendKey val="0"/>
          <c:showVal val="0"/>
          <c:showCatName val="0"/>
          <c:showSerName val="0"/>
          <c:showPercent val="0"/>
          <c:showBubbleSize val="0"/>
        </c:dLbls>
        <c:marker val="1"/>
        <c:smooth val="0"/>
        <c:axId val="351306848"/>
        <c:axId val="351307240"/>
      </c:lineChart>
      <c:catAx>
        <c:axId val="351306848"/>
        <c:scaling>
          <c:orientation val="minMax"/>
        </c:scaling>
        <c:delete val="0"/>
        <c:axPos val="b"/>
        <c:numFmt formatCode="General" sourceLinked="1"/>
        <c:majorTickMark val="out"/>
        <c:minorTickMark val="none"/>
        <c:tickLblPos val="nextTo"/>
        <c:crossAx val="351307240"/>
        <c:crosses val="autoZero"/>
        <c:auto val="1"/>
        <c:lblAlgn val="ctr"/>
        <c:lblOffset val="100"/>
        <c:noMultiLvlLbl val="0"/>
      </c:catAx>
      <c:valAx>
        <c:axId val="351307240"/>
        <c:scaling>
          <c:orientation val="minMax"/>
        </c:scaling>
        <c:delete val="0"/>
        <c:axPos val="l"/>
        <c:majorGridlines/>
        <c:numFmt formatCode="General" sourceLinked="1"/>
        <c:majorTickMark val="out"/>
        <c:minorTickMark val="none"/>
        <c:tickLblPos val="nextTo"/>
        <c:crossAx val="351306848"/>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'Royal Mile'!$B$169</c:f>
              <c:strCache>
                <c:ptCount val="1"/>
                <c:pt idx="0">
                  <c:v>Catchment Births (5yrs Prior)</c:v>
                </c:pt>
              </c:strCache>
            </c:strRef>
          </c:tx>
          <c:marker>
            <c:symbol val="square"/>
            <c:size val="7"/>
          </c:marker>
          <c:cat>
            <c:numRef>
              <c:f>'Royal Mile'!$D$168:$N$168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'Royal Mile'!$D$169:$N$169</c:f>
              <c:numCache>
                <c:formatCode>#,##0</c:formatCode>
                <c:ptCount val="11"/>
                <c:pt idx="0">
                  <c:v>49</c:v>
                </c:pt>
                <c:pt idx="1">
                  <c:v>55</c:v>
                </c:pt>
                <c:pt idx="2">
                  <c:v>67</c:v>
                </c:pt>
                <c:pt idx="3">
                  <c:v>50</c:v>
                </c:pt>
                <c:pt idx="4">
                  <c:v>55</c:v>
                </c:pt>
                <c:pt idx="5">
                  <c:v>60</c:v>
                </c:pt>
                <c:pt idx="6">
                  <c:v>51</c:v>
                </c:pt>
                <c:pt idx="7">
                  <c:v>46</c:v>
                </c:pt>
                <c:pt idx="8">
                  <c:v>54</c:v>
                </c:pt>
                <c:pt idx="9">
                  <c:v>43</c:v>
                </c:pt>
                <c:pt idx="10">
                  <c:v>34</c:v>
                </c:pt>
              </c:numCache>
            </c:numRef>
          </c:val>
          <c:smooth val="0"/>
          <c:extLst xmlns:c16r2="http://schemas.microsoft.com/office/drawing/2015/06/chart">
            <c:ext xmlns:c16="http://schemas.microsoft.com/office/drawing/2014/chart" uri="{C3380CC4-5D6E-409C-BE32-E72D297353CC}">
              <c16:uniqueId val="{00000000-7776-41DB-AADD-674EA335F59F}"/>
            </c:ext>
          </c:extLst>
        </c:ser>
        <c:ser>
          <c:idx val="1"/>
          <c:order val="1"/>
          <c:tx>
            <c:strRef>
              <c:f>'Royal Mile'!$B$170</c:f>
              <c:strCache>
                <c:ptCount val="1"/>
                <c:pt idx="0">
                  <c:v>P1 ND Catchment Population (Actual)</c:v>
                </c:pt>
              </c:strCache>
            </c:strRef>
          </c:tx>
          <c:cat>
            <c:numRef>
              <c:f>'Royal Mile'!$D$168:$N$168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'Royal Mile'!$D$170:$I$170</c:f>
              <c:numCache>
                <c:formatCode>#,##0</c:formatCode>
                <c:ptCount val="6"/>
                <c:pt idx="0">
                  <c:v>14</c:v>
                </c:pt>
                <c:pt idx="1">
                  <c:v>25</c:v>
                </c:pt>
                <c:pt idx="2">
                  <c:v>23</c:v>
                </c:pt>
                <c:pt idx="3">
                  <c:v>20</c:v>
                </c:pt>
                <c:pt idx="4">
                  <c:v>26</c:v>
                </c:pt>
                <c:pt idx="5">
                  <c:v>24</c:v>
                </c:pt>
              </c:numCache>
            </c:numRef>
          </c:val>
          <c:smooth val="0"/>
          <c:extLst xmlns:c16r2="http://schemas.microsoft.com/office/drawing/2015/06/chart">
            <c:ext xmlns:c16="http://schemas.microsoft.com/office/drawing/2014/chart" uri="{C3380CC4-5D6E-409C-BE32-E72D297353CC}">
              <c16:uniqueId val="{00000001-7776-41DB-AADD-674EA335F59F}"/>
            </c:ext>
          </c:extLst>
        </c:ser>
        <c:ser>
          <c:idx val="2"/>
          <c:order val="2"/>
          <c:tx>
            <c:strRef>
              <c:f>'Royal Mile'!$B$172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7776-41DB-AADD-674EA335F59F}"/>
              </c:ext>
            </c:extLst>
          </c:dPt>
          <c:dPt>
            <c:idx val="5"/>
            <c:marker>
              <c:symbol val="none"/>
            </c:marker>
            <c:bubble3D val="0"/>
            <c:extLst xmlns:c16r2="http://schemas.microsoft.com/office/drawing/2015/06/chart">
              <c:ext xmlns:c16="http://schemas.microsoft.com/office/drawing/2014/chart" uri="{C3380CC4-5D6E-409C-BE32-E72D297353CC}">
                <c16:uniqueId val="{00000003-7776-41DB-AADD-674EA335F59F}"/>
              </c:ext>
            </c:extLst>
          </c:dPt>
          <c:dPt>
            <c:idx val="6"/>
            <c:marker>
              <c:symbol val="circle"/>
              <c:size val="7"/>
            </c:marker>
            <c:bubble3D val="0"/>
            <c:extLst xmlns:c16r2="http://schemas.microsoft.com/office/drawing/2015/06/chart">
              <c:ext xmlns:c16="http://schemas.microsoft.com/office/drawing/2014/chart" uri="{C3380CC4-5D6E-409C-BE32-E72D297353CC}">
                <c16:uniqueId val="{00000004-7776-41DB-AADD-674EA335F59F}"/>
              </c:ext>
            </c:extLst>
          </c:dPt>
          <c:dPt>
            <c:idx val="7"/>
            <c:marker>
              <c:symbol val="circle"/>
              <c:size val="7"/>
            </c:marker>
            <c:bubble3D val="0"/>
            <c:extLst xmlns:c16r2="http://schemas.microsoft.com/office/drawing/2015/06/chart">
              <c:ext xmlns:c16="http://schemas.microsoft.com/office/drawing/2014/chart" uri="{C3380CC4-5D6E-409C-BE32-E72D297353CC}">
                <c16:uniqueId val="{00000005-7776-41DB-AADD-674EA335F59F}"/>
              </c:ext>
            </c:extLst>
          </c:dPt>
          <c:dPt>
            <c:idx val="8"/>
            <c:marker>
              <c:symbol val="circle"/>
              <c:size val="7"/>
            </c:marker>
            <c:bubble3D val="0"/>
            <c:extLst xmlns:c16r2="http://schemas.microsoft.com/office/drawing/2015/06/chart">
              <c:ext xmlns:c16="http://schemas.microsoft.com/office/drawing/2014/chart" uri="{C3380CC4-5D6E-409C-BE32-E72D297353CC}">
                <c16:uniqueId val="{00000006-7776-41DB-AADD-674EA335F59F}"/>
              </c:ext>
            </c:extLst>
          </c:dPt>
          <c:dPt>
            <c:idx val="9"/>
            <c:marker>
              <c:symbol val="circle"/>
              <c:size val="7"/>
            </c:marker>
            <c:bubble3D val="0"/>
            <c:extLst xmlns:c16r2="http://schemas.microsoft.com/office/drawing/2015/06/chart">
              <c:ext xmlns:c16="http://schemas.microsoft.com/office/drawing/2014/chart" uri="{C3380CC4-5D6E-409C-BE32-E72D297353CC}">
                <c16:uniqueId val="{00000007-7776-41DB-AADD-674EA335F59F}"/>
              </c:ext>
            </c:extLst>
          </c:dPt>
          <c:dPt>
            <c:idx val="10"/>
            <c:marker>
              <c:symbol val="circle"/>
              <c:size val="7"/>
            </c:marker>
            <c:bubble3D val="0"/>
            <c:extLst xmlns:c16r2="http://schemas.microsoft.com/office/drawing/2015/06/chart">
              <c:ext xmlns:c16="http://schemas.microsoft.com/office/drawing/2014/chart" uri="{C3380CC4-5D6E-409C-BE32-E72D297353CC}">
                <c16:uniqueId val="{00000008-7776-41DB-AADD-674EA335F59F}"/>
              </c:ext>
            </c:extLst>
          </c:dPt>
          <c:cat>
            <c:numRef>
              <c:f>'Royal Mile'!$D$168:$N$168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'Royal Mile'!$D$172:$N$172</c:f>
              <c:numCache>
                <c:formatCode>General</c:formatCode>
                <c:ptCount val="11"/>
                <c:pt idx="5" formatCode="0">
                  <c:v>24</c:v>
                </c:pt>
                <c:pt idx="6" formatCode="0">
                  <c:v>0</c:v>
                </c:pt>
                <c:pt idx="7" formatCode="0">
                  <c:v>21</c:v>
                </c:pt>
                <c:pt idx="8" formatCode="0">
                  <c:v>16</c:v>
                </c:pt>
                <c:pt idx="9" formatCode="0">
                  <c:v>20</c:v>
                </c:pt>
                <c:pt idx="10" formatCode="0">
                  <c:v>18</c:v>
                </c:pt>
              </c:numCache>
            </c:numRef>
          </c:val>
          <c:smooth val="0"/>
          <c:extLst xmlns:c16r2="http://schemas.microsoft.com/office/drawing/2015/06/chart">
            <c:ext xmlns:c16="http://schemas.microsoft.com/office/drawing/2014/chart" uri="{C3380CC4-5D6E-409C-BE32-E72D297353CC}">
              <c16:uniqueId val="{00000009-7776-41DB-AADD-674EA335F59F}"/>
            </c:ext>
          </c:extLst>
        </c:ser>
        <c:ser>
          <c:idx val="3"/>
          <c:order val="3"/>
          <c:tx>
            <c:strRef>
              <c:f>'Royal Mile'!$B$171</c:f>
              <c:strCache>
                <c:ptCount val="1"/>
                <c:pt idx="0">
                  <c:v>Actual P1 Registrations (as of Jan 2016)</c:v>
                </c:pt>
              </c:strCache>
            </c:strRef>
          </c:tx>
          <c:spPr>
            <a:ln w="15875">
              <a:noFill/>
            </a:ln>
          </c:spPr>
          <c:marker>
            <c:symbol val="diamond"/>
            <c:size val="9"/>
            <c:spPr>
              <a:solidFill>
                <a:schemeClr val="tx1"/>
              </a:solidFill>
            </c:spPr>
          </c:marker>
          <c:cat>
            <c:numRef>
              <c:f>'Royal Mile'!$D$168:$N$168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'Royal Mile'!$D$171:$M$171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7776-41DB-AADD-674EA335F59F}"/>
            </c:ext>
          </c:extLst>
        </c:ser>
        <c:dLbls>
          <c:showLegendKey val="0"/>
          <c:showVal val="0"/>
          <c:showCatName val="0"/>
          <c:showSerName val="0"/>
          <c:showPercent val="0"/>
          <c:showBubbleSize val="0"/>
        </c:dLbls>
        <c:marker val="1"/>
        <c:smooth val="0"/>
        <c:axId val="351308024"/>
        <c:axId val="351308416"/>
      </c:lineChart>
      <c:catAx>
        <c:axId val="351308024"/>
        <c:scaling>
          <c:orientation val="minMax"/>
        </c:scaling>
        <c:delete val="0"/>
        <c:axPos val="b"/>
        <c:numFmt formatCode="General" sourceLinked="1"/>
        <c:majorTickMark val="out"/>
        <c:minorTickMark val="none"/>
        <c:tickLblPos val="nextTo"/>
        <c:crossAx val="351308416"/>
        <c:crosses val="autoZero"/>
        <c:auto val="1"/>
        <c:lblAlgn val="ctr"/>
        <c:lblOffset val="100"/>
        <c:noMultiLvlLbl val="0"/>
      </c:catAx>
      <c:valAx>
        <c:axId val="351308416"/>
        <c:scaling>
          <c:orientation val="minMax"/>
        </c:scaling>
        <c:delete val="0"/>
        <c:axPos val="l"/>
        <c:majorGridlines/>
        <c:numFmt formatCode="#,##0" sourceLinked="1"/>
        <c:majorTickMark val="out"/>
        <c:minorTickMark val="none"/>
        <c:tickLblPos val="nextTo"/>
        <c:crossAx val="351308024"/>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E4B6-48DD-9423-84E73CB71367}"/>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51309200"/>
        <c:axId val="351309592"/>
      </c:lineChart>
      <c:catAx>
        <c:axId val="351309200"/>
        <c:scaling>
          <c:orientation val="minMax"/>
        </c:scaling>
        <c:delete val="0"/>
        <c:axPos val="b"/>
        <c:numFmt formatCode="General" sourceLinked="1"/>
        <c:majorTickMark val="out"/>
        <c:minorTickMark val="none"/>
        <c:tickLblPos val="nextTo"/>
        <c:crossAx val="351309592"/>
        <c:crosses val="autoZero"/>
        <c:auto val="1"/>
        <c:lblAlgn val="ctr"/>
        <c:lblOffset val="100"/>
        <c:noMultiLvlLbl val="0"/>
      </c:catAx>
      <c:valAx>
        <c:axId val="351309592"/>
        <c:scaling>
          <c:orientation val="minMax"/>
        </c:scaling>
        <c:delete val="0"/>
        <c:axPos val="l"/>
        <c:majorGridlines/>
        <c:numFmt formatCode="General" sourceLinked="1"/>
        <c:majorTickMark val="out"/>
        <c:minorTickMark val="none"/>
        <c:tickLblPos val="nextTo"/>
        <c:crossAx val="351309200"/>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square"/>
            <c:size val="7"/>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D95D-492C-84DC-65098446EC7B}"/>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1"/>
          <c:order val="1"/>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1-D95D-492C-84DC-65098446EC7B}"/>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2"/>
          <c:order val="2"/>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D95D-492C-84DC-65098446EC7B}"/>
              </c:ext>
            </c:extLst>
          </c:dPt>
          <c:dPt>
            <c:idx val="5"/>
            <c:marker>
              <c:symbol val="circle"/>
              <c:size val="7"/>
            </c:marker>
            <c:bubble3D val="0"/>
            <c:extLst xmlns:c16r2="http://schemas.microsoft.com/office/drawing/2015/06/chart">
              <c:ext xmlns:c16="http://schemas.microsoft.com/office/drawing/2014/chart" uri="{C3380CC4-5D6E-409C-BE32-E72D297353CC}">
                <c16:uniqueId val="{00000003-D95D-492C-84DC-65098446EC7B}"/>
              </c:ext>
            </c:extLst>
          </c:dPt>
          <c:dPt>
            <c:idx val="6"/>
            <c:marker>
              <c:symbol val="circle"/>
              <c:size val="7"/>
            </c:marker>
            <c:bubble3D val="0"/>
            <c:extLst xmlns:c16r2="http://schemas.microsoft.com/office/drawing/2015/06/chart">
              <c:ext xmlns:c16="http://schemas.microsoft.com/office/drawing/2014/chart" uri="{C3380CC4-5D6E-409C-BE32-E72D297353CC}">
                <c16:uniqueId val="{00000004-D95D-492C-84DC-65098446EC7B}"/>
              </c:ext>
            </c:extLst>
          </c:dPt>
          <c:dPt>
            <c:idx val="7"/>
            <c:marker>
              <c:symbol val="circle"/>
              <c:size val="7"/>
            </c:marker>
            <c:bubble3D val="0"/>
            <c:extLst xmlns:c16r2="http://schemas.microsoft.com/office/drawing/2015/06/chart">
              <c:ext xmlns:c16="http://schemas.microsoft.com/office/drawing/2014/chart" uri="{C3380CC4-5D6E-409C-BE32-E72D297353CC}">
                <c16:uniqueId val="{00000005-D95D-492C-84DC-65098446EC7B}"/>
              </c:ext>
            </c:extLst>
          </c:dPt>
          <c:dPt>
            <c:idx val="8"/>
            <c:marker>
              <c:symbol val="circle"/>
              <c:size val="7"/>
            </c:marker>
            <c:bubble3D val="0"/>
            <c:extLst xmlns:c16r2="http://schemas.microsoft.com/office/drawing/2015/06/chart">
              <c:ext xmlns:c16="http://schemas.microsoft.com/office/drawing/2014/chart" uri="{C3380CC4-5D6E-409C-BE32-E72D297353CC}">
                <c16:uniqueId val="{00000006-D95D-492C-84DC-65098446EC7B}"/>
              </c:ext>
            </c:extLst>
          </c:dPt>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7-D95D-492C-84DC-65098446EC7B}"/>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51310376"/>
        <c:axId val="351310768"/>
      </c:lineChart>
      <c:catAx>
        <c:axId val="351310376"/>
        <c:scaling>
          <c:orientation val="minMax"/>
        </c:scaling>
        <c:delete val="0"/>
        <c:axPos val="b"/>
        <c:numFmt formatCode="General" sourceLinked="1"/>
        <c:majorTickMark val="out"/>
        <c:minorTickMark val="none"/>
        <c:tickLblPos val="nextTo"/>
        <c:crossAx val="351310768"/>
        <c:crosses val="autoZero"/>
        <c:auto val="1"/>
        <c:lblAlgn val="ctr"/>
        <c:lblOffset val="100"/>
        <c:noMultiLvlLbl val="0"/>
      </c:catAx>
      <c:valAx>
        <c:axId val="351310768"/>
        <c:scaling>
          <c:orientation val="minMax"/>
        </c:scaling>
        <c:delete val="0"/>
        <c:axPos val="l"/>
        <c:majorGridlines/>
        <c:numFmt formatCode="General" sourceLinked="1"/>
        <c:majorTickMark val="out"/>
        <c:minorTickMark val="none"/>
        <c:tickLblPos val="nextTo"/>
        <c:crossAx val="351310376"/>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Sciennes!$B$177:$B$190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Sciennes!$J$177:$J$190</c:f>
              <c:numCache>
                <c:formatCode>General</c:formatCode>
                <c:ptCount val="14"/>
                <c:pt idx="0">
                  <c:v>635</c:v>
                </c:pt>
                <c:pt idx="1">
                  <c:v>629</c:v>
                </c:pt>
                <c:pt idx="2">
                  <c:v>629</c:v>
                </c:pt>
                <c:pt idx="3">
                  <c:v>606</c:v>
                </c:pt>
                <c:pt idx="4">
                  <c:v>625</c:v>
                </c:pt>
                <c:pt idx="5">
                  <c:v>632</c:v>
                </c:pt>
                <c:pt idx="6">
                  <c:v>615</c:v>
                </c:pt>
                <c:pt idx="7">
                  <c:v>643</c:v>
                </c:pt>
                <c:pt idx="8">
                  <c:v>631</c:v>
                </c:pt>
                <c:pt idx="9">
                  <c:v>642</c:v>
                </c:pt>
                <c:pt idx="10">
                  <c:v>634</c:v>
                </c:pt>
                <c:pt idx="11">
                  <c:v>638</c:v>
                </c:pt>
                <c:pt idx="12">
                  <c:v>637</c:v>
                </c:pt>
                <c:pt idx="13">
                  <c:v>646</c:v>
                </c:pt>
              </c:numCache>
            </c:numRef>
          </c:val>
          <c:smooth val="0"/>
          <c:extLst xmlns:c16r2="http://schemas.microsoft.com/office/drawing/2015/06/chart">
            <c:ext xmlns:c16="http://schemas.microsoft.com/office/drawing/2014/chart" uri="{C3380CC4-5D6E-409C-BE32-E72D297353CC}">
              <c16:uniqueId val="{00000000-0F26-4FE9-8005-F8141DBD879B}"/>
            </c:ext>
          </c:extLst>
        </c:ser>
        <c:dLbls>
          <c:showLegendKey val="0"/>
          <c:showVal val="0"/>
          <c:showCatName val="0"/>
          <c:showSerName val="0"/>
          <c:showPercent val="0"/>
          <c:showBubbleSize val="0"/>
        </c:dLbls>
        <c:marker val="1"/>
        <c:smooth val="0"/>
        <c:axId val="351311552"/>
        <c:axId val="351311944"/>
      </c:lineChart>
      <c:catAx>
        <c:axId val="351311552"/>
        <c:scaling>
          <c:orientation val="minMax"/>
        </c:scaling>
        <c:delete val="0"/>
        <c:axPos val="b"/>
        <c:numFmt formatCode="General" sourceLinked="1"/>
        <c:majorTickMark val="out"/>
        <c:minorTickMark val="none"/>
        <c:tickLblPos val="nextTo"/>
        <c:crossAx val="351311944"/>
        <c:crosses val="autoZero"/>
        <c:auto val="1"/>
        <c:lblAlgn val="ctr"/>
        <c:lblOffset val="100"/>
        <c:noMultiLvlLbl val="0"/>
      </c:catAx>
      <c:valAx>
        <c:axId val="351311944"/>
        <c:scaling>
          <c:orientation val="minMax"/>
        </c:scaling>
        <c:delete val="0"/>
        <c:axPos val="l"/>
        <c:majorGridlines/>
        <c:numFmt formatCode="General" sourceLinked="1"/>
        <c:majorTickMark val="out"/>
        <c:minorTickMark val="none"/>
        <c:tickLblPos val="nextTo"/>
        <c:crossAx val="351311552"/>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Sciennes!$B$169</c:f>
              <c:strCache>
                <c:ptCount val="1"/>
                <c:pt idx="0">
                  <c:v>Catchment Births (5yrs Prior)</c:v>
                </c:pt>
              </c:strCache>
            </c:strRef>
          </c:tx>
          <c:marker>
            <c:symbol val="square"/>
            <c:size val="7"/>
          </c:marker>
          <c:cat>
            <c:numRef>
              <c:f>Sciennes!$D$168:$N$168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Sciennes!$D$169:$N$169</c:f>
              <c:numCache>
                <c:formatCode>#,##0</c:formatCode>
                <c:ptCount val="11"/>
                <c:pt idx="0">
                  <c:v>79</c:v>
                </c:pt>
                <c:pt idx="1">
                  <c:v>81</c:v>
                </c:pt>
                <c:pt idx="2">
                  <c:v>80</c:v>
                </c:pt>
                <c:pt idx="3">
                  <c:v>104</c:v>
                </c:pt>
                <c:pt idx="4">
                  <c:v>83</c:v>
                </c:pt>
                <c:pt idx="5">
                  <c:v>79</c:v>
                </c:pt>
                <c:pt idx="6">
                  <c:v>77</c:v>
                </c:pt>
                <c:pt idx="7">
                  <c:v>78</c:v>
                </c:pt>
                <c:pt idx="8">
                  <c:v>85</c:v>
                </c:pt>
                <c:pt idx="9">
                  <c:v>90</c:v>
                </c:pt>
                <c:pt idx="10">
                  <c:v>64</c:v>
                </c:pt>
              </c:numCache>
            </c:numRef>
          </c:val>
          <c:smooth val="0"/>
          <c:extLst xmlns:c16r2="http://schemas.microsoft.com/office/drawing/2015/06/chart">
            <c:ext xmlns:c16="http://schemas.microsoft.com/office/drawing/2014/chart" uri="{C3380CC4-5D6E-409C-BE32-E72D297353CC}">
              <c16:uniqueId val="{00000000-3333-4367-B091-3D5DFF9F5EA8}"/>
            </c:ext>
          </c:extLst>
        </c:ser>
        <c:ser>
          <c:idx val="1"/>
          <c:order val="1"/>
          <c:tx>
            <c:strRef>
              <c:f>Sciennes!$B$170</c:f>
              <c:strCache>
                <c:ptCount val="1"/>
                <c:pt idx="0">
                  <c:v>P1 ND Catchment Population (Actual)</c:v>
                </c:pt>
              </c:strCache>
            </c:strRef>
          </c:tx>
          <c:cat>
            <c:numRef>
              <c:f>Sciennes!$D$168:$N$168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Sciennes!$D$170:$I$170</c:f>
              <c:numCache>
                <c:formatCode>#,##0</c:formatCode>
                <c:ptCount val="6"/>
                <c:pt idx="0">
                  <c:v>76</c:v>
                </c:pt>
                <c:pt idx="1">
                  <c:v>77</c:v>
                </c:pt>
                <c:pt idx="2">
                  <c:v>85</c:v>
                </c:pt>
                <c:pt idx="3">
                  <c:v>82</c:v>
                </c:pt>
                <c:pt idx="4">
                  <c:v>76</c:v>
                </c:pt>
                <c:pt idx="5">
                  <c:v>74</c:v>
                </c:pt>
              </c:numCache>
            </c:numRef>
          </c:val>
          <c:smooth val="0"/>
          <c:extLst xmlns:c16r2="http://schemas.microsoft.com/office/drawing/2015/06/chart">
            <c:ext xmlns:c16="http://schemas.microsoft.com/office/drawing/2014/chart" uri="{C3380CC4-5D6E-409C-BE32-E72D297353CC}">
              <c16:uniqueId val="{00000001-3333-4367-B091-3D5DFF9F5EA8}"/>
            </c:ext>
          </c:extLst>
        </c:ser>
        <c:ser>
          <c:idx val="2"/>
          <c:order val="2"/>
          <c:tx>
            <c:strRef>
              <c:f>Sciennes!$B$172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3333-4367-B091-3D5DFF9F5EA8}"/>
              </c:ext>
            </c:extLst>
          </c:dPt>
          <c:dPt>
            <c:idx val="5"/>
            <c:marker>
              <c:symbol val="none"/>
            </c:marker>
            <c:bubble3D val="0"/>
            <c:extLst xmlns:c16r2="http://schemas.microsoft.com/office/drawing/2015/06/chart">
              <c:ext xmlns:c16="http://schemas.microsoft.com/office/drawing/2014/chart" uri="{C3380CC4-5D6E-409C-BE32-E72D297353CC}">
                <c16:uniqueId val="{00000003-3333-4367-B091-3D5DFF9F5EA8}"/>
              </c:ext>
            </c:extLst>
          </c:dPt>
          <c:dPt>
            <c:idx val="6"/>
            <c:marker>
              <c:symbol val="circle"/>
              <c:size val="7"/>
            </c:marker>
            <c:bubble3D val="0"/>
            <c:extLst xmlns:c16r2="http://schemas.microsoft.com/office/drawing/2015/06/chart">
              <c:ext xmlns:c16="http://schemas.microsoft.com/office/drawing/2014/chart" uri="{C3380CC4-5D6E-409C-BE32-E72D297353CC}">
                <c16:uniqueId val="{00000004-3333-4367-B091-3D5DFF9F5EA8}"/>
              </c:ext>
            </c:extLst>
          </c:dPt>
          <c:dPt>
            <c:idx val="7"/>
            <c:marker>
              <c:symbol val="circle"/>
              <c:size val="7"/>
            </c:marker>
            <c:bubble3D val="0"/>
            <c:extLst xmlns:c16r2="http://schemas.microsoft.com/office/drawing/2015/06/chart">
              <c:ext xmlns:c16="http://schemas.microsoft.com/office/drawing/2014/chart" uri="{C3380CC4-5D6E-409C-BE32-E72D297353CC}">
                <c16:uniqueId val="{00000005-3333-4367-B091-3D5DFF9F5EA8}"/>
              </c:ext>
            </c:extLst>
          </c:dPt>
          <c:dPt>
            <c:idx val="8"/>
            <c:marker>
              <c:symbol val="circle"/>
              <c:size val="7"/>
            </c:marker>
            <c:bubble3D val="0"/>
            <c:extLst xmlns:c16r2="http://schemas.microsoft.com/office/drawing/2015/06/chart">
              <c:ext xmlns:c16="http://schemas.microsoft.com/office/drawing/2014/chart" uri="{C3380CC4-5D6E-409C-BE32-E72D297353CC}">
                <c16:uniqueId val="{00000006-3333-4367-B091-3D5DFF9F5EA8}"/>
              </c:ext>
            </c:extLst>
          </c:dPt>
          <c:dPt>
            <c:idx val="9"/>
            <c:marker>
              <c:symbol val="circle"/>
              <c:size val="7"/>
            </c:marker>
            <c:bubble3D val="0"/>
            <c:extLst xmlns:c16r2="http://schemas.microsoft.com/office/drawing/2015/06/chart">
              <c:ext xmlns:c16="http://schemas.microsoft.com/office/drawing/2014/chart" uri="{C3380CC4-5D6E-409C-BE32-E72D297353CC}">
                <c16:uniqueId val="{00000007-3333-4367-B091-3D5DFF9F5EA8}"/>
              </c:ext>
            </c:extLst>
          </c:dPt>
          <c:dPt>
            <c:idx val="10"/>
            <c:marker>
              <c:symbol val="circle"/>
              <c:size val="7"/>
            </c:marker>
            <c:bubble3D val="0"/>
            <c:extLst xmlns:c16r2="http://schemas.microsoft.com/office/drawing/2015/06/chart">
              <c:ext xmlns:c16="http://schemas.microsoft.com/office/drawing/2014/chart" uri="{C3380CC4-5D6E-409C-BE32-E72D297353CC}">
                <c16:uniqueId val="{00000008-3333-4367-B091-3D5DFF9F5EA8}"/>
              </c:ext>
            </c:extLst>
          </c:dPt>
          <c:cat>
            <c:numRef>
              <c:f>Sciennes!$D$168:$N$168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Sciennes!$D$172:$N$172</c:f>
              <c:numCache>
                <c:formatCode>General</c:formatCode>
                <c:ptCount val="11"/>
                <c:pt idx="5" formatCode="0">
                  <c:v>74</c:v>
                </c:pt>
                <c:pt idx="6" formatCode="0">
                  <c:v>0</c:v>
                </c:pt>
                <c:pt idx="7" formatCode="0">
                  <c:v>91</c:v>
                </c:pt>
                <c:pt idx="8" formatCode="0">
                  <c:v>64</c:v>
                </c:pt>
                <c:pt idx="9" formatCode="0">
                  <c:v>81</c:v>
                </c:pt>
                <c:pt idx="10" formatCode="0">
                  <c:v>70</c:v>
                </c:pt>
              </c:numCache>
            </c:numRef>
          </c:val>
          <c:smooth val="0"/>
          <c:extLst xmlns:c16r2="http://schemas.microsoft.com/office/drawing/2015/06/chart">
            <c:ext xmlns:c16="http://schemas.microsoft.com/office/drawing/2014/chart" uri="{C3380CC4-5D6E-409C-BE32-E72D297353CC}">
              <c16:uniqueId val="{00000009-3333-4367-B091-3D5DFF9F5EA8}"/>
            </c:ext>
          </c:extLst>
        </c:ser>
        <c:ser>
          <c:idx val="3"/>
          <c:order val="3"/>
          <c:tx>
            <c:strRef>
              <c:f>Sciennes!$B$171</c:f>
              <c:strCache>
                <c:ptCount val="1"/>
                <c:pt idx="0">
                  <c:v>Actual P1 Registrations (as of Jan 2016)</c:v>
                </c:pt>
              </c:strCache>
            </c:strRef>
          </c:tx>
          <c:spPr>
            <a:ln w="15875">
              <a:noFill/>
            </a:ln>
          </c:spPr>
          <c:marker>
            <c:symbol val="diamond"/>
            <c:size val="9"/>
            <c:spPr>
              <a:solidFill>
                <a:schemeClr val="tx1"/>
              </a:solidFill>
            </c:spPr>
          </c:marker>
          <c:cat>
            <c:numRef>
              <c:f>Sciennes!$D$168:$N$168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Sciennes!$D$171:$M$171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3333-4367-B091-3D5DFF9F5EA8}"/>
            </c:ext>
          </c:extLst>
        </c:ser>
        <c:dLbls>
          <c:showLegendKey val="0"/>
          <c:showVal val="0"/>
          <c:showCatName val="0"/>
          <c:showSerName val="0"/>
          <c:showPercent val="0"/>
          <c:showBubbleSize val="0"/>
        </c:dLbls>
        <c:marker val="1"/>
        <c:smooth val="0"/>
        <c:axId val="351312728"/>
        <c:axId val="351313120"/>
      </c:lineChart>
      <c:catAx>
        <c:axId val="351312728"/>
        <c:scaling>
          <c:orientation val="minMax"/>
        </c:scaling>
        <c:delete val="0"/>
        <c:axPos val="b"/>
        <c:numFmt formatCode="General" sourceLinked="1"/>
        <c:majorTickMark val="out"/>
        <c:minorTickMark val="none"/>
        <c:tickLblPos val="nextTo"/>
        <c:crossAx val="351313120"/>
        <c:crosses val="autoZero"/>
        <c:auto val="1"/>
        <c:lblAlgn val="ctr"/>
        <c:lblOffset val="100"/>
        <c:noMultiLvlLbl val="0"/>
      </c:catAx>
      <c:valAx>
        <c:axId val="351313120"/>
        <c:scaling>
          <c:orientation val="minMax"/>
        </c:scaling>
        <c:delete val="0"/>
        <c:axPos val="l"/>
        <c:majorGridlines/>
        <c:numFmt formatCode="#,##0" sourceLinked="1"/>
        <c:majorTickMark val="out"/>
        <c:minorTickMark val="none"/>
        <c:tickLblPos val="nextTo"/>
        <c:crossAx val="351312728"/>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743C-4ACE-BF6C-2C1E6855EC14}"/>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51313904"/>
        <c:axId val="351314296"/>
      </c:lineChart>
      <c:catAx>
        <c:axId val="351313904"/>
        <c:scaling>
          <c:orientation val="minMax"/>
        </c:scaling>
        <c:delete val="0"/>
        <c:axPos val="b"/>
        <c:numFmt formatCode="General" sourceLinked="1"/>
        <c:majorTickMark val="out"/>
        <c:minorTickMark val="none"/>
        <c:tickLblPos val="nextTo"/>
        <c:crossAx val="351314296"/>
        <c:crosses val="autoZero"/>
        <c:auto val="1"/>
        <c:lblAlgn val="ctr"/>
        <c:lblOffset val="100"/>
        <c:noMultiLvlLbl val="0"/>
      </c:catAx>
      <c:valAx>
        <c:axId val="351314296"/>
        <c:scaling>
          <c:orientation val="minMax"/>
        </c:scaling>
        <c:delete val="0"/>
        <c:axPos val="l"/>
        <c:majorGridlines/>
        <c:numFmt formatCode="General" sourceLinked="1"/>
        <c:majorTickMark val="out"/>
        <c:minorTickMark val="none"/>
        <c:tickLblPos val="nextTo"/>
        <c:crossAx val="351313904"/>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square"/>
            <c:size val="7"/>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7893-40CB-9CB3-A4C011477B86}"/>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1"/>
          <c:order val="1"/>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1-7893-40CB-9CB3-A4C011477B86}"/>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2"/>
          <c:order val="2"/>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7893-40CB-9CB3-A4C011477B86}"/>
              </c:ext>
            </c:extLst>
          </c:dPt>
          <c:dPt>
            <c:idx val="5"/>
            <c:marker>
              <c:symbol val="circle"/>
              <c:size val="7"/>
            </c:marker>
            <c:bubble3D val="0"/>
            <c:extLst xmlns:c16r2="http://schemas.microsoft.com/office/drawing/2015/06/chart">
              <c:ext xmlns:c16="http://schemas.microsoft.com/office/drawing/2014/chart" uri="{C3380CC4-5D6E-409C-BE32-E72D297353CC}">
                <c16:uniqueId val="{00000003-7893-40CB-9CB3-A4C011477B86}"/>
              </c:ext>
            </c:extLst>
          </c:dPt>
          <c:dPt>
            <c:idx val="6"/>
            <c:marker>
              <c:symbol val="circle"/>
              <c:size val="7"/>
            </c:marker>
            <c:bubble3D val="0"/>
            <c:extLst xmlns:c16r2="http://schemas.microsoft.com/office/drawing/2015/06/chart">
              <c:ext xmlns:c16="http://schemas.microsoft.com/office/drawing/2014/chart" uri="{C3380CC4-5D6E-409C-BE32-E72D297353CC}">
                <c16:uniqueId val="{00000004-7893-40CB-9CB3-A4C011477B86}"/>
              </c:ext>
            </c:extLst>
          </c:dPt>
          <c:dPt>
            <c:idx val="7"/>
            <c:marker>
              <c:symbol val="circle"/>
              <c:size val="7"/>
            </c:marker>
            <c:bubble3D val="0"/>
            <c:extLst xmlns:c16r2="http://schemas.microsoft.com/office/drawing/2015/06/chart">
              <c:ext xmlns:c16="http://schemas.microsoft.com/office/drawing/2014/chart" uri="{C3380CC4-5D6E-409C-BE32-E72D297353CC}">
                <c16:uniqueId val="{00000005-7893-40CB-9CB3-A4C011477B86}"/>
              </c:ext>
            </c:extLst>
          </c:dPt>
          <c:dPt>
            <c:idx val="8"/>
            <c:marker>
              <c:symbol val="circle"/>
              <c:size val="7"/>
            </c:marker>
            <c:bubble3D val="0"/>
            <c:extLst xmlns:c16r2="http://schemas.microsoft.com/office/drawing/2015/06/chart">
              <c:ext xmlns:c16="http://schemas.microsoft.com/office/drawing/2014/chart" uri="{C3380CC4-5D6E-409C-BE32-E72D297353CC}">
                <c16:uniqueId val="{00000006-7893-40CB-9CB3-A4C011477B86}"/>
              </c:ext>
            </c:extLst>
          </c:dPt>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7-7893-40CB-9CB3-A4C011477B86}"/>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51315080"/>
        <c:axId val="351315472"/>
      </c:lineChart>
      <c:catAx>
        <c:axId val="351315080"/>
        <c:scaling>
          <c:orientation val="minMax"/>
        </c:scaling>
        <c:delete val="0"/>
        <c:axPos val="b"/>
        <c:numFmt formatCode="General" sourceLinked="1"/>
        <c:majorTickMark val="out"/>
        <c:minorTickMark val="none"/>
        <c:tickLblPos val="nextTo"/>
        <c:crossAx val="351315472"/>
        <c:crosses val="autoZero"/>
        <c:auto val="1"/>
        <c:lblAlgn val="ctr"/>
        <c:lblOffset val="100"/>
        <c:noMultiLvlLbl val="0"/>
      </c:catAx>
      <c:valAx>
        <c:axId val="351315472"/>
        <c:scaling>
          <c:orientation val="minMax"/>
        </c:scaling>
        <c:delete val="0"/>
        <c:axPos val="l"/>
        <c:majorGridlines/>
        <c:numFmt formatCode="General" sourceLinked="1"/>
        <c:majorTickMark val="out"/>
        <c:minorTickMark val="none"/>
        <c:tickLblPos val="nextTo"/>
        <c:crossAx val="351315080"/>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Sighthill!$B$177:$B$190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Sighthill!$J$177:$J$190</c:f>
              <c:numCache>
                <c:formatCode>General</c:formatCode>
                <c:ptCount val="14"/>
                <c:pt idx="0">
                  <c:v>207</c:v>
                </c:pt>
                <c:pt idx="1">
                  <c:v>206</c:v>
                </c:pt>
                <c:pt idx="2">
                  <c:v>189</c:v>
                </c:pt>
                <c:pt idx="3">
                  <c:v>183</c:v>
                </c:pt>
                <c:pt idx="4">
                  <c:v>182</c:v>
                </c:pt>
                <c:pt idx="5">
                  <c:v>156</c:v>
                </c:pt>
                <c:pt idx="6">
                  <c:v>155</c:v>
                </c:pt>
                <c:pt idx="7">
                  <c:v>161</c:v>
                </c:pt>
                <c:pt idx="8">
                  <c:v>162</c:v>
                </c:pt>
                <c:pt idx="9">
                  <c:v>162</c:v>
                </c:pt>
                <c:pt idx="10">
                  <c:v>179</c:v>
                </c:pt>
                <c:pt idx="11">
                  <c:v>172</c:v>
                </c:pt>
                <c:pt idx="12">
                  <c:v>214</c:v>
                </c:pt>
                <c:pt idx="13">
                  <c:v>226</c:v>
                </c:pt>
              </c:numCache>
            </c:numRef>
          </c:val>
          <c:smooth val="0"/>
          <c:extLst xmlns:c16r2="http://schemas.microsoft.com/office/drawing/2015/06/chart">
            <c:ext xmlns:c16="http://schemas.microsoft.com/office/drawing/2014/chart" uri="{C3380CC4-5D6E-409C-BE32-E72D297353CC}">
              <c16:uniqueId val="{00000000-B0D7-441A-BCF0-75CA9046B650}"/>
            </c:ext>
          </c:extLst>
        </c:ser>
        <c:dLbls>
          <c:showLegendKey val="0"/>
          <c:showVal val="0"/>
          <c:showCatName val="0"/>
          <c:showSerName val="0"/>
          <c:showPercent val="0"/>
          <c:showBubbleSize val="0"/>
        </c:dLbls>
        <c:marker val="1"/>
        <c:smooth val="0"/>
        <c:axId val="351316256"/>
        <c:axId val="351316648"/>
      </c:lineChart>
      <c:catAx>
        <c:axId val="351316256"/>
        <c:scaling>
          <c:orientation val="minMax"/>
        </c:scaling>
        <c:delete val="0"/>
        <c:axPos val="b"/>
        <c:numFmt formatCode="General" sourceLinked="1"/>
        <c:majorTickMark val="out"/>
        <c:minorTickMark val="none"/>
        <c:tickLblPos val="nextTo"/>
        <c:crossAx val="351316648"/>
        <c:crosses val="autoZero"/>
        <c:auto val="1"/>
        <c:lblAlgn val="ctr"/>
        <c:lblOffset val="100"/>
        <c:noMultiLvlLbl val="0"/>
      </c:catAx>
      <c:valAx>
        <c:axId val="351316648"/>
        <c:scaling>
          <c:orientation val="minMax"/>
        </c:scaling>
        <c:delete val="0"/>
        <c:axPos val="l"/>
        <c:majorGridlines/>
        <c:numFmt formatCode="General" sourceLinked="1"/>
        <c:majorTickMark val="out"/>
        <c:minorTickMark val="none"/>
        <c:tickLblPos val="nextTo"/>
        <c:crossAx val="351316256"/>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Sighthill!$B$169</c:f>
              <c:strCache>
                <c:ptCount val="1"/>
                <c:pt idx="0">
                  <c:v>Catchment Births (5yrs Prior)</c:v>
                </c:pt>
              </c:strCache>
            </c:strRef>
          </c:tx>
          <c:marker>
            <c:symbol val="square"/>
            <c:size val="7"/>
          </c:marker>
          <c:cat>
            <c:numRef>
              <c:f>Sighthill!$D$168:$N$168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Sighthill!$D$169:$N$169</c:f>
              <c:numCache>
                <c:formatCode>#,##0</c:formatCode>
                <c:ptCount val="11"/>
                <c:pt idx="0">
                  <c:v>62</c:v>
                </c:pt>
                <c:pt idx="1">
                  <c:v>73</c:v>
                </c:pt>
                <c:pt idx="2">
                  <c:v>75</c:v>
                </c:pt>
                <c:pt idx="3">
                  <c:v>55</c:v>
                </c:pt>
                <c:pt idx="4">
                  <c:v>77</c:v>
                </c:pt>
                <c:pt idx="5">
                  <c:v>81</c:v>
                </c:pt>
                <c:pt idx="6">
                  <c:v>75</c:v>
                </c:pt>
                <c:pt idx="7">
                  <c:v>85</c:v>
                </c:pt>
                <c:pt idx="8">
                  <c:v>85</c:v>
                </c:pt>
                <c:pt idx="9">
                  <c:v>71</c:v>
                </c:pt>
                <c:pt idx="10">
                  <c:v>78</c:v>
                </c:pt>
              </c:numCache>
            </c:numRef>
          </c:val>
          <c:smooth val="0"/>
          <c:extLst xmlns:c16r2="http://schemas.microsoft.com/office/drawing/2015/06/chart">
            <c:ext xmlns:c16="http://schemas.microsoft.com/office/drawing/2014/chart" uri="{C3380CC4-5D6E-409C-BE32-E72D297353CC}">
              <c16:uniqueId val="{00000000-CC40-4686-9052-FC6475766A73}"/>
            </c:ext>
          </c:extLst>
        </c:ser>
        <c:ser>
          <c:idx val="1"/>
          <c:order val="1"/>
          <c:tx>
            <c:strRef>
              <c:f>Sighthill!$B$170</c:f>
              <c:strCache>
                <c:ptCount val="1"/>
                <c:pt idx="0">
                  <c:v>P1 ND Catchment Population (Actual)</c:v>
                </c:pt>
              </c:strCache>
            </c:strRef>
          </c:tx>
          <c:cat>
            <c:numRef>
              <c:f>Sighthill!$D$168:$N$168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Sighthill!$D$170:$I$170</c:f>
              <c:numCache>
                <c:formatCode>#,##0</c:formatCode>
                <c:ptCount val="6"/>
                <c:pt idx="0">
                  <c:v>41</c:v>
                </c:pt>
                <c:pt idx="1">
                  <c:v>46</c:v>
                </c:pt>
                <c:pt idx="2">
                  <c:v>62</c:v>
                </c:pt>
                <c:pt idx="3">
                  <c:v>44</c:v>
                </c:pt>
                <c:pt idx="4">
                  <c:v>58</c:v>
                </c:pt>
                <c:pt idx="5">
                  <c:v>60</c:v>
                </c:pt>
              </c:numCache>
            </c:numRef>
          </c:val>
          <c:smooth val="0"/>
          <c:extLst xmlns:c16r2="http://schemas.microsoft.com/office/drawing/2015/06/chart">
            <c:ext xmlns:c16="http://schemas.microsoft.com/office/drawing/2014/chart" uri="{C3380CC4-5D6E-409C-BE32-E72D297353CC}">
              <c16:uniqueId val="{00000001-CC40-4686-9052-FC6475766A73}"/>
            </c:ext>
          </c:extLst>
        </c:ser>
        <c:ser>
          <c:idx val="2"/>
          <c:order val="2"/>
          <c:tx>
            <c:strRef>
              <c:f>Sighthill!$B$172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CC40-4686-9052-FC6475766A73}"/>
              </c:ext>
            </c:extLst>
          </c:dPt>
          <c:dPt>
            <c:idx val="5"/>
            <c:marker>
              <c:symbol val="none"/>
            </c:marker>
            <c:bubble3D val="0"/>
            <c:extLst xmlns:c16r2="http://schemas.microsoft.com/office/drawing/2015/06/chart">
              <c:ext xmlns:c16="http://schemas.microsoft.com/office/drawing/2014/chart" uri="{C3380CC4-5D6E-409C-BE32-E72D297353CC}">
                <c16:uniqueId val="{00000003-CC40-4686-9052-FC6475766A73}"/>
              </c:ext>
            </c:extLst>
          </c:dPt>
          <c:dPt>
            <c:idx val="6"/>
            <c:marker>
              <c:symbol val="circle"/>
              <c:size val="7"/>
            </c:marker>
            <c:bubble3D val="0"/>
            <c:extLst xmlns:c16r2="http://schemas.microsoft.com/office/drawing/2015/06/chart">
              <c:ext xmlns:c16="http://schemas.microsoft.com/office/drawing/2014/chart" uri="{C3380CC4-5D6E-409C-BE32-E72D297353CC}">
                <c16:uniqueId val="{00000004-CC40-4686-9052-FC6475766A73}"/>
              </c:ext>
            </c:extLst>
          </c:dPt>
          <c:dPt>
            <c:idx val="7"/>
            <c:marker>
              <c:symbol val="circle"/>
              <c:size val="7"/>
            </c:marker>
            <c:bubble3D val="0"/>
            <c:extLst xmlns:c16r2="http://schemas.microsoft.com/office/drawing/2015/06/chart">
              <c:ext xmlns:c16="http://schemas.microsoft.com/office/drawing/2014/chart" uri="{C3380CC4-5D6E-409C-BE32-E72D297353CC}">
                <c16:uniqueId val="{00000005-CC40-4686-9052-FC6475766A73}"/>
              </c:ext>
            </c:extLst>
          </c:dPt>
          <c:dPt>
            <c:idx val="8"/>
            <c:marker>
              <c:symbol val="circle"/>
              <c:size val="7"/>
            </c:marker>
            <c:bubble3D val="0"/>
            <c:extLst xmlns:c16r2="http://schemas.microsoft.com/office/drawing/2015/06/chart">
              <c:ext xmlns:c16="http://schemas.microsoft.com/office/drawing/2014/chart" uri="{C3380CC4-5D6E-409C-BE32-E72D297353CC}">
                <c16:uniqueId val="{00000006-CC40-4686-9052-FC6475766A73}"/>
              </c:ext>
            </c:extLst>
          </c:dPt>
          <c:dPt>
            <c:idx val="9"/>
            <c:marker>
              <c:symbol val="circle"/>
              <c:size val="7"/>
            </c:marker>
            <c:bubble3D val="0"/>
            <c:extLst xmlns:c16r2="http://schemas.microsoft.com/office/drawing/2015/06/chart">
              <c:ext xmlns:c16="http://schemas.microsoft.com/office/drawing/2014/chart" uri="{C3380CC4-5D6E-409C-BE32-E72D297353CC}">
                <c16:uniqueId val="{00000007-CC40-4686-9052-FC6475766A73}"/>
              </c:ext>
            </c:extLst>
          </c:dPt>
          <c:dPt>
            <c:idx val="10"/>
            <c:marker>
              <c:symbol val="circle"/>
              <c:size val="7"/>
            </c:marker>
            <c:bubble3D val="0"/>
            <c:extLst xmlns:c16r2="http://schemas.microsoft.com/office/drawing/2015/06/chart">
              <c:ext xmlns:c16="http://schemas.microsoft.com/office/drawing/2014/chart" uri="{C3380CC4-5D6E-409C-BE32-E72D297353CC}">
                <c16:uniqueId val="{00000008-CC40-4686-9052-FC6475766A73}"/>
              </c:ext>
            </c:extLst>
          </c:dPt>
          <c:cat>
            <c:numRef>
              <c:f>Sighthill!$D$168:$N$168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Sighthill!$D$172:$N$172</c:f>
              <c:numCache>
                <c:formatCode>General</c:formatCode>
                <c:ptCount val="11"/>
                <c:pt idx="5" formatCode="0">
                  <c:v>60</c:v>
                </c:pt>
                <c:pt idx="6" formatCode="0">
                  <c:v>0</c:v>
                </c:pt>
                <c:pt idx="7" formatCode="0">
                  <c:v>51</c:v>
                </c:pt>
                <c:pt idx="8" formatCode="0">
                  <c:v>56</c:v>
                </c:pt>
                <c:pt idx="9" formatCode="0">
                  <c:v>37</c:v>
                </c:pt>
                <c:pt idx="10" formatCode="0">
                  <c:v>41</c:v>
                </c:pt>
              </c:numCache>
            </c:numRef>
          </c:val>
          <c:smooth val="0"/>
          <c:extLst xmlns:c16r2="http://schemas.microsoft.com/office/drawing/2015/06/chart">
            <c:ext xmlns:c16="http://schemas.microsoft.com/office/drawing/2014/chart" uri="{C3380CC4-5D6E-409C-BE32-E72D297353CC}">
              <c16:uniqueId val="{00000009-CC40-4686-9052-FC6475766A73}"/>
            </c:ext>
          </c:extLst>
        </c:ser>
        <c:ser>
          <c:idx val="3"/>
          <c:order val="3"/>
          <c:tx>
            <c:strRef>
              <c:f>Sighthill!$B$171</c:f>
              <c:strCache>
                <c:ptCount val="1"/>
                <c:pt idx="0">
                  <c:v>Actual P1 Registrations (as of Jan 2016)</c:v>
                </c:pt>
              </c:strCache>
            </c:strRef>
          </c:tx>
          <c:spPr>
            <a:ln w="15875">
              <a:noFill/>
            </a:ln>
          </c:spPr>
          <c:marker>
            <c:symbol val="diamond"/>
            <c:size val="9"/>
            <c:spPr>
              <a:solidFill>
                <a:schemeClr val="tx1"/>
              </a:solidFill>
            </c:spPr>
          </c:marker>
          <c:cat>
            <c:numRef>
              <c:f>Sighthill!$D$168:$N$168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Sighthill!$D$171:$M$171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CC40-4686-9052-FC6475766A73}"/>
            </c:ext>
          </c:extLst>
        </c:ser>
        <c:dLbls>
          <c:showLegendKey val="0"/>
          <c:showVal val="0"/>
          <c:showCatName val="0"/>
          <c:showSerName val="0"/>
          <c:showPercent val="0"/>
          <c:showBubbleSize val="0"/>
        </c:dLbls>
        <c:marker val="1"/>
        <c:smooth val="0"/>
        <c:axId val="351317432"/>
        <c:axId val="351317824"/>
      </c:lineChart>
      <c:catAx>
        <c:axId val="351317432"/>
        <c:scaling>
          <c:orientation val="minMax"/>
        </c:scaling>
        <c:delete val="0"/>
        <c:axPos val="b"/>
        <c:numFmt formatCode="General" sourceLinked="1"/>
        <c:majorTickMark val="out"/>
        <c:minorTickMark val="none"/>
        <c:tickLblPos val="nextTo"/>
        <c:crossAx val="351317824"/>
        <c:crosses val="autoZero"/>
        <c:auto val="1"/>
        <c:lblAlgn val="ctr"/>
        <c:lblOffset val="100"/>
        <c:noMultiLvlLbl val="0"/>
      </c:catAx>
      <c:valAx>
        <c:axId val="351317824"/>
        <c:scaling>
          <c:orientation val="minMax"/>
        </c:scaling>
        <c:delete val="0"/>
        <c:axPos val="l"/>
        <c:majorGridlines/>
        <c:numFmt formatCode="#,##0" sourceLinked="1"/>
        <c:majorTickMark val="out"/>
        <c:minorTickMark val="none"/>
        <c:tickLblPos val="nextTo"/>
        <c:crossAx val="351317432"/>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0CD5-46E7-B9DD-35A2107DA352}"/>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51318608"/>
        <c:axId val="351319000"/>
      </c:lineChart>
      <c:catAx>
        <c:axId val="351318608"/>
        <c:scaling>
          <c:orientation val="minMax"/>
        </c:scaling>
        <c:delete val="0"/>
        <c:axPos val="b"/>
        <c:numFmt formatCode="General" sourceLinked="1"/>
        <c:majorTickMark val="out"/>
        <c:minorTickMark val="none"/>
        <c:tickLblPos val="nextTo"/>
        <c:crossAx val="351319000"/>
        <c:crosses val="autoZero"/>
        <c:auto val="1"/>
        <c:lblAlgn val="ctr"/>
        <c:lblOffset val="100"/>
        <c:noMultiLvlLbl val="0"/>
      </c:catAx>
      <c:valAx>
        <c:axId val="351319000"/>
        <c:scaling>
          <c:orientation val="minMax"/>
        </c:scaling>
        <c:delete val="0"/>
        <c:axPos val="l"/>
        <c:majorGridlines/>
        <c:numFmt formatCode="General" sourceLinked="1"/>
        <c:majorTickMark val="out"/>
        <c:minorTickMark val="none"/>
        <c:tickLblPos val="nextTo"/>
        <c:crossAx val="351318608"/>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square"/>
            <c:size val="7"/>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45B5-4E61-A39E-70FF0F3FBE0B}"/>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1"/>
          <c:order val="1"/>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1-45B5-4E61-A39E-70FF0F3FBE0B}"/>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2"/>
          <c:order val="2"/>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45B5-4E61-A39E-70FF0F3FBE0B}"/>
              </c:ext>
            </c:extLst>
          </c:dPt>
          <c:dPt>
            <c:idx val="5"/>
            <c:marker>
              <c:symbol val="circle"/>
              <c:size val="7"/>
            </c:marker>
            <c:bubble3D val="0"/>
            <c:extLst xmlns:c16r2="http://schemas.microsoft.com/office/drawing/2015/06/chart">
              <c:ext xmlns:c16="http://schemas.microsoft.com/office/drawing/2014/chart" uri="{C3380CC4-5D6E-409C-BE32-E72D297353CC}">
                <c16:uniqueId val="{00000003-45B5-4E61-A39E-70FF0F3FBE0B}"/>
              </c:ext>
            </c:extLst>
          </c:dPt>
          <c:dPt>
            <c:idx val="6"/>
            <c:marker>
              <c:symbol val="circle"/>
              <c:size val="7"/>
            </c:marker>
            <c:bubble3D val="0"/>
            <c:extLst xmlns:c16r2="http://schemas.microsoft.com/office/drawing/2015/06/chart">
              <c:ext xmlns:c16="http://schemas.microsoft.com/office/drawing/2014/chart" uri="{C3380CC4-5D6E-409C-BE32-E72D297353CC}">
                <c16:uniqueId val="{00000004-45B5-4E61-A39E-70FF0F3FBE0B}"/>
              </c:ext>
            </c:extLst>
          </c:dPt>
          <c:dPt>
            <c:idx val="7"/>
            <c:marker>
              <c:symbol val="circle"/>
              <c:size val="7"/>
            </c:marker>
            <c:bubble3D val="0"/>
            <c:extLst xmlns:c16r2="http://schemas.microsoft.com/office/drawing/2015/06/chart">
              <c:ext xmlns:c16="http://schemas.microsoft.com/office/drawing/2014/chart" uri="{C3380CC4-5D6E-409C-BE32-E72D297353CC}">
                <c16:uniqueId val="{00000005-45B5-4E61-A39E-70FF0F3FBE0B}"/>
              </c:ext>
            </c:extLst>
          </c:dPt>
          <c:dPt>
            <c:idx val="8"/>
            <c:marker>
              <c:symbol val="circle"/>
              <c:size val="7"/>
            </c:marker>
            <c:bubble3D val="0"/>
            <c:extLst xmlns:c16r2="http://schemas.microsoft.com/office/drawing/2015/06/chart">
              <c:ext xmlns:c16="http://schemas.microsoft.com/office/drawing/2014/chart" uri="{C3380CC4-5D6E-409C-BE32-E72D297353CC}">
                <c16:uniqueId val="{00000006-45B5-4E61-A39E-70FF0F3FBE0B}"/>
              </c:ext>
            </c:extLst>
          </c:dPt>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7-45B5-4E61-A39E-70FF0F3FBE0B}"/>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51319784"/>
        <c:axId val="351320176"/>
      </c:lineChart>
      <c:catAx>
        <c:axId val="351319784"/>
        <c:scaling>
          <c:orientation val="minMax"/>
        </c:scaling>
        <c:delete val="0"/>
        <c:axPos val="b"/>
        <c:numFmt formatCode="General" sourceLinked="1"/>
        <c:majorTickMark val="out"/>
        <c:minorTickMark val="none"/>
        <c:tickLblPos val="nextTo"/>
        <c:crossAx val="351320176"/>
        <c:crosses val="autoZero"/>
        <c:auto val="1"/>
        <c:lblAlgn val="ctr"/>
        <c:lblOffset val="100"/>
        <c:noMultiLvlLbl val="0"/>
      </c:catAx>
      <c:valAx>
        <c:axId val="351320176"/>
        <c:scaling>
          <c:orientation val="minMax"/>
        </c:scaling>
        <c:delete val="0"/>
        <c:axPos val="l"/>
        <c:majorGridlines/>
        <c:numFmt formatCode="General" sourceLinked="1"/>
        <c:majorTickMark val="out"/>
        <c:minorTickMark val="none"/>
        <c:tickLblPos val="nextTo"/>
        <c:crossAx val="351319784"/>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'South Morningside'!$B$177:$B$190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'South Morningside'!$J$177:$J$190</c:f>
              <c:numCache>
                <c:formatCode>General</c:formatCode>
                <c:ptCount val="14"/>
                <c:pt idx="0">
                  <c:v>627</c:v>
                </c:pt>
                <c:pt idx="1">
                  <c:v>629</c:v>
                </c:pt>
                <c:pt idx="2">
                  <c:v>618</c:v>
                </c:pt>
                <c:pt idx="3">
                  <c:v>605</c:v>
                </c:pt>
                <c:pt idx="4">
                  <c:v>601</c:v>
                </c:pt>
                <c:pt idx="5">
                  <c:v>587</c:v>
                </c:pt>
                <c:pt idx="6">
                  <c:v>594</c:v>
                </c:pt>
                <c:pt idx="7">
                  <c:v>611</c:v>
                </c:pt>
                <c:pt idx="8">
                  <c:v>599</c:v>
                </c:pt>
                <c:pt idx="9">
                  <c:v>599</c:v>
                </c:pt>
                <c:pt idx="10">
                  <c:v>579</c:v>
                </c:pt>
                <c:pt idx="11">
                  <c:v>596</c:v>
                </c:pt>
                <c:pt idx="12">
                  <c:v>627</c:v>
                </c:pt>
                <c:pt idx="13">
                  <c:v>645</c:v>
                </c:pt>
              </c:numCache>
            </c:numRef>
          </c:val>
          <c:smooth val="0"/>
          <c:extLst xmlns:c16r2="http://schemas.microsoft.com/office/drawing/2015/06/chart">
            <c:ext xmlns:c16="http://schemas.microsoft.com/office/drawing/2014/chart" uri="{C3380CC4-5D6E-409C-BE32-E72D297353CC}">
              <c16:uniqueId val="{00000000-B89C-493F-8FBC-3C4F02D9A4B1}"/>
            </c:ext>
          </c:extLst>
        </c:ser>
        <c:dLbls>
          <c:showLegendKey val="0"/>
          <c:showVal val="0"/>
          <c:showCatName val="0"/>
          <c:showSerName val="0"/>
          <c:showPercent val="0"/>
          <c:showBubbleSize val="0"/>
        </c:dLbls>
        <c:marker val="1"/>
        <c:smooth val="0"/>
        <c:axId val="351320960"/>
        <c:axId val="351321352"/>
      </c:lineChart>
      <c:catAx>
        <c:axId val="351320960"/>
        <c:scaling>
          <c:orientation val="minMax"/>
        </c:scaling>
        <c:delete val="0"/>
        <c:axPos val="b"/>
        <c:numFmt formatCode="General" sourceLinked="1"/>
        <c:majorTickMark val="out"/>
        <c:minorTickMark val="none"/>
        <c:tickLblPos val="nextTo"/>
        <c:crossAx val="351321352"/>
        <c:crosses val="autoZero"/>
        <c:auto val="1"/>
        <c:lblAlgn val="ctr"/>
        <c:lblOffset val="100"/>
        <c:noMultiLvlLbl val="0"/>
      </c:catAx>
      <c:valAx>
        <c:axId val="351321352"/>
        <c:scaling>
          <c:orientation val="minMax"/>
        </c:scaling>
        <c:delete val="0"/>
        <c:axPos val="l"/>
        <c:majorGridlines/>
        <c:numFmt formatCode="General" sourceLinked="1"/>
        <c:majorTickMark val="out"/>
        <c:minorTickMark val="none"/>
        <c:tickLblPos val="nextTo"/>
        <c:crossAx val="351320960"/>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'South Morningside'!$B$169</c:f>
              <c:strCache>
                <c:ptCount val="1"/>
                <c:pt idx="0">
                  <c:v>Catchment Births (5yrs Prior)</c:v>
                </c:pt>
              </c:strCache>
            </c:strRef>
          </c:tx>
          <c:marker>
            <c:symbol val="square"/>
            <c:size val="7"/>
          </c:marker>
          <c:cat>
            <c:numRef>
              <c:f>'South Morningside'!$D$168:$N$168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'South Morningside'!$D$169:$N$169</c:f>
              <c:numCache>
                <c:formatCode>#,##0</c:formatCode>
                <c:ptCount val="11"/>
                <c:pt idx="0">
                  <c:v>105</c:v>
                </c:pt>
                <c:pt idx="1">
                  <c:v>94</c:v>
                </c:pt>
                <c:pt idx="2">
                  <c:v>101</c:v>
                </c:pt>
                <c:pt idx="3">
                  <c:v>97</c:v>
                </c:pt>
                <c:pt idx="4">
                  <c:v>129</c:v>
                </c:pt>
                <c:pt idx="5">
                  <c:v>105</c:v>
                </c:pt>
                <c:pt idx="6">
                  <c:v>93</c:v>
                </c:pt>
                <c:pt idx="7">
                  <c:v>108</c:v>
                </c:pt>
                <c:pt idx="8">
                  <c:v>98</c:v>
                </c:pt>
                <c:pt idx="9">
                  <c:v>97</c:v>
                </c:pt>
                <c:pt idx="10">
                  <c:v>96</c:v>
                </c:pt>
              </c:numCache>
            </c:numRef>
          </c:val>
          <c:smooth val="0"/>
          <c:extLst xmlns:c16r2="http://schemas.microsoft.com/office/drawing/2015/06/chart">
            <c:ext xmlns:c16="http://schemas.microsoft.com/office/drawing/2014/chart" uri="{C3380CC4-5D6E-409C-BE32-E72D297353CC}">
              <c16:uniqueId val="{00000000-F655-43B6-933A-24357774DCCE}"/>
            </c:ext>
          </c:extLst>
        </c:ser>
        <c:ser>
          <c:idx val="1"/>
          <c:order val="1"/>
          <c:tx>
            <c:strRef>
              <c:f>'South Morningside'!$B$170</c:f>
              <c:strCache>
                <c:ptCount val="1"/>
                <c:pt idx="0">
                  <c:v>P1 ND Catchment Population (Actual)</c:v>
                </c:pt>
              </c:strCache>
            </c:strRef>
          </c:tx>
          <c:cat>
            <c:numRef>
              <c:f>'South Morningside'!$D$168:$N$168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'South Morningside'!$D$170:$I$170</c:f>
              <c:numCache>
                <c:formatCode>#,##0</c:formatCode>
                <c:ptCount val="6"/>
                <c:pt idx="0">
                  <c:v>83</c:v>
                </c:pt>
                <c:pt idx="1">
                  <c:v>93</c:v>
                </c:pt>
                <c:pt idx="2">
                  <c:v>73</c:v>
                </c:pt>
                <c:pt idx="3">
                  <c:v>89</c:v>
                </c:pt>
                <c:pt idx="4">
                  <c:v>96</c:v>
                </c:pt>
                <c:pt idx="5">
                  <c:v>95</c:v>
                </c:pt>
              </c:numCache>
            </c:numRef>
          </c:val>
          <c:smooth val="0"/>
          <c:extLst xmlns:c16r2="http://schemas.microsoft.com/office/drawing/2015/06/chart">
            <c:ext xmlns:c16="http://schemas.microsoft.com/office/drawing/2014/chart" uri="{C3380CC4-5D6E-409C-BE32-E72D297353CC}">
              <c16:uniqueId val="{00000001-F655-43B6-933A-24357774DCCE}"/>
            </c:ext>
          </c:extLst>
        </c:ser>
        <c:ser>
          <c:idx val="2"/>
          <c:order val="2"/>
          <c:tx>
            <c:strRef>
              <c:f>'South Morningside'!$B$172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F655-43B6-933A-24357774DCCE}"/>
              </c:ext>
            </c:extLst>
          </c:dPt>
          <c:dPt>
            <c:idx val="5"/>
            <c:marker>
              <c:symbol val="none"/>
            </c:marker>
            <c:bubble3D val="0"/>
            <c:extLst xmlns:c16r2="http://schemas.microsoft.com/office/drawing/2015/06/chart">
              <c:ext xmlns:c16="http://schemas.microsoft.com/office/drawing/2014/chart" uri="{C3380CC4-5D6E-409C-BE32-E72D297353CC}">
                <c16:uniqueId val="{00000003-F655-43B6-933A-24357774DCCE}"/>
              </c:ext>
            </c:extLst>
          </c:dPt>
          <c:dPt>
            <c:idx val="6"/>
            <c:marker>
              <c:symbol val="circle"/>
              <c:size val="7"/>
            </c:marker>
            <c:bubble3D val="0"/>
            <c:extLst xmlns:c16r2="http://schemas.microsoft.com/office/drawing/2015/06/chart">
              <c:ext xmlns:c16="http://schemas.microsoft.com/office/drawing/2014/chart" uri="{C3380CC4-5D6E-409C-BE32-E72D297353CC}">
                <c16:uniqueId val="{00000004-F655-43B6-933A-24357774DCCE}"/>
              </c:ext>
            </c:extLst>
          </c:dPt>
          <c:dPt>
            <c:idx val="7"/>
            <c:marker>
              <c:symbol val="circle"/>
              <c:size val="7"/>
            </c:marker>
            <c:bubble3D val="0"/>
            <c:extLst xmlns:c16r2="http://schemas.microsoft.com/office/drawing/2015/06/chart">
              <c:ext xmlns:c16="http://schemas.microsoft.com/office/drawing/2014/chart" uri="{C3380CC4-5D6E-409C-BE32-E72D297353CC}">
                <c16:uniqueId val="{00000005-F655-43B6-933A-24357774DCCE}"/>
              </c:ext>
            </c:extLst>
          </c:dPt>
          <c:dPt>
            <c:idx val="8"/>
            <c:marker>
              <c:symbol val="circle"/>
              <c:size val="7"/>
            </c:marker>
            <c:bubble3D val="0"/>
            <c:extLst xmlns:c16r2="http://schemas.microsoft.com/office/drawing/2015/06/chart">
              <c:ext xmlns:c16="http://schemas.microsoft.com/office/drawing/2014/chart" uri="{C3380CC4-5D6E-409C-BE32-E72D297353CC}">
                <c16:uniqueId val="{00000006-F655-43B6-933A-24357774DCCE}"/>
              </c:ext>
            </c:extLst>
          </c:dPt>
          <c:dPt>
            <c:idx val="9"/>
            <c:marker>
              <c:symbol val="circle"/>
              <c:size val="7"/>
            </c:marker>
            <c:bubble3D val="0"/>
            <c:extLst xmlns:c16r2="http://schemas.microsoft.com/office/drawing/2015/06/chart">
              <c:ext xmlns:c16="http://schemas.microsoft.com/office/drawing/2014/chart" uri="{C3380CC4-5D6E-409C-BE32-E72D297353CC}">
                <c16:uniqueId val="{00000007-F655-43B6-933A-24357774DCCE}"/>
              </c:ext>
            </c:extLst>
          </c:dPt>
          <c:dPt>
            <c:idx val="10"/>
            <c:marker>
              <c:symbol val="circle"/>
              <c:size val="7"/>
            </c:marker>
            <c:bubble3D val="0"/>
            <c:extLst xmlns:c16r2="http://schemas.microsoft.com/office/drawing/2015/06/chart">
              <c:ext xmlns:c16="http://schemas.microsoft.com/office/drawing/2014/chart" uri="{C3380CC4-5D6E-409C-BE32-E72D297353CC}">
                <c16:uniqueId val="{00000008-F655-43B6-933A-24357774DCCE}"/>
              </c:ext>
            </c:extLst>
          </c:dPt>
          <c:cat>
            <c:numRef>
              <c:f>'South Morningside'!$D$168:$N$168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'South Morningside'!$D$172:$N$172</c:f>
              <c:numCache>
                <c:formatCode>General</c:formatCode>
                <c:ptCount val="11"/>
                <c:pt idx="5" formatCode="0">
                  <c:v>95</c:v>
                </c:pt>
                <c:pt idx="6" formatCode="0">
                  <c:v>0</c:v>
                </c:pt>
                <c:pt idx="7" formatCode="0">
                  <c:v>88</c:v>
                </c:pt>
                <c:pt idx="8" formatCode="0">
                  <c:v>88</c:v>
                </c:pt>
                <c:pt idx="9" formatCode="0">
                  <c:v>108</c:v>
                </c:pt>
                <c:pt idx="10" formatCode="0">
                  <c:v>85</c:v>
                </c:pt>
              </c:numCache>
            </c:numRef>
          </c:val>
          <c:smooth val="0"/>
          <c:extLst xmlns:c16r2="http://schemas.microsoft.com/office/drawing/2015/06/chart">
            <c:ext xmlns:c16="http://schemas.microsoft.com/office/drawing/2014/chart" uri="{C3380CC4-5D6E-409C-BE32-E72D297353CC}">
              <c16:uniqueId val="{00000009-F655-43B6-933A-24357774DCCE}"/>
            </c:ext>
          </c:extLst>
        </c:ser>
        <c:ser>
          <c:idx val="3"/>
          <c:order val="3"/>
          <c:tx>
            <c:strRef>
              <c:f>'South Morningside'!$B$171</c:f>
              <c:strCache>
                <c:ptCount val="1"/>
                <c:pt idx="0">
                  <c:v>Actual P1 Registrations (as of Jan 2016)</c:v>
                </c:pt>
              </c:strCache>
            </c:strRef>
          </c:tx>
          <c:spPr>
            <a:ln w="15875">
              <a:noFill/>
            </a:ln>
          </c:spPr>
          <c:marker>
            <c:symbol val="diamond"/>
            <c:size val="9"/>
            <c:spPr>
              <a:solidFill>
                <a:schemeClr val="tx1"/>
              </a:solidFill>
            </c:spPr>
          </c:marker>
          <c:cat>
            <c:numRef>
              <c:f>'South Morningside'!$D$168:$N$168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'South Morningside'!$D$171:$M$171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F655-43B6-933A-24357774DCCE}"/>
            </c:ext>
          </c:extLst>
        </c:ser>
        <c:dLbls>
          <c:showLegendKey val="0"/>
          <c:showVal val="0"/>
          <c:showCatName val="0"/>
          <c:showSerName val="0"/>
          <c:showPercent val="0"/>
          <c:showBubbleSize val="0"/>
        </c:dLbls>
        <c:marker val="1"/>
        <c:smooth val="0"/>
        <c:axId val="351322136"/>
        <c:axId val="351322528"/>
      </c:lineChart>
      <c:catAx>
        <c:axId val="351322136"/>
        <c:scaling>
          <c:orientation val="minMax"/>
        </c:scaling>
        <c:delete val="0"/>
        <c:axPos val="b"/>
        <c:numFmt formatCode="General" sourceLinked="1"/>
        <c:majorTickMark val="out"/>
        <c:minorTickMark val="none"/>
        <c:tickLblPos val="nextTo"/>
        <c:crossAx val="351322528"/>
        <c:crosses val="autoZero"/>
        <c:auto val="1"/>
        <c:lblAlgn val="ctr"/>
        <c:lblOffset val="100"/>
        <c:noMultiLvlLbl val="0"/>
      </c:catAx>
      <c:valAx>
        <c:axId val="351322528"/>
        <c:scaling>
          <c:orientation val="minMax"/>
        </c:scaling>
        <c:delete val="0"/>
        <c:axPos val="l"/>
        <c:majorGridlines/>
        <c:numFmt formatCode="#,##0" sourceLinked="1"/>
        <c:majorTickMark val="out"/>
        <c:minorTickMark val="none"/>
        <c:tickLblPos val="nextTo"/>
        <c:crossAx val="351322136"/>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4998-48E4-8CC6-BEC278BD162A}"/>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51323312"/>
        <c:axId val="351323704"/>
      </c:lineChart>
      <c:catAx>
        <c:axId val="351323312"/>
        <c:scaling>
          <c:orientation val="minMax"/>
        </c:scaling>
        <c:delete val="0"/>
        <c:axPos val="b"/>
        <c:numFmt formatCode="General" sourceLinked="1"/>
        <c:majorTickMark val="out"/>
        <c:minorTickMark val="none"/>
        <c:tickLblPos val="nextTo"/>
        <c:crossAx val="351323704"/>
        <c:crosses val="autoZero"/>
        <c:auto val="1"/>
        <c:lblAlgn val="ctr"/>
        <c:lblOffset val="100"/>
        <c:noMultiLvlLbl val="0"/>
      </c:catAx>
      <c:valAx>
        <c:axId val="351323704"/>
        <c:scaling>
          <c:orientation val="minMax"/>
        </c:scaling>
        <c:delete val="0"/>
        <c:axPos val="l"/>
        <c:majorGridlines/>
        <c:numFmt formatCode="General" sourceLinked="1"/>
        <c:majorTickMark val="out"/>
        <c:minorTickMark val="none"/>
        <c:tickLblPos val="nextTo"/>
        <c:crossAx val="351323312"/>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'St Catherines RC'!$B$177:$B$190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'St Catherines RC'!$J$177:$J$190</c:f>
              <c:numCache>
                <c:formatCode>General</c:formatCode>
                <c:ptCount val="14"/>
                <c:pt idx="0">
                  <c:v>182</c:v>
                </c:pt>
                <c:pt idx="1">
                  <c:v>146</c:v>
                </c:pt>
                <c:pt idx="2">
                  <c:v>142</c:v>
                </c:pt>
                <c:pt idx="3">
                  <c:v>140</c:v>
                </c:pt>
                <c:pt idx="4">
                  <c:v>144</c:v>
                </c:pt>
                <c:pt idx="5">
                  <c:v>145</c:v>
                </c:pt>
                <c:pt idx="6">
                  <c:v>155</c:v>
                </c:pt>
                <c:pt idx="7">
                  <c:v>159</c:v>
                </c:pt>
                <c:pt idx="8">
                  <c:v>202</c:v>
                </c:pt>
                <c:pt idx="9">
                  <c:v>207</c:v>
                </c:pt>
                <c:pt idx="10">
                  <c:v>204</c:v>
                </c:pt>
                <c:pt idx="11">
                  <c:v>217</c:v>
                </c:pt>
                <c:pt idx="12">
                  <c:v>215</c:v>
                </c:pt>
                <c:pt idx="13">
                  <c:v>214</c:v>
                </c:pt>
              </c:numCache>
            </c:numRef>
          </c:val>
          <c:smooth val="0"/>
          <c:extLst xmlns:c16r2="http://schemas.microsoft.com/office/drawing/2015/06/chart">
            <c:ext xmlns:c16="http://schemas.microsoft.com/office/drawing/2014/chart" uri="{C3380CC4-5D6E-409C-BE32-E72D297353CC}">
              <c16:uniqueId val="{00000000-EC69-41BA-933E-2A7C3762BA95}"/>
            </c:ext>
          </c:extLst>
        </c:ser>
        <c:dLbls>
          <c:showLegendKey val="0"/>
          <c:showVal val="0"/>
          <c:showCatName val="0"/>
          <c:showSerName val="0"/>
          <c:showPercent val="0"/>
          <c:showBubbleSize val="0"/>
        </c:dLbls>
        <c:marker val="1"/>
        <c:smooth val="0"/>
        <c:axId val="351324488"/>
        <c:axId val="351324880"/>
      </c:lineChart>
      <c:catAx>
        <c:axId val="351324488"/>
        <c:scaling>
          <c:orientation val="minMax"/>
        </c:scaling>
        <c:delete val="0"/>
        <c:axPos val="b"/>
        <c:numFmt formatCode="General" sourceLinked="1"/>
        <c:majorTickMark val="out"/>
        <c:minorTickMark val="none"/>
        <c:tickLblPos val="nextTo"/>
        <c:crossAx val="351324880"/>
        <c:crosses val="autoZero"/>
        <c:auto val="1"/>
        <c:lblAlgn val="ctr"/>
        <c:lblOffset val="100"/>
        <c:noMultiLvlLbl val="0"/>
      </c:catAx>
      <c:valAx>
        <c:axId val="351324880"/>
        <c:scaling>
          <c:orientation val="minMax"/>
        </c:scaling>
        <c:delete val="0"/>
        <c:axPos val="l"/>
        <c:majorGridlines/>
        <c:numFmt formatCode="General" sourceLinked="1"/>
        <c:majorTickMark val="out"/>
        <c:minorTickMark val="none"/>
        <c:tickLblPos val="nextTo"/>
        <c:crossAx val="351324488"/>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'St Catherines RC'!$B$169</c:f>
              <c:strCache>
                <c:ptCount val="1"/>
                <c:pt idx="0">
                  <c:v>Catchment Births (5yrs Prior)</c:v>
                </c:pt>
              </c:strCache>
            </c:strRef>
          </c:tx>
          <c:marker>
            <c:symbol val="square"/>
            <c:size val="7"/>
          </c:marker>
          <c:cat>
            <c:numRef>
              <c:f>'St Catherines RC'!$D$168:$N$168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'St Catherines RC'!$D$169:$N$169</c:f>
              <c:numCache>
                <c:formatCode>#,##0</c:formatCode>
                <c:ptCount val="11"/>
                <c:pt idx="0">
                  <c:v>211</c:v>
                </c:pt>
                <c:pt idx="1">
                  <c:v>190</c:v>
                </c:pt>
                <c:pt idx="2">
                  <c:v>175</c:v>
                </c:pt>
                <c:pt idx="3">
                  <c:v>182</c:v>
                </c:pt>
                <c:pt idx="4">
                  <c:v>164</c:v>
                </c:pt>
                <c:pt idx="5">
                  <c:v>185</c:v>
                </c:pt>
                <c:pt idx="6">
                  <c:v>159</c:v>
                </c:pt>
                <c:pt idx="7">
                  <c:v>163</c:v>
                </c:pt>
                <c:pt idx="8">
                  <c:v>184</c:v>
                </c:pt>
                <c:pt idx="9">
                  <c:v>175</c:v>
                </c:pt>
                <c:pt idx="10">
                  <c:v>173</c:v>
                </c:pt>
              </c:numCache>
            </c:numRef>
          </c:val>
          <c:smooth val="0"/>
          <c:extLst xmlns:c16r2="http://schemas.microsoft.com/office/drawing/2015/06/chart">
            <c:ext xmlns:c16="http://schemas.microsoft.com/office/drawing/2014/chart" uri="{C3380CC4-5D6E-409C-BE32-E72D297353CC}">
              <c16:uniqueId val="{00000000-C44D-4CC2-9BDE-8207541878CD}"/>
            </c:ext>
          </c:extLst>
        </c:ser>
        <c:dLbls>
          <c:showLegendKey val="0"/>
          <c:showVal val="0"/>
          <c:showCatName val="0"/>
          <c:showSerName val="0"/>
          <c:showPercent val="0"/>
          <c:showBubbleSize val="0"/>
        </c:dLbls>
        <c:marker val="1"/>
        <c:smooth val="0"/>
        <c:axId val="351325664"/>
        <c:axId val="351326056"/>
      </c:lineChart>
      <c:catAx>
        <c:axId val="351325664"/>
        <c:scaling>
          <c:orientation val="minMax"/>
        </c:scaling>
        <c:delete val="0"/>
        <c:axPos val="b"/>
        <c:numFmt formatCode="General" sourceLinked="1"/>
        <c:majorTickMark val="out"/>
        <c:minorTickMark val="none"/>
        <c:tickLblPos val="nextTo"/>
        <c:crossAx val="351326056"/>
        <c:crosses val="autoZero"/>
        <c:auto val="1"/>
        <c:lblAlgn val="ctr"/>
        <c:lblOffset val="100"/>
        <c:noMultiLvlLbl val="0"/>
      </c:catAx>
      <c:valAx>
        <c:axId val="351326056"/>
        <c:scaling>
          <c:orientation val="minMax"/>
        </c:scaling>
        <c:delete val="0"/>
        <c:axPos val="l"/>
        <c:majorGridlines/>
        <c:numFmt formatCode="#,##0" sourceLinked="1"/>
        <c:majorTickMark val="out"/>
        <c:minorTickMark val="none"/>
        <c:tickLblPos val="nextTo"/>
        <c:crossAx val="351325664"/>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2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9154-42C4-AF40-83CD040B2CFA}"/>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51326840"/>
        <c:axId val="351327232"/>
      </c:lineChart>
      <c:catAx>
        <c:axId val="351326840"/>
        <c:scaling>
          <c:orientation val="minMax"/>
        </c:scaling>
        <c:delete val="0"/>
        <c:axPos val="b"/>
        <c:numFmt formatCode="General" sourceLinked="1"/>
        <c:majorTickMark val="out"/>
        <c:minorTickMark val="none"/>
        <c:tickLblPos val="nextTo"/>
        <c:crossAx val="351327232"/>
        <c:crosses val="autoZero"/>
        <c:auto val="1"/>
        <c:lblAlgn val="ctr"/>
        <c:lblOffset val="100"/>
        <c:noMultiLvlLbl val="0"/>
      </c:catAx>
      <c:valAx>
        <c:axId val="351327232"/>
        <c:scaling>
          <c:orientation val="minMax"/>
        </c:scaling>
        <c:delete val="0"/>
        <c:axPos val="l"/>
        <c:majorGridlines/>
        <c:numFmt formatCode="General" sourceLinked="1"/>
        <c:majorTickMark val="out"/>
        <c:minorTickMark val="none"/>
        <c:tickLblPos val="nextTo"/>
        <c:crossAx val="351326840"/>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2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'St Cuthberts RC'!$B$177:$B$190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'St Cuthberts RC'!$J$177:$J$190</c:f>
              <c:numCache>
                <c:formatCode>General</c:formatCode>
                <c:ptCount val="14"/>
                <c:pt idx="0">
                  <c:v>204</c:v>
                </c:pt>
                <c:pt idx="1">
                  <c:v>197</c:v>
                </c:pt>
                <c:pt idx="2">
                  <c:v>177</c:v>
                </c:pt>
                <c:pt idx="3">
                  <c:v>174</c:v>
                </c:pt>
                <c:pt idx="4">
                  <c:v>164</c:v>
                </c:pt>
                <c:pt idx="5">
                  <c:v>161</c:v>
                </c:pt>
                <c:pt idx="6">
                  <c:v>154</c:v>
                </c:pt>
                <c:pt idx="7">
                  <c:v>146</c:v>
                </c:pt>
                <c:pt idx="8">
                  <c:v>149</c:v>
                </c:pt>
                <c:pt idx="9">
                  <c:v>146</c:v>
                </c:pt>
                <c:pt idx="10">
                  <c:v>153</c:v>
                </c:pt>
                <c:pt idx="11">
                  <c:v>181</c:v>
                </c:pt>
                <c:pt idx="12">
                  <c:v>187</c:v>
                </c:pt>
                <c:pt idx="13">
                  <c:v>186</c:v>
                </c:pt>
              </c:numCache>
            </c:numRef>
          </c:val>
          <c:smooth val="0"/>
          <c:extLst xmlns:c16r2="http://schemas.microsoft.com/office/drawing/2015/06/chart">
            <c:ext xmlns:c16="http://schemas.microsoft.com/office/drawing/2014/chart" uri="{C3380CC4-5D6E-409C-BE32-E72D297353CC}">
              <c16:uniqueId val="{00000000-9FB6-416F-A9FD-42017A71FAC6}"/>
            </c:ext>
          </c:extLst>
        </c:ser>
        <c:dLbls>
          <c:showLegendKey val="0"/>
          <c:showVal val="0"/>
          <c:showCatName val="0"/>
          <c:showSerName val="0"/>
          <c:showPercent val="0"/>
          <c:showBubbleSize val="0"/>
        </c:dLbls>
        <c:marker val="1"/>
        <c:smooth val="0"/>
        <c:axId val="351328016"/>
        <c:axId val="351328408"/>
      </c:lineChart>
      <c:catAx>
        <c:axId val="351328016"/>
        <c:scaling>
          <c:orientation val="minMax"/>
        </c:scaling>
        <c:delete val="0"/>
        <c:axPos val="b"/>
        <c:numFmt formatCode="General" sourceLinked="1"/>
        <c:majorTickMark val="out"/>
        <c:minorTickMark val="none"/>
        <c:tickLblPos val="nextTo"/>
        <c:crossAx val="351328408"/>
        <c:crosses val="autoZero"/>
        <c:auto val="1"/>
        <c:lblAlgn val="ctr"/>
        <c:lblOffset val="100"/>
        <c:noMultiLvlLbl val="0"/>
      </c:catAx>
      <c:valAx>
        <c:axId val="351328408"/>
        <c:scaling>
          <c:orientation val="minMax"/>
        </c:scaling>
        <c:delete val="0"/>
        <c:axPos val="l"/>
        <c:majorGridlines/>
        <c:numFmt formatCode="General" sourceLinked="1"/>
        <c:majorTickMark val="out"/>
        <c:minorTickMark val="none"/>
        <c:tickLblPos val="nextTo"/>
        <c:crossAx val="351328016"/>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3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'St Cuthberts RC'!$B$169</c:f>
              <c:strCache>
                <c:ptCount val="1"/>
                <c:pt idx="0">
                  <c:v>Catchment Births (5yrs Prior)</c:v>
                </c:pt>
              </c:strCache>
            </c:strRef>
          </c:tx>
          <c:marker>
            <c:symbol val="square"/>
            <c:size val="7"/>
          </c:marker>
          <c:cat>
            <c:numRef>
              <c:f>'St Cuthberts RC'!$D$168:$N$168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'St Cuthberts RC'!$D$169:$N$169</c:f>
              <c:numCache>
                <c:formatCode>#,##0</c:formatCode>
                <c:ptCount val="11"/>
                <c:pt idx="0">
                  <c:v>487</c:v>
                </c:pt>
                <c:pt idx="1">
                  <c:v>536</c:v>
                </c:pt>
                <c:pt idx="2">
                  <c:v>563</c:v>
                </c:pt>
                <c:pt idx="3">
                  <c:v>579</c:v>
                </c:pt>
                <c:pt idx="4">
                  <c:v>591</c:v>
                </c:pt>
                <c:pt idx="5">
                  <c:v>633</c:v>
                </c:pt>
                <c:pt idx="6">
                  <c:v>596</c:v>
                </c:pt>
                <c:pt idx="7">
                  <c:v>659</c:v>
                </c:pt>
                <c:pt idx="8">
                  <c:v>575</c:v>
                </c:pt>
                <c:pt idx="9">
                  <c:v>616</c:v>
                </c:pt>
                <c:pt idx="10">
                  <c:v>597</c:v>
                </c:pt>
              </c:numCache>
            </c:numRef>
          </c:val>
          <c:smooth val="0"/>
          <c:extLst xmlns:c16r2="http://schemas.microsoft.com/office/drawing/2015/06/chart">
            <c:ext xmlns:c16="http://schemas.microsoft.com/office/drawing/2014/chart" uri="{C3380CC4-5D6E-409C-BE32-E72D297353CC}">
              <c16:uniqueId val="{00000000-D6CB-44A1-9389-ED32195ABE49}"/>
            </c:ext>
          </c:extLst>
        </c:ser>
        <c:dLbls>
          <c:showLegendKey val="0"/>
          <c:showVal val="0"/>
          <c:showCatName val="0"/>
          <c:showSerName val="0"/>
          <c:showPercent val="0"/>
          <c:showBubbleSize val="0"/>
        </c:dLbls>
        <c:marker val="1"/>
        <c:smooth val="0"/>
        <c:axId val="351329192"/>
        <c:axId val="351329584"/>
      </c:lineChart>
      <c:catAx>
        <c:axId val="351329192"/>
        <c:scaling>
          <c:orientation val="minMax"/>
        </c:scaling>
        <c:delete val="0"/>
        <c:axPos val="b"/>
        <c:numFmt formatCode="General" sourceLinked="1"/>
        <c:majorTickMark val="out"/>
        <c:minorTickMark val="none"/>
        <c:tickLblPos val="nextTo"/>
        <c:crossAx val="351329584"/>
        <c:crosses val="autoZero"/>
        <c:auto val="1"/>
        <c:lblAlgn val="ctr"/>
        <c:lblOffset val="100"/>
        <c:noMultiLvlLbl val="0"/>
      </c:catAx>
      <c:valAx>
        <c:axId val="351329584"/>
        <c:scaling>
          <c:orientation val="minMax"/>
        </c:scaling>
        <c:delete val="0"/>
        <c:axPos val="l"/>
        <c:majorGridlines/>
        <c:numFmt formatCode="#,##0" sourceLinked="1"/>
        <c:majorTickMark val="out"/>
        <c:minorTickMark val="none"/>
        <c:tickLblPos val="nextTo"/>
        <c:crossAx val="351329192"/>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3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E197-4D03-95FE-643FE019945D}"/>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51330368"/>
        <c:axId val="351330760"/>
      </c:lineChart>
      <c:catAx>
        <c:axId val="351330368"/>
        <c:scaling>
          <c:orientation val="minMax"/>
        </c:scaling>
        <c:delete val="0"/>
        <c:axPos val="b"/>
        <c:numFmt formatCode="General" sourceLinked="1"/>
        <c:majorTickMark val="out"/>
        <c:minorTickMark val="none"/>
        <c:tickLblPos val="nextTo"/>
        <c:crossAx val="351330760"/>
        <c:crosses val="autoZero"/>
        <c:auto val="1"/>
        <c:lblAlgn val="ctr"/>
        <c:lblOffset val="100"/>
        <c:noMultiLvlLbl val="0"/>
      </c:catAx>
      <c:valAx>
        <c:axId val="351330760"/>
        <c:scaling>
          <c:orientation val="minMax"/>
        </c:scaling>
        <c:delete val="0"/>
        <c:axPos val="l"/>
        <c:majorGridlines/>
        <c:numFmt formatCode="General" sourceLinked="1"/>
        <c:majorTickMark val="out"/>
        <c:minorTickMark val="none"/>
        <c:tickLblPos val="nextTo"/>
        <c:crossAx val="351330368"/>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3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'St Davids RC'!$B$177:$B$190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'St Davids RC'!$J$177:$J$190</c:f>
              <c:numCache>
                <c:formatCode>General</c:formatCode>
                <c:ptCount val="14"/>
                <c:pt idx="0">
                  <c:v>138</c:v>
                </c:pt>
                <c:pt idx="1">
                  <c:v>126</c:v>
                </c:pt>
                <c:pt idx="2">
                  <c:v>128</c:v>
                </c:pt>
                <c:pt idx="3">
                  <c:v>137</c:v>
                </c:pt>
                <c:pt idx="4">
                  <c:v>134</c:v>
                </c:pt>
                <c:pt idx="5">
                  <c:v>148</c:v>
                </c:pt>
                <c:pt idx="6">
                  <c:v>172</c:v>
                </c:pt>
                <c:pt idx="7">
                  <c:v>178</c:v>
                </c:pt>
                <c:pt idx="8">
                  <c:v>203</c:v>
                </c:pt>
                <c:pt idx="9">
                  <c:v>223</c:v>
                </c:pt>
                <c:pt idx="10">
                  <c:v>242</c:v>
                </c:pt>
                <c:pt idx="11">
                  <c:v>260</c:v>
                </c:pt>
                <c:pt idx="12">
                  <c:v>257</c:v>
                </c:pt>
                <c:pt idx="13">
                  <c:v>268</c:v>
                </c:pt>
              </c:numCache>
            </c:numRef>
          </c:val>
          <c:smooth val="0"/>
          <c:extLst xmlns:c16r2="http://schemas.microsoft.com/office/drawing/2015/06/chart">
            <c:ext xmlns:c16="http://schemas.microsoft.com/office/drawing/2014/chart" uri="{C3380CC4-5D6E-409C-BE32-E72D297353CC}">
              <c16:uniqueId val="{00000000-9EC4-44CF-A4FF-AB8CFB551E14}"/>
            </c:ext>
          </c:extLst>
        </c:ser>
        <c:dLbls>
          <c:showLegendKey val="0"/>
          <c:showVal val="0"/>
          <c:showCatName val="0"/>
          <c:showSerName val="0"/>
          <c:showPercent val="0"/>
          <c:showBubbleSize val="0"/>
        </c:dLbls>
        <c:marker val="1"/>
        <c:smooth val="0"/>
        <c:axId val="351331544"/>
        <c:axId val="351331936"/>
      </c:lineChart>
      <c:catAx>
        <c:axId val="351331544"/>
        <c:scaling>
          <c:orientation val="minMax"/>
        </c:scaling>
        <c:delete val="0"/>
        <c:axPos val="b"/>
        <c:numFmt formatCode="General" sourceLinked="1"/>
        <c:majorTickMark val="out"/>
        <c:minorTickMark val="none"/>
        <c:tickLblPos val="nextTo"/>
        <c:crossAx val="351331936"/>
        <c:crosses val="autoZero"/>
        <c:auto val="1"/>
        <c:lblAlgn val="ctr"/>
        <c:lblOffset val="100"/>
        <c:noMultiLvlLbl val="0"/>
      </c:catAx>
      <c:valAx>
        <c:axId val="351331936"/>
        <c:scaling>
          <c:orientation val="minMax"/>
        </c:scaling>
        <c:delete val="0"/>
        <c:axPos val="l"/>
        <c:majorGridlines/>
        <c:numFmt formatCode="General" sourceLinked="1"/>
        <c:majorTickMark val="out"/>
        <c:minorTickMark val="none"/>
        <c:tickLblPos val="nextTo"/>
        <c:crossAx val="351331544"/>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3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'St Davids RC'!$B$169</c:f>
              <c:strCache>
                <c:ptCount val="1"/>
                <c:pt idx="0">
                  <c:v>Catchment Births (5yrs Prior)</c:v>
                </c:pt>
              </c:strCache>
            </c:strRef>
          </c:tx>
          <c:marker>
            <c:symbol val="square"/>
            <c:size val="7"/>
          </c:marker>
          <c:cat>
            <c:numRef>
              <c:f>'St Davids RC'!$D$168:$N$168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'St Davids RC'!$D$169:$N$169</c:f>
              <c:numCache>
                <c:formatCode>#,##0</c:formatCode>
                <c:ptCount val="11"/>
                <c:pt idx="0">
                  <c:v>284</c:v>
                </c:pt>
                <c:pt idx="1">
                  <c:v>327</c:v>
                </c:pt>
                <c:pt idx="2">
                  <c:v>315</c:v>
                </c:pt>
                <c:pt idx="3">
                  <c:v>343</c:v>
                </c:pt>
                <c:pt idx="4">
                  <c:v>348</c:v>
                </c:pt>
                <c:pt idx="5">
                  <c:v>337</c:v>
                </c:pt>
                <c:pt idx="6">
                  <c:v>400</c:v>
                </c:pt>
                <c:pt idx="7">
                  <c:v>378</c:v>
                </c:pt>
                <c:pt idx="8">
                  <c:v>383</c:v>
                </c:pt>
                <c:pt idx="9">
                  <c:v>358</c:v>
                </c:pt>
                <c:pt idx="10">
                  <c:v>416</c:v>
                </c:pt>
              </c:numCache>
            </c:numRef>
          </c:val>
          <c:smooth val="0"/>
          <c:extLst xmlns:c16r2="http://schemas.microsoft.com/office/drawing/2015/06/chart">
            <c:ext xmlns:c16="http://schemas.microsoft.com/office/drawing/2014/chart" uri="{C3380CC4-5D6E-409C-BE32-E72D297353CC}">
              <c16:uniqueId val="{00000000-A1DB-4D6C-8809-C838EE4A9B9C}"/>
            </c:ext>
          </c:extLst>
        </c:ser>
        <c:dLbls>
          <c:showLegendKey val="0"/>
          <c:showVal val="0"/>
          <c:showCatName val="0"/>
          <c:showSerName val="0"/>
          <c:showPercent val="0"/>
          <c:showBubbleSize val="0"/>
        </c:dLbls>
        <c:marker val="1"/>
        <c:smooth val="0"/>
        <c:axId val="351332720"/>
        <c:axId val="351333112"/>
      </c:lineChart>
      <c:catAx>
        <c:axId val="351332720"/>
        <c:scaling>
          <c:orientation val="minMax"/>
        </c:scaling>
        <c:delete val="0"/>
        <c:axPos val="b"/>
        <c:numFmt formatCode="General" sourceLinked="1"/>
        <c:majorTickMark val="out"/>
        <c:minorTickMark val="none"/>
        <c:tickLblPos val="nextTo"/>
        <c:crossAx val="351333112"/>
        <c:crosses val="autoZero"/>
        <c:auto val="1"/>
        <c:lblAlgn val="ctr"/>
        <c:lblOffset val="100"/>
        <c:noMultiLvlLbl val="0"/>
      </c:catAx>
      <c:valAx>
        <c:axId val="351333112"/>
        <c:scaling>
          <c:orientation val="minMax"/>
        </c:scaling>
        <c:delete val="0"/>
        <c:axPos val="l"/>
        <c:majorGridlines/>
        <c:numFmt formatCode="#,##0" sourceLinked="1"/>
        <c:majorTickMark val="out"/>
        <c:minorTickMark val="none"/>
        <c:tickLblPos val="nextTo"/>
        <c:crossAx val="351332720"/>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3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52D0-4E0F-B5F7-AE09644B4A6E}"/>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51333896"/>
        <c:axId val="351334288"/>
      </c:lineChart>
      <c:catAx>
        <c:axId val="351333896"/>
        <c:scaling>
          <c:orientation val="minMax"/>
        </c:scaling>
        <c:delete val="0"/>
        <c:axPos val="b"/>
        <c:numFmt formatCode="General" sourceLinked="1"/>
        <c:majorTickMark val="out"/>
        <c:minorTickMark val="none"/>
        <c:tickLblPos val="nextTo"/>
        <c:crossAx val="351334288"/>
        <c:crosses val="autoZero"/>
        <c:auto val="1"/>
        <c:lblAlgn val="ctr"/>
        <c:lblOffset val="100"/>
        <c:noMultiLvlLbl val="0"/>
      </c:catAx>
      <c:valAx>
        <c:axId val="351334288"/>
        <c:scaling>
          <c:orientation val="minMax"/>
        </c:scaling>
        <c:delete val="0"/>
        <c:axPos val="l"/>
        <c:majorGridlines/>
        <c:numFmt formatCode="General" sourceLinked="1"/>
        <c:majorTickMark val="out"/>
        <c:minorTickMark val="none"/>
        <c:tickLblPos val="nextTo"/>
        <c:crossAx val="351333896"/>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3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'St Francis RC'!$B$177:$B$190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'St Francis RC'!$J$177:$J$190</c:f>
              <c:numCache>
                <c:formatCode>General</c:formatCode>
                <c:ptCount val="14"/>
                <c:pt idx="0">
                  <c:v>178</c:v>
                </c:pt>
                <c:pt idx="1">
                  <c:v>189</c:v>
                </c:pt>
                <c:pt idx="2">
                  <c:v>165</c:v>
                </c:pt>
                <c:pt idx="3">
                  <c:v>144</c:v>
                </c:pt>
                <c:pt idx="4">
                  <c:v>149</c:v>
                </c:pt>
                <c:pt idx="5">
                  <c:v>138</c:v>
                </c:pt>
                <c:pt idx="6">
                  <c:v>152</c:v>
                </c:pt>
                <c:pt idx="7">
                  <c:v>148</c:v>
                </c:pt>
                <c:pt idx="8">
                  <c:v>145</c:v>
                </c:pt>
                <c:pt idx="9">
                  <c:v>151</c:v>
                </c:pt>
                <c:pt idx="10">
                  <c:v>175</c:v>
                </c:pt>
                <c:pt idx="11">
                  <c:v>202</c:v>
                </c:pt>
                <c:pt idx="12">
                  <c:v>200</c:v>
                </c:pt>
                <c:pt idx="13">
                  <c:v>198</c:v>
                </c:pt>
              </c:numCache>
            </c:numRef>
          </c:val>
          <c:smooth val="0"/>
          <c:extLst xmlns:c16r2="http://schemas.microsoft.com/office/drawing/2015/06/chart">
            <c:ext xmlns:c16="http://schemas.microsoft.com/office/drawing/2014/chart" uri="{C3380CC4-5D6E-409C-BE32-E72D297353CC}">
              <c16:uniqueId val="{00000000-A1C2-4FF7-B503-3B3AB5222FAA}"/>
            </c:ext>
          </c:extLst>
        </c:ser>
        <c:dLbls>
          <c:showLegendKey val="0"/>
          <c:showVal val="0"/>
          <c:showCatName val="0"/>
          <c:showSerName val="0"/>
          <c:showPercent val="0"/>
          <c:showBubbleSize val="0"/>
        </c:dLbls>
        <c:marker val="1"/>
        <c:smooth val="0"/>
        <c:axId val="353816528"/>
        <c:axId val="353816920"/>
      </c:lineChart>
      <c:catAx>
        <c:axId val="353816528"/>
        <c:scaling>
          <c:orientation val="minMax"/>
        </c:scaling>
        <c:delete val="0"/>
        <c:axPos val="b"/>
        <c:numFmt formatCode="General" sourceLinked="1"/>
        <c:majorTickMark val="out"/>
        <c:minorTickMark val="none"/>
        <c:tickLblPos val="nextTo"/>
        <c:crossAx val="353816920"/>
        <c:crosses val="autoZero"/>
        <c:auto val="1"/>
        <c:lblAlgn val="ctr"/>
        <c:lblOffset val="100"/>
        <c:noMultiLvlLbl val="0"/>
      </c:catAx>
      <c:valAx>
        <c:axId val="353816920"/>
        <c:scaling>
          <c:orientation val="minMax"/>
        </c:scaling>
        <c:delete val="0"/>
        <c:axPos val="l"/>
        <c:majorGridlines/>
        <c:numFmt formatCode="General" sourceLinked="1"/>
        <c:majorTickMark val="out"/>
        <c:minorTickMark val="none"/>
        <c:tickLblPos val="nextTo"/>
        <c:crossAx val="353816528"/>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3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'St Francis RC'!$B$169</c:f>
              <c:strCache>
                <c:ptCount val="1"/>
                <c:pt idx="0">
                  <c:v>Catchment Births (5yrs Prior)</c:v>
                </c:pt>
              </c:strCache>
            </c:strRef>
          </c:tx>
          <c:marker>
            <c:symbol val="square"/>
            <c:size val="7"/>
          </c:marker>
          <c:cat>
            <c:numRef>
              <c:f>'St Francis RC'!$D$168:$N$168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'St Francis RC'!$D$169:$N$169</c:f>
              <c:numCache>
                <c:formatCode>#,##0</c:formatCode>
                <c:ptCount val="11"/>
                <c:pt idx="0">
                  <c:v>151</c:v>
                </c:pt>
                <c:pt idx="1">
                  <c:v>141</c:v>
                </c:pt>
                <c:pt idx="2">
                  <c:v>156</c:v>
                </c:pt>
                <c:pt idx="3">
                  <c:v>162</c:v>
                </c:pt>
                <c:pt idx="4">
                  <c:v>177</c:v>
                </c:pt>
                <c:pt idx="5">
                  <c:v>150</c:v>
                </c:pt>
                <c:pt idx="6">
                  <c:v>153</c:v>
                </c:pt>
                <c:pt idx="7">
                  <c:v>161</c:v>
                </c:pt>
                <c:pt idx="8">
                  <c:v>181</c:v>
                </c:pt>
                <c:pt idx="9">
                  <c:v>160</c:v>
                </c:pt>
                <c:pt idx="10">
                  <c:v>165</c:v>
                </c:pt>
              </c:numCache>
            </c:numRef>
          </c:val>
          <c:smooth val="0"/>
          <c:extLst xmlns:c16r2="http://schemas.microsoft.com/office/drawing/2015/06/chart">
            <c:ext xmlns:c16="http://schemas.microsoft.com/office/drawing/2014/chart" uri="{C3380CC4-5D6E-409C-BE32-E72D297353CC}">
              <c16:uniqueId val="{00000000-BB5C-4DC8-9860-575D475BC8C2}"/>
            </c:ext>
          </c:extLst>
        </c:ser>
        <c:dLbls>
          <c:showLegendKey val="0"/>
          <c:showVal val="0"/>
          <c:showCatName val="0"/>
          <c:showSerName val="0"/>
          <c:showPercent val="0"/>
          <c:showBubbleSize val="0"/>
        </c:dLbls>
        <c:marker val="1"/>
        <c:smooth val="0"/>
        <c:axId val="353817704"/>
        <c:axId val="353818096"/>
      </c:lineChart>
      <c:catAx>
        <c:axId val="353817704"/>
        <c:scaling>
          <c:orientation val="minMax"/>
        </c:scaling>
        <c:delete val="0"/>
        <c:axPos val="b"/>
        <c:numFmt formatCode="General" sourceLinked="1"/>
        <c:majorTickMark val="out"/>
        <c:minorTickMark val="none"/>
        <c:tickLblPos val="nextTo"/>
        <c:crossAx val="353818096"/>
        <c:crosses val="autoZero"/>
        <c:auto val="1"/>
        <c:lblAlgn val="ctr"/>
        <c:lblOffset val="100"/>
        <c:noMultiLvlLbl val="0"/>
      </c:catAx>
      <c:valAx>
        <c:axId val="353818096"/>
        <c:scaling>
          <c:orientation val="minMax"/>
        </c:scaling>
        <c:delete val="0"/>
        <c:axPos val="l"/>
        <c:majorGridlines/>
        <c:numFmt formatCode="#,##0" sourceLinked="1"/>
        <c:majorTickMark val="out"/>
        <c:minorTickMark val="none"/>
        <c:tickLblPos val="nextTo"/>
        <c:crossAx val="353817704"/>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3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1B17-454F-91C1-28FBC5B4AF49}"/>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53818880"/>
        <c:axId val="353819272"/>
      </c:lineChart>
      <c:catAx>
        <c:axId val="353818880"/>
        <c:scaling>
          <c:orientation val="minMax"/>
        </c:scaling>
        <c:delete val="0"/>
        <c:axPos val="b"/>
        <c:numFmt formatCode="General" sourceLinked="1"/>
        <c:majorTickMark val="out"/>
        <c:minorTickMark val="none"/>
        <c:tickLblPos val="nextTo"/>
        <c:crossAx val="353819272"/>
        <c:crosses val="autoZero"/>
        <c:auto val="1"/>
        <c:lblAlgn val="ctr"/>
        <c:lblOffset val="100"/>
        <c:noMultiLvlLbl val="0"/>
      </c:catAx>
      <c:valAx>
        <c:axId val="353819272"/>
        <c:scaling>
          <c:orientation val="minMax"/>
        </c:scaling>
        <c:delete val="0"/>
        <c:axPos val="l"/>
        <c:majorGridlines/>
        <c:numFmt formatCode="General" sourceLinked="1"/>
        <c:majorTickMark val="out"/>
        <c:minorTickMark val="none"/>
        <c:tickLblPos val="nextTo"/>
        <c:crossAx val="353818880"/>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3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'St John Vianney'!$B$177:$B$190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'St John Vianney'!$J$177:$J$190</c:f>
              <c:numCache>
                <c:formatCode>General</c:formatCode>
                <c:ptCount val="14"/>
                <c:pt idx="0">
                  <c:v>230</c:v>
                </c:pt>
                <c:pt idx="1">
                  <c:v>237</c:v>
                </c:pt>
                <c:pt idx="2">
                  <c:v>218</c:v>
                </c:pt>
                <c:pt idx="3">
                  <c:v>235</c:v>
                </c:pt>
                <c:pt idx="4">
                  <c:v>242</c:v>
                </c:pt>
                <c:pt idx="5">
                  <c:v>239</c:v>
                </c:pt>
                <c:pt idx="6">
                  <c:v>229</c:v>
                </c:pt>
                <c:pt idx="7">
                  <c:v>247</c:v>
                </c:pt>
                <c:pt idx="8">
                  <c:v>246</c:v>
                </c:pt>
                <c:pt idx="9">
                  <c:v>256</c:v>
                </c:pt>
                <c:pt idx="10">
                  <c:v>268</c:v>
                </c:pt>
                <c:pt idx="11">
                  <c:v>283</c:v>
                </c:pt>
                <c:pt idx="12">
                  <c:v>280</c:v>
                </c:pt>
                <c:pt idx="13">
                  <c:v>269</c:v>
                </c:pt>
              </c:numCache>
            </c:numRef>
          </c:val>
          <c:smooth val="0"/>
          <c:extLst xmlns:c16r2="http://schemas.microsoft.com/office/drawing/2015/06/chart">
            <c:ext xmlns:c16="http://schemas.microsoft.com/office/drawing/2014/chart" uri="{C3380CC4-5D6E-409C-BE32-E72D297353CC}">
              <c16:uniqueId val="{00000000-F263-41AE-9AD0-DFDD6809A2FD}"/>
            </c:ext>
          </c:extLst>
        </c:ser>
        <c:dLbls>
          <c:showLegendKey val="0"/>
          <c:showVal val="0"/>
          <c:showCatName val="0"/>
          <c:showSerName val="0"/>
          <c:showPercent val="0"/>
          <c:showBubbleSize val="0"/>
        </c:dLbls>
        <c:marker val="1"/>
        <c:smooth val="0"/>
        <c:axId val="353820056"/>
        <c:axId val="353820448"/>
      </c:lineChart>
      <c:catAx>
        <c:axId val="353820056"/>
        <c:scaling>
          <c:orientation val="minMax"/>
        </c:scaling>
        <c:delete val="0"/>
        <c:axPos val="b"/>
        <c:numFmt formatCode="General" sourceLinked="1"/>
        <c:majorTickMark val="out"/>
        <c:minorTickMark val="none"/>
        <c:tickLblPos val="nextTo"/>
        <c:crossAx val="353820448"/>
        <c:crosses val="autoZero"/>
        <c:auto val="1"/>
        <c:lblAlgn val="ctr"/>
        <c:lblOffset val="100"/>
        <c:noMultiLvlLbl val="0"/>
      </c:catAx>
      <c:valAx>
        <c:axId val="353820448"/>
        <c:scaling>
          <c:orientation val="minMax"/>
        </c:scaling>
        <c:delete val="0"/>
        <c:axPos val="l"/>
        <c:majorGridlines/>
        <c:numFmt formatCode="General" sourceLinked="1"/>
        <c:majorTickMark val="out"/>
        <c:minorTickMark val="none"/>
        <c:tickLblPos val="nextTo"/>
        <c:crossAx val="353820056"/>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3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'St John Vianney'!$B$169</c:f>
              <c:strCache>
                <c:ptCount val="1"/>
                <c:pt idx="0">
                  <c:v>Catchment Births (5yrs Prior)</c:v>
                </c:pt>
              </c:strCache>
            </c:strRef>
          </c:tx>
          <c:marker>
            <c:symbol val="square"/>
            <c:size val="7"/>
          </c:marker>
          <c:cat>
            <c:numRef>
              <c:f>'St John Vianney'!$D$168:$N$168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'St John Vianney'!$D$169:$N$169</c:f>
              <c:numCache>
                <c:formatCode>#,##0</c:formatCode>
                <c:ptCount val="11"/>
                <c:pt idx="0">
                  <c:v>246</c:v>
                </c:pt>
                <c:pt idx="1">
                  <c:v>244</c:v>
                </c:pt>
                <c:pt idx="2">
                  <c:v>218</c:v>
                </c:pt>
                <c:pt idx="3">
                  <c:v>267</c:v>
                </c:pt>
                <c:pt idx="4">
                  <c:v>260</c:v>
                </c:pt>
                <c:pt idx="5">
                  <c:v>271</c:v>
                </c:pt>
                <c:pt idx="6">
                  <c:v>237</c:v>
                </c:pt>
                <c:pt idx="7">
                  <c:v>289</c:v>
                </c:pt>
                <c:pt idx="8">
                  <c:v>257</c:v>
                </c:pt>
                <c:pt idx="9">
                  <c:v>265</c:v>
                </c:pt>
                <c:pt idx="10">
                  <c:v>265</c:v>
                </c:pt>
              </c:numCache>
            </c:numRef>
          </c:val>
          <c:smooth val="0"/>
          <c:extLst xmlns:c16r2="http://schemas.microsoft.com/office/drawing/2015/06/chart">
            <c:ext xmlns:c16="http://schemas.microsoft.com/office/drawing/2014/chart" uri="{C3380CC4-5D6E-409C-BE32-E72D297353CC}">
              <c16:uniqueId val="{00000000-069F-4DB6-8F2D-A9594C38C0E6}"/>
            </c:ext>
          </c:extLst>
        </c:ser>
        <c:dLbls>
          <c:showLegendKey val="0"/>
          <c:showVal val="0"/>
          <c:showCatName val="0"/>
          <c:showSerName val="0"/>
          <c:showPercent val="0"/>
          <c:showBubbleSize val="0"/>
        </c:dLbls>
        <c:marker val="1"/>
        <c:smooth val="0"/>
        <c:axId val="353821232"/>
        <c:axId val="353821624"/>
      </c:lineChart>
      <c:catAx>
        <c:axId val="353821232"/>
        <c:scaling>
          <c:orientation val="minMax"/>
        </c:scaling>
        <c:delete val="0"/>
        <c:axPos val="b"/>
        <c:numFmt formatCode="General" sourceLinked="1"/>
        <c:majorTickMark val="out"/>
        <c:minorTickMark val="none"/>
        <c:tickLblPos val="nextTo"/>
        <c:crossAx val="353821624"/>
        <c:crosses val="autoZero"/>
        <c:auto val="1"/>
        <c:lblAlgn val="ctr"/>
        <c:lblOffset val="100"/>
        <c:noMultiLvlLbl val="0"/>
      </c:catAx>
      <c:valAx>
        <c:axId val="353821624"/>
        <c:scaling>
          <c:orientation val="minMax"/>
        </c:scaling>
        <c:delete val="0"/>
        <c:axPos val="l"/>
        <c:majorGridlines/>
        <c:numFmt formatCode="#,##0" sourceLinked="1"/>
        <c:majorTickMark val="out"/>
        <c:minorTickMark val="none"/>
        <c:tickLblPos val="nextTo"/>
        <c:crossAx val="353821232"/>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4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4453-424A-A4EF-82DD4593CC18}"/>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53822408"/>
        <c:axId val="353822800"/>
      </c:lineChart>
      <c:catAx>
        <c:axId val="353822408"/>
        <c:scaling>
          <c:orientation val="minMax"/>
        </c:scaling>
        <c:delete val="0"/>
        <c:axPos val="b"/>
        <c:numFmt formatCode="General" sourceLinked="1"/>
        <c:majorTickMark val="out"/>
        <c:minorTickMark val="none"/>
        <c:tickLblPos val="nextTo"/>
        <c:crossAx val="353822800"/>
        <c:crosses val="autoZero"/>
        <c:auto val="1"/>
        <c:lblAlgn val="ctr"/>
        <c:lblOffset val="100"/>
        <c:noMultiLvlLbl val="0"/>
      </c:catAx>
      <c:valAx>
        <c:axId val="353822800"/>
        <c:scaling>
          <c:orientation val="minMax"/>
        </c:scaling>
        <c:delete val="0"/>
        <c:axPos val="l"/>
        <c:majorGridlines/>
        <c:numFmt formatCode="General" sourceLinked="1"/>
        <c:majorTickMark val="out"/>
        <c:minorTickMark val="none"/>
        <c:tickLblPos val="nextTo"/>
        <c:crossAx val="353822408"/>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4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'St Johns RC'!$B$177:$B$190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'St Johns RC'!$J$177:$J$190</c:f>
              <c:numCache>
                <c:formatCode>General</c:formatCode>
                <c:ptCount val="14"/>
                <c:pt idx="0">
                  <c:v>401</c:v>
                </c:pt>
                <c:pt idx="1">
                  <c:v>408</c:v>
                </c:pt>
                <c:pt idx="2">
                  <c:v>401</c:v>
                </c:pt>
                <c:pt idx="3">
                  <c:v>397</c:v>
                </c:pt>
                <c:pt idx="4">
                  <c:v>374</c:v>
                </c:pt>
                <c:pt idx="5">
                  <c:v>369</c:v>
                </c:pt>
                <c:pt idx="6">
                  <c:v>372</c:v>
                </c:pt>
                <c:pt idx="7">
                  <c:v>374</c:v>
                </c:pt>
                <c:pt idx="8">
                  <c:v>390</c:v>
                </c:pt>
                <c:pt idx="9">
                  <c:v>392</c:v>
                </c:pt>
                <c:pt idx="10">
                  <c:v>383</c:v>
                </c:pt>
                <c:pt idx="11">
                  <c:v>382</c:v>
                </c:pt>
                <c:pt idx="12">
                  <c:v>376</c:v>
                </c:pt>
                <c:pt idx="13">
                  <c:v>372</c:v>
                </c:pt>
              </c:numCache>
            </c:numRef>
          </c:val>
          <c:smooth val="0"/>
          <c:extLst xmlns:c16r2="http://schemas.microsoft.com/office/drawing/2015/06/chart">
            <c:ext xmlns:c16="http://schemas.microsoft.com/office/drawing/2014/chart" uri="{C3380CC4-5D6E-409C-BE32-E72D297353CC}">
              <c16:uniqueId val="{00000000-1A63-4E1F-9561-9BD35B10BF45}"/>
            </c:ext>
          </c:extLst>
        </c:ser>
        <c:dLbls>
          <c:showLegendKey val="0"/>
          <c:showVal val="0"/>
          <c:showCatName val="0"/>
          <c:showSerName val="0"/>
          <c:showPercent val="0"/>
          <c:showBubbleSize val="0"/>
        </c:dLbls>
        <c:marker val="1"/>
        <c:smooth val="0"/>
        <c:axId val="353823584"/>
        <c:axId val="353823976"/>
      </c:lineChart>
      <c:catAx>
        <c:axId val="353823584"/>
        <c:scaling>
          <c:orientation val="minMax"/>
        </c:scaling>
        <c:delete val="0"/>
        <c:axPos val="b"/>
        <c:numFmt formatCode="General" sourceLinked="1"/>
        <c:majorTickMark val="out"/>
        <c:minorTickMark val="none"/>
        <c:tickLblPos val="nextTo"/>
        <c:crossAx val="353823976"/>
        <c:crosses val="autoZero"/>
        <c:auto val="1"/>
        <c:lblAlgn val="ctr"/>
        <c:lblOffset val="100"/>
        <c:noMultiLvlLbl val="0"/>
      </c:catAx>
      <c:valAx>
        <c:axId val="353823976"/>
        <c:scaling>
          <c:orientation val="minMax"/>
        </c:scaling>
        <c:delete val="0"/>
        <c:axPos val="l"/>
        <c:majorGridlines/>
        <c:numFmt formatCode="General" sourceLinked="1"/>
        <c:majorTickMark val="out"/>
        <c:minorTickMark val="none"/>
        <c:tickLblPos val="nextTo"/>
        <c:crossAx val="353823584"/>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4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'St Johns RC'!$B$169</c:f>
              <c:strCache>
                <c:ptCount val="1"/>
                <c:pt idx="0">
                  <c:v>Catchment Births (5yrs Prior)</c:v>
                </c:pt>
              </c:strCache>
            </c:strRef>
          </c:tx>
          <c:marker>
            <c:symbol val="square"/>
            <c:size val="7"/>
          </c:marker>
          <c:cat>
            <c:numRef>
              <c:f>'St Johns RC'!$D$168:$N$168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'St Johns RC'!$D$169:$N$169</c:f>
              <c:numCache>
                <c:formatCode>#,##0</c:formatCode>
                <c:ptCount val="11"/>
                <c:pt idx="0">
                  <c:v>278</c:v>
                </c:pt>
                <c:pt idx="1">
                  <c:v>269</c:v>
                </c:pt>
                <c:pt idx="2">
                  <c:v>290</c:v>
                </c:pt>
                <c:pt idx="3">
                  <c:v>288</c:v>
                </c:pt>
                <c:pt idx="4">
                  <c:v>280</c:v>
                </c:pt>
                <c:pt idx="5">
                  <c:v>295</c:v>
                </c:pt>
                <c:pt idx="6">
                  <c:v>302</c:v>
                </c:pt>
                <c:pt idx="7">
                  <c:v>287</c:v>
                </c:pt>
                <c:pt idx="8">
                  <c:v>294</c:v>
                </c:pt>
                <c:pt idx="9">
                  <c:v>266</c:v>
                </c:pt>
                <c:pt idx="10">
                  <c:v>261</c:v>
                </c:pt>
              </c:numCache>
            </c:numRef>
          </c:val>
          <c:smooth val="0"/>
          <c:extLst xmlns:c16r2="http://schemas.microsoft.com/office/drawing/2015/06/chart">
            <c:ext xmlns:c16="http://schemas.microsoft.com/office/drawing/2014/chart" uri="{C3380CC4-5D6E-409C-BE32-E72D297353CC}">
              <c16:uniqueId val="{00000000-2E5B-4FBB-A386-A77860317F10}"/>
            </c:ext>
          </c:extLst>
        </c:ser>
        <c:dLbls>
          <c:showLegendKey val="0"/>
          <c:showVal val="0"/>
          <c:showCatName val="0"/>
          <c:showSerName val="0"/>
          <c:showPercent val="0"/>
          <c:showBubbleSize val="0"/>
        </c:dLbls>
        <c:marker val="1"/>
        <c:smooth val="0"/>
        <c:axId val="353824760"/>
        <c:axId val="353825152"/>
      </c:lineChart>
      <c:catAx>
        <c:axId val="353824760"/>
        <c:scaling>
          <c:orientation val="minMax"/>
        </c:scaling>
        <c:delete val="0"/>
        <c:axPos val="b"/>
        <c:numFmt formatCode="General" sourceLinked="1"/>
        <c:majorTickMark val="out"/>
        <c:minorTickMark val="none"/>
        <c:tickLblPos val="nextTo"/>
        <c:crossAx val="353825152"/>
        <c:crosses val="autoZero"/>
        <c:auto val="1"/>
        <c:lblAlgn val="ctr"/>
        <c:lblOffset val="100"/>
        <c:noMultiLvlLbl val="0"/>
      </c:catAx>
      <c:valAx>
        <c:axId val="353825152"/>
        <c:scaling>
          <c:orientation val="minMax"/>
        </c:scaling>
        <c:delete val="0"/>
        <c:axPos val="l"/>
        <c:majorGridlines/>
        <c:numFmt formatCode="#,##0" sourceLinked="1"/>
        <c:majorTickMark val="out"/>
        <c:minorTickMark val="none"/>
        <c:tickLblPos val="nextTo"/>
        <c:crossAx val="353824760"/>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4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6FC5-46C4-AD80-FEE05B61DA2A}"/>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53825936"/>
        <c:axId val="353826328"/>
      </c:lineChart>
      <c:catAx>
        <c:axId val="353825936"/>
        <c:scaling>
          <c:orientation val="minMax"/>
        </c:scaling>
        <c:delete val="0"/>
        <c:axPos val="b"/>
        <c:numFmt formatCode="General" sourceLinked="1"/>
        <c:majorTickMark val="out"/>
        <c:minorTickMark val="none"/>
        <c:tickLblPos val="nextTo"/>
        <c:crossAx val="353826328"/>
        <c:crosses val="autoZero"/>
        <c:auto val="1"/>
        <c:lblAlgn val="ctr"/>
        <c:lblOffset val="100"/>
        <c:noMultiLvlLbl val="0"/>
      </c:catAx>
      <c:valAx>
        <c:axId val="353826328"/>
        <c:scaling>
          <c:orientation val="minMax"/>
        </c:scaling>
        <c:delete val="0"/>
        <c:axPos val="l"/>
        <c:majorGridlines/>
        <c:numFmt formatCode="General" sourceLinked="1"/>
        <c:majorTickMark val="out"/>
        <c:minorTickMark val="none"/>
        <c:tickLblPos val="nextTo"/>
        <c:crossAx val="353825936"/>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4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'St Josephs RC'!$B$177:$B$190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'St Josephs RC'!$J$177:$J$190</c:f>
              <c:numCache>
                <c:formatCode>General</c:formatCode>
                <c:ptCount val="14"/>
                <c:pt idx="0">
                  <c:v>97</c:v>
                </c:pt>
                <c:pt idx="1">
                  <c:v>101</c:v>
                </c:pt>
                <c:pt idx="2">
                  <c:v>115</c:v>
                </c:pt>
                <c:pt idx="3">
                  <c:v>153</c:v>
                </c:pt>
                <c:pt idx="4">
                  <c:v>165</c:v>
                </c:pt>
                <c:pt idx="5">
                  <c:v>181</c:v>
                </c:pt>
                <c:pt idx="6">
                  <c:v>202</c:v>
                </c:pt>
                <c:pt idx="7">
                  <c:v>200</c:v>
                </c:pt>
                <c:pt idx="8">
                  <c:v>219</c:v>
                </c:pt>
                <c:pt idx="9">
                  <c:v>230</c:v>
                </c:pt>
                <c:pt idx="10">
                  <c:v>230</c:v>
                </c:pt>
                <c:pt idx="11">
                  <c:v>258</c:v>
                </c:pt>
                <c:pt idx="12">
                  <c:v>259</c:v>
                </c:pt>
                <c:pt idx="13">
                  <c:v>279</c:v>
                </c:pt>
              </c:numCache>
            </c:numRef>
          </c:val>
          <c:smooth val="0"/>
          <c:extLst xmlns:c16r2="http://schemas.microsoft.com/office/drawing/2015/06/chart">
            <c:ext xmlns:c16="http://schemas.microsoft.com/office/drawing/2014/chart" uri="{C3380CC4-5D6E-409C-BE32-E72D297353CC}">
              <c16:uniqueId val="{00000000-2E8D-4164-B653-CF7D34F2EB72}"/>
            </c:ext>
          </c:extLst>
        </c:ser>
        <c:dLbls>
          <c:showLegendKey val="0"/>
          <c:showVal val="0"/>
          <c:showCatName val="0"/>
          <c:showSerName val="0"/>
          <c:showPercent val="0"/>
          <c:showBubbleSize val="0"/>
        </c:dLbls>
        <c:marker val="1"/>
        <c:smooth val="0"/>
        <c:axId val="353827112"/>
        <c:axId val="353827504"/>
      </c:lineChart>
      <c:catAx>
        <c:axId val="353827112"/>
        <c:scaling>
          <c:orientation val="minMax"/>
        </c:scaling>
        <c:delete val="0"/>
        <c:axPos val="b"/>
        <c:numFmt formatCode="General" sourceLinked="1"/>
        <c:majorTickMark val="out"/>
        <c:minorTickMark val="none"/>
        <c:tickLblPos val="nextTo"/>
        <c:crossAx val="353827504"/>
        <c:crosses val="autoZero"/>
        <c:auto val="1"/>
        <c:lblAlgn val="ctr"/>
        <c:lblOffset val="100"/>
        <c:noMultiLvlLbl val="0"/>
      </c:catAx>
      <c:valAx>
        <c:axId val="353827504"/>
        <c:scaling>
          <c:orientation val="minMax"/>
        </c:scaling>
        <c:delete val="0"/>
        <c:axPos val="l"/>
        <c:majorGridlines/>
        <c:numFmt formatCode="General" sourceLinked="1"/>
        <c:majorTickMark val="out"/>
        <c:minorTickMark val="none"/>
        <c:tickLblPos val="nextTo"/>
        <c:crossAx val="353827112"/>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4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'St Josephs RC'!$B$169</c:f>
              <c:strCache>
                <c:ptCount val="1"/>
                <c:pt idx="0">
                  <c:v>Catchment Births (5yrs Prior)</c:v>
                </c:pt>
              </c:strCache>
            </c:strRef>
          </c:tx>
          <c:marker>
            <c:symbol val="square"/>
            <c:size val="7"/>
          </c:marker>
          <c:cat>
            <c:numRef>
              <c:f>'St Josephs RC'!$D$168:$N$168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'St Josephs RC'!$D$169:$N$169</c:f>
              <c:numCache>
                <c:formatCode>#,##0</c:formatCode>
                <c:ptCount val="11"/>
                <c:pt idx="0">
                  <c:v>391</c:v>
                </c:pt>
                <c:pt idx="1">
                  <c:v>450</c:v>
                </c:pt>
                <c:pt idx="2">
                  <c:v>486</c:v>
                </c:pt>
                <c:pt idx="3">
                  <c:v>476</c:v>
                </c:pt>
                <c:pt idx="4">
                  <c:v>510</c:v>
                </c:pt>
                <c:pt idx="5">
                  <c:v>520</c:v>
                </c:pt>
                <c:pt idx="6">
                  <c:v>475</c:v>
                </c:pt>
                <c:pt idx="7">
                  <c:v>507</c:v>
                </c:pt>
                <c:pt idx="8">
                  <c:v>486</c:v>
                </c:pt>
                <c:pt idx="9">
                  <c:v>460</c:v>
                </c:pt>
                <c:pt idx="10">
                  <c:v>419</c:v>
                </c:pt>
              </c:numCache>
            </c:numRef>
          </c:val>
          <c:smooth val="0"/>
          <c:extLst xmlns:c16r2="http://schemas.microsoft.com/office/drawing/2015/06/chart">
            <c:ext xmlns:c16="http://schemas.microsoft.com/office/drawing/2014/chart" uri="{C3380CC4-5D6E-409C-BE32-E72D297353CC}">
              <c16:uniqueId val="{00000000-5FD9-4697-B044-12A89D2BB67C}"/>
            </c:ext>
          </c:extLst>
        </c:ser>
        <c:dLbls>
          <c:showLegendKey val="0"/>
          <c:showVal val="0"/>
          <c:showCatName val="0"/>
          <c:showSerName val="0"/>
          <c:showPercent val="0"/>
          <c:showBubbleSize val="0"/>
        </c:dLbls>
        <c:marker val="1"/>
        <c:smooth val="0"/>
        <c:axId val="353828288"/>
        <c:axId val="353828680"/>
      </c:lineChart>
      <c:catAx>
        <c:axId val="353828288"/>
        <c:scaling>
          <c:orientation val="minMax"/>
        </c:scaling>
        <c:delete val="0"/>
        <c:axPos val="b"/>
        <c:numFmt formatCode="General" sourceLinked="1"/>
        <c:majorTickMark val="out"/>
        <c:minorTickMark val="none"/>
        <c:tickLblPos val="nextTo"/>
        <c:crossAx val="353828680"/>
        <c:crosses val="autoZero"/>
        <c:auto val="1"/>
        <c:lblAlgn val="ctr"/>
        <c:lblOffset val="100"/>
        <c:noMultiLvlLbl val="0"/>
      </c:catAx>
      <c:valAx>
        <c:axId val="353828680"/>
        <c:scaling>
          <c:orientation val="minMax"/>
        </c:scaling>
        <c:delete val="0"/>
        <c:axPos val="l"/>
        <c:majorGridlines/>
        <c:numFmt formatCode="#,##0" sourceLinked="1"/>
        <c:majorTickMark val="out"/>
        <c:minorTickMark val="none"/>
        <c:tickLblPos val="nextTo"/>
        <c:crossAx val="353828288"/>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4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F087-476E-808C-4C6A7C9582F9}"/>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53829464"/>
        <c:axId val="353829856"/>
      </c:lineChart>
      <c:catAx>
        <c:axId val="353829464"/>
        <c:scaling>
          <c:orientation val="minMax"/>
        </c:scaling>
        <c:delete val="0"/>
        <c:axPos val="b"/>
        <c:numFmt formatCode="General" sourceLinked="1"/>
        <c:majorTickMark val="out"/>
        <c:minorTickMark val="none"/>
        <c:tickLblPos val="nextTo"/>
        <c:crossAx val="353829856"/>
        <c:crosses val="autoZero"/>
        <c:auto val="1"/>
        <c:lblAlgn val="ctr"/>
        <c:lblOffset val="100"/>
        <c:noMultiLvlLbl val="0"/>
      </c:catAx>
      <c:valAx>
        <c:axId val="353829856"/>
        <c:scaling>
          <c:orientation val="minMax"/>
        </c:scaling>
        <c:delete val="0"/>
        <c:axPos val="l"/>
        <c:majorGridlines/>
        <c:numFmt formatCode="General" sourceLinked="1"/>
        <c:majorTickMark val="out"/>
        <c:minorTickMark val="none"/>
        <c:tickLblPos val="nextTo"/>
        <c:crossAx val="353829464"/>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4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'St Margarets RC'!$B$177:$B$190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'St Margarets RC'!$J$177:$J$190</c:f>
              <c:numCache>
                <c:formatCode>General</c:formatCode>
                <c:ptCount val="14"/>
                <c:pt idx="0">
                  <c:v>155</c:v>
                </c:pt>
                <c:pt idx="1">
                  <c:v>139</c:v>
                </c:pt>
                <c:pt idx="2">
                  <c:v>120</c:v>
                </c:pt>
                <c:pt idx="3">
                  <c:v>107</c:v>
                </c:pt>
                <c:pt idx="4">
                  <c:v>97</c:v>
                </c:pt>
                <c:pt idx="5">
                  <c:v>100</c:v>
                </c:pt>
                <c:pt idx="6">
                  <c:v>94</c:v>
                </c:pt>
                <c:pt idx="7">
                  <c:v>92</c:v>
                </c:pt>
                <c:pt idx="8">
                  <c:v>89</c:v>
                </c:pt>
                <c:pt idx="9">
                  <c:v>91</c:v>
                </c:pt>
                <c:pt idx="10">
                  <c:v>93</c:v>
                </c:pt>
                <c:pt idx="11">
                  <c:v>105</c:v>
                </c:pt>
                <c:pt idx="12">
                  <c:v>104</c:v>
                </c:pt>
                <c:pt idx="13">
                  <c:v>110</c:v>
                </c:pt>
              </c:numCache>
            </c:numRef>
          </c:val>
          <c:smooth val="0"/>
          <c:extLst xmlns:c16r2="http://schemas.microsoft.com/office/drawing/2015/06/chart">
            <c:ext xmlns:c16="http://schemas.microsoft.com/office/drawing/2014/chart" uri="{C3380CC4-5D6E-409C-BE32-E72D297353CC}">
              <c16:uniqueId val="{00000000-2017-4A88-82A4-B49A9F816092}"/>
            </c:ext>
          </c:extLst>
        </c:ser>
        <c:dLbls>
          <c:showLegendKey val="0"/>
          <c:showVal val="0"/>
          <c:showCatName val="0"/>
          <c:showSerName val="0"/>
          <c:showPercent val="0"/>
          <c:showBubbleSize val="0"/>
        </c:dLbls>
        <c:marker val="1"/>
        <c:smooth val="0"/>
        <c:axId val="353830640"/>
        <c:axId val="353831032"/>
      </c:lineChart>
      <c:catAx>
        <c:axId val="353830640"/>
        <c:scaling>
          <c:orientation val="minMax"/>
        </c:scaling>
        <c:delete val="0"/>
        <c:axPos val="b"/>
        <c:numFmt formatCode="General" sourceLinked="1"/>
        <c:majorTickMark val="out"/>
        <c:minorTickMark val="none"/>
        <c:tickLblPos val="nextTo"/>
        <c:crossAx val="353831032"/>
        <c:crosses val="autoZero"/>
        <c:auto val="1"/>
        <c:lblAlgn val="ctr"/>
        <c:lblOffset val="100"/>
        <c:noMultiLvlLbl val="0"/>
      </c:catAx>
      <c:valAx>
        <c:axId val="353831032"/>
        <c:scaling>
          <c:orientation val="minMax"/>
        </c:scaling>
        <c:delete val="0"/>
        <c:axPos val="l"/>
        <c:majorGridlines/>
        <c:numFmt formatCode="General" sourceLinked="1"/>
        <c:majorTickMark val="out"/>
        <c:minorTickMark val="none"/>
        <c:tickLblPos val="nextTo"/>
        <c:crossAx val="353830640"/>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4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'St Margarets RC'!$B$169</c:f>
              <c:strCache>
                <c:ptCount val="1"/>
                <c:pt idx="0">
                  <c:v>Catchment Births (5yrs Prior)</c:v>
                </c:pt>
              </c:strCache>
            </c:strRef>
          </c:tx>
          <c:marker>
            <c:symbol val="square"/>
            <c:size val="7"/>
          </c:marker>
          <c:cat>
            <c:numRef>
              <c:f>'St Margarets RC'!$D$168:$N$168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'St Margarets RC'!$D$169:$N$169</c:f>
              <c:numCache>
                <c:formatCode>#,##0</c:formatCode>
                <c:ptCount val="11"/>
                <c:pt idx="0">
                  <c:v>153</c:v>
                </c:pt>
                <c:pt idx="1">
                  <c:v>180</c:v>
                </c:pt>
                <c:pt idx="2">
                  <c:v>197</c:v>
                </c:pt>
                <c:pt idx="3">
                  <c:v>167</c:v>
                </c:pt>
                <c:pt idx="4">
                  <c:v>166</c:v>
                </c:pt>
                <c:pt idx="5">
                  <c:v>154</c:v>
                </c:pt>
                <c:pt idx="6">
                  <c:v>161</c:v>
                </c:pt>
                <c:pt idx="7">
                  <c:v>166</c:v>
                </c:pt>
                <c:pt idx="8">
                  <c:v>178</c:v>
                </c:pt>
                <c:pt idx="9">
                  <c:v>182</c:v>
                </c:pt>
                <c:pt idx="10">
                  <c:v>191</c:v>
                </c:pt>
              </c:numCache>
            </c:numRef>
          </c:val>
          <c:smooth val="0"/>
          <c:extLst xmlns:c16r2="http://schemas.microsoft.com/office/drawing/2015/06/chart">
            <c:ext xmlns:c16="http://schemas.microsoft.com/office/drawing/2014/chart" uri="{C3380CC4-5D6E-409C-BE32-E72D297353CC}">
              <c16:uniqueId val="{00000000-A6B1-4B01-B014-A79FFECEA671}"/>
            </c:ext>
          </c:extLst>
        </c:ser>
        <c:dLbls>
          <c:showLegendKey val="0"/>
          <c:showVal val="0"/>
          <c:showCatName val="0"/>
          <c:showSerName val="0"/>
          <c:showPercent val="0"/>
          <c:showBubbleSize val="0"/>
        </c:dLbls>
        <c:marker val="1"/>
        <c:smooth val="0"/>
        <c:axId val="353831816"/>
        <c:axId val="353832208"/>
      </c:lineChart>
      <c:catAx>
        <c:axId val="353831816"/>
        <c:scaling>
          <c:orientation val="minMax"/>
        </c:scaling>
        <c:delete val="0"/>
        <c:axPos val="b"/>
        <c:numFmt formatCode="General" sourceLinked="1"/>
        <c:majorTickMark val="out"/>
        <c:minorTickMark val="none"/>
        <c:tickLblPos val="nextTo"/>
        <c:crossAx val="353832208"/>
        <c:crosses val="autoZero"/>
        <c:auto val="1"/>
        <c:lblAlgn val="ctr"/>
        <c:lblOffset val="100"/>
        <c:noMultiLvlLbl val="0"/>
      </c:catAx>
      <c:valAx>
        <c:axId val="353832208"/>
        <c:scaling>
          <c:orientation val="minMax"/>
        </c:scaling>
        <c:delete val="0"/>
        <c:axPos val="l"/>
        <c:majorGridlines/>
        <c:numFmt formatCode="#,##0" sourceLinked="1"/>
        <c:majorTickMark val="out"/>
        <c:minorTickMark val="none"/>
        <c:tickLblPos val="nextTo"/>
        <c:crossAx val="353831816"/>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4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1DB5-489D-BD35-A8BF744E6975}"/>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53832992"/>
        <c:axId val="353833384"/>
      </c:lineChart>
      <c:catAx>
        <c:axId val="353832992"/>
        <c:scaling>
          <c:orientation val="minMax"/>
        </c:scaling>
        <c:delete val="0"/>
        <c:axPos val="b"/>
        <c:numFmt formatCode="General" sourceLinked="1"/>
        <c:majorTickMark val="out"/>
        <c:minorTickMark val="none"/>
        <c:tickLblPos val="nextTo"/>
        <c:crossAx val="353833384"/>
        <c:crosses val="autoZero"/>
        <c:auto val="1"/>
        <c:lblAlgn val="ctr"/>
        <c:lblOffset val="100"/>
        <c:noMultiLvlLbl val="0"/>
      </c:catAx>
      <c:valAx>
        <c:axId val="353833384"/>
        <c:scaling>
          <c:orientation val="minMax"/>
        </c:scaling>
        <c:delete val="0"/>
        <c:axPos val="l"/>
        <c:majorGridlines/>
        <c:numFmt formatCode="General" sourceLinked="1"/>
        <c:majorTickMark val="out"/>
        <c:minorTickMark val="none"/>
        <c:tickLblPos val="nextTo"/>
        <c:crossAx val="353832992"/>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5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'St Marks RC'!$B$177:$B$190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'St Marks RC'!$J$177:$J$190</c:f>
              <c:numCache>
                <c:formatCode>General</c:formatCode>
                <c:ptCount val="14"/>
                <c:pt idx="0">
                  <c:v>176</c:v>
                </c:pt>
                <c:pt idx="1">
                  <c:v>170</c:v>
                </c:pt>
                <c:pt idx="2">
                  <c:v>186</c:v>
                </c:pt>
                <c:pt idx="3">
                  <c:v>189</c:v>
                </c:pt>
                <c:pt idx="4">
                  <c:v>159</c:v>
                </c:pt>
                <c:pt idx="5">
                  <c:v>168</c:v>
                </c:pt>
                <c:pt idx="6">
                  <c:v>168</c:v>
                </c:pt>
                <c:pt idx="7">
                  <c:v>171</c:v>
                </c:pt>
                <c:pt idx="8">
                  <c:v>156</c:v>
                </c:pt>
                <c:pt idx="9">
                  <c:v>158</c:v>
                </c:pt>
                <c:pt idx="10">
                  <c:v>157</c:v>
                </c:pt>
                <c:pt idx="11">
                  <c:v>156</c:v>
                </c:pt>
                <c:pt idx="12">
                  <c:v>139</c:v>
                </c:pt>
                <c:pt idx="13">
                  <c:v>144</c:v>
                </c:pt>
              </c:numCache>
            </c:numRef>
          </c:val>
          <c:smooth val="0"/>
          <c:extLst xmlns:c16r2="http://schemas.microsoft.com/office/drawing/2015/06/chart">
            <c:ext xmlns:c16="http://schemas.microsoft.com/office/drawing/2014/chart" uri="{C3380CC4-5D6E-409C-BE32-E72D297353CC}">
              <c16:uniqueId val="{00000000-CD69-44D9-A9A1-58FBA3C85CD3}"/>
            </c:ext>
          </c:extLst>
        </c:ser>
        <c:dLbls>
          <c:showLegendKey val="0"/>
          <c:showVal val="0"/>
          <c:showCatName val="0"/>
          <c:showSerName val="0"/>
          <c:showPercent val="0"/>
          <c:showBubbleSize val="0"/>
        </c:dLbls>
        <c:marker val="1"/>
        <c:smooth val="0"/>
        <c:axId val="353834168"/>
        <c:axId val="353834560"/>
      </c:lineChart>
      <c:catAx>
        <c:axId val="353834168"/>
        <c:scaling>
          <c:orientation val="minMax"/>
        </c:scaling>
        <c:delete val="0"/>
        <c:axPos val="b"/>
        <c:numFmt formatCode="General" sourceLinked="1"/>
        <c:majorTickMark val="out"/>
        <c:minorTickMark val="none"/>
        <c:tickLblPos val="nextTo"/>
        <c:crossAx val="353834560"/>
        <c:crosses val="autoZero"/>
        <c:auto val="1"/>
        <c:lblAlgn val="ctr"/>
        <c:lblOffset val="100"/>
        <c:noMultiLvlLbl val="0"/>
      </c:catAx>
      <c:valAx>
        <c:axId val="353834560"/>
        <c:scaling>
          <c:orientation val="minMax"/>
        </c:scaling>
        <c:delete val="0"/>
        <c:axPos val="l"/>
        <c:majorGridlines/>
        <c:numFmt formatCode="General" sourceLinked="1"/>
        <c:majorTickMark val="out"/>
        <c:minorTickMark val="none"/>
        <c:tickLblPos val="nextTo"/>
        <c:crossAx val="353834168"/>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5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'St Marks RC'!$B$169</c:f>
              <c:strCache>
                <c:ptCount val="1"/>
                <c:pt idx="0">
                  <c:v>Catchment Births (5yrs Prior)</c:v>
                </c:pt>
              </c:strCache>
            </c:strRef>
          </c:tx>
          <c:marker>
            <c:symbol val="square"/>
            <c:size val="7"/>
          </c:marker>
          <c:cat>
            <c:numRef>
              <c:f>'St Marks RC'!$D$168:$N$168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'St Marks RC'!$D$169:$N$169</c:f>
              <c:numCache>
                <c:formatCode>#,##0</c:formatCode>
                <c:ptCount val="11"/>
                <c:pt idx="0">
                  <c:v>198</c:v>
                </c:pt>
                <c:pt idx="1">
                  <c:v>208</c:v>
                </c:pt>
                <c:pt idx="2">
                  <c:v>224</c:v>
                </c:pt>
                <c:pt idx="3">
                  <c:v>208</c:v>
                </c:pt>
                <c:pt idx="4">
                  <c:v>203</c:v>
                </c:pt>
                <c:pt idx="5">
                  <c:v>230</c:v>
                </c:pt>
                <c:pt idx="6">
                  <c:v>245</c:v>
                </c:pt>
                <c:pt idx="7">
                  <c:v>230</c:v>
                </c:pt>
                <c:pt idx="8">
                  <c:v>214</c:v>
                </c:pt>
                <c:pt idx="9">
                  <c:v>205</c:v>
                </c:pt>
                <c:pt idx="10">
                  <c:v>214</c:v>
                </c:pt>
              </c:numCache>
            </c:numRef>
          </c:val>
          <c:smooth val="0"/>
          <c:extLst xmlns:c16r2="http://schemas.microsoft.com/office/drawing/2015/06/chart">
            <c:ext xmlns:c16="http://schemas.microsoft.com/office/drawing/2014/chart" uri="{C3380CC4-5D6E-409C-BE32-E72D297353CC}">
              <c16:uniqueId val="{00000000-14BD-400A-830F-EEE92F2503E6}"/>
            </c:ext>
          </c:extLst>
        </c:ser>
        <c:dLbls>
          <c:showLegendKey val="0"/>
          <c:showVal val="0"/>
          <c:showCatName val="0"/>
          <c:showSerName val="0"/>
          <c:showPercent val="0"/>
          <c:showBubbleSize val="0"/>
        </c:dLbls>
        <c:marker val="1"/>
        <c:smooth val="0"/>
        <c:axId val="353835344"/>
        <c:axId val="353835736"/>
      </c:lineChart>
      <c:catAx>
        <c:axId val="353835344"/>
        <c:scaling>
          <c:orientation val="minMax"/>
        </c:scaling>
        <c:delete val="0"/>
        <c:axPos val="b"/>
        <c:numFmt formatCode="General" sourceLinked="1"/>
        <c:majorTickMark val="out"/>
        <c:minorTickMark val="none"/>
        <c:tickLblPos val="nextTo"/>
        <c:crossAx val="353835736"/>
        <c:crosses val="autoZero"/>
        <c:auto val="1"/>
        <c:lblAlgn val="ctr"/>
        <c:lblOffset val="100"/>
        <c:noMultiLvlLbl val="0"/>
      </c:catAx>
      <c:valAx>
        <c:axId val="353835736"/>
        <c:scaling>
          <c:orientation val="minMax"/>
        </c:scaling>
        <c:delete val="0"/>
        <c:axPos val="l"/>
        <c:majorGridlines/>
        <c:numFmt formatCode="#,##0" sourceLinked="1"/>
        <c:majorTickMark val="out"/>
        <c:minorTickMark val="none"/>
        <c:tickLblPos val="nextTo"/>
        <c:crossAx val="353835344"/>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5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413A-47C0-8EC4-4288394CC399}"/>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53836520"/>
        <c:axId val="353836912"/>
      </c:lineChart>
      <c:catAx>
        <c:axId val="353836520"/>
        <c:scaling>
          <c:orientation val="minMax"/>
        </c:scaling>
        <c:delete val="0"/>
        <c:axPos val="b"/>
        <c:numFmt formatCode="General" sourceLinked="1"/>
        <c:majorTickMark val="out"/>
        <c:minorTickMark val="none"/>
        <c:tickLblPos val="nextTo"/>
        <c:crossAx val="353836912"/>
        <c:crosses val="autoZero"/>
        <c:auto val="1"/>
        <c:lblAlgn val="ctr"/>
        <c:lblOffset val="100"/>
        <c:noMultiLvlLbl val="0"/>
      </c:catAx>
      <c:valAx>
        <c:axId val="353836912"/>
        <c:scaling>
          <c:orientation val="minMax"/>
        </c:scaling>
        <c:delete val="0"/>
        <c:axPos val="l"/>
        <c:majorGridlines/>
        <c:numFmt formatCode="General" sourceLinked="1"/>
        <c:majorTickMark val="out"/>
        <c:minorTickMark val="none"/>
        <c:tickLblPos val="nextTo"/>
        <c:crossAx val="353836520"/>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5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'St Marys Edin'!$B$177:$B$190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'St Marys Edin'!$J$177:$J$190</c:f>
              <c:numCache>
                <c:formatCode>General</c:formatCode>
                <c:ptCount val="14"/>
                <c:pt idx="0">
                  <c:v>280</c:v>
                </c:pt>
                <c:pt idx="1">
                  <c:v>281</c:v>
                </c:pt>
                <c:pt idx="2">
                  <c:v>297</c:v>
                </c:pt>
                <c:pt idx="3">
                  <c:v>303</c:v>
                </c:pt>
                <c:pt idx="4">
                  <c:v>290</c:v>
                </c:pt>
                <c:pt idx="5">
                  <c:v>302</c:v>
                </c:pt>
                <c:pt idx="6">
                  <c:v>322</c:v>
                </c:pt>
                <c:pt idx="7">
                  <c:v>336</c:v>
                </c:pt>
                <c:pt idx="8">
                  <c:v>340</c:v>
                </c:pt>
                <c:pt idx="9">
                  <c:v>363</c:v>
                </c:pt>
                <c:pt idx="10">
                  <c:v>366</c:v>
                </c:pt>
                <c:pt idx="11">
                  <c:v>360</c:v>
                </c:pt>
                <c:pt idx="12">
                  <c:v>375</c:v>
                </c:pt>
                <c:pt idx="13">
                  <c:v>374</c:v>
                </c:pt>
              </c:numCache>
            </c:numRef>
          </c:val>
          <c:smooth val="0"/>
          <c:extLst xmlns:c16r2="http://schemas.microsoft.com/office/drawing/2015/06/chart">
            <c:ext xmlns:c16="http://schemas.microsoft.com/office/drawing/2014/chart" uri="{C3380CC4-5D6E-409C-BE32-E72D297353CC}">
              <c16:uniqueId val="{00000000-5883-4D02-8144-FBC643D3FED0}"/>
            </c:ext>
          </c:extLst>
        </c:ser>
        <c:dLbls>
          <c:showLegendKey val="0"/>
          <c:showVal val="0"/>
          <c:showCatName val="0"/>
          <c:showSerName val="0"/>
          <c:showPercent val="0"/>
          <c:showBubbleSize val="0"/>
        </c:dLbls>
        <c:marker val="1"/>
        <c:smooth val="0"/>
        <c:axId val="353837696"/>
        <c:axId val="353838088"/>
      </c:lineChart>
      <c:catAx>
        <c:axId val="353837696"/>
        <c:scaling>
          <c:orientation val="minMax"/>
        </c:scaling>
        <c:delete val="0"/>
        <c:axPos val="b"/>
        <c:numFmt formatCode="General" sourceLinked="1"/>
        <c:majorTickMark val="out"/>
        <c:minorTickMark val="none"/>
        <c:tickLblPos val="nextTo"/>
        <c:crossAx val="353838088"/>
        <c:crosses val="autoZero"/>
        <c:auto val="1"/>
        <c:lblAlgn val="ctr"/>
        <c:lblOffset val="100"/>
        <c:noMultiLvlLbl val="0"/>
      </c:catAx>
      <c:valAx>
        <c:axId val="353838088"/>
        <c:scaling>
          <c:orientation val="minMax"/>
        </c:scaling>
        <c:delete val="0"/>
        <c:axPos val="l"/>
        <c:majorGridlines/>
        <c:numFmt formatCode="General" sourceLinked="1"/>
        <c:majorTickMark val="out"/>
        <c:minorTickMark val="none"/>
        <c:tickLblPos val="nextTo"/>
        <c:crossAx val="353837696"/>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5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'St Marys Edin'!$B$169</c:f>
              <c:strCache>
                <c:ptCount val="1"/>
                <c:pt idx="0">
                  <c:v>Catchment Births (5yrs Prior)</c:v>
                </c:pt>
              </c:strCache>
            </c:strRef>
          </c:tx>
          <c:marker>
            <c:symbol val="square"/>
            <c:size val="7"/>
          </c:marker>
          <c:cat>
            <c:numRef>
              <c:f>'St Marys Edin'!$D$168:$N$168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'St Marys Edin'!$D$169:$N$169</c:f>
              <c:numCache>
                <c:formatCode>#,##0</c:formatCode>
                <c:ptCount val="11"/>
                <c:pt idx="0">
                  <c:v>489</c:v>
                </c:pt>
                <c:pt idx="1">
                  <c:v>513</c:v>
                </c:pt>
                <c:pt idx="2">
                  <c:v>522</c:v>
                </c:pt>
                <c:pt idx="3">
                  <c:v>533</c:v>
                </c:pt>
                <c:pt idx="4">
                  <c:v>602</c:v>
                </c:pt>
                <c:pt idx="5">
                  <c:v>623</c:v>
                </c:pt>
                <c:pt idx="6">
                  <c:v>588</c:v>
                </c:pt>
                <c:pt idx="7">
                  <c:v>573</c:v>
                </c:pt>
                <c:pt idx="8">
                  <c:v>605</c:v>
                </c:pt>
                <c:pt idx="9">
                  <c:v>549</c:v>
                </c:pt>
                <c:pt idx="10">
                  <c:v>515</c:v>
                </c:pt>
              </c:numCache>
            </c:numRef>
          </c:val>
          <c:smooth val="0"/>
          <c:extLst xmlns:c16r2="http://schemas.microsoft.com/office/drawing/2015/06/chart">
            <c:ext xmlns:c16="http://schemas.microsoft.com/office/drawing/2014/chart" uri="{C3380CC4-5D6E-409C-BE32-E72D297353CC}">
              <c16:uniqueId val="{00000000-517D-4D7D-8FA9-A1A00741B7C1}"/>
            </c:ext>
          </c:extLst>
        </c:ser>
        <c:dLbls>
          <c:showLegendKey val="0"/>
          <c:showVal val="0"/>
          <c:showCatName val="0"/>
          <c:showSerName val="0"/>
          <c:showPercent val="0"/>
          <c:showBubbleSize val="0"/>
        </c:dLbls>
        <c:marker val="1"/>
        <c:smooth val="0"/>
        <c:axId val="353838872"/>
        <c:axId val="353839264"/>
      </c:lineChart>
      <c:catAx>
        <c:axId val="353838872"/>
        <c:scaling>
          <c:orientation val="minMax"/>
        </c:scaling>
        <c:delete val="0"/>
        <c:axPos val="b"/>
        <c:numFmt formatCode="General" sourceLinked="1"/>
        <c:majorTickMark val="out"/>
        <c:minorTickMark val="none"/>
        <c:tickLblPos val="nextTo"/>
        <c:crossAx val="353839264"/>
        <c:crosses val="autoZero"/>
        <c:auto val="1"/>
        <c:lblAlgn val="ctr"/>
        <c:lblOffset val="100"/>
        <c:noMultiLvlLbl val="0"/>
      </c:catAx>
      <c:valAx>
        <c:axId val="353839264"/>
        <c:scaling>
          <c:orientation val="minMax"/>
        </c:scaling>
        <c:delete val="0"/>
        <c:axPos val="l"/>
        <c:majorGridlines/>
        <c:numFmt formatCode="#,##0" sourceLinked="1"/>
        <c:majorTickMark val="out"/>
        <c:minorTickMark val="none"/>
        <c:tickLblPos val="nextTo"/>
        <c:crossAx val="353838872"/>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5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2552-469F-8C49-81A5F3E009A0}"/>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53840048"/>
        <c:axId val="353840440"/>
      </c:lineChart>
      <c:catAx>
        <c:axId val="353840048"/>
        <c:scaling>
          <c:orientation val="minMax"/>
        </c:scaling>
        <c:delete val="0"/>
        <c:axPos val="b"/>
        <c:numFmt formatCode="General" sourceLinked="1"/>
        <c:majorTickMark val="out"/>
        <c:minorTickMark val="none"/>
        <c:tickLblPos val="nextTo"/>
        <c:crossAx val="353840440"/>
        <c:crosses val="autoZero"/>
        <c:auto val="1"/>
        <c:lblAlgn val="ctr"/>
        <c:lblOffset val="100"/>
        <c:noMultiLvlLbl val="0"/>
      </c:catAx>
      <c:valAx>
        <c:axId val="353840440"/>
        <c:scaling>
          <c:orientation val="minMax"/>
        </c:scaling>
        <c:delete val="0"/>
        <c:axPos val="l"/>
        <c:majorGridlines/>
        <c:numFmt formatCode="General" sourceLinked="1"/>
        <c:majorTickMark val="out"/>
        <c:minorTickMark val="none"/>
        <c:tickLblPos val="nextTo"/>
        <c:crossAx val="353840048"/>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5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'St Marys Leith'!$B$177:$B$190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'St Marys Leith'!$J$177:$J$190</c:f>
              <c:numCache>
                <c:formatCode>General</c:formatCode>
                <c:ptCount val="14"/>
                <c:pt idx="0">
                  <c:v>290</c:v>
                </c:pt>
                <c:pt idx="1">
                  <c:v>265</c:v>
                </c:pt>
                <c:pt idx="2">
                  <c:v>260</c:v>
                </c:pt>
                <c:pt idx="3">
                  <c:v>258</c:v>
                </c:pt>
                <c:pt idx="4">
                  <c:v>256</c:v>
                </c:pt>
                <c:pt idx="5">
                  <c:v>262</c:v>
                </c:pt>
                <c:pt idx="6">
                  <c:v>267</c:v>
                </c:pt>
                <c:pt idx="7">
                  <c:v>268</c:v>
                </c:pt>
                <c:pt idx="8">
                  <c:v>280</c:v>
                </c:pt>
                <c:pt idx="9">
                  <c:v>281</c:v>
                </c:pt>
                <c:pt idx="10">
                  <c:v>281</c:v>
                </c:pt>
                <c:pt idx="11">
                  <c:v>295</c:v>
                </c:pt>
                <c:pt idx="12">
                  <c:v>301</c:v>
                </c:pt>
                <c:pt idx="13">
                  <c:v>308</c:v>
                </c:pt>
              </c:numCache>
            </c:numRef>
          </c:val>
          <c:smooth val="0"/>
          <c:extLst xmlns:c16r2="http://schemas.microsoft.com/office/drawing/2015/06/chart">
            <c:ext xmlns:c16="http://schemas.microsoft.com/office/drawing/2014/chart" uri="{C3380CC4-5D6E-409C-BE32-E72D297353CC}">
              <c16:uniqueId val="{00000000-9F51-454A-8D85-77C2A3DCA19B}"/>
            </c:ext>
          </c:extLst>
        </c:ser>
        <c:dLbls>
          <c:showLegendKey val="0"/>
          <c:showVal val="0"/>
          <c:showCatName val="0"/>
          <c:showSerName val="0"/>
          <c:showPercent val="0"/>
          <c:showBubbleSize val="0"/>
        </c:dLbls>
        <c:marker val="1"/>
        <c:smooth val="0"/>
        <c:axId val="353841224"/>
        <c:axId val="353841616"/>
      </c:lineChart>
      <c:catAx>
        <c:axId val="353841224"/>
        <c:scaling>
          <c:orientation val="minMax"/>
        </c:scaling>
        <c:delete val="0"/>
        <c:axPos val="b"/>
        <c:numFmt formatCode="General" sourceLinked="1"/>
        <c:majorTickMark val="out"/>
        <c:minorTickMark val="none"/>
        <c:tickLblPos val="nextTo"/>
        <c:crossAx val="353841616"/>
        <c:crosses val="autoZero"/>
        <c:auto val="1"/>
        <c:lblAlgn val="ctr"/>
        <c:lblOffset val="100"/>
        <c:noMultiLvlLbl val="0"/>
      </c:catAx>
      <c:valAx>
        <c:axId val="353841616"/>
        <c:scaling>
          <c:orientation val="minMax"/>
        </c:scaling>
        <c:delete val="0"/>
        <c:axPos val="l"/>
        <c:majorGridlines/>
        <c:numFmt formatCode="General" sourceLinked="1"/>
        <c:majorTickMark val="out"/>
        <c:minorTickMark val="none"/>
        <c:tickLblPos val="nextTo"/>
        <c:crossAx val="353841224"/>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5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'St Marys Leith'!$B$169</c:f>
              <c:strCache>
                <c:ptCount val="1"/>
                <c:pt idx="0">
                  <c:v>Catchment Births (5yrs Prior)</c:v>
                </c:pt>
              </c:strCache>
            </c:strRef>
          </c:tx>
          <c:marker>
            <c:symbol val="square"/>
            <c:size val="7"/>
          </c:marker>
          <c:cat>
            <c:numRef>
              <c:f>'St Marys Leith'!$D$168:$N$168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'St Marys Leith'!$D$169:$N$169</c:f>
              <c:numCache>
                <c:formatCode>#,##0</c:formatCode>
                <c:ptCount val="11"/>
                <c:pt idx="0">
                  <c:v>259</c:v>
                </c:pt>
                <c:pt idx="1">
                  <c:v>261</c:v>
                </c:pt>
                <c:pt idx="2">
                  <c:v>289</c:v>
                </c:pt>
                <c:pt idx="3">
                  <c:v>330</c:v>
                </c:pt>
                <c:pt idx="4">
                  <c:v>349</c:v>
                </c:pt>
                <c:pt idx="5">
                  <c:v>374</c:v>
                </c:pt>
                <c:pt idx="6">
                  <c:v>376</c:v>
                </c:pt>
                <c:pt idx="7">
                  <c:v>385</c:v>
                </c:pt>
                <c:pt idx="8">
                  <c:v>350</c:v>
                </c:pt>
                <c:pt idx="9">
                  <c:v>366</c:v>
                </c:pt>
                <c:pt idx="10">
                  <c:v>307</c:v>
                </c:pt>
              </c:numCache>
            </c:numRef>
          </c:val>
          <c:smooth val="0"/>
          <c:extLst xmlns:c16r2="http://schemas.microsoft.com/office/drawing/2015/06/chart">
            <c:ext xmlns:c16="http://schemas.microsoft.com/office/drawing/2014/chart" uri="{C3380CC4-5D6E-409C-BE32-E72D297353CC}">
              <c16:uniqueId val="{00000000-326D-45DC-B66C-72FA5B38CD80}"/>
            </c:ext>
          </c:extLst>
        </c:ser>
        <c:dLbls>
          <c:showLegendKey val="0"/>
          <c:showVal val="0"/>
          <c:showCatName val="0"/>
          <c:showSerName val="0"/>
          <c:showPercent val="0"/>
          <c:showBubbleSize val="0"/>
        </c:dLbls>
        <c:marker val="1"/>
        <c:smooth val="0"/>
        <c:axId val="353842400"/>
        <c:axId val="353842792"/>
      </c:lineChart>
      <c:catAx>
        <c:axId val="353842400"/>
        <c:scaling>
          <c:orientation val="minMax"/>
        </c:scaling>
        <c:delete val="0"/>
        <c:axPos val="b"/>
        <c:numFmt formatCode="General" sourceLinked="1"/>
        <c:majorTickMark val="out"/>
        <c:minorTickMark val="none"/>
        <c:tickLblPos val="nextTo"/>
        <c:crossAx val="353842792"/>
        <c:crosses val="autoZero"/>
        <c:auto val="1"/>
        <c:lblAlgn val="ctr"/>
        <c:lblOffset val="100"/>
        <c:noMultiLvlLbl val="0"/>
      </c:catAx>
      <c:valAx>
        <c:axId val="353842792"/>
        <c:scaling>
          <c:orientation val="minMax"/>
        </c:scaling>
        <c:delete val="0"/>
        <c:axPos val="l"/>
        <c:majorGridlines/>
        <c:numFmt formatCode="#,##0" sourceLinked="1"/>
        <c:majorTickMark val="out"/>
        <c:minorTickMark val="none"/>
        <c:tickLblPos val="nextTo"/>
        <c:crossAx val="353842400"/>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5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BF4E-4C31-B4A4-4F196702AF4A}"/>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53843576"/>
        <c:axId val="353843968"/>
      </c:lineChart>
      <c:catAx>
        <c:axId val="353843576"/>
        <c:scaling>
          <c:orientation val="minMax"/>
        </c:scaling>
        <c:delete val="0"/>
        <c:axPos val="b"/>
        <c:numFmt formatCode="General" sourceLinked="1"/>
        <c:majorTickMark val="out"/>
        <c:minorTickMark val="none"/>
        <c:tickLblPos val="nextTo"/>
        <c:crossAx val="353843968"/>
        <c:crosses val="autoZero"/>
        <c:auto val="1"/>
        <c:lblAlgn val="ctr"/>
        <c:lblOffset val="100"/>
        <c:noMultiLvlLbl val="0"/>
      </c:catAx>
      <c:valAx>
        <c:axId val="353843968"/>
        <c:scaling>
          <c:orientation val="minMax"/>
        </c:scaling>
        <c:delete val="0"/>
        <c:axPos val="l"/>
        <c:majorGridlines/>
        <c:numFmt formatCode="General" sourceLinked="1"/>
        <c:majorTickMark val="out"/>
        <c:minorTickMark val="none"/>
        <c:tickLblPos val="nextTo"/>
        <c:crossAx val="353843576"/>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5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'St Ninians RC'!$B$177:$B$190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'St Ninians RC'!$J$177:$J$190</c:f>
              <c:numCache>
                <c:formatCode>General</c:formatCode>
                <c:ptCount val="14"/>
                <c:pt idx="0">
                  <c:v>283</c:v>
                </c:pt>
                <c:pt idx="1">
                  <c:v>262</c:v>
                </c:pt>
                <c:pt idx="2">
                  <c:v>246</c:v>
                </c:pt>
                <c:pt idx="3">
                  <c:v>236</c:v>
                </c:pt>
                <c:pt idx="4">
                  <c:v>218</c:v>
                </c:pt>
                <c:pt idx="5">
                  <c:v>215</c:v>
                </c:pt>
                <c:pt idx="6">
                  <c:v>218</c:v>
                </c:pt>
                <c:pt idx="7">
                  <c:v>207</c:v>
                </c:pt>
                <c:pt idx="8">
                  <c:v>206</c:v>
                </c:pt>
                <c:pt idx="9">
                  <c:v>212</c:v>
                </c:pt>
                <c:pt idx="10">
                  <c:v>224</c:v>
                </c:pt>
                <c:pt idx="11">
                  <c:v>217</c:v>
                </c:pt>
                <c:pt idx="12">
                  <c:v>240</c:v>
                </c:pt>
                <c:pt idx="13">
                  <c:v>257</c:v>
                </c:pt>
              </c:numCache>
            </c:numRef>
          </c:val>
          <c:smooth val="0"/>
          <c:extLst xmlns:c16r2="http://schemas.microsoft.com/office/drawing/2015/06/chart">
            <c:ext xmlns:c16="http://schemas.microsoft.com/office/drawing/2014/chart" uri="{C3380CC4-5D6E-409C-BE32-E72D297353CC}">
              <c16:uniqueId val="{00000000-AFF8-4025-8582-AD2034C880C5}"/>
            </c:ext>
          </c:extLst>
        </c:ser>
        <c:dLbls>
          <c:showLegendKey val="0"/>
          <c:showVal val="0"/>
          <c:showCatName val="0"/>
          <c:showSerName val="0"/>
          <c:showPercent val="0"/>
          <c:showBubbleSize val="0"/>
        </c:dLbls>
        <c:marker val="1"/>
        <c:smooth val="0"/>
        <c:axId val="353844752"/>
        <c:axId val="353845144"/>
      </c:lineChart>
      <c:catAx>
        <c:axId val="353844752"/>
        <c:scaling>
          <c:orientation val="minMax"/>
        </c:scaling>
        <c:delete val="0"/>
        <c:axPos val="b"/>
        <c:numFmt formatCode="General" sourceLinked="1"/>
        <c:majorTickMark val="out"/>
        <c:minorTickMark val="none"/>
        <c:tickLblPos val="nextTo"/>
        <c:crossAx val="353845144"/>
        <c:crosses val="autoZero"/>
        <c:auto val="1"/>
        <c:lblAlgn val="ctr"/>
        <c:lblOffset val="100"/>
        <c:noMultiLvlLbl val="0"/>
      </c:catAx>
      <c:valAx>
        <c:axId val="353845144"/>
        <c:scaling>
          <c:orientation val="minMax"/>
        </c:scaling>
        <c:delete val="0"/>
        <c:axPos val="l"/>
        <c:majorGridlines/>
        <c:numFmt formatCode="General" sourceLinked="1"/>
        <c:majorTickMark val="out"/>
        <c:minorTickMark val="none"/>
        <c:tickLblPos val="nextTo"/>
        <c:crossAx val="353844752"/>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6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'St Ninians RC'!$B$169</c:f>
              <c:strCache>
                <c:ptCount val="1"/>
                <c:pt idx="0">
                  <c:v>Catchment Births (5yrs Prior)</c:v>
                </c:pt>
              </c:strCache>
            </c:strRef>
          </c:tx>
          <c:marker>
            <c:symbol val="square"/>
            <c:size val="7"/>
          </c:marker>
          <c:cat>
            <c:numRef>
              <c:f>'St Ninians RC'!$D$168:$N$168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'St Ninians RC'!$D$169:$N$169</c:f>
              <c:numCache>
                <c:formatCode>#,##0</c:formatCode>
                <c:ptCount val="11"/>
                <c:pt idx="0">
                  <c:v>209</c:v>
                </c:pt>
                <c:pt idx="1">
                  <c:v>188</c:v>
                </c:pt>
                <c:pt idx="2">
                  <c:v>241</c:v>
                </c:pt>
                <c:pt idx="3">
                  <c:v>262</c:v>
                </c:pt>
                <c:pt idx="4">
                  <c:v>275</c:v>
                </c:pt>
                <c:pt idx="5">
                  <c:v>265</c:v>
                </c:pt>
                <c:pt idx="6">
                  <c:v>277</c:v>
                </c:pt>
                <c:pt idx="7">
                  <c:v>296</c:v>
                </c:pt>
                <c:pt idx="8">
                  <c:v>278</c:v>
                </c:pt>
                <c:pt idx="9">
                  <c:v>285</c:v>
                </c:pt>
                <c:pt idx="10">
                  <c:v>250</c:v>
                </c:pt>
              </c:numCache>
            </c:numRef>
          </c:val>
          <c:smooth val="0"/>
          <c:extLst xmlns:c16r2="http://schemas.microsoft.com/office/drawing/2015/06/chart">
            <c:ext xmlns:c16="http://schemas.microsoft.com/office/drawing/2014/chart" uri="{C3380CC4-5D6E-409C-BE32-E72D297353CC}">
              <c16:uniqueId val="{00000000-4D97-4CF1-8485-499685F77ABD}"/>
            </c:ext>
          </c:extLst>
        </c:ser>
        <c:dLbls>
          <c:showLegendKey val="0"/>
          <c:showVal val="0"/>
          <c:showCatName val="0"/>
          <c:showSerName val="0"/>
          <c:showPercent val="0"/>
          <c:showBubbleSize val="0"/>
        </c:dLbls>
        <c:marker val="1"/>
        <c:smooth val="0"/>
        <c:axId val="353845928"/>
        <c:axId val="353846320"/>
      </c:lineChart>
      <c:catAx>
        <c:axId val="353845928"/>
        <c:scaling>
          <c:orientation val="minMax"/>
        </c:scaling>
        <c:delete val="0"/>
        <c:axPos val="b"/>
        <c:numFmt formatCode="General" sourceLinked="1"/>
        <c:majorTickMark val="out"/>
        <c:minorTickMark val="none"/>
        <c:tickLblPos val="nextTo"/>
        <c:crossAx val="353846320"/>
        <c:crosses val="autoZero"/>
        <c:auto val="1"/>
        <c:lblAlgn val="ctr"/>
        <c:lblOffset val="100"/>
        <c:noMultiLvlLbl val="0"/>
      </c:catAx>
      <c:valAx>
        <c:axId val="353846320"/>
        <c:scaling>
          <c:orientation val="minMax"/>
        </c:scaling>
        <c:delete val="0"/>
        <c:axPos val="l"/>
        <c:majorGridlines/>
        <c:numFmt formatCode="#,##0" sourceLinked="1"/>
        <c:majorTickMark val="out"/>
        <c:minorTickMark val="none"/>
        <c:tickLblPos val="nextTo"/>
        <c:crossAx val="353845928"/>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6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9F5A-47FE-90AB-10697F3D2875}"/>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53847104"/>
        <c:axId val="353847496"/>
      </c:lineChart>
      <c:catAx>
        <c:axId val="353847104"/>
        <c:scaling>
          <c:orientation val="minMax"/>
        </c:scaling>
        <c:delete val="0"/>
        <c:axPos val="b"/>
        <c:numFmt formatCode="General" sourceLinked="1"/>
        <c:majorTickMark val="out"/>
        <c:minorTickMark val="none"/>
        <c:tickLblPos val="nextTo"/>
        <c:crossAx val="353847496"/>
        <c:crosses val="autoZero"/>
        <c:auto val="1"/>
        <c:lblAlgn val="ctr"/>
        <c:lblOffset val="100"/>
        <c:noMultiLvlLbl val="0"/>
      </c:catAx>
      <c:valAx>
        <c:axId val="353847496"/>
        <c:scaling>
          <c:orientation val="minMax"/>
        </c:scaling>
        <c:delete val="0"/>
        <c:axPos val="l"/>
        <c:majorGridlines/>
        <c:numFmt formatCode="General" sourceLinked="1"/>
        <c:majorTickMark val="out"/>
        <c:minorTickMark val="none"/>
        <c:tickLblPos val="nextTo"/>
        <c:crossAx val="353847104"/>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6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'St Peters RC'!$B$177:$B$190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'St Peters RC'!$J$177:$J$190</c:f>
              <c:numCache>
                <c:formatCode>General</c:formatCode>
                <c:ptCount val="14"/>
                <c:pt idx="0">
                  <c:v>393</c:v>
                </c:pt>
                <c:pt idx="1">
                  <c:v>386</c:v>
                </c:pt>
                <c:pt idx="2">
                  <c:v>389</c:v>
                </c:pt>
                <c:pt idx="3">
                  <c:v>391</c:v>
                </c:pt>
                <c:pt idx="4">
                  <c:v>393</c:v>
                </c:pt>
                <c:pt idx="5">
                  <c:v>390</c:v>
                </c:pt>
                <c:pt idx="6">
                  <c:v>397</c:v>
                </c:pt>
                <c:pt idx="7">
                  <c:v>393</c:v>
                </c:pt>
                <c:pt idx="8">
                  <c:v>415</c:v>
                </c:pt>
                <c:pt idx="9">
                  <c:v>405</c:v>
                </c:pt>
                <c:pt idx="10">
                  <c:v>408</c:v>
                </c:pt>
                <c:pt idx="11">
                  <c:v>401</c:v>
                </c:pt>
                <c:pt idx="12">
                  <c:v>411</c:v>
                </c:pt>
                <c:pt idx="13">
                  <c:v>399</c:v>
                </c:pt>
              </c:numCache>
            </c:numRef>
          </c:val>
          <c:smooth val="0"/>
          <c:extLst xmlns:c16r2="http://schemas.microsoft.com/office/drawing/2015/06/chart">
            <c:ext xmlns:c16="http://schemas.microsoft.com/office/drawing/2014/chart" uri="{C3380CC4-5D6E-409C-BE32-E72D297353CC}">
              <c16:uniqueId val="{00000000-AEB7-4B24-8CEA-4B520C29BA91}"/>
            </c:ext>
          </c:extLst>
        </c:ser>
        <c:dLbls>
          <c:showLegendKey val="0"/>
          <c:showVal val="0"/>
          <c:showCatName val="0"/>
          <c:showSerName val="0"/>
          <c:showPercent val="0"/>
          <c:showBubbleSize val="0"/>
        </c:dLbls>
        <c:marker val="1"/>
        <c:smooth val="0"/>
        <c:axId val="353848280"/>
        <c:axId val="353848672"/>
      </c:lineChart>
      <c:catAx>
        <c:axId val="353848280"/>
        <c:scaling>
          <c:orientation val="minMax"/>
        </c:scaling>
        <c:delete val="0"/>
        <c:axPos val="b"/>
        <c:numFmt formatCode="General" sourceLinked="1"/>
        <c:majorTickMark val="out"/>
        <c:minorTickMark val="none"/>
        <c:tickLblPos val="nextTo"/>
        <c:crossAx val="353848672"/>
        <c:crosses val="autoZero"/>
        <c:auto val="1"/>
        <c:lblAlgn val="ctr"/>
        <c:lblOffset val="100"/>
        <c:noMultiLvlLbl val="0"/>
      </c:catAx>
      <c:valAx>
        <c:axId val="353848672"/>
        <c:scaling>
          <c:orientation val="minMax"/>
        </c:scaling>
        <c:delete val="0"/>
        <c:axPos val="l"/>
        <c:majorGridlines/>
        <c:numFmt formatCode="General" sourceLinked="1"/>
        <c:majorTickMark val="out"/>
        <c:minorTickMark val="none"/>
        <c:tickLblPos val="nextTo"/>
        <c:crossAx val="353848280"/>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6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'St Peters RC'!$B$169</c:f>
              <c:strCache>
                <c:ptCount val="1"/>
                <c:pt idx="0">
                  <c:v>Catchment Births (5yrs Prior)</c:v>
                </c:pt>
              </c:strCache>
            </c:strRef>
          </c:tx>
          <c:marker>
            <c:symbol val="square"/>
            <c:size val="7"/>
          </c:marker>
          <c:cat>
            <c:numRef>
              <c:f>'St Peters RC'!$D$168:$N$168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'St Peters RC'!$D$169:$N$169</c:f>
              <c:numCache>
                <c:formatCode>#,##0</c:formatCode>
                <c:ptCount val="11"/>
                <c:pt idx="0">
                  <c:v>528</c:v>
                </c:pt>
                <c:pt idx="1">
                  <c:v>576</c:v>
                </c:pt>
                <c:pt idx="2">
                  <c:v>560</c:v>
                </c:pt>
                <c:pt idx="3">
                  <c:v>582</c:v>
                </c:pt>
                <c:pt idx="4">
                  <c:v>623</c:v>
                </c:pt>
                <c:pt idx="5">
                  <c:v>563</c:v>
                </c:pt>
                <c:pt idx="6">
                  <c:v>519</c:v>
                </c:pt>
                <c:pt idx="7">
                  <c:v>544</c:v>
                </c:pt>
                <c:pt idx="8">
                  <c:v>555</c:v>
                </c:pt>
                <c:pt idx="9">
                  <c:v>579</c:v>
                </c:pt>
                <c:pt idx="10">
                  <c:v>546</c:v>
                </c:pt>
              </c:numCache>
            </c:numRef>
          </c:val>
          <c:smooth val="0"/>
          <c:extLst xmlns:c16r2="http://schemas.microsoft.com/office/drawing/2015/06/chart">
            <c:ext xmlns:c16="http://schemas.microsoft.com/office/drawing/2014/chart" uri="{C3380CC4-5D6E-409C-BE32-E72D297353CC}">
              <c16:uniqueId val="{00000000-0046-47D1-A177-0389C97A6230}"/>
            </c:ext>
          </c:extLst>
        </c:ser>
        <c:dLbls>
          <c:showLegendKey val="0"/>
          <c:showVal val="0"/>
          <c:showCatName val="0"/>
          <c:showSerName val="0"/>
          <c:showPercent val="0"/>
          <c:showBubbleSize val="0"/>
        </c:dLbls>
        <c:marker val="1"/>
        <c:smooth val="0"/>
        <c:axId val="354455912"/>
        <c:axId val="354456304"/>
      </c:lineChart>
      <c:catAx>
        <c:axId val="354455912"/>
        <c:scaling>
          <c:orientation val="minMax"/>
        </c:scaling>
        <c:delete val="0"/>
        <c:axPos val="b"/>
        <c:numFmt formatCode="General" sourceLinked="1"/>
        <c:majorTickMark val="out"/>
        <c:minorTickMark val="none"/>
        <c:tickLblPos val="nextTo"/>
        <c:crossAx val="354456304"/>
        <c:crosses val="autoZero"/>
        <c:auto val="1"/>
        <c:lblAlgn val="ctr"/>
        <c:lblOffset val="100"/>
        <c:noMultiLvlLbl val="0"/>
      </c:catAx>
      <c:valAx>
        <c:axId val="354456304"/>
        <c:scaling>
          <c:orientation val="minMax"/>
        </c:scaling>
        <c:delete val="0"/>
        <c:axPos val="l"/>
        <c:majorGridlines/>
        <c:numFmt formatCode="#,##0" sourceLinked="1"/>
        <c:majorTickMark val="out"/>
        <c:minorTickMark val="none"/>
        <c:tickLblPos val="nextTo"/>
        <c:crossAx val="354455912"/>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6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451C-4708-8ECA-A15753137FDB}"/>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54457088"/>
        <c:axId val="354457480"/>
      </c:lineChart>
      <c:catAx>
        <c:axId val="354457088"/>
        <c:scaling>
          <c:orientation val="minMax"/>
        </c:scaling>
        <c:delete val="0"/>
        <c:axPos val="b"/>
        <c:numFmt formatCode="General" sourceLinked="1"/>
        <c:majorTickMark val="out"/>
        <c:minorTickMark val="none"/>
        <c:tickLblPos val="nextTo"/>
        <c:crossAx val="354457480"/>
        <c:crosses val="autoZero"/>
        <c:auto val="1"/>
        <c:lblAlgn val="ctr"/>
        <c:lblOffset val="100"/>
        <c:noMultiLvlLbl val="0"/>
      </c:catAx>
      <c:valAx>
        <c:axId val="354457480"/>
        <c:scaling>
          <c:orientation val="minMax"/>
        </c:scaling>
        <c:delete val="0"/>
        <c:axPos val="l"/>
        <c:majorGridlines/>
        <c:numFmt formatCode="General" sourceLinked="1"/>
        <c:majorTickMark val="out"/>
        <c:minorTickMark val="none"/>
        <c:tickLblPos val="nextTo"/>
        <c:crossAx val="354457088"/>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6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square"/>
            <c:size val="7"/>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473D-4DBF-B2C0-265DC6DC78D3}"/>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1"/>
          <c:order val="1"/>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1-473D-4DBF-B2C0-265DC6DC78D3}"/>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2"/>
          <c:order val="2"/>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473D-4DBF-B2C0-265DC6DC78D3}"/>
              </c:ext>
            </c:extLst>
          </c:dPt>
          <c:dPt>
            <c:idx val="5"/>
            <c:marker>
              <c:symbol val="circle"/>
              <c:size val="7"/>
            </c:marker>
            <c:bubble3D val="0"/>
            <c:extLst xmlns:c16r2="http://schemas.microsoft.com/office/drawing/2015/06/chart">
              <c:ext xmlns:c16="http://schemas.microsoft.com/office/drawing/2014/chart" uri="{C3380CC4-5D6E-409C-BE32-E72D297353CC}">
                <c16:uniqueId val="{00000003-473D-4DBF-B2C0-265DC6DC78D3}"/>
              </c:ext>
            </c:extLst>
          </c:dPt>
          <c:dPt>
            <c:idx val="6"/>
            <c:marker>
              <c:symbol val="circle"/>
              <c:size val="7"/>
            </c:marker>
            <c:bubble3D val="0"/>
            <c:extLst xmlns:c16r2="http://schemas.microsoft.com/office/drawing/2015/06/chart">
              <c:ext xmlns:c16="http://schemas.microsoft.com/office/drawing/2014/chart" uri="{C3380CC4-5D6E-409C-BE32-E72D297353CC}">
                <c16:uniqueId val="{00000004-473D-4DBF-B2C0-265DC6DC78D3}"/>
              </c:ext>
            </c:extLst>
          </c:dPt>
          <c:dPt>
            <c:idx val="7"/>
            <c:marker>
              <c:symbol val="circle"/>
              <c:size val="7"/>
            </c:marker>
            <c:bubble3D val="0"/>
            <c:extLst xmlns:c16r2="http://schemas.microsoft.com/office/drawing/2015/06/chart">
              <c:ext xmlns:c16="http://schemas.microsoft.com/office/drawing/2014/chart" uri="{C3380CC4-5D6E-409C-BE32-E72D297353CC}">
                <c16:uniqueId val="{00000005-473D-4DBF-B2C0-265DC6DC78D3}"/>
              </c:ext>
            </c:extLst>
          </c:dPt>
          <c:dPt>
            <c:idx val="8"/>
            <c:marker>
              <c:symbol val="circle"/>
              <c:size val="7"/>
            </c:marker>
            <c:bubble3D val="0"/>
            <c:extLst xmlns:c16r2="http://schemas.microsoft.com/office/drawing/2015/06/chart">
              <c:ext xmlns:c16="http://schemas.microsoft.com/office/drawing/2014/chart" uri="{C3380CC4-5D6E-409C-BE32-E72D297353CC}">
                <c16:uniqueId val="{00000006-473D-4DBF-B2C0-265DC6DC78D3}"/>
              </c:ext>
            </c:extLst>
          </c:dPt>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7-473D-4DBF-B2C0-265DC6DC78D3}"/>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54458264"/>
        <c:axId val="354458656"/>
      </c:lineChart>
      <c:catAx>
        <c:axId val="354458264"/>
        <c:scaling>
          <c:orientation val="minMax"/>
        </c:scaling>
        <c:delete val="0"/>
        <c:axPos val="b"/>
        <c:numFmt formatCode="General" sourceLinked="1"/>
        <c:majorTickMark val="out"/>
        <c:minorTickMark val="none"/>
        <c:tickLblPos val="nextTo"/>
        <c:crossAx val="354458656"/>
        <c:crosses val="autoZero"/>
        <c:auto val="1"/>
        <c:lblAlgn val="ctr"/>
        <c:lblOffset val="100"/>
        <c:noMultiLvlLbl val="0"/>
      </c:catAx>
      <c:valAx>
        <c:axId val="354458656"/>
        <c:scaling>
          <c:orientation val="minMax"/>
        </c:scaling>
        <c:delete val="0"/>
        <c:axPos val="l"/>
        <c:majorGridlines/>
        <c:numFmt formatCode="General" sourceLinked="1"/>
        <c:majorTickMark val="out"/>
        <c:minorTickMark val="none"/>
        <c:tickLblPos val="nextTo"/>
        <c:crossAx val="354458264"/>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6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Stenhouse!$B$177:$B$190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Stenhouse!$J$177:$J$190</c:f>
              <c:numCache>
                <c:formatCode>General</c:formatCode>
                <c:ptCount val="14"/>
                <c:pt idx="0">
                  <c:v>322</c:v>
                </c:pt>
                <c:pt idx="1">
                  <c:v>310</c:v>
                </c:pt>
                <c:pt idx="2">
                  <c:v>296</c:v>
                </c:pt>
                <c:pt idx="3">
                  <c:v>292</c:v>
                </c:pt>
                <c:pt idx="4">
                  <c:v>300</c:v>
                </c:pt>
                <c:pt idx="5">
                  <c:v>291</c:v>
                </c:pt>
                <c:pt idx="6">
                  <c:v>258</c:v>
                </c:pt>
                <c:pt idx="7">
                  <c:v>253</c:v>
                </c:pt>
                <c:pt idx="8">
                  <c:v>262</c:v>
                </c:pt>
                <c:pt idx="9">
                  <c:v>270</c:v>
                </c:pt>
                <c:pt idx="10">
                  <c:v>286</c:v>
                </c:pt>
                <c:pt idx="11">
                  <c:v>294</c:v>
                </c:pt>
                <c:pt idx="12">
                  <c:v>302</c:v>
                </c:pt>
                <c:pt idx="13">
                  <c:v>309</c:v>
                </c:pt>
              </c:numCache>
            </c:numRef>
          </c:val>
          <c:smooth val="0"/>
          <c:extLst xmlns:c16r2="http://schemas.microsoft.com/office/drawing/2015/06/chart">
            <c:ext xmlns:c16="http://schemas.microsoft.com/office/drawing/2014/chart" uri="{C3380CC4-5D6E-409C-BE32-E72D297353CC}">
              <c16:uniqueId val="{00000000-014A-4BED-ACB1-3868107AB75C}"/>
            </c:ext>
          </c:extLst>
        </c:ser>
        <c:dLbls>
          <c:showLegendKey val="0"/>
          <c:showVal val="0"/>
          <c:showCatName val="0"/>
          <c:showSerName val="0"/>
          <c:showPercent val="0"/>
          <c:showBubbleSize val="0"/>
        </c:dLbls>
        <c:marker val="1"/>
        <c:smooth val="0"/>
        <c:axId val="354459440"/>
        <c:axId val="354459832"/>
      </c:lineChart>
      <c:catAx>
        <c:axId val="354459440"/>
        <c:scaling>
          <c:orientation val="minMax"/>
        </c:scaling>
        <c:delete val="0"/>
        <c:axPos val="b"/>
        <c:numFmt formatCode="General" sourceLinked="1"/>
        <c:majorTickMark val="out"/>
        <c:minorTickMark val="none"/>
        <c:tickLblPos val="nextTo"/>
        <c:crossAx val="354459832"/>
        <c:crosses val="autoZero"/>
        <c:auto val="1"/>
        <c:lblAlgn val="ctr"/>
        <c:lblOffset val="100"/>
        <c:noMultiLvlLbl val="0"/>
      </c:catAx>
      <c:valAx>
        <c:axId val="354459832"/>
        <c:scaling>
          <c:orientation val="minMax"/>
        </c:scaling>
        <c:delete val="0"/>
        <c:axPos val="l"/>
        <c:majorGridlines/>
        <c:numFmt formatCode="General" sourceLinked="1"/>
        <c:majorTickMark val="out"/>
        <c:minorTickMark val="none"/>
        <c:tickLblPos val="nextTo"/>
        <c:crossAx val="354459440"/>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6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Stenhouse!$B$169</c:f>
              <c:strCache>
                <c:ptCount val="1"/>
                <c:pt idx="0">
                  <c:v>Catchment Births (5yrs Prior)</c:v>
                </c:pt>
              </c:strCache>
            </c:strRef>
          </c:tx>
          <c:marker>
            <c:symbol val="square"/>
            <c:size val="7"/>
          </c:marker>
          <c:cat>
            <c:numRef>
              <c:f>Stenhouse!$D$168:$N$168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Stenhouse!$D$169:$N$169</c:f>
              <c:numCache>
                <c:formatCode>#,##0</c:formatCode>
                <c:ptCount val="11"/>
                <c:pt idx="0">
                  <c:v>48</c:v>
                </c:pt>
                <c:pt idx="1">
                  <c:v>50</c:v>
                </c:pt>
                <c:pt idx="2">
                  <c:v>68</c:v>
                </c:pt>
                <c:pt idx="3">
                  <c:v>70</c:v>
                </c:pt>
                <c:pt idx="4">
                  <c:v>83</c:v>
                </c:pt>
                <c:pt idx="5">
                  <c:v>85</c:v>
                </c:pt>
                <c:pt idx="6">
                  <c:v>71</c:v>
                </c:pt>
                <c:pt idx="7">
                  <c:v>97</c:v>
                </c:pt>
                <c:pt idx="8">
                  <c:v>71</c:v>
                </c:pt>
                <c:pt idx="9">
                  <c:v>74</c:v>
                </c:pt>
                <c:pt idx="10">
                  <c:v>69</c:v>
                </c:pt>
              </c:numCache>
            </c:numRef>
          </c:val>
          <c:smooth val="0"/>
          <c:extLst xmlns:c16r2="http://schemas.microsoft.com/office/drawing/2015/06/chart">
            <c:ext xmlns:c16="http://schemas.microsoft.com/office/drawing/2014/chart" uri="{C3380CC4-5D6E-409C-BE32-E72D297353CC}">
              <c16:uniqueId val="{00000000-1612-4F9A-9A45-8CBECD9733D6}"/>
            </c:ext>
          </c:extLst>
        </c:ser>
        <c:ser>
          <c:idx val="1"/>
          <c:order val="1"/>
          <c:tx>
            <c:strRef>
              <c:f>Stenhouse!$B$170</c:f>
              <c:strCache>
                <c:ptCount val="1"/>
                <c:pt idx="0">
                  <c:v>P1 ND Catchment Population (Actual)</c:v>
                </c:pt>
              </c:strCache>
            </c:strRef>
          </c:tx>
          <c:cat>
            <c:numRef>
              <c:f>Stenhouse!$D$168:$N$168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Stenhouse!$D$170:$I$170</c:f>
              <c:numCache>
                <c:formatCode>#,##0</c:formatCode>
                <c:ptCount val="6"/>
                <c:pt idx="0">
                  <c:v>53</c:v>
                </c:pt>
                <c:pt idx="1">
                  <c:v>48</c:v>
                </c:pt>
                <c:pt idx="2">
                  <c:v>63</c:v>
                </c:pt>
                <c:pt idx="3">
                  <c:v>54</c:v>
                </c:pt>
                <c:pt idx="4">
                  <c:v>67</c:v>
                </c:pt>
                <c:pt idx="5">
                  <c:v>44</c:v>
                </c:pt>
              </c:numCache>
            </c:numRef>
          </c:val>
          <c:smooth val="0"/>
          <c:extLst xmlns:c16r2="http://schemas.microsoft.com/office/drawing/2015/06/chart">
            <c:ext xmlns:c16="http://schemas.microsoft.com/office/drawing/2014/chart" uri="{C3380CC4-5D6E-409C-BE32-E72D297353CC}">
              <c16:uniqueId val="{00000001-1612-4F9A-9A45-8CBECD9733D6}"/>
            </c:ext>
          </c:extLst>
        </c:ser>
        <c:ser>
          <c:idx val="2"/>
          <c:order val="2"/>
          <c:tx>
            <c:strRef>
              <c:f>Stenhouse!$B$172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1612-4F9A-9A45-8CBECD9733D6}"/>
              </c:ext>
            </c:extLst>
          </c:dPt>
          <c:dPt>
            <c:idx val="5"/>
            <c:marker>
              <c:symbol val="none"/>
            </c:marker>
            <c:bubble3D val="0"/>
            <c:extLst xmlns:c16r2="http://schemas.microsoft.com/office/drawing/2015/06/chart">
              <c:ext xmlns:c16="http://schemas.microsoft.com/office/drawing/2014/chart" uri="{C3380CC4-5D6E-409C-BE32-E72D297353CC}">
                <c16:uniqueId val="{00000003-1612-4F9A-9A45-8CBECD9733D6}"/>
              </c:ext>
            </c:extLst>
          </c:dPt>
          <c:dPt>
            <c:idx val="6"/>
            <c:marker>
              <c:symbol val="circle"/>
              <c:size val="7"/>
            </c:marker>
            <c:bubble3D val="0"/>
            <c:extLst xmlns:c16r2="http://schemas.microsoft.com/office/drawing/2015/06/chart">
              <c:ext xmlns:c16="http://schemas.microsoft.com/office/drawing/2014/chart" uri="{C3380CC4-5D6E-409C-BE32-E72D297353CC}">
                <c16:uniqueId val="{00000004-1612-4F9A-9A45-8CBECD9733D6}"/>
              </c:ext>
            </c:extLst>
          </c:dPt>
          <c:dPt>
            <c:idx val="7"/>
            <c:marker>
              <c:symbol val="circle"/>
              <c:size val="7"/>
            </c:marker>
            <c:bubble3D val="0"/>
            <c:extLst xmlns:c16r2="http://schemas.microsoft.com/office/drawing/2015/06/chart">
              <c:ext xmlns:c16="http://schemas.microsoft.com/office/drawing/2014/chart" uri="{C3380CC4-5D6E-409C-BE32-E72D297353CC}">
                <c16:uniqueId val="{00000005-1612-4F9A-9A45-8CBECD9733D6}"/>
              </c:ext>
            </c:extLst>
          </c:dPt>
          <c:dPt>
            <c:idx val="8"/>
            <c:marker>
              <c:symbol val="circle"/>
              <c:size val="7"/>
            </c:marker>
            <c:bubble3D val="0"/>
            <c:extLst xmlns:c16r2="http://schemas.microsoft.com/office/drawing/2015/06/chart">
              <c:ext xmlns:c16="http://schemas.microsoft.com/office/drawing/2014/chart" uri="{C3380CC4-5D6E-409C-BE32-E72D297353CC}">
                <c16:uniqueId val="{00000006-1612-4F9A-9A45-8CBECD9733D6}"/>
              </c:ext>
            </c:extLst>
          </c:dPt>
          <c:dPt>
            <c:idx val="9"/>
            <c:marker>
              <c:symbol val="circle"/>
              <c:size val="7"/>
            </c:marker>
            <c:bubble3D val="0"/>
            <c:extLst xmlns:c16r2="http://schemas.microsoft.com/office/drawing/2015/06/chart">
              <c:ext xmlns:c16="http://schemas.microsoft.com/office/drawing/2014/chart" uri="{C3380CC4-5D6E-409C-BE32-E72D297353CC}">
                <c16:uniqueId val="{00000007-1612-4F9A-9A45-8CBECD9733D6}"/>
              </c:ext>
            </c:extLst>
          </c:dPt>
          <c:dPt>
            <c:idx val="10"/>
            <c:marker>
              <c:symbol val="circle"/>
              <c:size val="7"/>
            </c:marker>
            <c:bubble3D val="0"/>
            <c:extLst xmlns:c16r2="http://schemas.microsoft.com/office/drawing/2015/06/chart">
              <c:ext xmlns:c16="http://schemas.microsoft.com/office/drawing/2014/chart" uri="{C3380CC4-5D6E-409C-BE32-E72D297353CC}">
                <c16:uniqueId val="{00000008-1612-4F9A-9A45-8CBECD9733D6}"/>
              </c:ext>
            </c:extLst>
          </c:dPt>
          <c:cat>
            <c:numRef>
              <c:f>Stenhouse!$D$168:$N$168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Stenhouse!$D$172:$N$172</c:f>
              <c:numCache>
                <c:formatCode>General</c:formatCode>
                <c:ptCount val="11"/>
                <c:pt idx="5" formatCode="0">
                  <c:v>44</c:v>
                </c:pt>
                <c:pt idx="6" formatCode="0">
                  <c:v>0</c:v>
                </c:pt>
                <c:pt idx="7" formatCode="0">
                  <c:v>50</c:v>
                </c:pt>
                <c:pt idx="8" formatCode="0">
                  <c:v>48</c:v>
                </c:pt>
                <c:pt idx="9" formatCode="0">
                  <c:v>47</c:v>
                </c:pt>
                <c:pt idx="10" formatCode="0">
                  <c:v>48</c:v>
                </c:pt>
              </c:numCache>
            </c:numRef>
          </c:val>
          <c:smooth val="0"/>
          <c:extLst xmlns:c16r2="http://schemas.microsoft.com/office/drawing/2015/06/chart">
            <c:ext xmlns:c16="http://schemas.microsoft.com/office/drawing/2014/chart" uri="{C3380CC4-5D6E-409C-BE32-E72D297353CC}">
              <c16:uniqueId val="{00000009-1612-4F9A-9A45-8CBECD9733D6}"/>
            </c:ext>
          </c:extLst>
        </c:ser>
        <c:ser>
          <c:idx val="3"/>
          <c:order val="3"/>
          <c:tx>
            <c:strRef>
              <c:f>Stenhouse!$B$171</c:f>
              <c:strCache>
                <c:ptCount val="1"/>
                <c:pt idx="0">
                  <c:v>Actual P1 Registrations (as of Jan 2016)</c:v>
                </c:pt>
              </c:strCache>
            </c:strRef>
          </c:tx>
          <c:spPr>
            <a:ln w="15875">
              <a:noFill/>
            </a:ln>
          </c:spPr>
          <c:marker>
            <c:symbol val="diamond"/>
            <c:size val="9"/>
            <c:spPr>
              <a:solidFill>
                <a:schemeClr val="tx1"/>
              </a:solidFill>
            </c:spPr>
          </c:marker>
          <c:cat>
            <c:numRef>
              <c:f>Stenhouse!$D$168:$N$168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Stenhouse!$D$171:$M$171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1612-4F9A-9A45-8CBECD9733D6}"/>
            </c:ext>
          </c:extLst>
        </c:ser>
        <c:dLbls>
          <c:showLegendKey val="0"/>
          <c:showVal val="0"/>
          <c:showCatName val="0"/>
          <c:showSerName val="0"/>
          <c:showPercent val="0"/>
          <c:showBubbleSize val="0"/>
        </c:dLbls>
        <c:marker val="1"/>
        <c:smooth val="0"/>
        <c:axId val="354460616"/>
        <c:axId val="354461008"/>
      </c:lineChart>
      <c:catAx>
        <c:axId val="354460616"/>
        <c:scaling>
          <c:orientation val="minMax"/>
        </c:scaling>
        <c:delete val="0"/>
        <c:axPos val="b"/>
        <c:numFmt formatCode="General" sourceLinked="1"/>
        <c:majorTickMark val="out"/>
        <c:minorTickMark val="none"/>
        <c:tickLblPos val="nextTo"/>
        <c:crossAx val="354461008"/>
        <c:crosses val="autoZero"/>
        <c:auto val="1"/>
        <c:lblAlgn val="ctr"/>
        <c:lblOffset val="100"/>
        <c:noMultiLvlLbl val="0"/>
      </c:catAx>
      <c:valAx>
        <c:axId val="354461008"/>
        <c:scaling>
          <c:orientation val="minMax"/>
        </c:scaling>
        <c:delete val="0"/>
        <c:axPos val="l"/>
        <c:majorGridlines/>
        <c:numFmt formatCode="#,##0" sourceLinked="1"/>
        <c:majorTickMark val="out"/>
        <c:minorTickMark val="none"/>
        <c:tickLblPos val="nextTo"/>
        <c:crossAx val="354460616"/>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6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D2E2-4917-816E-4C7D46ED0FD8}"/>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54461792"/>
        <c:axId val="354462184"/>
      </c:lineChart>
      <c:catAx>
        <c:axId val="354461792"/>
        <c:scaling>
          <c:orientation val="minMax"/>
        </c:scaling>
        <c:delete val="0"/>
        <c:axPos val="b"/>
        <c:numFmt formatCode="General" sourceLinked="1"/>
        <c:majorTickMark val="out"/>
        <c:minorTickMark val="none"/>
        <c:tickLblPos val="nextTo"/>
        <c:crossAx val="354462184"/>
        <c:crosses val="autoZero"/>
        <c:auto val="1"/>
        <c:lblAlgn val="ctr"/>
        <c:lblOffset val="100"/>
        <c:noMultiLvlLbl val="0"/>
      </c:catAx>
      <c:valAx>
        <c:axId val="354462184"/>
        <c:scaling>
          <c:orientation val="minMax"/>
        </c:scaling>
        <c:delete val="0"/>
        <c:axPos val="l"/>
        <c:majorGridlines/>
        <c:numFmt formatCode="General" sourceLinked="1"/>
        <c:majorTickMark val="out"/>
        <c:minorTickMark val="none"/>
        <c:tickLblPos val="nextTo"/>
        <c:crossAx val="354461792"/>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6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square"/>
            <c:size val="7"/>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FFEA-4F71-983A-0656CADE17B7}"/>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1"/>
          <c:order val="1"/>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1-FFEA-4F71-983A-0656CADE17B7}"/>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2"/>
          <c:order val="2"/>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FFEA-4F71-983A-0656CADE17B7}"/>
              </c:ext>
            </c:extLst>
          </c:dPt>
          <c:dPt>
            <c:idx val="5"/>
            <c:marker>
              <c:symbol val="circle"/>
              <c:size val="7"/>
            </c:marker>
            <c:bubble3D val="0"/>
            <c:extLst xmlns:c16r2="http://schemas.microsoft.com/office/drawing/2015/06/chart">
              <c:ext xmlns:c16="http://schemas.microsoft.com/office/drawing/2014/chart" uri="{C3380CC4-5D6E-409C-BE32-E72D297353CC}">
                <c16:uniqueId val="{00000003-FFEA-4F71-983A-0656CADE17B7}"/>
              </c:ext>
            </c:extLst>
          </c:dPt>
          <c:dPt>
            <c:idx val="6"/>
            <c:marker>
              <c:symbol val="circle"/>
              <c:size val="7"/>
            </c:marker>
            <c:bubble3D val="0"/>
            <c:extLst xmlns:c16r2="http://schemas.microsoft.com/office/drawing/2015/06/chart">
              <c:ext xmlns:c16="http://schemas.microsoft.com/office/drawing/2014/chart" uri="{C3380CC4-5D6E-409C-BE32-E72D297353CC}">
                <c16:uniqueId val="{00000004-FFEA-4F71-983A-0656CADE17B7}"/>
              </c:ext>
            </c:extLst>
          </c:dPt>
          <c:dPt>
            <c:idx val="7"/>
            <c:marker>
              <c:symbol val="circle"/>
              <c:size val="7"/>
            </c:marker>
            <c:bubble3D val="0"/>
            <c:extLst xmlns:c16r2="http://schemas.microsoft.com/office/drawing/2015/06/chart">
              <c:ext xmlns:c16="http://schemas.microsoft.com/office/drawing/2014/chart" uri="{C3380CC4-5D6E-409C-BE32-E72D297353CC}">
                <c16:uniqueId val="{00000005-FFEA-4F71-983A-0656CADE17B7}"/>
              </c:ext>
            </c:extLst>
          </c:dPt>
          <c:dPt>
            <c:idx val="8"/>
            <c:marker>
              <c:symbol val="circle"/>
              <c:size val="7"/>
            </c:marker>
            <c:bubble3D val="0"/>
            <c:extLst xmlns:c16r2="http://schemas.microsoft.com/office/drawing/2015/06/chart">
              <c:ext xmlns:c16="http://schemas.microsoft.com/office/drawing/2014/chart" uri="{C3380CC4-5D6E-409C-BE32-E72D297353CC}">
                <c16:uniqueId val="{00000006-FFEA-4F71-983A-0656CADE17B7}"/>
              </c:ext>
            </c:extLst>
          </c:dPt>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7-FFEA-4F71-983A-0656CADE17B7}"/>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54462968"/>
        <c:axId val="354463360"/>
      </c:lineChart>
      <c:catAx>
        <c:axId val="354462968"/>
        <c:scaling>
          <c:orientation val="minMax"/>
        </c:scaling>
        <c:delete val="0"/>
        <c:axPos val="b"/>
        <c:numFmt formatCode="General" sourceLinked="1"/>
        <c:majorTickMark val="out"/>
        <c:minorTickMark val="none"/>
        <c:tickLblPos val="nextTo"/>
        <c:crossAx val="354463360"/>
        <c:crosses val="autoZero"/>
        <c:auto val="1"/>
        <c:lblAlgn val="ctr"/>
        <c:lblOffset val="100"/>
        <c:noMultiLvlLbl val="0"/>
      </c:catAx>
      <c:valAx>
        <c:axId val="354463360"/>
        <c:scaling>
          <c:orientation val="minMax"/>
        </c:scaling>
        <c:delete val="0"/>
        <c:axPos val="l"/>
        <c:majorGridlines/>
        <c:numFmt formatCode="General" sourceLinked="1"/>
        <c:majorTickMark val="out"/>
        <c:minorTickMark val="none"/>
        <c:tickLblPos val="nextTo"/>
        <c:crossAx val="354462968"/>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7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Stockbridge!$B$177:$B$190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Stockbridge!$J$177:$J$190</c:f>
              <c:numCache>
                <c:formatCode>General</c:formatCode>
                <c:ptCount val="14"/>
                <c:pt idx="0">
                  <c:v>194</c:v>
                </c:pt>
                <c:pt idx="1">
                  <c:v>191</c:v>
                </c:pt>
                <c:pt idx="2">
                  <c:v>175</c:v>
                </c:pt>
                <c:pt idx="3">
                  <c:v>162</c:v>
                </c:pt>
                <c:pt idx="4">
                  <c:v>178</c:v>
                </c:pt>
                <c:pt idx="5">
                  <c:v>187</c:v>
                </c:pt>
                <c:pt idx="6">
                  <c:v>183</c:v>
                </c:pt>
                <c:pt idx="7">
                  <c:v>174</c:v>
                </c:pt>
                <c:pt idx="8">
                  <c:v>182</c:v>
                </c:pt>
                <c:pt idx="9">
                  <c:v>195</c:v>
                </c:pt>
                <c:pt idx="10">
                  <c:v>195</c:v>
                </c:pt>
                <c:pt idx="11">
                  <c:v>210</c:v>
                </c:pt>
                <c:pt idx="12">
                  <c:v>226</c:v>
                </c:pt>
                <c:pt idx="13">
                  <c:v>250</c:v>
                </c:pt>
              </c:numCache>
            </c:numRef>
          </c:val>
          <c:smooth val="0"/>
          <c:extLst xmlns:c16r2="http://schemas.microsoft.com/office/drawing/2015/06/chart">
            <c:ext xmlns:c16="http://schemas.microsoft.com/office/drawing/2014/chart" uri="{C3380CC4-5D6E-409C-BE32-E72D297353CC}">
              <c16:uniqueId val="{00000000-4D6A-4DE7-B04F-EC869E8FE0D8}"/>
            </c:ext>
          </c:extLst>
        </c:ser>
        <c:dLbls>
          <c:showLegendKey val="0"/>
          <c:showVal val="0"/>
          <c:showCatName val="0"/>
          <c:showSerName val="0"/>
          <c:showPercent val="0"/>
          <c:showBubbleSize val="0"/>
        </c:dLbls>
        <c:marker val="1"/>
        <c:smooth val="0"/>
        <c:axId val="354464144"/>
        <c:axId val="354464536"/>
      </c:lineChart>
      <c:catAx>
        <c:axId val="354464144"/>
        <c:scaling>
          <c:orientation val="minMax"/>
        </c:scaling>
        <c:delete val="0"/>
        <c:axPos val="b"/>
        <c:numFmt formatCode="General" sourceLinked="1"/>
        <c:majorTickMark val="out"/>
        <c:minorTickMark val="none"/>
        <c:tickLblPos val="nextTo"/>
        <c:crossAx val="354464536"/>
        <c:crosses val="autoZero"/>
        <c:auto val="1"/>
        <c:lblAlgn val="ctr"/>
        <c:lblOffset val="100"/>
        <c:noMultiLvlLbl val="0"/>
      </c:catAx>
      <c:valAx>
        <c:axId val="354464536"/>
        <c:scaling>
          <c:orientation val="minMax"/>
        </c:scaling>
        <c:delete val="0"/>
        <c:axPos val="l"/>
        <c:majorGridlines/>
        <c:numFmt formatCode="General" sourceLinked="1"/>
        <c:majorTickMark val="out"/>
        <c:minorTickMark val="none"/>
        <c:tickLblPos val="nextTo"/>
        <c:crossAx val="354464144"/>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7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Stockbridge!$B$169</c:f>
              <c:strCache>
                <c:ptCount val="1"/>
                <c:pt idx="0">
                  <c:v>Catchment Births (5yrs Prior)</c:v>
                </c:pt>
              </c:strCache>
            </c:strRef>
          </c:tx>
          <c:marker>
            <c:symbol val="square"/>
            <c:size val="7"/>
          </c:marker>
          <c:cat>
            <c:numRef>
              <c:f>Stockbridge!$D$168:$N$168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Stockbridge!$D$169:$N$169</c:f>
              <c:numCache>
                <c:formatCode>#,##0</c:formatCode>
                <c:ptCount val="11"/>
                <c:pt idx="0">
                  <c:v>82</c:v>
                </c:pt>
                <c:pt idx="1">
                  <c:v>84</c:v>
                </c:pt>
                <c:pt idx="2">
                  <c:v>80</c:v>
                </c:pt>
                <c:pt idx="3">
                  <c:v>78</c:v>
                </c:pt>
                <c:pt idx="4">
                  <c:v>77</c:v>
                </c:pt>
                <c:pt idx="5">
                  <c:v>91</c:v>
                </c:pt>
                <c:pt idx="6">
                  <c:v>87</c:v>
                </c:pt>
                <c:pt idx="7">
                  <c:v>82</c:v>
                </c:pt>
                <c:pt idx="8">
                  <c:v>103</c:v>
                </c:pt>
                <c:pt idx="9">
                  <c:v>92</c:v>
                </c:pt>
                <c:pt idx="10">
                  <c:v>72</c:v>
                </c:pt>
              </c:numCache>
            </c:numRef>
          </c:val>
          <c:smooth val="0"/>
          <c:extLst xmlns:c16r2="http://schemas.microsoft.com/office/drawing/2015/06/chart">
            <c:ext xmlns:c16="http://schemas.microsoft.com/office/drawing/2014/chart" uri="{C3380CC4-5D6E-409C-BE32-E72D297353CC}">
              <c16:uniqueId val="{00000000-7C4E-46C8-8C14-B53A46337495}"/>
            </c:ext>
          </c:extLst>
        </c:ser>
        <c:ser>
          <c:idx val="1"/>
          <c:order val="1"/>
          <c:tx>
            <c:strRef>
              <c:f>Stockbridge!$B$170</c:f>
              <c:strCache>
                <c:ptCount val="1"/>
                <c:pt idx="0">
                  <c:v>P1 ND Catchment Population (Actual)</c:v>
                </c:pt>
              </c:strCache>
            </c:strRef>
          </c:tx>
          <c:cat>
            <c:numRef>
              <c:f>Stockbridge!$D$168:$N$168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Stockbridge!$D$170:$I$170</c:f>
              <c:numCache>
                <c:formatCode>#,##0</c:formatCode>
                <c:ptCount val="6"/>
                <c:pt idx="0">
                  <c:v>23</c:v>
                </c:pt>
                <c:pt idx="1">
                  <c:v>30</c:v>
                </c:pt>
                <c:pt idx="2">
                  <c:v>33</c:v>
                </c:pt>
                <c:pt idx="3">
                  <c:v>44</c:v>
                </c:pt>
                <c:pt idx="4">
                  <c:v>33</c:v>
                </c:pt>
                <c:pt idx="5">
                  <c:v>40</c:v>
                </c:pt>
              </c:numCache>
            </c:numRef>
          </c:val>
          <c:smooth val="0"/>
          <c:extLst xmlns:c16r2="http://schemas.microsoft.com/office/drawing/2015/06/chart">
            <c:ext xmlns:c16="http://schemas.microsoft.com/office/drawing/2014/chart" uri="{C3380CC4-5D6E-409C-BE32-E72D297353CC}">
              <c16:uniqueId val="{00000001-7C4E-46C8-8C14-B53A46337495}"/>
            </c:ext>
          </c:extLst>
        </c:ser>
        <c:ser>
          <c:idx val="2"/>
          <c:order val="2"/>
          <c:tx>
            <c:strRef>
              <c:f>Stockbridge!$B$172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7C4E-46C8-8C14-B53A46337495}"/>
              </c:ext>
            </c:extLst>
          </c:dPt>
          <c:dPt>
            <c:idx val="5"/>
            <c:marker>
              <c:symbol val="none"/>
            </c:marker>
            <c:bubble3D val="0"/>
            <c:extLst xmlns:c16r2="http://schemas.microsoft.com/office/drawing/2015/06/chart">
              <c:ext xmlns:c16="http://schemas.microsoft.com/office/drawing/2014/chart" uri="{C3380CC4-5D6E-409C-BE32-E72D297353CC}">
                <c16:uniqueId val="{00000003-7C4E-46C8-8C14-B53A46337495}"/>
              </c:ext>
            </c:extLst>
          </c:dPt>
          <c:dPt>
            <c:idx val="6"/>
            <c:marker>
              <c:symbol val="circle"/>
              <c:size val="7"/>
            </c:marker>
            <c:bubble3D val="0"/>
            <c:extLst xmlns:c16r2="http://schemas.microsoft.com/office/drawing/2015/06/chart">
              <c:ext xmlns:c16="http://schemas.microsoft.com/office/drawing/2014/chart" uri="{C3380CC4-5D6E-409C-BE32-E72D297353CC}">
                <c16:uniqueId val="{00000004-7C4E-46C8-8C14-B53A46337495}"/>
              </c:ext>
            </c:extLst>
          </c:dPt>
          <c:dPt>
            <c:idx val="7"/>
            <c:marker>
              <c:symbol val="circle"/>
              <c:size val="7"/>
            </c:marker>
            <c:bubble3D val="0"/>
            <c:extLst xmlns:c16r2="http://schemas.microsoft.com/office/drawing/2015/06/chart">
              <c:ext xmlns:c16="http://schemas.microsoft.com/office/drawing/2014/chart" uri="{C3380CC4-5D6E-409C-BE32-E72D297353CC}">
                <c16:uniqueId val="{00000005-7C4E-46C8-8C14-B53A46337495}"/>
              </c:ext>
            </c:extLst>
          </c:dPt>
          <c:dPt>
            <c:idx val="8"/>
            <c:marker>
              <c:symbol val="circle"/>
              <c:size val="7"/>
            </c:marker>
            <c:bubble3D val="0"/>
            <c:extLst xmlns:c16r2="http://schemas.microsoft.com/office/drawing/2015/06/chart">
              <c:ext xmlns:c16="http://schemas.microsoft.com/office/drawing/2014/chart" uri="{C3380CC4-5D6E-409C-BE32-E72D297353CC}">
                <c16:uniqueId val="{00000006-7C4E-46C8-8C14-B53A46337495}"/>
              </c:ext>
            </c:extLst>
          </c:dPt>
          <c:dPt>
            <c:idx val="9"/>
            <c:marker>
              <c:symbol val="circle"/>
              <c:size val="7"/>
            </c:marker>
            <c:bubble3D val="0"/>
            <c:extLst xmlns:c16r2="http://schemas.microsoft.com/office/drawing/2015/06/chart">
              <c:ext xmlns:c16="http://schemas.microsoft.com/office/drawing/2014/chart" uri="{C3380CC4-5D6E-409C-BE32-E72D297353CC}">
                <c16:uniqueId val="{00000007-7C4E-46C8-8C14-B53A46337495}"/>
              </c:ext>
            </c:extLst>
          </c:dPt>
          <c:dPt>
            <c:idx val="10"/>
            <c:marker>
              <c:symbol val="circle"/>
              <c:size val="7"/>
            </c:marker>
            <c:bubble3D val="0"/>
            <c:extLst xmlns:c16r2="http://schemas.microsoft.com/office/drawing/2015/06/chart">
              <c:ext xmlns:c16="http://schemas.microsoft.com/office/drawing/2014/chart" uri="{C3380CC4-5D6E-409C-BE32-E72D297353CC}">
                <c16:uniqueId val="{00000008-7C4E-46C8-8C14-B53A46337495}"/>
              </c:ext>
            </c:extLst>
          </c:dPt>
          <c:cat>
            <c:numRef>
              <c:f>Stockbridge!$D$168:$N$168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Stockbridge!$D$172:$N$172</c:f>
              <c:numCache>
                <c:formatCode>General</c:formatCode>
                <c:ptCount val="11"/>
                <c:pt idx="5" formatCode="0">
                  <c:v>40</c:v>
                </c:pt>
                <c:pt idx="6" formatCode="0">
                  <c:v>0</c:v>
                </c:pt>
                <c:pt idx="7" formatCode="0">
                  <c:v>36</c:v>
                </c:pt>
                <c:pt idx="8" formatCode="0">
                  <c:v>29</c:v>
                </c:pt>
                <c:pt idx="9" formatCode="0">
                  <c:v>34</c:v>
                </c:pt>
                <c:pt idx="10" formatCode="0">
                  <c:v>26</c:v>
                </c:pt>
              </c:numCache>
            </c:numRef>
          </c:val>
          <c:smooth val="0"/>
          <c:extLst xmlns:c16r2="http://schemas.microsoft.com/office/drawing/2015/06/chart">
            <c:ext xmlns:c16="http://schemas.microsoft.com/office/drawing/2014/chart" uri="{C3380CC4-5D6E-409C-BE32-E72D297353CC}">
              <c16:uniqueId val="{00000009-7C4E-46C8-8C14-B53A46337495}"/>
            </c:ext>
          </c:extLst>
        </c:ser>
        <c:ser>
          <c:idx val="3"/>
          <c:order val="3"/>
          <c:tx>
            <c:strRef>
              <c:f>Stockbridge!$B$171</c:f>
              <c:strCache>
                <c:ptCount val="1"/>
                <c:pt idx="0">
                  <c:v>Actual P1 Registrations (as of Jan 2016)</c:v>
                </c:pt>
              </c:strCache>
            </c:strRef>
          </c:tx>
          <c:spPr>
            <a:ln w="15875">
              <a:noFill/>
            </a:ln>
          </c:spPr>
          <c:marker>
            <c:symbol val="diamond"/>
            <c:size val="9"/>
            <c:spPr>
              <a:solidFill>
                <a:schemeClr val="tx1"/>
              </a:solidFill>
            </c:spPr>
          </c:marker>
          <c:cat>
            <c:numRef>
              <c:f>Stockbridge!$D$168:$N$168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Stockbridge!$D$171:$M$171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7C4E-46C8-8C14-B53A46337495}"/>
            </c:ext>
          </c:extLst>
        </c:ser>
        <c:dLbls>
          <c:showLegendKey val="0"/>
          <c:showVal val="0"/>
          <c:showCatName val="0"/>
          <c:showSerName val="0"/>
          <c:showPercent val="0"/>
          <c:showBubbleSize val="0"/>
        </c:dLbls>
        <c:marker val="1"/>
        <c:smooth val="0"/>
        <c:axId val="354465320"/>
        <c:axId val="354465712"/>
      </c:lineChart>
      <c:catAx>
        <c:axId val="354465320"/>
        <c:scaling>
          <c:orientation val="minMax"/>
        </c:scaling>
        <c:delete val="0"/>
        <c:axPos val="b"/>
        <c:numFmt formatCode="General" sourceLinked="1"/>
        <c:majorTickMark val="out"/>
        <c:minorTickMark val="none"/>
        <c:tickLblPos val="nextTo"/>
        <c:crossAx val="354465712"/>
        <c:crosses val="autoZero"/>
        <c:auto val="1"/>
        <c:lblAlgn val="ctr"/>
        <c:lblOffset val="100"/>
        <c:noMultiLvlLbl val="0"/>
      </c:catAx>
      <c:valAx>
        <c:axId val="354465712"/>
        <c:scaling>
          <c:orientation val="minMax"/>
        </c:scaling>
        <c:delete val="0"/>
        <c:axPos val="l"/>
        <c:majorGridlines/>
        <c:numFmt formatCode="#,##0" sourceLinked="1"/>
        <c:majorTickMark val="out"/>
        <c:minorTickMark val="none"/>
        <c:tickLblPos val="nextTo"/>
        <c:crossAx val="354465320"/>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7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5DEE-47D1-9E5C-5505F76A8EDB}"/>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54466496"/>
        <c:axId val="354466888"/>
      </c:lineChart>
      <c:catAx>
        <c:axId val="354466496"/>
        <c:scaling>
          <c:orientation val="minMax"/>
        </c:scaling>
        <c:delete val="0"/>
        <c:axPos val="b"/>
        <c:numFmt formatCode="General" sourceLinked="1"/>
        <c:majorTickMark val="out"/>
        <c:minorTickMark val="none"/>
        <c:tickLblPos val="nextTo"/>
        <c:crossAx val="354466888"/>
        <c:crosses val="autoZero"/>
        <c:auto val="1"/>
        <c:lblAlgn val="ctr"/>
        <c:lblOffset val="100"/>
        <c:noMultiLvlLbl val="0"/>
      </c:catAx>
      <c:valAx>
        <c:axId val="354466888"/>
        <c:scaling>
          <c:orientation val="minMax"/>
        </c:scaling>
        <c:delete val="0"/>
        <c:axPos val="l"/>
        <c:majorGridlines/>
        <c:numFmt formatCode="General" sourceLinked="1"/>
        <c:majorTickMark val="out"/>
        <c:minorTickMark val="none"/>
        <c:tickLblPos val="nextTo"/>
        <c:crossAx val="354466496"/>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7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square"/>
            <c:size val="7"/>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C666-4491-A7BD-4F498782759F}"/>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1"/>
          <c:order val="1"/>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1-C666-4491-A7BD-4F498782759F}"/>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2"/>
          <c:order val="2"/>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C666-4491-A7BD-4F498782759F}"/>
              </c:ext>
            </c:extLst>
          </c:dPt>
          <c:dPt>
            <c:idx val="5"/>
            <c:marker>
              <c:symbol val="circle"/>
              <c:size val="7"/>
            </c:marker>
            <c:bubble3D val="0"/>
            <c:extLst xmlns:c16r2="http://schemas.microsoft.com/office/drawing/2015/06/chart">
              <c:ext xmlns:c16="http://schemas.microsoft.com/office/drawing/2014/chart" uri="{C3380CC4-5D6E-409C-BE32-E72D297353CC}">
                <c16:uniqueId val="{00000003-C666-4491-A7BD-4F498782759F}"/>
              </c:ext>
            </c:extLst>
          </c:dPt>
          <c:dPt>
            <c:idx val="6"/>
            <c:marker>
              <c:symbol val="circle"/>
              <c:size val="7"/>
            </c:marker>
            <c:bubble3D val="0"/>
            <c:extLst xmlns:c16r2="http://schemas.microsoft.com/office/drawing/2015/06/chart">
              <c:ext xmlns:c16="http://schemas.microsoft.com/office/drawing/2014/chart" uri="{C3380CC4-5D6E-409C-BE32-E72D297353CC}">
                <c16:uniqueId val="{00000004-C666-4491-A7BD-4F498782759F}"/>
              </c:ext>
            </c:extLst>
          </c:dPt>
          <c:dPt>
            <c:idx val="7"/>
            <c:marker>
              <c:symbol val="circle"/>
              <c:size val="7"/>
            </c:marker>
            <c:bubble3D val="0"/>
            <c:extLst xmlns:c16r2="http://schemas.microsoft.com/office/drawing/2015/06/chart">
              <c:ext xmlns:c16="http://schemas.microsoft.com/office/drawing/2014/chart" uri="{C3380CC4-5D6E-409C-BE32-E72D297353CC}">
                <c16:uniqueId val="{00000005-C666-4491-A7BD-4F498782759F}"/>
              </c:ext>
            </c:extLst>
          </c:dPt>
          <c:dPt>
            <c:idx val="8"/>
            <c:marker>
              <c:symbol val="circle"/>
              <c:size val="7"/>
            </c:marker>
            <c:bubble3D val="0"/>
            <c:extLst xmlns:c16r2="http://schemas.microsoft.com/office/drawing/2015/06/chart">
              <c:ext xmlns:c16="http://schemas.microsoft.com/office/drawing/2014/chart" uri="{C3380CC4-5D6E-409C-BE32-E72D297353CC}">
                <c16:uniqueId val="{00000006-C666-4491-A7BD-4F498782759F}"/>
              </c:ext>
            </c:extLst>
          </c:dPt>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7-C666-4491-A7BD-4F498782759F}"/>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54467672"/>
        <c:axId val="354468064"/>
      </c:lineChart>
      <c:catAx>
        <c:axId val="354467672"/>
        <c:scaling>
          <c:orientation val="minMax"/>
        </c:scaling>
        <c:delete val="0"/>
        <c:axPos val="b"/>
        <c:numFmt formatCode="General" sourceLinked="1"/>
        <c:majorTickMark val="out"/>
        <c:minorTickMark val="none"/>
        <c:tickLblPos val="nextTo"/>
        <c:crossAx val="354468064"/>
        <c:crosses val="autoZero"/>
        <c:auto val="1"/>
        <c:lblAlgn val="ctr"/>
        <c:lblOffset val="100"/>
        <c:noMultiLvlLbl val="0"/>
      </c:catAx>
      <c:valAx>
        <c:axId val="354468064"/>
        <c:scaling>
          <c:orientation val="minMax"/>
        </c:scaling>
        <c:delete val="0"/>
        <c:axPos val="l"/>
        <c:majorGridlines/>
        <c:numFmt formatCode="General" sourceLinked="1"/>
        <c:majorTickMark val="out"/>
        <c:minorTickMark val="none"/>
        <c:tickLblPos val="nextTo"/>
        <c:crossAx val="354467672"/>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7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'The Royal High'!$B$177:$B$190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'The Royal High'!$J$177:$J$190</c:f>
              <c:numCache>
                <c:formatCode>General</c:formatCode>
                <c:ptCount val="14"/>
                <c:pt idx="0">
                  <c:v>397</c:v>
                </c:pt>
                <c:pt idx="1">
                  <c:v>390</c:v>
                </c:pt>
                <c:pt idx="2">
                  <c:v>368</c:v>
                </c:pt>
                <c:pt idx="3">
                  <c:v>355</c:v>
                </c:pt>
                <c:pt idx="4">
                  <c:v>332</c:v>
                </c:pt>
                <c:pt idx="5">
                  <c:v>314</c:v>
                </c:pt>
                <c:pt idx="6">
                  <c:v>322</c:v>
                </c:pt>
                <c:pt idx="7">
                  <c:v>321</c:v>
                </c:pt>
                <c:pt idx="8">
                  <c:v>330</c:v>
                </c:pt>
                <c:pt idx="9">
                  <c:v>351</c:v>
                </c:pt>
                <c:pt idx="10">
                  <c:v>344</c:v>
                </c:pt>
                <c:pt idx="11">
                  <c:v>338</c:v>
                </c:pt>
                <c:pt idx="12">
                  <c:v>342</c:v>
                </c:pt>
                <c:pt idx="13">
                  <c:v>339</c:v>
                </c:pt>
              </c:numCache>
            </c:numRef>
          </c:val>
          <c:smooth val="0"/>
          <c:extLst xmlns:c16r2="http://schemas.microsoft.com/office/drawing/2015/06/chart">
            <c:ext xmlns:c16="http://schemas.microsoft.com/office/drawing/2014/chart" uri="{C3380CC4-5D6E-409C-BE32-E72D297353CC}">
              <c16:uniqueId val="{00000000-5259-4189-8525-04DA9119156D}"/>
            </c:ext>
          </c:extLst>
        </c:ser>
        <c:dLbls>
          <c:showLegendKey val="0"/>
          <c:showVal val="0"/>
          <c:showCatName val="0"/>
          <c:showSerName val="0"/>
          <c:showPercent val="0"/>
          <c:showBubbleSize val="0"/>
        </c:dLbls>
        <c:marker val="1"/>
        <c:smooth val="0"/>
        <c:axId val="354468848"/>
        <c:axId val="354469240"/>
      </c:lineChart>
      <c:catAx>
        <c:axId val="354468848"/>
        <c:scaling>
          <c:orientation val="minMax"/>
        </c:scaling>
        <c:delete val="0"/>
        <c:axPos val="b"/>
        <c:numFmt formatCode="General" sourceLinked="1"/>
        <c:majorTickMark val="out"/>
        <c:minorTickMark val="none"/>
        <c:tickLblPos val="nextTo"/>
        <c:crossAx val="354469240"/>
        <c:crosses val="autoZero"/>
        <c:auto val="1"/>
        <c:lblAlgn val="ctr"/>
        <c:lblOffset val="100"/>
        <c:noMultiLvlLbl val="0"/>
      </c:catAx>
      <c:valAx>
        <c:axId val="354469240"/>
        <c:scaling>
          <c:orientation val="minMax"/>
        </c:scaling>
        <c:delete val="0"/>
        <c:axPos val="l"/>
        <c:majorGridlines/>
        <c:numFmt formatCode="General" sourceLinked="1"/>
        <c:majorTickMark val="out"/>
        <c:minorTickMark val="none"/>
        <c:tickLblPos val="nextTo"/>
        <c:crossAx val="354468848"/>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7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'The Royal High'!$B$169</c:f>
              <c:strCache>
                <c:ptCount val="1"/>
                <c:pt idx="0">
                  <c:v>Catchment Births (5yrs Prior)</c:v>
                </c:pt>
              </c:strCache>
            </c:strRef>
          </c:tx>
          <c:marker>
            <c:symbol val="square"/>
            <c:size val="7"/>
          </c:marker>
          <c:cat>
            <c:numRef>
              <c:f>'The Royal High'!$D$168:$N$168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'The Royal High'!$D$169:$N$169</c:f>
              <c:numCache>
                <c:formatCode>#,##0</c:formatCode>
                <c:ptCount val="11"/>
                <c:pt idx="0">
                  <c:v>44</c:v>
                </c:pt>
                <c:pt idx="1">
                  <c:v>34</c:v>
                </c:pt>
                <c:pt idx="2">
                  <c:v>42</c:v>
                </c:pt>
                <c:pt idx="3">
                  <c:v>43</c:v>
                </c:pt>
                <c:pt idx="4">
                  <c:v>39</c:v>
                </c:pt>
                <c:pt idx="5">
                  <c:v>49</c:v>
                </c:pt>
                <c:pt idx="6">
                  <c:v>37</c:v>
                </c:pt>
                <c:pt idx="7">
                  <c:v>40</c:v>
                </c:pt>
                <c:pt idx="8">
                  <c:v>38</c:v>
                </c:pt>
                <c:pt idx="9">
                  <c:v>49</c:v>
                </c:pt>
                <c:pt idx="10">
                  <c:v>34</c:v>
                </c:pt>
              </c:numCache>
            </c:numRef>
          </c:val>
          <c:smooth val="0"/>
          <c:extLst xmlns:c16r2="http://schemas.microsoft.com/office/drawing/2015/06/chart">
            <c:ext xmlns:c16="http://schemas.microsoft.com/office/drawing/2014/chart" uri="{C3380CC4-5D6E-409C-BE32-E72D297353CC}">
              <c16:uniqueId val="{00000000-7111-4940-A5DD-C0810ED594F6}"/>
            </c:ext>
          </c:extLst>
        </c:ser>
        <c:ser>
          <c:idx val="1"/>
          <c:order val="1"/>
          <c:tx>
            <c:strRef>
              <c:f>'The Royal High'!$B$170</c:f>
              <c:strCache>
                <c:ptCount val="1"/>
                <c:pt idx="0">
                  <c:v>P1 ND Catchment Population (Actual)</c:v>
                </c:pt>
              </c:strCache>
            </c:strRef>
          </c:tx>
          <c:cat>
            <c:numRef>
              <c:f>'The Royal High'!$D$168:$N$168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'The Royal High'!$D$170:$I$170</c:f>
              <c:numCache>
                <c:formatCode>#,##0</c:formatCode>
                <c:ptCount val="6"/>
                <c:pt idx="0">
                  <c:v>41</c:v>
                </c:pt>
                <c:pt idx="1">
                  <c:v>30</c:v>
                </c:pt>
                <c:pt idx="2">
                  <c:v>28</c:v>
                </c:pt>
                <c:pt idx="3">
                  <c:v>35</c:v>
                </c:pt>
                <c:pt idx="4">
                  <c:v>31</c:v>
                </c:pt>
                <c:pt idx="5">
                  <c:v>36</c:v>
                </c:pt>
              </c:numCache>
            </c:numRef>
          </c:val>
          <c:smooth val="0"/>
          <c:extLst xmlns:c16r2="http://schemas.microsoft.com/office/drawing/2015/06/chart">
            <c:ext xmlns:c16="http://schemas.microsoft.com/office/drawing/2014/chart" uri="{C3380CC4-5D6E-409C-BE32-E72D297353CC}">
              <c16:uniqueId val="{00000001-7111-4940-A5DD-C0810ED594F6}"/>
            </c:ext>
          </c:extLst>
        </c:ser>
        <c:ser>
          <c:idx val="2"/>
          <c:order val="2"/>
          <c:tx>
            <c:strRef>
              <c:f>'The Royal High'!$B$172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7111-4940-A5DD-C0810ED594F6}"/>
              </c:ext>
            </c:extLst>
          </c:dPt>
          <c:dPt>
            <c:idx val="5"/>
            <c:marker>
              <c:symbol val="none"/>
            </c:marker>
            <c:bubble3D val="0"/>
            <c:extLst xmlns:c16r2="http://schemas.microsoft.com/office/drawing/2015/06/chart">
              <c:ext xmlns:c16="http://schemas.microsoft.com/office/drawing/2014/chart" uri="{C3380CC4-5D6E-409C-BE32-E72D297353CC}">
                <c16:uniqueId val="{00000003-7111-4940-A5DD-C0810ED594F6}"/>
              </c:ext>
            </c:extLst>
          </c:dPt>
          <c:dPt>
            <c:idx val="6"/>
            <c:marker>
              <c:symbol val="circle"/>
              <c:size val="7"/>
            </c:marker>
            <c:bubble3D val="0"/>
            <c:extLst xmlns:c16r2="http://schemas.microsoft.com/office/drawing/2015/06/chart">
              <c:ext xmlns:c16="http://schemas.microsoft.com/office/drawing/2014/chart" uri="{C3380CC4-5D6E-409C-BE32-E72D297353CC}">
                <c16:uniqueId val="{00000004-7111-4940-A5DD-C0810ED594F6}"/>
              </c:ext>
            </c:extLst>
          </c:dPt>
          <c:dPt>
            <c:idx val="7"/>
            <c:marker>
              <c:symbol val="circle"/>
              <c:size val="7"/>
            </c:marker>
            <c:bubble3D val="0"/>
            <c:extLst xmlns:c16r2="http://schemas.microsoft.com/office/drawing/2015/06/chart">
              <c:ext xmlns:c16="http://schemas.microsoft.com/office/drawing/2014/chart" uri="{C3380CC4-5D6E-409C-BE32-E72D297353CC}">
                <c16:uniqueId val="{00000005-7111-4940-A5DD-C0810ED594F6}"/>
              </c:ext>
            </c:extLst>
          </c:dPt>
          <c:dPt>
            <c:idx val="8"/>
            <c:marker>
              <c:symbol val="circle"/>
              <c:size val="7"/>
            </c:marker>
            <c:bubble3D val="0"/>
            <c:extLst xmlns:c16r2="http://schemas.microsoft.com/office/drawing/2015/06/chart">
              <c:ext xmlns:c16="http://schemas.microsoft.com/office/drawing/2014/chart" uri="{C3380CC4-5D6E-409C-BE32-E72D297353CC}">
                <c16:uniqueId val="{00000006-7111-4940-A5DD-C0810ED594F6}"/>
              </c:ext>
            </c:extLst>
          </c:dPt>
          <c:dPt>
            <c:idx val="9"/>
            <c:marker>
              <c:symbol val="circle"/>
              <c:size val="7"/>
            </c:marker>
            <c:bubble3D val="0"/>
            <c:extLst xmlns:c16r2="http://schemas.microsoft.com/office/drawing/2015/06/chart">
              <c:ext xmlns:c16="http://schemas.microsoft.com/office/drawing/2014/chart" uri="{C3380CC4-5D6E-409C-BE32-E72D297353CC}">
                <c16:uniqueId val="{00000007-7111-4940-A5DD-C0810ED594F6}"/>
              </c:ext>
            </c:extLst>
          </c:dPt>
          <c:dPt>
            <c:idx val="10"/>
            <c:marker>
              <c:symbol val="circle"/>
              <c:size val="7"/>
            </c:marker>
            <c:bubble3D val="0"/>
            <c:extLst xmlns:c16r2="http://schemas.microsoft.com/office/drawing/2015/06/chart">
              <c:ext xmlns:c16="http://schemas.microsoft.com/office/drawing/2014/chart" uri="{C3380CC4-5D6E-409C-BE32-E72D297353CC}">
                <c16:uniqueId val="{00000008-7111-4940-A5DD-C0810ED594F6}"/>
              </c:ext>
            </c:extLst>
          </c:dPt>
          <c:cat>
            <c:numRef>
              <c:f>'The Royal High'!$D$168:$N$168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'The Royal High'!$D$172:$N$172</c:f>
              <c:numCache>
                <c:formatCode>General</c:formatCode>
                <c:ptCount val="11"/>
                <c:pt idx="5" formatCode="0">
                  <c:v>36</c:v>
                </c:pt>
                <c:pt idx="6" formatCode="0">
                  <c:v>0</c:v>
                </c:pt>
                <c:pt idx="7" formatCode="0">
                  <c:v>45</c:v>
                </c:pt>
                <c:pt idx="8" formatCode="0">
                  <c:v>32</c:v>
                </c:pt>
                <c:pt idx="9" formatCode="0">
                  <c:v>48</c:v>
                </c:pt>
                <c:pt idx="10" formatCode="0">
                  <c:v>46</c:v>
                </c:pt>
              </c:numCache>
            </c:numRef>
          </c:val>
          <c:smooth val="0"/>
          <c:extLst xmlns:c16r2="http://schemas.microsoft.com/office/drawing/2015/06/chart">
            <c:ext xmlns:c16="http://schemas.microsoft.com/office/drawing/2014/chart" uri="{C3380CC4-5D6E-409C-BE32-E72D297353CC}">
              <c16:uniqueId val="{00000009-7111-4940-A5DD-C0810ED594F6}"/>
            </c:ext>
          </c:extLst>
        </c:ser>
        <c:ser>
          <c:idx val="3"/>
          <c:order val="3"/>
          <c:tx>
            <c:strRef>
              <c:f>'The Royal High'!$B$171</c:f>
              <c:strCache>
                <c:ptCount val="1"/>
                <c:pt idx="0">
                  <c:v>Actual P1 Registrations (as of Jan 2016)</c:v>
                </c:pt>
              </c:strCache>
            </c:strRef>
          </c:tx>
          <c:spPr>
            <a:ln w="15875">
              <a:noFill/>
            </a:ln>
          </c:spPr>
          <c:marker>
            <c:symbol val="diamond"/>
            <c:size val="9"/>
            <c:spPr>
              <a:solidFill>
                <a:schemeClr val="tx1"/>
              </a:solidFill>
            </c:spPr>
          </c:marker>
          <c:cat>
            <c:numRef>
              <c:f>'The Royal High'!$D$168:$N$168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'The Royal High'!$D$171:$M$171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7111-4940-A5DD-C0810ED594F6}"/>
            </c:ext>
          </c:extLst>
        </c:ser>
        <c:dLbls>
          <c:showLegendKey val="0"/>
          <c:showVal val="0"/>
          <c:showCatName val="0"/>
          <c:showSerName val="0"/>
          <c:showPercent val="0"/>
          <c:showBubbleSize val="0"/>
        </c:dLbls>
        <c:marker val="1"/>
        <c:smooth val="0"/>
        <c:axId val="354470024"/>
        <c:axId val="354470416"/>
      </c:lineChart>
      <c:catAx>
        <c:axId val="354470024"/>
        <c:scaling>
          <c:orientation val="minMax"/>
        </c:scaling>
        <c:delete val="0"/>
        <c:axPos val="b"/>
        <c:numFmt formatCode="General" sourceLinked="1"/>
        <c:majorTickMark val="out"/>
        <c:minorTickMark val="none"/>
        <c:tickLblPos val="nextTo"/>
        <c:crossAx val="354470416"/>
        <c:crosses val="autoZero"/>
        <c:auto val="1"/>
        <c:lblAlgn val="ctr"/>
        <c:lblOffset val="100"/>
        <c:noMultiLvlLbl val="0"/>
      </c:catAx>
      <c:valAx>
        <c:axId val="354470416"/>
        <c:scaling>
          <c:orientation val="minMax"/>
        </c:scaling>
        <c:delete val="0"/>
        <c:axPos val="l"/>
        <c:majorGridlines/>
        <c:numFmt formatCode="#,##0" sourceLinked="1"/>
        <c:majorTickMark val="out"/>
        <c:minorTickMark val="none"/>
        <c:tickLblPos val="nextTo"/>
        <c:crossAx val="354470024"/>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7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3083-49A8-B08A-1EBA59901082}"/>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54471200"/>
        <c:axId val="354471592"/>
      </c:lineChart>
      <c:catAx>
        <c:axId val="354471200"/>
        <c:scaling>
          <c:orientation val="minMax"/>
        </c:scaling>
        <c:delete val="0"/>
        <c:axPos val="b"/>
        <c:numFmt formatCode="General" sourceLinked="1"/>
        <c:majorTickMark val="out"/>
        <c:minorTickMark val="none"/>
        <c:tickLblPos val="nextTo"/>
        <c:crossAx val="354471592"/>
        <c:crosses val="autoZero"/>
        <c:auto val="1"/>
        <c:lblAlgn val="ctr"/>
        <c:lblOffset val="100"/>
        <c:noMultiLvlLbl val="0"/>
      </c:catAx>
      <c:valAx>
        <c:axId val="354471592"/>
        <c:scaling>
          <c:orientation val="minMax"/>
        </c:scaling>
        <c:delete val="0"/>
        <c:axPos val="l"/>
        <c:majorGridlines/>
        <c:numFmt formatCode="General" sourceLinked="1"/>
        <c:majorTickMark val="out"/>
        <c:minorTickMark val="none"/>
        <c:tickLblPos val="nextTo"/>
        <c:crossAx val="354471200"/>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7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square"/>
            <c:size val="7"/>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51D6-40C1-B10E-02C51899C487}"/>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1"/>
          <c:order val="1"/>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1-51D6-40C1-B10E-02C51899C487}"/>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2"/>
          <c:order val="2"/>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51D6-40C1-B10E-02C51899C487}"/>
              </c:ext>
            </c:extLst>
          </c:dPt>
          <c:dPt>
            <c:idx val="5"/>
            <c:marker>
              <c:symbol val="circle"/>
              <c:size val="7"/>
            </c:marker>
            <c:bubble3D val="0"/>
            <c:extLst xmlns:c16r2="http://schemas.microsoft.com/office/drawing/2015/06/chart">
              <c:ext xmlns:c16="http://schemas.microsoft.com/office/drawing/2014/chart" uri="{C3380CC4-5D6E-409C-BE32-E72D297353CC}">
                <c16:uniqueId val="{00000003-51D6-40C1-B10E-02C51899C487}"/>
              </c:ext>
            </c:extLst>
          </c:dPt>
          <c:dPt>
            <c:idx val="6"/>
            <c:marker>
              <c:symbol val="circle"/>
              <c:size val="7"/>
            </c:marker>
            <c:bubble3D val="0"/>
            <c:extLst xmlns:c16r2="http://schemas.microsoft.com/office/drawing/2015/06/chart">
              <c:ext xmlns:c16="http://schemas.microsoft.com/office/drawing/2014/chart" uri="{C3380CC4-5D6E-409C-BE32-E72D297353CC}">
                <c16:uniqueId val="{00000004-51D6-40C1-B10E-02C51899C487}"/>
              </c:ext>
            </c:extLst>
          </c:dPt>
          <c:dPt>
            <c:idx val="7"/>
            <c:marker>
              <c:symbol val="circle"/>
              <c:size val="7"/>
            </c:marker>
            <c:bubble3D val="0"/>
            <c:extLst xmlns:c16r2="http://schemas.microsoft.com/office/drawing/2015/06/chart">
              <c:ext xmlns:c16="http://schemas.microsoft.com/office/drawing/2014/chart" uri="{C3380CC4-5D6E-409C-BE32-E72D297353CC}">
                <c16:uniqueId val="{00000005-51D6-40C1-B10E-02C51899C487}"/>
              </c:ext>
            </c:extLst>
          </c:dPt>
          <c:dPt>
            <c:idx val="8"/>
            <c:marker>
              <c:symbol val="circle"/>
              <c:size val="7"/>
            </c:marker>
            <c:bubble3D val="0"/>
            <c:extLst xmlns:c16r2="http://schemas.microsoft.com/office/drawing/2015/06/chart">
              <c:ext xmlns:c16="http://schemas.microsoft.com/office/drawing/2014/chart" uri="{C3380CC4-5D6E-409C-BE32-E72D297353CC}">
                <c16:uniqueId val="{00000006-51D6-40C1-B10E-02C51899C487}"/>
              </c:ext>
            </c:extLst>
          </c:dPt>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7-51D6-40C1-B10E-02C51899C487}"/>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54472376"/>
        <c:axId val="354472768"/>
      </c:lineChart>
      <c:catAx>
        <c:axId val="354472376"/>
        <c:scaling>
          <c:orientation val="minMax"/>
        </c:scaling>
        <c:delete val="0"/>
        <c:axPos val="b"/>
        <c:numFmt formatCode="General" sourceLinked="1"/>
        <c:majorTickMark val="out"/>
        <c:minorTickMark val="none"/>
        <c:tickLblPos val="nextTo"/>
        <c:crossAx val="354472768"/>
        <c:crosses val="autoZero"/>
        <c:auto val="1"/>
        <c:lblAlgn val="ctr"/>
        <c:lblOffset val="100"/>
        <c:noMultiLvlLbl val="0"/>
      </c:catAx>
      <c:valAx>
        <c:axId val="354472768"/>
        <c:scaling>
          <c:orientation val="minMax"/>
        </c:scaling>
        <c:delete val="0"/>
        <c:axPos val="l"/>
        <c:majorGridlines/>
        <c:numFmt formatCode="General" sourceLinked="1"/>
        <c:majorTickMark val="out"/>
        <c:minorTickMark val="none"/>
        <c:tickLblPos val="nextTo"/>
        <c:crossAx val="354472376"/>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7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Tollcross!$B$177:$B$190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Tollcross!$J$177:$J$190</c:f>
              <c:numCache>
                <c:formatCode>General</c:formatCode>
                <c:ptCount val="14"/>
                <c:pt idx="0">
                  <c:v>197</c:v>
                </c:pt>
                <c:pt idx="1">
                  <c:v>190</c:v>
                </c:pt>
                <c:pt idx="2">
                  <c:v>217</c:v>
                </c:pt>
                <c:pt idx="3">
                  <c:v>224</c:v>
                </c:pt>
                <c:pt idx="4">
                  <c:v>232</c:v>
                </c:pt>
                <c:pt idx="5">
                  <c:v>225</c:v>
                </c:pt>
                <c:pt idx="6">
                  <c:v>236</c:v>
                </c:pt>
                <c:pt idx="7">
                  <c:v>261</c:v>
                </c:pt>
                <c:pt idx="8">
                  <c:v>288</c:v>
                </c:pt>
                <c:pt idx="9">
                  <c:v>304</c:v>
                </c:pt>
                <c:pt idx="10">
                  <c:v>323</c:v>
                </c:pt>
                <c:pt idx="11">
                  <c:v>157</c:v>
                </c:pt>
                <c:pt idx="12">
                  <c:v>189</c:v>
                </c:pt>
                <c:pt idx="13">
                  <c:v>198</c:v>
                </c:pt>
              </c:numCache>
            </c:numRef>
          </c:val>
          <c:smooth val="0"/>
          <c:extLst xmlns:c16r2="http://schemas.microsoft.com/office/drawing/2015/06/chart">
            <c:ext xmlns:c16="http://schemas.microsoft.com/office/drawing/2014/chart" uri="{C3380CC4-5D6E-409C-BE32-E72D297353CC}">
              <c16:uniqueId val="{00000000-6F46-4CD9-878E-8D36F97A64DE}"/>
            </c:ext>
          </c:extLst>
        </c:ser>
        <c:dLbls>
          <c:showLegendKey val="0"/>
          <c:showVal val="0"/>
          <c:showCatName val="0"/>
          <c:showSerName val="0"/>
          <c:showPercent val="0"/>
          <c:showBubbleSize val="0"/>
        </c:dLbls>
        <c:marker val="1"/>
        <c:smooth val="0"/>
        <c:axId val="354473552"/>
        <c:axId val="354473944"/>
      </c:lineChart>
      <c:catAx>
        <c:axId val="354473552"/>
        <c:scaling>
          <c:orientation val="minMax"/>
        </c:scaling>
        <c:delete val="0"/>
        <c:axPos val="b"/>
        <c:numFmt formatCode="General" sourceLinked="1"/>
        <c:majorTickMark val="out"/>
        <c:minorTickMark val="none"/>
        <c:tickLblPos val="nextTo"/>
        <c:crossAx val="354473944"/>
        <c:crosses val="autoZero"/>
        <c:auto val="1"/>
        <c:lblAlgn val="ctr"/>
        <c:lblOffset val="100"/>
        <c:noMultiLvlLbl val="0"/>
      </c:catAx>
      <c:valAx>
        <c:axId val="354473944"/>
        <c:scaling>
          <c:orientation val="minMax"/>
        </c:scaling>
        <c:delete val="0"/>
        <c:axPos val="l"/>
        <c:majorGridlines/>
        <c:numFmt formatCode="General" sourceLinked="1"/>
        <c:majorTickMark val="out"/>
        <c:minorTickMark val="none"/>
        <c:tickLblPos val="nextTo"/>
        <c:crossAx val="354473552"/>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7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Tollcross!$B$169</c:f>
              <c:strCache>
                <c:ptCount val="1"/>
                <c:pt idx="0">
                  <c:v>Catchment Births (5yrs Prior)</c:v>
                </c:pt>
              </c:strCache>
            </c:strRef>
          </c:tx>
          <c:marker>
            <c:symbol val="square"/>
            <c:size val="7"/>
          </c:marker>
          <c:cat>
            <c:numRef>
              <c:f>Tollcross!$D$168:$N$168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Tollcross!$D$169:$N$169</c:f>
              <c:numCache>
                <c:formatCode>#,##0</c:formatCode>
                <c:ptCount val="11"/>
                <c:pt idx="0">
                  <c:v>46</c:v>
                </c:pt>
                <c:pt idx="1">
                  <c:v>36</c:v>
                </c:pt>
                <c:pt idx="2">
                  <c:v>50</c:v>
                </c:pt>
                <c:pt idx="3">
                  <c:v>48</c:v>
                </c:pt>
                <c:pt idx="4">
                  <c:v>43</c:v>
                </c:pt>
                <c:pt idx="5">
                  <c:v>49</c:v>
                </c:pt>
                <c:pt idx="6">
                  <c:v>41</c:v>
                </c:pt>
                <c:pt idx="7">
                  <c:v>53</c:v>
                </c:pt>
                <c:pt idx="8">
                  <c:v>50</c:v>
                </c:pt>
                <c:pt idx="9">
                  <c:v>57</c:v>
                </c:pt>
                <c:pt idx="10">
                  <c:v>68</c:v>
                </c:pt>
              </c:numCache>
            </c:numRef>
          </c:val>
          <c:smooth val="0"/>
          <c:extLst xmlns:c16r2="http://schemas.microsoft.com/office/drawing/2015/06/chart">
            <c:ext xmlns:c16="http://schemas.microsoft.com/office/drawing/2014/chart" uri="{C3380CC4-5D6E-409C-BE32-E72D297353CC}">
              <c16:uniqueId val="{00000000-7BC2-49A1-98CA-7DEF3A6FD75B}"/>
            </c:ext>
          </c:extLst>
        </c:ser>
        <c:ser>
          <c:idx val="1"/>
          <c:order val="1"/>
          <c:tx>
            <c:strRef>
              <c:f>Tollcross!$B$170</c:f>
              <c:strCache>
                <c:ptCount val="1"/>
                <c:pt idx="0">
                  <c:v>P1 ND Catchment Population (Actual)</c:v>
                </c:pt>
              </c:strCache>
            </c:strRef>
          </c:tx>
          <c:cat>
            <c:numRef>
              <c:f>Tollcross!$D$168:$N$168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Tollcross!$D$170:$I$170</c:f>
              <c:numCache>
                <c:formatCode>#,##0</c:formatCode>
                <c:ptCount val="6"/>
                <c:pt idx="0">
                  <c:v>16</c:v>
                </c:pt>
                <c:pt idx="1">
                  <c:v>22</c:v>
                </c:pt>
                <c:pt idx="2">
                  <c:v>21</c:v>
                </c:pt>
                <c:pt idx="3">
                  <c:v>20</c:v>
                </c:pt>
                <c:pt idx="4">
                  <c:v>24</c:v>
                </c:pt>
                <c:pt idx="5">
                  <c:v>20</c:v>
                </c:pt>
              </c:numCache>
            </c:numRef>
          </c:val>
          <c:smooth val="0"/>
          <c:extLst xmlns:c16r2="http://schemas.microsoft.com/office/drawing/2015/06/chart">
            <c:ext xmlns:c16="http://schemas.microsoft.com/office/drawing/2014/chart" uri="{C3380CC4-5D6E-409C-BE32-E72D297353CC}">
              <c16:uniqueId val="{00000001-7BC2-49A1-98CA-7DEF3A6FD75B}"/>
            </c:ext>
          </c:extLst>
        </c:ser>
        <c:ser>
          <c:idx val="2"/>
          <c:order val="2"/>
          <c:tx>
            <c:strRef>
              <c:f>Tollcross!$B$172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7BC2-49A1-98CA-7DEF3A6FD75B}"/>
              </c:ext>
            </c:extLst>
          </c:dPt>
          <c:dPt>
            <c:idx val="5"/>
            <c:marker>
              <c:symbol val="none"/>
            </c:marker>
            <c:bubble3D val="0"/>
            <c:extLst xmlns:c16r2="http://schemas.microsoft.com/office/drawing/2015/06/chart">
              <c:ext xmlns:c16="http://schemas.microsoft.com/office/drawing/2014/chart" uri="{C3380CC4-5D6E-409C-BE32-E72D297353CC}">
                <c16:uniqueId val="{00000003-7BC2-49A1-98CA-7DEF3A6FD75B}"/>
              </c:ext>
            </c:extLst>
          </c:dPt>
          <c:dPt>
            <c:idx val="6"/>
            <c:marker>
              <c:symbol val="circle"/>
              <c:size val="7"/>
            </c:marker>
            <c:bubble3D val="0"/>
            <c:extLst xmlns:c16r2="http://schemas.microsoft.com/office/drawing/2015/06/chart">
              <c:ext xmlns:c16="http://schemas.microsoft.com/office/drawing/2014/chart" uri="{C3380CC4-5D6E-409C-BE32-E72D297353CC}">
                <c16:uniqueId val="{00000004-7BC2-49A1-98CA-7DEF3A6FD75B}"/>
              </c:ext>
            </c:extLst>
          </c:dPt>
          <c:dPt>
            <c:idx val="7"/>
            <c:marker>
              <c:symbol val="circle"/>
              <c:size val="7"/>
            </c:marker>
            <c:bubble3D val="0"/>
            <c:extLst xmlns:c16r2="http://schemas.microsoft.com/office/drawing/2015/06/chart">
              <c:ext xmlns:c16="http://schemas.microsoft.com/office/drawing/2014/chart" uri="{C3380CC4-5D6E-409C-BE32-E72D297353CC}">
                <c16:uniqueId val="{00000005-7BC2-49A1-98CA-7DEF3A6FD75B}"/>
              </c:ext>
            </c:extLst>
          </c:dPt>
          <c:dPt>
            <c:idx val="8"/>
            <c:marker>
              <c:symbol val="circle"/>
              <c:size val="7"/>
            </c:marker>
            <c:bubble3D val="0"/>
            <c:extLst xmlns:c16r2="http://schemas.microsoft.com/office/drawing/2015/06/chart">
              <c:ext xmlns:c16="http://schemas.microsoft.com/office/drawing/2014/chart" uri="{C3380CC4-5D6E-409C-BE32-E72D297353CC}">
                <c16:uniqueId val="{00000006-7BC2-49A1-98CA-7DEF3A6FD75B}"/>
              </c:ext>
            </c:extLst>
          </c:dPt>
          <c:dPt>
            <c:idx val="9"/>
            <c:marker>
              <c:symbol val="circle"/>
              <c:size val="7"/>
            </c:marker>
            <c:bubble3D val="0"/>
            <c:extLst xmlns:c16r2="http://schemas.microsoft.com/office/drawing/2015/06/chart">
              <c:ext xmlns:c16="http://schemas.microsoft.com/office/drawing/2014/chart" uri="{C3380CC4-5D6E-409C-BE32-E72D297353CC}">
                <c16:uniqueId val="{00000007-7BC2-49A1-98CA-7DEF3A6FD75B}"/>
              </c:ext>
            </c:extLst>
          </c:dPt>
          <c:dPt>
            <c:idx val="10"/>
            <c:marker>
              <c:symbol val="circle"/>
              <c:size val="7"/>
            </c:marker>
            <c:bubble3D val="0"/>
            <c:extLst xmlns:c16r2="http://schemas.microsoft.com/office/drawing/2015/06/chart">
              <c:ext xmlns:c16="http://schemas.microsoft.com/office/drawing/2014/chart" uri="{C3380CC4-5D6E-409C-BE32-E72D297353CC}">
                <c16:uniqueId val="{00000008-7BC2-49A1-98CA-7DEF3A6FD75B}"/>
              </c:ext>
            </c:extLst>
          </c:dPt>
          <c:cat>
            <c:numRef>
              <c:f>Tollcross!$D$168:$N$168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Tollcross!$D$172:$N$172</c:f>
              <c:numCache>
                <c:formatCode>General</c:formatCode>
                <c:ptCount val="11"/>
                <c:pt idx="5" formatCode="0">
                  <c:v>20</c:v>
                </c:pt>
                <c:pt idx="6" formatCode="0">
                  <c:v>0</c:v>
                </c:pt>
                <c:pt idx="7" formatCode="0">
                  <c:v>30</c:v>
                </c:pt>
                <c:pt idx="8" formatCode="0">
                  <c:v>36</c:v>
                </c:pt>
                <c:pt idx="9" formatCode="0">
                  <c:v>22</c:v>
                </c:pt>
                <c:pt idx="10" formatCode="0">
                  <c:v>21</c:v>
                </c:pt>
              </c:numCache>
            </c:numRef>
          </c:val>
          <c:smooth val="0"/>
          <c:extLst xmlns:c16r2="http://schemas.microsoft.com/office/drawing/2015/06/chart">
            <c:ext xmlns:c16="http://schemas.microsoft.com/office/drawing/2014/chart" uri="{C3380CC4-5D6E-409C-BE32-E72D297353CC}">
              <c16:uniqueId val="{00000009-7BC2-49A1-98CA-7DEF3A6FD75B}"/>
            </c:ext>
          </c:extLst>
        </c:ser>
        <c:ser>
          <c:idx val="3"/>
          <c:order val="3"/>
          <c:tx>
            <c:strRef>
              <c:f>Tollcross!$B$171</c:f>
              <c:strCache>
                <c:ptCount val="1"/>
                <c:pt idx="0">
                  <c:v>Actual P1 Registrations (as of Jan 2016)</c:v>
                </c:pt>
              </c:strCache>
            </c:strRef>
          </c:tx>
          <c:spPr>
            <a:ln w="15875">
              <a:noFill/>
            </a:ln>
          </c:spPr>
          <c:marker>
            <c:symbol val="diamond"/>
            <c:size val="9"/>
            <c:spPr>
              <a:solidFill>
                <a:schemeClr val="tx1"/>
              </a:solidFill>
            </c:spPr>
          </c:marker>
          <c:cat>
            <c:numRef>
              <c:f>Tollcross!$D$168:$N$168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Tollcross!$D$171:$M$171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7BC2-49A1-98CA-7DEF3A6FD75B}"/>
            </c:ext>
          </c:extLst>
        </c:ser>
        <c:dLbls>
          <c:showLegendKey val="0"/>
          <c:showVal val="0"/>
          <c:showCatName val="0"/>
          <c:showSerName val="0"/>
          <c:showPercent val="0"/>
          <c:showBubbleSize val="0"/>
        </c:dLbls>
        <c:marker val="1"/>
        <c:smooth val="0"/>
        <c:axId val="354474728"/>
        <c:axId val="354475120"/>
      </c:lineChart>
      <c:catAx>
        <c:axId val="354474728"/>
        <c:scaling>
          <c:orientation val="minMax"/>
        </c:scaling>
        <c:delete val="0"/>
        <c:axPos val="b"/>
        <c:numFmt formatCode="General" sourceLinked="1"/>
        <c:majorTickMark val="out"/>
        <c:minorTickMark val="none"/>
        <c:tickLblPos val="nextTo"/>
        <c:crossAx val="354475120"/>
        <c:crosses val="autoZero"/>
        <c:auto val="1"/>
        <c:lblAlgn val="ctr"/>
        <c:lblOffset val="100"/>
        <c:noMultiLvlLbl val="0"/>
      </c:catAx>
      <c:valAx>
        <c:axId val="354475120"/>
        <c:scaling>
          <c:orientation val="minMax"/>
        </c:scaling>
        <c:delete val="0"/>
        <c:axPos val="l"/>
        <c:majorGridlines/>
        <c:numFmt formatCode="#,##0" sourceLinked="1"/>
        <c:majorTickMark val="out"/>
        <c:minorTickMark val="none"/>
        <c:tickLblPos val="nextTo"/>
        <c:crossAx val="354474728"/>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8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2AC9-4B94-9F85-CD5DE266DD90}"/>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54475904"/>
        <c:axId val="354476296"/>
      </c:lineChart>
      <c:catAx>
        <c:axId val="354475904"/>
        <c:scaling>
          <c:orientation val="minMax"/>
        </c:scaling>
        <c:delete val="0"/>
        <c:axPos val="b"/>
        <c:numFmt formatCode="General" sourceLinked="1"/>
        <c:majorTickMark val="out"/>
        <c:minorTickMark val="none"/>
        <c:tickLblPos val="nextTo"/>
        <c:crossAx val="354476296"/>
        <c:crosses val="autoZero"/>
        <c:auto val="1"/>
        <c:lblAlgn val="ctr"/>
        <c:lblOffset val="100"/>
        <c:noMultiLvlLbl val="0"/>
      </c:catAx>
      <c:valAx>
        <c:axId val="354476296"/>
        <c:scaling>
          <c:orientation val="minMax"/>
        </c:scaling>
        <c:delete val="0"/>
        <c:axPos val="l"/>
        <c:majorGridlines/>
        <c:numFmt formatCode="General" sourceLinked="1"/>
        <c:majorTickMark val="out"/>
        <c:minorTickMark val="none"/>
        <c:tickLblPos val="nextTo"/>
        <c:crossAx val="354475904"/>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8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square"/>
            <c:size val="7"/>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788B-4E28-A9EA-0BC95225E25A}"/>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1"/>
          <c:order val="1"/>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1-788B-4E28-A9EA-0BC95225E25A}"/>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2"/>
          <c:order val="2"/>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788B-4E28-A9EA-0BC95225E25A}"/>
              </c:ext>
            </c:extLst>
          </c:dPt>
          <c:dPt>
            <c:idx val="5"/>
            <c:marker>
              <c:symbol val="circle"/>
              <c:size val="7"/>
            </c:marker>
            <c:bubble3D val="0"/>
            <c:extLst xmlns:c16r2="http://schemas.microsoft.com/office/drawing/2015/06/chart">
              <c:ext xmlns:c16="http://schemas.microsoft.com/office/drawing/2014/chart" uri="{C3380CC4-5D6E-409C-BE32-E72D297353CC}">
                <c16:uniqueId val="{00000003-788B-4E28-A9EA-0BC95225E25A}"/>
              </c:ext>
            </c:extLst>
          </c:dPt>
          <c:dPt>
            <c:idx val="6"/>
            <c:marker>
              <c:symbol val="circle"/>
              <c:size val="7"/>
            </c:marker>
            <c:bubble3D val="0"/>
            <c:extLst xmlns:c16r2="http://schemas.microsoft.com/office/drawing/2015/06/chart">
              <c:ext xmlns:c16="http://schemas.microsoft.com/office/drawing/2014/chart" uri="{C3380CC4-5D6E-409C-BE32-E72D297353CC}">
                <c16:uniqueId val="{00000004-788B-4E28-A9EA-0BC95225E25A}"/>
              </c:ext>
            </c:extLst>
          </c:dPt>
          <c:dPt>
            <c:idx val="7"/>
            <c:marker>
              <c:symbol val="circle"/>
              <c:size val="7"/>
            </c:marker>
            <c:bubble3D val="0"/>
            <c:extLst xmlns:c16r2="http://schemas.microsoft.com/office/drawing/2015/06/chart">
              <c:ext xmlns:c16="http://schemas.microsoft.com/office/drawing/2014/chart" uri="{C3380CC4-5D6E-409C-BE32-E72D297353CC}">
                <c16:uniqueId val="{00000005-788B-4E28-A9EA-0BC95225E25A}"/>
              </c:ext>
            </c:extLst>
          </c:dPt>
          <c:dPt>
            <c:idx val="8"/>
            <c:marker>
              <c:symbol val="circle"/>
              <c:size val="7"/>
            </c:marker>
            <c:bubble3D val="0"/>
            <c:extLst xmlns:c16r2="http://schemas.microsoft.com/office/drawing/2015/06/chart">
              <c:ext xmlns:c16="http://schemas.microsoft.com/office/drawing/2014/chart" uri="{C3380CC4-5D6E-409C-BE32-E72D297353CC}">
                <c16:uniqueId val="{00000006-788B-4E28-A9EA-0BC95225E25A}"/>
              </c:ext>
            </c:extLst>
          </c:dPt>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7-788B-4E28-A9EA-0BC95225E25A}"/>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54477080"/>
        <c:axId val="354477472"/>
      </c:lineChart>
      <c:catAx>
        <c:axId val="354477080"/>
        <c:scaling>
          <c:orientation val="minMax"/>
        </c:scaling>
        <c:delete val="0"/>
        <c:axPos val="b"/>
        <c:numFmt formatCode="General" sourceLinked="1"/>
        <c:majorTickMark val="out"/>
        <c:minorTickMark val="none"/>
        <c:tickLblPos val="nextTo"/>
        <c:crossAx val="354477472"/>
        <c:crosses val="autoZero"/>
        <c:auto val="1"/>
        <c:lblAlgn val="ctr"/>
        <c:lblOffset val="100"/>
        <c:noMultiLvlLbl val="0"/>
      </c:catAx>
      <c:valAx>
        <c:axId val="354477472"/>
        <c:scaling>
          <c:orientation val="minMax"/>
        </c:scaling>
        <c:delete val="0"/>
        <c:axPos val="l"/>
        <c:majorGridlines/>
        <c:numFmt formatCode="General" sourceLinked="1"/>
        <c:majorTickMark val="out"/>
        <c:minorTickMark val="none"/>
        <c:tickLblPos val="nextTo"/>
        <c:crossAx val="354477080"/>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8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Towerbank!$B$177:$B$190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Towerbank!$J$177:$J$190</c:f>
              <c:numCache>
                <c:formatCode>General</c:formatCode>
                <c:ptCount val="14"/>
                <c:pt idx="0">
                  <c:v>454</c:v>
                </c:pt>
                <c:pt idx="1">
                  <c:v>429</c:v>
                </c:pt>
                <c:pt idx="2">
                  <c:v>429</c:v>
                </c:pt>
                <c:pt idx="3">
                  <c:v>410</c:v>
                </c:pt>
                <c:pt idx="4">
                  <c:v>425</c:v>
                </c:pt>
                <c:pt idx="5">
                  <c:v>439</c:v>
                </c:pt>
                <c:pt idx="6">
                  <c:v>450</c:v>
                </c:pt>
                <c:pt idx="7">
                  <c:v>476</c:v>
                </c:pt>
                <c:pt idx="8">
                  <c:v>511</c:v>
                </c:pt>
                <c:pt idx="9">
                  <c:v>512</c:v>
                </c:pt>
                <c:pt idx="10">
                  <c:v>557</c:v>
                </c:pt>
                <c:pt idx="11">
                  <c:v>575</c:v>
                </c:pt>
                <c:pt idx="12">
                  <c:v>609</c:v>
                </c:pt>
                <c:pt idx="13">
                  <c:v>638</c:v>
                </c:pt>
              </c:numCache>
            </c:numRef>
          </c:val>
          <c:smooth val="0"/>
          <c:extLst xmlns:c16r2="http://schemas.microsoft.com/office/drawing/2015/06/chart">
            <c:ext xmlns:c16="http://schemas.microsoft.com/office/drawing/2014/chart" uri="{C3380CC4-5D6E-409C-BE32-E72D297353CC}">
              <c16:uniqueId val="{00000000-DA94-4097-A4D2-C3634625646B}"/>
            </c:ext>
          </c:extLst>
        </c:ser>
        <c:dLbls>
          <c:showLegendKey val="0"/>
          <c:showVal val="0"/>
          <c:showCatName val="0"/>
          <c:showSerName val="0"/>
          <c:showPercent val="0"/>
          <c:showBubbleSize val="0"/>
        </c:dLbls>
        <c:marker val="1"/>
        <c:smooth val="0"/>
        <c:axId val="354478256"/>
        <c:axId val="354478648"/>
      </c:lineChart>
      <c:catAx>
        <c:axId val="354478256"/>
        <c:scaling>
          <c:orientation val="minMax"/>
        </c:scaling>
        <c:delete val="0"/>
        <c:axPos val="b"/>
        <c:numFmt formatCode="General" sourceLinked="1"/>
        <c:majorTickMark val="out"/>
        <c:minorTickMark val="none"/>
        <c:tickLblPos val="nextTo"/>
        <c:crossAx val="354478648"/>
        <c:crosses val="autoZero"/>
        <c:auto val="1"/>
        <c:lblAlgn val="ctr"/>
        <c:lblOffset val="100"/>
        <c:noMultiLvlLbl val="0"/>
      </c:catAx>
      <c:valAx>
        <c:axId val="354478648"/>
        <c:scaling>
          <c:orientation val="minMax"/>
        </c:scaling>
        <c:delete val="0"/>
        <c:axPos val="l"/>
        <c:majorGridlines/>
        <c:numFmt formatCode="General" sourceLinked="1"/>
        <c:majorTickMark val="out"/>
        <c:minorTickMark val="none"/>
        <c:tickLblPos val="nextTo"/>
        <c:crossAx val="354478256"/>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8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Towerbank!$B$169</c:f>
              <c:strCache>
                <c:ptCount val="1"/>
                <c:pt idx="0">
                  <c:v>Catchment Births (5yrs Prior)</c:v>
                </c:pt>
              </c:strCache>
            </c:strRef>
          </c:tx>
          <c:marker>
            <c:symbol val="square"/>
            <c:size val="7"/>
          </c:marker>
          <c:cat>
            <c:numRef>
              <c:f>Towerbank!$D$168:$N$168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Towerbank!$D$169:$N$169</c:f>
              <c:numCache>
                <c:formatCode>#,##0</c:formatCode>
                <c:ptCount val="11"/>
                <c:pt idx="0">
                  <c:v>87</c:v>
                </c:pt>
                <c:pt idx="1">
                  <c:v>83</c:v>
                </c:pt>
                <c:pt idx="2">
                  <c:v>103</c:v>
                </c:pt>
                <c:pt idx="3">
                  <c:v>87</c:v>
                </c:pt>
                <c:pt idx="4">
                  <c:v>104</c:v>
                </c:pt>
                <c:pt idx="5">
                  <c:v>91</c:v>
                </c:pt>
                <c:pt idx="6">
                  <c:v>114</c:v>
                </c:pt>
                <c:pt idx="7">
                  <c:v>76</c:v>
                </c:pt>
                <c:pt idx="8">
                  <c:v>101</c:v>
                </c:pt>
                <c:pt idx="9">
                  <c:v>81</c:v>
                </c:pt>
                <c:pt idx="10">
                  <c:v>60</c:v>
                </c:pt>
              </c:numCache>
            </c:numRef>
          </c:val>
          <c:smooth val="0"/>
          <c:extLst xmlns:c16r2="http://schemas.microsoft.com/office/drawing/2015/06/chart">
            <c:ext xmlns:c16="http://schemas.microsoft.com/office/drawing/2014/chart" uri="{C3380CC4-5D6E-409C-BE32-E72D297353CC}">
              <c16:uniqueId val="{00000000-B190-4B12-964B-C834BC2BDBD7}"/>
            </c:ext>
          </c:extLst>
        </c:ser>
        <c:ser>
          <c:idx val="1"/>
          <c:order val="1"/>
          <c:tx>
            <c:strRef>
              <c:f>Towerbank!$B$170</c:f>
              <c:strCache>
                <c:ptCount val="1"/>
                <c:pt idx="0">
                  <c:v>P1 ND Catchment Population (Actual)</c:v>
                </c:pt>
              </c:strCache>
            </c:strRef>
          </c:tx>
          <c:cat>
            <c:numRef>
              <c:f>Towerbank!$D$168:$N$168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Towerbank!$D$170:$I$170</c:f>
              <c:numCache>
                <c:formatCode>#,##0</c:formatCode>
                <c:ptCount val="6"/>
                <c:pt idx="0">
                  <c:v>83</c:v>
                </c:pt>
                <c:pt idx="1">
                  <c:v>80</c:v>
                </c:pt>
                <c:pt idx="2">
                  <c:v>91</c:v>
                </c:pt>
                <c:pt idx="3">
                  <c:v>93</c:v>
                </c:pt>
                <c:pt idx="4">
                  <c:v>103</c:v>
                </c:pt>
                <c:pt idx="5">
                  <c:v>94</c:v>
                </c:pt>
              </c:numCache>
            </c:numRef>
          </c:val>
          <c:smooth val="0"/>
          <c:extLst xmlns:c16r2="http://schemas.microsoft.com/office/drawing/2015/06/chart">
            <c:ext xmlns:c16="http://schemas.microsoft.com/office/drawing/2014/chart" uri="{C3380CC4-5D6E-409C-BE32-E72D297353CC}">
              <c16:uniqueId val="{00000001-B190-4B12-964B-C834BC2BDBD7}"/>
            </c:ext>
          </c:extLst>
        </c:ser>
        <c:ser>
          <c:idx val="2"/>
          <c:order val="2"/>
          <c:tx>
            <c:strRef>
              <c:f>Towerbank!$B$172</c:f>
              <c:strCache>
                <c:ptCount val="1"/>
                <c:pt idx="0">
                  <c:v>P1 ND Catchment Population Projected (Births and Housing)</c:v>
                </c:pt>
              </c:strCache>
            </c:strRef>
          </c:tx>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B190-4B12-964B-C834BC2BDBD7}"/>
              </c:ext>
            </c:extLst>
          </c:dPt>
          <c:dPt>
            <c:idx val="5"/>
            <c:marker>
              <c:symbol val="none"/>
            </c:marker>
            <c:bubble3D val="0"/>
            <c:extLst xmlns:c16r2="http://schemas.microsoft.com/office/drawing/2015/06/chart">
              <c:ext xmlns:c16="http://schemas.microsoft.com/office/drawing/2014/chart" uri="{C3380CC4-5D6E-409C-BE32-E72D297353CC}">
                <c16:uniqueId val="{00000003-B190-4B12-964B-C834BC2BDBD7}"/>
              </c:ext>
            </c:extLst>
          </c:dPt>
          <c:dPt>
            <c:idx val="6"/>
            <c:marker>
              <c:symbol val="circle"/>
              <c:size val="7"/>
            </c:marker>
            <c:bubble3D val="0"/>
            <c:extLst xmlns:c16r2="http://schemas.microsoft.com/office/drawing/2015/06/chart">
              <c:ext xmlns:c16="http://schemas.microsoft.com/office/drawing/2014/chart" uri="{C3380CC4-5D6E-409C-BE32-E72D297353CC}">
                <c16:uniqueId val="{00000004-B190-4B12-964B-C834BC2BDBD7}"/>
              </c:ext>
            </c:extLst>
          </c:dPt>
          <c:dPt>
            <c:idx val="7"/>
            <c:marker>
              <c:symbol val="circle"/>
              <c:size val="7"/>
            </c:marker>
            <c:bubble3D val="0"/>
            <c:extLst xmlns:c16r2="http://schemas.microsoft.com/office/drawing/2015/06/chart">
              <c:ext xmlns:c16="http://schemas.microsoft.com/office/drawing/2014/chart" uri="{C3380CC4-5D6E-409C-BE32-E72D297353CC}">
                <c16:uniqueId val="{00000005-B190-4B12-964B-C834BC2BDBD7}"/>
              </c:ext>
            </c:extLst>
          </c:dPt>
          <c:dPt>
            <c:idx val="8"/>
            <c:marker>
              <c:symbol val="circle"/>
              <c:size val="7"/>
            </c:marker>
            <c:bubble3D val="0"/>
            <c:extLst xmlns:c16r2="http://schemas.microsoft.com/office/drawing/2015/06/chart">
              <c:ext xmlns:c16="http://schemas.microsoft.com/office/drawing/2014/chart" uri="{C3380CC4-5D6E-409C-BE32-E72D297353CC}">
                <c16:uniqueId val="{00000006-B190-4B12-964B-C834BC2BDBD7}"/>
              </c:ext>
            </c:extLst>
          </c:dPt>
          <c:dPt>
            <c:idx val="9"/>
            <c:marker>
              <c:symbol val="circle"/>
              <c:size val="7"/>
            </c:marker>
            <c:bubble3D val="0"/>
            <c:extLst xmlns:c16r2="http://schemas.microsoft.com/office/drawing/2015/06/chart">
              <c:ext xmlns:c16="http://schemas.microsoft.com/office/drawing/2014/chart" uri="{C3380CC4-5D6E-409C-BE32-E72D297353CC}">
                <c16:uniqueId val="{00000007-B190-4B12-964B-C834BC2BDBD7}"/>
              </c:ext>
            </c:extLst>
          </c:dPt>
          <c:dPt>
            <c:idx val="10"/>
            <c:marker>
              <c:symbol val="circle"/>
              <c:size val="7"/>
            </c:marker>
            <c:bubble3D val="0"/>
            <c:extLst xmlns:c16r2="http://schemas.microsoft.com/office/drawing/2015/06/chart">
              <c:ext xmlns:c16="http://schemas.microsoft.com/office/drawing/2014/chart" uri="{C3380CC4-5D6E-409C-BE32-E72D297353CC}">
                <c16:uniqueId val="{00000008-B190-4B12-964B-C834BC2BDBD7}"/>
              </c:ext>
            </c:extLst>
          </c:dPt>
          <c:cat>
            <c:numRef>
              <c:f>Towerbank!$D$168:$N$168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Towerbank!$D$172:$N$172</c:f>
              <c:numCache>
                <c:formatCode>General</c:formatCode>
                <c:ptCount val="11"/>
                <c:pt idx="5" formatCode="0">
                  <c:v>94</c:v>
                </c:pt>
                <c:pt idx="6" formatCode="0">
                  <c:v>0</c:v>
                </c:pt>
                <c:pt idx="7" formatCode="0">
                  <c:v>73</c:v>
                </c:pt>
                <c:pt idx="8" formatCode="0">
                  <c:v>54</c:v>
                </c:pt>
                <c:pt idx="9" formatCode="0">
                  <c:v>53</c:v>
                </c:pt>
                <c:pt idx="10" formatCode="0">
                  <c:v>56</c:v>
                </c:pt>
              </c:numCache>
            </c:numRef>
          </c:val>
          <c:smooth val="0"/>
          <c:extLst xmlns:c16r2="http://schemas.microsoft.com/office/drawing/2015/06/chart">
            <c:ext xmlns:c16="http://schemas.microsoft.com/office/drawing/2014/chart" uri="{C3380CC4-5D6E-409C-BE32-E72D297353CC}">
              <c16:uniqueId val="{00000009-B190-4B12-964B-C834BC2BDBD7}"/>
            </c:ext>
          </c:extLst>
        </c:ser>
        <c:ser>
          <c:idx val="3"/>
          <c:order val="3"/>
          <c:tx>
            <c:strRef>
              <c:f>Towerbank!$B$171</c:f>
              <c:strCache>
                <c:ptCount val="1"/>
                <c:pt idx="0">
                  <c:v>Actual P1 Registrations (as of Jan 2016)</c:v>
                </c:pt>
              </c:strCache>
            </c:strRef>
          </c:tx>
          <c:spPr>
            <a:ln w="15875">
              <a:noFill/>
            </a:ln>
          </c:spPr>
          <c:marker>
            <c:symbol val="diamond"/>
            <c:size val="9"/>
            <c:spPr>
              <a:solidFill>
                <a:schemeClr val="tx1"/>
              </a:solidFill>
            </c:spPr>
          </c:marker>
          <c:cat>
            <c:numRef>
              <c:f>Towerbank!$D$168:$N$168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Towerbank!$D$171:$M$171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A-B190-4B12-964B-C834BC2BDBD7}"/>
            </c:ext>
          </c:extLst>
        </c:ser>
        <c:dLbls>
          <c:showLegendKey val="0"/>
          <c:showVal val="0"/>
          <c:showCatName val="0"/>
          <c:showSerName val="0"/>
          <c:showPercent val="0"/>
          <c:showBubbleSize val="0"/>
        </c:dLbls>
        <c:marker val="1"/>
        <c:smooth val="0"/>
        <c:axId val="354479432"/>
        <c:axId val="354479824"/>
      </c:lineChart>
      <c:catAx>
        <c:axId val="354479432"/>
        <c:scaling>
          <c:orientation val="minMax"/>
        </c:scaling>
        <c:delete val="0"/>
        <c:axPos val="b"/>
        <c:numFmt formatCode="General" sourceLinked="1"/>
        <c:majorTickMark val="out"/>
        <c:minorTickMark val="none"/>
        <c:tickLblPos val="nextTo"/>
        <c:crossAx val="354479824"/>
        <c:crosses val="autoZero"/>
        <c:auto val="1"/>
        <c:lblAlgn val="ctr"/>
        <c:lblOffset val="100"/>
        <c:noMultiLvlLbl val="0"/>
      </c:catAx>
      <c:valAx>
        <c:axId val="354479824"/>
        <c:scaling>
          <c:orientation val="minMax"/>
        </c:scaling>
        <c:delete val="0"/>
        <c:axPos val="l"/>
        <c:majorGridlines/>
        <c:numFmt formatCode="#,##0" sourceLinked="1"/>
        <c:majorTickMark val="out"/>
        <c:minorTickMark val="none"/>
        <c:tickLblPos val="nextTo"/>
        <c:crossAx val="354479432"/>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8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0AF9-4446-82FF-931CDA26DAE2}"/>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54480608"/>
        <c:axId val="354481000"/>
      </c:lineChart>
      <c:catAx>
        <c:axId val="354480608"/>
        <c:scaling>
          <c:orientation val="minMax"/>
        </c:scaling>
        <c:delete val="0"/>
        <c:axPos val="b"/>
        <c:numFmt formatCode="General" sourceLinked="1"/>
        <c:majorTickMark val="out"/>
        <c:minorTickMark val="none"/>
        <c:tickLblPos val="nextTo"/>
        <c:crossAx val="354481000"/>
        <c:crosses val="autoZero"/>
        <c:auto val="1"/>
        <c:lblAlgn val="ctr"/>
        <c:lblOffset val="100"/>
        <c:noMultiLvlLbl val="0"/>
      </c:catAx>
      <c:valAx>
        <c:axId val="354481000"/>
        <c:scaling>
          <c:orientation val="minMax"/>
        </c:scaling>
        <c:delete val="0"/>
        <c:axPos val="l"/>
        <c:majorGridlines/>
        <c:numFmt formatCode="General" sourceLinked="1"/>
        <c:majorTickMark val="out"/>
        <c:minorTickMark val="none"/>
        <c:tickLblPos val="nextTo"/>
        <c:crossAx val="354480608"/>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8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square"/>
            <c:size val="7"/>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ACC5-408D-89BD-EBE59AC85D1B}"/>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1"/>
          <c:order val="1"/>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1-ACC5-408D-89BD-EBE59AC85D1B}"/>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2"/>
          <c:order val="2"/>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ACC5-408D-89BD-EBE59AC85D1B}"/>
              </c:ext>
            </c:extLst>
          </c:dPt>
          <c:dPt>
            <c:idx val="5"/>
            <c:marker>
              <c:symbol val="circle"/>
              <c:size val="7"/>
            </c:marker>
            <c:bubble3D val="0"/>
            <c:extLst xmlns:c16r2="http://schemas.microsoft.com/office/drawing/2015/06/chart">
              <c:ext xmlns:c16="http://schemas.microsoft.com/office/drawing/2014/chart" uri="{C3380CC4-5D6E-409C-BE32-E72D297353CC}">
                <c16:uniqueId val="{00000003-ACC5-408D-89BD-EBE59AC85D1B}"/>
              </c:ext>
            </c:extLst>
          </c:dPt>
          <c:dPt>
            <c:idx val="6"/>
            <c:marker>
              <c:symbol val="circle"/>
              <c:size val="7"/>
            </c:marker>
            <c:bubble3D val="0"/>
            <c:extLst xmlns:c16r2="http://schemas.microsoft.com/office/drawing/2015/06/chart">
              <c:ext xmlns:c16="http://schemas.microsoft.com/office/drawing/2014/chart" uri="{C3380CC4-5D6E-409C-BE32-E72D297353CC}">
                <c16:uniqueId val="{00000004-ACC5-408D-89BD-EBE59AC85D1B}"/>
              </c:ext>
            </c:extLst>
          </c:dPt>
          <c:dPt>
            <c:idx val="7"/>
            <c:marker>
              <c:symbol val="circle"/>
              <c:size val="7"/>
            </c:marker>
            <c:bubble3D val="0"/>
            <c:extLst xmlns:c16r2="http://schemas.microsoft.com/office/drawing/2015/06/chart">
              <c:ext xmlns:c16="http://schemas.microsoft.com/office/drawing/2014/chart" uri="{C3380CC4-5D6E-409C-BE32-E72D297353CC}">
                <c16:uniqueId val="{00000005-ACC5-408D-89BD-EBE59AC85D1B}"/>
              </c:ext>
            </c:extLst>
          </c:dPt>
          <c:dPt>
            <c:idx val="8"/>
            <c:marker>
              <c:symbol val="circle"/>
              <c:size val="7"/>
            </c:marker>
            <c:bubble3D val="0"/>
            <c:extLst xmlns:c16r2="http://schemas.microsoft.com/office/drawing/2015/06/chart">
              <c:ext xmlns:c16="http://schemas.microsoft.com/office/drawing/2014/chart" uri="{C3380CC4-5D6E-409C-BE32-E72D297353CC}">
                <c16:uniqueId val="{00000006-ACC5-408D-89BD-EBE59AC85D1B}"/>
              </c:ext>
            </c:extLst>
          </c:dPt>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7-ACC5-408D-89BD-EBE59AC85D1B}"/>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54481784"/>
        <c:axId val="354482176"/>
      </c:lineChart>
      <c:catAx>
        <c:axId val="354481784"/>
        <c:scaling>
          <c:orientation val="minMax"/>
        </c:scaling>
        <c:delete val="0"/>
        <c:axPos val="b"/>
        <c:numFmt formatCode="General" sourceLinked="1"/>
        <c:majorTickMark val="out"/>
        <c:minorTickMark val="none"/>
        <c:tickLblPos val="nextTo"/>
        <c:crossAx val="354482176"/>
        <c:crosses val="autoZero"/>
        <c:auto val="1"/>
        <c:lblAlgn val="ctr"/>
        <c:lblOffset val="100"/>
        <c:noMultiLvlLbl val="0"/>
      </c:catAx>
      <c:valAx>
        <c:axId val="354482176"/>
        <c:scaling>
          <c:orientation val="minMax"/>
        </c:scaling>
        <c:delete val="0"/>
        <c:axPos val="l"/>
        <c:majorGridlines/>
        <c:numFmt formatCode="General" sourceLinked="1"/>
        <c:majorTickMark val="out"/>
        <c:minorTickMark val="none"/>
        <c:tickLblPos val="nextTo"/>
        <c:crossAx val="354481784"/>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8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Trinity!$B$177:$B$190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Trinity!$J$177:$J$190</c:f>
              <c:numCache>
                <c:formatCode>General</c:formatCode>
                <c:ptCount val="14"/>
                <c:pt idx="0">
                  <c:v>412</c:v>
                </c:pt>
                <c:pt idx="1">
                  <c:v>381</c:v>
                </c:pt>
                <c:pt idx="2">
                  <c:v>357</c:v>
                </c:pt>
                <c:pt idx="3">
                  <c:v>332</c:v>
                </c:pt>
                <c:pt idx="4">
                  <c:v>327</c:v>
                </c:pt>
                <c:pt idx="5">
                  <c:v>327</c:v>
                </c:pt>
                <c:pt idx="6">
                  <c:v>326</c:v>
                </c:pt>
                <c:pt idx="7">
                  <c:v>329</c:v>
                </c:pt>
                <c:pt idx="8">
                  <c:v>413</c:v>
                </c:pt>
                <c:pt idx="9">
                  <c:v>432</c:v>
                </c:pt>
                <c:pt idx="10">
                  <c:v>465</c:v>
                </c:pt>
                <c:pt idx="11">
                  <c:v>484</c:v>
                </c:pt>
                <c:pt idx="12">
                  <c:v>495</c:v>
                </c:pt>
                <c:pt idx="13">
                  <c:v>507</c:v>
                </c:pt>
              </c:numCache>
            </c:numRef>
          </c:val>
          <c:smooth val="0"/>
          <c:extLst xmlns:c16r2="http://schemas.microsoft.com/office/drawing/2015/06/chart">
            <c:ext xmlns:c16="http://schemas.microsoft.com/office/drawing/2014/chart" uri="{C3380CC4-5D6E-409C-BE32-E72D297353CC}">
              <c16:uniqueId val="{00000000-9AA4-4FFA-B022-59536951437E}"/>
            </c:ext>
          </c:extLst>
        </c:ser>
        <c:dLbls>
          <c:showLegendKey val="0"/>
          <c:showVal val="0"/>
          <c:showCatName val="0"/>
          <c:showSerName val="0"/>
          <c:showPercent val="0"/>
          <c:showBubbleSize val="0"/>
        </c:dLbls>
        <c:marker val="1"/>
        <c:smooth val="0"/>
        <c:axId val="354482960"/>
        <c:axId val="354483352"/>
      </c:lineChart>
      <c:catAx>
        <c:axId val="354482960"/>
        <c:scaling>
          <c:orientation val="minMax"/>
        </c:scaling>
        <c:delete val="0"/>
        <c:axPos val="b"/>
        <c:numFmt formatCode="General" sourceLinked="1"/>
        <c:majorTickMark val="out"/>
        <c:minorTickMark val="none"/>
        <c:tickLblPos val="nextTo"/>
        <c:crossAx val="354483352"/>
        <c:crosses val="autoZero"/>
        <c:auto val="1"/>
        <c:lblAlgn val="ctr"/>
        <c:lblOffset val="100"/>
        <c:noMultiLvlLbl val="0"/>
      </c:catAx>
      <c:valAx>
        <c:axId val="354483352"/>
        <c:scaling>
          <c:orientation val="minMax"/>
        </c:scaling>
        <c:delete val="0"/>
        <c:axPos val="l"/>
        <c:majorGridlines/>
        <c:numFmt formatCode="General" sourceLinked="1"/>
        <c:majorTickMark val="out"/>
        <c:minorTickMark val="none"/>
        <c:tickLblPos val="nextTo"/>
        <c:crossAx val="354482960"/>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8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Trinity!$B$169</c:f>
              <c:strCache>
                <c:ptCount val="1"/>
                <c:pt idx="0">
                  <c:v>Catchment Births (5yrs Prior)</c:v>
                </c:pt>
              </c:strCache>
            </c:strRef>
          </c:tx>
          <c:marker>
            <c:symbol val="square"/>
            <c:size val="7"/>
          </c:marker>
          <c:cat>
            <c:numRef>
              <c:f>Trinity!$D$168:$N$168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Trinity!$D$169:$N$169</c:f>
              <c:numCache>
                <c:formatCode>#,##0</c:formatCode>
                <c:ptCount val="11"/>
                <c:pt idx="0">
                  <c:v>129</c:v>
                </c:pt>
                <c:pt idx="1">
                  <c:v>142</c:v>
                </c:pt>
                <c:pt idx="2">
                  <c:v>166</c:v>
                </c:pt>
                <c:pt idx="3">
                  <c:v>162</c:v>
                </c:pt>
                <c:pt idx="4">
                  <c:v>155</c:v>
                </c:pt>
                <c:pt idx="5">
                  <c:v>158</c:v>
                </c:pt>
                <c:pt idx="6">
                  <c:v>146</c:v>
                </c:pt>
                <c:pt idx="7">
                  <c:v>143</c:v>
                </c:pt>
                <c:pt idx="8">
                  <c:v>156</c:v>
                </c:pt>
                <c:pt idx="9">
                  <c:v>136</c:v>
                </c:pt>
                <c:pt idx="10">
                  <c:v>147</c:v>
                </c:pt>
              </c:numCache>
            </c:numRef>
          </c:val>
          <c:smooth val="0"/>
          <c:extLst xmlns:c16r2="http://schemas.microsoft.com/office/drawing/2015/06/chart">
            <c:ext xmlns:c16="http://schemas.microsoft.com/office/drawing/2014/chart" uri="{C3380CC4-5D6E-409C-BE32-E72D297353CC}">
              <c16:uniqueId val="{00000000-1B70-427C-A1DB-DFD55970790C}"/>
            </c:ext>
          </c:extLst>
        </c:ser>
        <c:ser>
          <c:idx val="1"/>
          <c:order val="1"/>
          <c:tx>
            <c:strRef>
              <c:f>Trinity!$B$170</c:f>
              <c:strCache>
                <c:ptCount val="1"/>
                <c:pt idx="0">
                  <c:v>P1 ND Catchment Population (Actual)</c:v>
                </c:pt>
              </c:strCache>
            </c:strRef>
          </c:tx>
          <c:cat>
            <c:numRef>
              <c:f>Trinity!$D$168:$N$168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Trinity!$D$170:$I$170</c:f>
              <c:numCache>
                <c:formatCode>#,##0</c:formatCode>
                <c:ptCount val="6"/>
                <c:pt idx="0">
                  <c:v>66</c:v>
                </c:pt>
                <c:pt idx="1">
                  <c:v>74</c:v>
                </c:pt>
                <c:pt idx="2">
                  <c:v>79</c:v>
                </c:pt>
                <c:pt idx="3">
                  <c:v>82</c:v>
                </c:pt>
                <c:pt idx="4">
                  <c:v>75</c:v>
                </c:pt>
                <c:pt idx="5">
                  <c:v>77</c:v>
                </c:pt>
              </c:numCache>
            </c:numRef>
          </c:val>
          <c:smooth val="0"/>
          <c:extLst xmlns:c16r2="http://schemas.microsoft.com/office/drawing/2015/06/chart">
            <c:ext xmlns:c16="http://schemas.microsoft.com/office/drawing/2014/chart" uri="{C3380CC4-5D6E-409C-BE32-E72D297353CC}">
              <c16:uniqueId val="{00000001-1B70-427C-A1DB-DFD55970790C}"/>
            </c:ext>
          </c:extLst>
        </c:ser>
        <c:ser>
          <c:idx val="2"/>
          <c:order val="2"/>
          <c:tx>
            <c:strRef>
              <c:f>Trinity!$B$172</c:f>
              <c:strCache>
                <c:ptCount val="1"/>
                <c:pt idx="0">
                  <c:v>P1 ND Catchment Population Projected (Births and Housing)</c:v>
                </c:pt>
              </c:strCache>
            </c:strRef>
          </c:tx>
          <c:spPr>
            <a:ln>
              <a:prstDash val="sysDash"/>
            </a:ln>
          </c:spPr>
          <c:marker>
            <c:symbol val="none"/>
          </c:marker>
          <c:dPt>
            <c:idx val="6"/>
            <c:marker>
              <c:symbol val="circle"/>
              <c:size val="7"/>
            </c:marker>
            <c:bubble3D val="0"/>
            <c:extLst xmlns:c16r2="http://schemas.microsoft.com/office/drawing/2015/06/chart">
              <c:ext xmlns:c16="http://schemas.microsoft.com/office/drawing/2014/chart" uri="{C3380CC4-5D6E-409C-BE32-E72D297353CC}">
                <c16:uniqueId val="{00000002-1B70-427C-A1DB-DFD55970790C}"/>
              </c:ext>
            </c:extLst>
          </c:dPt>
          <c:dPt>
            <c:idx val="7"/>
            <c:marker>
              <c:symbol val="circle"/>
              <c:size val="7"/>
            </c:marker>
            <c:bubble3D val="0"/>
            <c:extLst xmlns:c16r2="http://schemas.microsoft.com/office/drawing/2015/06/chart">
              <c:ext xmlns:c16="http://schemas.microsoft.com/office/drawing/2014/chart" uri="{C3380CC4-5D6E-409C-BE32-E72D297353CC}">
                <c16:uniqueId val="{00000003-1B70-427C-A1DB-DFD55970790C}"/>
              </c:ext>
            </c:extLst>
          </c:dPt>
          <c:dPt>
            <c:idx val="8"/>
            <c:marker>
              <c:symbol val="circle"/>
              <c:size val="7"/>
            </c:marker>
            <c:bubble3D val="0"/>
            <c:extLst xmlns:c16r2="http://schemas.microsoft.com/office/drawing/2015/06/chart">
              <c:ext xmlns:c16="http://schemas.microsoft.com/office/drawing/2014/chart" uri="{C3380CC4-5D6E-409C-BE32-E72D297353CC}">
                <c16:uniqueId val="{00000004-1B70-427C-A1DB-DFD55970790C}"/>
              </c:ext>
            </c:extLst>
          </c:dPt>
          <c:dPt>
            <c:idx val="9"/>
            <c:marker>
              <c:symbol val="circle"/>
              <c:size val="7"/>
            </c:marker>
            <c:bubble3D val="0"/>
            <c:extLst xmlns:c16r2="http://schemas.microsoft.com/office/drawing/2015/06/chart">
              <c:ext xmlns:c16="http://schemas.microsoft.com/office/drawing/2014/chart" uri="{C3380CC4-5D6E-409C-BE32-E72D297353CC}">
                <c16:uniqueId val="{00000005-1B70-427C-A1DB-DFD55970790C}"/>
              </c:ext>
            </c:extLst>
          </c:dPt>
          <c:dPt>
            <c:idx val="10"/>
            <c:marker>
              <c:symbol val="circle"/>
              <c:size val="7"/>
            </c:marker>
            <c:bubble3D val="0"/>
            <c:extLst xmlns:c16r2="http://schemas.microsoft.com/office/drawing/2015/06/chart">
              <c:ext xmlns:c16="http://schemas.microsoft.com/office/drawing/2014/chart" uri="{C3380CC4-5D6E-409C-BE32-E72D297353CC}">
                <c16:uniqueId val="{00000006-1B70-427C-A1DB-DFD55970790C}"/>
              </c:ext>
            </c:extLst>
          </c:dPt>
          <c:cat>
            <c:numRef>
              <c:f>Trinity!$D$168:$N$168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Trinity!$D$172:$N$172</c:f>
              <c:numCache>
                <c:formatCode>General</c:formatCode>
                <c:ptCount val="11"/>
                <c:pt idx="5" formatCode="0">
                  <c:v>77</c:v>
                </c:pt>
                <c:pt idx="6" formatCode="0">
                  <c:v>0</c:v>
                </c:pt>
                <c:pt idx="7" formatCode="0">
                  <c:v>74</c:v>
                </c:pt>
                <c:pt idx="8" formatCode="0">
                  <c:v>80</c:v>
                </c:pt>
                <c:pt idx="9" formatCode="0">
                  <c:v>67</c:v>
                </c:pt>
                <c:pt idx="10" formatCode="0">
                  <c:v>75</c:v>
                </c:pt>
              </c:numCache>
            </c:numRef>
          </c:val>
          <c:smooth val="0"/>
          <c:extLst xmlns:c16r2="http://schemas.microsoft.com/office/drawing/2015/06/chart">
            <c:ext xmlns:c16="http://schemas.microsoft.com/office/drawing/2014/chart" uri="{C3380CC4-5D6E-409C-BE32-E72D297353CC}">
              <c16:uniqueId val="{00000007-1B70-427C-A1DB-DFD55970790C}"/>
            </c:ext>
          </c:extLst>
        </c:ser>
        <c:ser>
          <c:idx val="3"/>
          <c:order val="3"/>
          <c:tx>
            <c:strRef>
              <c:f>Trinity!$B$171</c:f>
              <c:strCache>
                <c:ptCount val="1"/>
                <c:pt idx="0">
                  <c:v>Actual P1 Registrations (as of Jan 2016)</c:v>
                </c:pt>
              </c:strCache>
            </c:strRef>
          </c:tx>
          <c:spPr>
            <a:ln w="15875">
              <a:noFill/>
            </a:ln>
          </c:spPr>
          <c:marker>
            <c:symbol val="diamond"/>
            <c:size val="9"/>
            <c:spPr>
              <a:solidFill>
                <a:schemeClr val="tx1"/>
              </a:solidFill>
            </c:spPr>
          </c:marker>
          <c:cat>
            <c:numRef>
              <c:f>Trinity!$D$168:$N$168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Trinity!$D$171:$M$171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8-1B70-427C-A1DB-DFD55970790C}"/>
            </c:ext>
          </c:extLst>
        </c:ser>
        <c:dLbls>
          <c:showLegendKey val="0"/>
          <c:showVal val="0"/>
          <c:showCatName val="0"/>
          <c:showSerName val="0"/>
          <c:showPercent val="0"/>
          <c:showBubbleSize val="0"/>
        </c:dLbls>
        <c:marker val="1"/>
        <c:smooth val="0"/>
        <c:axId val="354484136"/>
        <c:axId val="354484528"/>
      </c:lineChart>
      <c:catAx>
        <c:axId val="354484136"/>
        <c:scaling>
          <c:orientation val="minMax"/>
        </c:scaling>
        <c:delete val="0"/>
        <c:axPos val="b"/>
        <c:numFmt formatCode="General" sourceLinked="1"/>
        <c:majorTickMark val="out"/>
        <c:minorTickMark val="none"/>
        <c:tickLblPos val="nextTo"/>
        <c:crossAx val="354484528"/>
        <c:crosses val="autoZero"/>
        <c:auto val="1"/>
        <c:lblAlgn val="ctr"/>
        <c:lblOffset val="100"/>
        <c:noMultiLvlLbl val="0"/>
      </c:catAx>
      <c:valAx>
        <c:axId val="354484528"/>
        <c:scaling>
          <c:orientation val="minMax"/>
        </c:scaling>
        <c:delete val="0"/>
        <c:axPos val="l"/>
        <c:majorGridlines/>
        <c:numFmt formatCode="#,##0" sourceLinked="1"/>
        <c:majorTickMark val="out"/>
        <c:minorTickMark val="none"/>
        <c:tickLblPos val="nextTo"/>
        <c:crossAx val="354484136"/>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8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D65E-4996-977C-983C5FA7E93E}"/>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54485312"/>
        <c:axId val="354485704"/>
      </c:lineChart>
      <c:catAx>
        <c:axId val="354485312"/>
        <c:scaling>
          <c:orientation val="minMax"/>
        </c:scaling>
        <c:delete val="0"/>
        <c:axPos val="b"/>
        <c:numFmt formatCode="General" sourceLinked="1"/>
        <c:majorTickMark val="out"/>
        <c:minorTickMark val="none"/>
        <c:tickLblPos val="nextTo"/>
        <c:crossAx val="354485704"/>
        <c:crosses val="autoZero"/>
        <c:auto val="1"/>
        <c:lblAlgn val="ctr"/>
        <c:lblOffset val="100"/>
        <c:noMultiLvlLbl val="0"/>
      </c:catAx>
      <c:valAx>
        <c:axId val="354485704"/>
        <c:scaling>
          <c:orientation val="minMax"/>
        </c:scaling>
        <c:delete val="0"/>
        <c:axPos val="l"/>
        <c:majorGridlines/>
        <c:numFmt formatCode="General" sourceLinked="1"/>
        <c:majorTickMark val="out"/>
        <c:minorTickMark val="none"/>
        <c:tickLblPos val="nextTo"/>
        <c:crossAx val="354485312"/>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8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square"/>
            <c:size val="7"/>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0894-43CF-8C5B-2113F2633C4B}"/>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1"/>
          <c:order val="1"/>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1-0894-43CF-8C5B-2113F2633C4B}"/>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2"/>
          <c:order val="2"/>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0894-43CF-8C5B-2113F2633C4B}"/>
              </c:ext>
            </c:extLst>
          </c:dPt>
          <c:dPt>
            <c:idx val="5"/>
            <c:marker>
              <c:symbol val="circle"/>
              <c:size val="7"/>
            </c:marker>
            <c:bubble3D val="0"/>
            <c:extLst xmlns:c16r2="http://schemas.microsoft.com/office/drawing/2015/06/chart">
              <c:ext xmlns:c16="http://schemas.microsoft.com/office/drawing/2014/chart" uri="{C3380CC4-5D6E-409C-BE32-E72D297353CC}">
                <c16:uniqueId val="{00000003-0894-43CF-8C5B-2113F2633C4B}"/>
              </c:ext>
            </c:extLst>
          </c:dPt>
          <c:dPt>
            <c:idx val="6"/>
            <c:marker>
              <c:symbol val="circle"/>
              <c:size val="7"/>
            </c:marker>
            <c:bubble3D val="0"/>
            <c:extLst xmlns:c16r2="http://schemas.microsoft.com/office/drawing/2015/06/chart">
              <c:ext xmlns:c16="http://schemas.microsoft.com/office/drawing/2014/chart" uri="{C3380CC4-5D6E-409C-BE32-E72D297353CC}">
                <c16:uniqueId val="{00000004-0894-43CF-8C5B-2113F2633C4B}"/>
              </c:ext>
            </c:extLst>
          </c:dPt>
          <c:dPt>
            <c:idx val="7"/>
            <c:marker>
              <c:symbol val="circle"/>
              <c:size val="7"/>
            </c:marker>
            <c:bubble3D val="0"/>
            <c:extLst xmlns:c16r2="http://schemas.microsoft.com/office/drawing/2015/06/chart">
              <c:ext xmlns:c16="http://schemas.microsoft.com/office/drawing/2014/chart" uri="{C3380CC4-5D6E-409C-BE32-E72D297353CC}">
                <c16:uniqueId val="{00000005-0894-43CF-8C5B-2113F2633C4B}"/>
              </c:ext>
            </c:extLst>
          </c:dPt>
          <c:dPt>
            <c:idx val="8"/>
            <c:marker>
              <c:symbol val="circle"/>
              <c:size val="7"/>
            </c:marker>
            <c:bubble3D val="0"/>
            <c:extLst xmlns:c16r2="http://schemas.microsoft.com/office/drawing/2015/06/chart">
              <c:ext xmlns:c16="http://schemas.microsoft.com/office/drawing/2014/chart" uri="{C3380CC4-5D6E-409C-BE32-E72D297353CC}">
                <c16:uniqueId val="{00000006-0894-43CF-8C5B-2113F2633C4B}"/>
              </c:ext>
            </c:extLst>
          </c:dPt>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7-0894-43CF-8C5B-2113F2633C4B}"/>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354486488"/>
        <c:axId val="354486880"/>
      </c:lineChart>
      <c:catAx>
        <c:axId val="354486488"/>
        <c:scaling>
          <c:orientation val="minMax"/>
        </c:scaling>
        <c:delete val="0"/>
        <c:axPos val="b"/>
        <c:numFmt formatCode="General" sourceLinked="1"/>
        <c:majorTickMark val="out"/>
        <c:minorTickMark val="none"/>
        <c:tickLblPos val="nextTo"/>
        <c:crossAx val="354486880"/>
        <c:crosses val="autoZero"/>
        <c:auto val="1"/>
        <c:lblAlgn val="ctr"/>
        <c:lblOffset val="100"/>
        <c:noMultiLvlLbl val="0"/>
      </c:catAx>
      <c:valAx>
        <c:axId val="354486880"/>
        <c:scaling>
          <c:orientation val="minMax"/>
        </c:scaling>
        <c:delete val="0"/>
        <c:axPos val="l"/>
        <c:majorGridlines/>
        <c:numFmt formatCode="General" sourceLinked="1"/>
        <c:majorTickMark val="out"/>
        <c:minorTickMark val="none"/>
        <c:tickLblPos val="nextTo"/>
        <c:crossAx val="354486488"/>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9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Victoria!$B$177:$B$190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Victoria!$J$177:$J$190</c:f>
              <c:numCache>
                <c:formatCode>General</c:formatCode>
                <c:ptCount val="14"/>
                <c:pt idx="0">
                  <c:v>109</c:v>
                </c:pt>
                <c:pt idx="1">
                  <c:v>118</c:v>
                </c:pt>
                <c:pt idx="2">
                  <c:v>109</c:v>
                </c:pt>
                <c:pt idx="3">
                  <c:v>117</c:v>
                </c:pt>
                <c:pt idx="4">
                  <c:v>99</c:v>
                </c:pt>
                <c:pt idx="5">
                  <c:v>93</c:v>
                </c:pt>
                <c:pt idx="6">
                  <c:v>114</c:v>
                </c:pt>
                <c:pt idx="7">
                  <c:v>129</c:v>
                </c:pt>
                <c:pt idx="8">
                  <c:v>135</c:v>
                </c:pt>
                <c:pt idx="9">
                  <c:v>144</c:v>
                </c:pt>
                <c:pt idx="10">
                  <c:v>152</c:v>
                </c:pt>
                <c:pt idx="11">
                  <c:v>170</c:v>
                </c:pt>
                <c:pt idx="12">
                  <c:v>207</c:v>
                </c:pt>
                <c:pt idx="13">
                  <c:v>230</c:v>
                </c:pt>
              </c:numCache>
            </c:numRef>
          </c:val>
          <c:smooth val="0"/>
          <c:extLst xmlns:c16r2="http://schemas.microsoft.com/office/drawing/2015/06/chart">
            <c:ext xmlns:c16="http://schemas.microsoft.com/office/drawing/2014/chart" uri="{C3380CC4-5D6E-409C-BE32-E72D297353CC}">
              <c16:uniqueId val="{00000000-B598-4BEA-B5C0-BBCDC1882B0D}"/>
            </c:ext>
          </c:extLst>
        </c:ser>
        <c:dLbls>
          <c:showLegendKey val="0"/>
          <c:showVal val="0"/>
          <c:showCatName val="0"/>
          <c:showSerName val="0"/>
          <c:showPercent val="0"/>
          <c:showBubbleSize val="0"/>
        </c:dLbls>
        <c:marker val="1"/>
        <c:smooth val="0"/>
        <c:axId val="354487664"/>
        <c:axId val="446847640"/>
      </c:lineChart>
      <c:catAx>
        <c:axId val="354487664"/>
        <c:scaling>
          <c:orientation val="minMax"/>
        </c:scaling>
        <c:delete val="0"/>
        <c:axPos val="b"/>
        <c:numFmt formatCode="General" sourceLinked="1"/>
        <c:majorTickMark val="out"/>
        <c:minorTickMark val="none"/>
        <c:tickLblPos val="nextTo"/>
        <c:crossAx val="446847640"/>
        <c:crosses val="autoZero"/>
        <c:auto val="1"/>
        <c:lblAlgn val="ctr"/>
        <c:lblOffset val="100"/>
        <c:noMultiLvlLbl val="0"/>
      </c:catAx>
      <c:valAx>
        <c:axId val="446847640"/>
        <c:scaling>
          <c:orientation val="minMax"/>
        </c:scaling>
        <c:delete val="0"/>
        <c:axPos val="l"/>
        <c:majorGridlines/>
        <c:numFmt formatCode="General" sourceLinked="1"/>
        <c:majorTickMark val="out"/>
        <c:minorTickMark val="none"/>
        <c:tickLblPos val="nextTo"/>
        <c:crossAx val="354487664"/>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9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Victoria!$B$169</c:f>
              <c:strCache>
                <c:ptCount val="1"/>
                <c:pt idx="0">
                  <c:v>Catchment Births (5yrs Prior)</c:v>
                </c:pt>
              </c:strCache>
            </c:strRef>
          </c:tx>
          <c:marker>
            <c:symbol val="square"/>
            <c:size val="7"/>
          </c:marker>
          <c:cat>
            <c:numRef>
              <c:f>Victoria!$D$168:$N$168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Victoria!$D$169:$N$169</c:f>
              <c:numCache>
                <c:formatCode>#,##0</c:formatCode>
                <c:ptCount val="11"/>
                <c:pt idx="0">
                  <c:v>33</c:v>
                </c:pt>
                <c:pt idx="1">
                  <c:v>35</c:v>
                </c:pt>
                <c:pt idx="2">
                  <c:v>51</c:v>
                </c:pt>
                <c:pt idx="3">
                  <c:v>46</c:v>
                </c:pt>
                <c:pt idx="4">
                  <c:v>68</c:v>
                </c:pt>
                <c:pt idx="5">
                  <c:v>77</c:v>
                </c:pt>
                <c:pt idx="6">
                  <c:v>74</c:v>
                </c:pt>
                <c:pt idx="7">
                  <c:v>84</c:v>
                </c:pt>
                <c:pt idx="8">
                  <c:v>70</c:v>
                </c:pt>
                <c:pt idx="9">
                  <c:v>75</c:v>
                </c:pt>
                <c:pt idx="10">
                  <c:v>66</c:v>
                </c:pt>
              </c:numCache>
            </c:numRef>
          </c:val>
          <c:smooth val="0"/>
          <c:extLst xmlns:c16r2="http://schemas.microsoft.com/office/drawing/2015/06/chart">
            <c:ext xmlns:c16="http://schemas.microsoft.com/office/drawing/2014/chart" uri="{C3380CC4-5D6E-409C-BE32-E72D297353CC}">
              <c16:uniqueId val="{00000000-9C8D-4E42-97D4-96FE158F167A}"/>
            </c:ext>
          </c:extLst>
        </c:ser>
        <c:ser>
          <c:idx val="1"/>
          <c:order val="1"/>
          <c:tx>
            <c:strRef>
              <c:f>Victoria!$B$170</c:f>
              <c:strCache>
                <c:ptCount val="1"/>
                <c:pt idx="0">
                  <c:v>P1 ND Catchment Population (Actual)</c:v>
                </c:pt>
              </c:strCache>
            </c:strRef>
          </c:tx>
          <c:cat>
            <c:numRef>
              <c:f>Victoria!$D$168:$N$168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Victoria!$D$170:$I$170</c:f>
              <c:numCache>
                <c:formatCode>#,##0</c:formatCode>
                <c:ptCount val="6"/>
                <c:pt idx="0">
                  <c:v>23</c:v>
                </c:pt>
                <c:pt idx="1">
                  <c:v>19</c:v>
                </c:pt>
                <c:pt idx="2">
                  <c:v>38</c:v>
                </c:pt>
                <c:pt idx="3">
                  <c:v>30</c:v>
                </c:pt>
                <c:pt idx="4">
                  <c:v>44</c:v>
                </c:pt>
                <c:pt idx="5">
                  <c:v>28</c:v>
                </c:pt>
              </c:numCache>
            </c:numRef>
          </c:val>
          <c:smooth val="0"/>
          <c:extLst xmlns:c16r2="http://schemas.microsoft.com/office/drawing/2015/06/chart">
            <c:ext xmlns:c16="http://schemas.microsoft.com/office/drawing/2014/chart" uri="{C3380CC4-5D6E-409C-BE32-E72D297353CC}">
              <c16:uniqueId val="{00000001-9C8D-4E42-97D4-96FE158F167A}"/>
            </c:ext>
          </c:extLst>
        </c:ser>
        <c:ser>
          <c:idx val="2"/>
          <c:order val="2"/>
          <c:tx>
            <c:strRef>
              <c:f>Victoria!$B$172</c:f>
              <c:strCache>
                <c:ptCount val="1"/>
                <c:pt idx="0">
                  <c:v>P1 ND Catchment Population Projected (Births and Housing)</c:v>
                </c:pt>
              </c:strCache>
            </c:strRef>
          </c:tx>
          <c:spPr>
            <a:ln>
              <a:prstDash val="sysDash"/>
            </a:ln>
          </c:spPr>
          <c:marker>
            <c:symbol val="none"/>
          </c:marker>
          <c:dPt>
            <c:idx val="6"/>
            <c:marker>
              <c:symbol val="circle"/>
              <c:size val="7"/>
            </c:marker>
            <c:bubble3D val="0"/>
            <c:extLst xmlns:c16r2="http://schemas.microsoft.com/office/drawing/2015/06/chart">
              <c:ext xmlns:c16="http://schemas.microsoft.com/office/drawing/2014/chart" uri="{C3380CC4-5D6E-409C-BE32-E72D297353CC}">
                <c16:uniqueId val="{00000002-9C8D-4E42-97D4-96FE158F167A}"/>
              </c:ext>
            </c:extLst>
          </c:dPt>
          <c:dPt>
            <c:idx val="7"/>
            <c:marker>
              <c:symbol val="circle"/>
              <c:size val="7"/>
            </c:marker>
            <c:bubble3D val="0"/>
            <c:extLst xmlns:c16r2="http://schemas.microsoft.com/office/drawing/2015/06/chart">
              <c:ext xmlns:c16="http://schemas.microsoft.com/office/drawing/2014/chart" uri="{C3380CC4-5D6E-409C-BE32-E72D297353CC}">
                <c16:uniqueId val="{00000003-9C8D-4E42-97D4-96FE158F167A}"/>
              </c:ext>
            </c:extLst>
          </c:dPt>
          <c:dPt>
            <c:idx val="8"/>
            <c:marker>
              <c:symbol val="circle"/>
              <c:size val="7"/>
            </c:marker>
            <c:bubble3D val="0"/>
            <c:extLst xmlns:c16r2="http://schemas.microsoft.com/office/drawing/2015/06/chart">
              <c:ext xmlns:c16="http://schemas.microsoft.com/office/drawing/2014/chart" uri="{C3380CC4-5D6E-409C-BE32-E72D297353CC}">
                <c16:uniqueId val="{00000004-9C8D-4E42-97D4-96FE158F167A}"/>
              </c:ext>
            </c:extLst>
          </c:dPt>
          <c:dPt>
            <c:idx val="9"/>
            <c:marker>
              <c:symbol val="circle"/>
              <c:size val="7"/>
            </c:marker>
            <c:bubble3D val="0"/>
            <c:extLst xmlns:c16r2="http://schemas.microsoft.com/office/drawing/2015/06/chart">
              <c:ext xmlns:c16="http://schemas.microsoft.com/office/drawing/2014/chart" uri="{C3380CC4-5D6E-409C-BE32-E72D297353CC}">
                <c16:uniqueId val="{00000005-9C8D-4E42-97D4-96FE158F167A}"/>
              </c:ext>
            </c:extLst>
          </c:dPt>
          <c:dPt>
            <c:idx val="10"/>
            <c:marker>
              <c:symbol val="circle"/>
              <c:size val="7"/>
            </c:marker>
            <c:bubble3D val="0"/>
            <c:extLst xmlns:c16r2="http://schemas.microsoft.com/office/drawing/2015/06/chart">
              <c:ext xmlns:c16="http://schemas.microsoft.com/office/drawing/2014/chart" uri="{C3380CC4-5D6E-409C-BE32-E72D297353CC}">
                <c16:uniqueId val="{00000006-9C8D-4E42-97D4-96FE158F167A}"/>
              </c:ext>
            </c:extLst>
          </c:dPt>
          <c:cat>
            <c:numRef>
              <c:f>Victoria!$D$168:$N$168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Victoria!$D$172:$N$172</c:f>
              <c:numCache>
                <c:formatCode>General</c:formatCode>
                <c:ptCount val="11"/>
                <c:pt idx="5" formatCode="0">
                  <c:v>28</c:v>
                </c:pt>
                <c:pt idx="6" formatCode="0">
                  <c:v>0</c:v>
                </c:pt>
                <c:pt idx="7" formatCode="0">
                  <c:v>38</c:v>
                </c:pt>
                <c:pt idx="8" formatCode="0">
                  <c:v>34</c:v>
                </c:pt>
                <c:pt idx="9" formatCode="0">
                  <c:v>32</c:v>
                </c:pt>
                <c:pt idx="10" formatCode="0">
                  <c:v>37</c:v>
                </c:pt>
              </c:numCache>
            </c:numRef>
          </c:val>
          <c:smooth val="0"/>
          <c:extLst xmlns:c16r2="http://schemas.microsoft.com/office/drawing/2015/06/chart">
            <c:ext xmlns:c16="http://schemas.microsoft.com/office/drawing/2014/chart" uri="{C3380CC4-5D6E-409C-BE32-E72D297353CC}">
              <c16:uniqueId val="{00000007-9C8D-4E42-97D4-96FE158F167A}"/>
            </c:ext>
          </c:extLst>
        </c:ser>
        <c:ser>
          <c:idx val="3"/>
          <c:order val="3"/>
          <c:tx>
            <c:strRef>
              <c:f>Victoria!$B$171</c:f>
              <c:strCache>
                <c:ptCount val="1"/>
                <c:pt idx="0">
                  <c:v>Actual P1 Registrations (as of Jan 2016)</c:v>
                </c:pt>
              </c:strCache>
            </c:strRef>
          </c:tx>
          <c:spPr>
            <a:ln w="15875">
              <a:noFill/>
            </a:ln>
          </c:spPr>
          <c:marker>
            <c:symbol val="diamond"/>
            <c:size val="9"/>
            <c:spPr>
              <a:solidFill>
                <a:schemeClr val="tx1"/>
              </a:solidFill>
            </c:spPr>
          </c:marker>
          <c:cat>
            <c:numRef>
              <c:f>Victoria!$D$168:$N$168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Victoria!$D$171:$M$171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8-9C8D-4E42-97D4-96FE158F167A}"/>
            </c:ext>
          </c:extLst>
        </c:ser>
        <c:dLbls>
          <c:showLegendKey val="0"/>
          <c:showVal val="0"/>
          <c:showCatName val="0"/>
          <c:showSerName val="0"/>
          <c:showPercent val="0"/>
          <c:showBubbleSize val="0"/>
        </c:dLbls>
        <c:marker val="1"/>
        <c:smooth val="0"/>
        <c:axId val="446848424"/>
        <c:axId val="446848816"/>
      </c:lineChart>
      <c:catAx>
        <c:axId val="446848424"/>
        <c:scaling>
          <c:orientation val="minMax"/>
        </c:scaling>
        <c:delete val="0"/>
        <c:axPos val="b"/>
        <c:numFmt formatCode="General" sourceLinked="1"/>
        <c:majorTickMark val="out"/>
        <c:minorTickMark val="none"/>
        <c:tickLblPos val="nextTo"/>
        <c:crossAx val="446848816"/>
        <c:crosses val="autoZero"/>
        <c:auto val="1"/>
        <c:lblAlgn val="ctr"/>
        <c:lblOffset val="100"/>
        <c:noMultiLvlLbl val="0"/>
      </c:catAx>
      <c:valAx>
        <c:axId val="446848816"/>
        <c:scaling>
          <c:orientation val="minMax"/>
        </c:scaling>
        <c:delete val="0"/>
        <c:axPos val="l"/>
        <c:majorGridlines/>
        <c:numFmt formatCode="#,##0" sourceLinked="1"/>
        <c:majorTickMark val="out"/>
        <c:minorTickMark val="none"/>
        <c:tickLblPos val="nextTo"/>
        <c:crossAx val="446848424"/>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9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spPr>
            <a:ln>
              <a:solidFill>
                <a:prstClr val="black"/>
              </a:solidFill>
            </a:ln>
          </c:spPr>
          <c:marker>
            <c:symbol val="circle"/>
            <c:size val="5"/>
            <c:spPr>
              <a:solidFill>
                <a:schemeClr val="tx1"/>
              </a:solidFill>
              <a:ln>
                <a:noFill/>
              </a:ln>
            </c:spPr>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EB10-4441-88CB-B1375619E494}"/>
            </c:ext>
            <c:ext xmlns:c15="http://schemas.microsoft.com/office/drawing/2012/chart" uri="{02D57815-91ED-43cb-92C2-25804820EDAC}">
              <c15:filteredCategoryTitle>
                <c15:cat>
                  <c:multiLvlStrRef>
                    <c:extLst xmlns:c16r2="http://schemas.microsoft.com/office/drawing/2015/06/chart" xmlns:c16="http://schemas.microsoft.com/office/drawing/2014/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446849600"/>
        <c:axId val="446849992"/>
      </c:lineChart>
      <c:catAx>
        <c:axId val="446849600"/>
        <c:scaling>
          <c:orientation val="minMax"/>
        </c:scaling>
        <c:delete val="0"/>
        <c:axPos val="b"/>
        <c:numFmt formatCode="General" sourceLinked="1"/>
        <c:majorTickMark val="out"/>
        <c:minorTickMark val="none"/>
        <c:tickLblPos val="nextTo"/>
        <c:crossAx val="446849992"/>
        <c:crosses val="autoZero"/>
        <c:auto val="1"/>
        <c:lblAlgn val="ctr"/>
        <c:lblOffset val="100"/>
        <c:noMultiLvlLbl val="0"/>
      </c:catAx>
      <c:valAx>
        <c:axId val="446849992"/>
        <c:scaling>
          <c:orientation val="minMax"/>
        </c:scaling>
        <c:delete val="0"/>
        <c:axPos val="l"/>
        <c:majorGridlines/>
        <c:numFmt formatCode="General" sourceLinked="1"/>
        <c:majorTickMark val="out"/>
        <c:minorTickMark val="none"/>
        <c:tickLblPos val="nextTo"/>
        <c:crossAx val="446849600"/>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9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square"/>
            <c:size val="7"/>
          </c:marker>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0-5D8B-4F31-AFDF-43009B9BE9E2}"/>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1"/>
          <c:order val="1"/>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1-5D8B-4F31-AFDF-43009B9BE9E2}"/>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ser>
          <c:idx val="2"/>
          <c:order val="2"/>
          <c:spPr>
            <a:ln>
              <a:prstDash val="sysDash"/>
            </a:ln>
          </c:spPr>
          <c:dPt>
            <c:idx val="4"/>
            <c:marker>
              <c:symbol val="none"/>
            </c:marker>
            <c:bubble3D val="0"/>
            <c:extLst xmlns:c16r2="http://schemas.microsoft.com/office/drawing/2015/06/chart">
              <c:ext xmlns:c16="http://schemas.microsoft.com/office/drawing/2014/chart" uri="{C3380CC4-5D6E-409C-BE32-E72D297353CC}">
                <c16:uniqueId val="{00000002-5D8B-4F31-AFDF-43009B9BE9E2}"/>
              </c:ext>
            </c:extLst>
          </c:dPt>
          <c:dPt>
            <c:idx val="5"/>
            <c:marker>
              <c:symbol val="circle"/>
              <c:size val="7"/>
            </c:marker>
            <c:bubble3D val="0"/>
            <c:extLst xmlns:c16r2="http://schemas.microsoft.com/office/drawing/2015/06/chart">
              <c:ext xmlns:c16="http://schemas.microsoft.com/office/drawing/2014/chart" uri="{C3380CC4-5D6E-409C-BE32-E72D297353CC}">
                <c16:uniqueId val="{00000003-5D8B-4F31-AFDF-43009B9BE9E2}"/>
              </c:ext>
            </c:extLst>
          </c:dPt>
          <c:dPt>
            <c:idx val="6"/>
            <c:marker>
              <c:symbol val="circle"/>
              <c:size val="7"/>
            </c:marker>
            <c:bubble3D val="0"/>
            <c:extLst xmlns:c16r2="http://schemas.microsoft.com/office/drawing/2015/06/chart">
              <c:ext xmlns:c16="http://schemas.microsoft.com/office/drawing/2014/chart" uri="{C3380CC4-5D6E-409C-BE32-E72D297353CC}">
                <c16:uniqueId val="{00000004-5D8B-4F31-AFDF-43009B9BE9E2}"/>
              </c:ext>
            </c:extLst>
          </c:dPt>
          <c:dPt>
            <c:idx val="7"/>
            <c:marker>
              <c:symbol val="circle"/>
              <c:size val="7"/>
            </c:marker>
            <c:bubble3D val="0"/>
            <c:extLst xmlns:c16r2="http://schemas.microsoft.com/office/drawing/2015/06/chart">
              <c:ext xmlns:c16="http://schemas.microsoft.com/office/drawing/2014/chart" uri="{C3380CC4-5D6E-409C-BE32-E72D297353CC}">
                <c16:uniqueId val="{00000005-5D8B-4F31-AFDF-43009B9BE9E2}"/>
              </c:ext>
            </c:extLst>
          </c:dPt>
          <c:dPt>
            <c:idx val="8"/>
            <c:marker>
              <c:symbol val="circle"/>
              <c:size val="7"/>
            </c:marker>
            <c:bubble3D val="0"/>
            <c:extLst xmlns:c16r2="http://schemas.microsoft.com/office/drawing/2015/06/chart">
              <c:ext xmlns:c16="http://schemas.microsoft.com/office/drawing/2014/chart" uri="{C3380CC4-5D6E-409C-BE32-E72D297353CC}">
                <c16:uniqueId val="{00000006-5D8B-4F31-AFDF-43009B9BE9E2}"/>
              </c:ext>
            </c:extLst>
          </c:dPt>
          <c:val>
            <c:numRef>
              <c:f>'MASTER PROFILE'!#REF!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7-5D8B-4F31-AFDF-43009B9BE9E2}"/>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'MASTER PROFILE'!#REF!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marker val="1"/>
        <c:smooth val="0"/>
        <c:axId val="446850776"/>
        <c:axId val="446851168"/>
      </c:lineChart>
      <c:catAx>
        <c:axId val="446850776"/>
        <c:scaling>
          <c:orientation val="minMax"/>
        </c:scaling>
        <c:delete val="0"/>
        <c:axPos val="b"/>
        <c:numFmt formatCode="General" sourceLinked="1"/>
        <c:majorTickMark val="out"/>
        <c:minorTickMark val="none"/>
        <c:tickLblPos val="nextTo"/>
        <c:crossAx val="446851168"/>
        <c:crosses val="autoZero"/>
        <c:auto val="1"/>
        <c:lblAlgn val="ctr"/>
        <c:lblOffset val="100"/>
        <c:noMultiLvlLbl val="0"/>
      </c:catAx>
      <c:valAx>
        <c:axId val="446851168"/>
        <c:scaling>
          <c:orientation val="minMax"/>
        </c:scaling>
        <c:delete val="0"/>
        <c:axPos val="l"/>
        <c:majorGridlines/>
        <c:numFmt formatCode="General" sourceLinked="1"/>
        <c:majorTickMark val="out"/>
        <c:minorTickMark val="none"/>
        <c:tickLblPos val="nextTo"/>
        <c:crossAx val="446850776"/>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9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Wardie!$B$177:$B$190</c:f>
              <c:numCache>
                <c:formatCode>General</c:formatCode>
                <c:ptCount val="14"/>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numCache>
            </c:numRef>
          </c:cat>
          <c:val>
            <c:numRef>
              <c:f>Wardie!$J$177:$J$190</c:f>
              <c:numCache>
                <c:formatCode>General</c:formatCode>
                <c:ptCount val="14"/>
                <c:pt idx="0">
                  <c:v>381</c:v>
                </c:pt>
                <c:pt idx="1">
                  <c:v>364</c:v>
                </c:pt>
                <c:pt idx="2">
                  <c:v>355</c:v>
                </c:pt>
                <c:pt idx="3">
                  <c:v>366</c:v>
                </c:pt>
                <c:pt idx="4">
                  <c:v>367</c:v>
                </c:pt>
                <c:pt idx="5">
                  <c:v>386</c:v>
                </c:pt>
                <c:pt idx="6">
                  <c:v>408</c:v>
                </c:pt>
                <c:pt idx="7">
                  <c:v>407</c:v>
                </c:pt>
                <c:pt idx="8">
                  <c:v>419</c:v>
                </c:pt>
                <c:pt idx="9">
                  <c:v>415</c:v>
                </c:pt>
                <c:pt idx="10">
                  <c:v>417</c:v>
                </c:pt>
                <c:pt idx="11">
                  <c:v>435</c:v>
                </c:pt>
                <c:pt idx="12">
                  <c:v>469</c:v>
                </c:pt>
                <c:pt idx="13">
                  <c:v>489</c:v>
                </c:pt>
              </c:numCache>
            </c:numRef>
          </c:val>
          <c:smooth val="0"/>
          <c:extLst xmlns:c16r2="http://schemas.microsoft.com/office/drawing/2015/06/chart">
            <c:ext xmlns:c16="http://schemas.microsoft.com/office/drawing/2014/chart" uri="{C3380CC4-5D6E-409C-BE32-E72D297353CC}">
              <c16:uniqueId val="{00000000-6992-4F78-A412-F10979E35735}"/>
            </c:ext>
          </c:extLst>
        </c:ser>
        <c:dLbls>
          <c:showLegendKey val="0"/>
          <c:showVal val="0"/>
          <c:showCatName val="0"/>
          <c:showSerName val="0"/>
          <c:showPercent val="0"/>
          <c:showBubbleSize val="0"/>
        </c:dLbls>
        <c:marker val="1"/>
        <c:smooth val="0"/>
        <c:axId val="446851952"/>
        <c:axId val="446852344"/>
      </c:lineChart>
      <c:catAx>
        <c:axId val="446851952"/>
        <c:scaling>
          <c:orientation val="minMax"/>
        </c:scaling>
        <c:delete val="0"/>
        <c:axPos val="b"/>
        <c:numFmt formatCode="General" sourceLinked="1"/>
        <c:majorTickMark val="out"/>
        <c:minorTickMark val="none"/>
        <c:tickLblPos val="nextTo"/>
        <c:crossAx val="446852344"/>
        <c:crosses val="autoZero"/>
        <c:auto val="1"/>
        <c:lblAlgn val="ctr"/>
        <c:lblOffset val="100"/>
        <c:noMultiLvlLbl val="0"/>
      </c:catAx>
      <c:valAx>
        <c:axId val="446852344"/>
        <c:scaling>
          <c:orientation val="minMax"/>
        </c:scaling>
        <c:delete val="0"/>
        <c:axPos val="l"/>
        <c:majorGridlines/>
        <c:numFmt formatCode="General" sourceLinked="1"/>
        <c:majorTickMark val="out"/>
        <c:minorTickMark val="none"/>
        <c:tickLblPos val="nextTo"/>
        <c:crossAx val="446851952"/>
        <c:crosses val="autoZero"/>
        <c:crossBetween val="between"/>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29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Wardie!$B$169</c:f>
              <c:strCache>
                <c:ptCount val="1"/>
                <c:pt idx="0">
                  <c:v>Catchment Births (5yrs Prior)</c:v>
                </c:pt>
              </c:strCache>
            </c:strRef>
          </c:tx>
          <c:marker>
            <c:symbol val="square"/>
            <c:size val="7"/>
          </c:marker>
          <c:cat>
            <c:numRef>
              <c:f>Wardie!$D$168:$N$168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Wardie!$D$169:$N$169</c:f>
              <c:numCache>
                <c:formatCode>#,##0</c:formatCode>
                <c:ptCount val="11"/>
                <c:pt idx="0">
                  <c:v>73</c:v>
                </c:pt>
                <c:pt idx="1">
                  <c:v>81</c:v>
                </c:pt>
                <c:pt idx="2">
                  <c:v>82</c:v>
                </c:pt>
                <c:pt idx="3">
                  <c:v>99</c:v>
                </c:pt>
                <c:pt idx="4">
                  <c:v>97</c:v>
                </c:pt>
                <c:pt idx="5">
                  <c:v>101</c:v>
                </c:pt>
                <c:pt idx="6">
                  <c:v>113</c:v>
                </c:pt>
                <c:pt idx="7">
                  <c:v>75</c:v>
                </c:pt>
                <c:pt idx="8">
                  <c:v>75</c:v>
                </c:pt>
                <c:pt idx="9">
                  <c:v>95</c:v>
                </c:pt>
                <c:pt idx="10">
                  <c:v>88</c:v>
                </c:pt>
              </c:numCache>
            </c:numRef>
          </c:val>
          <c:smooth val="0"/>
          <c:extLst xmlns:c16r2="http://schemas.microsoft.com/office/drawing/2015/06/chart">
            <c:ext xmlns:c16="http://schemas.microsoft.com/office/drawing/2014/chart" uri="{C3380CC4-5D6E-409C-BE32-E72D297353CC}">
              <c16:uniqueId val="{00000000-B0AB-4A43-AF9E-D758CAEFA5F2}"/>
            </c:ext>
          </c:extLst>
        </c:ser>
        <c:ser>
          <c:idx val="1"/>
          <c:order val="1"/>
          <c:tx>
            <c:strRef>
              <c:f>Wardie!$B$170</c:f>
              <c:strCache>
                <c:ptCount val="1"/>
                <c:pt idx="0">
                  <c:v>P1 ND Catchment Population (Actual)</c:v>
                </c:pt>
              </c:strCache>
            </c:strRef>
          </c:tx>
          <c:dPt>
            <c:idx val="5"/>
            <c:marker>
              <c:symbol val="square"/>
              <c:size val="7"/>
            </c:marker>
            <c:bubble3D val="0"/>
            <c:extLst xmlns:c16r2="http://schemas.microsoft.com/office/drawing/2015/06/chart">
              <c:ext xmlns:c16="http://schemas.microsoft.com/office/drawing/2014/chart" uri="{C3380CC4-5D6E-409C-BE32-E72D297353CC}">
                <c16:uniqueId val="{00000001-B0AB-4A43-AF9E-D758CAEFA5F2}"/>
              </c:ext>
            </c:extLst>
          </c:dPt>
          <c:cat>
            <c:numRef>
              <c:f>Wardie!$D$168:$N$168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Wardie!$D$170:$I$170</c:f>
              <c:numCache>
                <c:formatCode>#,##0</c:formatCode>
                <c:ptCount val="6"/>
                <c:pt idx="0">
                  <c:v>51</c:v>
                </c:pt>
                <c:pt idx="1">
                  <c:v>64</c:v>
                </c:pt>
                <c:pt idx="2">
                  <c:v>71</c:v>
                </c:pt>
                <c:pt idx="3">
                  <c:v>64</c:v>
                </c:pt>
                <c:pt idx="4">
                  <c:v>69</c:v>
                </c:pt>
                <c:pt idx="5">
                  <c:v>79</c:v>
                </c:pt>
              </c:numCache>
            </c:numRef>
          </c:val>
          <c:smooth val="0"/>
          <c:extLst xmlns:c16r2="http://schemas.microsoft.com/office/drawing/2015/06/chart">
            <c:ext xmlns:c16="http://schemas.microsoft.com/office/drawing/2014/chart" uri="{C3380CC4-5D6E-409C-BE32-E72D297353CC}">
              <c16:uniqueId val="{00000002-B0AB-4A43-AF9E-D758CAEFA5F2}"/>
            </c:ext>
          </c:extLst>
        </c:ser>
        <c:ser>
          <c:idx val="2"/>
          <c:order val="2"/>
          <c:tx>
            <c:strRef>
              <c:f>Wardie!$B$172</c:f>
              <c:strCache>
                <c:ptCount val="1"/>
                <c:pt idx="0">
                  <c:v>P1 ND Catchment Population Projected (Births and Housing)</c:v>
                </c:pt>
              </c:strCache>
            </c:strRef>
          </c:tx>
          <c:spPr>
            <a:ln>
              <a:prstDash val="sysDash"/>
            </a:ln>
          </c:spPr>
          <c:marker>
            <c:symbol val="circle"/>
            <c:size val="7"/>
          </c:marker>
          <c:dPt>
            <c:idx val="5"/>
            <c:marker>
              <c:symbol val="none"/>
            </c:marker>
            <c:bubble3D val="0"/>
            <c:extLst xmlns:c16r2="http://schemas.microsoft.com/office/drawing/2015/06/chart">
              <c:ext xmlns:c16="http://schemas.microsoft.com/office/drawing/2014/chart" uri="{C3380CC4-5D6E-409C-BE32-E72D297353CC}">
                <c16:uniqueId val="{00000003-B0AB-4A43-AF9E-D758CAEFA5F2}"/>
              </c:ext>
            </c:extLst>
          </c:dPt>
          <c:cat>
            <c:numRef>
              <c:f>Wardie!$D$168:$N$168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Wardie!$D$172:$N$172</c:f>
              <c:numCache>
                <c:formatCode>General</c:formatCode>
                <c:ptCount val="11"/>
                <c:pt idx="5" formatCode="0">
                  <c:v>79</c:v>
                </c:pt>
                <c:pt idx="6" formatCode="0">
                  <c:v>0</c:v>
                </c:pt>
                <c:pt idx="7" formatCode="0">
                  <c:v>74</c:v>
                </c:pt>
                <c:pt idx="8" formatCode="0">
                  <c:v>70</c:v>
                </c:pt>
                <c:pt idx="9" formatCode="0">
                  <c:v>53</c:v>
                </c:pt>
                <c:pt idx="10" formatCode="0">
                  <c:v>55</c:v>
                </c:pt>
              </c:numCache>
            </c:numRef>
          </c:val>
          <c:smooth val="0"/>
          <c:extLst xmlns:c16r2="http://schemas.microsoft.com/office/drawing/2015/06/chart">
            <c:ext xmlns:c16="http://schemas.microsoft.com/office/drawing/2014/chart" uri="{C3380CC4-5D6E-409C-BE32-E72D297353CC}">
              <c16:uniqueId val="{00000004-B0AB-4A43-AF9E-D758CAEFA5F2}"/>
            </c:ext>
          </c:extLst>
        </c:ser>
        <c:ser>
          <c:idx val="3"/>
          <c:order val="3"/>
          <c:tx>
            <c:strRef>
              <c:f>Wardie!$B$171</c:f>
              <c:strCache>
                <c:ptCount val="1"/>
                <c:pt idx="0">
                  <c:v>Actual P1 Registrations (as of Jan 2016)</c:v>
                </c:pt>
              </c:strCache>
            </c:strRef>
          </c:tx>
          <c:spPr>
            <a:ln w="15875">
              <a:noFill/>
            </a:ln>
          </c:spPr>
          <c:marker>
            <c:symbol val="diamond"/>
            <c:size val="9"/>
            <c:spPr>
              <a:solidFill>
                <a:schemeClr val="tx1"/>
              </a:solidFill>
            </c:spPr>
          </c:marker>
          <c:cat>
            <c:numRef>
              <c:f>Wardie!$D$168:$N$168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Wardie!$D$171:$M$171</c:f>
              <c:numCache>
                <c:formatCode>#,##0</c:formatCode>
                <c:ptCount val="10"/>
                <c:pt idx="6" formatCode="0">
                  <c:v>0</c:v>
                </c:pt>
              </c:numCache>
            </c:numRef>
          </c:val>
          <c:smooth val="0"/>
          <c:extLst xmlns:c16r2="http://schemas.microsoft.com/office/drawing/2015/06/chart">
            <c:ext xmlns:c16="http://schemas.microsoft.com/office/drawing/2014/chart" uri="{C3380CC4-5D6E-409C-BE32-E72D297353CC}">
              <c16:uniqueId val="{00000005-B0AB-4A43-AF9E-D758CAEFA5F2}"/>
            </c:ext>
          </c:extLst>
        </c:ser>
        <c:dLbls>
          <c:showLegendKey val="0"/>
          <c:showVal val="0"/>
          <c:showCatName val="0"/>
          <c:showSerName val="0"/>
          <c:showPercent val="0"/>
          <c:showBubbleSize val="0"/>
        </c:dLbls>
        <c:marker val="1"/>
        <c:smooth val="0"/>
        <c:axId val="446853128"/>
        <c:axId val="446853520"/>
      </c:lineChart>
      <c:catAx>
        <c:axId val="446853128"/>
        <c:scaling>
          <c:orientation val="minMax"/>
        </c:scaling>
        <c:delete val="0"/>
        <c:axPos val="b"/>
        <c:numFmt formatCode="General" sourceLinked="1"/>
        <c:majorTickMark val="out"/>
        <c:minorTickMark val="none"/>
        <c:tickLblPos val="nextTo"/>
        <c:crossAx val="446853520"/>
        <c:crosses val="autoZero"/>
        <c:auto val="1"/>
        <c:lblAlgn val="ctr"/>
        <c:lblOffset val="100"/>
        <c:noMultiLvlLbl val="0"/>
      </c:catAx>
      <c:valAx>
        <c:axId val="446853520"/>
        <c:scaling>
          <c:orientation val="minMax"/>
        </c:scaling>
        <c:delete val="0"/>
        <c:axPos val="l"/>
        <c:majorGridlines/>
        <c:numFmt formatCode="#,##0" sourceLinked="1"/>
        <c:majorTickMark val="out"/>
        <c:minorTickMark val="none"/>
        <c:tickLblPos val="nextTo"/>
        <c:crossAx val="446853128"/>
        <c:crosses val="autoZero"/>
        <c:crossBetween val="between"/>
      </c:valAx>
    </c:plotArea>
    <c:legend>
      <c:legendPos val="r"/>
      <c:overlay val="0"/>
    </c:legend>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chart" Target="../charts/chart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s>
</file>

<file path=xl/drawings/_rels/drawing9.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29.xml"/><Relationship Id="rId2" Type="http://schemas.openxmlformats.org/officeDocument/2006/relationships/chart" Target="../charts/chart28.xml"/><Relationship Id="rId1" Type="http://schemas.openxmlformats.org/officeDocument/2006/relationships/chart" Target="../charts/chart27.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32.xml"/><Relationship Id="rId2" Type="http://schemas.openxmlformats.org/officeDocument/2006/relationships/chart" Target="../charts/chart31.xml"/><Relationship Id="rId1" Type="http://schemas.openxmlformats.org/officeDocument/2006/relationships/chart" Target="../charts/chart30.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35.xml"/><Relationship Id="rId2" Type="http://schemas.openxmlformats.org/officeDocument/2006/relationships/chart" Target="../charts/chart34.xml"/><Relationship Id="rId1" Type="http://schemas.openxmlformats.org/officeDocument/2006/relationships/chart" Target="../charts/chart33.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38.xml"/><Relationship Id="rId2" Type="http://schemas.openxmlformats.org/officeDocument/2006/relationships/chart" Target="../charts/chart37.xml"/><Relationship Id="rId1" Type="http://schemas.openxmlformats.org/officeDocument/2006/relationships/chart" Target="../charts/chart36.xml"/></Relationships>
</file>

<file path=xl/drawings/_rels/drawing16.xml.rels><?xml version="1.0" encoding="UTF-8" standalone="yes"?>
<Relationships xmlns="http://schemas.openxmlformats.org/package/2006/relationships"><Relationship Id="rId3" Type="http://schemas.openxmlformats.org/officeDocument/2006/relationships/chart" Target="../charts/chart41.xml"/><Relationship Id="rId2" Type="http://schemas.openxmlformats.org/officeDocument/2006/relationships/chart" Target="../charts/chart40.xml"/><Relationship Id="rId1" Type="http://schemas.openxmlformats.org/officeDocument/2006/relationships/chart" Target="../charts/chart39.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44.xml"/><Relationship Id="rId2" Type="http://schemas.openxmlformats.org/officeDocument/2006/relationships/chart" Target="../charts/chart43.xml"/><Relationship Id="rId1" Type="http://schemas.openxmlformats.org/officeDocument/2006/relationships/chart" Target="../charts/chart42.xml"/></Relationships>
</file>

<file path=xl/drawings/_rels/drawing18.xml.rels><?xml version="1.0" encoding="UTF-8" standalone="yes"?>
<Relationships xmlns="http://schemas.openxmlformats.org/package/2006/relationships"><Relationship Id="rId3" Type="http://schemas.openxmlformats.org/officeDocument/2006/relationships/chart" Target="../charts/chart47.xml"/><Relationship Id="rId2" Type="http://schemas.openxmlformats.org/officeDocument/2006/relationships/chart" Target="../charts/chart46.xml"/><Relationship Id="rId1" Type="http://schemas.openxmlformats.org/officeDocument/2006/relationships/chart" Target="../charts/chart45.xml"/></Relationships>
</file>

<file path=xl/drawings/_rels/drawing19.xml.rels><?xml version="1.0" encoding="UTF-8" standalone="yes"?>
<Relationships xmlns="http://schemas.openxmlformats.org/package/2006/relationships"><Relationship Id="rId3" Type="http://schemas.openxmlformats.org/officeDocument/2006/relationships/chart" Target="../charts/chart50.xml"/><Relationship Id="rId2" Type="http://schemas.openxmlformats.org/officeDocument/2006/relationships/chart" Target="../charts/chart49.xml"/><Relationship Id="rId1" Type="http://schemas.openxmlformats.org/officeDocument/2006/relationships/chart" Target="../charts/chart48.xml"/></Relationships>
</file>

<file path=xl/drawings/_rels/drawing20.xml.rels><?xml version="1.0" encoding="UTF-8" standalone="yes"?>
<Relationships xmlns="http://schemas.openxmlformats.org/package/2006/relationships"><Relationship Id="rId3" Type="http://schemas.openxmlformats.org/officeDocument/2006/relationships/chart" Target="../charts/chart53.xml"/><Relationship Id="rId2" Type="http://schemas.openxmlformats.org/officeDocument/2006/relationships/chart" Target="../charts/chart52.xml"/><Relationship Id="rId1" Type="http://schemas.openxmlformats.org/officeDocument/2006/relationships/chart" Target="../charts/chart51.xml"/></Relationships>
</file>

<file path=xl/drawings/_rels/drawing21.xml.rels><?xml version="1.0" encoding="UTF-8" standalone="yes"?>
<Relationships xmlns="http://schemas.openxmlformats.org/package/2006/relationships"><Relationship Id="rId3" Type="http://schemas.openxmlformats.org/officeDocument/2006/relationships/chart" Target="../charts/chart56.xml"/><Relationship Id="rId2" Type="http://schemas.openxmlformats.org/officeDocument/2006/relationships/chart" Target="../charts/chart55.xml"/><Relationship Id="rId1" Type="http://schemas.openxmlformats.org/officeDocument/2006/relationships/chart" Target="../charts/chart54.xml"/></Relationships>
</file>

<file path=xl/drawings/_rels/drawing22.xml.rels><?xml version="1.0" encoding="UTF-8" standalone="yes"?>
<Relationships xmlns="http://schemas.openxmlformats.org/package/2006/relationships"><Relationship Id="rId3" Type="http://schemas.openxmlformats.org/officeDocument/2006/relationships/chart" Target="../charts/chart59.xml"/><Relationship Id="rId2" Type="http://schemas.openxmlformats.org/officeDocument/2006/relationships/chart" Target="../charts/chart58.xml"/><Relationship Id="rId1" Type="http://schemas.openxmlformats.org/officeDocument/2006/relationships/chart" Target="../charts/chart57.xml"/></Relationships>
</file>

<file path=xl/drawings/_rels/drawing23.xml.rels><?xml version="1.0" encoding="UTF-8" standalone="yes"?>
<Relationships xmlns="http://schemas.openxmlformats.org/package/2006/relationships"><Relationship Id="rId3" Type="http://schemas.openxmlformats.org/officeDocument/2006/relationships/chart" Target="../charts/chart62.xml"/><Relationship Id="rId2" Type="http://schemas.openxmlformats.org/officeDocument/2006/relationships/chart" Target="../charts/chart61.xml"/><Relationship Id="rId1" Type="http://schemas.openxmlformats.org/officeDocument/2006/relationships/chart" Target="../charts/chart60.xml"/></Relationships>
</file>

<file path=xl/drawings/_rels/drawing24.xml.rels><?xml version="1.0" encoding="UTF-8" standalone="yes"?>
<Relationships xmlns="http://schemas.openxmlformats.org/package/2006/relationships"><Relationship Id="rId3" Type="http://schemas.openxmlformats.org/officeDocument/2006/relationships/chart" Target="../charts/chart65.xml"/><Relationship Id="rId2" Type="http://schemas.openxmlformats.org/officeDocument/2006/relationships/chart" Target="../charts/chart64.xml"/><Relationship Id="rId1" Type="http://schemas.openxmlformats.org/officeDocument/2006/relationships/chart" Target="../charts/chart63.xml"/></Relationships>
</file>

<file path=xl/drawings/_rels/drawing25.xml.rels><?xml version="1.0" encoding="UTF-8" standalone="yes"?>
<Relationships xmlns="http://schemas.openxmlformats.org/package/2006/relationships"><Relationship Id="rId3" Type="http://schemas.openxmlformats.org/officeDocument/2006/relationships/chart" Target="../charts/chart68.xml"/><Relationship Id="rId2" Type="http://schemas.openxmlformats.org/officeDocument/2006/relationships/chart" Target="../charts/chart67.xml"/><Relationship Id="rId1" Type="http://schemas.openxmlformats.org/officeDocument/2006/relationships/chart" Target="../charts/chart66.xml"/></Relationships>
</file>

<file path=xl/drawings/_rels/drawing26.xml.rels><?xml version="1.0" encoding="UTF-8" standalone="yes"?>
<Relationships xmlns="http://schemas.openxmlformats.org/package/2006/relationships"><Relationship Id="rId3" Type="http://schemas.openxmlformats.org/officeDocument/2006/relationships/chart" Target="../charts/chart71.xml"/><Relationship Id="rId2" Type="http://schemas.openxmlformats.org/officeDocument/2006/relationships/chart" Target="../charts/chart70.xml"/><Relationship Id="rId1" Type="http://schemas.openxmlformats.org/officeDocument/2006/relationships/chart" Target="../charts/chart69.xml"/></Relationships>
</file>

<file path=xl/drawings/_rels/drawing27.xml.rels><?xml version="1.0" encoding="UTF-8" standalone="yes"?>
<Relationships xmlns="http://schemas.openxmlformats.org/package/2006/relationships"><Relationship Id="rId3" Type="http://schemas.openxmlformats.org/officeDocument/2006/relationships/chart" Target="../charts/chart74.xml"/><Relationship Id="rId2" Type="http://schemas.openxmlformats.org/officeDocument/2006/relationships/chart" Target="../charts/chart73.xml"/><Relationship Id="rId1" Type="http://schemas.openxmlformats.org/officeDocument/2006/relationships/chart" Target="../charts/chart72.xml"/></Relationships>
</file>

<file path=xl/drawings/_rels/drawing28.xml.rels><?xml version="1.0" encoding="UTF-8" standalone="yes"?>
<Relationships xmlns="http://schemas.openxmlformats.org/package/2006/relationships"><Relationship Id="rId3" Type="http://schemas.openxmlformats.org/officeDocument/2006/relationships/chart" Target="../charts/chart77.xml"/><Relationship Id="rId2" Type="http://schemas.openxmlformats.org/officeDocument/2006/relationships/chart" Target="../charts/chart76.xml"/><Relationship Id="rId1" Type="http://schemas.openxmlformats.org/officeDocument/2006/relationships/chart" Target="../charts/chart75.xml"/></Relationships>
</file>

<file path=xl/drawings/_rels/drawing29.xml.rels><?xml version="1.0" encoding="UTF-8" standalone="yes"?>
<Relationships xmlns="http://schemas.openxmlformats.org/package/2006/relationships"><Relationship Id="rId3" Type="http://schemas.openxmlformats.org/officeDocument/2006/relationships/chart" Target="../charts/chart80.xml"/><Relationship Id="rId2" Type="http://schemas.openxmlformats.org/officeDocument/2006/relationships/chart" Target="../charts/chart79.xml"/><Relationship Id="rId1" Type="http://schemas.openxmlformats.org/officeDocument/2006/relationships/chart" Target="../charts/chart78.xml"/></Relationships>
</file>

<file path=xl/drawings/_rels/drawing30.xml.rels><?xml version="1.0" encoding="UTF-8" standalone="yes"?>
<Relationships xmlns="http://schemas.openxmlformats.org/package/2006/relationships"><Relationship Id="rId3" Type="http://schemas.openxmlformats.org/officeDocument/2006/relationships/chart" Target="../charts/chart83.xml"/><Relationship Id="rId2" Type="http://schemas.openxmlformats.org/officeDocument/2006/relationships/chart" Target="../charts/chart82.xml"/><Relationship Id="rId1" Type="http://schemas.openxmlformats.org/officeDocument/2006/relationships/chart" Target="../charts/chart81.xml"/></Relationships>
</file>

<file path=xl/drawings/_rels/drawing31.xml.rels><?xml version="1.0" encoding="UTF-8" standalone="yes"?>
<Relationships xmlns="http://schemas.openxmlformats.org/package/2006/relationships"><Relationship Id="rId3" Type="http://schemas.openxmlformats.org/officeDocument/2006/relationships/chart" Target="../charts/chart86.xml"/><Relationship Id="rId2" Type="http://schemas.openxmlformats.org/officeDocument/2006/relationships/chart" Target="../charts/chart85.xml"/><Relationship Id="rId1" Type="http://schemas.openxmlformats.org/officeDocument/2006/relationships/chart" Target="../charts/chart84.xml"/></Relationships>
</file>

<file path=xl/drawings/_rels/drawing32.xml.rels><?xml version="1.0" encoding="UTF-8" standalone="yes"?>
<Relationships xmlns="http://schemas.openxmlformats.org/package/2006/relationships"><Relationship Id="rId3" Type="http://schemas.openxmlformats.org/officeDocument/2006/relationships/chart" Target="../charts/chart89.xml"/><Relationship Id="rId2" Type="http://schemas.openxmlformats.org/officeDocument/2006/relationships/chart" Target="../charts/chart88.xml"/><Relationship Id="rId1" Type="http://schemas.openxmlformats.org/officeDocument/2006/relationships/chart" Target="../charts/chart87.xml"/></Relationships>
</file>

<file path=xl/drawings/_rels/drawing33.xml.rels><?xml version="1.0" encoding="UTF-8" standalone="yes"?>
<Relationships xmlns="http://schemas.openxmlformats.org/package/2006/relationships"><Relationship Id="rId3" Type="http://schemas.openxmlformats.org/officeDocument/2006/relationships/chart" Target="../charts/chart92.xml"/><Relationship Id="rId2" Type="http://schemas.openxmlformats.org/officeDocument/2006/relationships/chart" Target="../charts/chart91.xml"/><Relationship Id="rId1" Type="http://schemas.openxmlformats.org/officeDocument/2006/relationships/chart" Target="../charts/chart90.xml"/></Relationships>
</file>

<file path=xl/drawings/_rels/drawing34.xml.rels><?xml version="1.0" encoding="UTF-8" standalone="yes"?>
<Relationships xmlns="http://schemas.openxmlformats.org/package/2006/relationships"><Relationship Id="rId3" Type="http://schemas.openxmlformats.org/officeDocument/2006/relationships/chart" Target="../charts/chart95.xml"/><Relationship Id="rId2" Type="http://schemas.openxmlformats.org/officeDocument/2006/relationships/chart" Target="../charts/chart94.xml"/><Relationship Id="rId1" Type="http://schemas.openxmlformats.org/officeDocument/2006/relationships/chart" Target="../charts/chart93.xml"/></Relationships>
</file>

<file path=xl/drawings/_rels/drawing35.xml.rels><?xml version="1.0" encoding="UTF-8" standalone="yes"?>
<Relationships xmlns="http://schemas.openxmlformats.org/package/2006/relationships"><Relationship Id="rId3" Type="http://schemas.openxmlformats.org/officeDocument/2006/relationships/chart" Target="../charts/chart98.xml"/><Relationship Id="rId2" Type="http://schemas.openxmlformats.org/officeDocument/2006/relationships/chart" Target="../charts/chart97.xml"/><Relationship Id="rId1" Type="http://schemas.openxmlformats.org/officeDocument/2006/relationships/chart" Target="../charts/chart96.xml"/></Relationships>
</file>

<file path=xl/drawings/_rels/drawing36.xml.rels><?xml version="1.0" encoding="UTF-8" standalone="yes"?>
<Relationships xmlns="http://schemas.openxmlformats.org/package/2006/relationships"><Relationship Id="rId3" Type="http://schemas.openxmlformats.org/officeDocument/2006/relationships/chart" Target="../charts/chart101.xml"/><Relationship Id="rId2" Type="http://schemas.openxmlformats.org/officeDocument/2006/relationships/chart" Target="../charts/chart100.xml"/><Relationship Id="rId1" Type="http://schemas.openxmlformats.org/officeDocument/2006/relationships/chart" Target="../charts/chart99.xml"/></Relationships>
</file>

<file path=xl/drawings/_rels/drawing37.xml.rels><?xml version="1.0" encoding="UTF-8" standalone="yes"?>
<Relationships xmlns="http://schemas.openxmlformats.org/package/2006/relationships"><Relationship Id="rId3" Type="http://schemas.openxmlformats.org/officeDocument/2006/relationships/chart" Target="../charts/chart104.xml"/><Relationship Id="rId2" Type="http://schemas.openxmlformats.org/officeDocument/2006/relationships/chart" Target="../charts/chart103.xml"/><Relationship Id="rId1" Type="http://schemas.openxmlformats.org/officeDocument/2006/relationships/chart" Target="../charts/chart102.xml"/></Relationships>
</file>

<file path=xl/drawings/_rels/drawing38.xml.rels><?xml version="1.0" encoding="UTF-8" standalone="yes"?>
<Relationships xmlns="http://schemas.openxmlformats.org/package/2006/relationships"><Relationship Id="rId3" Type="http://schemas.openxmlformats.org/officeDocument/2006/relationships/chart" Target="../charts/chart107.xml"/><Relationship Id="rId2" Type="http://schemas.openxmlformats.org/officeDocument/2006/relationships/chart" Target="../charts/chart106.xml"/><Relationship Id="rId1" Type="http://schemas.openxmlformats.org/officeDocument/2006/relationships/chart" Target="../charts/chart105.xml"/></Relationships>
</file>

<file path=xl/drawings/_rels/drawing39.xml.rels><?xml version="1.0" encoding="UTF-8" standalone="yes"?>
<Relationships xmlns="http://schemas.openxmlformats.org/package/2006/relationships"><Relationship Id="rId3" Type="http://schemas.openxmlformats.org/officeDocument/2006/relationships/chart" Target="../charts/chart110.xml"/><Relationship Id="rId2" Type="http://schemas.openxmlformats.org/officeDocument/2006/relationships/chart" Target="../charts/chart109.xml"/><Relationship Id="rId1" Type="http://schemas.openxmlformats.org/officeDocument/2006/relationships/chart" Target="../charts/chart108.xml"/></Relationships>
</file>

<file path=xl/drawings/_rels/drawing40.xml.rels><?xml version="1.0" encoding="UTF-8" standalone="yes"?>
<Relationships xmlns="http://schemas.openxmlformats.org/package/2006/relationships"><Relationship Id="rId3" Type="http://schemas.openxmlformats.org/officeDocument/2006/relationships/chart" Target="../charts/chart113.xml"/><Relationship Id="rId2" Type="http://schemas.openxmlformats.org/officeDocument/2006/relationships/chart" Target="../charts/chart112.xml"/><Relationship Id="rId1" Type="http://schemas.openxmlformats.org/officeDocument/2006/relationships/chart" Target="../charts/chart111.xml"/></Relationships>
</file>

<file path=xl/drawings/_rels/drawing41.xml.rels><?xml version="1.0" encoding="UTF-8" standalone="yes"?>
<Relationships xmlns="http://schemas.openxmlformats.org/package/2006/relationships"><Relationship Id="rId3" Type="http://schemas.openxmlformats.org/officeDocument/2006/relationships/chart" Target="../charts/chart116.xml"/><Relationship Id="rId2" Type="http://schemas.openxmlformats.org/officeDocument/2006/relationships/chart" Target="../charts/chart115.xml"/><Relationship Id="rId1" Type="http://schemas.openxmlformats.org/officeDocument/2006/relationships/chart" Target="../charts/chart114.xml"/></Relationships>
</file>

<file path=xl/drawings/_rels/drawing42.xml.rels><?xml version="1.0" encoding="UTF-8" standalone="yes"?>
<Relationships xmlns="http://schemas.openxmlformats.org/package/2006/relationships"><Relationship Id="rId3" Type="http://schemas.openxmlformats.org/officeDocument/2006/relationships/chart" Target="../charts/chart119.xml"/><Relationship Id="rId2" Type="http://schemas.openxmlformats.org/officeDocument/2006/relationships/chart" Target="../charts/chart118.xml"/><Relationship Id="rId1" Type="http://schemas.openxmlformats.org/officeDocument/2006/relationships/chart" Target="../charts/chart117.xml"/></Relationships>
</file>

<file path=xl/drawings/_rels/drawing43.xml.rels><?xml version="1.0" encoding="UTF-8" standalone="yes"?>
<Relationships xmlns="http://schemas.openxmlformats.org/package/2006/relationships"><Relationship Id="rId3" Type="http://schemas.openxmlformats.org/officeDocument/2006/relationships/chart" Target="../charts/chart122.xml"/><Relationship Id="rId2" Type="http://schemas.openxmlformats.org/officeDocument/2006/relationships/chart" Target="../charts/chart121.xml"/><Relationship Id="rId1" Type="http://schemas.openxmlformats.org/officeDocument/2006/relationships/chart" Target="../charts/chart120.xml"/></Relationships>
</file>

<file path=xl/drawings/_rels/drawing44.xml.rels><?xml version="1.0" encoding="UTF-8" standalone="yes"?>
<Relationships xmlns="http://schemas.openxmlformats.org/package/2006/relationships"><Relationship Id="rId3" Type="http://schemas.openxmlformats.org/officeDocument/2006/relationships/chart" Target="../charts/chart125.xml"/><Relationship Id="rId2" Type="http://schemas.openxmlformats.org/officeDocument/2006/relationships/chart" Target="../charts/chart124.xml"/><Relationship Id="rId1" Type="http://schemas.openxmlformats.org/officeDocument/2006/relationships/chart" Target="../charts/chart123.xml"/></Relationships>
</file>

<file path=xl/drawings/_rels/drawing45.xml.rels><?xml version="1.0" encoding="UTF-8" standalone="yes"?>
<Relationships xmlns="http://schemas.openxmlformats.org/package/2006/relationships"><Relationship Id="rId3" Type="http://schemas.openxmlformats.org/officeDocument/2006/relationships/chart" Target="../charts/chart128.xml"/><Relationship Id="rId2" Type="http://schemas.openxmlformats.org/officeDocument/2006/relationships/chart" Target="../charts/chart127.xml"/><Relationship Id="rId1" Type="http://schemas.openxmlformats.org/officeDocument/2006/relationships/chart" Target="../charts/chart126.xml"/></Relationships>
</file>

<file path=xl/drawings/_rels/drawing46.xml.rels><?xml version="1.0" encoding="UTF-8" standalone="yes"?>
<Relationships xmlns="http://schemas.openxmlformats.org/package/2006/relationships"><Relationship Id="rId3" Type="http://schemas.openxmlformats.org/officeDocument/2006/relationships/chart" Target="../charts/chart131.xml"/><Relationship Id="rId2" Type="http://schemas.openxmlformats.org/officeDocument/2006/relationships/chart" Target="../charts/chart130.xml"/><Relationship Id="rId1" Type="http://schemas.openxmlformats.org/officeDocument/2006/relationships/chart" Target="../charts/chart129.xml"/><Relationship Id="rId4" Type="http://schemas.openxmlformats.org/officeDocument/2006/relationships/chart" Target="../charts/chart132.xml"/></Relationships>
</file>

<file path=xl/drawings/_rels/drawing47.xml.rels><?xml version="1.0" encoding="UTF-8" standalone="yes"?>
<Relationships xmlns="http://schemas.openxmlformats.org/package/2006/relationships"><Relationship Id="rId3" Type="http://schemas.openxmlformats.org/officeDocument/2006/relationships/chart" Target="../charts/chart135.xml"/><Relationship Id="rId2" Type="http://schemas.openxmlformats.org/officeDocument/2006/relationships/chart" Target="../charts/chart134.xml"/><Relationship Id="rId1" Type="http://schemas.openxmlformats.org/officeDocument/2006/relationships/chart" Target="../charts/chart133.xml"/><Relationship Id="rId4" Type="http://schemas.openxmlformats.org/officeDocument/2006/relationships/chart" Target="../charts/chart136.xml"/></Relationships>
</file>

<file path=xl/drawings/_rels/drawing48.xml.rels><?xml version="1.0" encoding="UTF-8" standalone="yes"?>
<Relationships xmlns="http://schemas.openxmlformats.org/package/2006/relationships"><Relationship Id="rId3" Type="http://schemas.openxmlformats.org/officeDocument/2006/relationships/chart" Target="../charts/chart139.xml"/><Relationship Id="rId2" Type="http://schemas.openxmlformats.org/officeDocument/2006/relationships/chart" Target="../charts/chart138.xml"/><Relationship Id="rId1" Type="http://schemas.openxmlformats.org/officeDocument/2006/relationships/chart" Target="../charts/chart137.xml"/><Relationship Id="rId4" Type="http://schemas.openxmlformats.org/officeDocument/2006/relationships/chart" Target="../charts/chart140.xml"/></Relationships>
</file>

<file path=xl/drawings/_rels/drawing49.xml.rels><?xml version="1.0" encoding="UTF-8" standalone="yes"?>
<Relationships xmlns="http://schemas.openxmlformats.org/package/2006/relationships"><Relationship Id="rId3" Type="http://schemas.openxmlformats.org/officeDocument/2006/relationships/chart" Target="../charts/chart143.xml"/><Relationship Id="rId2" Type="http://schemas.openxmlformats.org/officeDocument/2006/relationships/chart" Target="../charts/chart142.xml"/><Relationship Id="rId1" Type="http://schemas.openxmlformats.org/officeDocument/2006/relationships/chart" Target="../charts/chart141.xml"/><Relationship Id="rId4" Type="http://schemas.openxmlformats.org/officeDocument/2006/relationships/chart" Target="../charts/chart144.xml"/></Relationships>
</file>

<file path=xl/drawings/_rels/drawing50.xml.rels><?xml version="1.0" encoding="UTF-8" standalone="yes"?>
<Relationships xmlns="http://schemas.openxmlformats.org/package/2006/relationships"><Relationship Id="rId3" Type="http://schemas.openxmlformats.org/officeDocument/2006/relationships/chart" Target="../charts/chart147.xml"/><Relationship Id="rId2" Type="http://schemas.openxmlformats.org/officeDocument/2006/relationships/chart" Target="../charts/chart146.xml"/><Relationship Id="rId1" Type="http://schemas.openxmlformats.org/officeDocument/2006/relationships/chart" Target="../charts/chart145.xml"/><Relationship Id="rId4" Type="http://schemas.openxmlformats.org/officeDocument/2006/relationships/chart" Target="../charts/chart148.xml"/></Relationships>
</file>

<file path=xl/drawings/_rels/drawing51.xml.rels><?xml version="1.0" encoding="UTF-8" standalone="yes"?>
<Relationships xmlns="http://schemas.openxmlformats.org/package/2006/relationships"><Relationship Id="rId3" Type="http://schemas.openxmlformats.org/officeDocument/2006/relationships/chart" Target="../charts/chart151.xml"/><Relationship Id="rId2" Type="http://schemas.openxmlformats.org/officeDocument/2006/relationships/chart" Target="../charts/chart150.xml"/><Relationship Id="rId1" Type="http://schemas.openxmlformats.org/officeDocument/2006/relationships/chart" Target="../charts/chart149.xml"/><Relationship Id="rId4" Type="http://schemas.openxmlformats.org/officeDocument/2006/relationships/chart" Target="../charts/chart152.xml"/></Relationships>
</file>

<file path=xl/drawings/_rels/drawing52.xml.rels><?xml version="1.0" encoding="UTF-8" standalone="yes"?>
<Relationships xmlns="http://schemas.openxmlformats.org/package/2006/relationships"><Relationship Id="rId3" Type="http://schemas.openxmlformats.org/officeDocument/2006/relationships/chart" Target="../charts/chart155.xml"/><Relationship Id="rId2" Type="http://schemas.openxmlformats.org/officeDocument/2006/relationships/chart" Target="../charts/chart154.xml"/><Relationship Id="rId1" Type="http://schemas.openxmlformats.org/officeDocument/2006/relationships/chart" Target="../charts/chart153.xml"/><Relationship Id="rId4" Type="http://schemas.openxmlformats.org/officeDocument/2006/relationships/chart" Target="../charts/chart156.xml"/></Relationships>
</file>

<file path=xl/drawings/_rels/drawing53.xml.rels><?xml version="1.0" encoding="UTF-8" standalone="yes"?>
<Relationships xmlns="http://schemas.openxmlformats.org/package/2006/relationships"><Relationship Id="rId3" Type="http://schemas.openxmlformats.org/officeDocument/2006/relationships/chart" Target="../charts/chart159.xml"/><Relationship Id="rId2" Type="http://schemas.openxmlformats.org/officeDocument/2006/relationships/chart" Target="../charts/chart158.xml"/><Relationship Id="rId1" Type="http://schemas.openxmlformats.org/officeDocument/2006/relationships/chart" Target="../charts/chart157.xml"/><Relationship Id="rId4" Type="http://schemas.openxmlformats.org/officeDocument/2006/relationships/chart" Target="../charts/chart160.xml"/></Relationships>
</file>

<file path=xl/drawings/_rels/drawing54.xml.rels><?xml version="1.0" encoding="UTF-8" standalone="yes"?>
<Relationships xmlns="http://schemas.openxmlformats.org/package/2006/relationships"><Relationship Id="rId3" Type="http://schemas.openxmlformats.org/officeDocument/2006/relationships/chart" Target="../charts/chart163.xml"/><Relationship Id="rId2" Type="http://schemas.openxmlformats.org/officeDocument/2006/relationships/chart" Target="../charts/chart162.xml"/><Relationship Id="rId1" Type="http://schemas.openxmlformats.org/officeDocument/2006/relationships/chart" Target="../charts/chart161.xml"/><Relationship Id="rId4" Type="http://schemas.openxmlformats.org/officeDocument/2006/relationships/chart" Target="../charts/chart164.xml"/></Relationships>
</file>

<file path=xl/drawings/_rels/drawing55.xml.rels><?xml version="1.0" encoding="UTF-8" standalone="yes"?>
<Relationships xmlns="http://schemas.openxmlformats.org/package/2006/relationships"><Relationship Id="rId3" Type="http://schemas.openxmlformats.org/officeDocument/2006/relationships/chart" Target="../charts/chart167.xml"/><Relationship Id="rId2" Type="http://schemas.openxmlformats.org/officeDocument/2006/relationships/chart" Target="../charts/chart166.xml"/><Relationship Id="rId1" Type="http://schemas.openxmlformats.org/officeDocument/2006/relationships/chart" Target="../charts/chart165.xml"/><Relationship Id="rId4" Type="http://schemas.openxmlformats.org/officeDocument/2006/relationships/chart" Target="../charts/chart168.xml"/></Relationships>
</file>

<file path=xl/drawings/_rels/drawing56.xml.rels><?xml version="1.0" encoding="UTF-8" standalone="yes"?>
<Relationships xmlns="http://schemas.openxmlformats.org/package/2006/relationships"><Relationship Id="rId3" Type="http://schemas.openxmlformats.org/officeDocument/2006/relationships/chart" Target="../charts/chart171.xml"/><Relationship Id="rId2" Type="http://schemas.openxmlformats.org/officeDocument/2006/relationships/chart" Target="../charts/chart170.xml"/><Relationship Id="rId1" Type="http://schemas.openxmlformats.org/officeDocument/2006/relationships/chart" Target="../charts/chart169.xml"/><Relationship Id="rId4" Type="http://schemas.openxmlformats.org/officeDocument/2006/relationships/chart" Target="../charts/chart172.xml"/></Relationships>
</file>

<file path=xl/drawings/_rels/drawing57.xml.rels><?xml version="1.0" encoding="UTF-8" standalone="yes"?>
<Relationships xmlns="http://schemas.openxmlformats.org/package/2006/relationships"><Relationship Id="rId3" Type="http://schemas.openxmlformats.org/officeDocument/2006/relationships/chart" Target="../charts/chart175.xml"/><Relationship Id="rId2" Type="http://schemas.openxmlformats.org/officeDocument/2006/relationships/chart" Target="../charts/chart174.xml"/><Relationship Id="rId1" Type="http://schemas.openxmlformats.org/officeDocument/2006/relationships/chart" Target="../charts/chart173.xml"/><Relationship Id="rId4" Type="http://schemas.openxmlformats.org/officeDocument/2006/relationships/chart" Target="../charts/chart176.xml"/></Relationships>
</file>

<file path=xl/drawings/_rels/drawing58.xml.rels><?xml version="1.0" encoding="UTF-8" standalone="yes"?>
<Relationships xmlns="http://schemas.openxmlformats.org/package/2006/relationships"><Relationship Id="rId3" Type="http://schemas.openxmlformats.org/officeDocument/2006/relationships/chart" Target="../charts/chart179.xml"/><Relationship Id="rId2" Type="http://schemas.openxmlformats.org/officeDocument/2006/relationships/chart" Target="../charts/chart178.xml"/><Relationship Id="rId1" Type="http://schemas.openxmlformats.org/officeDocument/2006/relationships/chart" Target="../charts/chart177.xml"/><Relationship Id="rId4" Type="http://schemas.openxmlformats.org/officeDocument/2006/relationships/chart" Target="../charts/chart180.xml"/></Relationships>
</file>

<file path=xl/drawings/_rels/drawing59.xml.rels><?xml version="1.0" encoding="UTF-8" standalone="yes"?>
<Relationships xmlns="http://schemas.openxmlformats.org/package/2006/relationships"><Relationship Id="rId3" Type="http://schemas.openxmlformats.org/officeDocument/2006/relationships/chart" Target="../charts/chart183.xml"/><Relationship Id="rId2" Type="http://schemas.openxmlformats.org/officeDocument/2006/relationships/chart" Target="../charts/chart182.xml"/><Relationship Id="rId1" Type="http://schemas.openxmlformats.org/officeDocument/2006/relationships/chart" Target="../charts/chart181.xml"/><Relationship Id="rId4" Type="http://schemas.openxmlformats.org/officeDocument/2006/relationships/chart" Target="../charts/chart184.xml"/></Relationships>
</file>

<file path=xl/drawings/_rels/drawing60.xml.rels><?xml version="1.0" encoding="UTF-8" standalone="yes"?>
<Relationships xmlns="http://schemas.openxmlformats.org/package/2006/relationships"><Relationship Id="rId3" Type="http://schemas.openxmlformats.org/officeDocument/2006/relationships/chart" Target="../charts/chart187.xml"/><Relationship Id="rId2" Type="http://schemas.openxmlformats.org/officeDocument/2006/relationships/chart" Target="../charts/chart186.xml"/><Relationship Id="rId1" Type="http://schemas.openxmlformats.org/officeDocument/2006/relationships/chart" Target="../charts/chart185.xml"/><Relationship Id="rId4" Type="http://schemas.openxmlformats.org/officeDocument/2006/relationships/chart" Target="../charts/chart188.xml"/></Relationships>
</file>

<file path=xl/drawings/_rels/drawing61.xml.rels><?xml version="1.0" encoding="UTF-8" standalone="yes"?>
<Relationships xmlns="http://schemas.openxmlformats.org/package/2006/relationships"><Relationship Id="rId3" Type="http://schemas.openxmlformats.org/officeDocument/2006/relationships/chart" Target="../charts/chart191.xml"/><Relationship Id="rId2" Type="http://schemas.openxmlformats.org/officeDocument/2006/relationships/chart" Target="../charts/chart190.xml"/><Relationship Id="rId1" Type="http://schemas.openxmlformats.org/officeDocument/2006/relationships/chart" Target="../charts/chart189.xml"/><Relationship Id="rId4" Type="http://schemas.openxmlformats.org/officeDocument/2006/relationships/chart" Target="../charts/chart192.xml"/></Relationships>
</file>

<file path=xl/drawings/_rels/drawing62.xml.rels><?xml version="1.0" encoding="UTF-8" standalone="yes"?>
<Relationships xmlns="http://schemas.openxmlformats.org/package/2006/relationships"><Relationship Id="rId3" Type="http://schemas.openxmlformats.org/officeDocument/2006/relationships/chart" Target="../charts/chart195.xml"/><Relationship Id="rId2" Type="http://schemas.openxmlformats.org/officeDocument/2006/relationships/chart" Target="../charts/chart194.xml"/><Relationship Id="rId1" Type="http://schemas.openxmlformats.org/officeDocument/2006/relationships/chart" Target="../charts/chart193.xml"/><Relationship Id="rId4" Type="http://schemas.openxmlformats.org/officeDocument/2006/relationships/chart" Target="../charts/chart196.xml"/></Relationships>
</file>

<file path=xl/drawings/_rels/drawing63.xml.rels><?xml version="1.0" encoding="UTF-8" standalone="yes"?>
<Relationships xmlns="http://schemas.openxmlformats.org/package/2006/relationships"><Relationship Id="rId3" Type="http://schemas.openxmlformats.org/officeDocument/2006/relationships/chart" Target="../charts/chart199.xml"/><Relationship Id="rId2" Type="http://schemas.openxmlformats.org/officeDocument/2006/relationships/chart" Target="../charts/chart198.xml"/><Relationship Id="rId1" Type="http://schemas.openxmlformats.org/officeDocument/2006/relationships/chart" Target="../charts/chart197.xml"/><Relationship Id="rId4" Type="http://schemas.openxmlformats.org/officeDocument/2006/relationships/chart" Target="../charts/chart200.xml"/></Relationships>
</file>

<file path=xl/drawings/_rels/drawing64.xml.rels><?xml version="1.0" encoding="UTF-8" standalone="yes"?>
<Relationships xmlns="http://schemas.openxmlformats.org/package/2006/relationships"><Relationship Id="rId3" Type="http://schemas.openxmlformats.org/officeDocument/2006/relationships/chart" Target="../charts/chart203.xml"/><Relationship Id="rId2" Type="http://schemas.openxmlformats.org/officeDocument/2006/relationships/chart" Target="../charts/chart202.xml"/><Relationship Id="rId1" Type="http://schemas.openxmlformats.org/officeDocument/2006/relationships/chart" Target="../charts/chart201.xml"/><Relationship Id="rId4" Type="http://schemas.openxmlformats.org/officeDocument/2006/relationships/chart" Target="../charts/chart204.xml"/></Relationships>
</file>

<file path=xl/drawings/_rels/drawing65.xml.rels><?xml version="1.0" encoding="UTF-8" standalone="yes"?>
<Relationships xmlns="http://schemas.openxmlformats.org/package/2006/relationships"><Relationship Id="rId3" Type="http://schemas.openxmlformats.org/officeDocument/2006/relationships/chart" Target="../charts/chart207.xml"/><Relationship Id="rId2" Type="http://schemas.openxmlformats.org/officeDocument/2006/relationships/chart" Target="../charts/chart206.xml"/><Relationship Id="rId1" Type="http://schemas.openxmlformats.org/officeDocument/2006/relationships/chart" Target="../charts/chart205.xml"/><Relationship Id="rId4" Type="http://schemas.openxmlformats.org/officeDocument/2006/relationships/chart" Target="../charts/chart208.xml"/></Relationships>
</file>

<file path=xl/drawings/_rels/drawing66.xml.rels><?xml version="1.0" encoding="UTF-8" standalone="yes"?>
<Relationships xmlns="http://schemas.openxmlformats.org/package/2006/relationships"><Relationship Id="rId3" Type="http://schemas.openxmlformats.org/officeDocument/2006/relationships/chart" Target="../charts/chart211.xml"/><Relationship Id="rId2" Type="http://schemas.openxmlformats.org/officeDocument/2006/relationships/chart" Target="../charts/chart210.xml"/><Relationship Id="rId1" Type="http://schemas.openxmlformats.org/officeDocument/2006/relationships/chart" Target="../charts/chart209.xml"/><Relationship Id="rId4" Type="http://schemas.openxmlformats.org/officeDocument/2006/relationships/chart" Target="../charts/chart212.xml"/></Relationships>
</file>

<file path=xl/drawings/_rels/drawing67.xml.rels><?xml version="1.0" encoding="UTF-8" standalone="yes"?>
<Relationships xmlns="http://schemas.openxmlformats.org/package/2006/relationships"><Relationship Id="rId3" Type="http://schemas.openxmlformats.org/officeDocument/2006/relationships/chart" Target="../charts/chart215.xml"/><Relationship Id="rId2" Type="http://schemas.openxmlformats.org/officeDocument/2006/relationships/chart" Target="../charts/chart214.xml"/><Relationship Id="rId1" Type="http://schemas.openxmlformats.org/officeDocument/2006/relationships/chart" Target="../charts/chart213.xml"/><Relationship Id="rId4" Type="http://schemas.openxmlformats.org/officeDocument/2006/relationships/chart" Target="../charts/chart216.xml"/></Relationships>
</file>

<file path=xl/drawings/_rels/drawing68.xml.rels><?xml version="1.0" encoding="UTF-8" standalone="yes"?>
<Relationships xmlns="http://schemas.openxmlformats.org/package/2006/relationships"><Relationship Id="rId3" Type="http://schemas.openxmlformats.org/officeDocument/2006/relationships/chart" Target="../charts/chart219.xml"/><Relationship Id="rId2" Type="http://schemas.openxmlformats.org/officeDocument/2006/relationships/chart" Target="../charts/chart218.xml"/><Relationship Id="rId1" Type="http://schemas.openxmlformats.org/officeDocument/2006/relationships/chart" Target="../charts/chart217.xml"/><Relationship Id="rId4" Type="http://schemas.openxmlformats.org/officeDocument/2006/relationships/chart" Target="../charts/chart220.xml"/></Relationships>
</file>

<file path=xl/drawings/_rels/drawing69.xml.rels><?xml version="1.0" encoding="UTF-8" standalone="yes"?>
<Relationships xmlns="http://schemas.openxmlformats.org/package/2006/relationships"><Relationship Id="rId3" Type="http://schemas.openxmlformats.org/officeDocument/2006/relationships/chart" Target="../charts/chart223.xml"/><Relationship Id="rId2" Type="http://schemas.openxmlformats.org/officeDocument/2006/relationships/chart" Target="../charts/chart222.xml"/><Relationship Id="rId1" Type="http://schemas.openxmlformats.org/officeDocument/2006/relationships/chart" Target="../charts/chart221.xml"/><Relationship Id="rId4" Type="http://schemas.openxmlformats.org/officeDocument/2006/relationships/chart" Target="../charts/chart224.xml"/></Relationships>
</file>

<file path=xl/drawings/_rels/drawing70.xml.rels><?xml version="1.0" encoding="UTF-8" standalone="yes"?>
<Relationships xmlns="http://schemas.openxmlformats.org/package/2006/relationships"><Relationship Id="rId3" Type="http://schemas.openxmlformats.org/officeDocument/2006/relationships/chart" Target="../charts/chart227.xml"/><Relationship Id="rId2" Type="http://schemas.openxmlformats.org/officeDocument/2006/relationships/chart" Target="../charts/chart226.xml"/><Relationship Id="rId1" Type="http://schemas.openxmlformats.org/officeDocument/2006/relationships/chart" Target="../charts/chart225.xml"/></Relationships>
</file>

<file path=xl/drawings/_rels/drawing71.xml.rels><?xml version="1.0" encoding="UTF-8" standalone="yes"?>
<Relationships xmlns="http://schemas.openxmlformats.org/package/2006/relationships"><Relationship Id="rId3" Type="http://schemas.openxmlformats.org/officeDocument/2006/relationships/chart" Target="../charts/chart230.xml"/><Relationship Id="rId2" Type="http://schemas.openxmlformats.org/officeDocument/2006/relationships/chart" Target="../charts/chart229.xml"/><Relationship Id="rId1" Type="http://schemas.openxmlformats.org/officeDocument/2006/relationships/chart" Target="../charts/chart228.xml"/></Relationships>
</file>

<file path=xl/drawings/_rels/drawing72.xml.rels><?xml version="1.0" encoding="UTF-8" standalone="yes"?>
<Relationships xmlns="http://schemas.openxmlformats.org/package/2006/relationships"><Relationship Id="rId3" Type="http://schemas.openxmlformats.org/officeDocument/2006/relationships/chart" Target="../charts/chart233.xml"/><Relationship Id="rId2" Type="http://schemas.openxmlformats.org/officeDocument/2006/relationships/chart" Target="../charts/chart232.xml"/><Relationship Id="rId1" Type="http://schemas.openxmlformats.org/officeDocument/2006/relationships/chart" Target="../charts/chart231.xml"/></Relationships>
</file>

<file path=xl/drawings/_rels/drawing73.xml.rels><?xml version="1.0" encoding="UTF-8" standalone="yes"?>
<Relationships xmlns="http://schemas.openxmlformats.org/package/2006/relationships"><Relationship Id="rId3" Type="http://schemas.openxmlformats.org/officeDocument/2006/relationships/chart" Target="../charts/chart236.xml"/><Relationship Id="rId2" Type="http://schemas.openxmlformats.org/officeDocument/2006/relationships/chart" Target="../charts/chart235.xml"/><Relationship Id="rId1" Type="http://schemas.openxmlformats.org/officeDocument/2006/relationships/chart" Target="../charts/chart234.xml"/></Relationships>
</file>

<file path=xl/drawings/_rels/drawing74.xml.rels><?xml version="1.0" encoding="UTF-8" standalone="yes"?>
<Relationships xmlns="http://schemas.openxmlformats.org/package/2006/relationships"><Relationship Id="rId3" Type="http://schemas.openxmlformats.org/officeDocument/2006/relationships/chart" Target="../charts/chart239.xml"/><Relationship Id="rId2" Type="http://schemas.openxmlformats.org/officeDocument/2006/relationships/chart" Target="../charts/chart238.xml"/><Relationship Id="rId1" Type="http://schemas.openxmlformats.org/officeDocument/2006/relationships/chart" Target="../charts/chart237.xml"/></Relationships>
</file>

<file path=xl/drawings/_rels/drawing75.xml.rels><?xml version="1.0" encoding="UTF-8" standalone="yes"?>
<Relationships xmlns="http://schemas.openxmlformats.org/package/2006/relationships"><Relationship Id="rId3" Type="http://schemas.openxmlformats.org/officeDocument/2006/relationships/chart" Target="../charts/chart242.xml"/><Relationship Id="rId2" Type="http://schemas.openxmlformats.org/officeDocument/2006/relationships/chart" Target="../charts/chart241.xml"/><Relationship Id="rId1" Type="http://schemas.openxmlformats.org/officeDocument/2006/relationships/chart" Target="../charts/chart240.xml"/></Relationships>
</file>

<file path=xl/drawings/_rels/drawing76.xml.rels><?xml version="1.0" encoding="UTF-8" standalone="yes"?>
<Relationships xmlns="http://schemas.openxmlformats.org/package/2006/relationships"><Relationship Id="rId3" Type="http://schemas.openxmlformats.org/officeDocument/2006/relationships/chart" Target="../charts/chart245.xml"/><Relationship Id="rId2" Type="http://schemas.openxmlformats.org/officeDocument/2006/relationships/chart" Target="../charts/chart244.xml"/><Relationship Id="rId1" Type="http://schemas.openxmlformats.org/officeDocument/2006/relationships/chart" Target="../charts/chart243.xml"/></Relationships>
</file>

<file path=xl/drawings/_rels/drawing77.xml.rels><?xml version="1.0" encoding="UTF-8" standalone="yes"?>
<Relationships xmlns="http://schemas.openxmlformats.org/package/2006/relationships"><Relationship Id="rId3" Type="http://schemas.openxmlformats.org/officeDocument/2006/relationships/chart" Target="../charts/chart248.xml"/><Relationship Id="rId2" Type="http://schemas.openxmlformats.org/officeDocument/2006/relationships/chart" Target="../charts/chart247.xml"/><Relationship Id="rId1" Type="http://schemas.openxmlformats.org/officeDocument/2006/relationships/chart" Target="../charts/chart246.xml"/></Relationships>
</file>

<file path=xl/drawings/_rels/drawing78.xml.rels><?xml version="1.0" encoding="UTF-8" standalone="yes"?>
<Relationships xmlns="http://schemas.openxmlformats.org/package/2006/relationships"><Relationship Id="rId3" Type="http://schemas.openxmlformats.org/officeDocument/2006/relationships/chart" Target="../charts/chart251.xml"/><Relationship Id="rId2" Type="http://schemas.openxmlformats.org/officeDocument/2006/relationships/chart" Target="../charts/chart250.xml"/><Relationship Id="rId1" Type="http://schemas.openxmlformats.org/officeDocument/2006/relationships/chart" Target="../charts/chart249.xml"/></Relationships>
</file>

<file path=xl/drawings/_rels/drawing79.xml.rels><?xml version="1.0" encoding="UTF-8" standalone="yes"?>
<Relationships xmlns="http://schemas.openxmlformats.org/package/2006/relationships"><Relationship Id="rId3" Type="http://schemas.openxmlformats.org/officeDocument/2006/relationships/chart" Target="../charts/chart254.xml"/><Relationship Id="rId2" Type="http://schemas.openxmlformats.org/officeDocument/2006/relationships/chart" Target="../charts/chart253.xml"/><Relationship Id="rId1" Type="http://schemas.openxmlformats.org/officeDocument/2006/relationships/chart" Target="../charts/chart252.xml"/></Relationships>
</file>

<file path=xl/drawings/_rels/drawing80.xml.rels><?xml version="1.0" encoding="UTF-8" standalone="yes"?>
<Relationships xmlns="http://schemas.openxmlformats.org/package/2006/relationships"><Relationship Id="rId3" Type="http://schemas.openxmlformats.org/officeDocument/2006/relationships/chart" Target="../charts/chart257.xml"/><Relationship Id="rId2" Type="http://schemas.openxmlformats.org/officeDocument/2006/relationships/chart" Target="../charts/chart256.xml"/><Relationship Id="rId1" Type="http://schemas.openxmlformats.org/officeDocument/2006/relationships/chart" Target="../charts/chart255.xml"/></Relationships>
</file>

<file path=xl/drawings/_rels/drawing81.xml.rels><?xml version="1.0" encoding="UTF-8" standalone="yes"?>
<Relationships xmlns="http://schemas.openxmlformats.org/package/2006/relationships"><Relationship Id="rId3" Type="http://schemas.openxmlformats.org/officeDocument/2006/relationships/chart" Target="../charts/chart260.xml"/><Relationship Id="rId2" Type="http://schemas.openxmlformats.org/officeDocument/2006/relationships/chart" Target="../charts/chart259.xml"/><Relationship Id="rId1" Type="http://schemas.openxmlformats.org/officeDocument/2006/relationships/chart" Target="../charts/chart258.xml"/></Relationships>
</file>

<file path=xl/drawings/_rels/drawing82.xml.rels><?xml version="1.0" encoding="UTF-8" standalone="yes"?>
<Relationships xmlns="http://schemas.openxmlformats.org/package/2006/relationships"><Relationship Id="rId3" Type="http://schemas.openxmlformats.org/officeDocument/2006/relationships/chart" Target="../charts/chart263.xml"/><Relationship Id="rId2" Type="http://schemas.openxmlformats.org/officeDocument/2006/relationships/chart" Target="../charts/chart262.xml"/><Relationship Id="rId1" Type="http://schemas.openxmlformats.org/officeDocument/2006/relationships/chart" Target="../charts/chart261.xml"/></Relationships>
</file>

<file path=xl/drawings/_rels/drawing83.xml.rels><?xml version="1.0" encoding="UTF-8" standalone="yes"?>
<Relationships xmlns="http://schemas.openxmlformats.org/package/2006/relationships"><Relationship Id="rId3" Type="http://schemas.openxmlformats.org/officeDocument/2006/relationships/chart" Target="../charts/chart266.xml"/><Relationship Id="rId2" Type="http://schemas.openxmlformats.org/officeDocument/2006/relationships/chart" Target="../charts/chart265.xml"/><Relationship Id="rId1" Type="http://schemas.openxmlformats.org/officeDocument/2006/relationships/chart" Target="../charts/chart264.xml"/><Relationship Id="rId4" Type="http://schemas.openxmlformats.org/officeDocument/2006/relationships/chart" Target="../charts/chart267.xml"/></Relationships>
</file>

<file path=xl/drawings/_rels/drawing84.xml.rels><?xml version="1.0" encoding="UTF-8" standalone="yes"?>
<Relationships xmlns="http://schemas.openxmlformats.org/package/2006/relationships"><Relationship Id="rId3" Type="http://schemas.openxmlformats.org/officeDocument/2006/relationships/chart" Target="../charts/chart270.xml"/><Relationship Id="rId2" Type="http://schemas.openxmlformats.org/officeDocument/2006/relationships/chart" Target="../charts/chart269.xml"/><Relationship Id="rId1" Type="http://schemas.openxmlformats.org/officeDocument/2006/relationships/chart" Target="../charts/chart268.xml"/><Relationship Id="rId4" Type="http://schemas.openxmlformats.org/officeDocument/2006/relationships/chart" Target="../charts/chart271.xml"/></Relationships>
</file>

<file path=xl/drawings/_rels/drawing85.xml.rels><?xml version="1.0" encoding="UTF-8" standalone="yes"?>
<Relationships xmlns="http://schemas.openxmlformats.org/package/2006/relationships"><Relationship Id="rId3" Type="http://schemas.openxmlformats.org/officeDocument/2006/relationships/chart" Target="../charts/chart274.xml"/><Relationship Id="rId2" Type="http://schemas.openxmlformats.org/officeDocument/2006/relationships/chart" Target="../charts/chart273.xml"/><Relationship Id="rId1" Type="http://schemas.openxmlformats.org/officeDocument/2006/relationships/chart" Target="../charts/chart272.xml"/><Relationship Id="rId4" Type="http://schemas.openxmlformats.org/officeDocument/2006/relationships/chart" Target="../charts/chart275.xml"/></Relationships>
</file>

<file path=xl/drawings/_rels/drawing86.xml.rels><?xml version="1.0" encoding="UTF-8" standalone="yes"?>
<Relationships xmlns="http://schemas.openxmlformats.org/package/2006/relationships"><Relationship Id="rId3" Type="http://schemas.openxmlformats.org/officeDocument/2006/relationships/chart" Target="../charts/chart278.xml"/><Relationship Id="rId2" Type="http://schemas.openxmlformats.org/officeDocument/2006/relationships/chart" Target="../charts/chart277.xml"/><Relationship Id="rId1" Type="http://schemas.openxmlformats.org/officeDocument/2006/relationships/chart" Target="../charts/chart276.xml"/><Relationship Id="rId4" Type="http://schemas.openxmlformats.org/officeDocument/2006/relationships/chart" Target="../charts/chart279.xml"/></Relationships>
</file>

<file path=xl/drawings/_rels/drawing87.xml.rels><?xml version="1.0" encoding="UTF-8" standalone="yes"?>
<Relationships xmlns="http://schemas.openxmlformats.org/package/2006/relationships"><Relationship Id="rId3" Type="http://schemas.openxmlformats.org/officeDocument/2006/relationships/chart" Target="../charts/chart282.xml"/><Relationship Id="rId2" Type="http://schemas.openxmlformats.org/officeDocument/2006/relationships/chart" Target="../charts/chart281.xml"/><Relationship Id="rId1" Type="http://schemas.openxmlformats.org/officeDocument/2006/relationships/chart" Target="../charts/chart280.xml"/><Relationship Id="rId4" Type="http://schemas.openxmlformats.org/officeDocument/2006/relationships/chart" Target="../charts/chart283.xml"/></Relationships>
</file>

<file path=xl/drawings/_rels/drawing88.xml.rels><?xml version="1.0" encoding="UTF-8" standalone="yes"?>
<Relationships xmlns="http://schemas.openxmlformats.org/package/2006/relationships"><Relationship Id="rId3" Type="http://schemas.openxmlformats.org/officeDocument/2006/relationships/chart" Target="../charts/chart286.xml"/><Relationship Id="rId2" Type="http://schemas.openxmlformats.org/officeDocument/2006/relationships/chart" Target="../charts/chart285.xml"/><Relationship Id="rId1" Type="http://schemas.openxmlformats.org/officeDocument/2006/relationships/chart" Target="../charts/chart284.xml"/><Relationship Id="rId4" Type="http://schemas.openxmlformats.org/officeDocument/2006/relationships/chart" Target="../charts/chart287.xml"/></Relationships>
</file>

<file path=xl/drawings/_rels/drawing89.xml.rels><?xml version="1.0" encoding="UTF-8" standalone="yes"?>
<Relationships xmlns="http://schemas.openxmlformats.org/package/2006/relationships"><Relationship Id="rId3" Type="http://schemas.openxmlformats.org/officeDocument/2006/relationships/chart" Target="../charts/chart290.xml"/><Relationship Id="rId2" Type="http://schemas.openxmlformats.org/officeDocument/2006/relationships/chart" Target="../charts/chart289.xml"/><Relationship Id="rId1" Type="http://schemas.openxmlformats.org/officeDocument/2006/relationships/chart" Target="../charts/chart288.xml"/><Relationship Id="rId4" Type="http://schemas.openxmlformats.org/officeDocument/2006/relationships/chart" Target="../charts/chart291.xml"/></Relationships>
</file>

<file path=xl/drawings/_rels/drawing90.xml.rels><?xml version="1.0" encoding="UTF-8" standalone="yes"?>
<Relationships xmlns="http://schemas.openxmlformats.org/package/2006/relationships"><Relationship Id="rId3" Type="http://schemas.openxmlformats.org/officeDocument/2006/relationships/chart" Target="../charts/chart294.xml"/><Relationship Id="rId2" Type="http://schemas.openxmlformats.org/officeDocument/2006/relationships/chart" Target="../charts/chart293.xml"/><Relationship Id="rId1" Type="http://schemas.openxmlformats.org/officeDocument/2006/relationships/chart" Target="../charts/chart292.xml"/><Relationship Id="rId4" Type="http://schemas.openxmlformats.org/officeDocument/2006/relationships/chart" Target="../charts/chart295.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295275</xdr:colOff>
      <xdr:row>46</xdr:row>
      <xdr:rowOff>104775</xdr:rowOff>
    </xdr:to>
    <xdr:pic>
      <xdr:nvPicPr>
        <xdr:cNvPr id="2049" name="Picture 1">
          <a:extLst>
            <a:ext uri="{FF2B5EF4-FFF2-40B4-BE49-F238E27FC236}">
              <a16:creationId xmlns:a16="http://schemas.microsoft.com/office/drawing/2014/main" xmlns="" id="{00000000-0008-0000-0000-00000108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8829675" cy="7553325"/>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714374</xdr:colOff>
      <xdr:row>14</xdr:row>
      <xdr:rowOff>47625</xdr:rowOff>
    </xdr:from>
    <xdr:to>
      <xdr:col>8</xdr:col>
      <xdr:colOff>476250</xdr:colOff>
      <xdr:row>34</xdr:row>
      <xdr:rowOff>142875</xdr:rowOff>
    </xdr:to>
    <xdr:graphicFrame macro="">
      <xdr:nvGraphicFramePr>
        <xdr:cNvPr id="2" name="Chart 1">
          <a:extLst>
            <a:ext uri="{FF2B5EF4-FFF2-40B4-BE49-F238E27FC236}">
              <a16:creationId xmlns:a16="http://schemas.microsoft.com/office/drawing/2014/main" xmlns=""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142875</xdr:colOff>
      <xdr:row>1</xdr:row>
      <xdr:rowOff>104775</xdr:rowOff>
    </xdr:from>
    <xdr:to>
      <xdr:col>3</xdr:col>
      <xdr:colOff>523875</xdr:colOff>
      <xdr:row>3</xdr:row>
      <xdr:rowOff>85725</xdr:rowOff>
    </xdr:to>
    <xdr:sp macro="" textlink="">
      <xdr:nvSpPr>
        <xdr:cNvPr id="2" name="AutoShape 10">
          <a:extLst>
            <a:ext uri="{FF2B5EF4-FFF2-40B4-BE49-F238E27FC236}">
              <a16:creationId xmlns:a16="http://schemas.microsoft.com/office/drawing/2014/main" xmlns="" id="{00000000-0008-0000-0300-000002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3" name="Text Box 15">
          <a:extLst>
            <a:ext uri="{FF2B5EF4-FFF2-40B4-BE49-F238E27FC236}">
              <a16:creationId xmlns:a16="http://schemas.microsoft.com/office/drawing/2014/main" xmlns="" id="{00000000-0008-0000-0300-000003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4" name="Chart 3">
          <a:extLst>
            <a:ext uri="{FF2B5EF4-FFF2-40B4-BE49-F238E27FC236}">
              <a16:creationId xmlns:a16="http://schemas.microsoft.com/office/drawing/2014/main" xmlns="" id="{00000000-0008-0000-03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5" name="Chart 4">
          <a:extLst>
            <a:ext uri="{FF2B5EF4-FFF2-40B4-BE49-F238E27FC236}">
              <a16:creationId xmlns:a16="http://schemas.microsoft.com/office/drawing/2014/main" xmlns="" id="{00000000-0008-0000-03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6" name="AutoShape 10">
          <a:extLst>
            <a:ext uri="{FF2B5EF4-FFF2-40B4-BE49-F238E27FC236}">
              <a16:creationId xmlns:a16="http://schemas.microsoft.com/office/drawing/2014/main" xmlns="" id="{00000000-0008-0000-0300-000006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7" name="Text Box 15">
          <a:extLst>
            <a:ext uri="{FF2B5EF4-FFF2-40B4-BE49-F238E27FC236}">
              <a16:creationId xmlns:a16="http://schemas.microsoft.com/office/drawing/2014/main" xmlns="" id="{00000000-0008-0000-0300-000007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8" name="Chart 7">
          <a:extLst>
            <a:ext uri="{FF2B5EF4-FFF2-40B4-BE49-F238E27FC236}">
              <a16:creationId xmlns:a16="http://schemas.microsoft.com/office/drawing/2014/main" xmlns="" id="{00000000-0008-0000-03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9" name="Chart 8">
          <a:extLst>
            <a:ext uri="{FF2B5EF4-FFF2-40B4-BE49-F238E27FC236}">
              <a16:creationId xmlns:a16="http://schemas.microsoft.com/office/drawing/2014/main" xmlns="" id="{00000000-0008-0000-03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142875</xdr:colOff>
      <xdr:row>1</xdr:row>
      <xdr:rowOff>104775</xdr:rowOff>
    </xdr:from>
    <xdr:to>
      <xdr:col>3</xdr:col>
      <xdr:colOff>523875</xdr:colOff>
      <xdr:row>3</xdr:row>
      <xdr:rowOff>85725</xdr:rowOff>
    </xdr:to>
    <xdr:sp macro="" textlink="">
      <xdr:nvSpPr>
        <xdr:cNvPr id="2" name="AutoShape 10">
          <a:extLst>
            <a:ext uri="{FF2B5EF4-FFF2-40B4-BE49-F238E27FC236}">
              <a16:creationId xmlns:a16="http://schemas.microsoft.com/office/drawing/2014/main" xmlns="" id="{00000000-0008-0000-0400-000002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3" name="Text Box 15">
          <a:extLst>
            <a:ext uri="{FF2B5EF4-FFF2-40B4-BE49-F238E27FC236}">
              <a16:creationId xmlns:a16="http://schemas.microsoft.com/office/drawing/2014/main" xmlns="" id="{00000000-0008-0000-0400-000003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4" name="Chart 3">
          <a:extLst>
            <a:ext uri="{FF2B5EF4-FFF2-40B4-BE49-F238E27FC236}">
              <a16:creationId xmlns:a16="http://schemas.microsoft.com/office/drawing/2014/main" xmlns="" id="{00000000-0008-0000-04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6" name="AutoShape 10">
          <a:extLst>
            <a:ext uri="{FF2B5EF4-FFF2-40B4-BE49-F238E27FC236}">
              <a16:creationId xmlns:a16="http://schemas.microsoft.com/office/drawing/2014/main" xmlns="" id="{00000000-0008-0000-0400-000006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7" name="Text Box 15">
          <a:extLst>
            <a:ext uri="{FF2B5EF4-FFF2-40B4-BE49-F238E27FC236}">
              <a16:creationId xmlns:a16="http://schemas.microsoft.com/office/drawing/2014/main" xmlns="" id="{00000000-0008-0000-0400-000007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8" name="Chart 7">
          <a:extLst>
            <a:ext uri="{FF2B5EF4-FFF2-40B4-BE49-F238E27FC236}">
              <a16:creationId xmlns:a16="http://schemas.microsoft.com/office/drawing/2014/main" xmlns="" id="{00000000-0008-0000-04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30</xdr:row>
      <xdr:rowOff>95250</xdr:rowOff>
    </xdr:from>
    <xdr:to>
      <xdr:col>9</xdr:col>
      <xdr:colOff>495300</xdr:colOff>
      <xdr:row>43</xdr:row>
      <xdr:rowOff>152400</xdr:rowOff>
    </xdr:to>
    <xdr:graphicFrame macro="">
      <xdr:nvGraphicFramePr>
        <xdr:cNvPr id="9" name="Chart 8">
          <a:extLst>
            <a:ext uri="{FF2B5EF4-FFF2-40B4-BE49-F238E27FC236}">
              <a16:creationId xmlns:a16="http://schemas.microsoft.com/office/drawing/2014/main" xmlns="" id="{00000000-0008-0000-04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142875</xdr:colOff>
      <xdr:row>1</xdr:row>
      <xdr:rowOff>104775</xdr:rowOff>
    </xdr:from>
    <xdr:to>
      <xdr:col>3</xdr:col>
      <xdr:colOff>523875</xdr:colOff>
      <xdr:row>3</xdr:row>
      <xdr:rowOff>85725</xdr:rowOff>
    </xdr:to>
    <xdr:sp macro="" textlink="">
      <xdr:nvSpPr>
        <xdr:cNvPr id="2" name="AutoShape 10">
          <a:extLst>
            <a:ext uri="{FF2B5EF4-FFF2-40B4-BE49-F238E27FC236}">
              <a16:creationId xmlns:a16="http://schemas.microsoft.com/office/drawing/2014/main" xmlns="" id="{00000000-0008-0000-0500-000002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3" name="Text Box 15">
          <a:extLst>
            <a:ext uri="{FF2B5EF4-FFF2-40B4-BE49-F238E27FC236}">
              <a16:creationId xmlns:a16="http://schemas.microsoft.com/office/drawing/2014/main" xmlns="" id="{00000000-0008-0000-0500-000003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4" name="Chart 3">
          <a:extLst>
            <a:ext uri="{FF2B5EF4-FFF2-40B4-BE49-F238E27FC236}">
              <a16:creationId xmlns:a16="http://schemas.microsoft.com/office/drawing/2014/main" xmlns="" id="{00000000-0008-0000-0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6" name="AutoShape 10">
          <a:extLst>
            <a:ext uri="{FF2B5EF4-FFF2-40B4-BE49-F238E27FC236}">
              <a16:creationId xmlns:a16="http://schemas.microsoft.com/office/drawing/2014/main" xmlns="" id="{00000000-0008-0000-0500-000006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7" name="Text Box 15">
          <a:extLst>
            <a:ext uri="{FF2B5EF4-FFF2-40B4-BE49-F238E27FC236}">
              <a16:creationId xmlns:a16="http://schemas.microsoft.com/office/drawing/2014/main" xmlns="" id="{00000000-0008-0000-0500-000007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8" name="Chart 7">
          <a:extLst>
            <a:ext uri="{FF2B5EF4-FFF2-40B4-BE49-F238E27FC236}">
              <a16:creationId xmlns:a16="http://schemas.microsoft.com/office/drawing/2014/main" xmlns="" id="{00000000-0008-0000-05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30</xdr:row>
      <xdr:rowOff>152400</xdr:rowOff>
    </xdr:from>
    <xdr:to>
      <xdr:col>9</xdr:col>
      <xdr:colOff>495300</xdr:colOff>
      <xdr:row>44</xdr:row>
      <xdr:rowOff>19050</xdr:rowOff>
    </xdr:to>
    <xdr:graphicFrame macro="">
      <xdr:nvGraphicFramePr>
        <xdr:cNvPr id="9" name="Chart 8">
          <a:extLst>
            <a:ext uri="{FF2B5EF4-FFF2-40B4-BE49-F238E27FC236}">
              <a16:creationId xmlns:a16="http://schemas.microsoft.com/office/drawing/2014/main" xmlns="" id="{00000000-0008-0000-05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142875</xdr:colOff>
      <xdr:row>1</xdr:row>
      <xdr:rowOff>104775</xdr:rowOff>
    </xdr:from>
    <xdr:to>
      <xdr:col>3</xdr:col>
      <xdr:colOff>523875</xdr:colOff>
      <xdr:row>3</xdr:row>
      <xdr:rowOff>85725</xdr:rowOff>
    </xdr:to>
    <xdr:sp macro="" textlink="">
      <xdr:nvSpPr>
        <xdr:cNvPr id="2" name="AutoShape 10">
          <a:extLst>
            <a:ext uri="{FF2B5EF4-FFF2-40B4-BE49-F238E27FC236}">
              <a16:creationId xmlns:a16="http://schemas.microsoft.com/office/drawing/2014/main" xmlns="" id="{00000000-0008-0000-0600-000002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3" name="Text Box 15">
          <a:extLst>
            <a:ext uri="{FF2B5EF4-FFF2-40B4-BE49-F238E27FC236}">
              <a16:creationId xmlns:a16="http://schemas.microsoft.com/office/drawing/2014/main" xmlns="" id="{00000000-0008-0000-0600-000003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4" name="Chart 3">
          <a:extLst>
            <a:ext uri="{FF2B5EF4-FFF2-40B4-BE49-F238E27FC236}">
              <a16:creationId xmlns:a16="http://schemas.microsoft.com/office/drawing/2014/main" xmlns="" id="{00000000-0008-0000-06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6" name="AutoShape 10">
          <a:extLst>
            <a:ext uri="{FF2B5EF4-FFF2-40B4-BE49-F238E27FC236}">
              <a16:creationId xmlns:a16="http://schemas.microsoft.com/office/drawing/2014/main" xmlns="" id="{00000000-0008-0000-0600-000006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7" name="Text Box 15">
          <a:extLst>
            <a:ext uri="{FF2B5EF4-FFF2-40B4-BE49-F238E27FC236}">
              <a16:creationId xmlns:a16="http://schemas.microsoft.com/office/drawing/2014/main" xmlns="" id="{00000000-0008-0000-0600-000007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8" name="Chart 7">
          <a:extLst>
            <a:ext uri="{FF2B5EF4-FFF2-40B4-BE49-F238E27FC236}">
              <a16:creationId xmlns:a16="http://schemas.microsoft.com/office/drawing/2014/main" xmlns="" id="{00000000-0008-0000-06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30</xdr:row>
      <xdr:rowOff>85725</xdr:rowOff>
    </xdr:from>
    <xdr:to>
      <xdr:col>9</xdr:col>
      <xdr:colOff>495300</xdr:colOff>
      <xdr:row>43</xdr:row>
      <xdr:rowOff>142875</xdr:rowOff>
    </xdr:to>
    <xdr:graphicFrame macro="">
      <xdr:nvGraphicFramePr>
        <xdr:cNvPr id="9" name="Chart 8">
          <a:extLst>
            <a:ext uri="{FF2B5EF4-FFF2-40B4-BE49-F238E27FC236}">
              <a16:creationId xmlns:a16="http://schemas.microsoft.com/office/drawing/2014/main" xmlns="" id="{00000000-0008-0000-06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142875</xdr:colOff>
      <xdr:row>1</xdr:row>
      <xdr:rowOff>104775</xdr:rowOff>
    </xdr:from>
    <xdr:to>
      <xdr:col>3</xdr:col>
      <xdr:colOff>523875</xdr:colOff>
      <xdr:row>3</xdr:row>
      <xdr:rowOff>85725</xdr:rowOff>
    </xdr:to>
    <xdr:sp macro="" textlink="">
      <xdr:nvSpPr>
        <xdr:cNvPr id="2" name="AutoShape 10">
          <a:extLst>
            <a:ext uri="{FF2B5EF4-FFF2-40B4-BE49-F238E27FC236}">
              <a16:creationId xmlns:a16="http://schemas.microsoft.com/office/drawing/2014/main" xmlns="" id="{00000000-0008-0000-0700-000002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3" name="Text Box 15">
          <a:extLst>
            <a:ext uri="{FF2B5EF4-FFF2-40B4-BE49-F238E27FC236}">
              <a16:creationId xmlns:a16="http://schemas.microsoft.com/office/drawing/2014/main" xmlns="" id="{00000000-0008-0000-0700-000003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4" name="Chart 3">
          <a:extLst>
            <a:ext uri="{FF2B5EF4-FFF2-40B4-BE49-F238E27FC236}">
              <a16:creationId xmlns:a16="http://schemas.microsoft.com/office/drawing/2014/main" xmlns="" id="{00000000-0008-0000-07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6" name="AutoShape 10">
          <a:extLst>
            <a:ext uri="{FF2B5EF4-FFF2-40B4-BE49-F238E27FC236}">
              <a16:creationId xmlns:a16="http://schemas.microsoft.com/office/drawing/2014/main" xmlns="" id="{00000000-0008-0000-0700-000006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7" name="Text Box 15">
          <a:extLst>
            <a:ext uri="{FF2B5EF4-FFF2-40B4-BE49-F238E27FC236}">
              <a16:creationId xmlns:a16="http://schemas.microsoft.com/office/drawing/2014/main" xmlns="" id="{00000000-0008-0000-0700-000007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8" name="Chart 7">
          <a:extLst>
            <a:ext uri="{FF2B5EF4-FFF2-40B4-BE49-F238E27FC236}">
              <a16:creationId xmlns:a16="http://schemas.microsoft.com/office/drawing/2014/main" xmlns="" id="{00000000-0008-0000-07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30</xdr:row>
      <xdr:rowOff>104775</xdr:rowOff>
    </xdr:from>
    <xdr:to>
      <xdr:col>9</xdr:col>
      <xdr:colOff>495300</xdr:colOff>
      <xdr:row>43</xdr:row>
      <xdr:rowOff>161925</xdr:rowOff>
    </xdr:to>
    <xdr:graphicFrame macro="">
      <xdr:nvGraphicFramePr>
        <xdr:cNvPr id="9" name="Chart 8">
          <a:extLst>
            <a:ext uri="{FF2B5EF4-FFF2-40B4-BE49-F238E27FC236}">
              <a16:creationId xmlns:a16="http://schemas.microsoft.com/office/drawing/2014/main" xmlns="" id="{00000000-0008-0000-07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08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08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0</xdr:col>
      <xdr:colOff>142875</xdr:colOff>
      <xdr:row>0</xdr:row>
      <xdr:rowOff>0</xdr:rowOff>
    </xdr:from>
    <xdr:to>
      <xdr:col>1</xdr:col>
      <xdr:colOff>0</xdr:colOff>
      <xdr:row>0</xdr:row>
      <xdr:rowOff>0</xdr:rowOff>
    </xdr:to>
    <xdr:sp macro="" textlink="">
      <xdr:nvSpPr>
        <xdr:cNvPr id="4" name="AutoShape 10">
          <a:extLst>
            <a:ext uri="{FF2B5EF4-FFF2-40B4-BE49-F238E27FC236}">
              <a16:creationId xmlns:a16="http://schemas.microsoft.com/office/drawing/2014/main" xmlns="" id="{00000000-0008-0000-0800-000004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5" name="Text Box 15">
          <a:extLst>
            <a:ext uri="{FF2B5EF4-FFF2-40B4-BE49-F238E27FC236}">
              <a16:creationId xmlns:a16="http://schemas.microsoft.com/office/drawing/2014/main" xmlns="" id="{00000000-0008-0000-0800-000005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0</xdr:col>
      <xdr:colOff>142875</xdr:colOff>
      <xdr:row>0</xdr:row>
      <xdr:rowOff>0</xdr:rowOff>
    </xdr:from>
    <xdr:to>
      <xdr:col>1</xdr:col>
      <xdr:colOff>0</xdr:colOff>
      <xdr:row>0</xdr:row>
      <xdr:rowOff>0</xdr:rowOff>
    </xdr:to>
    <xdr:sp macro="" textlink="">
      <xdr:nvSpPr>
        <xdr:cNvPr id="6" name="AutoShape 10">
          <a:extLst>
            <a:ext uri="{FF2B5EF4-FFF2-40B4-BE49-F238E27FC236}">
              <a16:creationId xmlns:a16="http://schemas.microsoft.com/office/drawing/2014/main" xmlns="" id="{00000000-0008-0000-0800-000006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7" name="Text Box 15">
          <a:extLst>
            <a:ext uri="{FF2B5EF4-FFF2-40B4-BE49-F238E27FC236}">
              <a16:creationId xmlns:a16="http://schemas.microsoft.com/office/drawing/2014/main" xmlns="" id="{00000000-0008-0000-0800-000007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08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08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08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12" name="AutoShape 10">
          <a:extLst>
            <a:ext uri="{FF2B5EF4-FFF2-40B4-BE49-F238E27FC236}">
              <a16:creationId xmlns:a16="http://schemas.microsoft.com/office/drawing/2014/main" xmlns="" id="{00000000-0008-0000-0800-00000C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13" name="Text Box 15">
          <a:extLst>
            <a:ext uri="{FF2B5EF4-FFF2-40B4-BE49-F238E27FC236}">
              <a16:creationId xmlns:a16="http://schemas.microsoft.com/office/drawing/2014/main" xmlns="" id="{00000000-0008-0000-0800-00000D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4" name="Chart 13">
          <a:extLst>
            <a:ext uri="{FF2B5EF4-FFF2-40B4-BE49-F238E27FC236}">
              <a16:creationId xmlns:a16="http://schemas.microsoft.com/office/drawing/2014/main" xmlns="" id="{00000000-0008-0000-08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30</xdr:row>
      <xdr:rowOff>104775</xdr:rowOff>
    </xdr:from>
    <xdr:to>
      <xdr:col>9</xdr:col>
      <xdr:colOff>495300</xdr:colOff>
      <xdr:row>43</xdr:row>
      <xdr:rowOff>161925</xdr:rowOff>
    </xdr:to>
    <xdr:graphicFrame macro="">
      <xdr:nvGraphicFramePr>
        <xdr:cNvPr id="15" name="Chart 14">
          <a:extLst>
            <a:ext uri="{FF2B5EF4-FFF2-40B4-BE49-F238E27FC236}">
              <a16:creationId xmlns:a16="http://schemas.microsoft.com/office/drawing/2014/main" xmlns="" id="{00000000-0008-0000-08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09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09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0</xdr:col>
      <xdr:colOff>142875</xdr:colOff>
      <xdr:row>0</xdr:row>
      <xdr:rowOff>0</xdr:rowOff>
    </xdr:from>
    <xdr:to>
      <xdr:col>1</xdr:col>
      <xdr:colOff>0</xdr:colOff>
      <xdr:row>0</xdr:row>
      <xdr:rowOff>0</xdr:rowOff>
    </xdr:to>
    <xdr:sp macro="" textlink="">
      <xdr:nvSpPr>
        <xdr:cNvPr id="4" name="AutoShape 10">
          <a:extLst>
            <a:ext uri="{FF2B5EF4-FFF2-40B4-BE49-F238E27FC236}">
              <a16:creationId xmlns:a16="http://schemas.microsoft.com/office/drawing/2014/main" xmlns="" id="{00000000-0008-0000-0900-000004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5" name="Text Box 15">
          <a:extLst>
            <a:ext uri="{FF2B5EF4-FFF2-40B4-BE49-F238E27FC236}">
              <a16:creationId xmlns:a16="http://schemas.microsoft.com/office/drawing/2014/main" xmlns="" id="{00000000-0008-0000-0900-000005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0</xdr:col>
      <xdr:colOff>142875</xdr:colOff>
      <xdr:row>0</xdr:row>
      <xdr:rowOff>0</xdr:rowOff>
    </xdr:from>
    <xdr:to>
      <xdr:col>1</xdr:col>
      <xdr:colOff>0</xdr:colOff>
      <xdr:row>0</xdr:row>
      <xdr:rowOff>0</xdr:rowOff>
    </xdr:to>
    <xdr:sp macro="" textlink="">
      <xdr:nvSpPr>
        <xdr:cNvPr id="6" name="AutoShape 10">
          <a:extLst>
            <a:ext uri="{FF2B5EF4-FFF2-40B4-BE49-F238E27FC236}">
              <a16:creationId xmlns:a16="http://schemas.microsoft.com/office/drawing/2014/main" xmlns="" id="{00000000-0008-0000-0900-000006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7" name="Text Box 15">
          <a:extLst>
            <a:ext uri="{FF2B5EF4-FFF2-40B4-BE49-F238E27FC236}">
              <a16:creationId xmlns:a16="http://schemas.microsoft.com/office/drawing/2014/main" xmlns="" id="{00000000-0008-0000-0900-000007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09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09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09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12" name="AutoShape 10">
          <a:extLst>
            <a:ext uri="{FF2B5EF4-FFF2-40B4-BE49-F238E27FC236}">
              <a16:creationId xmlns:a16="http://schemas.microsoft.com/office/drawing/2014/main" xmlns="" id="{00000000-0008-0000-0900-00000C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13" name="Text Box 15">
          <a:extLst>
            <a:ext uri="{FF2B5EF4-FFF2-40B4-BE49-F238E27FC236}">
              <a16:creationId xmlns:a16="http://schemas.microsoft.com/office/drawing/2014/main" xmlns="" id="{00000000-0008-0000-0900-00000D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4" name="Chart 13">
          <a:extLst>
            <a:ext uri="{FF2B5EF4-FFF2-40B4-BE49-F238E27FC236}">
              <a16:creationId xmlns:a16="http://schemas.microsoft.com/office/drawing/2014/main" xmlns="" id="{00000000-0008-0000-09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30</xdr:row>
      <xdr:rowOff>104775</xdr:rowOff>
    </xdr:from>
    <xdr:to>
      <xdr:col>9</xdr:col>
      <xdr:colOff>495300</xdr:colOff>
      <xdr:row>43</xdr:row>
      <xdr:rowOff>161925</xdr:rowOff>
    </xdr:to>
    <xdr:graphicFrame macro="">
      <xdr:nvGraphicFramePr>
        <xdr:cNvPr id="15" name="Chart 14">
          <a:extLst>
            <a:ext uri="{FF2B5EF4-FFF2-40B4-BE49-F238E27FC236}">
              <a16:creationId xmlns:a16="http://schemas.microsoft.com/office/drawing/2014/main" xmlns="" id="{00000000-0008-0000-09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142875</xdr:colOff>
      <xdr:row>0</xdr:row>
      <xdr:rowOff>0</xdr:rowOff>
    </xdr:from>
    <xdr:to>
      <xdr:col>2</xdr:col>
      <xdr:colOff>523875</xdr:colOff>
      <xdr:row>0</xdr:row>
      <xdr:rowOff>0</xdr:rowOff>
    </xdr:to>
    <xdr:sp macro="" textlink="">
      <xdr:nvSpPr>
        <xdr:cNvPr id="2" name="AutoShape 10">
          <a:extLst>
            <a:ext uri="{FF2B5EF4-FFF2-40B4-BE49-F238E27FC236}">
              <a16:creationId xmlns:a16="http://schemas.microsoft.com/office/drawing/2014/main" xmlns="" id="{00000000-0008-0000-0A00-000002000000}"/>
            </a:ext>
          </a:extLst>
        </xdr:cNvPr>
        <xdr:cNvSpPr>
          <a:spLocks noChangeArrowheads="1"/>
        </xdr:cNvSpPr>
      </xdr:nvSpPr>
      <xdr:spPr bwMode="auto">
        <a:xfrm>
          <a:off x="142875" y="0"/>
          <a:ext cx="1600200"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2</xdr:col>
      <xdr:colOff>361949</xdr:colOff>
      <xdr:row>0</xdr:row>
      <xdr:rowOff>0</xdr:rowOff>
    </xdr:to>
    <xdr:sp macro="" textlink="">
      <xdr:nvSpPr>
        <xdr:cNvPr id="3" name="Text Box 15">
          <a:extLst>
            <a:ext uri="{FF2B5EF4-FFF2-40B4-BE49-F238E27FC236}">
              <a16:creationId xmlns:a16="http://schemas.microsoft.com/office/drawing/2014/main" xmlns="" id="{00000000-0008-0000-0A00-000003000000}"/>
            </a:ext>
          </a:extLst>
        </xdr:cNvPr>
        <xdr:cNvSpPr txBox="1">
          <a:spLocks noChangeArrowheads="1"/>
        </xdr:cNvSpPr>
      </xdr:nvSpPr>
      <xdr:spPr bwMode="auto">
        <a:xfrm>
          <a:off x="47624" y="0"/>
          <a:ext cx="1533525"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0</xdr:col>
      <xdr:colOff>142875</xdr:colOff>
      <xdr:row>0</xdr:row>
      <xdr:rowOff>0</xdr:rowOff>
    </xdr:from>
    <xdr:to>
      <xdr:col>2</xdr:col>
      <xdr:colOff>523875</xdr:colOff>
      <xdr:row>0</xdr:row>
      <xdr:rowOff>0</xdr:rowOff>
    </xdr:to>
    <xdr:sp macro="" textlink="">
      <xdr:nvSpPr>
        <xdr:cNvPr id="4" name="AutoShape 10">
          <a:extLst>
            <a:ext uri="{FF2B5EF4-FFF2-40B4-BE49-F238E27FC236}">
              <a16:creationId xmlns:a16="http://schemas.microsoft.com/office/drawing/2014/main" xmlns="" id="{00000000-0008-0000-0A00-000004000000}"/>
            </a:ext>
          </a:extLst>
        </xdr:cNvPr>
        <xdr:cNvSpPr>
          <a:spLocks noChangeArrowheads="1"/>
        </xdr:cNvSpPr>
      </xdr:nvSpPr>
      <xdr:spPr bwMode="auto">
        <a:xfrm>
          <a:off x="142875" y="0"/>
          <a:ext cx="1600200"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2</xdr:col>
      <xdr:colOff>361949</xdr:colOff>
      <xdr:row>0</xdr:row>
      <xdr:rowOff>0</xdr:rowOff>
    </xdr:to>
    <xdr:sp macro="" textlink="">
      <xdr:nvSpPr>
        <xdr:cNvPr id="5" name="Text Box 15">
          <a:extLst>
            <a:ext uri="{FF2B5EF4-FFF2-40B4-BE49-F238E27FC236}">
              <a16:creationId xmlns:a16="http://schemas.microsoft.com/office/drawing/2014/main" xmlns="" id="{00000000-0008-0000-0A00-000005000000}"/>
            </a:ext>
          </a:extLst>
        </xdr:cNvPr>
        <xdr:cNvSpPr txBox="1">
          <a:spLocks noChangeArrowheads="1"/>
        </xdr:cNvSpPr>
      </xdr:nvSpPr>
      <xdr:spPr bwMode="auto">
        <a:xfrm>
          <a:off x="47624" y="0"/>
          <a:ext cx="1533525"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0</xdr:col>
      <xdr:colOff>142875</xdr:colOff>
      <xdr:row>0</xdr:row>
      <xdr:rowOff>0</xdr:rowOff>
    </xdr:from>
    <xdr:to>
      <xdr:col>2</xdr:col>
      <xdr:colOff>523875</xdr:colOff>
      <xdr:row>0</xdr:row>
      <xdr:rowOff>0</xdr:rowOff>
    </xdr:to>
    <xdr:sp macro="" textlink="">
      <xdr:nvSpPr>
        <xdr:cNvPr id="6" name="AutoShape 10">
          <a:extLst>
            <a:ext uri="{FF2B5EF4-FFF2-40B4-BE49-F238E27FC236}">
              <a16:creationId xmlns:a16="http://schemas.microsoft.com/office/drawing/2014/main" xmlns="" id="{00000000-0008-0000-0A00-000006000000}"/>
            </a:ext>
          </a:extLst>
        </xdr:cNvPr>
        <xdr:cNvSpPr>
          <a:spLocks noChangeArrowheads="1"/>
        </xdr:cNvSpPr>
      </xdr:nvSpPr>
      <xdr:spPr bwMode="auto">
        <a:xfrm>
          <a:off x="142875" y="0"/>
          <a:ext cx="1600200"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2</xdr:col>
      <xdr:colOff>361949</xdr:colOff>
      <xdr:row>0</xdr:row>
      <xdr:rowOff>0</xdr:rowOff>
    </xdr:to>
    <xdr:sp macro="" textlink="">
      <xdr:nvSpPr>
        <xdr:cNvPr id="7" name="Text Box 15">
          <a:extLst>
            <a:ext uri="{FF2B5EF4-FFF2-40B4-BE49-F238E27FC236}">
              <a16:creationId xmlns:a16="http://schemas.microsoft.com/office/drawing/2014/main" xmlns="" id="{00000000-0008-0000-0A00-000007000000}"/>
            </a:ext>
          </a:extLst>
        </xdr:cNvPr>
        <xdr:cNvSpPr txBox="1">
          <a:spLocks noChangeArrowheads="1"/>
        </xdr:cNvSpPr>
      </xdr:nvSpPr>
      <xdr:spPr bwMode="auto">
        <a:xfrm>
          <a:off x="47624" y="0"/>
          <a:ext cx="1533525"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0A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0A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0A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12" name="AutoShape 10">
          <a:extLst>
            <a:ext uri="{FF2B5EF4-FFF2-40B4-BE49-F238E27FC236}">
              <a16:creationId xmlns:a16="http://schemas.microsoft.com/office/drawing/2014/main" xmlns="" id="{00000000-0008-0000-0A00-00000C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13" name="Text Box 15">
          <a:extLst>
            <a:ext uri="{FF2B5EF4-FFF2-40B4-BE49-F238E27FC236}">
              <a16:creationId xmlns:a16="http://schemas.microsoft.com/office/drawing/2014/main" xmlns="" id="{00000000-0008-0000-0A00-00000D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4" name="Chart 13">
          <a:extLst>
            <a:ext uri="{FF2B5EF4-FFF2-40B4-BE49-F238E27FC236}">
              <a16:creationId xmlns:a16="http://schemas.microsoft.com/office/drawing/2014/main" xmlns="" id="{00000000-0008-0000-0A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30</xdr:row>
      <xdr:rowOff>95250</xdr:rowOff>
    </xdr:from>
    <xdr:to>
      <xdr:col>9</xdr:col>
      <xdr:colOff>495300</xdr:colOff>
      <xdr:row>43</xdr:row>
      <xdr:rowOff>152400</xdr:rowOff>
    </xdr:to>
    <xdr:graphicFrame macro="">
      <xdr:nvGraphicFramePr>
        <xdr:cNvPr id="15" name="Chart 14">
          <a:extLst>
            <a:ext uri="{FF2B5EF4-FFF2-40B4-BE49-F238E27FC236}">
              <a16:creationId xmlns:a16="http://schemas.microsoft.com/office/drawing/2014/main" xmlns="" id="{00000000-0008-0000-0A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0B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0B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0B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0B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0B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0B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0B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0B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30</xdr:row>
      <xdr:rowOff>104775</xdr:rowOff>
    </xdr:from>
    <xdr:to>
      <xdr:col>9</xdr:col>
      <xdr:colOff>495300</xdr:colOff>
      <xdr:row>43</xdr:row>
      <xdr:rowOff>161925</xdr:rowOff>
    </xdr:to>
    <xdr:graphicFrame macro="">
      <xdr:nvGraphicFramePr>
        <xdr:cNvPr id="11" name="Chart 10">
          <a:extLst>
            <a:ext uri="{FF2B5EF4-FFF2-40B4-BE49-F238E27FC236}">
              <a16:creationId xmlns:a16="http://schemas.microsoft.com/office/drawing/2014/main" xmlns="" id="{00000000-0008-0000-0B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xdr:col>
      <xdr:colOff>142875</xdr:colOff>
      <xdr:row>1</xdr:row>
      <xdr:rowOff>104775</xdr:rowOff>
    </xdr:from>
    <xdr:to>
      <xdr:col>3</xdr:col>
      <xdr:colOff>523875</xdr:colOff>
      <xdr:row>3</xdr:row>
      <xdr:rowOff>85725</xdr:rowOff>
    </xdr:to>
    <xdr:sp macro="" textlink="">
      <xdr:nvSpPr>
        <xdr:cNvPr id="2" name="AutoShape 10">
          <a:extLst>
            <a:ext uri="{FF2B5EF4-FFF2-40B4-BE49-F238E27FC236}">
              <a16:creationId xmlns:a16="http://schemas.microsoft.com/office/drawing/2014/main" xmlns="" id="{00000000-0008-0000-0C00-000002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3" name="Text Box 15">
          <a:extLst>
            <a:ext uri="{FF2B5EF4-FFF2-40B4-BE49-F238E27FC236}">
              <a16:creationId xmlns:a16="http://schemas.microsoft.com/office/drawing/2014/main" xmlns="" id="{00000000-0008-0000-0C00-000003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6" name="AutoShape 10">
          <a:extLst>
            <a:ext uri="{FF2B5EF4-FFF2-40B4-BE49-F238E27FC236}">
              <a16:creationId xmlns:a16="http://schemas.microsoft.com/office/drawing/2014/main" xmlns="" id="{00000000-0008-0000-0C00-000006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7" name="Text Box 15">
          <a:extLst>
            <a:ext uri="{FF2B5EF4-FFF2-40B4-BE49-F238E27FC236}">
              <a16:creationId xmlns:a16="http://schemas.microsoft.com/office/drawing/2014/main" xmlns="" id="{00000000-0008-0000-0C00-000007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wsDr>
</file>

<file path=xl/drawings/drawing13.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0D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0D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0D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0D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0D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0D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0D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0D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30</xdr:row>
      <xdr:rowOff>95250</xdr:rowOff>
    </xdr:from>
    <xdr:to>
      <xdr:col>9</xdr:col>
      <xdr:colOff>495300</xdr:colOff>
      <xdr:row>43</xdr:row>
      <xdr:rowOff>152400</xdr:rowOff>
    </xdr:to>
    <xdr:graphicFrame macro="">
      <xdr:nvGraphicFramePr>
        <xdr:cNvPr id="11" name="Chart 10">
          <a:extLst>
            <a:ext uri="{FF2B5EF4-FFF2-40B4-BE49-F238E27FC236}">
              <a16:creationId xmlns:a16="http://schemas.microsoft.com/office/drawing/2014/main" xmlns="" id="{00000000-0008-0000-0D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0E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0E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0E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0E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0E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0E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0E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0E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30</xdr:row>
      <xdr:rowOff>95250</xdr:rowOff>
    </xdr:from>
    <xdr:to>
      <xdr:col>9</xdr:col>
      <xdr:colOff>495300</xdr:colOff>
      <xdr:row>43</xdr:row>
      <xdr:rowOff>152400</xdr:rowOff>
    </xdr:to>
    <xdr:graphicFrame macro="">
      <xdr:nvGraphicFramePr>
        <xdr:cNvPr id="11" name="Chart 10">
          <a:extLst>
            <a:ext uri="{FF2B5EF4-FFF2-40B4-BE49-F238E27FC236}">
              <a16:creationId xmlns:a16="http://schemas.microsoft.com/office/drawing/2014/main" xmlns="" id="{00000000-0008-0000-0E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0F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0F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0F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0F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0F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0F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0F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0F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30</xdr:row>
      <xdr:rowOff>95250</xdr:rowOff>
    </xdr:from>
    <xdr:to>
      <xdr:col>9</xdr:col>
      <xdr:colOff>495300</xdr:colOff>
      <xdr:row>43</xdr:row>
      <xdr:rowOff>152400</xdr:rowOff>
    </xdr:to>
    <xdr:graphicFrame macro="">
      <xdr:nvGraphicFramePr>
        <xdr:cNvPr id="11" name="Chart 10">
          <a:extLst>
            <a:ext uri="{FF2B5EF4-FFF2-40B4-BE49-F238E27FC236}">
              <a16:creationId xmlns:a16="http://schemas.microsoft.com/office/drawing/2014/main" xmlns="" id="{00000000-0008-0000-0F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10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10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10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10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10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10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10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10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30</xdr:row>
      <xdr:rowOff>95250</xdr:rowOff>
    </xdr:from>
    <xdr:to>
      <xdr:col>9</xdr:col>
      <xdr:colOff>495300</xdr:colOff>
      <xdr:row>43</xdr:row>
      <xdr:rowOff>152400</xdr:rowOff>
    </xdr:to>
    <xdr:graphicFrame macro="">
      <xdr:nvGraphicFramePr>
        <xdr:cNvPr id="11" name="Chart 10">
          <a:extLst>
            <a:ext uri="{FF2B5EF4-FFF2-40B4-BE49-F238E27FC236}">
              <a16:creationId xmlns:a16="http://schemas.microsoft.com/office/drawing/2014/main" xmlns="" id="{00000000-0008-0000-1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11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11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11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11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11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11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11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11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30</xdr:row>
      <xdr:rowOff>95250</xdr:rowOff>
    </xdr:from>
    <xdr:to>
      <xdr:col>9</xdr:col>
      <xdr:colOff>495300</xdr:colOff>
      <xdr:row>43</xdr:row>
      <xdr:rowOff>152400</xdr:rowOff>
    </xdr:to>
    <xdr:graphicFrame macro="">
      <xdr:nvGraphicFramePr>
        <xdr:cNvPr id="11" name="Chart 10">
          <a:extLst>
            <a:ext uri="{FF2B5EF4-FFF2-40B4-BE49-F238E27FC236}">
              <a16:creationId xmlns:a16="http://schemas.microsoft.com/office/drawing/2014/main" xmlns="" id="{00000000-0008-0000-11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12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12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12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12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1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12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12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12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30</xdr:row>
      <xdr:rowOff>95250</xdr:rowOff>
    </xdr:from>
    <xdr:to>
      <xdr:col>9</xdr:col>
      <xdr:colOff>495300</xdr:colOff>
      <xdr:row>43</xdr:row>
      <xdr:rowOff>152400</xdr:rowOff>
    </xdr:to>
    <xdr:graphicFrame macro="">
      <xdr:nvGraphicFramePr>
        <xdr:cNvPr id="11" name="Chart 10">
          <a:extLst>
            <a:ext uri="{FF2B5EF4-FFF2-40B4-BE49-F238E27FC236}">
              <a16:creationId xmlns:a16="http://schemas.microsoft.com/office/drawing/2014/main" xmlns="" id="{00000000-0008-0000-12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13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13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13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13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1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13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13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13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30</xdr:row>
      <xdr:rowOff>95250</xdr:rowOff>
    </xdr:from>
    <xdr:to>
      <xdr:col>9</xdr:col>
      <xdr:colOff>495300</xdr:colOff>
      <xdr:row>43</xdr:row>
      <xdr:rowOff>152400</xdr:rowOff>
    </xdr:to>
    <xdr:graphicFrame macro="">
      <xdr:nvGraphicFramePr>
        <xdr:cNvPr id="11" name="Chart 10">
          <a:extLst>
            <a:ext uri="{FF2B5EF4-FFF2-40B4-BE49-F238E27FC236}">
              <a16:creationId xmlns:a16="http://schemas.microsoft.com/office/drawing/2014/main" xmlns="" id="{00000000-0008-0000-13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14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14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14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14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14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14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14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14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30</xdr:row>
      <xdr:rowOff>95250</xdr:rowOff>
    </xdr:from>
    <xdr:to>
      <xdr:col>9</xdr:col>
      <xdr:colOff>495300</xdr:colOff>
      <xdr:row>43</xdr:row>
      <xdr:rowOff>152400</xdr:rowOff>
    </xdr:to>
    <xdr:graphicFrame macro="">
      <xdr:nvGraphicFramePr>
        <xdr:cNvPr id="11" name="Chart 10">
          <a:extLst>
            <a:ext uri="{FF2B5EF4-FFF2-40B4-BE49-F238E27FC236}">
              <a16:creationId xmlns:a16="http://schemas.microsoft.com/office/drawing/2014/main" xmlns="" id="{00000000-0008-0000-14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15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15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15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15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15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15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15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15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30</xdr:row>
      <xdr:rowOff>95250</xdr:rowOff>
    </xdr:from>
    <xdr:to>
      <xdr:col>9</xdr:col>
      <xdr:colOff>495300</xdr:colOff>
      <xdr:row>43</xdr:row>
      <xdr:rowOff>152400</xdr:rowOff>
    </xdr:to>
    <xdr:graphicFrame macro="">
      <xdr:nvGraphicFramePr>
        <xdr:cNvPr id="11" name="Chart 10">
          <a:extLst>
            <a:ext uri="{FF2B5EF4-FFF2-40B4-BE49-F238E27FC236}">
              <a16:creationId xmlns:a16="http://schemas.microsoft.com/office/drawing/2014/main" xmlns="" id="{00000000-0008-0000-15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16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16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16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16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16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16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16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16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30</xdr:row>
      <xdr:rowOff>95250</xdr:rowOff>
    </xdr:from>
    <xdr:to>
      <xdr:col>9</xdr:col>
      <xdr:colOff>495300</xdr:colOff>
      <xdr:row>43</xdr:row>
      <xdr:rowOff>152400</xdr:rowOff>
    </xdr:to>
    <xdr:graphicFrame macro="">
      <xdr:nvGraphicFramePr>
        <xdr:cNvPr id="11" name="Chart 10">
          <a:extLst>
            <a:ext uri="{FF2B5EF4-FFF2-40B4-BE49-F238E27FC236}">
              <a16:creationId xmlns:a16="http://schemas.microsoft.com/office/drawing/2014/main" xmlns="" id="{00000000-0008-0000-16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17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17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17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17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17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17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17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17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30</xdr:row>
      <xdr:rowOff>95250</xdr:rowOff>
    </xdr:from>
    <xdr:to>
      <xdr:col>9</xdr:col>
      <xdr:colOff>495300</xdr:colOff>
      <xdr:row>43</xdr:row>
      <xdr:rowOff>152400</xdr:rowOff>
    </xdr:to>
    <xdr:graphicFrame macro="">
      <xdr:nvGraphicFramePr>
        <xdr:cNvPr id="11" name="Chart 10">
          <a:extLst>
            <a:ext uri="{FF2B5EF4-FFF2-40B4-BE49-F238E27FC236}">
              <a16:creationId xmlns:a16="http://schemas.microsoft.com/office/drawing/2014/main" xmlns="" id="{00000000-0008-0000-17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18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18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18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18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1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18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18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18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30</xdr:row>
      <xdr:rowOff>95250</xdr:rowOff>
    </xdr:from>
    <xdr:to>
      <xdr:col>9</xdr:col>
      <xdr:colOff>495300</xdr:colOff>
      <xdr:row>43</xdr:row>
      <xdr:rowOff>152400</xdr:rowOff>
    </xdr:to>
    <xdr:graphicFrame macro="">
      <xdr:nvGraphicFramePr>
        <xdr:cNvPr id="11" name="Chart 10">
          <a:extLst>
            <a:ext uri="{FF2B5EF4-FFF2-40B4-BE49-F238E27FC236}">
              <a16:creationId xmlns:a16="http://schemas.microsoft.com/office/drawing/2014/main" xmlns="" id="{00000000-0008-0000-18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19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19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19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19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19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19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19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19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30</xdr:row>
      <xdr:rowOff>95250</xdr:rowOff>
    </xdr:from>
    <xdr:to>
      <xdr:col>9</xdr:col>
      <xdr:colOff>495300</xdr:colOff>
      <xdr:row>43</xdr:row>
      <xdr:rowOff>152400</xdr:rowOff>
    </xdr:to>
    <xdr:graphicFrame macro="">
      <xdr:nvGraphicFramePr>
        <xdr:cNvPr id="11" name="Chart 10">
          <a:extLst>
            <a:ext uri="{FF2B5EF4-FFF2-40B4-BE49-F238E27FC236}">
              <a16:creationId xmlns:a16="http://schemas.microsoft.com/office/drawing/2014/main" xmlns="" id="{00000000-0008-0000-19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1A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1A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1A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1A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1A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1A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1A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1A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30</xdr:row>
      <xdr:rowOff>95250</xdr:rowOff>
    </xdr:from>
    <xdr:to>
      <xdr:col>9</xdr:col>
      <xdr:colOff>495300</xdr:colOff>
      <xdr:row>43</xdr:row>
      <xdr:rowOff>152400</xdr:rowOff>
    </xdr:to>
    <xdr:graphicFrame macro="">
      <xdr:nvGraphicFramePr>
        <xdr:cNvPr id="11" name="Chart 10">
          <a:extLst>
            <a:ext uri="{FF2B5EF4-FFF2-40B4-BE49-F238E27FC236}">
              <a16:creationId xmlns:a16="http://schemas.microsoft.com/office/drawing/2014/main" xmlns="" id="{00000000-0008-0000-1A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1B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1B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1B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1B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1B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1B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1B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1B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30</xdr:row>
      <xdr:rowOff>95250</xdr:rowOff>
    </xdr:from>
    <xdr:to>
      <xdr:col>9</xdr:col>
      <xdr:colOff>495300</xdr:colOff>
      <xdr:row>43</xdr:row>
      <xdr:rowOff>152400</xdr:rowOff>
    </xdr:to>
    <xdr:graphicFrame macro="">
      <xdr:nvGraphicFramePr>
        <xdr:cNvPr id="11" name="Chart 10">
          <a:extLst>
            <a:ext uri="{FF2B5EF4-FFF2-40B4-BE49-F238E27FC236}">
              <a16:creationId xmlns:a16="http://schemas.microsoft.com/office/drawing/2014/main" xmlns="" id="{00000000-0008-0000-1B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1C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1C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1C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1C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1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1C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1C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1C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30</xdr:row>
      <xdr:rowOff>95250</xdr:rowOff>
    </xdr:from>
    <xdr:to>
      <xdr:col>9</xdr:col>
      <xdr:colOff>495300</xdr:colOff>
      <xdr:row>43</xdr:row>
      <xdr:rowOff>152400</xdr:rowOff>
    </xdr:to>
    <xdr:graphicFrame macro="">
      <xdr:nvGraphicFramePr>
        <xdr:cNvPr id="11" name="Chart 10">
          <a:extLst>
            <a:ext uri="{FF2B5EF4-FFF2-40B4-BE49-F238E27FC236}">
              <a16:creationId xmlns:a16="http://schemas.microsoft.com/office/drawing/2014/main" xmlns="" id="{00000000-0008-0000-1C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1D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1D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1D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1D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1D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1D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1D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1D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30</xdr:row>
      <xdr:rowOff>95250</xdr:rowOff>
    </xdr:from>
    <xdr:to>
      <xdr:col>9</xdr:col>
      <xdr:colOff>495300</xdr:colOff>
      <xdr:row>43</xdr:row>
      <xdr:rowOff>152400</xdr:rowOff>
    </xdr:to>
    <xdr:graphicFrame macro="">
      <xdr:nvGraphicFramePr>
        <xdr:cNvPr id="11" name="Chart 10">
          <a:extLst>
            <a:ext uri="{FF2B5EF4-FFF2-40B4-BE49-F238E27FC236}">
              <a16:creationId xmlns:a16="http://schemas.microsoft.com/office/drawing/2014/main" xmlns="" id="{00000000-0008-0000-1D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1E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1E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1E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1E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1E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1E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1E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1E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30</xdr:row>
      <xdr:rowOff>104775</xdr:rowOff>
    </xdr:from>
    <xdr:to>
      <xdr:col>9</xdr:col>
      <xdr:colOff>495300</xdr:colOff>
      <xdr:row>43</xdr:row>
      <xdr:rowOff>161925</xdr:rowOff>
    </xdr:to>
    <xdr:graphicFrame macro="">
      <xdr:nvGraphicFramePr>
        <xdr:cNvPr id="11" name="Chart 10">
          <a:extLst>
            <a:ext uri="{FF2B5EF4-FFF2-40B4-BE49-F238E27FC236}">
              <a16:creationId xmlns:a16="http://schemas.microsoft.com/office/drawing/2014/main" xmlns="" id="{00000000-0008-0000-1E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1F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1F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1F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1F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1F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1F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1F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1F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30</xdr:row>
      <xdr:rowOff>104775</xdr:rowOff>
    </xdr:from>
    <xdr:to>
      <xdr:col>9</xdr:col>
      <xdr:colOff>495300</xdr:colOff>
      <xdr:row>43</xdr:row>
      <xdr:rowOff>161925</xdr:rowOff>
    </xdr:to>
    <xdr:graphicFrame macro="">
      <xdr:nvGraphicFramePr>
        <xdr:cNvPr id="11" name="Chart 10">
          <a:extLst>
            <a:ext uri="{FF2B5EF4-FFF2-40B4-BE49-F238E27FC236}">
              <a16:creationId xmlns:a16="http://schemas.microsoft.com/office/drawing/2014/main" xmlns="" id="{00000000-0008-0000-1F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20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20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20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20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20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20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20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20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30</xdr:row>
      <xdr:rowOff>104775</xdr:rowOff>
    </xdr:from>
    <xdr:to>
      <xdr:col>9</xdr:col>
      <xdr:colOff>495300</xdr:colOff>
      <xdr:row>43</xdr:row>
      <xdr:rowOff>161925</xdr:rowOff>
    </xdr:to>
    <xdr:graphicFrame macro="">
      <xdr:nvGraphicFramePr>
        <xdr:cNvPr id="11" name="Chart 10">
          <a:extLst>
            <a:ext uri="{FF2B5EF4-FFF2-40B4-BE49-F238E27FC236}">
              <a16:creationId xmlns:a16="http://schemas.microsoft.com/office/drawing/2014/main" xmlns="" id="{00000000-0008-0000-2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21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21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21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21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21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21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21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21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30</xdr:row>
      <xdr:rowOff>104775</xdr:rowOff>
    </xdr:from>
    <xdr:to>
      <xdr:col>9</xdr:col>
      <xdr:colOff>495300</xdr:colOff>
      <xdr:row>43</xdr:row>
      <xdr:rowOff>161925</xdr:rowOff>
    </xdr:to>
    <xdr:graphicFrame macro="">
      <xdr:nvGraphicFramePr>
        <xdr:cNvPr id="11" name="Chart 10">
          <a:extLst>
            <a:ext uri="{FF2B5EF4-FFF2-40B4-BE49-F238E27FC236}">
              <a16:creationId xmlns:a16="http://schemas.microsoft.com/office/drawing/2014/main" xmlns="" id="{00000000-0008-0000-21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22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22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22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22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2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22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22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22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30</xdr:row>
      <xdr:rowOff>104775</xdr:rowOff>
    </xdr:from>
    <xdr:to>
      <xdr:col>9</xdr:col>
      <xdr:colOff>495300</xdr:colOff>
      <xdr:row>43</xdr:row>
      <xdr:rowOff>161925</xdr:rowOff>
    </xdr:to>
    <xdr:graphicFrame macro="">
      <xdr:nvGraphicFramePr>
        <xdr:cNvPr id="11" name="Chart 10">
          <a:extLst>
            <a:ext uri="{FF2B5EF4-FFF2-40B4-BE49-F238E27FC236}">
              <a16:creationId xmlns:a16="http://schemas.microsoft.com/office/drawing/2014/main" xmlns="" id="{00000000-0008-0000-22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23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23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23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23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2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23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23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23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30</xdr:row>
      <xdr:rowOff>95250</xdr:rowOff>
    </xdr:from>
    <xdr:to>
      <xdr:col>9</xdr:col>
      <xdr:colOff>495300</xdr:colOff>
      <xdr:row>43</xdr:row>
      <xdr:rowOff>152400</xdr:rowOff>
    </xdr:to>
    <xdr:graphicFrame macro="">
      <xdr:nvGraphicFramePr>
        <xdr:cNvPr id="11" name="Chart 10">
          <a:extLst>
            <a:ext uri="{FF2B5EF4-FFF2-40B4-BE49-F238E27FC236}">
              <a16:creationId xmlns:a16="http://schemas.microsoft.com/office/drawing/2014/main" xmlns="" id="{00000000-0008-0000-23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24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24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24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24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24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24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24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24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30</xdr:row>
      <xdr:rowOff>104775</xdr:rowOff>
    </xdr:from>
    <xdr:to>
      <xdr:col>9</xdr:col>
      <xdr:colOff>495300</xdr:colOff>
      <xdr:row>43</xdr:row>
      <xdr:rowOff>161925</xdr:rowOff>
    </xdr:to>
    <xdr:graphicFrame macro="">
      <xdr:nvGraphicFramePr>
        <xdr:cNvPr id="11" name="Chart 10">
          <a:extLst>
            <a:ext uri="{FF2B5EF4-FFF2-40B4-BE49-F238E27FC236}">
              <a16:creationId xmlns:a16="http://schemas.microsoft.com/office/drawing/2014/main" xmlns="" id="{00000000-0008-0000-24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xdr:from>
      <xdr:col>0</xdr:col>
      <xdr:colOff>142875</xdr:colOff>
      <xdr:row>0</xdr:row>
      <xdr:rowOff>0</xdr:rowOff>
    </xdr:from>
    <xdr:to>
      <xdr:col>2</xdr:col>
      <xdr:colOff>523875</xdr:colOff>
      <xdr:row>0</xdr:row>
      <xdr:rowOff>0</xdr:rowOff>
    </xdr:to>
    <xdr:sp macro="" textlink="">
      <xdr:nvSpPr>
        <xdr:cNvPr id="2" name="AutoShape 10">
          <a:extLst>
            <a:ext uri="{FF2B5EF4-FFF2-40B4-BE49-F238E27FC236}">
              <a16:creationId xmlns:a16="http://schemas.microsoft.com/office/drawing/2014/main" xmlns="" id="{00000000-0008-0000-2500-000002000000}"/>
            </a:ext>
          </a:extLst>
        </xdr:cNvPr>
        <xdr:cNvSpPr>
          <a:spLocks noChangeArrowheads="1"/>
        </xdr:cNvSpPr>
      </xdr:nvSpPr>
      <xdr:spPr bwMode="auto">
        <a:xfrm>
          <a:off x="142875" y="0"/>
          <a:ext cx="1600200"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2</xdr:col>
      <xdr:colOff>361949</xdr:colOff>
      <xdr:row>0</xdr:row>
      <xdr:rowOff>0</xdr:rowOff>
    </xdr:to>
    <xdr:sp macro="" textlink="">
      <xdr:nvSpPr>
        <xdr:cNvPr id="3" name="Text Box 15">
          <a:extLst>
            <a:ext uri="{FF2B5EF4-FFF2-40B4-BE49-F238E27FC236}">
              <a16:creationId xmlns:a16="http://schemas.microsoft.com/office/drawing/2014/main" xmlns="" id="{00000000-0008-0000-2500-000003000000}"/>
            </a:ext>
          </a:extLst>
        </xdr:cNvPr>
        <xdr:cNvSpPr txBox="1">
          <a:spLocks noChangeArrowheads="1"/>
        </xdr:cNvSpPr>
      </xdr:nvSpPr>
      <xdr:spPr bwMode="auto">
        <a:xfrm>
          <a:off x="47624" y="0"/>
          <a:ext cx="1533525"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25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25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25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25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25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25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30</xdr:row>
      <xdr:rowOff>104775</xdr:rowOff>
    </xdr:from>
    <xdr:to>
      <xdr:col>7</xdr:col>
      <xdr:colOff>371475</xdr:colOff>
      <xdr:row>43</xdr:row>
      <xdr:rowOff>161925</xdr:rowOff>
    </xdr:to>
    <xdr:graphicFrame macro="">
      <xdr:nvGraphicFramePr>
        <xdr:cNvPr id="11" name="Chart 10">
          <a:extLst>
            <a:ext uri="{FF2B5EF4-FFF2-40B4-BE49-F238E27FC236}">
              <a16:creationId xmlns:a16="http://schemas.microsoft.com/office/drawing/2014/main" xmlns="" id="{00000000-0008-0000-25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8.xml><?xml version="1.0" encoding="utf-8"?>
<xdr:wsDr xmlns:xdr="http://schemas.openxmlformats.org/drawingml/2006/spreadsheetDrawing" xmlns:a="http://schemas.openxmlformats.org/drawingml/2006/main">
  <xdr:twoCellAnchor>
    <xdr:from>
      <xdr:col>0</xdr:col>
      <xdr:colOff>142875</xdr:colOff>
      <xdr:row>0</xdr:row>
      <xdr:rowOff>0</xdr:rowOff>
    </xdr:from>
    <xdr:to>
      <xdr:col>2</xdr:col>
      <xdr:colOff>523875</xdr:colOff>
      <xdr:row>0</xdr:row>
      <xdr:rowOff>0</xdr:rowOff>
    </xdr:to>
    <xdr:sp macro="" textlink="">
      <xdr:nvSpPr>
        <xdr:cNvPr id="2" name="AutoShape 10">
          <a:extLst>
            <a:ext uri="{FF2B5EF4-FFF2-40B4-BE49-F238E27FC236}">
              <a16:creationId xmlns:a16="http://schemas.microsoft.com/office/drawing/2014/main" xmlns="" id="{00000000-0008-0000-2600-000002000000}"/>
            </a:ext>
          </a:extLst>
        </xdr:cNvPr>
        <xdr:cNvSpPr>
          <a:spLocks noChangeArrowheads="1"/>
        </xdr:cNvSpPr>
      </xdr:nvSpPr>
      <xdr:spPr bwMode="auto">
        <a:xfrm>
          <a:off x="142875" y="0"/>
          <a:ext cx="1600200"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2</xdr:col>
      <xdr:colOff>361949</xdr:colOff>
      <xdr:row>0</xdr:row>
      <xdr:rowOff>0</xdr:rowOff>
    </xdr:to>
    <xdr:sp macro="" textlink="">
      <xdr:nvSpPr>
        <xdr:cNvPr id="3" name="Text Box 15">
          <a:extLst>
            <a:ext uri="{FF2B5EF4-FFF2-40B4-BE49-F238E27FC236}">
              <a16:creationId xmlns:a16="http://schemas.microsoft.com/office/drawing/2014/main" xmlns="" id="{00000000-0008-0000-2600-000003000000}"/>
            </a:ext>
          </a:extLst>
        </xdr:cNvPr>
        <xdr:cNvSpPr txBox="1">
          <a:spLocks noChangeArrowheads="1"/>
        </xdr:cNvSpPr>
      </xdr:nvSpPr>
      <xdr:spPr bwMode="auto">
        <a:xfrm>
          <a:off x="47624" y="0"/>
          <a:ext cx="1533525"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26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26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26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26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26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26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30</xdr:row>
      <xdr:rowOff>95250</xdr:rowOff>
    </xdr:from>
    <xdr:to>
      <xdr:col>9</xdr:col>
      <xdr:colOff>495300</xdr:colOff>
      <xdr:row>43</xdr:row>
      <xdr:rowOff>152400</xdr:rowOff>
    </xdr:to>
    <xdr:graphicFrame macro="">
      <xdr:nvGraphicFramePr>
        <xdr:cNvPr id="11" name="Chart 10">
          <a:extLst>
            <a:ext uri="{FF2B5EF4-FFF2-40B4-BE49-F238E27FC236}">
              <a16:creationId xmlns:a16="http://schemas.microsoft.com/office/drawing/2014/main" xmlns="" id="{00000000-0008-0000-26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9.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27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27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27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27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27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27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27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27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30</xdr:row>
      <xdr:rowOff>95250</xdr:rowOff>
    </xdr:from>
    <xdr:to>
      <xdr:col>9</xdr:col>
      <xdr:colOff>495300</xdr:colOff>
      <xdr:row>43</xdr:row>
      <xdr:rowOff>152400</xdr:rowOff>
    </xdr:to>
    <xdr:graphicFrame macro="">
      <xdr:nvGraphicFramePr>
        <xdr:cNvPr id="11" name="Chart 10">
          <a:extLst>
            <a:ext uri="{FF2B5EF4-FFF2-40B4-BE49-F238E27FC236}">
              <a16:creationId xmlns:a16="http://schemas.microsoft.com/office/drawing/2014/main" xmlns="" id="{00000000-0008-0000-27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0.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28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28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28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28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2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28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28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28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30</xdr:row>
      <xdr:rowOff>104775</xdr:rowOff>
    </xdr:from>
    <xdr:to>
      <xdr:col>9</xdr:col>
      <xdr:colOff>495300</xdr:colOff>
      <xdr:row>43</xdr:row>
      <xdr:rowOff>161925</xdr:rowOff>
    </xdr:to>
    <xdr:graphicFrame macro="">
      <xdr:nvGraphicFramePr>
        <xdr:cNvPr id="11" name="Chart 10">
          <a:extLst>
            <a:ext uri="{FF2B5EF4-FFF2-40B4-BE49-F238E27FC236}">
              <a16:creationId xmlns:a16="http://schemas.microsoft.com/office/drawing/2014/main" xmlns="" id="{00000000-0008-0000-28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29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29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29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29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29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29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29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29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30</xdr:row>
      <xdr:rowOff>104775</xdr:rowOff>
    </xdr:from>
    <xdr:to>
      <xdr:col>9</xdr:col>
      <xdr:colOff>495300</xdr:colOff>
      <xdr:row>43</xdr:row>
      <xdr:rowOff>161925</xdr:rowOff>
    </xdr:to>
    <xdr:graphicFrame macro="">
      <xdr:nvGraphicFramePr>
        <xdr:cNvPr id="11" name="Chart 10">
          <a:extLst>
            <a:ext uri="{FF2B5EF4-FFF2-40B4-BE49-F238E27FC236}">
              <a16:creationId xmlns:a16="http://schemas.microsoft.com/office/drawing/2014/main" xmlns="" id="{00000000-0008-0000-29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2.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2A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2A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2A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2A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2A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2A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2A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2A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30</xdr:row>
      <xdr:rowOff>95250</xdr:rowOff>
    </xdr:from>
    <xdr:to>
      <xdr:col>9</xdr:col>
      <xdr:colOff>495300</xdr:colOff>
      <xdr:row>43</xdr:row>
      <xdr:rowOff>152400</xdr:rowOff>
    </xdr:to>
    <xdr:graphicFrame macro="">
      <xdr:nvGraphicFramePr>
        <xdr:cNvPr id="11" name="Chart 10">
          <a:extLst>
            <a:ext uri="{FF2B5EF4-FFF2-40B4-BE49-F238E27FC236}">
              <a16:creationId xmlns:a16="http://schemas.microsoft.com/office/drawing/2014/main" xmlns="" id="{00000000-0008-0000-2A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3.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2B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2B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2B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2B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2B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2B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2B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2B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30</xdr:row>
      <xdr:rowOff>95250</xdr:rowOff>
    </xdr:from>
    <xdr:to>
      <xdr:col>9</xdr:col>
      <xdr:colOff>495300</xdr:colOff>
      <xdr:row>43</xdr:row>
      <xdr:rowOff>152400</xdr:rowOff>
    </xdr:to>
    <xdr:graphicFrame macro="">
      <xdr:nvGraphicFramePr>
        <xdr:cNvPr id="11" name="Chart 10">
          <a:extLst>
            <a:ext uri="{FF2B5EF4-FFF2-40B4-BE49-F238E27FC236}">
              <a16:creationId xmlns:a16="http://schemas.microsoft.com/office/drawing/2014/main" xmlns="" id="{00000000-0008-0000-2B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4.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2C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2C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2C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2C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2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2C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2C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2C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30</xdr:row>
      <xdr:rowOff>95250</xdr:rowOff>
    </xdr:from>
    <xdr:to>
      <xdr:col>7</xdr:col>
      <xdr:colOff>457200</xdr:colOff>
      <xdr:row>43</xdr:row>
      <xdr:rowOff>152400</xdr:rowOff>
    </xdr:to>
    <xdr:graphicFrame macro="">
      <xdr:nvGraphicFramePr>
        <xdr:cNvPr id="11" name="Chart 10">
          <a:extLst>
            <a:ext uri="{FF2B5EF4-FFF2-40B4-BE49-F238E27FC236}">
              <a16:creationId xmlns:a16="http://schemas.microsoft.com/office/drawing/2014/main" xmlns="" id="{00000000-0008-0000-2C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5.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2D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2D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2D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2D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2D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2D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2D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2D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30</xdr:row>
      <xdr:rowOff>95250</xdr:rowOff>
    </xdr:from>
    <xdr:to>
      <xdr:col>9</xdr:col>
      <xdr:colOff>495300</xdr:colOff>
      <xdr:row>43</xdr:row>
      <xdr:rowOff>152400</xdr:rowOff>
    </xdr:to>
    <xdr:graphicFrame macro="">
      <xdr:nvGraphicFramePr>
        <xdr:cNvPr id="11" name="Chart 10">
          <a:extLst>
            <a:ext uri="{FF2B5EF4-FFF2-40B4-BE49-F238E27FC236}">
              <a16:creationId xmlns:a16="http://schemas.microsoft.com/office/drawing/2014/main" xmlns="" id="{00000000-0008-0000-2D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6.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2E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2E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2E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2E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2E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7" name="Chart 6">
          <a:extLst>
            <a:ext uri="{FF2B5EF4-FFF2-40B4-BE49-F238E27FC236}">
              <a16:creationId xmlns:a16="http://schemas.microsoft.com/office/drawing/2014/main" xmlns="" id="{00000000-0008-0000-2E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2E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2E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2E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11" name="Chart 10">
          <a:extLst>
            <a:ext uri="{FF2B5EF4-FFF2-40B4-BE49-F238E27FC236}">
              <a16:creationId xmlns:a16="http://schemas.microsoft.com/office/drawing/2014/main" xmlns="" id="{00000000-0008-0000-2E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7.xml><?xml version="1.0" encoding="utf-8"?>
<xdr:wsDr xmlns:xdr="http://schemas.openxmlformats.org/drawingml/2006/spreadsheetDrawing" xmlns:a="http://schemas.openxmlformats.org/drawingml/2006/main">
  <xdr:twoCellAnchor>
    <xdr:from>
      <xdr:col>0</xdr:col>
      <xdr:colOff>142875</xdr:colOff>
      <xdr:row>0</xdr:row>
      <xdr:rowOff>0</xdr:rowOff>
    </xdr:from>
    <xdr:to>
      <xdr:col>2</xdr:col>
      <xdr:colOff>523875</xdr:colOff>
      <xdr:row>0</xdr:row>
      <xdr:rowOff>0</xdr:rowOff>
    </xdr:to>
    <xdr:sp macro="" textlink="">
      <xdr:nvSpPr>
        <xdr:cNvPr id="2" name="AutoShape 10">
          <a:extLst>
            <a:ext uri="{FF2B5EF4-FFF2-40B4-BE49-F238E27FC236}">
              <a16:creationId xmlns:a16="http://schemas.microsoft.com/office/drawing/2014/main" xmlns="" id="{00000000-0008-0000-2F00-000002000000}"/>
            </a:ext>
          </a:extLst>
        </xdr:cNvPr>
        <xdr:cNvSpPr>
          <a:spLocks noChangeArrowheads="1"/>
        </xdr:cNvSpPr>
      </xdr:nvSpPr>
      <xdr:spPr bwMode="auto">
        <a:xfrm>
          <a:off x="142875" y="0"/>
          <a:ext cx="1600200"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2</xdr:col>
      <xdr:colOff>361949</xdr:colOff>
      <xdr:row>0</xdr:row>
      <xdr:rowOff>0</xdr:rowOff>
    </xdr:to>
    <xdr:sp macro="" textlink="">
      <xdr:nvSpPr>
        <xdr:cNvPr id="3" name="Text Box 15">
          <a:extLst>
            <a:ext uri="{FF2B5EF4-FFF2-40B4-BE49-F238E27FC236}">
              <a16:creationId xmlns:a16="http://schemas.microsoft.com/office/drawing/2014/main" xmlns="" id="{00000000-0008-0000-2F00-000003000000}"/>
            </a:ext>
          </a:extLst>
        </xdr:cNvPr>
        <xdr:cNvSpPr txBox="1">
          <a:spLocks noChangeArrowheads="1"/>
        </xdr:cNvSpPr>
      </xdr:nvSpPr>
      <xdr:spPr bwMode="auto">
        <a:xfrm>
          <a:off x="47624" y="0"/>
          <a:ext cx="1533525"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2F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2F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2F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7" name="Chart 6">
          <a:extLst>
            <a:ext uri="{FF2B5EF4-FFF2-40B4-BE49-F238E27FC236}">
              <a16:creationId xmlns:a16="http://schemas.microsoft.com/office/drawing/2014/main" xmlns="" id="{00000000-0008-0000-2F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2F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2F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2F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11" name="Chart 10">
          <a:extLst>
            <a:ext uri="{FF2B5EF4-FFF2-40B4-BE49-F238E27FC236}">
              <a16:creationId xmlns:a16="http://schemas.microsoft.com/office/drawing/2014/main" xmlns="" id="{00000000-0008-0000-2F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8.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30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30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30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30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30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7" name="Chart 6">
          <a:extLst>
            <a:ext uri="{FF2B5EF4-FFF2-40B4-BE49-F238E27FC236}">
              <a16:creationId xmlns:a16="http://schemas.microsoft.com/office/drawing/2014/main" xmlns="" id="{00000000-0008-0000-30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30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30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30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11" name="Chart 10">
          <a:extLst>
            <a:ext uri="{FF2B5EF4-FFF2-40B4-BE49-F238E27FC236}">
              <a16:creationId xmlns:a16="http://schemas.microsoft.com/office/drawing/2014/main" xmlns="" id="{00000000-0008-0000-3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9.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31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31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31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31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31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7" name="Chart 6">
          <a:extLst>
            <a:ext uri="{FF2B5EF4-FFF2-40B4-BE49-F238E27FC236}">
              <a16:creationId xmlns:a16="http://schemas.microsoft.com/office/drawing/2014/main" xmlns="" id="{00000000-0008-0000-31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31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31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31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11" name="Chart 10">
          <a:extLst>
            <a:ext uri="{FF2B5EF4-FFF2-40B4-BE49-F238E27FC236}">
              <a16:creationId xmlns:a16="http://schemas.microsoft.com/office/drawing/2014/main" xmlns="" id="{00000000-0008-0000-31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0.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32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32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32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32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3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7" name="Chart 6">
          <a:extLst>
            <a:ext uri="{FF2B5EF4-FFF2-40B4-BE49-F238E27FC236}">
              <a16:creationId xmlns:a16="http://schemas.microsoft.com/office/drawing/2014/main" xmlns="" id="{00000000-0008-0000-32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32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32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32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11" name="Chart 10">
          <a:extLst>
            <a:ext uri="{FF2B5EF4-FFF2-40B4-BE49-F238E27FC236}">
              <a16:creationId xmlns:a16="http://schemas.microsoft.com/office/drawing/2014/main" xmlns="" id="{00000000-0008-0000-32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1.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33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33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33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33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3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7" name="Chart 6">
          <a:extLst>
            <a:ext uri="{FF2B5EF4-FFF2-40B4-BE49-F238E27FC236}">
              <a16:creationId xmlns:a16="http://schemas.microsoft.com/office/drawing/2014/main" xmlns="" id="{00000000-0008-0000-33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33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33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33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11" name="Chart 10">
          <a:extLst>
            <a:ext uri="{FF2B5EF4-FFF2-40B4-BE49-F238E27FC236}">
              <a16:creationId xmlns:a16="http://schemas.microsoft.com/office/drawing/2014/main" xmlns="" id="{00000000-0008-0000-33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2.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34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34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34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34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34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7" name="Chart 6">
          <a:extLst>
            <a:ext uri="{FF2B5EF4-FFF2-40B4-BE49-F238E27FC236}">
              <a16:creationId xmlns:a16="http://schemas.microsoft.com/office/drawing/2014/main" xmlns="" id="{00000000-0008-0000-34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34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34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34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11" name="Chart 10">
          <a:extLst>
            <a:ext uri="{FF2B5EF4-FFF2-40B4-BE49-F238E27FC236}">
              <a16:creationId xmlns:a16="http://schemas.microsoft.com/office/drawing/2014/main" xmlns="" id="{00000000-0008-0000-34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3.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35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35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35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35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35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7" name="Chart 6">
          <a:extLst>
            <a:ext uri="{FF2B5EF4-FFF2-40B4-BE49-F238E27FC236}">
              <a16:creationId xmlns:a16="http://schemas.microsoft.com/office/drawing/2014/main" xmlns="" id="{00000000-0008-0000-35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35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35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35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11" name="Chart 10">
          <a:extLst>
            <a:ext uri="{FF2B5EF4-FFF2-40B4-BE49-F238E27FC236}">
              <a16:creationId xmlns:a16="http://schemas.microsoft.com/office/drawing/2014/main" xmlns="" id="{00000000-0008-0000-35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4.xml><?xml version="1.0" encoding="utf-8"?>
<xdr:wsDr xmlns:xdr="http://schemas.openxmlformats.org/drawingml/2006/spreadsheetDrawing" xmlns:a="http://schemas.openxmlformats.org/drawingml/2006/main">
  <xdr:twoCellAnchor>
    <xdr:from>
      <xdr:col>0</xdr:col>
      <xdr:colOff>142875</xdr:colOff>
      <xdr:row>0</xdr:row>
      <xdr:rowOff>0</xdr:rowOff>
    </xdr:from>
    <xdr:to>
      <xdr:col>2</xdr:col>
      <xdr:colOff>523875</xdr:colOff>
      <xdr:row>0</xdr:row>
      <xdr:rowOff>0</xdr:rowOff>
    </xdr:to>
    <xdr:sp macro="" textlink="">
      <xdr:nvSpPr>
        <xdr:cNvPr id="2" name="AutoShape 10">
          <a:extLst>
            <a:ext uri="{FF2B5EF4-FFF2-40B4-BE49-F238E27FC236}">
              <a16:creationId xmlns:a16="http://schemas.microsoft.com/office/drawing/2014/main" xmlns="" id="{00000000-0008-0000-3600-000002000000}"/>
            </a:ext>
          </a:extLst>
        </xdr:cNvPr>
        <xdr:cNvSpPr>
          <a:spLocks noChangeArrowheads="1"/>
        </xdr:cNvSpPr>
      </xdr:nvSpPr>
      <xdr:spPr bwMode="auto">
        <a:xfrm>
          <a:off x="142875" y="0"/>
          <a:ext cx="1600200"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2</xdr:col>
      <xdr:colOff>361949</xdr:colOff>
      <xdr:row>0</xdr:row>
      <xdr:rowOff>0</xdr:rowOff>
    </xdr:to>
    <xdr:sp macro="" textlink="">
      <xdr:nvSpPr>
        <xdr:cNvPr id="3" name="Text Box 15">
          <a:extLst>
            <a:ext uri="{FF2B5EF4-FFF2-40B4-BE49-F238E27FC236}">
              <a16:creationId xmlns:a16="http://schemas.microsoft.com/office/drawing/2014/main" xmlns="" id="{00000000-0008-0000-3600-000003000000}"/>
            </a:ext>
          </a:extLst>
        </xdr:cNvPr>
        <xdr:cNvSpPr txBox="1">
          <a:spLocks noChangeArrowheads="1"/>
        </xdr:cNvSpPr>
      </xdr:nvSpPr>
      <xdr:spPr bwMode="auto">
        <a:xfrm>
          <a:off x="47624" y="0"/>
          <a:ext cx="1533525"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36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36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36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7" name="Chart 6">
          <a:extLst>
            <a:ext uri="{FF2B5EF4-FFF2-40B4-BE49-F238E27FC236}">
              <a16:creationId xmlns:a16="http://schemas.microsoft.com/office/drawing/2014/main" xmlns="" id="{00000000-0008-0000-36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36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36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36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11" name="Chart 10">
          <a:extLst>
            <a:ext uri="{FF2B5EF4-FFF2-40B4-BE49-F238E27FC236}">
              <a16:creationId xmlns:a16="http://schemas.microsoft.com/office/drawing/2014/main" xmlns="" id="{00000000-0008-0000-36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5.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37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37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37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37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37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7" name="Chart 6">
          <a:extLst>
            <a:ext uri="{FF2B5EF4-FFF2-40B4-BE49-F238E27FC236}">
              <a16:creationId xmlns:a16="http://schemas.microsoft.com/office/drawing/2014/main" xmlns="" id="{00000000-0008-0000-37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37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37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37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11" name="Chart 10">
          <a:extLst>
            <a:ext uri="{FF2B5EF4-FFF2-40B4-BE49-F238E27FC236}">
              <a16:creationId xmlns:a16="http://schemas.microsoft.com/office/drawing/2014/main" xmlns="" id="{00000000-0008-0000-37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6.xml><?xml version="1.0" encoding="utf-8"?>
<xdr:wsDr xmlns:xdr="http://schemas.openxmlformats.org/drawingml/2006/spreadsheetDrawing" xmlns:a="http://schemas.openxmlformats.org/drawingml/2006/main">
  <xdr:twoCellAnchor>
    <xdr:from>
      <xdr:col>0</xdr:col>
      <xdr:colOff>142875</xdr:colOff>
      <xdr:row>0</xdr:row>
      <xdr:rowOff>0</xdr:rowOff>
    </xdr:from>
    <xdr:to>
      <xdr:col>2</xdr:col>
      <xdr:colOff>523875</xdr:colOff>
      <xdr:row>0</xdr:row>
      <xdr:rowOff>0</xdr:rowOff>
    </xdr:to>
    <xdr:sp macro="" textlink="">
      <xdr:nvSpPr>
        <xdr:cNvPr id="2" name="AutoShape 10">
          <a:extLst>
            <a:ext uri="{FF2B5EF4-FFF2-40B4-BE49-F238E27FC236}">
              <a16:creationId xmlns:a16="http://schemas.microsoft.com/office/drawing/2014/main" xmlns="" id="{00000000-0008-0000-3800-000002000000}"/>
            </a:ext>
          </a:extLst>
        </xdr:cNvPr>
        <xdr:cNvSpPr>
          <a:spLocks noChangeArrowheads="1"/>
        </xdr:cNvSpPr>
      </xdr:nvSpPr>
      <xdr:spPr bwMode="auto">
        <a:xfrm>
          <a:off x="142875" y="0"/>
          <a:ext cx="1600200"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2</xdr:col>
      <xdr:colOff>361949</xdr:colOff>
      <xdr:row>0</xdr:row>
      <xdr:rowOff>0</xdr:rowOff>
    </xdr:to>
    <xdr:sp macro="" textlink="">
      <xdr:nvSpPr>
        <xdr:cNvPr id="3" name="Text Box 15">
          <a:extLst>
            <a:ext uri="{FF2B5EF4-FFF2-40B4-BE49-F238E27FC236}">
              <a16:creationId xmlns:a16="http://schemas.microsoft.com/office/drawing/2014/main" xmlns="" id="{00000000-0008-0000-3800-000003000000}"/>
            </a:ext>
          </a:extLst>
        </xdr:cNvPr>
        <xdr:cNvSpPr txBox="1">
          <a:spLocks noChangeArrowheads="1"/>
        </xdr:cNvSpPr>
      </xdr:nvSpPr>
      <xdr:spPr bwMode="auto">
        <a:xfrm>
          <a:off x="47624" y="0"/>
          <a:ext cx="1533525"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38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38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3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7" name="Chart 6">
          <a:extLst>
            <a:ext uri="{FF2B5EF4-FFF2-40B4-BE49-F238E27FC236}">
              <a16:creationId xmlns:a16="http://schemas.microsoft.com/office/drawing/2014/main" xmlns="" id="{00000000-0008-0000-38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38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38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38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11" name="Chart 10">
          <a:extLst>
            <a:ext uri="{FF2B5EF4-FFF2-40B4-BE49-F238E27FC236}">
              <a16:creationId xmlns:a16="http://schemas.microsoft.com/office/drawing/2014/main" xmlns="" id="{00000000-0008-0000-38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7.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39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39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39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39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39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7" name="Chart 6">
          <a:extLst>
            <a:ext uri="{FF2B5EF4-FFF2-40B4-BE49-F238E27FC236}">
              <a16:creationId xmlns:a16="http://schemas.microsoft.com/office/drawing/2014/main" xmlns="" id="{00000000-0008-0000-39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39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39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39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11" name="Chart 10">
          <a:extLst>
            <a:ext uri="{FF2B5EF4-FFF2-40B4-BE49-F238E27FC236}">
              <a16:creationId xmlns:a16="http://schemas.microsoft.com/office/drawing/2014/main" xmlns="" id="{00000000-0008-0000-39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8.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3A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3A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3A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3A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3A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7" name="Chart 6">
          <a:extLst>
            <a:ext uri="{FF2B5EF4-FFF2-40B4-BE49-F238E27FC236}">
              <a16:creationId xmlns:a16="http://schemas.microsoft.com/office/drawing/2014/main" xmlns="" id="{00000000-0008-0000-3A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3A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3A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3A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11" name="Chart 10">
          <a:extLst>
            <a:ext uri="{FF2B5EF4-FFF2-40B4-BE49-F238E27FC236}">
              <a16:creationId xmlns:a16="http://schemas.microsoft.com/office/drawing/2014/main" xmlns="" id="{00000000-0008-0000-3A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9.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3B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3B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3B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3B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3B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7" name="Chart 6">
          <a:extLst>
            <a:ext uri="{FF2B5EF4-FFF2-40B4-BE49-F238E27FC236}">
              <a16:creationId xmlns:a16="http://schemas.microsoft.com/office/drawing/2014/main" xmlns="" id="{00000000-0008-0000-3B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3B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3B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3B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11" name="Chart 10">
          <a:extLst>
            <a:ext uri="{FF2B5EF4-FFF2-40B4-BE49-F238E27FC236}">
              <a16:creationId xmlns:a16="http://schemas.microsoft.com/office/drawing/2014/main" xmlns="" id="{00000000-0008-0000-3B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0.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3C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3C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3C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3C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3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7" name="Chart 6">
          <a:extLst>
            <a:ext uri="{FF2B5EF4-FFF2-40B4-BE49-F238E27FC236}">
              <a16:creationId xmlns:a16="http://schemas.microsoft.com/office/drawing/2014/main" xmlns="" id="{00000000-0008-0000-3C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3C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3C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3C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11" name="Chart 10">
          <a:extLst>
            <a:ext uri="{FF2B5EF4-FFF2-40B4-BE49-F238E27FC236}">
              <a16:creationId xmlns:a16="http://schemas.microsoft.com/office/drawing/2014/main" xmlns="" id="{00000000-0008-0000-3C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1.xml><?xml version="1.0" encoding="utf-8"?>
<xdr:wsDr xmlns:xdr="http://schemas.openxmlformats.org/drawingml/2006/spreadsheetDrawing" xmlns:a="http://schemas.openxmlformats.org/drawingml/2006/main">
  <xdr:twoCellAnchor>
    <xdr:from>
      <xdr:col>0</xdr:col>
      <xdr:colOff>142875</xdr:colOff>
      <xdr:row>0</xdr:row>
      <xdr:rowOff>0</xdr:rowOff>
    </xdr:from>
    <xdr:to>
      <xdr:col>2</xdr:col>
      <xdr:colOff>523875</xdr:colOff>
      <xdr:row>0</xdr:row>
      <xdr:rowOff>0</xdr:rowOff>
    </xdr:to>
    <xdr:sp macro="" textlink="">
      <xdr:nvSpPr>
        <xdr:cNvPr id="2" name="AutoShape 10">
          <a:extLst>
            <a:ext uri="{FF2B5EF4-FFF2-40B4-BE49-F238E27FC236}">
              <a16:creationId xmlns:a16="http://schemas.microsoft.com/office/drawing/2014/main" xmlns="" id="{00000000-0008-0000-3D00-000002000000}"/>
            </a:ext>
          </a:extLst>
        </xdr:cNvPr>
        <xdr:cNvSpPr>
          <a:spLocks noChangeArrowheads="1"/>
        </xdr:cNvSpPr>
      </xdr:nvSpPr>
      <xdr:spPr bwMode="auto">
        <a:xfrm>
          <a:off x="142875" y="0"/>
          <a:ext cx="1600200"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2</xdr:col>
      <xdr:colOff>361949</xdr:colOff>
      <xdr:row>0</xdr:row>
      <xdr:rowOff>0</xdr:rowOff>
    </xdr:to>
    <xdr:sp macro="" textlink="">
      <xdr:nvSpPr>
        <xdr:cNvPr id="3" name="Text Box 15">
          <a:extLst>
            <a:ext uri="{FF2B5EF4-FFF2-40B4-BE49-F238E27FC236}">
              <a16:creationId xmlns:a16="http://schemas.microsoft.com/office/drawing/2014/main" xmlns="" id="{00000000-0008-0000-3D00-000003000000}"/>
            </a:ext>
          </a:extLst>
        </xdr:cNvPr>
        <xdr:cNvSpPr txBox="1">
          <a:spLocks noChangeArrowheads="1"/>
        </xdr:cNvSpPr>
      </xdr:nvSpPr>
      <xdr:spPr bwMode="auto">
        <a:xfrm>
          <a:off x="47624" y="0"/>
          <a:ext cx="1533525"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3D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3D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3D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7" name="Chart 6">
          <a:extLst>
            <a:ext uri="{FF2B5EF4-FFF2-40B4-BE49-F238E27FC236}">
              <a16:creationId xmlns:a16="http://schemas.microsoft.com/office/drawing/2014/main" xmlns="" id="{00000000-0008-0000-3D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3D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3D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3D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11" name="Chart 10">
          <a:extLst>
            <a:ext uri="{FF2B5EF4-FFF2-40B4-BE49-F238E27FC236}">
              <a16:creationId xmlns:a16="http://schemas.microsoft.com/office/drawing/2014/main" xmlns="" id="{00000000-0008-0000-3D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2.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3E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3E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3E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3E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3E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7" name="Chart 6">
          <a:extLst>
            <a:ext uri="{FF2B5EF4-FFF2-40B4-BE49-F238E27FC236}">
              <a16:creationId xmlns:a16="http://schemas.microsoft.com/office/drawing/2014/main" xmlns="" id="{00000000-0008-0000-3E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3E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3E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3E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11" name="Chart 10">
          <a:extLst>
            <a:ext uri="{FF2B5EF4-FFF2-40B4-BE49-F238E27FC236}">
              <a16:creationId xmlns:a16="http://schemas.microsoft.com/office/drawing/2014/main" xmlns="" id="{00000000-0008-0000-3E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3.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3F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3F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3F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3F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3F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7" name="Chart 6">
          <a:extLst>
            <a:ext uri="{FF2B5EF4-FFF2-40B4-BE49-F238E27FC236}">
              <a16:creationId xmlns:a16="http://schemas.microsoft.com/office/drawing/2014/main" xmlns="" id="{00000000-0008-0000-3F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3F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3F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3F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11" name="Chart 10">
          <a:extLst>
            <a:ext uri="{FF2B5EF4-FFF2-40B4-BE49-F238E27FC236}">
              <a16:creationId xmlns:a16="http://schemas.microsoft.com/office/drawing/2014/main" xmlns="" id="{00000000-0008-0000-3F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4.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40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40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40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40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40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7" name="Chart 6">
          <a:extLst>
            <a:ext uri="{FF2B5EF4-FFF2-40B4-BE49-F238E27FC236}">
              <a16:creationId xmlns:a16="http://schemas.microsoft.com/office/drawing/2014/main" xmlns="" id="{00000000-0008-0000-40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40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40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40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11" name="Chart 10">
          <a:extLst>
            <a:ext uri="{FF2B5EF4-FFF2-40B4-BE49-F238E27FC236}">
              <a16:creationId xmlns:a16="http://schemas.microsoft.com/office/drawing/2014/main" xmlns="" id="{00000000-0008-0000-4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5.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41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41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41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41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41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7" name="Chart 6">
          <a:extLst>
            <a:ext uri="{FF2B5EF4-FFF2-40B4-BE49-F238E27FC236}">
              <a16:creationId xmlns:a16="http://schemas.microsoft.com/office/drawing/2014/main" xmlns="" id="{00000000-0008-0000-41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41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41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41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11" name="Chart 10">
          <a:extLst>
            <a:ext uri="{FF2B5EF4-FFF2-40B4-BE49-F238E27FC236}">
              <a16:creationId xmlns:a16="http://schemas.microsoft.com/office/drawing/2014/main" xmlns="" id="{00000000-0008-0000-41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6.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42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42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42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42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4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7" name="Chart 6">
          <a:extLst>
            <a:ext uri="{FF2B5EF4-FFF2-40B4-BE49-F238E27FC236}">
              <a16:creationId xmlns:a16="http://schemas.microsoft.com/office/drawing/2014/main" xmlns="" id="{00000000-0008-0000-42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42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42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42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11" name="Chart 10">
          <a:extLst>
            <a:ext uri="{FF2B5EF4-FFF2-40B4-BE49-F238E27FC236}">
              <a16:creationId xmlns:a16="http://schemas.microsoft.com/office/drawing/2014/main" xmlns="" id="{00000000-0008-0000-42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7.xml><?xml version="1.0" encoding="utf-8"?>
<xdr:wsDr xmlns:xdr="http://schemas.openxmlformats.org/drawingml/2006/spreadsheetDrawing" xmlns:a="http://schemas.openxmlformats.org/drawingml/2006/main">
  <xdr:twoCellAnchor>
    <xdr:from>
      <xdr:col>0</xdr:col>
      <xdr:colOff>142875</xdr:colOff>
      <xdr:row>0</xdr:row>
      <xdr:rowOff>0</xdr:rowOff>
    </xdr:from>
    <xdr:to>
      <xdr:col>2</xdr:col>
      <xdr:colOff>523875</xdr:colOff>
      <xdr:row>0</xdr:row>
      <xdr:rowOff>0</xdr:rowOff>
    </xdr:to>
    <xdr:sp macro="" textlink="">
      <xdr:nvSpPr>
        <xdr:cNvPr id="2" name="AutoShape 10">
          <a:extLst>
            <a:ext uri="{FF2B5EF4-FFF2-40B4-BE49-F238E27FC236}">
              <a16:creationId xmlns:a16="http://schemas.microsoft.com/office/drawing/2014/main" xmlns="" id="{00000000-0008-0000-4300-000002000000}"/>
            </a:ext>
          </a:extLst>
        </xdr:cNvPr>
        <xdr:cNvSpPr>
          <a:spLocks noChangeArrowheads="1"/>
        </xdr:cNvSpPr>
      </xdr:nvSpPr>
      <xdr:spPr bwMode="auto">
        <a:xfrm>
          <a:off x="142875" y="0"/>
          <a:ext cx="1600200"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2</xdr:col>
      <xdr:colOff>361949</xdr:colOff>
      <xdr:row>0</xdr:row>
      <xdr:rowOff>0</xdr:rowOff>
    </xdr:to>
    <xdr:sp macro="" textlink="">
      <xdr:nvSpPr>
        <xdr:cNvPr id="3" name="Text Box 15">
          <a:extLst>
            <a:ext uri="{FF2B5EF4-FFF2-40B4-BE49-F238E27FC236}">
              <a16:creationId xmlns:a16="http://schemas.microsoft.com/office/drawing/2014/main" xmlns="" id="{00000000-0008-0000-4300-000003000000}"/>
            </a:ext>
          </a:extLst>
        </xdr:cNvPr>
        <xdr:cNvSpPr txBox="1">
          <a:spLocks noChangeArrowheads="1"/>
        </xdr:cNvSpPr>
      </xdr:nvSpPr>
      <xdr:spPr bwMode="auto">
        <a:xfrm>
          <a:off x="47624" y="0"/>
          <a:ext cx="1533525"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43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43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4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7" name="Chart 6">
          <a:extLst>
            <a:ext uri="{FF2B5EF4-FFF2-40B4-BE49-F238E27FC236}">
              <a16:creationId xmlns:a16="http://schemas.microsoft.com/office/drawing/2014/main" xmlns="" id="{00000000-0008-0000-43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43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43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43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11" name="Chart 10">
          <a:extLst>
            <a:ext uri="{FF2B5EF4-FFF2-40B4-BE49-F238E27FC236}">
              <a16:creationId xmlns:a16="http://schemas.microsoft.com/office/drawing/2014/main" xmlns="" id="{00000000-0008-0000-43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8.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44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44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44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44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44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7" name="Chart 6">
          <a:extLst>
            <a:ext uri="{FF2B5EF4-FFF2-40B4-BE49-F238E27FC236}">
              <a16:creationId xmlns:a16="http://schemas.microsoft.com/office/drawing/2014/main" xmlns="" id="{00000000-0008-0000-44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44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44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44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11" name="Chart 10">
          <a:extLst>
            <a:ext uri="{FF2B5EF4-FFF2-40B4-BE49-F238E27FC236}">
              <a16:creationId xmlns:a16="http://schemas.microsoft.com/office/drawing/2014/main" xmlns="" id="{00000000-0008-0000-44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9.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45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45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45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45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45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7" name="Chart 6">
          <a:extLst>
            <a:ext uri="{FF2B5EF4-FFF2-40B4-BE49-F238E27FC236}">
              <a16:creationId xmlns:a16="http://schemas.microsoft.com/office/drawing/2014/main" xmlns="" id="{00000000-0008-0000-45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45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45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45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11" name="Chart 10">
          <a:extLst>
            <a:ext uri="{FF2B5EF4-FFF2-40B4-BE49-F238E27FC236}">
              <a16:creationId xmlns:a16="http://schemas.microsoft.com/office/drawing/2014/main" xmlns="" id="{00000000-0008-0000-45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0.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46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46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46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46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46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46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46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46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85725</xdr:colOff>
      <xdr:row>30</xdr:row>
      <xdr:rowOff>104775</xdr:rowOff>
    </xdr:from>
    <xdr:to>
      <xdr:col>7</xdr:col>
      <xdr:colOff>381000</xdr:colOff>
      <xdr:row>43</xdr:row>
      <xdr:rowOff>161925</xdr:rowOff>
    </xdr:to>
    <xdr:graphicFrame macro="">
      <xdr:nvGraphicFramePr>
        <xdr:cNvPr id="11" name="Chart 10">
          <a:extLst>
            <a:ext uri="{FF2B5EF4-FFF2-40B4-BE49-F238E27FC236}">
              <a16:creationId xmlns:a16="http://schemas.microsoft.com/office/drawing/2014/main" xmlns="" id="{00000000-0008-0000-46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1.xml><?xml version="1.0" encoding="utf-8"?>
<xdr:wsDr xmlns:xdr="http://schemas.openxmlformats.org/drawingml/2006/spreadsheetDrawing" xmlns:a="http://schemas.openxmlformats.org/drawingml/2006/main">
  <xdr:twoCellAnchor>
    <xdr:from>
      <xdr:col>0</xdr:col>
      <xdr:colOff>142875</xdr:colOff>
      <xdr:row>0</xdr:row>
      <xdr:rowOff>0</xdr:rowOff>
    </xdr:from>
    <xdr:to>
      <xdr:col>2</xdr:col>
      <xdr:colOff>523875</xdr:colOff>
      <xdr:row>0</xdr:row>
      <xdr:rowOff>0</xdr:rowOff>
    </xdr:to>
    <xdr:sp macro="" textlink="">
      <xdr:nvSpPr>
        <xdr:cNvPr id="2" name="AutoShape 10">
          <a:extLst>
            <a:ext uri="{FF2B5EF4-FFF2-40B4-BE49-F238E27FC236}">
              <a16:creationId xmlns:a16="http://schemas.microsoft.com/office/drawing/2014/main" xmlns="" id="{00000000-0008-0000-4700-000002000000}"/>
            </a:ext>
          </a:extLst>
        </xdr:cNvPr>
        <xdr:cNvSpPr>
          <a:spLocks noChangeArrowheads="1"/>
        </xdr:cNvSpPr>
      </xdr:nvSpPr>
      <xdr:spPr bwMode="auto">
        <a:xfrm>
          <a:off x="142875" y="0"/>
          <a:ext cx="1600200"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2</xdr:col>
      <xdr:colOff>361949</xdr:colOff>
      <xdr:row>0</xdr:row>
      <xdr:rowOff>0</xdr:rowOff>
    </xdr:to>
    <xdr:sp macro="" textlink="">
      <xdr:nvSpPr>
        <xdr:cNvPr id="3" name="Text Box 15">
          <a:extLst>
            <a:ext uri="{FF2B5EF4-FFF2-40B4-BE49-F238E27FC236}">
              <a16:creationId xmlns:a16="http://schemas.microsoft.com/office/drawing/2014/main" xmlns="" id="{00000000-0008-0000-4700-000003000000}"/>
            </a:ext>
          </a:extLst>
        </xdr:cNvPr>
        <xdr:cNvSpPr txBox="1">
          <a:spLocks noChangeArrowheads="1"/>
        </xdr:cNvSpPr>
      </xdr:nvSpPr>
      <xdr:spPr bwMode="auto">
        <a:xfrm>
          <a:off x="47624" y="0"/>
          <a:ext cx="1533525"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47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47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47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47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47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47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57150</xdr:colOff>
      <xdr:row>30</xdr:row>
      <xdr:rowOff>104775</xdr:rowOff>
    </xdr:from>
    <xdr:to>
      <xdr:col>7</xdr:col>
      <xdr:colOff>390525</xdr:colOff>
      <xdr:row>43</xdr:row>
      <xdr:rowOff>161925</xdr:rowOff>
    </xdr:to>
    <xdr:graphicFrame macro="">
      <xdr:nvGraphicFramePr>
        <xdr:cNvPr id="11" name="Chart 10">
          <a:extLst>
            <a:ext uri="{FF2B5EF4-FFF2-40B4-BE49-F238E27FC236}">
              <a16:creationId xmlns:a16="http://schemas.microsoft.com/office/drawing/2014/main" xmlns="" id="{00000000-0008-0000-47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2.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48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48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48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48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4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48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48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48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9525</xdr:colOff>
      <xdr:row>30</xdr:row>
      <xdr:rowOff>104775</xdr:rowOff>
    </xdr:from>
    <xdr:to>
      <xdr:col>7</xdr:col>
      <xdr:colOff>352425</xdr:colOff>
      <xdr:row>43</xdr:row>
      <xdr:rowOff>161925</xdr:rowOff>
    </xdr:to>
    <xdr:graphicFrame macro="">
      <xdr:nvGraphicFramePr>
        <xdr:cNvPr id="11" name="Chart 10">
          <a:extLst>
            <a:ext uri="{FF2B5EF4-FFF2-40B4-BE49-F238E27FC236}">
              <a16:creationId xmlns:a16="http://schemas.microsoft.com/office/drawing/2014/main" xmlns="" id="{00000000-0008-0000-48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3.xml><?xml version="1.0" encoding="utf-8"?>
<xdr:wsDr xmlns:xdr="http://schemas.openxmlformats.org/drawingml/2006/spreadsheetDrawing" xmlns:a="http://schemas.openxmlformats.org/drawingml/2006/main">
  <xdr:twoCellAnchor>
    <xdr:from>
      <xdr:col>0</xdr:col>
      <xdr:colOff>142875</xdr:colOff>
      <xdr:row>0</xdr:row>
      <xdr:rowOff>0</xdr:rowOff>
    </xdr:from>
    <xdr:to>
      <xdr:col>2</xdr:col>
      <xdr:colOff>523875</xdr:colOff>
      <xdr:row>0</xdr:row>
      <xdr:rowOff>0</xdr:rowOff>
    </xdr:to>
    <xdr:sp macro="" textlink="">
      <xdr:nvSpPr>
        <xdr:cNvPr id="2" name="AutoShape 10">
          <a:extLst>
            <a:ext uri="{FF2B5EF4-FFF2-40B4-BE49-F238E27FC236}">
              <a16:creationId xmlns:a16="http://schemas.microsoft.com/office/drawing/2014/main" xmlns="" id="{00000000-0008-0000-4900-000002000000}"/>
            </a:ext>
          </a:extLst>
        </xdr:cNvPr>
        <xdr:cNvSpPr>
          <a:spLocks noChangeArrowheads="1"/>
        </xdr:cNvSpPr>
      </xdr:nvSpPr>
      <xdr:spPr bwMode="auto">
        <a:xfrm>
          <a:off x="142875" y="0"/>
          <a:ext cx="1600200"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2</xdr:col>
      <xdr:colOff>361949</xdr:colOff>
      <xdr:row>0</xdr:row>
      <xdr:rowOff>0</xdr:rowOff>
    </xdr:to>
    <xdr:sp macro="" textlink="">
      <xdr:nvSpPr>
        <xdr:cNvPr id="3" name="Text Box 15">
          <a:extLst>
            <a:ext uri="{FF2B5EF4-FFF2-40B4-BE49-F238E27FC236}">
              <a16:creationId xmlns:a16="http://schemas.microsoft.com/office/drawing/2014/main" xmlns="" id="{00000000-0008-0000-4900-000003000000}"/>
            </a:ext>
          </a:extLst>
        </xdr:cNvPr>
        <xdr:cNvSpPr txBox="1">
          <a:spLocks noChangeArrowheads="1"/>
        </xdr:cNvSpPr>
      </xdr:nvSpPr>
      <xdr:spPr bwMode="auto">
        <a:xfrm>
          <a:off x="47624" y="0"/>
          <a:ext cx="1533525"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49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49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49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49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49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49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57150</xdr:colOff>
      <xdr:row>30</xdr:row>
      <xdr:rowOff>104775</xdr:rowOff>
    </xdr:from>
    <xdr:to>
      <xdr:col>7</xdr:col>
      <xdr:colOff>419100</xdr:colOff>
      <xdr:row>43</xdr:row>
      <xdr:rowOff>161925</xdr:rowOff>
    </xdr:to>
    <xdr:graphicFrame macro="">
      <xdr:nvGraphicFramePr>
        <xdr:cNvPr id="11" name="Chart 10">
          <a:extLst>
            <a:ext uri="{FF2B5EF4-FFF2-40B4-BE49-F238E27FC236}">
              <a16:creationId xmlns:a16="http://schemas.microsoft.com/office/drawing/2014/main" xmlns="" id="{00000000-0008-0000-49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4.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4A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4A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4A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4A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4A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4A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4A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4A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47625</xdr:colOff>
      <xdr:row>30</xdr:row>
      <xdr:rowOff>95250</xdr:rowOff>
    </xdr:from>
    <xdr:to>
      <xdr:col>7</xdr:col>
      <xdr:colOff>457200</xdr:colOff>
      <xdr:row>43</xdr:row>
      <xdr:rowOff>152400</xdr:rowOff>
    </xdr:to>
    <xdr:graphicFrame macro="">
      <xdr:nvGraphicFramePr>
        <xdr:cNvPr id="11" name="Chart 10">
          <a:extLst>
            <a:ext uri="{FF2B5EF4-FFF2-40B4-BE49-F238E27FC236}">
              <a16:creationId xmlns:a16="http://schemas.microsoft.com/office/drawing/2014/main" xmlns="" id="{00000000-0008-0000-4A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5.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4B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4B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4B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4B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4B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4B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4B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4B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57150</xdr:colOff>
      <xdr:row>30</xdr:row>
      <xdr:rowOff>104775</xdr:rowOff>
    </xdr:from>
    <xdr:to>
      <xdr:col>7</xdr:col>
      <xdr:colOff>438150</xdr:colOff>
      <xdr:row>43</xdr:row>
      <xdr:rowOff>161925</xdr:rowOff>
    </xdr:to>
    <xdr:graphicFrame macro="">
      <xdr:nvGraphicFramePr>
        <xdr:cNvPr id="11" name="Chart 10">
          <a:extLst>
            <a:ext uri="{FF2B5EF4-FFF2-40B4-BE49-F238E27FC236}">
              <a16:creationId xmlns:a16="http://schemas.microsoft.com/office/drawing/2014/main" xmlns="" id="{00000000-0008-0000-4B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6.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4C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4C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4C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4C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4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4C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4C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4C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47625</xdr:colOff>
      <xdr:row>30</xdr:row>
      <xdr:rowOff>104775</xdr:rowOff>
    </xdr:from>
    <xdr:to>
      <xdr:col>7</xdr:col>
      <xdr:colOff>400050</xdr:colOff>
      <xdr:row>43</xdr:row>
      <xdr:rowOff>161925</xdr:rowOff>
    </xdr:to>
    <xdr:graphicFrame macro="">
      <xdr:nvGraphicFramePr>
        <xdr:cNvPr id="11" name="Chart 10">
          <a:extLst>
            <a:ext uri="{FF2B5EF4-FFF2-40B4-BE49-F238E27FC236}">
              <a16:creationId xmlns:a16="http://schemas.microsoft.com/office/drawing/2014/main" xmlns="" id="{00000000-0008-0000-4C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7.xml><?xml version="1.0" encoding="utf-8"?>
<xdr:wsDr xmlns:xdr="http://schemas.openxmlformats.org/drawingml/2006/spreadsheetDrawing" xmlns:a="http://schemas.openxmlformats.org/drawingml/2006/main">
  <xdr:twoCellAnchor>
    <xdr:from>
      <xdr:col>0</xdr:col>
      <xdr:colOff>142875</xdr:colOff>
      <xdr:row>0</xdr:row>
      <xdr:rowOff>0</xdr:rowOff>
    </xdr:from>
    <xdr:to>
      <xdr:col>2</xdr:col>
      <xdr:colOff>523875</xdr:colOff>
      <xdr:row>0</xdr:row>
      <xdr:rowOff>0</xdr:rowOff>
    </xdr:to>
    <xdr:sp macro="" textlink="">
      <xdr:nvSpPr>
        <xdr:cNvPr id="2" name="AutoShape 10">
          <a:extLst>
            <a:ext uri="{FF2B5EF4-FFF2-40B4-BE49-F238E27FC236}">
              <a16:creationId xmlns:a16="http://schemas.microsoft.com/office/drawing/2014/main" xmlns="" id="{00000000-0008-0000-4D00-000002000000}"/>
            </a:ext>
          </a:extLst>
        </xdr:cNvPr>
        <xdr:cNvSpPr>
          <a:spLocks noChangeArrowheads="1"/>
        </xdr:cNvSpPr>
      </xdr:nvSpPr>
      <xdr:spPr bwMode="auto">
        <a:xfrm>
          <a:off x="142875" y="0"/>
          <a:ext cx="1600200"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2</xdr:col>
      <xdr:colOff>361949</xdr:colOff>
      <xdr:row>0</xdr:row>
      <xdr:rowOff>0</xdr:rowOff>
    </xdr:to>
    <xdr:sp macro="" textlink="">
      <xdr:nvSpPr>
        <xdr:cNvPr id="3" name="Text Box 15">
          <a:extLst>
            <a:ext uri="{FF2B5EF4-FFF2-40B4-BE49-F238E27FC236}">
              <a16:creationId xmlns:a16="http://schemas.microsoft.com/office/drawing/2014/main" xmlns="" id="{00000000-0008-0000-4D00-000003000000}"/>
            </a:ext>
          </a:extLst>
        </xdr:cNvPr>
        <xdr:cNvSpPr txBox="1">
          <a:spLocks noChangeArrowheads="1"/>
        </xdr:cNvSpPr>
      </xdr:nvSpPr>
      <xdr:spPr bwMode="auto">
        <a:xfrm>
          <a:off x="47624" y="0"/>
          <a:ext cx="1533525"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4D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4D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4D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4D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4D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4D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38100</xdr:colOff>
      <xdr:row>30</xdr:row>
      <xdr:rowOff>104775</xdr:rowOff>
    </xdr:from>
    <xdr:to>
      <xdr:col>7</xdr:col>
      <xdr:colOff>419100</xdr:colOff>
      <xdr:row>43</xdr:row>
      <xdr:rowOff>161925</xdr:rowOff>
    </xdr:to>
    <xdr:graphicFrame macro="">
      <xdr:nvGraphicFramePr>
        <xdr:cNvPr id="11" name="Chart 10">
          <a:extLst>
            <a:ext uri="{FF2B5EF4-FFF2-40B4-BE49-F238E27FC236}">
              <a16:creationId xmlns:a16="http://schemas.microsoft.com/office/drawing/2014/main" xmlns="" id="{00000000-0008-0000-4D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8.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4E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4E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4E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4E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4E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4E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4E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4E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47625</xdr:colOff>
      <xdr:row>30</xdr:row>
      <xdr:rowOff>104775</xdr:rowOff>
    </xdr:from>
    <xdr:to>
      <xdr:col>7</xdr:col>
      <xdr:colOff>447675</xdr:colOff>
      <xdr:row>43</xdr:row>
      <xdr:rowOff>161925</xdr:rowOff>
    </xdr:to>
    <xdr:graphicFrame macro="">
      <xdr:nvGraphicFramePr>
        <xdr:cNvPr id="11" name="Chart 10">
          <a:extLst>
            <a:ext uri="{FF2B5EF4-FFF2-40B4-BE49-F238E27FC236}">
              <a16:creationId xmlns:a16="http://schemas.microsoft.com/office/drawing/2014/main" xmlns="" id="{00000000-0008-0000-4E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9.xml><?xml version="1.0" encoding="utf-8"?>
<xdr:wsDr xmlns:xdr="http://schemas.openxmlformats.org/drawingml/2006/spreadsheetDrawing" xmlns:a="http://schemas.openxmlformats.org/drawingml/2006/main">
  <xdr:twoCellAnchor>
    <xdr:from>
      <xdr:col>0</xdr:col>
      <xdr:colOff>142875</xdr:colOff>
      <xdr:row>0</xdr:row>
      <xdr:rowOff>0</xdr:rowOff>
    </xdr:from>
    <xdr:to>
      <xdr:col>2</xdr:col>
      <xdr:colOff>523875</xdr:colOff>
      <xdr:row>0</xdr:row>
      <xdr:rowOff>0</xdr:rowOff>
    </xdr:to>
    <xdr:sp macro="" textlink="">
      <xdr:nvSpPr>
        <xdr:cNvPr id="2" name="AutoShape 10">
          <a:extLst>
            <a:ext uri="{FF2B5EF4-FFF2-40B4-BE49-F238E27FC236}">
              <a16:creationId xmlns:a16="http://schemas.microsoft.com/office/drawing/2014/main" xmlns="" id="{00000000-0008-0000-4F00-000002000000}"/>
            </a:ext>
          </a:extLst>
        </xdr:cNvPr>
        <xdr:cNvSpPr>
          <a:spLocks noChangeArrowheads="1"/>
        </xdr:cNvSpPr>
      </xdr:nvSpPr>
      <xdr:spPr bwMode="auto">
        <a:xfrm>
          <a:off x="142875" y="0"/>
          <a:ext cx="1600200"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2</xdr:col>
      <xdr:colOff>361949</xdr:colOff>
      <xdr:row>0</xdr:row>
      <xdr:rowOff>0</xdr:rowOff>
    </xdr:to>
    <xdr:sp macro="" textlink="">
      <xdr:nvSpPr>
        <xdr:cNvPr id="3" name="Text Box 15">
          <a:extLst>
            <a:ext uri="{FF2B5EF4-FFF2-40B4-BE49-F238E27FC236}">
              <a16:creationId xmlns:a16="http://schemas.microsoft.com/office/drawing/2014/main" xmlns="" id="{00000000-0008-0000-4F00-000003000000}"/>
            </a:ext>
          </a:extLst>
        </xdr:cNvPr>
        <xdr:cNvSpPr txBox="1">
          <a:spLocks noChangeArrowheads="1"/>
        </xdr:cNvSpPr>
      </xdr:nvSpPr>
      <xdr:spPr bwMode="auto">
        <a:xfrm>
          <a:off x="47624" y="0"/>
          <a:ext cx="1533525"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4F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4F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4F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4F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4F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4F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57150</xdr:colOff>
      <xdr:row>30</xdr:row>
      <xdr:rowOff>104775</xdr:rowOff>
    </xdr:from>
    <xdr:to>
      <xdr:col>7</xdr:col>
      <xdr:colOff>400050</xdr:colOff>
      <xdr:row>43</xdr:row>
      <xdr:rowOff>161925</xdr:rowOff>
    </xdr:to>
    <xdr:graphicFrame macro="">
      <xdr:nvGraphicFramePr>
        <xdr:cNvPr id="11" name="Chart 10">
          <a:extLst>
            <a:ext uri="{FF2B5EF4-FFF2-40B4-BE49-F238E27FC236}">
              <a16:creationId xmlns:a16="http://schemas.microsoft.com/office/drawing/2014/main" xmlns="" id="{00000000-0008-0000-4F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0.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50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50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50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50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50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50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50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50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38100</xdr:colOff>
      <xdr:row>30</xdr:row>
      <xdr:rowOff>104775</xdr:rowOff>
    </xdr:from>
    <xdr:to>
      <xdr:col>7</xdr:col>
      <xdr:colOff>485775</xdr:colOff>
      <xdr:row>43</xdr:row>
      <xdr:rowOff>161925</xdr:rowOff>
    </xdr:to>
    <xdr:graphicFrame macro="">
      <xdr:nvGraphicFramePr>
        <xdr:cNvPr id="11" name="Chart 10">
          <a:extLst>
            <a:ext uri="{FF2B5EF4-FFF2-40B4-BE49-F238E27FC236}">
              <a16:creationId xmlns:a16="http://schemas.microsoft.com/office/drawing/2014/main" xmlns="" id="{00000000-0008-0000-5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1.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51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51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51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51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51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51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51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51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47625</xdr:colOff>
      <xdr:row>30</xdr:row>
      <xdr:rowOff>104775</xdr:rowOff>
    </xdr:from>
    <xdr:to>
      <xdr:col>7</xdr:col>
      <xdr:colOff>447675</xdr:colOff>
      <xdr:row>43</xdr:row>
      <xdr:rowOff>161925</xdr:rowOff>
    </xdr:to>
    <xdr:graphicFrame macro="">
      <xdr:nvGraphicFramePr>
        <xdr:cNvPr id="11" name="Chart 10">
          <a:extLst>
            <a:ext uri="{FF2B5EF4-FFF2-40B4-BE49-F238E27FC236}">
              <a16:creationId xmlns:a16="http://schemas.microsoft.com/office/drawing/2014/main" xmlns="" id="{00000000-0008-0000-51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2.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52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52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52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52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5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52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52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52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57150</xdr:colOff>
      <xdr:row>30</xdr:row>
      <xdr:rowOff>95250</xdr:rowOff>
    </xdr:from>
    <xdr:to>
      <xdr:col>7</xdr:col>
      <xdr:colOff>438150</xdr:colOff>
      <xdr:row>43</xdr:row>
      <xdr:rowOff>152400</xdr:rowOff>
    </xdr:to>
    <xdr:graphicFrame macro="">
      <xdr:nvGraphicFramePr>
        <xdr:cNvPr id="11" name="Chart 10">
          <a:extLst>
            <a:ext uri="{FF2B5EF4-FFF2-40B4-BE49-F238E27FC236}">
              <a16:creationId xmlns:a16="http://schemas.microsoft.com/office/drawing/2014/main" xmlns="" id="{00000000-0008-0000-52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3.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53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53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53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53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5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7" name="Chart 6">
          <a:extLst>
            <a:ext uri="{FF2B5EF4-FFF2-40B4-BE49-F238E27FC236}">
              <a16:creationId xmlns:a16="http://schemas.microsoft.com/office/drawing/2014/main" xmlns="" id="{00000000-0008-0000-53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53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53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53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11" name="Chart 10">
          <a:extLst>
            <a:ext uri="{FF2B5EF4-FFF2-40B4-BE49-F238E27FC236}">
              <a16:creationId xmlns:a16="http://schemas.microsoft.com/office/drawing/2014/main" xmlns="" id="{00000000-0008-0000-53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84.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54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54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54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54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54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7" name="Chart 6">
          <a:extLst>
            <a:ext uri="{FF2B5EF4-FFF2-40B4-BE49-F238E27FC236}">
              <a16:creationId xmlns:a16="http://schemas.microsoft.com/office/drawing/2014/main" xmlns="" id="{00000000-0008-0000-54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54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54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54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11" name="Chart 10">
          <a:extLst>
            <a:ext uri="{FF2B5EF4-FFF2-40B4-BE49-F238E27FC236}">
              <a16:creationId xmlns:a16="http://schemas.microsoft.com/office/drawing/2014/main" xmlns="" id="{00000000-0008-0000-54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85.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55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55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55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55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55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7" name="Chart 6">
          <a:extLst>
            <a:ext uri="{FF2B5EF4-FFF2-40B4-BE49-F238E27FC236}">
              <a16:creationId xmlns:a16="http://schemas.microsoft.com/office/drawing/2014/main" xmlns="" id="{00000000-0008-0000-55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55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55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55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11" name="Chart 10">
          <a:extLst>
            <a:ext uri="{FF2B5EF4-FFF2-40B4-BE49-F238E27FC236}">
              <a16:creationId xmlns:a16="http://schemas.microsoft.com/office/drawing/2014/main" xmlns="" id="{00000000-0008-0000-55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86.xml><?xml version="1.0" encoding="utf-8"?>
<xdr:wsDr xmlns:xdr="http://schemas.openxmlformats.org/drawingml/2006/spreadsheetDrawing" xmlns:a="http://schemas.openxmlformats.org/drawingml/2006/main">
  <xdr:twoCellAnchor>
    <xdr:from>
      <xdr:col>0</xdr:col>
      <xdr:colOff>142875</xdr:colOff>
      <xdr:row>0</xdr:row>
      <xdr:rowOff>0</xdr:rowOff>
    </xdr:from>
    <xdr:to>
      <xdr:col>2</xdr:col>
      <xdr:colOff>523875</xdr:colOff>
      <xdr:row>0</xdr:row>
      <xdr:rowOff>0</xdr:rowOff>
    </xdr:to>
    <xdr:sp macro="" textlink="">
      <xdr:nvSpPr>
        <xdr:cNvPr id="2" name="AutoShape 10">
          <a:extLst>
            <a:ext uri="{FF2B5EF4-FFF2-40B4-BE49-F238E27FC236}">
              <a16:creationId xmlns:a16="http://schemas.microsoft.com/office/drawing/2014/main" xmlns="" id="{00000000-0008-0000-5600-000002000000}"/>
            </a:ext>
          </a:extLst>
        </xdr:cNvPr>
        <xdr:cNvSpPr>
          <a:spLocks noChangeArrowheads="1"/>
        </xdr:cNvSpPr>
      </xdr:nvSpPr>
      <xdr:spPr bwMode="auto">
        <a:xfrm>
          <a:off x="142875" y="0"/>
          <a:ext cx="1600200"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2</xdr:col>
      <xdr:colOff>361949</xdr:colOff>
      <xdr:row>0</xdr:row>
      <xdr:rowOff>0</xdr:rowOff>
    </xdr:to>
    <xdr:sp macro="" textlink="">
      <xdr:nvSpPr>
        <xdr:cNvPr id="3" name="Text Box 15">
          <a:extLst>
            <a:ext uri="{FF2B5EF4-FFF2-40B4-BE49-F238E27FC236}">
              <a16:creationId xmlns:a16="http://schemas.microsoft.com/office/drawing/2014/main" xmlns="" id="{00000000-0008-0000-5600-000003000000}"/>
            </a:ext>
          </a:extLst>
        </xdr:cNvPr>
        <xdr:cNvSpPr txBox="1">
          <a:spLocks noChangeArrowheads="1"/>
        </xdr:cNvSpPr>
      </xdr:nvSpPr>
      <xdr:spPr bwMode="auto">
        <a:xfrm>
          <a:off x="47624" y="0"/>
          <a:ext cx="1533525"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56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56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56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7" name="Chart 6">
          <a:extLst>
            <a:ext uri="{FF2B5EF4-FFF2-40B4-BE49-F238E27FC236}">
              <a16:creationId xmlns:a16="http://schemas.microsoft.com/office/drawing/2014/main" xmlns="" id="{00000000-0008-0000-56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56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56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56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11" name="Chart 10">
          <a:extLst>
            <a:ext uri="{FF2B5EF4-FFF2-40B4-BE49-F238E27FC236}">
              <a16:creationId xmlns:a16="http://schemas.microsoft.com/office/drawing/2014/main" xmlns="" id="{00000000-0008-0000-56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87.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57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57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57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57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57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7" name="Chart 6">
          <a:extLst>
            <a:ext uri="{FF2B5EF4-FFF2-40B4-BE49-F238E27FC236}">
              <a16:creationId xmlns:a16="http://schemas.microsoft.com/office/drawing/2014/main" xmlns="" id="{00000000-0008-0000-57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57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57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57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11" name="Chart 10">
          <a:extLst>
            <a:ext uri="{FF2B5EF4-FFF2-40B4-BE49-F238E27FC236}">
              <a16:creationId xmlns:a16="http://schemas.microsoft.com/office/drawing/2014/main" xmlns="" id="{00000000-0008-0000-57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88.xml><?xml version="1.0" encoding="utf-8"?>
<xdr:wsDr xmlns:xdr="http://schemas.openxmlformats.org/drawingml/2006/spreadsheetDrawing" xmlns:a="http://schemas.openxmlformats.org/drawingml/2006/main">
  <xdr:twoCellAnchor>
    <xdr:from>
      <xdr:col>0</xdr:col>
      <xdr:colOff>142875</xdr:colOff>
      <xdr:row>0</xdr:row>
      <xdr:rowOff>0</xdr:rowOff>
    </xdr:from>
    <xdr:to>
      <xdr:col>2</xdr:col>
      <xdr:colOff>523875</xdr:colOff>
      <xdr:row>0</xdr:row>
      <xdr:rowOff>0</xdr:rowOff>
    </xdr:to>
    <xdr:sp macro="" textlink="">
      <xdr:nvSpPr>
        <xdr:cNvPr id="2" name="AutoShape 10">
          <a:extLst>
            <a:ext uri="{FF2B5EF4-FFF2-40B4-BE49-F238E27FC236}">
              <a16:creationId xmlns:a16="http://schemas.microsoft.com/office/drawing/2014/main" xmlns="" id="{00000000-0008-0000-5800-000002000000}"/>
            </a:ext>
          </a:extLst>
        </xdr:cNvPr>
        <xdr:cNvSpPr>
          <a:spLocks noChangeArrowheads="1"/>
        </xdr:cNvSpPr>
      </xdr:nvSpPr>
      <xdr:spPr bwMode="auto">
        <a:xfrm>
          <a:off x="142875" y="0"/>
          <a:ext cx="1600200"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2</xdr:col>
      <xdr:colOff>361949</xdr:colOff>
      <xdr:row>0</xdr:row>
      <xdr:rowOff>0</xdr:rowOff>
    </xdr:to>
    <xdr:sp macro="" textlink="">
      <xdr:nvSpPr>
        <xdr:cNvPr id="3" name="Text Box 15">
          <a:extLst>
            <a:ext uri="{FF2B5EF4-FFF2-40B4-BE49-F238E27FC236}">
              <a16:creationId xmlns:a16="http://schemas.microsoft.com/office/drawing/2014/main" xmlns="" id="{00000000-0008-0000-5800-000003000000}"/>
            </a:ext>
          </a:extLst>
        </xdr:cNvPr>
        <xdr:cNvSpPr txBox="1">
          <a:spLocks noChangeArrowheads="1"/>
        </xdr:cNvSpPr>
      </xdr:nvSpPr>
      <xdr:spPr bwMode="auto">
        <a:xfrm>
          <a:off x="47624" y="0"/>
          <a:ext cx="1533525"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58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58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5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7" name="Chart 6">
          <a:extLst>
            <a:ext uri="{FF2B5EF4-FFF2-40B4-BE49-F238E27FC236}">
              <a16:creationId xmlns:a16="http://schemas.microsoft.com/office/drawing/2014/main" xmlns="" id="{00000000-0008-0000-58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58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58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58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11" name="Chart 10">
          <a:extLst>
            <a:ext uri="{FF2B5EF4-FFF2-40B4-BE49-F238E27FC236}">
              <a16:creationId xmlns:a16="http://schemas.microsoft.com/office/drawing/2014/main" xmlns="" id="{00000000-0008-0000-58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89.xml><?xml version="1.0" encoding="utf-8"?>
<xdr:wsDr xmlns:xdr="http://schemas.openxmlformats.org/drawingml/2006/spreadsheetDrawing" xmlns:a="http://schemas.openxmlformats.org/drawingml/2006/main">
  <xdr:twoCellAnchor>
    <xdr:from>
      <xdr:col>0</xdr:col>
      <xdr:colOff>142875</xdr:colOff>
      <xdr:row>0</xdr:row>
      <xdr:rowOff>0</xdr:rowOff>
    </xdr:from>
    <xdr:to>
      <xdr:col>2</xdr:col>
      <xdr:colOff>523875</xdr:colOff>
      <xdr:row>0</xdr:row>
      <xdr:rowOff>0</xdr:rowOff>
    </xdr:to>
    <xdr:sp macro="" textlink="">
      <xdr:nvSpPr>
        <xdr:cNvPr id="2" name="AutoShape 10">
          <a:extLst>
            <a:ext uri="{FF2B5EF4-FFF2-40B4-BE49-F238E27FC236}">
              <a16:creationId xmlns:a16="http://schemas.microsoft.com/office/drawing/2014/main" xmlns="" id="{00000000-0008-0000-5900-000002000000}"/>
            </a:ext>
          </a:extLst>
        </xdr:cNvPr>
        <xdr:cNvSpPr>
          <a:spLocks noChangeArrowheads="1"/>
        </xdr:cNvSpPr>
      </xdr:nvSpPr>
      <xdr:spPr bwMode="auto">
        <a:xfrm>
          <a:off x="142875" y="0"/>
          <a:ext cx="1600200"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2</xdr:col>
      <xdr:colOff>361949</xdr:colOff>
      <xdr:row>0</xdr:row>
      <xdr:rowOff>0</xdr:rowOff>
    </xdr:to>
    <xdr:sp macro="" textlink="">
      <xdr:nvSpPr>
        <xdr:cNvPr id="3" name="Text Box 15">
          <a:extLst>
            <a:ext uri="{FF2B5EF4-FFF2-40B4-BE49-F238E27FC236}">
              <a16:creationId xmlns:a16="http://schemas.microsoft.com/office/drawing/2014/main" xmlns="" id="{00000000-0008-0000-5900-000003000000}"/>
            </a:ext>
          </a:extLst>
        </xdr:cNvPr>
        <xdr:cNvSpPr txBox="1">
          <a:spLocks noChangeArrowheads="1"/>
        </xdr:cNvSpPr>
      </xdr:nvSpPr>
      <xdr:spPr bwMode="auto">
        <a:xfrm>
          <a:off x="47624" y="0"/>
          <a:ext cx="1533525"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59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59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59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7" name="Chart 6">
          <a:extLst>
            <a:ext uri="{FF2B5EF4-FFF2-40B4-BE49-F238E27FC236}">
              <a16:creationId xmlns:a16="http://schemas.microsoft.com/office/drawing/2014/main" xmlns="" id="{00000000-0008-0000-59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59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59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59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11" name="Chart 10">
          <a:extLst>
            <a:ext uri="{FF2B5EF4-FFF2-40B4-BE49-F238E27FC236}">
              <a16:creationId xmlns:a16="http://schemas.microsoft.com/office/drawing/2014/main" xmlns="" id="{00000000-0008-0000-59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90.xml><?xml version="1.0" encoding="utf-8"?>
<xdr:wsDr xmlns:xdr="http://schemas.openxmlformats.org/drawingml/2006/spreadsheetDrawing" xmlns:a="http://schemas.openxmlformats.org/drawingml/2006/main">
  <xdr:twoCellAnchor>
    <xdr:from>
      <xdr:col>0</xdr:col>
      <xdr:colOff>142875</xdr:colOff>
      <xdr:row>0</xdr:row>
      <xdr:rowOff>0</xdr:rowOff>
    </xdr:from>
    <xdr:to>
      <xdr:col>1</xdr:col>
      <xdr:colOff>0</xdr:colOff>
      <xdr:row>0</xdr:row>
      <xdr:rowOff>0</xdr:rowOff>
    </xdr:to>
    <xdr:sp macro="" textlink="">
      <xdr:nvSpPr>
        <xdr:cNvPr id="2" name="AutoShape 10">
          <a:extLst>
            <a:ext uri="{FF2B5EF4-FFF2-40B4-BE49-F238E27FC236}">
              <a16:creationId xmlns:a16="http://schemas.microsoft.com/office/drawing/2014/main" xmlns="" id="{00000000-0008-0000-5A00-000002000000}"/>
            </a:ext>
          </a:extLst>
        </xdr:cNvPr>
        <xdr:cNvSpPr>
          <a:spLocks noChangeArrowheads="1"/>
        </xdr:cNvSpPr>
      </xdr:nvSpPr>
      <xdr:spPr bwMode="auto">
        <a:xfrm>
          <a:off x="142875" y="0"/>
          <a:ext cx="466725" cy="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0</xdr:col>
      <xdr:colOff>47624</xdr:colOff>
      <xdr:row>0</xdr:row>
      <xdr:rowOff>0</xdr:rowOff>
    </xdr:from>
    <xdr:to>
      <xdr:col>1</xdr:col>
      <xdr:colOff>0</xdr:colOff>
      <xdr:row>0</xdr:row>
      <xdr:rowOff>0</xdr:rowOff>
    </xdr:to>
    <xdr:sp macro="" textlink="">
      <xdr:nvSpPr>
        <xdr:cNvPr id="3" name="Text Box 15">
          <a:extLst>
            <a:ext uri="{FF2B5EF4-FFF2-40B4-BE49-F238E27FC236}">
              <a16:creationId xmlns:a16="http://schemas.microsoft.com/office/drawing/2014/main" xmlns="" id="{00000000-0008-0000-5A00-000003000000}"/>
            </a:ext>
          </a:extLst>
        </xdr:cNvPr>
        <xdr:cNvSpPr txBox="1">
          <a:spLocks noChangeArrowheads="1"/>
        </xdr:cNvSpPr>
      </xdr:nvSpPr>
      <xdr:spPr bwMode="auto">
        <a:xfrm>
          <a:off x="47624" y="0"/>
          <a:ext cx="561976" cy="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142875</xdr:colOff>
      <xdr:row>1</xdr:row>
      <xdr:rowOff>104775</xdr:rowOff>
    </xdr:from>
    <xdr:to>
      <xdr:col>3</xdr:col>
      <xdr:colOff>523875</xdr:colOff>
      <xdr:row>3</xdr:row>
      <xdr:rowOff>85725</xdr:rowOff>
    </xdr:to>
    <xdr:sp macro="" textlink="">
      <xdr:nvSpPr>
        <xdr:cNvPr id="4" name="AutoShape 10">
          <a:extLst>
            <a:ext uri="{FF2B5EF4-FFF2-40B4-BE49-F238E27FC236}">
              <a16:creationId xmlns:a16="http://schemas.microsoft.com/office/drawing/2014/main" xmlns="" id="{00000000-0008-0000-5A00-000004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5" name="Text Box 15">
          <a:extLst>
            <a:ext uri="{FF2B5EF4-FFF2-40B4-BE49-F238E27FC236}">
              <a16:creationId xmlns:a16="http://schemas.microsoft.com/office/drawing/2014/main" xmlns="" id="{00000000-0008-0000-5A00-000005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6" name="Chart 5">
          <a:extLst>
            <a:ext uri="{FF2B5EF4-FFF2-40B4-BE49-F238E27FC236}">
              <a16:creationId xmlns:a16="http://schemas.microsoft.com/office/drawing/2014/main" xmlns="" id="{00000000-0008-0000-5A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7" name="Chart 6">
          <a:extLst>
            <a:ext uri="{FF2B5EF4-FFF2-40B4-BE49-F238E27FC236}">
              <a16:creationId xmlns:a16="http://schemas.microsoft.com/office/drawing/2014/main" xmlns="" id="{00000000-0008-0000-5A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142875</xdr:colOff>
      <xdr:row>1</xdr:row>
      <xdr:rowOff>104775</xdr:rowOff>
    </xdr:from>
    <xdr:to>
      <xdr:col>3</xdr:col>
      <xdr:colOff>523875</xdr:colOff>
      <xdr:row>3</xdr:row>
      <xdr:rowOff>85725</xdr:rowOff>
    </xdr:to>
    <xdr:sp macro="" textlink="">
      <xdr:nvSpPr>
        <xdr:cNvPr id="8" name="AutoShape 10">
          <a:extLst>
            <a:ext uri="{FF2B5EF4-FFF2-40B4-BE49-F238E27FC236}">
              <a16:creationId xmlns:a16="http://schemas.microsoft.com/office/drawing/2014/main" xmlns="" id="{00000000-0008-0000-5A00-000008000000}"/>
            </a:ext>
          </a:extLst>
        </xdr:cNvPr>
        <xdr:cNvSpPr>
          <a:spLocks noChangeArrowheads="1"/>
        </xdr:cNvSpPr>
      </xdr:nvSpPr>
      <xdr:spPr bwMode="auto">
        <a:xfrm>
          <a:off x="752475" y="266700"/>
          <a:ext cx="1600200" cy="304800"/>
        </a:xfrm>
        <a:prstGeom prst="rightArrow">
          <a:avLst>
            <a:gd name="adj1" fmla="val 50000"/>
            <a:gd name="adj2" fmla="val 222895"/>
          </a:avLst>
        </a:prstGeom>
        <a:solidFill>
          <a:srgbClr val="953735"/>
        </a:solidFill>
        <a:ln>
          <a:noFill/>
        </a:ln>
        <a:extLst>
          <a:ext uri="{91240B29-F687-4F45-9708-019B960494DF}">
            <a14:hiddenLine xmlns:a14="http://schemas.microsoft.com/office/drawing/2010/main" w="22225">
              <a:solidFill>
                <a:srgbClr val="000000"/>
              </a:solidFill>
              <a:miter lim="800000"/>
              <a:headEnd/>
              <a:tailEnd/>
            </a14:hiddenLine>
          </a:ext>
        </a:extLst>
      </xdr:spPr>
    </xdr:sp>
    <xdr:clientData fPrintsWithSheet="0"/>
  </xdr:twoCellAnchor>
  <xdr:twoCellAnchor>
    <xdr:from>
      <xdr:col>1</xdr:col>
      <xdr:colOff>47624</xdr:colOff>
      <xdr:row>2</xdr:row>
      <xdr:rowOff>1</xdr:rowOff>
    </xdr:from>
    <xdr:to>
      <xdr:col>3</xdr:col>
      <xdr:colOff>361949</xdr:colOff>
      <xdr:row>3</xdr:row>
      <xdr:rowOff>57150</xdr:rowOff>
    </xdr:to>
    <xdr:sp macro="" textlink="">
      <xdr:nvSpPr>
        <xdr:cNvPr id="9" name="Text Box 15">
          <a:extLst>
            <a:ext uri="{FF2B5EF4-FFF2-40B4-BE49-F238E27FC236}">
              <a16:creationId xmlns:a16="http://schemas.microsoft.com/office/drawing/2014/main" xmlns="" id="{00000000-0008-0000-5A00-000009000000}"/>
            </a:ext>
          </a:extLst>
        </xdr:cNvPr>
        <xdr:cNvSpPr txBox="1">
          <a:spLocks noChangeArrowheads="1"/>
        </xdr:cNvSpPr>
      </xdr:nvSpPr>
      <xdr:spPr bwMode="auto">
        <a:xfrm>
          <a:off x="657224" y="323851"/>
          <a:ext cx="1533525" cy="219074"/>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GB" sz="1100" b="1" i="0" u="none" strike="noStrike" baseline="0">
              <a:solidFill>
                <a:schemeClr val="bg1"/>
              </a:solidFill>
              <a:latin typeface="Arial"/>
              <a:cs typeface="Arial"/>
            </a:rPr>
            <a:t>Select a School</a:t>
          </a:r>
        </a:p>
      </xdr:txBody>
    </xdr:sp>
    <xdr:clientData fPrintsWithSheet="0"/>
  </xdr:twoCellAnchor>
  <xdr:twoCellAnchor>
    <xdr:from>
      <xdr:col>1</xdr:col>
      <xdr:colOff>28575</xdr:colOff>
      <xdr:row>14</xdr:row>
      <xdr:rowOff>76200</xdr:rowOff>
    </xdr:from>
    <xdr:to>
      <xdr:col>7</xdr:col>
      <xdr:colOff>314325</xdr:colOff>
      <xdr:row>24</xdr:row>
      <xdr:rowOff>180975</xdr:rowOff>
    </xdr:to>
    <xdr:graphicFrame macro="">
      <xdr:nvGraphicFramePr>
        <xdr:cNvPr id="10" name="Chart 9">
          <a:extLst>
            <a:ext uri="{FF2B5EF4-FFF2-40B4-BE49-F238E27FC236}">
              <a16:creationId xmlns:a16="http://schemas.microsoft.com/office/drawing/2014/main" xmlns="" id="{00000000-0008-0000-5A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9525</xdr:colOff>
      <xdr:row>30</xdr:row>
      <xdr:rowOff>104775</xdr:rowOff>
    </xdr:from>
    <xdr:to>
      <xdr:col>9</xdr:col>
      <xdr:colOff>504825</xdr:colOff>
      <xdr:row>43</xdr:row>
      <xdr:rowOff>161925</xdr:rowOff>
    </xdr:to>
    <xdr:graphicFrame macro="">
      <xdr:nvGraphicFramePr>
        <xdr:cNvPr id="11" name="Chart 10">
          <a:extLst>
            <a:ext uri="{FF2B5EF4-FFF2-40B4-BE49-F238E27FC236}">
              <a16:creationId xmlns:a16="http://schemas.microsoft.com/office/drawing/2014/main" xmlns="" id="{00000000-0008-0000-5A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70.xml"/><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72.xml"/><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74.xml"/><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76.xml"/><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2" Type="http://schemas.openxmlformats.org/officeDocument/2006/relationships/drawing" Target="../drawings/drawing78.xml"/><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80.xml"/><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2" Type="http://schemas.openxmlformats.org/officeDocument/2006/relationships/drawing" Target="../drawings/drawing82.xml"/><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2" Type="http://schemas.openxmlformats.org/officeDocument/2006/relationships/drawing" Target="../drawings/drawing84.xml"/><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2" Type="http://schemas.openxmlformats.org/officeDocument/2006/relationships/drawing" Target="../drawings/drawing86.xml"/><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2" Type="http://schemas.openxmlformats.org/officeDocument/2006/relationships/drawing" Target="../drawings/drawing88.xml"/><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2" Type="http://schemas.openxmlformats.org/officeDocument/2006/relationships/drawing" Target="../drawings/drawing90.xml"/><Relationship Id="rId1" Type="http://schemas.openxmlformats.org/officeDocument/2006/relationships/printerSettings" Target="../printerSettings/printerSettings91.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7.xml.rels><?xml version="1.0" encoding="UTF-8" standalone="yes"?>
<Relationships xmlns="http://schemas.openxmlformats.org/package/2006/relationships"><Relationship Id="rId1" Type="http://schemas.openxmlformats.org/officeDocument/2006/relationships/hyperlink" Target="http://www.nrscotland.gov.uk/files/statistics/population-projections/2012-based-subnational/12pop-proj-scottishareas-table4.xls" TargetMode="External"/></Relationships>
</file>

<file path=xl/worksheets/_rels/sheet9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94.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102.xml.rels><?xml version="1.0" encoding="UTF-8" standalone="yes"?>
<Relationships xmlns="http://schemas.openxmlformats.org/package/2006/relationships"><Relationship Id="rId2" Type="http://schemas.openxmlformats.org/officeDocument/2006/relationships/printerSettings" Target="../printerSettings/printerSettings98.bin"/><Relationship Id="rId1" Type="http://schemas.openxmlformats.org/officeDocument/2006/relationships/hyperlink" Target="http://www.nrscotland.gov.uk/files/statistics/population-projections/2012-based-subnational/2012-principal-ca.xl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
  <sheetViews>
    <sheetView view="pageBreakPreview" zoomScaleNormal="100" zoomScaleSheetLayoutView="100" workbookViewId="0">
      <selection activeCell="O10" sqref="O10"/>
    </sheetView>
  </sheetViews>
  <sheetFormatPr defaultRowHeight="12.75"/>
  <sheetData/>
  <pageMargins left="0.70866141732283472" right="0.70866141732283472" top="0.74803149606299213" bottom="0.74803149606299213" header="0.31496062992125984" footer="0.31496062992125984"/>
  <pageSetup paperSize="9" scale="83"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1:Y116"/>
  <sheetViews>
    <sheetView tabSelected="1" zoomScaleNormal="100" workbookViewId="0">
      <pane ySplit="5" topLeftCell="A6" activePane="bottomLeft" state="frozen"/>
      <selection pane="bottomLeft" activeCell="A2" sqref="A2"/>
    </sheetView>
  </sheetViews>
  <sheetFormatPr defaultRowHeight="12.75"/>
  <cols>
    <col min="1" max="1" width="37.28515625" style="73" customWidth="1"/>
    <col min="2" max="2" width="9.5703125" style="215" customWidth="1"/>
    <col min="3" max="3" width="9" style="215" customWidth="1"/>
    <col min="4" max="4" width="10.5703125" style="73" customWidth="1"/>
    <col min="5" max="5" width="7.28515625" style="73" bestFit="1" customWidth="1"/>
    <col min="6" max="6" width="7.42578125" style="73" customWidth="1"/>
    <col min="7" max="7" width="7" style="73" customWidth="1"/>
    <col min="8" max="8" width="6.7109375" style="73" customWidth="1"/>
    <col min="9" max="18" width="6.28515625" style="73" customWidth="1"/>
    <col min="19" max="19" width="11.42578125" style="73" bestFit="1" customWidth="1"/>
    <col min="20" max="20" width="26.85546875" style="146" customWidth="1"/>
    <col min="21" max="21" width="9.140625" style="73" customWidth="1"/>
    <col min="22" max="249" width="9.140625" style="73"/>
    <col min="250" max="250" width="17" style="73" customWidth="1"/>
    <col min="251" max="251" width="8.140625" style="73" customWidth="1"/>
    <col min="252" max="252" width="7.7109375" style="73" customWidth="1"/>
    <col min="253" max="253" width="7.140625" style="73" customWidth="1"/>
    <col min="254" max="254" width="7.28515625" style="73" customWidth="1"/>
    <col min="255" max="256" width="6.42578125" style="73" customWidth="1"/>
    <col min="257" max="257" width="6.5703125" style="73" customWidth="1"/>
    <col min="258" max="258" width="6.85546875" style="73" customWidth="1"/>
    <col min="259" max="259" width="6.7109375" style="73" customWidth="1"/>
    <col min="260" max="260" width="7.42578125" style="73" customWidth="1"/>
    <col min="261" max="261" width="7" style="73" customWidth="1"/>
    <col min="262" max="262" width="6.7109375" style="73" customWidth="1"/>
    <col min="263" max="268" width="6.28515625" style="73" customWidth="1"/>
    <col min="269" max="269" width="14.140625" style="73" customWidth="1"/>
    <col min="270" max="270" width="6.85546875" style="73" customWidth="1"/>
    <col min="271" max="271" width="7.5703125" style="73" customWidth="1"/>
    <col min="272" max="505" width="9.140625" style="73"/>
    <col min="506" max="506" width="17" style="73" customWidth="1"/>
    <col min="507" max="507" width="8.140625" style="73" customWidth="1"/>
    <col min="508" max="508" width="7.7109375" style="73" customWidth="1"/>
    <col min="509" max="509" width="7.140625" style="73" customWidth="1"/>
    <col min="510" max="510" width="7.28515625" style="73" customWidth="1"/>
    <col min="511" max="512" width="6.42578125" style="73" customWidth="1"/>
    <col min="513" max="513" width="6.5703125" style="73" customWidth="1"/>
    <col min="514" max="514" width="6.85546875" style="73" customWidth="1"/>
    <col min="515" max="515" width="6.7109375" style="73" customWidth="1"/>
    <col min="516" max="516" width="7.42578125" style="73" customWidth="1"/>
    <col min="517" max="517" width="7" style="73" customWidth="1"/>
    <col min="518" max="518" width="6.7109375" style="73" customWidth="1"/>
    <col min="519" max="524" width="6.28515625" style="73" customWidth="1"/>
    <col min="525" max="525" width="14.140625" style="73" customWidth="1"/>
    <col min="526" max="526" width="6.85546875" style="73" customWidth="1"/>
    <col min="527" max="527" width="7.5703125" style="73" customWidth="1"/>
    <col min="528" max="761" width="9.140625" style="73"/>
    <col min="762" max="762" width="17" style="73" customWidth="1"/>
    <col min="763" max="763" width="8.140625" style="73" customWidth="1"/>
    <col min="764" max="764" width="7.7109375" style="73" customWidth="1"/>
    <col min="765" max="765" width="7.140625" style="73" customWidth="1"/>
    <col min="766" max="766" width="7.28515625" style="73" customWidth="1"/>
    <col min="767" max="768" width="6.42578125" style="73" customWidth="1"/>
    <col min="769" max="769" width="6.5703125" style="73" customWidth="1"/>
    <col min="770" max="770" width="6.85546875" style="73" customWidth="1"/>
    <col min="771" max="771" width="6.7109375" style="73" customWidth="1"/>
    <col min="772" max="772" width="7.42578125" style="73" customWidth="1"/>
    <col min="773" max="773" width="7" style="73" customWidth="1"/>
    <col min="774" max="774" width="6.7109375" style="73" customWidth="1"/>
    <col min="775" max="780" width="6.28515625" style="73" customWidth="1"/>
    <col min="781" max="781" width="14.140625" style="73" customWidth="1"/>
    <col min="782" max="782" width="6.85546875" style="73" customWidth="1"/>
    <col min="783" max="783" width="7.5703125" style="73" customWidth="1"/>
    <col min="784" max="1017" width="9.140625" style="73"/>
    <col min="1018" max="1018" width="17" style="73" customWidth="1"/>
    <col min="1019" max="1019" width="8.140625" style="73" customWidth="1"/>
    <col min="1020" max="1020" width="7.7109375" style="73" customWidth="1"/>
    <col min="1021" max="1021" width="7.140625" style="73" customWidth="1"/>
    <col min="1022" max="1022" width="7.28515625" style="73" customWidth="1"/>
    <col min="1023" max="1024" width="6.42578125" style="73" customWidth="1"/>
    <col min="1025" max="1025" width="6.5703125" style="73" customWidth="1"/>
    <col min="1026" max="1026" width="6.85546875" style="73" customWidth="1"/>
    <col min="1027" max="1027" width="6.7109375" style="73" customWidth="1"/>
    <col min="1028" max="1028" width="7.42578125" style="73" customWidth="1"/>
    <col min="1029" max="1029" width="7" style="73" customWidth="1"/>
    <col min="1030" max="1030" width="6.7109375" style="73" customWidth="1"/>
    <col min="1031" max="1036" width="6.28515625" style="73" customWidth="1"/>
    <col min="1037" max="1037" width="14.140625" style="73" customWidth="1"/>
    <col min="1038" max="1038" width="6.85546875" style="73" customWidth="1"/>
    <col min="1039" max="1039" width="7.5703125" style="73" customWidth="1"/>
    <col min="1040" max="1273" width="9.140625" style="73"/>
    <col min="1274" max="1274" width="17" style="73" customWidth="1"/>
    <col min="1275" max="1275" width="8.140625" style="73" customWidth="1"/>
    <col min="1276" max="1276" width="7.7109375" style="73" customWidth="1"/>
    <col min="1277" max="1277" width="7.140625" style="73" customWidth="1"/>
    <col min="1278" max="1278" width="7.28515625" style="73" customWidth="1"/>
    <col min="1279" max="1280" width="6.42578125" style="73" customWidth="1"/>
    <col min="1281" max="1281" width="6.5703125" style="73" customWidth="1"/>
    <col min="1282" max="1282" width="6.85546875" style="73" customWidth="1"/>
    <col min="1283" max="1283" width="6.7109375" style="73" customWidth="1"/>
    <col min="1284" max="1284" width="7.42578125" style="73" customWidth="1"/>
    <col min="1285" max="1285" width="7" style="73" customWidth="1"/>
    <col min="1286" max="1286" width="6.7109375" style="73" customWidth="1"/>
    <col min="1287" max="1292" width="6.28515625" style="73" customWidth="1"/>
    <col min="1293" max="1293" width="14.140625" style="73" customWidth="1"/>
    <col min="1294" max="1294" width="6.85546875" style="73" customWidth="1"/>
    <col min="1295" max="1295" width="7.5703125" style="73" customWidth="1"/>
    <col min="1296" max="1529" width="9.140625" style="73"/>
    <col min="1530" max="1530" width="17" style="73" customWidth="1"/>
    <col min="1531" max="1531" width="8.140625" style="73" customWidth="1"/>
    <col min="1532" max="1532" width="7.7109375" style="73" customWidth="1"/>
    <col min="1533" max="1533" width="7.140625" style="73" customWidth="1"/>
    <col min="1534" max="1534" width="7.28515625" style="73" customWidth="1"/>
    <col min="1535" max="1536" width="6.42578125" style="73" customWidth="1"/>
    <col min="1537" max="1537" width="6.5703125" style="73" customWidth="1"/>
    <col min="1538" max="1538" width="6.85546875" style="73" customWidth="1"/>
    <col min="1539" max="1539" width="6.7109375" style="73" customWidth="1"/>
    <col min="1540" max="1540" width="7.42578125" style="73" customWidth="1"/>
    <col min="1541" max="1541" width="7" style="73" customWidth="1"/>
    <col min="1542" max="1542" width="6.7109375" style="73" customWidth="1"/>
    <col min="1543" max="1548" width="6.28515625" style="73" customWidth="1"/>
    <col min="1549" max="1549" width="14.140625" style="73" customWidth="1"/>
    <col min="1550" max="1550" width="6.85546875" style="73" customWidth="1"/>
    <col min="1551" max="1551" width="7.5703125" style="73" customWidth="1"/>
    <col min="1552" max="1785" width="9.140625" style="73"/>
    <col min="1786" max="1786" width="17" style="73" customWidth="1"/>
    <col min="1787" max="1787" width="8.140625" style="73" customWidth="1"/>
    <col min="1788" max="1788" width="7.7109375" style="73" customWidth="1"/>
    <col min="1789" max="1789" width="7.140625" style="73" customWidth="1"/>
    <col min="1790" max="1790" width="7.28515625" style="73" customWidth="1"/>
    <col min="1791" max="1792" width="6.42578125" style="73" customWidth="1"/>
    <col min="1793" max="1793" width="6.5703125" style="73" customWidth="1"/>
    <col min="1794" max="1794" width="6.85546875" style="73" customWidth="1"/>
    <col min="1795" max="1795" width="6.7109375" style="73" customWidth="1"/>
    <col min="1796" max="1796" width="7.42578125" style="73" customWidth="1"/>
    <col min="1797" max="1797" width="7" style="73" customWidth="1"/>
    <col min="1798" max="1798" width="6.7109375" style="73" customWidth="1"/>
    <col min="1799" max="1804" width="6.28515625" style="73" customWidth="1"/>
    <col min="1805" max="1805" width="14.140625" style="73" customWidth="1"/>
    <col min="1806" max="1806" width="6.85546875" style="73" customWidth="1"/>
    <col min="1807" max="1807" width="7.5703125" style="73" customWidth="1"/>
    <col min="1808" max="2041" width="9.140625" style="73"/>
    <col min="2042" max="2042" width="17" style="73" customWidth="1"/>
    <col min="2043" max="2043" width="8.140625" style="73" customWidth="1"/>
    <col min="2044" max="2044" width="7.7109375" style="73" customWidth="1"/>
    <col min="2045" max="2045" width="7.140625" style="73" customWidth="1"/>
    <col min="2046" max="2046" width="7.28515625" style="73" customWidth="1"/>
    <col min="2047" max="2048" width="6.42578125" style="73" customWidth="1"/>
    <col min="2049" max="2049" width="6.5703125" style="73" customWidth="1"/>
    <col min="2050" max="2050" width="6.85546875" style="73" customWidth="1"/>
    <col min="2051" max="2051" width="6.7109375" style="73" customWidth="1"/>
    <col min="2052" max="2052" width="7.42578125" style="73" customWidth="1"/>
    <col min="2053" max="2053" width="7" style="73" customWidth="1"/>
    <col min="2054" max="2054" width="6.7109375" style="73" customWidth="1"/>
    <col min="2055" max="2060" width="6.28515625" style="73" customWidth="1"/>
    <col min="2061" max="2061" width="14.140625" style="73" customWidth="1"/>
    <col min="2062" max="2062" width="6.85546875" style="73" customWidth="1"/>
    <col min="2063" max="2063" width="7.5703125" style="73" customWidth="1"/>
    <col min="2064" max="2297" width="9.140625" style="73"/>
    <col min="2298" max="2298" width="17" style="73" customWidth="1"/>
    <col min="2299" max="2299" width="8.140625" style="73" customWidth="1"/>
    <col min="2300" max="2300" width="7.7109375" style="73" customWidth="1"/>
    <col min="2301" max="2301" width="7.140625" style="73" customWidth="1"/>
    <col min="2302" max="2302" width="7.28515625" style="73" customWidth="1"/>
    <col min="2303" max="2304" width="6.42578125" style="73" customWidth="1"/>
    <col min="2305" max="2305" width="6.5703125" style="73" customWidth="1"/>
    <col min="2306" max="2306" width="6.85546875" style="73" customWidth="1"/>
    <col min="2307" max="2307" width="6.7109375" style="73" customWidth="1"/>
    <col min="2308" max="2308" width="7.42578125" style="73" customWidth="1"/>
    <col min="2309" max="2309" width="7" style="73" customWidth="1"/>
    <col min="2310" max="2310" width="6.7109375" style="73" customWidth="1"/>
    <col min="2311" max="2316" width="6.28515625" style="73" customWidth="1"/>
    <col min="2317" max="2317" width="14.140625" style="73" customWidth="1"/>
    <col min="2318" max="2318" width="6.85546875" style="73" customWidth="1"/>
    <col min="2319" max="2319" width="7.5703125" style="73" customWidth="1"/>
    <col min="2320" max="2553" width="9.140625" style="73"/>
    <col min="2554" max="2554" width="17" style="73" customWidth="1"/>
    <col min="2555" max="2555" width="8.140625" style="73" customWidth="1"/>
    <col min="2556" max="2556" width="7.7109375" style="73" customWidth="1"/>
    <col min="2557" max="2557" width="7.140625" style="73" customWidth="1"/>
    <col min="2558" max="2558" width="7.28515625" style="73" customWidth="1"/>
    <col min="2559" max="2560" width="6.42578125" style="73" customWidth="1"/>
    <col min="2561" max="2561" width="6.5703125" style="73" customWidth="1"/>
    <col min="2562" max="2562" width="6.85546875" style="73" customWidth="1"/>
    <col min="2563" max="2563" width="6.7109375" style="73" customWidth="1"/>
    <col min="2564" max="2564" width="7.42578125" style="73" customWidth="1"/>
    <col min="2565" max="2565" width="7" style="73" customWidth="1"/>
    <col min="2566" max="2566" width="6.7109375" style="73" customWidth="1"/>
    <col min="2567" max="2572" width="6.28515625" style="73" customWidth="1"/>
    <col min="2573" max="2573" width="14.140625" style="73" customWidth="1"/>
    <col min="2574" max="2574" width="6.85546875" style="73" customWidth="1"/>
    <col min="2575" max="2575" width="7.5703125" style="73" customWidth="1"/>
    <col min="2576" max="2809" width="9.140625" style="73"/>
    <col min="2810" max="2810" width="17" style="73" customWidth="1"/>
    <col min="2811" max="2811" width="8.140625" style="73" customWidth="1"/>
    <col min="2812" max="2812" width="7.7109375" style="73" customWidth="1"/>
    <col min="2813" max="2813" width="7.140625" style="73" customWidth="1"/>
    <col min="2814" max="2814" width="7.28515625" style="73" customWidth="1"/>
    <col min="2815" max="2816" width="6.42578125" style="73" customWidth="1"/>
    <col min="2817" max="2817" width="6.5703125" style="73" customWidth="1"/>
    <col min="2818" max="2818" width="6.85546875" style="73" customWidth="1"/>
    <col min="2819" max="2819" width="6.7109375" style="73" customWidth="1"/>
    <col min="2820" max="2820" width="7.42578125" style="73" customWidth="1"/>
    <col min="2821" max="2821" width="7" style="73" customWidth="1"/>
    <col min="2822" max="2822" width="6.7109375" style="73" customWidth="1"/>
    <col min="2823" max="2828" width="6.28515625" style="73" customWidth="1"/>
    <col min="2829" max="2829" width="14.140625" style="73" customWidth="1"/>
    <col min="2830" max="2830" width="6.85546875" style="73" customWidth="1"/>
    <col min="2831" max="2831" width="7.5703125" style="73" customWidth="1"/>
    <col min="2832" max="3065" width="9.140625" style="73"/>
    <col min="3066" max="3066" width="17" style="73" customWidth="1"/>
    <col min="3067" max="3067" width="8.140625" style="73" customWidth="1"/>
    <col min="3068" max="3068" width="7.7109375" style="73" customWidth="1"/>
    <col min="3069" max="3069" width="7.140625" style="73" customWidth="1"/>
    <col min="3070" max="3070" width="7.28515625" style="73" customWidth="1"/>
    <col min="3071" max="3072" width="6.42578125" style="73" customWidth="1"/>
    <col min="3073" max="3073" width="6.5703125" style="73" customWidth="1"/>
    <col min="3074" max="3074" width="6.85546875" style="73" customWidth="1"/>
    <col min="3075" max="3075" width="6.7109375" style="73" customWidth="1"/>
    <col min="3076" max="3076" width="7.42578125" style="73" customWidth="1"/>
    <col min="3077" max="3077" width="7" style="73" customWidth="1"/>
    <col min="3078" max="3078" width="6.7109375" style="73" customWidth="1"/>
    <col min="3079" max="3084" width="6.28515625" style="73" customWidth="1"/>
    <col min="3085" max="3085" width="14.140625" style="73" customWidth="1"/>
    <col min="3086" max="3086" width="6.85546875" style="73" customWidth="1"/>
    <col min="3087" max="3087" width="7.5703125" style="73" customWidth="1"/>
    <col min="3088" max="3321" width="9.140625" style="73"/>
    <col min="3322" max="3322" width="17" style="73" customWidth="1"/>
    <col min="3323" max="3323" width="8.140625" style="73" customWidth="1"/>
    <col min="3324" max="3324" width="7.7109375" style="73" customWidth="1"/>
    <col min="3325" max="3325" width="7.140625" style="73" customWidth="1"/>
    <col min="3326" max="3326" width="7.28515625" style="73" customWidth="1"/>
    <col min="3327" max="3328" width="6.42578125" style="73" customWidth="1"/>
    <col min="3329" max="3329" width="6.5703125" style="73" customWidth="1"/>
    <col min="3330" max="3330" width="6.85546875" style="73" customWidth="1"/>
    <col min="3331" max="3331" width="6.7109375" style="73" customWidth="1"/>
    <col min="3332" max="3332" width="7.42578125" style="73" customWidth="1"/>
    <col min="3333" max="3333" width="7" style="73" customWidth="1"/>
    <col min="3334" max="3334" width="6.7109375" style="73" customWidth="1"/>
    <col min="3335" max="3340" width="6.28515625" style="73" customWidth="1"/>
    <col min="3341" max="3341" width="14.140625" style="73" customWidth="1"/>
    <col min="3342" max="3342" width="6.85546875" style="73" customWidth="1"/>
    <col min="3343" max="3343" width="7.5703125" style="73" customWidth="1"/>
    <col min="3344" max="3577" width="9.140625" style="73"/>
    <col min="3578" max="3578" width="17" style="73" customWidth="1"/>
    <col min="3579" max="3579" width="8.140625" style="73" customWidth="1"/>
    <col min="3580" max="3580" width="7.7109375" style="73" customWidth="1"/>
    <col min="3581" max="3581" width="7.140625" style="73" customWidth="1"/>
    <col min="3582" max="3582" width="7.28515625" style="73" customWidth="1"/>
    <col min="3583" max="3584" width="6.42578125" style="73" customWidth="1"/>
    <col min="3585" max="3585" width="6.5703125" style="73" customWidth="1"/>
    <col min="3586" max="3586" width="6.85546875" style="73" customWidth="1"/>
    <col min="3587" max="3587" width="6.7109375" style="73" customWidth="1"/>
    <col min="3588" max="3588" width="7.42578125" style="73" customWidth="1"/>
    <col min="3589" max="3589" width="7" style="73" customWidth="1"/>
    <col min="3590" max="3590" width="6.7109375" style="73" customWidth="1"/>
    <col min="3591" max="3596" width="6.28515625" style="73" customWidth="1"/>
    <col min="3597" max="3597" width="14.140625" style="73" customWidth="1"/>
    <col min="3598" max="3598" width="6.85546875" style="73" customWidth="1"/>
    <col min="3599" max="3599" width="7.5703125" style="73" customWidth="1"/>
    <col min="3600" max="3833" width="9.140625" style="73"/>
    <col min="3834" max="3834" width="17" style="73" customWidth="1"/>
    <col min="3835" max="3835" width="8.140625" style="73" customWidth="1"/>
    <col min="3836" max="3836" width="7.7109375" style="73" customWidth="1"/>
    <col min="3837" max="3837" width="7.140625" style="73" customWidth="1"/>
    <col min="3838" max="3838" width="7.28515625" style="73" customWidth="1"/>
    <col min="3839" max="3840" width="6.42578125" style="73" customWidth="1"/>
    <col min="3841" max="3841" width="6.5703125" style="73" customWidth="1"/>
    <col min="3842" max="3842" width="6.85546875" style="73" customWidth="1"/>
    <col min="3843" max="3843" width="6.7109375" style="73" customWidth="1"/>
    <col min="3844" max="3844" width="7.42578125" style="73" customWidth="1"/>
    <col min="3845" max="3845" width="7" style="73" customWidth="1"/>
    <col min="3846" max="3846" width="6.7109375" style="73" customWidth="1"/>
    <col min="3847" max="3852" width="6.28515625" style="73" customWidth="1"/>
    <col min="3853" max="3853" width="14.140625" style="73" customWidth="1"/>
    <col min="3854" max="3854" width="6.85546875" style="73" customWidth="1"/>
    <col min="3855" max="3855" width="7.5703125" style="73" customWidth="1"/>
    <col min="3856" max="4089" width="9.140625" style="73"/>
    <col min="4090" max="4090" width="17" style="73" customWidth="1"/>
    <col min="4091" max="4091" width="8.140625" style="73" customWidth="1"/>
    <col min="4092" max="4092" width="7.7109375" style="73" customWidth="1"/>
    <col min="4093" max="4093" width="7.140625" style="73" customWidth="1"/>
    <col min="4094" max="4094" width="7.28515625" style="73" customWidth="1"/>
    <col min="4095" max="4096" width="6.42578125" style="73" customWidth="1"/>
    <col min="4097" max="4097" width="6.5703125" style="73" customWidth="1"/>
    <col min="4098" max="4098" width="6.85546875" style="73" customWidth="1"/>
    <col min="4099" max="4099" width="6.7109375" style="73" customWidth="1"/>
    <col min="4100" max="4100" width="7.42578125" style="73" customWidth="1"/>
    <col min="4101" max="4101" width="7" style="73" customWidth="1"/>
    <col min="4102" max="4102" width="6.7109375" style="73" customWidth="1"/>
    <col min="4103" max="4108" width="6.28515625" style="73" customWidth="1"/>
    <col min="4109" max="4109" width="14.140625" style="73" customWidth="1"/>
    <col min="4110" max="4110" width="6.85546875" style="73" customWidth="1"/>
    <col min="4111" max="4111" width="7.5703125" style="73" customWidth="1"/>
    <col min="4112" max="4345" width="9.140625" style="73"/>
    <col min="4346" max="4346" width="17" style="73" customWidth="1"/>
    <col min="4347" max="4347" width="8.140625" style="73" customWidth="1"/>
    <col min="4348" max="4348" width="7.7109375" style="73" customWidth="1"/>
    <col min="4349" max="4349" width="7.140625" style="73" customWidth="1"/>
    <col min="4350" max="4350" width="7.28515625" style="73" customWidth="1"/>
    <col min="4351" max="4352" width="6.42578125" style="73" customWidth="1"/>
    <col min="4353" max="4353" width="6.5703125" style="73" customWidth="1"/>
    <col min="4354" max="4354" width="6.85546875" style="73" customWidth="1"/>
    <col min="4355" max="4355" width="6.7109375" style="73" customWidth="1"/>
    <col min="4356" max="4356" width="7.42578125" style="73" customWidth="1"/>
    <col min="4357" max="4357" width="7" style="73" customWidth="1"/>
    <col min="4358" max="4358" width="6.7109375" style="73" customWidth="1"/>
    <col min="4359" max="4364" width="6.28515625" style="73" customWidth="1"/>
    <col min="4365" max="4365" width="14.140625" style="73" customWidth="1"/>
    <col min="4366" max="4366" width="6.85546875" style="73" customWidth="1"/>
    <col min="4367" max="4367" width="7.5703125" style="73" customWidth="1"/>
    <col min="4368" max="4601" width="9.140625" style="73"/>
    <col min="4602" max="4602" width="17" style="73" customWidth="1"/>
    <col min="4603" max="4603" width="8.140625" style="73" customWidth="1"/>
    <col min="4604" max="4604" width="7.7109375" style="73" customWidth="1"/>
    <col min="4605" max="4605" width="7.140625" style="73" customWidth="1"/>
    <col min="4606" max="4606" width="7.28515625" style="73" customWidth="1"/>
    <col min="4607" max="4608" width="6.42578125" style="73" customWidth="1"/>
    <col min="4609" max="4609" width="6.5703125" style="73" customWidth="1"/>
    <col min="4610" max="4610" width="6.85546875" style="73" customWidth="1"/>
    <col min="4611" max="4611" width="6.7109375" style="73" customWidth="1"/>
    <col min="4612" max="4612" width="7.42578125" style="73" customWidth="1"/>
    <col min="4613" max="4613" width="7" style="73" customWidth="1"/>
    <col min="4614" max="4614" width="6.7109375" style="73" customWidth="1"/>
    <col min="4615" max="4620" width="6.28515625" style="73" customWidth="1"/>
    <col min="4621" max="4621" width="14.140625" style="73" customWidth="1"/>
    <col min="4622" max="4622" width="6.85546875" style="73" customWidth="1"/>
    <col min="4623" max="4623" width="7.5703125" style="73" customWidth="1"/>
    <col min="4624" max="4857" width="9.140625" style="73"/>
    <col min="4858" max="4858" width="17" style="73" customWidth="1"/>
    <col min="4859" max="4859" width="8.140625" style="73" customWidth="1"/>
    <col min="4860" max="4860" width="7.7109375" style="73" customWidth="1"/>
    <col min="4861" max="4861" width="7.140625" style="73" customWidth="1"/>
    <col min="4862" max="4862" width="7.28515625" style="73" customWidth="1"/>
    <col min="4863" max="4864" width="6.42578125" style="73" customWidth="1"/>
    <col min="4865" max="4865" width="6.5703125" style="73" customWidth="1"/>
    <col min="4866" max="4866" width="6.85546875" style="73" customWidth="1"/>
    <col min="4867" max="4867" width="6.7109375" style="73" customWidth="1"/>
    <col min="4868" max="4868" width="7.42578125" style="73" customWidth="1"/>
    <col min="4869" max="4869" width="7" style="73" customWidth="1"/>
    <col min="4870" max="4870" width="6.7109375" style="73" customWidth="1"/>
    <col min="4871" max="4876" width="6.28515625" style="73" customWidth="1"/>
    <col min="4877" max="4877" width="14.140625" style="73" customWidth="1"/>
    <col min="4878" max="4878" width="6.85546875" style="73" customWidth="1"/>
    <col min="4879" max="4879" width="7.5703125" style="73" customWidth="1"/>
    <col min="4880" max="5113" width="9.140625" style="73"/>
    <col min="5114" max="5114" width="17" style="73" customWidth="1"/>
    <col min="5115" max="5115" width="8.140625" style="73" customWidth="1"/>
    <col min="5116" max="5116" width="7.7109375" style="73" customWidth="1"/>
    <col min="5117" max="5117" width="7.140625" style="73" customWidth="1"/>
    <col min="5118" max="5118" width="7.28515625" style="73" customWidth="1"/>
    <col min="5119" max="5120" width="6.42578125" style="73" customWidth="1"/>
    <col min="5121" max="5121" width="6.5703125" style="73" customWidth="1"/>
    <col min="5122" max="5122" width="6.85546875" style="73" customWidth="1"/>
    <col min="5123" max="5123" width="6.7109375" style="73" customWidth="1"/>
    <col min="5124" max="5124" width="7.42578125" style="73" customWidth="1"/>
    <col min="5125" max="5125" width="7" style="73" customWidth="1"/>
    <col min="5126" max="5126" width="6.7109375" style="73" customWidth="1"/>
    <col min="5127" max="5132" width="6.28515625" style="73" customWidth="1"/>
    <col min="5133" max="5133" width="14.140625" style="73" customWidth="1"/>
    <col min="5134" max="5134" width="6.85546875" style="73" customWidth="1"/>
    <col min="5135" max="5135" width="7.5703125" style="73" customWidth="1"/>
    <col min="5136" max="5369" width="9.140625" style="73"/>
    <col min="5370" max="5370" width="17" style="73" customWidth="1"/>
    <col min="5371" max="5371" width="8.140625" style="73" customWidth="1"/>
    <col min="5372" max="5372" width="7.7109375" style="73" customWidth="1"/>
    <col min="5373" max="5373" width="7.140625" style="73" customWidth="1"/>
    <col min="5374" max="5374" width="7.28515625" style="73" customWidth="1"/>
    <col min="5375" max="5376" width="6.42578125" style="73" customWidth="1"/>
    <col min="5377" max="5377" width="6.5703125" style="73" customWidth="1"/>
    <col min="5378" max="5378" width="6.85546875" style="73" customWidth="1"/>
    <col min="5379" max="5379" width="6.7109375" style="73" customWidth="1"/>
    <col min="5380" max="5380" width="7.42578125" style="73" customWidth="1"/>
    <col min="5381" max="5381" width="7" style="73" customWidth="1"/>
    <col min="5382" max="5382" width="6.7109375" style="73" customWidth="1"/>
    <col min="5383" max="5388" width="6.28515625" style="73" customWidth="1"/>
    <col min="5389" max="5389" width="14.140625" style="73" customWidth="1"/>
    <col min="5390" max="5390" width="6.85546875" style="73" customWidth="1"/>
    <col min="5391" max="5391" width="7.5703125" style="73" customWidth="1"/>
    <col min="5392" max="5625" width="9.140625" style="73"/>
    <col min="5626" max="5626" width="17" style="73" customWidth="1"/>
    <col min="5627" max="5627" width="8.140625" style="73" customWidth="1"/>
    <col min="5628" max="5628" width="7.7109375" style="73" customWidth="1"/>
    <col min="5629" max="5629" width="7.140625" style="73" customWidth="1"/>
    <col min="5630" max="5630" width="7.28515625" style="73" customWidth="1"/>
    <col min="5631" max="5632" width="6.42578125" style="73" customWidth="1"/>
    <col min="5633" max="5633" width="6.5703125" style="73" customWidth="1"/>
    <col min="5634" max="5634" width="6.85546875" style="73" customWidth="1"/>
    <col min="5635" max="5635" width="6.7109375" style="73" customWidth="1"/>
    <col min="5636" max="5636" width="7.42578125" style="73" customWidth="1"/>
    <col min="5637" max="5637" width="7" style="73" customWidth="1"/>
    <col min="5638" max="5638" width="6.7109375" style="73" customWidth="1"/>
    <col min="5639" max="5644" width="6.28515625" style="73" customWidth="1"/>
    <col min="5645" max="5645" width="14.140625" style="73" customWidth="1"/>
    <col min="5646" max="5646" width="6.85546875" style="73" customWidth="1"/>
    <col min="5647" max="5647" width="7.5703125" style="73" customWidth="1"/>
    <col min="5648" max="5881" width="9.140625" style="73"/>
    <col min="5882" max="5882" width="17" style="73" customWidth="1"/>
    <col min="5883" max="5883" width="8.140625" style="73" customWidth="1"/>
    <col min="5884" max="5884" width="7.7109375" style="73" customWidth="1"/>
    <col min="5885" max="5885" width="7.140625" style="73" customWidth="1"/>
    <col min="5886" max="5886" width="7.28515625" style="73" customWidth="1"/>
    <col min="5887" max="5888" width="6.42578125" style="73" customWidth="1"/>
    <col min="5889" max="5889" width="6.5703125" style="73" customWidth="1"/>
    <col min="5890" max="5890" width="6.85546875" style="73" customWidth="1"/>
    <col min="5891" max="5891" width="6.7109375" style="73" customWidth="1"/>
    <col min="5892" max="5892" width="7.42578125" style="73" customWidth="1"/>
    <col min="5893" max="5893" width="7" style="73" customWidth="1"/>
    <col min="5894" max="5894" width="6.7109375" style="73" customWidth="1"/>
    <col min="5895" max="5900" width="6.28515625" style="73" customWidth="1"/>
    <col min="5901" max="5901" width="14.140625" style="73" customWidth="1"/>
    <col min="5902" max="5902" width="6.85546875" style="73" customWidth="1"/>
    <col min="5903" max="5903" width="7.5703125" style="73" customWidth="1"/>
    <col min="5904" max="6137" width="9.140625" style="73"/>
    <col min="6138" max="6138" width="17" style="73" customWidth="1"/>
    <col min="6139" max="6139" width="8.140625" style="73" customWidth="1"/>
    <col min="6140" max="6140" width="7.7109375" style="73" customWidth="1"/>
    <col min="6141" max="6141" width="7.140625" style="73" customWidth="1"/>
    <col min="6142" max="6142" width="7.28515625" style="73" customWidth="1"/>
    <col min="6143" max="6144" width="6.42578125" style="73" customWidth="1"/>
    <col min="6145" max="6145" width="6.5703125" style="73" customWidth="1"/>
    <col min="6146" max="6146" width="6.85546875" style="73" customWidth="1"/>
    <col min="6147" max="6147" width="6.7109375" style="73" customWidth="1"/>
    <col min="6148" max="6148" width="7.42578125" style="73" customWidth="1"/>
    <col min="6149" max="6149" width="7" style="73" customWidth="1"/>
    <col min="6150" max="6150" width="6.7109375" style="73" customWidth="1"/>
    <col min="6151" max="6156" width="6.28515625" style="73" customWidth="1"/>
    <col min="6157" max="6157" width="14.140625" style="73" customWidth="1"/>
    <col min="6158" max="6158" width="6.85546875" style="73" customWidth="1"/>
    <col min="6159" max="6159" width="7.5703125" style="73" customWidth="1"/>
    <col min="6160" max="6393" width="9.140625" style="73"/>
    <col min="6394" max="6394" width="17" style="73" customWidth="1"/>
    <col min="6395" max="6395" width="8.140625" style="73" customWidth="1"/>
    <col min="6396" max="6396" width="7.7109375" style="73" customWidth="1"/>
    <col min="6397" max="6397" width="7.140625" style="73" customWidth="1"/>
    <col min="6398" max="6398" width="7.28515625" style="73" customWidth="1"/>
    <col min="6399" max="6400" width="6.42578125" style="73" customWidth="1"/>
    <col min="6401" max="6401" width="6.5703125" style="73" customWidth="1"/>
    <col min="6402" max="6402" width="6.85546875" style="73" customWidth="1"/>
    <col min="6403" max="6403" width="6.7109375" style="73" customWidth="1"/>
    <col min="6404" max="6404" width="7.42578125" style="73" customWidth="1"/>
    <col min="6405" max="6405" width="7" style="73" customWidth="1"/>
    <col min="6406" max="6406" width="6.7109375" style="73" customWidth="1"/>
    <col min="6407" max="6412" width="6.28515625" style="73" customWidth="1"/>
    <col min="6413" max="6413" width="14.140625" style="73" customWidth="1"/>
    <col min="6414" max="6414" width="6.85546875" style="73" customWidth="1"/>
    <col min="6415" max="6415" width="7.5703125" style="73" customWidth="1"/>
    <col min="6416" max="6649" width="9.140625" style="73"/>
    <col min="6650" max="6650" width="17" style="73" customWidth="1"/>
    <col min="6651" max="6651" width="8.140625" style="73" customWidth="1"/>
    <col min="6652" max="6652" width="7.7109375" style="73" customWidth="1"/>
    <col min="6653" max="6653" width="7.140625" style="73" customWidth="1"/>
    <col min="6654" max="6654" width="7.28515625" style="73" customWidth="1"/>
    <col min="6655" max="6656" width="6.42578125" style="73" customWidth="1"/>
    <col min="6657" max="6657" width="6.5703125" style="73" customWidth="1"/>
    <col min="6658" max="6658" width="6.85546875" style="73" customWidth="1"/>
    <col min="6659" max="6659" width="6.7109375" style="73" customWidth="1"/>
    <col min="6660" max="6660" width="7.42578125" style="73" customWidth="1"/>
    <col min="6661" max="6661" width="7" style="73" customWidth="1"/>
    <col min="6662" max="6662" width="6.7109375" style="73" customWidth="1"/>
    <col min="6663" max="6668" width="6.28515625" style="73" customWidth="1"/>
    <col min="6669" max="6669" width="14.140625" style="73" customWidth="1"/>
    <col min="6670" max="6670" width="6.85546875" style="73" customWidth="1"/>
    <col min="6671" max="6671" width="7.5703125" style="73" customWidth="1"/>
    <col min="6672" max="6905" width="9.140625" style="73"/>
    <col min="6906" max="6906" width="17" style="73" customWidth="1"/>
    <col min="6907" max="6907" width="8.140625" style="73" customWidth="1"/>
    <col min="6908" max="6908" width="7.7109375" style="73" customWidth="1"/>
    <col min="6909" max="6909" width="7.140625" style="73" customWidth="1"/>
    <col min="6910" max="6910" width="7.28515625" style="73" customWidth="1"/>
    <col min="6911" max="6912" width="6.42578125" style="73" customWidth="1"/>
    <col min="6913" max="6913" width="6.5703125" style="73" customWidth="1"/>
    <col min="6914" max="6914" width="6.85546875" style="73" customWidth="1"/>
    <col min="6915" max="6915" width="6.7109375" style="73" customWidth="1"/>
    <col min="6916" max="6916" width="7.42578125" style="73" customWidth="1"/>
    <col min="6917" max="6917" width="7" style="73" customWidth="1"/>
    <col min="6918" max="6918" width="6.7109375" style="73" customWidth="1"/>
    <col min="6919" max="6924" width="6.28515625" style="73" customWidth="1"/>
    <col min="6925" max="6925" width="14.140625" style="73" customWidth="1"/>
    <col min="6926" max="6926" width="6.85546875" style="73" customWidth="1"/>
    <col min="6927" max="6927" width="7.5703125" style="73" customWidth="1"/>
    <col min="6928" max="7161" width="9.140625" style="73"/>
    <col min="7162" max="7162" width="17" style="73" customWidth="1"/>
    <col min="7163" max="7163" width="8.140625" style="73" customWidth="1"/>
    <col min="7164" max="7164" width="7.7109375" style="73" customWidth="1"/>
    <col min="7165" max="7165" width="7.140625" style="73" customWidth="1"/>
    <col min="7166" max="7166" width="7.28515625" style="73" customWidth="1"/>
    <col min="7167" max="7168" width="6.42578125" style="73" customWidth="1"/>
    <col min="7169" max="7169" width="6.5703125" style="73" customWidth="1"/>
    <col min="7170" max="7170" width="6.85546875" style="73" customWidth="1"/>
    <col min="7171" max="7171" width="6.7109375" style="73" customWidth="1"/>
    <col min="7172" max="7172" width="7.42578125" style="73" customWidth="1"/>
    <col min="7173" max="7173" width="7" style="73" customWidth="1"/>
    <col min="7174" max="7174" width="6.7109375" style="73" customWidth="1"/>
    <col min="7175" max="7180" width="6.28515625" style="73" customWidth="1"/>
    <col min="7181" max="7181" width="14.140625" style="73" customWidth="1"/>
    <col min="7182" max="7182" width="6.85546875" style="73" customWidth="1"/>
    <col min="7183" max="7183" width="7.5703125" style="73" customWidth="1"/>
    <col min="7184" max="7417" width="9.140625" style="73"/>
    <col min="7418" max="7418" width="17" style="73" customWidth="1"/>
    <col min="7419" max="7419" width="8.140625" style="73" customWidth="1"/>
    <col min="7420" max="7420" width="7.7109375" style="73" customWidth="1"/>
    <col min="7421" max="7421" width="7.140625" style="73" customWidth="1"/>
    <col min="7422" max="7422" width="7.28515625" style="73" customWidth="1"/>
    <col min="7423" max="7424" width="6.42578125" style="73" customWidth="1"/>
    <col min="7425" max="7425" width="6.5703125" style="73" customWidth="1"/>
    <col min="7426" max="7426" width="6.85546875" style="73" customWidth="1"/>
    <col min="7427" max="7427" width="6.7109375" style="73" customWidth="1"/>
    <col min="7428" max="7428" width="7.42578125" style="73" customWidth="1"/>
    <col min="7429" max="7429" width="7" style="73" customWidth="1"/>
    <col min="7430" max="7430" width="6.7109375" style="73" customWidth="1"/>
    <col min="7431" max="7436" width="6.28515625" style="73" customWidth="1"/>
    <col min="7437" max="7437" width="14.140625" style="73" customWidth="1"/>
    <col min="7438" max="7438" width="6.85546875" style="73" customWidth="1"/>
    <col min="7439" max="7439" width="7.5703125" style="73" customWidth="1"/>
    <col min="7440" max="7673" width="9.140625" style="73"/>
    <col min="7674" max="7674" width="17" style="73" customWidth="1"/>
    <col min="7675" max="7675" width="8.140625" style="73" customWidth="1"/>
    <col min="7676" max="7676" width="7.7109375" style="73" customWidth="1"/>
    <col min="7677" max="7677" width="7.140625" style="73" customWidth="1"/>
    <col min="7678" max="7678" width="7.28515625" style="73" customWidth="1"/>
    <col min="7679" max="7680" width="6.42578125" style="73" customWidth="1"/>
    <col min="7681" max="7681" width="6.5703125" style="73" customWidth="1"/>
    <col min="7682" max="7682" width="6.85546875" style="73" customWidth="1"/>
    <col min="7683" max="7683" width="6.7109375" style="73" customWidth="1"/>
    <col min="7684" max="7684" width="7.42578125" style="73" customWidth="1"/>
    <col min="7685" max="7685" width="7" style="73" customWidth="1"/>
    <col min="7686" max="7686" width="6.7109375" style="73" customWidth="1"/>
    <col min="7687" max="7692" width="6.28515625" style="73" customWidth="1"/>
    <col min="7693" max="7693" width="14.140625" style="73" customWidth="1"/>
    <col min="7694" max="7694" width="6.85546875" style="73" customWidth="1"/>
    <col min="7695" max="7695" width="7.5703125" style="73" customWidth="1"/>
    <col min="7696" max="7929" width="9.140625" style="73"/>
    <col min="7930" max="7930" width="17" style="73" customWidth="1"/>
    <col min="7931" max="7931" width="8.140625" style="73" customWidth="1"/>
    <col min="7932" max="7932" width="7.7109375" style="73" customWidth="1"/>
    <col min="7933" max="7933" width="7.140625" style="73" customWidth="1"/>
    <col min="7934" max="7934" width="7.28515625" style="73" customWidth="1"/>
    <col min="7935" max="7936" width="6.42578125" style="73" customWidth="1"/>
    <col min="7937" max="7937" width="6.5703125" style="73" customWidth="1"/>
    <col min="7938" max="7938" width="6.85546875" style="73" customWidth="1"/>
    <col min="7939" max="7939" width="6.7109375" style="73" customWidth="1"/>
    <col min="7940" max="7940" width="7.42578125" style="73" customWidth="1"/>
    <col min="7941" max="7941" width="7" style="73" customWidth="1"/>
    <col min="7942" max="7942" width="6.7109375" style="73" customWidth="1"/>
    <col min="7943" max="7948" width="6.28515625" style="73" customWidth="1"/>
    <col min="7949" max="7949" width="14.140625" style="73" customWidth="1"/>
    <col min="7950" max="7950" width="6.85546875" style="73" customWidth="1"/>
    <col min="7951" max="7951" width="7.5703125" style="73" customWidth="1"/>
    <col min="7952" max="8185" width="9.140625" style="73"/>
    <col min="8186" max="8186" width="17" style="73" customWidth="1"/>
    <col min="8187" max="8187" width="8.140625" style="73" customWidth="1"/>
    <col min="8188" max="8188" width="7.7109375" style="73" customWidth="1"/>
    <col min="8189" max="8189" width="7.140625" style="73" customWidth="1"/>
    <col min="8190" max="8190" width="7.28515625" style="73" customWidth="1"/>
    <col min="8191" max="8192" width="6.42578125" style="73" customWidth="1"/>
    <col min="8193" max="8193" width="6.5703125" style="73" customWidth="1"/>
    <col min="8194" max="8194" width="6.85546875" style="73" customWidth="1"/>
    <col min="8195" max="8195" width="6.7109375" style="73" customWidth="1"/>
    <col min="8196" max="8196" width="7.42578125" style="73" customWidth="1"/>
    <col min="8197" max="8197" width="7" style="73" customWidth="1"/>
    <col min="8198" max="8198" width="6.7109375" style="73" customWidth="1"/>
    <col min="8199" max="8204" width="6.28515625" style="73" customWidth="1"/>
    <col min="8205" max="8205" width="14.140625" style="73" customWidth="1"/>
    <col min="8206" max="8206" width="6.85546875" style="73" customWidth="1"/>
    <col min="8207" max="8207" width="7.5703125" style="73" customWidth="1"/>
    <col min="8208" max="8441" width="9.140625" style="73"/>
    <col min="8442" max="8442" width="17" style="73" customWidth="1"/>
    <col min="8443" max="8443" width="8.140625" style="73" customWidth="1"/>
    <col min="8444" max="8444" width="7.7109375" style="73" customWidth="1"/>
    <col min="8445" max="8445" width="7.140625" style="73" customWidth="1"/>
    <col min="8446" max="8446" width="7.28515625" style="73" customWidth="1"/>
    <col min="8447" max="8448" width="6.42578125" style="73" customWidth="1"/>
    <col min="8449" max="8449" width="6.5703125" style="73" customWidth="1"/>
    <col min="8450" max="8450" width="6.85546875" style="73" customWidth="1"/>
    <col min="8451" max="8451" width="6.7109375" style="73" customWidth="1"/>
    <col min="8452" max="8452" width="7.42578125" style="73" customWidth="1"/>
    <col min="8453" max="8453" width="7" style="73" customWidth="1"/>
    <col min="8454" max="8454" width="6.7109375" style="73" customWidth="1"/>
    <col min="8455" max="8460" width="6.28515625" style="73" customWidth="1"/>
    <col min="8461" max="8461" width="14.140625" style="73" customWidth="1"/>
    <col min="8462" max="8462" width="6.85546875" style="73" customWidth="1"/>
    <col min="8463" max="8463" width="7.5703125" style="73" customWidth="1"/>
    <col min="8464" max="8697" width="9.140625" style="73"/>
    <col min="8698" max="8698" width="17" style="73" customWidth="1"/>
    <col min="8699" max="8699" width="8.140625" style="73" customWidth="1"/>
    <col min="8700" max="8700" width="7.7109375" style="73" customWidth="1"/>
    <col min="8701" max="8701" width="7.140625" style="73" customWidth="1"/>
    <col min="8702" max="8702" width="7.28515625" style="73" customWidth="1"/>
    <col min="8703" max="8704" width="6.42578125" style="73" customWidth="1"/>
    <col min="8705" max="8705" width="6.5703125" style="73" customWidth="1"/>
    <col min="8706" max="8706" width="6.85546875" style="73" customWidth="1"/>
    <col min="8707" max="8707" width="6.7109375" style="73" customWidth="1"/>
    <col min="8708" max="8708" width="7.42578125" style="73" customWidth="1"/>
    <col min="8709" max="8709" width="7" style="73" customWidth="1"/>
    <col min="8710" max="8710" width="6.7109375" style="73" customWidth="1"/>
    <col min="8711" max="8716" width="6.28515625" style="73" customWidth="1"/>
    <col min="8717" max="8717" width="14.140625" style="73" customWidth="1"/>
    <col min="8718" max="8718" width="6.85546875" style="73" customWidth="1"/>
    <col min="8719" max="8719" width="7.5703125" style="73" customWidth="1"/>
    <col min="8720" max="8953" width="9.140625" style="73"/>
    <col min="8954" max="8954" width="17" style="73" customWidth="1"/>
    <col min="8955" max="8955" width="8.140625" style="73" customWidth="1"/>
    <col min="8956" max="8956" width="7.7109375" style="73" customWidth="1"/>
    <col min="8957" max="8957" width="7.140625" style="73" customWidth="1"/>
    <col min="8958" max="8958" width="7.28515625" style="73" customWidth="1"/>
    <col min="8959" max="8960" width="6.42578125" style="73" customWidth="1"/>
    <col min="8961" max="8961" width="6.5703125" style="73" customWidth="1"/>
    <col min="8962" max="8962" width="6.85546875" style="73" customWidth="1"/>
    <col min="8963" max="8963" width="6.7109375" style="73" customWidth="1"/>
    <col min="8964" max="8964" width="7.42578125" style="73" customWidth="1"/>
    <col min="8965" max="8965" width="7" style="73" customWidth="1"/>
    <col min="8966" max="8966" width="6.7109375" style="73" customWidth="1"/>
    <col min="8967" max="8972" width="6.28515625" style="73" customWidth="1"/>
    <col min="8973" max="8973" width="14.140625" style="73" customWidth="1"/>
    <col min="8974" max="8974" width="6.85546875" style="73" customWidth="1"/>
    <col min="8975" max="8975" width="7.5703125" style="73" customWidth="1"/>
    <col min="8976" max="9209" width="9.140625" style="73"/>
    <col min="9210" max="9210" width="17" style="73" customWidth="1"/>
    <col min="9211" max="9211" width="8.140625" style="73" customWidth="1"/>
    <col min="9212" max="9212" width="7.7109375" style="73" customWidth="1"/>
    <col min="9213" max="9213" width="7.140625" style="73" customWidth="1"/>
    <col min="9214" max="9214" width="7.28515625" style="73" customWidth="1"/>
    <col min="9215" max="9216" width="6.42578125" style="73" customWidth="1"/>
    <col min="9217" max="9217" width="6.5703125" style="73" customWidth="1"/>
    <col min="9218" max="9218" width="6.85546875" style="73" customWidth="1"/>
    <col min="9219" max="9219" width="6.7109375" style="73" customWidth="1"/>
    <col min="9220" max="9220" width="7.42578125" style="73" customWidth="1"/>
    <col min="9221" max="9221" width="7" style="73" customWidth="1"/>
    <col min="9222" max="9222" width="6.7109375" style="73" customWidth="1"/>
    <col min="9223" max="9228" width="6.28515625" style="73" customWidth="1"/>
    <col min="9229" max="9229" width="14.140625" style="73" customWidth="1"/>
    <col min="9230" max="9230" width="6.85546875" style="73" customWidth="1"/>
    <col min="9231" max="9231" width="7.5703125" style="73" customWidth="1"/>
    <col min="9232" max="9465" width="9.140625" style="73"/>
    <col min="9466" max="9466" width="17" style="73" customWidth="1"/>
    <col min="9467" max="9467" width="8.140625" style="73" customWidth="1"/>
    <col min="9468" max="9468" width="7.7109375" style="73" customWidth="1"/>
    <col min="9469" max="9469" width="7.140625" style="73" customWidth="1"/>
    <col min="9470" max="9470" width="7.28515625" style="73" customWidth="1"/>
    <col min="9471" max="9472" width="6.42578125" style="73" customWidth="1"/>
    <col min="9473" max="9473" width="6.5703125" style="73" customWidth="1"/>
    <col min="9474" max="9474" width="6.85546875" style="73" customWidth="1"/>
    <col min="9475" max="9475" width="6.7109375" style="73" customWidth="1"/>
    <col min="9476" max="9476" width="7.42578125" style="73" customWidth="1"/>
    <col min="9477" max="9477" width="7" style="73" customWidth="1"/>
    <col min="9478" max="9478" width="6.7109375" style="73" customWidth="1"/>
    <col min="9479" max="9484" width="6.28515625" style="73" customWidth="1"/>
    <col min="9485" max="9485" width="14.140625" style="73" customWidth="1"/>
    <col min="9486" max="9486" width="6.85546875" style="73" customWidth="1"/>
    <col min="9487" max="9487" width="7.5703125" style="73" customWidth="1"/>
    <col min="9488" max="9721" width="9.140625" style="73"/>
    <col min="9722" max="9722" width="17" style="73" customWidth="1"/>
    <col min="9723" max="9723" width="8.140625" style="73" customWidth="1"/>
    <col min="9724" max="9724" width="7.7109375" style="73" customWidth="1"/>
    <col min="9725" max="9725" width="7.140625" style="73" customWidth="1"/>
    <col min="9726" max="9726" width="7.28515625" style="73" customWidth="1"/>
    <col min="9727" max="9728" width="6.42578125" style="73" customWidth="1"/>
    <col min="9729" max="9729" width="6.5703125" style="73" customWidth="1"/>
    <col min="9730" max="9730" width="6.85546875" style="73" customWidth="1"/>
    <col min="9731" max="9731" width="6.7109375" style="73" customWidth="1"/>
    <col min="9732" max="9732" width="7.42578125" style="73" customWidth="1"/>
    <col min="9733" max="9733" width="7" style="73" customWidth="1"/>
    <col min="9734" max="9734" width="6.7109375" style="73" customWidth="1"/>
    <col min="9735" max="9740" width="6.28515625" style="73" customWidth="1"/>
    <col min="9741" max="9741" width="14.140625" style="73" customWidth="1"/>
    <col min="9742" max="9742" width="6.85546875" style="73" customWidth="1"/>
    <col min="9743" max="9743" width="7.5703125" style="73" customWidth="1"/>
    <col min="9744" max="9977" width="9.140625" style="73"/>
    <col min="9978" max="9978" width="17" style="73" customWidth="1"/>
    <col min="9979" max="9979" width="8.140625" style="73" customWidth="1"/>
    <col min="9980" max="9980" width="7.7109375" style="73" customWidth="1"/>
    <col min="9981" max="9981" width="7.140625" style="73" customWidth="1"/>
    <col min="9982" max="9982" width="7.28515625" style="73" customWidth="1"/>
    <col min="9983" max="9984" width="6.42578125" style="73" customWidth="1"/>
    <col min="9985" max="9985" width="6.5703125" style="73" customWidth="1"/>
    <col min="9986" max="9986" width="6.85546875" style="73" customWidth="1"/>
    <col min="9987" max="9987" width="6.7109375" style="73" customWidth="1"/>
    <col min="9988" max="9988" width="7.42578125" style="73" customWidth="1"/>
    <col min="9989" max="9989" width="7" style="73" customWidth="1"/>
    <col min="9990" max="9990" width="6.7109375" style="73" customWidth="1"/>
    <col min="9991" max="9996" width="6.28515625" style="73" customWidth="1"/>
    <col min="9997" max="9997" width="14.140625" style="73" customWidth="1"/>
    <col min="9998" max="9998" width="6.85546875" style="73" customWidth="1"/>
    <col min="9999" max="9999" width="7.5703125" style="73" customWidth="1"/>
    <col min="10000" max="10233" width="9.140625" style="73"/>
    <col min="10234" max="10234" width="17" style="73" customWidth="1"/>
    <col min="10235" max="10235" width="8.140625" style="73" customWidth="1"/>
    <col min="10236" max="10236" width="7.7109375" style="73" customWidth="1"/>
    <col min="10237" max="10237" width="7.140625" style="73" customWidth="1"/>
    <col min="10238" max="10238" width="7.28515625" style="73" customWidth="1"/>
    <col min="10239" max="10240" width="6.42578125" style="73" customWidth="1"/>
    <col min="10241" max="10241" width="6.5703125" style="73" customWidth="1"/>
    <col min="10242" max="10242" width="6.85546875" style="73" customWidth="1"/>
    <col min="10243" max="10243" width="6.7109375" style="73" customWidth="1"/>
    <col min="10244" max="10244" width="7.42578125" style="73" customWidth="1"/>
    <col min="10245" max="10245" width="7" style="73" customWidth="1"/>
    <col min="10246" max="10246" width="6.7109375" style="73" customWidth="1"/>
    <col min="10247" max="10252" width="6.28515625" style="73" customWidth="1"/>
    <col min="10253" max="10253" width="14.140625" style="73" customWidth="1"/>
    <col min="10254" max="10254" width="6.85546875" style="73" customWidth="1"/>
    <col min="10255" max="10255" width="7.5703125" style="73" customWidth="1"/>
    <col min="10256" max="10489" width="9.140625" style="73"/>
    <col min="10490" max="10490" width="17" style="73" customWidth="1"/>
    <col min="10491" max="10491" width="8.140625" style="73" customWidth="1"/>
    <col min="10492" max="10492" width="7.7109375" style="73" customWidth="1"/>
    <col min="10493" max="10493" width="7.140625" style="73" customWidth="1"/>
    <col min="10494" max="10494" width="7.28515625" style="73" customWidth="1"/>
    <col min="10495" max="10496" width="6.42578125" style="73" customWidth="1"/>
    <col min="10497" max="10497" width="6.5703125" style="73" customWidth="1"/>
    <col min="10498" max="10498" width="6.85546875" style="73" customWidth="1"/>
    <col min="10499" max="10499" width="6.7109375" style="73" customWidth="1"/>
    <col min="10500" max="10500" width="7.42578125" style="73" customWidth="1"/>
    <col min="10501" max="10501" width="7" style="73" customWidth="1"/>
    <col min="10502" max="10502" width="6.7109375" style="73" customWidth="1"/>
    <col min="10503" max="10508" width="6.28515625" style="73" customWidth="1"/>
    <col min="10509" max="10509" width="14.140625" style="73" customWidth="1"/>
    <col min="10510" max="10510" width="6.85546875" style="73" customWidth="1"/>
    <col min="10511" max="10511" width="7.5703125" style="73" customWidth="1"/>
    <col min="10512" max="10745" width="9.140625" style="73"/>
    <col min="10746" max="10746" width="17" style="73" customWidth="1"/>
    <col min="10747" max="10747" width="8.140625" style="73" customWidth="1"/>
    <col min="10748" max="10748" width="7.7109375" style="73" customWidth="1"/>
    <col min="10749" max="10749" width="7.140625" style="73" customWidth="1"/>
    <col min="10750" max="10750" width="7.28515625" style="73" customWidth="1"/>
    <col min="10751" max="10752" width="6.42578125" style="73" customWidth="1"/>
    <col min="10753" max="10753" width="6.5703125" style="73" customWidth="1"/>
    <col min="10754" max="10754" width="6.85546875" style="73" customWidth="1"/>
    <col min="10755" max="10755" width="6.7109375" style="73" customWidth="1"/>
    <col min="10756" max="10756" width="7.42578125" style="73" customWidth="1"/>
    <col min="10757" max="10757" width="7" style="73" customWidth="1"/>
    <col min="10758" max="10758" width="6.7109375" style="73" customWidth="1"/>
    <col min="10759" max="10764" width="6.28515625" style="73" customWidth="1"/>
    <col min="10765" max="10765" width="14.140625" style="73" customWidth="1"/>
    <col min="10766" max="10766" width="6.85546875" style="73" customWidth="1"/>
    <col min="10767" max="10767" width="7.5703125" style="73" customWidth="1"/>
    <col min="10768" max="11001" width="9.140625" style="73"/>
    <col min="11002" max="11002" width="17" style="73" customWidth="1"/>
    <col min="11003" max="11003" width="8.140625" style="73" customWidth="1"/>
    <col min="11004" max="11004" width="7.7109375" style="73" customWidth="1"/>
    <col min="11005" max="11005" width="7.140625" style="73" customWidth="1"/>
    <col min="11006" max="11006" width="7.28515625" style="73" customWidth="1"/>
    <col min="11007" max="11008" width="6.42578125" style="73" customWidth="1"/>
    <col min="11009" max="11009" width="6.5703125" style="73" customWidth="1"/>
    <col min="11010" max="11010" width="6.85546875" style="73" customWidth="1"/>
    <col min="11011" max="11011" width="6.7109375" style="73" customWidth="1"/>
    <col min="11012" max="11012" width="7.42578125" style="73" customWidth="1"/>
    <col min="11013" max="11013" width="7" style="73" customWidth="1"/>
    <col min="11014" max="11014" width="6.7109375" style="73" customWidth="1"/>
    <col min="11015" max="11020" width="6.28515625" style="73" customWidth="1"/>
    <col min="11021" max="11021" width="14.140625" style="73" customWidth="1"/>
    <col min="11022" max="11022" width="6.85546875" style="73" customWidth="1"/>
    <col min="11023" max="11023" width="7.5703125" style="73" customWidth="1"/>
    <col min="11024" max="11257" width="9.140625" style="73"/>
    <col min="11258" max="11258" width="17" style="73" customWidth="1"/>
    <col min="11259" max="11259" width="8.140625" style="73" customWidth="1"/>
    <col min="11260" max="11260" width="7.7109375" style="73" customWidth="1"/>
    <col min="11261" max="11261" width="7.140625" style="73" customWidth="1"/>
    <col min="11262" max="11262" width="7.28515625" style="73" customWidth="1"/>
    <col min="11263" max="11264" width="6.42578125" style="73" customWidth="1"/>
    <col min="11265" max="11265" width="6.5703125" style="73" customWidth="1"/>
    <col min="11266" max="11266" width="6.85546875" style="73" customWidth="1"/>
    <col min="11267" max="11267" width="6.7109375" style="73" customWidth="1"/>
    <col min="11268" max="11268" width="7.42578125" style="73" customWidth="1"/>
    <col min="11269" max="11269" width="7" style="73" customWidth="1"/>
    <col min="11270" max="11270" width="6.7109375" style="73" customWidth="1"/>
    <col min="11271" max="11276" width="6.28515625" style="73" customWidth="1"/>
    <col min="11277" max="11277" width="14.140625" style="73" customWidth="1"/>
    <col min="11278" max="11278" width="6.85546875" style="73" customWidth="1"/>
    <col min="11279" max="11279" width="7.5703125" style="73" customWidth="1"/>
    <col min="11280" max="11513" width="9.140625" style="73"/>
    <col min="11514" max="11514" width="17" style="73" customWidth="1"/>
    <col min="11515" max="11515" width="8.140625" style="73" customWidth="1"/>
    <col min="11516" max="11516" width="7.7109375" style="73" customWidth="1"/>
    <col min="11517" max="11517" width="7.140625" style="73" customWidth="1"/>
    <col min="11518" max="11518" width="7.28515625" style="73" customWidth="1"/>
    <col min="11519" max="11520" width="6.42578125" style="73" customWidth="1"/>
    <col min="11521" max="11521" width="6.5703125" style="73" customWidth="1"/>
    <col min="11522" max="11522" width="6.85546875" style="73" customWidth="1"/>
    <col min="11523" max="11523" width="6.7109375" style="73" customWidth="1"/>
    <col min="11524" max="11524" width="7.42578125" style="73" customWidth="1"/>
    <col min="11525" max="11525" width="7" style="73" customWidth="1"/>
    <col min="11526" max="11526" width="6.7109375" style="73" customWidth="1"/>
    <col min="11527" max="11532" width="6.28515625" style="73" customWidth="1"/>
    <col min="11533" max="11533" width="14.140625" style="73" customWidth="1"/>
    <col min="11534" max="11534" width="6.85546875" style="73" customWidth="1"/>
    <col min="11535" max="11535" width="7.5703125" style="73" customWidth="1"/>
    <col min="11536" max="11769" width="9.140625" style="73"/>
    <col min="11770" max="11770" width="17" style="73" customWidth="1"/>
    <col min="11771" max="11771" width="8.140625" style="73" customWidth="1"/>
    <col min="11772" max="11772" width="7.7109375" style="73" customWidth="1"/>
    <col min="11773" max="11773" width="7.140625" style="73" customWidth="1"/>
    <col min="11774" max="11774" width="7.28515625" style="73" customWidth="1"/>
    <col min="11775" max="11776" width="6.42578125" style="73" customWidth="1"/>
    <col min="11777" max="11777" width="6.5703125" style="73" customWidth="1"/>
    <col min="11778" max="11778" width="6.85546875" style="73" customWidth="1"/>
    <col min="11779" max="11779" width="6.7109375" style="73" customWidth="1"/>
    <col min="11780" max="11780" width="7.42578125" style="73" customWidth="1"/>
    <col min="11781" max="11781" width="7" style="73" customWidth="1"/>
    <col min="11782" max="11782" width="6.7109375" style="73" customWidth="1"/>
    <col min="11783" max="11788" width="6.28515625" style="73" customWidth="1"/>
    <col min="11789" max="11789" width="14.140625" style="73" customWidth="1"/>
    <col min="11790" max="11790" width="6.85546875" style="73" customWidth="1"/>
    <col min="11791" max="11791" width="7.5703125" style="73" customWidth="1"/>
    <col min="11792" max="12025" width="9.140625" style="73"/>
    <col min="12026" max="12026" width="17" style="73" customWidth="1"/>
    <col min="12027" max="12027" width="8.140625" style="73" customWidth="1"/>
    <col min="12028" max="12028" width="7.7109375" style="73" customWidth="1"/>
    <col min="12029" max="12029" width="7.140625" style="73" customWidth="1"/>
    <col min="12030" max="12030" width="7.28515625" style="73" customWidth="1"/>
    <col min="12031" max="12032" width="6.42578125" style="73" customWidth="1"/>
    <col min="12033" max="12033" width="6.5703125" style="73" customWidth="1"/>
    <col min="12034" max="12034" width="6.85546875" style="73" customWidth="1"/>
    <col min="12035" max="12035" width="6.7109375" style="73" customWidth="1"/>
    <col min="12036" max="12036" width="7.42578125" style="73" customWidth="1"/>
    <col min="12037" max="12037" width="7" style="73" customWidth="1"/>
    <col min="12038" max="12038" width="6.7109375" style="73" customWidth="1"/>
    <col min="12039" max="12044" width="6.28515625" style="73" customWidth="1"/>
    <col min="12045" max="12045" width="14.140625" style="73" customWidth="1"/>
    <col min="12046" max="12046" width="6.85546875" style="73" customWidth="1"/>
    <col min="12047" max="12047" width="7.5703125" style="73" customWidth="1"/>
    <col min="12048" max="12281" width="9.140625" style="73"/>
    <col min="12282" max="12282" width="17" style="73" customWidth="1"/>
    <col min="12283" max="12283" width="8.140625" style="73" customWidth="1"/>
    <col min="12284" max="12284" width="7.7109375" style="73" customWidth="1"/>
    <col min="12285" max="12285" width="7.140625" style="73" customWidth="1"/>
    <col min="12286" max="12286" width="7.28515625" style="73" customWidth="1"/>
    <col min="12287" max="12288" width="6.42578125" style="73" customWidth="1"/>
    <col min="12289" max="12289" width="6.5703125" style="73" customWidth="1"/>
    <col min="12290" max="12290" width="6.85546875" style="73" customWidth="1"/>
    <col min="12291" max="12291" width="6.7109375" style="73" customWidth="1"/>
    <col min="12292" max="12292" width="7.42578125" style="73" customWidth="1"/>
    <col min="12293" max="12293" width="7" style="73" customWidth="1"/>
    <col min="12294" max="12294" width="6.7109375" style="73" customWidth="1"/>
    <col min="12295" max="12300" width="6.28515625" style="73" customWidth="1"/>
    <col min="12301" max="12301" width="14.140625" style="73" customWidth="1"/>
    <col min="12302" max="12302" width="6.85546875" style="73" customWidth="1"/>
    <col min="12303" max="12303" width="7.5703125" style="73" customWidth="1"/>
    <col min="12304" max="12537" width="9.140625" style="73"/>
    <col min="12538" max="12538" width="17" style="73" customWidth="1"/>
    <col min="12539" max="12539" width="8.140625" style="73" customWidth="1"/>
    <col min="12540" max="12540" width="7.7109375" style="73" customWidth="1"/>
    <col min="12541" max="12541" width="7.140625" style="73" customWidth="1"/>
    <col min="12542" max="12542" width="7.28515625" style="73" customWidth="1"/>
    <col min="12543" max="12544" width="6.42578125" style="73" customWidth="1"/>
    <col min="12545" max="12545" width="6.5703125" style="73" customWidth="1"/>
    <col min="12546" max="12546" width="6.85546875" style="73" customWidth="1"/>
    <col min="12547" max="12547" width="6.7109375" style="73" customWidth="1"/>
    <col min="12548" max="12548" width="7.42578125" style="73" customWidth="1"/>
    <col min="12549" max="12549" width="7" style="73" customWidth="1"/>
    <col min="12550" max="12550" width="6.7109375" style="73" customWidth="1"/>
    <col min="12551" max="12556" width="6.28515625" style="73" customWidth="1"/>
    <col min="12557" max="12557" width="14.140625" style="73" customWidth="1"/>
    <col min="12558" max="12558" width="6.85546875" style="73" customWidth="1"/>
    <col min="12559" max="12559" width="7.5703125" style="73" customWidth="1"/>
    <col min="12560" max="12793" width="9.140625" style="73"/>
    <col min="12794" max="12794" width="17" style="73" customWidth="1"/>
    <col min="12795" max="12795" width="8.140625" style="73" customWidth="1"/>
    <col min="12796" max="12796" width="7.7109375" style="73" customWidth="1"/>
    <col min="12797" max="12797" width="7.140625" style="73" customWidth="1"/>
    <col min="12798" max="12798" width="7.28515625" style="73" customWidth="1"/>
    <col min="12799" max="12800" width="6.42578125" style="73" customWidth="1"/>
    <col min="12801" max="12801" width="6.5703125" style="73" customWidth="1"/>
    <col min="12802" max="12802" width="6.85546875" style="73" customWidth="1"/>
    <col min="12803" max="12803" width="6.7109375" style="73" customWidth="1"/>
    <col min="12804" max="12804" width="7.42578125" style="73" customWidth="1"/>
    <col min="12805" max="12805" width="7" style="73" customWidth="1"/>
    <col min="12806" max="12806" width="6.7109375" style="73" customWidth="1"/>
    <col min="12807" max="12812" width="6.28515625" style="73" customWidth="1"/>
    <col min="12813" max="12813" width="14.140625" style="73" customWidth="1"/>
    <col min="12814" max="12814" width="6.85546875" style="73" customWidth="1"/>
    <col min="12815" max="12815" width="7.5703125" style="73" customWidth="1"/>
    <col min="12816" max="13049" width="9.140625" style="73"/>
    <col min="13050" max="13050" width="17" style="73" customWidth="1"/>
    <col min="13051" max="13051" width="8.140625" style="73" customWidth="1"/>
    <col min="13052" max="13052" width="7.7109375" style="73" customWidth="1"/>
    <col min="13053" max="13053" width="7.140625" style="73" customWidth="1"/>
    <col min="13054" max="13054" width="7.28515625" style="73" customWidth="1"/>
    <col min="13055" max="13056" width="6.42578125" style="73" customWidth="1"/>
    <col min="13057" max="13057" width="6.5703125" style="73" customWidth="1"/>
    <col min="13058" max="13058" width="6.85546875" style="73" customWidth="1"/>
    <col min="13059" max="13059" width="6.7109375" style="73" customWidth="1"/>
    <col min="13060" max="13060" width="7.42578125" style="73" customWidth="1"/>
    <col min="13061" max="13061" width="7" style="73" customWidth="1"/>
    <col min="13062" max="13062" width="6.7109375" style="73" customWidth="1"/>
    <col min="13063" max="13068" width="6.28515625" style="73" customWidth="1"/>
    <col min="13069" max="13069" width="14.140625" style="73" customWidth="1"/>
    <col min="13070" max="13070" width="6.85546875" style="73" customWidth="1"/>
    <col min="13071" max="13071" width="7.5703125" style="73" customWidth="1"/>
    <col min="13072" max="13305" width="9.140625" style="73"/>
    <col min="13306" max="13306" width="17" style="73" customWidth="1"/>
    <col min="13307" max="13307" width="8.140625" style="73" customWidth="1"/>
    <col min="13308" max="13308" width="7.7109375" style="73" customWidth="1"/>
    <col min="13309" max="13309" width="7.140625" style="73" customWidth="1"/>
    <col min="13310" max="13310" width="7.28515625" style="73" customWidth="1"/>
    <col min="13311" max="13312" width="6.42578125" style="73" customWidth="1"/>
    <col min="13313" max="13313" width="6.5703125" style="73" customWidth="1"/>
    <col min="13314" max="13314" width="6.85546875" style="73" customWidth="1"/>
    <col min="13315" max="13315" width="6.7109375" style="73" customWidth="1"/>
    <col min="13316" max="13316" width="7.42578125" style="73" customWidth="1"/>
    <col min="13317" max="13317" width="7" style="73" customWidth="1"/>
    <col min="13318" max="13318" width="6.7109375" style="73" customWidth="1"/>
    <col min="13319" max="13324" width="6.28515625" style="73" customWidth="1"/>
    <col min="13325" max="13325" width="14.140625" style="73" customWidth="1"/>
    <col min="13326" max="13326" width="6.85546875" style="73" customWidth="1"/>
    <col min="13327" max="13327" width="7.5703125" style="73" customWidth="1"/>
    <col min="13328" max="13561" width="9.140625" style="73"/>
    <col min="13562" max="13562" width="17" style="73" customWidth="1"/>
    <col min="13563" max="13563" width="8.140625" style="73" customWidth="1"/>
    <col min="13564" max="13564" width="7.7109375" style="73" customWidth="1"/>
    <col min="13565" max="13565" width="7.140625" style="73" customWidth="1"/>
    <col min="13566" max="13566" width="7.28515625" style="73" customWidth="1"/>
    <col min="13567" max="13568" width="6.42578125" style="73" customWidth="1"/>
    <col min="13569" max="13569" width="6.5703125" style="73" customWidth="1"/>
    <col min="13570" max="13570" width="6.85546875" style="73" customWidth="1"/>
    <col min="13571" max="13571" width="6.7109375" style="73" customWidth="1"/>
    <col min="13572" max="13572" width="7.42578125" style="73" customWidth="1"/>
    <col min="13573" max="13573" width="7" style="73" customWidth="1"/>
    <col min="13574" max="13574" width="6.7109375" style="73" customWidth="1"/>
    <col min="13575" max="13580" width="6.28515625" style="73" customWidth="1"/>
    <col min="13581" max="13581" width="14.140625" style="73" customWidth="1"/>
    <col min="13582" max="13582" width="6.85546875" style="73" customWidth="1"/>
    <col min="13583" max="13583" width="7.5703125" style="73" customWidth="1"/>
    <col min="13584" max="13817" width="9.140625" style="73"/>
    <col min="13818" max="13818" width="17" style="73" customWidth="1"/>
    <col min="13819" max="13819" width="8.140625" style="73" customWidth="1"/>
    <col min="13820" max="13820" width="7.7109375" style="73" customWidth="1"/>
    <col min="13821" max="13821" width="7.140625" style="73" customWidth="1"/>
    <col min="13822" max="13822" width="7.28515625" style="73" customWidth="1"/>
    <col min="13823" max="13824" width="6.42578125" style="73" customWidth="1"/>
    <col min="13825" max="13825" width="6.5703125" style="73" customWidth="1"/>
    <col min="13826" max="13826" width="6.85546875" style="73" customWidth="1"/>
    <col min="13827" max="13827" width="6.7109375" style="73" customWidth="1"/>
    <col min="13828" max="13828" width="7.42578125" style="73" customWidth="1"/>
    <col min="13829" max="13829" width="7" style="73" customWidth="1"/>
    <col min="13830" max="13830" width="6.7109375" style="73" customWidth="1"/>
    <col min="13831" max="13836" width="6.28515625" style="73" customWidth="1"/>
    <col min="13837" max="13837" width="14.140625" style="73" customWidth="1"/>
    <col min="13838" max="13838" width="6.85546875" style="73" customWidth="1"/>
    <col min="13839" max="13839" width="7.5703125" style="73" customWidth="1"/>
    <col min="13840" max="14073" width="9.140625" style="73"/>
    <col min="14074" max="14074" width="17" style="73" customWidth="1"/>
    <col min="14075" max="14075" width="8.140625" style="73" customWidth="1"/>
    <col min="14076" max="14076" width="7.7109375" style="73" customWidth="1"/>
    <col min="14077" max="14077" width="7.140625" style="73" customWidth="1"/>
    <col min="14078" max="14078" width="7.28515625" style="73" customWidth="1"/>
    <col min="14079" max="14080" width="6.42578125" style="73" customWidth="1"/>
    <col min="14081" max="14081" width="6.5703125" style="73" customWidth="1"/>
    <col min="14082" max="14082" width="6.85546875" style="73" customWidth="1"/>
    <col min="14083" max="14083" width="6.7109375" style="73" customWidth="1"/>
    <col min="14084" max="14084" width="7.42578125" style="73" customWidth="1"/>
    <col min="14085" max="14085" width="7" style="73" customWidth="1"/>
    <col min="14086" max="14086" width="6.7109375" style="73" customWidth="1"/>
    <col min="14087" max="14092" width="6.28515625" style="73" customWidth="1"/>
    <col min="14093" max="14093" width="14.140625" style="73" customWidth="1"/>
    <col min="14094" max="14094" width="6.85546875" style="73" customWidth="1"/>
    <col min="14095" max="14095" width="7.5703125" style="73" customWidth="1"/>
    <col min="14096" max="14329" width="9.140625" style="73"/>
    <col min="14330" max="14330" width="17" style="73" customWidth="1"/>
    <col min="14331" max="14331" width="8.140625" style="73" customWidth="1"/>
    <col min="14332" max="14332" width="7.7109375" style="73" customWidth="1"/>
    <col min="14333" max="14333" width="7.140625" style="73" customWidth="1"/>
    <col min="14334" max="14334" width="7.28515625" style="73" customWidth="1"/>
    <col min="14335" max="14336" width="6.42578125" style="73" customWidth="1"/>
    <col min="14337" max="14337" width="6.5703125" style="73" customWidth="1"/>
    <col min="14338" max="14338" width="6.85546875" style="73" customWidth="1"/>
    <col min="14339" max="14339" width="6.7109375" style="73" customWidth="1"/>
    <col min="14340" max="14340" width="7.42578125" style="73" customWidth="1"/>
    <col min="14341" max="14341" width="7" style="73" customWidth="1"/>
    <col min="14342" max="14342" width="6.7109375" style="73" customWidth="1"/>
    <col min="14343" max="14348" width="6.28515625" style="73" customWidth="1"/>
    <col min="14349" max="14349" width="14.140625" style="73" customWidth="1"/>
    <col min="14350" max="14350" width="6.85546875" style="73" customWidth="1"/>
    <col min="14351" max="14351" width="7.5703125" style="73" customWidth="1"/>
    <col min="14352" max="14585" width="9.140625" style="73"/>
    <col min="14586" max="14586" width="17" style="73" customWidth="1"/>
    <col min="14587" max="14587" width="8.140625" style="73" customWidth="1"/>
    <col min="14588" max="14588" width="7.7109375" style="73" customWidth="1"/>
    <col min="14589" max="14589" width="7.140625" style="73" customWidth="1"/>
    <col min="14590" max="14590" width="7.28515625" style="73" customWidth="1"/>
    <col min="14591" max="14592" width="6.42578125" style="73" customWidth="1"/>
    <col min="14593" max="14593" width="6.5703125" style="73" customWidth="1"/>
    <col min="14594" max="14594" width="6.85546875" style="73" customWidth="1"/>
    <col min="14595" max="14595" width="6.7109375" style="73" customWidth="1"/>
    <col min="14596" max="14596" width="7.42578125" style="73" customWidth="1"/>
    <col min="14597" max="14597" width="7" style="73" customWidth="1"/>
    <col min="14598" max="14598" width="6.7109375" style="73" customWidth="1"/>
    <col min="14599" max="14604" width="6.28515625" style="73" customWidth="1"/>
    <col min="14605" max="14605" width="14.140625" style="73" customWidth="1"/>
    <col min="14606" max="14606" width="6.85546875" style="73" customWidth="1"/>
    <col min="14607" max="14607" width="7.5703125" style="73" customWidth="1"/>
    <col min="14608" max="14841" width="9.140625" style="73"/>
    <col min="14842" max="14842" width="17" style="73" customWidth="1"/>
    <col min="14843" max="14843" width="8.140625" style="73" customWidth="1"/>
    <col min="14844" max="14844" width="7.7109375" style="73" customWidth="1"/>
    <col min="14845" max="14845" width="7.140625" style="73" customWidth="1"/>
    <col min="14846" max="14846" width="7.28515625" style="73" customWidth="1"/>
    <col min="14847" max="14848" width="6.42578125" style="73" customWidth="1"/>
    <col min="14849" max="14849" width="6.5703125" style="73" customWidth="1"/>
    <col min="14850" max="14850" width="6.85546875" style="73" customWidth="1"/>
    <col min="14851" max="14851" width="6.7109375" style="73" customWidth="1"/>
    <col min="14852" max="14852" width="7.42578125" style="73" customWidth="1"/>
    <col min="14853" max="14853" width="7" style="73" customWidth="1"/>
    <col min="14854" max="14854" width="6.7109375" style="73" customWidth="1"/>
    <col min="14855" max="14860" width="6.28515625" style="73" customWidth="1"/>
    <col min="14861" max="14861" width="14.140625" style="73" customWidth="1"/>
    <col min="14862" max="14862" width="6.85546875" style="73" customWidth="1"/>
    <col min="14863" max="14863" width="7.5703125" style="73" customWidth="1"/>
    <col min="14864" max="15097" width="9.140625" style="73"/>
    <col min="15098" max="15098" width="17" style="73" customWidth="1"/>
    <col min="15099" max="15099" width="8.140625" style="73" customWidth="1"/>
    <col min="15100" max="15100" width="7.7109375" style="73" customWidth="1"/>
    <col min="15101" max="15101" width="7.140625" style="73" customWidth="1"/>
    <col min="15102" max="15102" width="7.28515625" style="73" customWidth="1"/>
    <col min="15103" max="15104" width="6.42578125" style="73" customWidth="1"/>
    <col min="15105" max="15105" width="6.5703125" style="73" customWidth="1"/>
    <col min="15106" max="15106" width="6.85546875" style="73" customWidth="1"/>
    <col min="15107" max="15107" width="6.7109375" style="73" customWidth="1"/>
    <col min="15108" max="15108" width="7.42578125" style="73" customWidth="1"/>
    <col min="15109" max="15109" width="7" style="73" customWidth="1"/>
    <col min="15110" max="15110" width="6.7109375" style="73" customWidth="1"/>
    <col min="15111" max="15116" width="6.28515625" style="73" customWidth="1"/>
    <col min="15117" max="15117" width="14.140625" style="73" customWidth="1"/>
    <col min="15118" max="15118" width="6.85546875" style="73" customWidth="1"/>
    <col min="15119" max="15119" width="7.5703125" style="73" customWidth="1"/>
    <col min="15120" max="15353" width="9.140625" style="73"/>
    <col min="15354" max="15354" width="17" style="73" customWidth="1"/>
    <col min="15355" max="15355" width="8.140625" style="73" customWidth="1"/>
    <col min="15356" max="15356" width="7.7109375" style="73" customWidth="1"/>
    <col min="15357" max="15357" width="7.140625" style="73" customWidth="1"/>
    <col min="15358" max="15358" width="7.28515625" style="73" customWidth="1"/>
    <col min="15359" max="15360" width="6.42578125" style="73" customWidth="1"/>
    <col min="15361" max="15361" width="6.5703125" style="73" customWidth="1"/>
    <col min="15362" max="15362" width="6.85546875" style="73" customWidth="1"/>
    <col min="15363" max="15363" width="6.7109375" style="73" customWidth="1"/>
    <col min="15364" max="15364" width="7.42578125" style="73" customWidth="1"/>
    <col min="15365" max="15365" width="7" style="73" customWidth="1"/>
    <col min="15366" max="15366" width="6.7109375" style="73" customWidth="1"/>
    <col min="15367" max="15372" width="6.28515625" style="73" customWidth="1"/>
    <col min="15373" max="15373" width="14.140625" style="73" customWidth="1"/>
    <col min="15374" max="15374" width="6.85546875" style="73" customWidth="1"/>
    <col min="15375" max="15375" width="7.5703125" style="73" customWidth="1"/>
    <col min="15376" max="15609" width="9.140625" style="73"/>
    <col min="15610" max="15610" width="17" style="73" customWidth="1"/>
    <col min="15611" max="15611" width="8.140625" style="73" customWidth="1"/>
    <col min="15612" max="15612" width="7.7109375" style="73" customWidth="1"/>
    <col min="15613" max="15613" width="7.140625" style="73" customWidth="1"/>
    <col min="15614" max="15614" width="7.28515625" style="73" customWidth="1"/>
    <col min="15615" max="15616" width="6.42578125" style="73" customWidth="1"/>
    <col min="15617" max="15617" width="6.5703125" style="73" customWidth="1"/>
    <col min="15618" max="15618" width="6.85546875" style="73" customWidth="1"/>
    <col min="15619" max="15619" width="6.7109375" style="73" customWidth="1"/>
    <col min="15620" max="15620" width="7.42578125" style="73" customWidth="1"/>
    <col min="15621" max="15621" width="7" style="73" customWidth="1"/>
    <col min="15622" max="15622" width="6.7109375" style="73" customWidth="1"/>
    <col min="15623" max="15628" width="6.28515625" style="73" customWidth="1"/>
    <col min="15629" max="15629" width="14.140625" style="73" customWidth="1"/>
    <col min="15630" max="15630" width="6.85546875" style="73" customWidth="1"/>
    <col min="15631" max="15631" width="7.5703125" style="73" customWidth="1"/>
    <col min="15632" max="15865" width="9.140625" style="73"/>
    <col min="15866" max="15866" width="17" style="73" customWidth="1"/>
    <col min="15867" max="15867" width="8.140625" style="73" customWidth="1"/>
    <col min="15868" max="15868" width="7.7109375" style="73" customWidth="1"/>
    <col min="15869" max="15869" width="7.140625" style="73" customWidth="1"/>
    <col min="15870" max="15870" width="7.28515625" style="73" customWidth="1"/>
    <col min="15871" max="15872" width="6.42578125" style="73" customWidth="1"/>
    <col min="15873" max="15873" width="6.5703125" style="73" customWidth="1"/>
    <col min="15874" max="15874" width="6.85546875" style="73" customWidth="1"/>
    <col min="15875" max="15875" width="6.7109375" style="73" customWidth="1"/>
    <col min="15876" max="15876" width="7.42578125" style="73" customWidth="1"/>
    <col min="15877" max="15877" width="7" style="73" customWidth="1"/>
    <col min="15878" max="15878" width="6.7109375" style="73" customWidth="1"/>
    <col min="15879" max="15884" width="6.28515625" style="73" customWidth="1"/>
    <col min="15885" max="15885" width="14.140625" style="73" customWidth="1"/>
    <col min="15886" max="15886" width="6.85546875" style="73" customWidth="1"/>
    <col min="15887" max="15887" width="7.5703125" style="73" customWidth="1"/>
    <col min="15888" max="16121" width="9.140625" style="73"/>
    <col min="16122" max="16122" width="17" style="73" customWidth="1"/>
    <col min="16123" max="16123" width="8.140625" style="73" customWidth="1"/>
    <col min="16124" max="16124" width="7.7109375" style="73" customWidth="1"/>
    <col min="16125" max="16125" width="7.140625" style="73" customWidth="1"/>
    <col min="16126" max="16126" width="7.28515625" style="73" customWidth="1"/>
    <col min="16127" max="16128" width="6.42578125" style="73" customWidth="1"/>
    <col min="16129" max="16129" width="6.5703125" style="73" customWidth="1"/>
    <col min="16130" max="16130" width="6.85546875" style="73" customWidth="1"/>
    <col min="16131" max="16131" width="6.7109375" style="73" customWidth="1"/>
    <col min="16132" max="16132" width="7.42578125" style="73" customWidth="1"/>
    <col min="16133" max="16133" width="7" style="73" customWidth="1"/>
    <col min="16134" max="16134" width="6.7109375" style="73" customWidth="1"/>
    <col min="16135" max="16140" width="6.28515625" style="73" customWidth="1"/>
    <col min="16141" max="16141" width="14.140625" style="73" customWidth="1"/>
    <col min="16142" max="16142" width="6.85546875" style="73" customWidth="1"/>
    <col min="16143" max="16143" width="7.5703125" style="73" customWidth="1"/>
    <col min="16144" max="16384" width="9.140625" style="73"/>
  </cols>
  <sheetData>
    <row r="1" spans="1:25">
      <c r="A1" s="72" t="s">
        <v>151</v>
      </c>
    </row>
    <row r="2" spans="1:25">
      <c r="A2" s="72"/>
    </row>
    <row r="3" spans="1:25">
      <c r="A3" s="382">
        <v>43412</v>
      </c>
      <c r="D3" s="397" t="s">
        <v>224</v>
      </c>
      <c r="E3" s="399"/>
      <c r="F3" s="399"/>
      <c r="G3" s="399"/>
      <c r="H3" s="399"/>
      <c r="I3" s="399"/>
      <c r="J3" s="399"/>
      <c r="K3" s="399"/>
      <c r="L3" s="399"/>
      <c r="M3" s="399"/>
      <c r="N3" s="400"/>
      <c r="O3" s="400"/>
      <c r="P3" s="400"/>
      <c r="Q3" s="400"/>
      <c r="R3" s="400"/>
    </row>
    <row r="4" spans="1:25">
      <c r="B4" s="214"/>
      <c r="D4" s="398"/>
      <c r="E4" s="396" t="s">
        <v>253</v>
      </c>
      <c r="F4" s="396"/>
      <c r="G4" s="396"/>
      <c r="H4" s="396"/>
      <c r="I4" s="401" t="s">
        <v>254</v>
      </c>
      <c r="J4" s="401"/>
      <c r="K4" s="401"/>
      <c r="L4" s="401"/>
      <c r="M4" s="401"/>
      <c r="N4" s="400"/>
      <c r="O4" s="400"/>
      <c r="P4" s="400"/>
      <c r="Q4" s="400"/>
      <c r="R4" s="400"/>
      <c r="S4" s="146"/>
    </row>
    <row r="5" spans="1:25" s="221" customFormat="1" ht="20.25" customHeight="1">
      <c r="A5" s="216" t="s">
        <v>0</v>
      </c>
      <c r="B5" s="217" t="s">
        <v>150</v>
      </c>
      <c r="C5" s="218" t="s">
        <v>99</v>
      </c>
      <c r="D5" s="218">
        <v>2018</v>
      </c>
      <c r="E5" s="218">
        <v>2019</v>
      </c>
      <c r="F5" s="218">
        <v>2020</v>
      </c>
      <c r="G5" s="218">
        <v>2021</v>
      </c>
      <c r="H5" s="218">
        <v>2022</v>
      </c>
      <c r="I5" s="218">
        <v>2023</v>
      </c>
      <c r="J5" s="218">
        <v>2024</v>
      </c>
      <c r="K5" s="218">
        <v>2025</v>
      </c>
      <c r="L5" s="218">
        <v>2026</v>
      </c>
      <c r="M5" s="218">
        <v>2027</v>
      </c>
      <c r="N5" s="218">
        <v>2028</v>
      </c>
      <c r="O5" s="218">
        <v>2029</v>
      </c>
      <c r="P5" s="218">
        <v>2030</v>
      </c>
      <c r="Q5" s="218">
        <v>2031</v>
      </c>
      <c r="R5" s="218">
        <v>2032</v>
      </c>
      <c r="S5" s="219" t="s">
        <v>410</v>
      </c>
      <c r="T5" s="220" t="s">
        <v>188</v>
      </c>
    </row>
    <row r="6" spans="1:25">
      <c r="A6" s="144" t="s">
        <v>9</v>
      </c>
      <c r="B6" s="392">
        <f>IF(C6=4,84,IF(C6=5,112,IF(C6=6,140,IF(C6=7,210,IF(C6=8,217,IF(C6=9,231,IF(C6=10,259,IF(C6=11,294,IF(C6=12,315,IF(C6=13,329,IF(C6=14,420,IF(C6=15,434,IF(C6=16,462,IF(C6=17,476,IF(C6=18,504,IF(C6=19,546,IF(C6=20,560,IF(C6=21,630,IF(C6=22,651,IF(C6=23,693))))))))))))))))))))</f>
        <v>231</v>
      </c>
      <c r="C6" s="74">
        <v>9</v>
      </c>
      <c r="D6" s="143">
        <v>157</v>
      </c>
      <c r="E6" s="75">
        <f>Abbeyhill!$C$159</f>
        <v>159</v>
      </c>
      <c r="F6" s="75">
        <f>Abbeyhill!$D$159</f>
        <v>153</v>
      </c>
      <c r="G6" s="75">
        <f>Abbeyhill!$E$159</f>
        <v>152</v>
      </c>
      <c r="H6" s="75">
        <f>Abbeyhill!$F$159</f>
        <v>149</v>
      </c>
      <c r="I6" s="75">
        <f>Abbeyhill!$G$159</f>
        <v>144</v>
      </c>
      <c r="J6" s="75">
        <f>Abbeyhill!$H$159</f>
        <v>143</v>
      </c>
      <c r="K6" s="75">
        <f>Abbeyhill!$I$159</f>
        <v>140</v>
      </c>
      <c r="L6" s="75">
        <f>Abbeyhill!$J$159</f>
        <v>139</v>
      </c>
      <c r="M6" s="75">
        <f>Abbeyhill!$K$159</f>
        <v>139</v>
      </c>
      <c r="N6" s="75">
        <f>Abbeyhill!$L$159</f>
        <v>139</v>
      </c>
      <c r="O6" s="75">
        <f>Abbeyhill!$M$159</f>
        <v>139</v>
      </c>
      <c r="P6" s="75">
        <f>Abbeyhill!$N$159</f>
        <v>139</v>
      </c>
      <c r="Q6" s="75">
        <f>Abbeyhill!$O$159</f>
        <v>139</v>
      </c>
      <c r="R6" s="75">
        <f>Abbeyhill!$P$159</f>
        <v>139</v>
      </c>
      <c r="S6" s="147"/>
      <c r="T6" s="147"/>
      <c r="W6" s="73">
        <v>231</v>
      </c>
      <c r="X6" s="73">
        <v>9</v>
      </c>
      <c r="Y6" s="73">
        <f t="shared" ref="Y6:Y37" si="0">X6-C6</f>
        <v>0</v>
      </c>
    </row>
    <row r="7" spans="1:25">
      <c r="A7" s="391" t="s">
        <v>10</v>
      </c>
      <c r="B7" s="392">
        <f t="shared" ref="B7:B70" si="1">IF(C7=4,84,IF(C7=5,112,IF(C7=6,140,IF(C7=7,210,IF(C7=8,217,IF(C7=9,231,IF(C7=10,259,IF(C7=11,294,IF(C7=12,315,IF(C7=13,329,IF(C7=14,420,IF(C7=15,434,IF(C7=16,462,IF(C7=17,476,IF(C7=18,504,IF(C7=19,546,IF(C7=20,560,IF(C7=21,630,IF(C7=22,651,IF(C7=23,693))))))))))))))))))))</f>
        <v>420</v>
      </c>
      <c r="C7" s="74">
        <v>14</v>
      </c>
      <c r="D7" s="143">
        <v>358</v>
      </c>
      <c r="E7" s="75">
        <f>Balgreen!$C$159</f>
        <v>367</v>
      </c>
      <c r="F7" s="75">
        <f>Balgreen!$D$159</f>
        <v>351</v>
      </c>
      <c r="G7" s="75">
        <f>Balgreen!$E$159</f>
        <v>336.17630597014926</v>
      </c>
      <c r="H7" s="75">
        <f>Balgreen!$F$159</f>
        <v>316.31319962686564</v>
      </c>
      <c r="I7" s="75">
        <f>Balgreen!$G$159</f>
        <v>307.72154850746267</v>
      </c>
      <c r="J7" s="75">
        <f>Balgreen!$H$159</f>
        <v>303</v>
      </c>
      <c r="K7" s="75">
        <f>Balgreen!$I$159</f>
        <v>299</v>
      </c>
      <c r="L7" s="75">
        <f>Balgreen!$J$159</f>
        <v>294</v>
      </c>
      <c r="M7" s="75">
        <f>Balgreen!$K$159</f>
        <v>297</v>
      </c>
      <c r="N7" s="75">
        <f>Balgreen!$L$159</f>
        <v>300</v>
      </c>
      <c r="O7" s="75">
        <f>Balgreen!$M$159</f>
        <v>300</v>
      </c>
      <c r="P7" s="75">
        <f>Balgreen!$N$159</f>
        <v>296</v>
      </c>
      <c r="Q7" s="75">
        <f>Balgreen!$O$159</f>
        <v>292</v>
      </c>
      <c r="R7" s="75">
        <f>Balgreen!$P$159</f>
        <v>291</v>
      </c>
      <c r="S7" s="147"/>
      <c r="T7" s="147"/>
      <c r="W7" s="73">
        <v>420</v>
      </c>
      <c r="X7" s="73">
        <v>14</v>
      </c>
      <c r="Y7" s="73">
        <f t="shared" si="0"/>
        <v>0</v>
      </c>
    </row>
    <row r="8" spans="1:25">
      <c r="A8" s="144" t="s">
        <v>11</v>
      </c>
      <c r="B8" s="392">
        <f t="shared" si="1"/>
        <v>504</v>
      </c>
      <c r="C8" s="74">
        <v>18</v>
      </c>
      <c r="D8" s="143">
        <v>453</v>
      </c>
      <c r="E8" s="75">
        <f>Blackhall!$C$159</f>
        <v>450.45711275026343</v>
      </c>
      <c r="F8" s="75">
        <f>Blackhall!$D$159</f>
        <v>431.44741833508954</v>
      </c>
      <c r="G8" s="75">
        <f>Blackhall!$E$159</f>
        <v>424.61222339304533</v>
      </c>
      <c r="H8" s="75">
        <f>Blackhall!$F$159</f>
        <v>424.46680716543733</v>
      </c>
      <c r="I8" s="75">
        <f>Blackhall!$G$159</f>
        <v>404.5055848261328</v>
      </c>
      <c r="J8" s="75">
        <f>Blackhall!$H$159</f>
        <v>392.49589041095891</v>
      </c>
      <c r="K8" s="75">
        <f>Blackhall!$I$159</f>
        <v>380.48619599578501</v>
      </c>
      <c r="L8" s="75">
        <f>Blackhall!$J$159</f>
        <v>378.48619599578501</v>
      </c>
      <c r="M8" s="75">
        <f>Blackhall!$K$159</f>
        <v>375.48619599578501</v>
      </c>
      <c r="N8" s="75">
        <f>Blackhall!$L$159</f>
        <v>387.47650158061117</v>
      </c>
      <c r="O8" s="75">
        <f>Blackhall!$M$159</f>
        <v>387.47650158061117</v>
      </c>
      <c r="P8" s="75">
        <f>Blackhall!$N$159</f>
        <v>390.47650158061117</v>
      </c>
      <c r="Q8" s="75">
        <f>Blackhall!$O$159</f>
        <v>391.47650158061117</v>
      </c>
      <c r="R8" s="75">
        <f>Blackhall!$P$159</f>
        <v>392.47650158061117</v>
      </c>
      <c r="S8" s="147"/>
      <c r="T8" s="147"/>
      <c r="W8" s="73">
        <v>476</v>
      </c>
      <c r="X8" s="73">
        <v>17</v>
      </c>
      <c r="Y8" s="73">
        <f t="shared" si="0"/>
        <v>-1</v>
      </c>
    </row>
    <row r="9" spans="1:25">
      <c r="A9" s="144" t="s">
        <v>12</v>
      </c>
      <c r="B9" s="392">
        <f t="shared" si="1"/>
        <v>462</v>
      </c>
      <c r="C9" s="74">
        <v>16</v>
      </c>
      <c r="D9" s="143">
        <v>441</v>
      </c>
      <c r="E9" s="75">
        <f>Bonaly!$C$159</f>
        <v>439</v>
      </c>
      <c r="F9" s="75">
        <f>Bonaly!$D$159</f>
        <v>441.84575424575428</v>
      </c>
      <c r="G9" s="75">
        <f>Bonaly!$E$159</f>
        <v>456</v>
      </c>
      <c r="H9" s="75">
        <f>Bonaly!$F$159</f>
        <v>448.24967532467531</v>
      </c>
      <c r="I9" s="75">
        <f>Bonaly!$G$159</f>
        <v>446.84575424575428</v>
      </c>
      <c r="J9" s="75">
        <f>Bonaly!$H$159</f>
        <v>444.81209415584419</v>
      </c>
      <c r="K9" s="75">
        <f>Bonaly!$I$159</f>
        <v>437.81209415584419</v>
      </c>
      <c r="L9" s="75">
        <f>Bonaly!$J$159</f>
        <v>442</v>
      </c>
      <c r="M9" s="75">
        <f>Bonaly!$K$159</f>
        <v>443</v>
      </c>
      <c r="N9" s="75">
        <f>Bonaly!$L$159</f>
        <v>441</v>
      </c>
      <c r="O9" s="75">
        <f>Bonaly!$M$159</f>
        <v>451</v>
      </c>
      <c r="P9" s="75">
        <f>Bonaly!$N$159</f>
        <v>452</v>
      </c>
      <c r="Q9" s="75">
        <f>Bonaly!$O$159</f>
        <v>452</v>
      </c>
      <c r="R9" s="75">
        <f>Bonaly!$P$159</f>
        <v>452</v>
      </c>
      <c r="S9" s="147"/>
      <c r="T9" s="147"/>
      <c r="W9" s="73">
        <v>434</v>
      </c>
      <c r="X9" s="73">
        <v>15</v>
      </c>
      <c r="Y9" s="73">
        <f t="shared" si="0"/>
        <v>-1</v>
      </c>
    </row>
    <row r="10" spans="1:25">
      <c r="A10" s="144" t="s">
        <v>13</v>
      </c>
      <c r="B10" s="392">
        <f t="shared" si="1"/>
        <v>259</v>
      </c>
      <c r="C10" s="74">
        <v>10</v>
      </c>
      <c r="D10" s="143">
        <v>215</v>
      </c>
      <c r="E10" s="75">
        <f>Broomhouse!$C$159</f>
        <v>224</v>
      </c>
      <c r="F10" s="75">
        <f>Broomhouse!$D$159</f>
        <v>231</v>
      </c>
      <c r="G10" s="75">
        <f>Broomhouse!$E$159</f>
        <v>222.05523086654017</v>
      </c>
      <c r="H10" s="75">
        <f>Broomhouse!$F$159</f>
        <v>204</v>
      </c>
      <c r="I10" s="75">
        <f>Broomhouse!$G$159</f>
        <v>202</v>
      </c>
      <c r="J10" s="75">
        <f>Broomhouse!$H$159</f>
        <v>198</v>
      </c>
      <c r="K10" s="75">
        <f>Broomhouse!$I$159</f>
        <v>196</v>
      </c>
      <c r="L10" s="75">
        <f>Broomhouse!$J$159</f>
        <v>201</v>
      </c>
      <c r="M10" s="75">
        <f>Broomhouse!$K$159</f>
        <v>205</v>
      </c>
      <c r="N10" s="75">
        <f>Broomhouse!$L$159</f>
        <v>197</v>
      </c>
      <c r="O10" s="75">
        <f>Broomhouse!$M$159</f>
        <v>201</v>
      </c>
      <c r="P10" s="75">
        <f>Broomhouse!$N$159</f>
        <v>201</v>
      </c>
      <c r="Q10" s="75">
        <f>Broomhouse!$O$159</f>
        <v>201</v>
      </c>
      <c r="R10" s="75">
        <f>Broomhouse!$P$159</f>
        <v>201</v>
      </c>
      <c r="S10" s="147"/>
      <c r="T10" s="147"/>
      <c r="V10" s="73" t="s">
        <v>250</v>
      </c>
      <c r="W10" s="73">
        <v>294</v>
      </c>
      <c r="X10" s="73">
        <v>11</v>
      </c>
      <c r="Y10" s="73">
        <f t="shared" si="0"/>
        <v>1</v>
      </c>
    </row>
    <row r="11" spans="1:25">
      <c r="A11" s="144" t="s">
        <v>14</v>
      </c>
      <c r="B11" s="392">
        <f t="shared" si="1"/>
        <v>462</v>
      </c>
      <c r="C11" s="74">
        <v>16</v>
      </c>
      <c r="D11" s="143">
        <v>392</v>
      </c>
      <c r="E11" s="75">
        <f>Broughton!$C$159</f>
        <v>402.83153361284621</v>
      </c>
      <c r="F11" s="75">
        <f>Broughton!$D$159</f>
        <v>395</v>
      </c>
      <c r="G11" s="75">
        <f>Broughton!$E$159</f>
        <v>396</v>
      </c>
      <c r="H11" s="75">
        <f>Broughton!$F$159</f>
        <v>405</v>
      </c>
      <c r="I11" s="75">
        <f>Broughton!$G$159</f>
        <v>412</v>
      </c>
      <c r="J11" s="75">
        <f>Broughton!$H$159</f>
        <v>414</v>
      </c>
      <c r="K11" s="75">
        <f>Broughton!$I$159</f>
        <v>415</v>
      </c>
      <c r="L11" s="75">
        <f>Broughton!$J$159</f>
        <v>416</v>
      </c>
      <c r="M11" s="75">
        <f>Broughton!$K$159</f>
        <v>418</v>
      </c>
      <c r="N11" s="75">
        <f>Broughton!$L$159</f>
        <v>421</v>
      </c>
      <c r="O11" s="75">
        <f>Broughton!$M$159</f>
        <v>419</v>
      </c>
      <c r="P11" s="75">
        <f>Broughton!$N$159</f>
        <v>424</v>
      </c>
      <c r="Q11" s="75">
        <f>Broughton!$O$159</f>
        <v>429</v>
      </c>
      <c r="R11" s="75">
        <f>Broughton!$P$159</f>
        <v>434</v>
      </c>
      <c r="S11" s="147"/>
      <c r="T11" s="147"/>
      <c r="W11" s="73">
        <v>462</v>
      </c>
      <c r="X11" s="73">
        <v>16</v>
      </c>
      <c r="Y11" s="73">
        <f t="shared" si="0"/>
        <v>0</v>
      </c>
    </row>
    <row r="12" spans="1:25">
      <c r="A12" s="144" t="s">
        <v>15</v>
      </c>
      <c r="B12" s="392">
        <f t="shared" si="1"/>
        <v>420</v>
      </c>
      <c r="C12" s="74">
        <v>14</v>
      </c>
      <c r="D12" s="143">
        <v>214</v>
      </c>
      <c r="E12" s="75">
        <f>Brunstane!$C$159</f>
        <v>205</v>
      </c>
      <c r="F12" s="75">
        <f>Brunstane!$D$159</f>
        <v>218.08098198629045</v>
      </c>
      <c r="G12" s="75">
        <f>Brunstane!$E$159</f>
        <v>229.96636378128488</v>
      </c>
      <c r="H12" s="75">
        <f>Brunstane!$F$159</f>
        <v>234</v>
      </c>
      <c r="I12" s="75">
        <f>Brunstane!$G$159</f>
        <v>245.88434560816196</v>
      </c>
      <c r="J12" s="75">
        <f>Brunstane!$H$159</f>
        <v>251.52367288378767</v>
      </c>
      <c r="K12" s="75">
        <f>Brunstane!$I$159</f>
        <v>269.16300015941334</v>
      </c>
      <c r="L12" s="75">
        <f>Brunstane!$J$159</f>
        <v>287.80232743503905</v>
      </c>
      <c r="M12" s="75">
        <f>Brunstane!$K$159</f>
        <v>285.44165471066475</v>
      </c>
      <c r="N12" s="75">
        <f>Brunstane!$L$159</f>
        <v>286.44165471066475</v>
      </c>
      <c r="O12" s="75">
        <f>Brunstane!$M$159</f>
        <v>299.44165471066475</v>
      </c>
      <c r="P12" s="75">
        <f>Brunstane!$N$159</f>
        <v>300.44165471066475</v>
      </c>
      <c r="Q12" s="75">
        <f>Brunstane!$O$159</f>
        <v>300.44165471066475</v>
      </c>
      <c r="R12" s="75">
        <f>Brunstane!$P$159</f>
        <v>300.44165471066475</v>
      </c>
      <c r="S12" s="147"/>
      <c r="T12" s="147"/>
      <c r="W12" s="73">
        <v>420</v>
      </c>
      <c r="X12" s="73">
        <v>14</v>
      </c>
      <c r="Y12" s="73">
        <f t="shared" si="0"/>
        <v>0</v>
      </c>
    </row>
    <row r="13" spans="1:25">
      <c r="A13" s="144" t="s">
        <v>16</v>
      </c>
      <c r="B13" s="392">
        <f t="shared" si="1"/>
        <v>630</v>
      </c>
      <c r="C13" s="74">
        <v>21</v>
      </c>
      <c r="D13" s="143">
        <v>605</v>
      </c>
      <c r="E13" s="75">
        <f>Bruntsfield!$C$159</f>
        <v>600.17634028514203</v>
      </c>
      <c r="F13" s="75">
        <f>Bruntsfield!$D$159</f>
        <v>584</v>
      </c>
      <c r="G13" s="75">
        <f>Bruntsfield!$E$159</f>
        <v>566</v>
      </c>
      <c r="H13" s="75">
        <f>Bruntsfield!$F$159</f>
        <v>567.17634028514203</v>
      </c>
      <c r="I13" s="75">
        <f>Bruntsfield!$G$159</f>
        <v>553</v>
      </c>
      <c r="J13" s="75">
        <f>Bruntsfield!$H$159</f>
        <v>554</v>
      </c>
      <c r="K13" s="75">
        <f>Bruntsfield!$I$159</f>
        <v>557</v>
      </c>
      <c r="L13" s="75">
        <f>Bruntsfield!$J$159</f>
        <v>544</v>
      </c>
      <c r="M13" s="75">
        <f>Bruntsfield!$K$159</f>
        <v>559.49371980676324</v>
      </c>
      <c r="N13" s="75">
        <f>Bruntsfield!$L$159</f>
        <v>569.41437492635794</v>
      </c>
      <c r="O13" s="75">
        <f>Bruntsfield!$M$159</f>
        <v>562.41437492635794</v>
      </c>
      <c r="P13" s="75">
        <f>Bruntsfield!$N$159</f>
        <v>572.41437492635794</v>
      </c>
      <c r="Q13" s="75">
        <f>Bruntsfield!$O$159</f>
        <v>580.41437492635794</v>
      </c>
      <c r="R13" s="75">
        <f>Bruntsfield!$P$159</f>
        <v>589.41437492635794</v>
      </c>
      <c r="S13" s="147"/>
      <c r="T13" s="147"/>
      <c r="W13" s="73">
        <v>560</v>
      </c>
      <c r="X13" s="73">
        <v>20</v>
      </c>
      <c r="Y13" s="73">
        <f t="shared" si="0"/>
        <v>-1</v>
      </c>
    </row>
    <row r="14" spans="1:25">
      <c r="A14" s="144" t="s">
        <v>17</v>
      </c>
      <c r="B14" s="392">
        <f t="shared" si="1"/>
        <v>462</v>
      </c>
      <c r="C14" s="74">
        <v>16</v>
      </c>
      <c r="D14" s="143">
        <v>429</v>
      </c>
      <c r="E14" s="75">
        <f>Buckstone!$C$159</f>
        <v>431</v>
      </c>
      <c r="F14" s="75">
        <f>Buckstone!$D$159</f>
        <v>500.44711263579188</v>
      </c>
      <c r="G14" s="75">
        <f>Buckstone!$E$159</f>
        <v>508.38993710691824</v>
      </c>
      <c r="H14" s="75">
        <f>Buckstone!$F$159</f>
        <v>497.25128644939969</v>
      </c>
      <c r="I14" s="75">
        <f>Buckstone!$G$159</f>
        <v>506.25128644939969</v>
      </c>
      <c r="J14" s="75">
        <f>Buckstone!$H$159</f>
        <v>516.23742138364787</v>
      </c>
      <c r="K14" s="75">
        <f>Buckstone!$I$159</f>
        <v>515.22355631789594</v>
      </c>
      <c r="L14" s="75">
        <f>Buckstone!$J$159</f>
        <v>511.22355631789594</v>
      </c>
      <c r="M14" s="75">
        <f>Buckstone!$K$159</f>
        <v>449</v>
      </c>
      <c r="N14" s="75">
        <f>Buckstone!$L$159</f>
        <v>465</v>
      </c>
      <c r="O14" s="75">
        <f>Buckstone!$M$159</f>
        <v>468</v>
      </c>
      <c r="P14" s="75">
        <f>Buckstone!$N$159</f>
        <v>470</v>
      </c>
      <c r="Q14" s="75">
        <f>Buckstone!$O$159</f>
        <v>472</v>
      </c>
      <c r="R14" s="75">
        <f>Buckstone!$P$159</f>
        <v>473</v>
      </c>
      <c r="S14" s="147"/>
      <c r="T14" s="147"/>
      <c r="W14" s="73">
        <v>462</v>
      </c>
      <c r="X14" s="73">
        <v>16</v>
      </c>
      <c r="Y14" s="73">
        <f t="shared" si="0"/>
        <v>0</v>
      </c>
    </row>
    <row r="15" spans="1:25">
      <c r="A15" s="145" t="s">
        <v>96</v>
      </c>
      <c r="B15" s="392">
        <f t="shared" si="1"/>
        <v>434</v>
      </c>
      <c r="C15" s="74">
        <v>15</v>
      </c>
      <c r="D15" s="143">
        <v>376</v>
      </c>
      <c r="E15" s="75">
        <f>'Bun Sgoil Taobh na Pairce'!F16</f>
        <v>409</v>
      </c>
      <c r="F15" s="75">
        <f>'Bun Sgoil Taobh na Pairce'!G16</f>
        <v>428</v>
      </c>
      <c r="G15" s="75">
        <f>'Bun Sgoil Taobh na Pairce'!H16</f>
        <v>429</v>
      </c>
      <c r="H15" s="75">
        <f>'Bun Sgoil Taobh na Pairce'!I16</f>
        <v>444</v>
      </c>
      <c r="I15" s="75">
        <f>'Bun Sgoil Taobh na Pairce'!J16</f>
        <v>455</v>
      </c>
      <c r="J15" s="75">
        <f>'Bun Sgoil Taobh na Pairce'!K16</f>
        <v>445</v>
      </c>
      <c r="K15" s="75">
        <f>'Bun Sgoil Taobh na Pairce'!L16</f>
        <v>450</v>
      </c>
      <c r="L15" s="75">
        <f>'Bun Sgoil Taobh na Pairce'!M16</f>
        <v>452</v>
      </c>
      <c r="M15" s="75">
        <f>'Bun Sgoil Taobh na Pairce'!N16</f>
        <v>451</v>
      </c>
      <c r="N15" s="75">
        <f>'Bun Sgoil Taobh na Pairce'!O16</f>
        <v>453</v>
      </c>
      <c r="O15" s="75">
        <f>'Bun Sgoil Taobh na Pairce'!P16</f>
        <v>454</v>
      </c>
      <c r="P15" s="75">
        <f>'Bun Sgoil Taobh na Pairce'!Q16</f>
        <v>454</v>
      </c>
      <c r="Q15" s="75">
        <f>'Bun Sgoil Taobh na Pairce'!R16</f>
        <v>455</v>
      </c>
      <c r="R15" s="75">
        <f>'Bun Sgoil Taobh na Pairce'!S16</f>
        <v>455</v>
      </c>
      <c r="S15" s="147"/>
      <c r="T15" s="147"/>
      <c r="W15" s="73">
        <v>420</v>
      </c>
      <c r="X15" s="73">
        <v>14</v>
      </c>
      <c r="Y15" s="73">
        <f t="shared" si="0"/>
        <v>-1</v>
      </c>
    </row>
    <row r="16" spans="1:25">
      <c r="A16" s="144" t="s">
        <v>74</v>
      </c>
      <c r="B16" s="392">
        <f t="shared" si="1"/>
        <v>420</v>
      </c>
      <c r="C16" s="74">
        <v>14</v>
      </c>
      <c r="D16" s="143">
        <v>352</v>
      </c>
      <c r="E16" s="75">
        <f>'Canal View'!$C$159</f>
        <v>351.44092039800995</v>
      </c>
      <c r="F16" s="75">
        <f>'Canal View'!$D$159</f>
        <v>318</v>
      </c>
      <c r="G16" s="75">
        <f>'Canal View'!$E$159</f>
        <v>300.1683800385826</v>
      </c>
      <c r="H16" s="75">
        <f>'Canal View'!$F$159</f>
        <v>304.03210985886892</v>
      </c>
      <c r="I16" s="75">
        <f>'Canal View'!$G$159</f>
        <v>299.06216367143873</v>
      </c>
      <c r="J16" s="75">
        <f>'Canal View'!$H$159</f>
        <v>288.6834069448675</v>
      </c>
      <c r="K16" s="75">
        <f>'Canal View'!$I$159</f>
        <v>288.30465021829627</v>
      </c>
      <c r="L16" s="75">
        <f>'Canal View'!$J$159</f>
        <v>287.30465021829627</v>
      </c>
      <c r="M16" s="75">
        <f>'Canal View'!$K$159</f>
        <v>306.92589349172505</v>
      </c>
      <c r="N16" s="75">
        <f>'Canal View'!$L$159</f>
        <v>305.92589349172505</v>
      </c>
      <c r="O16" s="75">
        <f>'Canal View'!$M$159</f>
        <v>303.92589349172505</v>
      </c>
      <c r="P16" s="75">
        <f>'Canal View'!$N$159</f>
        <v>305.92589349172505</v>
      </c>
      <c r="Q16" s="75">
        <f>'Canal View'!$O$159</f>
        <v>307.92589349172505</v>
      </c>
      <c r="R16" s="75">
        <f>'Canal View'!$P$159</f>
        <v>308.92589349172505</v>
      </c>
      <c r="S16" s="147"/>
      <c r="T16" s="147"/>
      <c r="W16" s="73">
        <v>420</v>
      </c>
      <c r="X16" s="73">
        <v>14</v>
      </c>
      <c r="Y16" s="73">
        <f t="shared" si="0"/>
        <v>0</v>
      </c>
    </row>
    <row r="17" spans="1:25">
      <c r="A17" s="144" t="s">
        <v>18</v>
      </c>
      <c r="B17" s="392">
        <f t="shared" si="1"/>
        <v>504</v>
      </c>
      <c r="C17" s="74">
        <v>18</v>
      </c>
      <c r="D17" s="143">
        <v>363</v>
      </c>
      <c r="E17" s="75">
        <f>'Carrick Knowe'!$C$159</f>
        <v>350</v>
      </c>
      <c r="F17" s="75">
        <f>'Carrick Knowe'!$D$159</f>
        <v>337.23188811188811</v>
      </c>
      <c r="G17" s="75">
        <f>'Carrick Knowe'!$E$159</f>
        <v>307.23188811188811</v>
      </c>
      <c r="H17" s="75">
        <f>'Carrick Knowe'!$F$159</f>
        <v>298.88587412587412</v>
      </c>
      <c r="I17" s="75">
        <f>'Carrick Knowe'!$G$159</f>
        <v>302.7832167832168</v>
      </c>
      <c r="J17" s="75">
        <f>'Carrick Knowe'!$H$159</f>
        <v>288.55888111888112</v>
      </c>
      <c r="K17" s="75">
        <f>'Carrick Knowe'!$I$159</f>
        <v>289.33454545454549</v>
      </c>
      <c r="L17" s="75">
        <f>'Carrick Knowe'!$J$159</f>
        <v>287.33454545454549</v>
      </c>
      <c r="M17" s="75">
        <f>'Carrick Knowe'!$K$159</f>
        <v>290.33454545454549</v>
      </c>
      <c r="N17" s="75">
        <f>'Carrick Knowe'!$L$159</f>
        <v>294.11020979020981</v>
      </c>
      <c r="O17" s="75">
        <f>'Carrick Knowe'!$M$159</f>
        <v>293.11020979020981</v>
      </c>
      <c r="P17" s="75">
        <f>'Carrick Knowe'!$N$159</f>
        <v>295.11020979020981</v>
      </c>
      <c r="Q17" s="75">
        <f>'Carrick Knowe'!$O$159</f>
        <v>296.11020979020981</v>
      </c>
      <c r="R17" s="75">
        <f>'Carrick Knowe'!$P$159</f>
        <v>297.11020979020981</v>
      </c>
      <c r="S17" s="147"/>
      <c r="T17" s="147"/>
      <c r="W17" s="73">
        <v>476</v>
      </c>
      <c r="X17" s="73">
        <v>17</v>
      </c>
      <c r="Y17" s="73">
        <f t="shared" si="0"/>
        <v>-1</v>
      </c>
    </row>
    <row r="18" spans="1:25">
      <c r="A18" s="144" t="s">
        <v>75</v>
      </c>
      <c r="B18" s="392">
        <f>IF(C18=4,84,IF(C18=5,112,IF(C18=6,140,IF(C18=7,210,IF(C18=8,217,IF(C18=9,231,IF(C18=10,259,IF(C18=11,294,IF(C18=12,315,IF(C18=13,329,IF(C18=14,420,IF(C18=15,434,IF(C18=16,462,IF(C18=17,476,IF(C18=18,504,IF(C18=19,546,IF(C18=20,560,IF(C18=21,630,IF(C18=22,651,IF(C18=23,693))))))))))))))))))))</f>
        <v>434</v>
      </c>
      <c r="C18" s="74">
        <v>15</v>
      </c>
      <c r="D18" s="143">
        <v>309</v>
      </c>
      <c r="E18" s="75">
        <f>Castleview!$C$159</f>
        <v>370</v>
      </c>
      <c r="F18" s="75">
        <f>Castleview!$D$159</f>
        <v>412</v>
      </c>
      <c r="G18" s="75">
        <f>Castleview!$E$159</f>
        <v>463</v>
      </c>
      <c r="H18" s="75">
        <f>Castleview!$F$159</f>
        <v>500</v>
      </c>
      <c r="I18" s="75">
        <f>Castleview!$G$159</f>
        <v>519</v>
      </c>
      <c r="J18" s="75">
        <f>Castleview!$H$159</f>
        <v>544.17271641103082</v>
      </c>
      <c r="K18" s="75">
        <f>Castleview!$I$159</f>
        <v>567.37000630750288</v>
      </c>
      <c r="L18" s="75">
        <f>Castleview!$J$159</f>
        <v>605.29972616946566</v>
      </c>
      <c r="M18" s="75">
        <f>Castleview!$K$159</f>
        <v>635</v>
      </c>
      <c r="N18" s="75">
        <f>Castleview!$L$159</f>
        <v>650</v>
      </c>
      <c r="O18" s="75">
        <f>Castleview!$M$159</f>
        <v>656</v>
      </c>
      <c r="P18" s="75">
        <f>Castleview!$N$159</f>
        <v>660</v>
      </c>
      <c r="Q18" s="75">
        <f>Castleview!$O$159</f>
        <v>665.08888575535377</v>
      </c>
      <c r="R18" s="75">
        <f>Castleview!$P$159</f>
        <v>672.08888575535377</v>
      </c>
      <c r="S18" s="147" t="s">
        <v>189</v>
      </c>
      <c r="T18" s="147"/>
      <c r="W18" s="73">
        <v>434</v>
      </c>
      <c r="X18" s="73">
        <v>15</v>
      </c>
      <c r="Y18" s="73">
        <f t="shared" si="0"/>
        <v>0</v>
      </c>
    </row>
    <row r="19" spans="1:25">
      <c r="A19" s="144" t="s">
        <v>19</v>
      </c>
      <c r="B19" s="392">
        <f t="shared" si="1"/>
        <v>476</v>
      </c>
      <c r="C19" s="74">
        <v>17</v>
      </c>
      <c r="D19" s="143">
        <v>461</v>
      </c>
      <c r="E19" s="75">
        <f>Clermiston!$C$159</f>
        <v>465.53963946501261</v>
      </c>
      <c r="F19" s="75">
        <f>Clermiston!$D$159</f>
        <v>472</v>
      </c>
      <c r="G19" s="75">
        <f>Clermiston!$E$159</f>
        <v>486</v>
      </c>
      <c r="H19" s="75">
        <f>Clermiston!$F$159</f>
        <v>475.1979065710409</v>
      </c>
      <c r="I19" s="75">
        <f>Clermiston!$G$159</f>
        <v>461</v>
      </c>
      <c r="J19" s="75">
        <f>Clermiston!$H$159</f>
        <v>459</v>
      </c>
      <c r="K19" s="75">
        <f>Clermiston!$I$159</f>
        <v>454</v>
      </c>
      <c r="L19" s="75">
        <f>Clermiston!$J$159</f>
        <v>459.77166117464623</v>
      </c>
      <c r="M19" s="75">
        <f>Clermiston!$K$159</f>
        <v>462.77166117464623</v>
      </c>
      <c r="N19" s="75">
        <f>Clermiston!$L$159</f>
        <v>460.66194999030819</v>
      </c>
      <c r="O19" s="75">
        <f>Clermiston!$M$159</f>
        <v>473.66194999030819</v>
      </c>
      <c r="P19" s="75">
        <f>Clermiston!$N$159</f>
        <v>475.77166117464623</v>
      </c>
      <c r="Q19" s="75">
        <f>Clermiston!$O$159</f>
        <v>479.77166117464623</v>
      </c>
      <c r="R19" s="75">
        <f>Clermiston!$P$159</f>
        <v>483.77166117464623</v>
      </c>
      <c r="S19" s="147"/>
      <c r="T19" s="147"/>
      <c r="W19" s="73">
        <v>462</v>
      </c>
      <c r="X19" s="73">
        <v>16</v>
      </c>
      <c r="Y19" s="73">
        <f t="shared" si="0"/>
        <v>-1</v>
      </c>
    </row>
    <row r="20" spans="1:25">
      <c r="A20" s="144" t="s">
        <v>20</v>
      </c>
      <c r="B20" s="392">
        <f t="shared" si="1"/>
        <v>434</v>
      </c>
      <c r="C20" s="74">
        <v>15</v>
      </c>
      <c r="D20" s="143">
        <v>232</v>
      </c>
      <c r="E20" s="75">
        <f>Clovenstone!$C$159</f>
        <v>228</v>
      </c>
      <c r="F20" s="75">
        <f>Clovenstone!$D$159</f>
        <v>224</v>
      </c>
      <c r="G20" s="75">
        <f>Clovenstone!$E$159</f>
        <v>213</v>
      </c>
      <c r="H20" s="75">
        <f>Clovenstone!$F$159</f>
        <v>201</v>
      </c>
      <c r="I20" s="75">
        <f>Clovenstone!$G$159</f>
        <v>193</v>
      </c>
      <c r="J20" s="75">
        <f>Clovenstone!$H$159</f>
        <v>185</v>
      </c>
      <c r="K20" s="75">
        <f>Clovenstone!$I$159</f>
        <v>175</v>
      </c>
      <c r="L20" s="75">
        <f>Clovenstone!$J$159</f>
        <v>175</v>
      </c>
      <c r="M20" s="75">
        <f>Clovenstone!$K$159</f>
        <v>175</v>
      </c>
      <c r="N20" s="75">
        <f>Clovenstone!$L$159</f>
        <v>175</v>
      </c>
      <c r="O20" s="75">
        <f>Clovenstone!$M$159</f>
        <v>175</v>
      </c>
      <c r="P20" s="75">
        <f>Clovenstone!$N$159</f>
        <v>175</v>
      </c>
      <c r="Q20" s="75">
        <f>Clovenstone!$O$159</f>
        <v>175</v>
      </c>
      <c r="R20" s="75">
        <f>Clovenstone!$P$159</f>
        <v>175</v>
      </c>
      <c r="S20" s="147"/>
      <c r="T20" s="147"/>
      <c r="W20" s="73">
        <v>329</v>
      </c>
      <c r="X20" s="73">
        <v>13</v>
      </c>
      <c r="Y20" s="73">
        <f t="shared" si="0"/>
        <v>-2</v>
      </c>
    </row>
    <row r="21" spans="1:25">
      <c r="A21" s="144" t="s">
        <v>21</v>
      </c>
      <c r="B21" s="392">
        <f t="shared" si="1"/>
        <v>315</v>
      </c>
      <c r="C21" s="74">
        <v>12</v>
      </c>
      <c r="D21" s="143">
        <v>159</v>
      </c>
      <c r="E21" s="75">
        <f>Colinton!$C$159</f>
        <v>142.28518518518518</v>
      </c>
      <c r="F21" s="75">
        <f>Colinton!$D$159</f>
        <v>134.50370370370371</v>
      </c>
      <c r="G21" s="75">
        <f>Colinton!$E$159</f>
        <v>133</v>
      </c>
      <c r="H21" s="75">
        <f>Colinton!$F$159</f>
        <v>117.50370370370371</v>
      </c>
      <c r="I21" s="75">
        <f>Colinton!$G$159</f>
        <v>113.84814814814814</v>
      </c>
      <c r="J21" s="75">
        <f>Colinton!$H$159</f>
        <v>105.84814814814814</v>
      </c>
      <c r="K21" s="75">
        <f>Colinton!$I$159</f>
        <v>106.62962962962963</v>
      </c>
      <c r="L21" s="75">
        <f>Colinton!$J$159</f>
        <v>108.62962962962963</v>
      </c>
      <c r="M21" s="75">
        <f>Colinton!$K$159</f>
        <v>109.62962962962963</v>
      </c>
      <c r="N21" s="75">
        <f>Colinton!$L$159</f>
        <v>110.62962962962963</v>
      </c>
      <c r="O21" s="75">
        <f>Colinton!$M$159</f>
        <v>111.62962962962963</v>
      </c>
      <c r="P21" s="75">
        <f>Colinton!$N$159</f>
        <v>111.62962962962963</v>
      </c>
      <c r="Q21" s="75">
        <f>Colinton!$O$159</f>
        <v>111.62962962962963</v>
      </c>
      <c r="R21" s="75">
        <f>Colinton!$P$159</f>
        <v>111.62962962962963</v>
      </c>
      <c r="S21" s="147"/>
      <c r="T21" s="147"/>
      <c r="W21" s="73">
        <v>294</v>
      </c>
      <c r="X21" s="73">
        <v>11</v>
      </c>
      <c r="Y21" s="73">
        <f t="shared" si="0"/>
        <v>-1</v>
      </c>
    </row>
    <row r="22" spans="1:25">
      <c r="A22" s="144" t="s">
        <v>22</v>
      </c>
      <c r="B22" s="392">
        <f t="shared" si="1"/>
        <v>630</v>
      </c>
      <c r="C22" s="74">
        <v>21</v>
      </c>
      <c r="D22" s="143">
        <v>562</v>
      </c>
      <c r="E22" s="75">
        <f>Corstorphine!$C$159</f>
        <v>542</v>
      </c>
      <c r="F22" s="75">
        <f>Corstorphine!$D$159</f>
        <v>542</v>
      </c>
      <c r="G22" s="75">
        <f>Corstorphine!$E$159</f>
        <v>560</v>
      </c>
      <c r="H22" s="75">
        <f>Corstorphine!$F$159</f>
        <v>581</v>
      </c>
      <c r="I22" s="75">
        <f>Corstorphine!$G$159</f>
        <v>632</v>
      </c>
      <c r="J22" s="75">
        <f>Corstorphine!$H$159</f>
        <v>687</v>
      </c>
      <c r="K22" s="75">
        <f>Corstorphine!$I$159</f>
        <v>706</v>
      </c>
      <c r="L22" s="75">
        <f>Corstorphine!$J$159</f>
        <v>745</v>
      </c>
      <c r="M22" s="75">
        <f>Corstorphine!$K$159</f>
        <v>776</v>
      </c>
      <c r="N22" s="75">
        <f>Corstorphine!$L$159</f>
        <v>819</v>
      </c>
      <c r="O22" s="75">
        <f>Corstorphine!$M$159</f>
        <v>855</v>
      </c>
      <c r="P22" s="75">
        <f>Corstorphine!$N$159</f>
        <v>883</v>
      </c>
      <c r="Q22" s="75">
        <f>Corstorphine!$O$159</f>
        <v>906</v>
      </c>
      <c r="R22" s="75">
        <f>Corstorphine!$P$159</f>
        <v>930</v>
      </c>
      <c r="S22" s="147" t="s">
        <v>189</v>
      </c>
      <c r="T22" s="147"/>
      <c r="W22" s="73">
        <v>560</v>
      </c>
      <c r="X22" s="73">
        <v>20</v>
      </c>
      <c r="Y22" s="73">
        <f t="shared" si="0"/>
        <v>-1</v>
      </c>
    </row>
    <row r="23" spans="1:25">
      <c r="A23" s="144" t="s">
        <v>23</v>
      </c>
      <c r="B23" s="392">
        <f t="shared" si="1"/>
        <v>420</v>
      </c>
      <c r="C23" s="74">
        <v>14</v>
      </c>
      <c r="D23" s="143">
        <v>272</v>
      </c>
      <c r="E23" s="75">
        <f>Craigentinny!$C$159</f>
        <v>273</v>
      </c>
      <c r="F23" s="75">
        <f>Craigentinny!$D$159</f>
        <v>274.93960048575445</v>
      </c>
      <c r="G23" s="75">
        <f>Craigentinny!$E$159</f>
        <v>291.63356053432994</v>
      </c>
      <c r="H23" s="75">
        <f>Craigentinny!$F$159</f>
        <v>294.20080847603936</v>
      </c>
      <c r="I23" s="75">
        <f>Craigentinny!$G$159</f>
        <v>297.15597651489975</v>
      </c>
      <c r="J23" s="75">
        <f>Craigentinny!$H$159</f>
        <v>292.89476852461485</v>
      </c>
      <c r="K23" s="75">
        <f>Craigentinny!$I$159</f>
        <v>297.89476852461485</v>
      </c>
      <c r="L23" s="75">
        <f>Craigentinny!$J$159</f>
        <v>297.63356053432994</v>
      </c>
      <c r="M23" s="75">
        <f>Craigentinny!$K$159</f>
        <v>300.37235254404504</v>
      </c>
      <c r="N23" s="75">
        <f>Craigentinny!$L$159</f>
        <v>299.37235254404504</v>
      </c>
      <c r="O23" s="75">
        <f>Craigentinny!$M$159</f>
        <v>303.37235254404504</v>
      </c>
      <c r="P23" s="75">
        <f>Craigentinny!$N$159</f>
        <v>304.37235254404504</v>
      </c>
      <c r="Q23" s="75">
        <f>Craigentinny!$O$159</f>
        <v>304.37235254404504</v>
      </c>
      <c r="R23" s="75">
        <f>Craigentinny!$P$159</f>
        <v>304.37235254404504</v>
      </c>
      <c r="S23" s="147"/>
      <c r="T23" s="147"/>
      <c r="W23" s="73">
        <v>315</v>
      </c>
      <c r="X23" s="73">
        <v>12</v>
      </c>
      <c r="Y23" s="73">
        <f t="shared" si="0"/>
        <v>-2</v>
      </c>
    </row>
    <row r="24" spans="1:25">
      <c r="A24" s="144" t="s">
        <v>24</v>
      </c>
      <c r="B24" s="392">
        <f t="shared" si="1"/>
        <v>476</v>
      </c>
      <c r="C24" s="74">
        <v>17</v>
      </c>
      <c r="D24" s="143">
        <v>401</v>
      </c>
      <c r="E24" s="75">
        <f>Craiglockhart!$C$159</f>
        <v>387.87753888157573</v>
      </c>
      <c r="F24" s="75">
        <f>Craiglockhart!$D$159</f>
        <v>370.7740041928721</v>
      </c>
      <c r="G24" s="75">
        <f>Craiglockhart!$E$159</f>
        <v>364</v>
      </c>
      <c r="H24" s="75">
        <f>Craiglockhart!$F$159</f>
        <v>345</v>
      </c>
      <c r="I24" s="75">
        <f>Craiglockhart!$G$159</f>
        <v>318.92930622592758</v>
      </c>
      <c r="J24" s="75">
        <f>Craiglockhart!$H$159</f>
        <v>307.87753888157573</v>
      </c>
      <c r="K24" s="75">
        <f>Craiglockhart!$I$159</f>
        <v>306.87753888157573</v>
      </c>
      <c r="L24" s="75">
        <f>Craiglockhart!$J$159</f>
        <v>307.82577153722394</v>
      </c>
      <c r="M24" s="75">
        <f>Craiglockhart!$K$159</f>
        <v>307.82577153722394</v>
      </c>
      <c r="N24" s="75">
        <f>Craiglockhart!$L$159</f>
        <v>305.82577153722394</v>
      </c>
      <c r="O24" s="75">
        <f>Craiglockhart!$M$159</f>
        <v>321.82577153722394</v>
      </c>
      <c r="P24" s="75">
        <f>Craiglockhart!$N$159</f>
        <v>324.7740041928721</v>
      </c>
      <c r="Q24" s="75">
        <f>Craiglockhart!$O$159</f>
        <v>326.7740041928721</v>
      </c>
      <c r="R24" s="75">
        <f>Craiglockhart!$P$159</f>
        <v>328.7740041928721</v>
      </c>
      <c r="S24" s="147"/>
      <c r="T24" s="147"/>
      <c r="W24" s="73">
        <v>476</v>
      </c>
      <c r="X24" s="73">
        <v>17</v>
      </c>
      <c r="Y24" s="73">
        <f t="shared" si="0"/>
        <v>0</v>
      </c>
    </row>
    <row r="25" spans="1:25">
      <c r="A25" s="144" t="s">
        <v>82</v>
      </c>
      <c r="B25" s="392">
        <f t="shared" si="1"/>
        <v>560</v>
      </c>
      <c r="C25" s="74">
        <v>20</v>
      </c>
      <c r="D25" s="143">
        <v>477</v>
      </c>
      <c r="E25" s="75">
        <f>'Craigour Park'!$C$159</f>
        <v>477</v>
      </c>
      <c r="F25" s="75">
        <f>'Craigour Park'!$D$159</f>
        <v>454</v>
      </c>
      <c r="G25" s="75">
        <f>'Craigour Park'!$E$159</f>
        <v>470</v>
      </c>
      <c r="H25" s="75">
        <f>'Craigour Park'!$F$159</f>
        <v>472</v>
      </c>
      <c r="I25" s="75">
        <f>'Craigour Park'!$G$159</f>
        <v>483</v>
      </c>
      <c r="J25" s="75">
        <f>'Craigour Park'!$H$159</f>
        <v>481</v>
      </c>
      <c r="K25" s="75">
        <f>'Craigour Park'!$I$159</f>
        <v>504.62289103846746</v>
      </c>
      <c r="L25" s="75">
        <f>'Craigour Park'!$J$159</f>
        <v>516.98390841795492</v>
      </c>
      <c r="M25" s="75">
        <f>'Craigour Park'!$K$159</f>
        <v>533.66441710769868</v>
      </c>
      <c r="N25" s="75">
        <f>'Craigour Park'!$L$159</f>
        <v>534.50467145257051</v>
      </c>
      <c r="O25" s="75">
        <f>'Craigour Park'!$M$159</f>
        <v>547.50467145257051</v>
      </c>
      <c r="P25" s="75">
        <f>'Craigour Park'!$N$159</f>
        <v>552.50467145257051</v>
      </c>
      <c r="Q25" s="75">
        <f>'Craigour Park'!$O$159</f>
        <v>557.50467145257051</v>
      </c>
      <c r="R25" s="75">
        <f>'Craigour Park'!$P$159</f>
        <v>561.50467145257051</v>
      </c>
      <c r="S25" s="147" t="s">
        <v>189</v>
      </c>
      <c r="T25" s="147"/>
      <c r="W25" s="73">
        <v>630</v>
      </c>
      <c r="X25" s="73">
        <v>21</v>
      </c>
      <c r="Y25" s="73">
        <f t="shared" si="0"/>
        <v>1</v>
      </c>
    </row>
    <row r="26" spans="1:25">
      <c r="A26" s="144" t="s">
        <v>76</v>
      </c>
      <c r="B26" s="392">
        <f t="shared" si="1"/>
        <v>434</v>
      </c>
      <c r="C26" s="74">
        <v>15</v>
      </c>
      <c r="D26" s="143">
        <v>283</v>
      </c>
      <c r="E26" s="75">
        <f>Craigroyston!$C$159</f>
        <v>309</v>
      </c>
      <c r="F26" s="75">
        <f>Craigroyston!$D$159</f>
        <v>315.0074034902168</v>
      </c>
      <c r="G26" s="75">
        <f>Craigroyston!$E$159</f>
        <v>317</v>
      </c>
      <c r="H26" s="75">
        <f>Craigroyston!$F$159</f>
        <v>338</v>
      </c>
      <c r="I26" s="75">
        <f>Craigroyston!$G$159</f>
        <v>339</v>
      </c>
      <c r="J26" s="75">
        <f>Craigroyston!$H$159</f>
        <v>350.80305205106896</v>
      </c>
      <c r="K26" s="75">
        <f>Craigroyston!$I$159</f>
        <v>357</v>
      </c>
      <c r="L26" s="75">
        <f>Craigroyston!$J$159</f>
        <v>366</v>
      </c>
      <c r="M26" s="75">
        <f>Craigroyston!$K$159</f>
        <v>376</v>
      </c>
      <c r="N26" s="75">
        <f>Craigroyston!$L$159</f>
        <v>380</v>
      </c>
      <c r="O26" s="75">
        <f>Craigroyston!$M$159</f>
        <v>378</v>
      </c>
      <c r="P26" s="75">
        <f>Craigroyston!$N$159</f>
        <v>384</v>
      </c>
      <c r="Q26" s="75">
        <f>Craigroyston!$O$159</f>
        <v>383</v>
      </c>
      <c r="R26" s="75">
        <f>Craigroyston!$P$159</f>
        <v>382</v>
      </c>
      <c r="S26" s="147"/>
      <c r="T26" s="147"/>
      <c r="W26" s="73">
        <v>434</v>
      </c>
      <c r="X26" s="73">
        <v>15</v>
      </c>
      <c r="Y26" s="73">
        <f t="shared" si="0"/>
        <v>0</v>
      </c>
    </row>
    <row r="27" spans="1:25">
      <c r="A27" s="144" t="s">
        <v>25</v>
      </c>
      <c r="B27" s="392">
        <f t="shared" si="1"/>
        <v>476</v>
      </c>
      <c r="C27" s="74">
        <v>17</v>
      </c>
      <c r="D27" s="143">
        <v>441</v>
      </c>
      <c r="E27" s="75">
        <f>Cramond!$C$159</f>
        <v>438</v>
      </c>
      <c r="F27" s="75">
        <f>Cramond!$D$159</f>
        <v>441</v>
      </c>
      <c r="G27" s="75">
        <f>Cramond!$E$159</f>
        <v>448</v>
      </c>
      <c r="H27" s="75">
        <f>Cramond!$F$159</f>
        <v>448</v>
      </c>
      <c r="I27" s="75">
        <f>Cramond!$G$159</f>
        <v>462</v>
      </c>
      <c r="J27" s="75">
        <f>Cramond!$H$159</f>
        <v>459</v>
      </c>
      <c r="K27" s="75">
        <f>Cramond!$I$159</f>
        <v>474</v>
      </c>
      <c r="L27" s="75">
        <f>Cramond!$J$159</f>
        <v>482</v>
      </c>
      <c r="M27" s="75">
        <f>Cramond!$K$159</f>
        <v>493</v>
      </c>
      <c r="N27" s="75">
        <f>Cramond!$L$159</f>
        <v>506.95706037245009</v>
      </c>
      <c r="O27" s="75">
        <f>Cramond!$M$159</f>
        <v>517.95706037245009</v>
      </c>
      <c r="P27" s="75">
        <f>Cramond!$N$159</f>
        <v>525.95706037245009</v>
      </c>
      <c r="Q27" s="75">
        <f>Cramond!$O$159</f>
        <v>530.95706037245009</v>
      </c>
      <c r="R27" s="75">
        <f>Cramond!$P$159</f>
        <v>536.95706037245009</v>
      </c>
      <c r="S27" s="147" t="s">
        <v>189</v>
      </c>
      <c r="T27" s="147"/>
      <c r="W27" s="73">
        <v>434</v>
      </c>
      <c r="X27" s="73">
        <v>15</v>
      </c>
      <c r="Y27" s="73">
        <f t="shared" si="0"/>
        <v>-2</v>
      </c>
    </row>
    <row r="28" spans="1:25">
      <c r="A28" s="144" t="s">
        <v>77</v>
      </c>
      <c r="B28" s="392">
        <f t="shared" si="1"/>
        <v>546</v>
      </c>
      <c r="C28" s="74">
        <v>19</v>
      </c>
      <c r="D28" s="143">
        <v>484</v>
      </c>
      <c r="E28" s="75">
        <f>Currie!$C$159</f>
        <v>526</v>
      </c>
      <c r="F28" s="75">
        <f>Currie!$D$159</f>
        <v>570</v>
      </c>
      <c r="G28" s="75">
        <f>Currie!$E$159</f>
        <v>604</v>
      </c>
      <c r="H28" s="75">
        <f>Currie!$F$159</f>
        <v>619.60931469031971</v>
      </c>
      <c r="I28" s="75">
        <f>Currie!$G$159</f>
        <v>654.11226138845575</v>
      </c>
      <c r="J28" s="75">
        <f>Currie!$H$159</f>
        <v>674.04125377390369</v>
      </c>
      <c r="K28" s="75">
        <f>Currie!$I$159</f>
        <v>679.97024615935175</v>
      </c>
      <c r="L28" s="75">
        <f>Currie!$J$159</f>
        <v>687.8992385447998</v>
      </c>
      <c r="M28" s="75">
        <f>Currie!$K$159</f>
        <v>686</v>
      </c>
      <c r="N28" s="75">
        <f>Currie!$L$159</f>
        <v>698</v>
      </c>
      <c r="O28" s="75">
        <f>Currie!$M$159</f>
        <v>711</v>
      </c>
      <c r="P28" s="75">
        <f>Currie!$N$159</f>
        <v>715</v>
      </c>
      <c r="Q28" s="75">
        <f>Currie!$O$159</f>
        <v>717</v>
      </c>
      <c r="R28" s="75">
        <f>Currie!$P$159</f>
        <v>718</v>
      </c>
      <c r="S28" s="393" t="s">
        <v>409</v>
      </c>
      <c r="T28" s="147"/>
      <c r="W28" s="73">
        <v>434</v>
      </c>
      <c r="X28" s="73">
        <v>15</v>
      </c>
      <c r="Y28" s="73">
        <f t="shared" si="0"/>
        <v>-4</v>
      </c>
    </row>
    <row r="29" spans="1:25">
      <c r="A29" s="144" t="s">
        <v>26</v>
      </c>
      <c r="B29" s="392">
        <f t="shared" si="1"/>
        <v>112</v>
      </c>
      <c r="C29" s="74">
        <v>5</v>
      </c>
      <c r="D29" s="143">
        <v>91</v>
      </c>
      <c r="E29" s="75">
        <f>Dalmeny!$C$159</f>
        <v>97.333333333333329</v>
      </c>
      <c r="F29" s="75">
        <f>Dalmeny!$D$159</f>
        <v>102.06666666666666</v>
      </c>
      <c r="G29" s="75">
        <f>Dalmeny!$E$159</f>
        <v>111.73333333333333</v>
      </c>
      <c r="H29" s="75">
        <f>Dalmeny!$F$159</f>
        <v>120</v>
      </c>
      <c r="I29" s="75">
        <f>Dalmeny!$G$159</f>
        <v>133.66666666666666</v>
      </c>
      <c r="J29" s="75">
        <f>Dalmeny!$H$159</f>
        <v>150</v>
      </c>
      <c r="K29" s="75">
        <f>Dalmeny!$I$159</f>
        <v>151</v>
      </c>
      <c r="L29" s="75">
        <f>Dalmeny!$J$159</f>
        <v>160</v>
      </c>
      <c r="M29" s="75">
        <f>Dalmeny!$K$159</f>
        <v>164</v>
      </c>
      <c r="N29" s="75">
        <f>Dalmeny!$L$159</f>
        <v>165</v>
      </c>
      <c r="O29" s="75">
        <f>Dalmeny!$M$159</f>
        <v>165</v>
      </c>
      <c r="P29" s="75">
        <f>Dalmeny!$N$159</f>
        <v>165</v>
      </c>
      <c r="Q29" s="75">
        <f>Dalmeny!$O$159</f>
        <v>165</v>
      </c>
      <c r="R29" s="75">
        <f>Dalmeny!$P$159</f>
        <v>165</v>
      </c>
      <c r="S29" s="147" t="s">
        <v>408</v>
      </c>
      <c r="T29" s="147"/>
      <c r="W29" s="73">
        <v>112</v>
      </c>
      <c r="X29" s="73">
        <v>5</v>
      </c>
      <c r="Y29" s="73">
        <f t="shared" si="0"/>
        <v>0</v>
      </c>
    </row>
    <row r="30" spans="1:25">
      <c r="A30" s="144" t="s">
        <v>27</v>
      </c>
      <c r="B30" s="392">
        <f t="shared" si="1"/>
        <v>420</v>
      </c>
      <c r="C30" s="74">
        <v>14</v>
      </c>
      <c r="D30" s="143">
        <v>247</v>
      </c>
      <c r="E30" s="75">
        <f>Dalry!$C$159</f>
        <v>238</v>
      </c>
      <c r="F30" s="75">
        <f>Dalry!$D$159</f>
        <v>240.68107242897159</v>
      </c>
      <c r="G30" s="75">
        <f>Dalry!$E$159</f>
        <v>242.68627450980392</v>
      </c>
      <c r="H30" s="75">
        <f>Dalry!$F$159</f>
        <v>234.19407763105244</v>
      </c>
      <c r="I30" s="75">
        <f>Dalry!$G$159</f>
        <v>243.43497398959585</v>
      </c>
      <c r="J30" s="75">
        <f>Dalry!$H$159</f>
        <v>248.18367346938777</v>
      </c>
      <c r="K30" s="75">
        <f>Dalry!$I$159</f>
        <v>244.68107242897159</v>
      </c>
      <c r="L30" s="75">
        <f>Dalry!$J$159</f>
        <v>257.68107242897156</v>
      </c>
      <c r="M30" s="75">
        <f>Dalry!$K$159</f>
        <v>258.68107242897156</v>
      </c>
      <c r="N30" s="75">
        <f>Dalry!$L$159</f>
        <v>258.68107242897156</v>
      </c>
      <c r="O30" s="75">
        <f>Dalry!$M$159</f>
        <v>262.68107242897156</v>
      </c>
      <c r="P30" s="75">
        <f>Dalry!$N$159</f>
        <v>262.68107242897156</v>
      </c>
      <c r="Q30" s="75">
        <f>Dalry!$O$159</f>
        <v>263.42977190876354</v>
      </c>
      <c r="R30" s="75">
        <f>Dalry!$P$159</f>
        <v>263.68107242897156</v>
      </c>
      <c r="S30" s="147"/>
      <c r="T30" s="147"/>
      <c r="W30" s="73">
        <v>420</v>
      </c>
      <c r="X30" s="73">
        <v>14</v>
      </c>
      <c r="Y30" s="73">
        <f t="shared" si="0"/>
        <v>0</v>
      </c>
    </row>
    <row r="31" spans="1:25">
      <c r="A31" s="144" t="s">
        <v>28</v>
      </c>
      <c r="B31" s="392">
        <f t="shared" si="1"/>
        <v>630</v>
      </c>
      <c r="C31" s="74">
        <v>21</v>
      </c>
      <c r="D31" s="143">
        <v>570</v>
      </c>
      <c r="E31" s="75">
        <f>'Davidsons Mains'!$C$159</f>
        <v>564.95551139813438</v>
      </c>
      <c r="F31" s="75">
        <f>'Davidsons Mains'!$D$159</f>
        <v>554.01392535818763</v>
      </c>
      <c r="G31" s="75">
        <f>'Davidsons Mains'!$E$159</f>
        <v>540.18916723834764</v>
      </c>
      <c r="H31" s="75">
        <f>'Davidsons Mains'!$F$159</f>
        <v>511</v>
      </c>
      <c r="I31" s="75">
        <f>'Davidsons Mains'!$G$159</f>
        <v>514.15996025832089</v>
      </c>
      <c r="J31" s="75">
        <f>'Davidsons Mains'!$H$159</f>
        <v>507</v>
      </c>
      <c r="K31" s="75">
        <f>'Davidsons Mains'!$I$159</f>
        <v>499</v>
      </c>
      <c r="L31" s="75">
        <f>'Davidsons Mains'!$J$159</f>
        <v>492</v>
      </c>
      <c r="M31" s="75">
        <f>'Davidsons Mains'!$K$159</f>
        <v>487</v>
      </c>
      <c r="N31" s="75">
        <f>'Davidsons Mains'!$L$159</f>
        <v>489</v>
      </c>
      <c r="O31" s="75">
        <f>'Davidsons Mains'!$M$159</f>
        <v>495</v>
      </c>
      <c r="P31" s="75">
        <f>'Davidsons Mains'!$N$159</f>
        <v>496</v>
      </c>
      <c r="Q31" s="75">
        <f>'Davidsons Mains'!$O$159</f>
        <v>496</v>
      </c>
      <c r="R31" s="75">
        <f>'Davidsons Mains'!$P$159</f>
        <v>496</v>
      </c>
      <c r="S31" s="147"/>
      <c r="T31" s="147"/>
      <c r="W31" s="73">
        <v>546</v>
      </c>
      <c r="X31" s="73">
        <v>19</v>
      </c>
      <c r="Y31" s="73">
        <f t="shared" si="0"/>
        <v>-2</v>
      </c>
    </row>
    <row r="32" spans="1:25">
      <c r="A32" s="144" t="s">
        <v>29</v>
      </c>
      <c r="B32" s="392">
        <f t="shared" si="1"/>
        <v>476</v>
      </c>
      <c r="C32" s="74">
        <v>17</v>
      </c>
      <c r="D32" s="143">
        <v>463</v>
      </c>
      <c r="E32" s="75">
        <f>'Dean Park'!$C$159</f>
        <v>476</v>
      </c>
      <c r="F32" s="75">
        <f>'Dean Park'!$D$159</f>
        <v>472.93560872624914</v>
      </c>
      <c r="G32" s="75">
        <f>'Dean Park'!$E$159</f>
        <v>464.109781843772</v>
      </c>
      <c r="H32" s="75">
        <f>'Dean Park'!$F$159</f>
        <v>464.95496129486276</v>
      </c>
      <c r="I32" s="75">
        <f>'Dean Park'!$G$159</f>
        <v>442.97431386347643</v>
      </c>
      <c r="J32" s="75">
        <f>'Dean Park'!$H$159</f>
        <v>431.95496129486276</v>
      </c>
      <c r="K32" s="75">
        <f>'Dean Park'!$I$159</f>
        <v>434.95496129486276</v>
      </c>
      <c r="L32" s="75">
        <f>'Dean Park'!$J$159</f>
        <v>413.93560872624914</v>
      </c>
      <c r="M32" s="75">
        <f>'Dean Park'!$K$159</f>
        <v>412.93560872624914</v>
      </c>
      <c r="N32" s="75">
        <f>'Dean Park'!$L$159</f>
        <v>423.93560872624914</v>
      </c>
      <c r="O32" s="75">
        <f>'Dean Park'!$M$159</f>
        <v>425.91625615763547</v>
      </c>
      <c r="P32" s="75">
        <f>'Dean Park'!$N$159</f>
        <v>429.91625615763547</v>
      </c>
      <c r="Q32" s="75">
        <f>'Dean Park'!$O$159</f>
        <v>431.91625615763547</v>
      </c>
      <c r="R32" s="75">
        <f>'Dean Park'!$P$159</f>
        <v>433.91625615763547</v>
      </c>
      <c r="S32" s="147"/>
      <c r="T32" s="147"/>
      <c r="W32" s="73">
        <v>476</v>
      </c>
      <c r="X32" s="73">
        <v>17</v>
      </c>
      <c r="Y32" s="73">
        <f t="shared" si="0"/>
        <v>0</v>
      </c>
    </row>
    <row r="33" spans="1:25">
      <c r="A33" s="144" t="s">
        <v>30</v>
      </c>
      <c r="B33" s="392">
        <f t="shared" si="1"/>
        <v>434</v>
      </c>
      <c r="C33" s="74">
        <v>15</v>
      </c>
      <c r="D33" s="143">
        <v>395</v>
      </c>
      <c r="E33" s="75">
        <f>Duddingston!$C$159</f>
        <v>368</v>
      </c>
      <c r="F33" s="75">
        <f>Duddingston!$D$159</f>
        <v>363</v>
      </c>
      <c r="G33" s="75">
        <f>Duddingston!$E$159</f>
        <v>371</v>
      </c>
      <c r="H33" s="75">
        <f>Duddingston!$F$159</f>
        <v>375</v>
      </c>
      <c r="I33" s="75">
        <f>Duddingston!$G$159</f>
        <v>371</v>
      </c>
      <c r="J33" s="75">
        <f>Duddingston!$H$159</f>
        <v>368</v>
      </c>
      <c r="K33" s="75">
        <f>Duddingston!$I$159</f>
        <v>360</v>
      </c>
      <c r="L33" s="75">
        <f>Duddingston!$J$159</f>
        <v>383</v>
      </c>
      <c r="M33" s="75">
        <f>Duddingston!$K$159</f>
        <v>383</v>
      </c>
      <c r="N33" s="75">
        <f>Duddingston!$L$159</f>
        <v>383</v>
      </c>
      <c r="O33" s="75">
        <f>Duddingston!$M$159</f>
        <v>383</v>
      </c>
      <c r="P33" s="75">
        <f>Duddingston!$N$159</f>
        <v>383</v>
      </c>
      <c r="Q33" s="75">
        <f>Duddingston!$O$159</f>
        <v>383</v>
      </c>
      <c r="R33" s="75">
        <f>Duddingston!$P$159</f>
        <v>383</v>
      </c>
      <c r="S33" s="147"/>
      <c r="T33" s="147"/>
      <c r="W33" s="73">
        <v>434</v>
      </c>
      <c r="X33" s="73">
        <v>15</v>
      </c>
      <c r="Y33" s="73">
        <f t="shared" si="0"/>
        <v>0</v>
      </c>
    </row>
    <row r="34" spans="1:25">
      <c r="A34" s="144" t="s">
        <v>31</v>
      </c>
      <c r="B34" s="392">
        <f t="shared" si="1"/>
        <v>476</v>
      </c>
      <c r="C34" s="74">
        <v>17</v>
      </c>
      <c r="D34" s="143">
        <v>421</v>
      </c>
      <c r="E34" s="75">
        <f>'East Craigs'!$C$159</f>
        <v>430.60397838029417</v>
      </c>
      <c r="F34" s="75">
        <f>'East Craigs'!$D$159</f>
        <v>427.99765195817827</v>
      </c>
      <c r="G34" s="75">
        <f>'East Craigs'!$E$159</f>
        <v>413.85061137692719</v>
      </c>
      <c r="H34" s="75">
        <f>'East Craigs'!$F$159</f>
        <v>417</v>
      </c>
      <c r="I34" s="75">
        <f>'East Craigs'!$G$159</f>
        <v>413.06326422115899</v>
      </c>
      <c r="J34" s="75">
        <f>'East Craigs'!$H$159</f>
        <v>425.99765195817827</v>
      </c>
      <c r="K34" s="75">
        <f>'East Craigs'!$I$159</f>
        <v>426.9320396951976</v>
      </c>
      <c r="L34" s="75">
        <f>'East Craigs'!$J$159</f>
        <v>422</v>
      </c>
      <c r="M34" s="75">
        <f>'East Craigs'!$K$159</f>
        <v>423</v>
      </c>
      <c r="N34" s="75">
        <f>'East Craigs'!$L$159</f>
        <v>436</v>
      </c>
      <c r="O34" s="75">
        <f>'East Craigs'!$M$159</f>
        <v>430</v>
      </c>
      <c r="P34" s="75">
        <f>'East Craigs'!$N$159</f>
        <v>432</v>
      </c>
      <c r="Q34" s="75">
        <f>'East Craigs'!$O$159</f>
        <v>433</v>
      </c>
      <c r="R34" s="75">
        <f>'East Craigs'!$P$159</f>
        <v>433</v>
      </c>
      <c r="S34" s="393" t="s">
        <v>409</v>
      </c>
      <c r="T34" s="147"/>
      <c r="W34" s="73">
        <v>420</v>
      </c>
      <c r="X34" s="73">
        <v>14</v>
      </c>
      <c r="Y34" s="73">
        <f t="shared" si="0"/>
        <v>-3</v>
      </c>
    </row>
    <row r="35" spans="1:25">
      <c r="A35" s="144" t="s">
        <v>32</v>
      </c>
      <c r="B35" s="392">
        <f t="shared" si="1"/>
        <v>315</v>
      </c>
      <c r="C35" s="74">
        <v>12</v>
      </c>
      <c r="D35" s="143">
        <v>288</v>
      </c>
      <c r="E35" s="75">
        <f>Echline!$C$159</f>
        <v>291.27083333333337</v>
      </c>
      <c r="F35" s="75">
        <f>Echline!$D$159</f>
        <v>295.36805555555554</v>
      </c>
      <c r="G35" s="75">
        <f>Echline!$E$159</f>
        <v>297.35185185185185</v>
      </c>
      <c r="H35" s="75">
        <f>Echline!$F$159</f>
        <v>304.40046296296293</v>
      </c>
      <c r="I35" s="75">
        <f>Echline!$G$159</f>
        <v>305.31944444444446</v>
      </c>
      <c r="J35" s="75">
        <f>Echline!$H$159</f>
        <v>315.27083333333337</v>
      </c>
      <c r="K35" s="75">
        <f>Echline!$I$159</f>
        <v>348.17361111111109</v>
      </c>
      <c r="L35" s="75">
        <f>Echline!$J$159</f>
        <v>372.1087962962963</v>
      </c>
      <c r="M35" s="75">
        <f>Echline!$K$159</f>
        <v>391</v>
      </c>
      <c r="N35" s="75">
        <f>Echline!$L$159</f>
        <v>422.94675925925924</v>
      </c>
      <c r="O35" s="75">
        <f>Echline!$M$159</f>
        <v>440</v>
      </c>
      <c r="P35" s="75">
        <f>Echline!$N$159</f>
        <v>456.88194444444446</v>
      </c>
      <c r="Q35" s="75">
        <f>Echline!$O$159</f>
        <v>475.84953703703707</v>
      </c>
      <c r="R35" s="75">
        <f>Echline!$P$159</f>
        <v>491</v>
      </c>
      <c r="S35" s="147" t="s">
        <v>189</v>
      </c>
      <c r="T35" s="147"/>
      <c r="W35" s="73">
        <v>329</v>
      </c>
      <c r="X35" s="73">
        <v>13</v>
      </c>
      <c r="Y35" s="73">
        <f t="shared" si="0"/>
        <v>1</v>
      </c>
    </row>
    <row r="36" spans="1:25">
      <c r="A36" s="144" t="s">
        <v>33</v>
      </c>
      <c r="B36" s="392">
        <f t="shared" si="1"/>
        <v>420</v>
      </c>
      <c r="C36" s="74">
        <v>14</v>
      </c>
      <c r="D36" s="143">
        <v>361</v>
      </c>
      <c r="E36" s="75">
        <f>Ferryhill!$C$159</f>
        <v>367.55098257322948</v>
      </c>
      <c r="F36" s="75">
        <f>Ferryhill!$D$159</f>
        <v>373.14281300210109</v>
      </c>
      <c r="G36" s="75">
        <f>Ferryhill!$E$159</f>
        <v>369.3332990016342</v>
      </c>
      <c r="H36" s="75">
        <f>Ferryhill!$F$159</f>
        <v>363.27207871571977</v>
      </c>
      <c r="I36" s="75">
        <f>Ferryhill!$G$159</f>
        <v>355.70744585891043</v>
      </c>
      <c r="J36" s="75">
        <f>Ferryhill!$H$159</f>
        <v>346.55098257322948</v>
      </c>
      <c r="K36" s="75">
        <f>Ferryhill!$I$159</f>
        <v>346.55098257322948</v>
      </c>
      <c r="L36" s="75">
        <f>Ferryhill!$J$159</f>
        <v>347.39451928754858</v>
      </c>
      <c r="M36" s="75">
        <f>Ferryhill!$K$159</f>
        <v>339.39451928754858</v>
      </c>
      <c r="N36" s="75">
        <f>Ferryhill!$L$159</f>
        <v>344.39451928754858</v>
      </c>
      <c r="O36" s="75">
        <f>Ferryhill!$M$159</f>
        <v>354.39451928754858</v>
      </c>
      <c r="P36" s="75">
        <f>Ferryhill!$N$159</f>
        <v>355.39451928754858</v>
      </c>
      <c r="Q36" s="75">
        <f>Ferryhill!$O$159</f>
        <v>355.39451928754858</v>
      </c>
      <c r="R36" s="75">
        <f>Ferryhill!$P$159</f>
        <v>355.39451928754858</v>
      </c>
      <c r="S36" s="393"/>
      <c r="T36" s="147"/>
      <c r="W36" s="73">
        <v>315</v>
      </c>
      <c r="X36" s="73">
        <v>12</v>
      </c>
      <c r="Y36" s="73">
        <f t="shared" si="0"/>
        <v>-2</v>
      </c>
    </row>
    <row r="37" spans="1:25">
      <c r="A37" s="144" t="s">
        <v>78</v>
      </c>
      <c r="B37" s="392">
        <f t="shared" si="1"/>
        <v>630</v>
      </c>
      <c r="C37" s="74">
        <v>21</v>
      </c>
      <c r="D37" s="143">
        <v>597</v>
      </c>
      <c r="E37" s="75">
        <f>'Flora Stevenson'!$C$159</f>
        <v>592.41010742175445</v>
      </c>
      <c r="F37" s="75">
        <f>'Flora Stevenson'!$D$159</f>
        <v>597.41010742175445</v>
      </c>
      <c r="G37" s="75">
        <f>'Flora Stevenson'!$E$159</f>
        <v>577</v>
      </c>
      <c r="H37" s="75">
        <f>'Flora Stevenson'!$F$159</f>
        <v>566</v>
      </c>
      <c r="I37" s="75">
        <f>'Flora Stevenson'!$G$159</f>
        <v>557.45035786677329</v>
      </c>
      <c r="J37" s="75">
        <f>'Flora Stevenson'!$H$159</f>
        <v>558.43023264426392</v>
      </c>
      <c r="K37" s="75">
        <f>'Flora Stevenson'!$I$159</f>
        <v>558.38998219924497</v>
      </c>
      <c r="L37" s="75">
        <f>'Flora Stevenson'!$J$159</f>
        <v>561.38998219924497</v>
      </c>
      <c r="M37" s="75">
        <f>'Flora Stevenson'!$K$159</f>
        <v>567</v>
      </c>
      <c r="N37" s="75">
        <f>'Flora Stevenson'!$L$159</f>
        <v>586</v>
      </c>
      <c r="O37" s="75">
        <f>'Flora Stevenson'!$M$159</f>
        <v>596</v>
      </c>
      <c r="P37" s="75">
        <f>'Flora Stevenson'!$N$159</f>
        <v>597</v>
      </c>
      <c r="Q37" s="75">
        <f>'Flora Stevenson'!$O$159</f>
        <v>598</v>
      </c>
      <c r="R37" s="75">
        <f>'Flora Stevenson'!$P$159</f>
        <v>597</v>
      </c>
      <c r="S37" s="147"/>
      <c r="T37" s="147"/>
      <c r="W37" s="73">
        <v>630</v>
      </c>
      <c r="X37" s="73">
        <v>22</v>
      </c>
      <c r="Y37" s="73">
        <f t="shared" si="0"/>
        <v>1</v>
      </c>
    </row>
    <row r="38" spans="1:25">
      <c r="A38" s="144" t="s">
        <v>34</v>
      </c>
      <c r="B38" s="392">
        <f t="shared" si="1"/>
        <v>434</v>
      </c>
      <c r="C38" s="74">
        <v>15</v>
      </c>
      <c r="D38" s="143">
        <v>413</v>
      </c>
      <c r="E38" s="75">
        <f>Forthview!$C$159</f>
        <v>426</v>
      </c>
      <c r="F38" s="75">
        <f>Forthview!$D$159</f>
        <v>434</v>
      </c>
      <c r="G38" s="75">
        <f>Forthview!$E$159</f>
        <v>438.95281160268564</v>
      </c>
      <c r="H38" s="75">
        <f>Forthview!$F$159</f>
        <v>450</v>
      </c>
      <c r="I38" s="75">
        <f>Forthview!$G$159</f>
        <v>450</v>
      </c>
      <c r="J38" s="75">
        <f>Forthview!$H$159</f>
        <v>459</v>
      </c>
      <c r="K38" s="75">
        <f>Forthview!$I$159</f>
        <v>465</v>
      </c>
      <c r="L38" s="75">
        <f>Forthview!$J$159</f>
        <v>465</v>
      </c>
      <c r="M38" s="75">
        <f>Forthview!$K$159</f>
        <v>465</v>
      </c>
      <c r="N38" s="75">
        <f>Forthview!$L$159</f>
        <v>472</v>
      </c>
      <c r="O38" s="75">
        <f>Forthview!$M$159</f>
        <v>471</v>
      </c>
      <c r="P38" s="75">
        <f>Forthview!$N$159</f>
        <v>476</v>
      </c>
      <c r="Q38" s="75">
        <f>Forthview!$O$159</f>
        <v>475</v>
      </c>
      <c r="R38" s="75">
        <f>Forthview!$P$159</f>
        <v>474</v>
      </c>
      <c r="S38" s="147" t="s">
        <v>189</v>
      </c>
      <c r="T38" s="147"/>
      <c r="W38" s="73">
        <v>420</v>
      </c>
      <c r="X38" s="73">
        <v>14</v>
      </c>
      <c r="Y38" s="73">
        <f t="shared" ref="Y38:Y69" si="2">X38-C38</f>
        <v>-1</v>
      </c>
    </row>
    <row r="39" spans="1:25">
      <c r="A39" s="144" t="s">
        <v>83</v>
      </c>
      <c r="B39" s="392">
        <f t="shared" si="1"/>
        <v>294</v>
      </c>
      <c r="C39" s="74">
        <v>11</v>
      </c>
      <c r="D39" s="143">
        <v>288</v>
      </c>
      <c r="E39" s="75">
        <f>'Fox Covert ND'!$C$159</f>
        <v>301.38251420513461</v>
      </c>
      <c r="F39" s="75">
        <f>'Fox Covert ND'!$D$159</f>
        <v>316.79075110945212</v>
      </c>
      <c r="G39" s="75">
        <f>'Fox Covert ND'!$E$159</f>
        <v>331.18525983990708</v>
      </c>
      <c r="H39" s="75">
        <f>'Fox Covert ND'!$F$159</f>
        <v>346.34306333208906</v>
      </c>
      <c r="I39" s="75">
        <f>'Fox Covert ND'!$G$159</f>
        <v>350</v>
      </c>
      <c r="J39" s="75">
        <f>'Fox Covert ND'!$H$159</f>
        <v>352</v>
      </c>
      <c r="K39" s="75">
        <f>'Fox Covert ND'!$I$159</f>
        <v>359</v>
      </c>
      <c r="L39" s="75">
        <f>'Fox Covert ND'!$J$159</f>
        <v>367</v>
      </c>
      <c r="M39" s="75">
        <f>'Fox Covert ND'!$K$159</f>
        <v>359</v>
      </c>
      <c r="N39" s="75">
        <f>'Fox Covert ND'!$L$159</f>
        <v>362</v>
      </c>
      <c r="O39" s="75">
        <f>'Fox Covert ND'!$M$159</f>
        <v>369</v>
      </c>
      <c r="P39" s="75">
        <f>'Fox Covert ND'!$N$159</f>
        <v>369</v>
      </c>
      <c r="Q39" s="75">
        <f>'Fox Covert ND'!$O$159</f>
        <v>369</v>
      </c>
      <c r="R39" s="75">
        <f>'Fox Covert ND'!$P$159</f>
        <v>369</v>
      </c>
      <c r="S39" s="147"/>
      <c r="T39" s="147"/>
      <c r="W39" s="73">
        <v>217</v>
      </c>
      <c r="X39" s="73">
        <v>8</v>
      </c>
      <c r="Y39" s="73">
        <f t="shared" si="2"/>
        <v>-3</v>
      </c>
    </row>
    <row r="40" spans="1:25">
      <c r="A40" s="144" t="s">
        <v>397</v>
      </c>
      <c r="B40" s="392">
        <f t="shared" si="1"/>
        <v>217</v>
      </c>
      <c r="C40" s="74">
        <v>8</v>
      </c>
      <c r="D40" s="143">
        <v>162</v>
      </c>
      <c r="E40" s="75">
        <f>'Fox Covert RC'!$C$159</f>
        <v>161.25903263403262</v>
      </c>
      <c r="F40" s="75">
        <f>'Fox Covert RC'!$D$159</f>
        <v>152.25903263403262</v>
      </c>
      <c r="G40" s="75">
        <f>'Fox Covert RC'!$E$159</f>
        <v>156.25903263403262</v>
      </c>
      <c r="H40" s="75">
        <f>'Fox Covert RC'!$F$159</f>
        <v>162</v>
      </c>
      <c r="I40" s="75">
        <f>'Fox Covert RC'!$G$159</f>
        <v>176</v>
      </c>
      <c r="J40" s="75">
        <f>'Fox Covert RC'!$H$159</f>
        <v>186</v>
      </c>
      <c r="K40" s="75">
        <f>'Fox Covert RC'!$I$159</f>
        <v>195</v>
      </c>
      <c r="L40" s="75">
        <f>'Fox Covert RC'!$J$159</f>
        <v>202.63228438228438</v>
      </c>
      <c r="M40" s="75">
        <f>'Fox Covert RC'!$K$159</f>
        <v>210.5626456876457</v>
      </c>
      <c r="N40" s="75">
        <f>'Fox Covert RC'!$L$159</f>
        <v>219.49300699300699</v>
      </c>
      <c r="O40" s="75">
        <f>'Fox Covert RC'!$M$159</f>
        <v>223.49300699300699</v>
      </c>
      <c r="P40" s="75">
        <f>'Fox Covert RC'!$N$159</f>
        <v>224.4233682983683</v>
      </c>
      <c r="Q40" s="75">
        <f>'Fox Covert RC'!$O$159</f>
        <v>227.4233682983683</v>
      </c>
      <c r="R40" s="75">
        <f>'Fox Covert RC'!$P$159</f>
        <v>232.4233682983683</v>
      </c>
      <c r="S40" s="147"/>
      <c r="T40" s="147"/>
      <c r="W40" s="73">
        <v>217</v>
      </c>
      <c r="X40" s="73">
        <v>8</v>
      </c>
      <c r="Y40" s="73">
        <f t="shared" si="2"/>
        <v>0</v>
      </c>
    </row>
    <row r="41" spans="1:25">
      <c r="A41" s="144" t="s">
        <v>35</v>
      </c>
      <c r="B41" s="392">
        <f t="shared" si="1"/>
        <v>546</v>
      </c>
      <c r="C41" s="74">
        <v>19</v>
      </c>
      <c r="D41" s="143">
        <v>458</v>
      </c>
      <c r="E41" s="75">
        <f>Gilmerton!$C$159</f>
        <v>490</v>
      </c>
      <c r="F41" s="75">
        <f>Gilmerton!$D$159</f>
        <v>535</v>
      </c>
      <c r="G41" s="75">
        <f>Gilmerton!$E$159</f>
        <v>577</v>
      </c>
      <c r="H41" s="75">
        <f>Gilmerton!$F$159</f>
        <v>632</v>
      </c>
      <c r="I41" s="75">
        <f>Gilmerton!$G$159</f>
        <v>678</v>
      </c>
      <c r="J41" s="75">
        <f>Gilmerton!$H$159</f>
        <v>720</v>
      </c>
      <c r="K41" s="75">
        <f>Gilmerton!$I$159</f>
        <v>738</v>
      </c>
      <c r="L41" s="75">
        <f>Gilmerton!$J$159</f>
        <v>773</v>
      </c>
      <c r="M41" s="75">
        <f>Gilmerton!$K$159</f>
        <v>791</v>
      </c>
      <c r="N41" s="75">
        <f>Gilmerton!$L$159</f>
        <v>803</v>
      </c>
      <c r="O41" s="75">
        <f>Gilmerton!$M$159</f>
        <v>813</v>
      </c>
      <c r="P41" s="75">
        <f>Gilmerton!$N$159</f>
        <v>820</v>
      </c>
      <c r="Q41" s="75">
        <f>Gilmerton!$O$159</f>
        <v>827</v>
      </c>
      <c r="R41" s="75">
        <f>Gilmerton!$P$159</f>
        <v>832</v>
      </c>
      <c r="S41" s="147" t="s">
        <v>189</v>
      </c>
      <c r="T41" s="147"/>
      <c r="W41" s="73">
        <v>546</v>
      </c>
      <c r="X41" s="73">
        <v>19</v>
      </c>
      <c r="Y41" s="73">
        <f t="shared" si="2"/>
        <v>0</v>
      </c>
    </row>
    <row r="42" spans="1:25">
      <c r="A42" s="144" t="s">
        <v>36</v>
      </c>
      <c r="B42" s="392">
        <f t="shared" si="1"/>
        <v>560</v>
      </c>
      <c r="C42" s="74">
        <v>20</v>
      </c>
      <c r="D42" s="143">
        <v>502</v>
      </c>
      <c r="E42" s="75">
        <f>Gracemount!$C$159</f>
        <v>530</v>
      </c>
      <c r="F42" s="75">
        <f>Gracemount!$D$159</f>
        <v>517</v>
      </c>
      <c r="G42" s="75">
        <f>Gracemount!$E$159</f>
        <v>527.61951667980043</v>
      </c>
      <c r="H42" s="75">
        <f>Gracemount!$F$159</f>
        <v>539</v>
      </c>
      <c r="I42" s="75">
        <f>Gracemount!$G$159</f>
        <v>551.58079688731277</v>
      </c>
      <c r="J42" s="75">
        <f>Gracemount!$H$159</f>
        <v>561.9399434156378</v>
      </c>
      <c r="K42" s="75">
        <f>Gracemount!$I$159</f>
        <v>593</v>
      </c>
      <c r="L42" s="75">
        <f>Gracemount!$J$159</f>
        <v>619</v>
      </c>
      <c r="M42" s="75">
        <f>Gracemount!$K$159</f>
        <v>657</v>
      </c>
      <c r="N42" s="75">
        <f>Gracemount!$L$159</f>
        <v>665</v>
      </c>
      <c r="O42" s="75">
        <f>Gracemount!$M$159</f>
        <v>678</v>
      </c>
      <c r="P42" s="75">
        <f>Gracemount!$N$159</f>
        <v>683</v>
      </c>
      <c r="Q42" s="75">
        <f>Gracemount!$O$159</f>
        <v>689</v>
      </c>
      <c r="R42" s="75">
        <f>Gracemount!$P$159</f>
        <v>694</v>
      </c>
      <c r="S42" s="147" t="s">
        <v>189</v>
      </c>
      <c r="T42" s="147"/>
      <c r="W42" s="73">
        <v>560</v>
      </c>
      <c r="X42" s="73">
        <v>20</v>
      </c>
      <c r="Y42" s="73">
        <f t="shared" si="2"/>
        <v>0</v>
      </c>
    </row>
    <row r="43" spans="1:25">
      <c r="A43" s="144" t="s">
        <v>37</v>
      </c>
      <c r="B43" s="392">
        <f t="shared" si="1"/>
        <v>560</v>
      </c>
      <c r="C43" s="74">
        <v>20</v>
      </c>
      <c r="D43" s="143">
        <v>461</v>
      </c>
      <c r="E43" s="75">
        <f>Granton!$C$159</f>
        <v>479</v>
      </c>
      <c r="F43" s="75">
        <f>Granton!$D$159</f>
        <v>493.14505996573388</v>
      </c>
      <c r="G43" s="75">
        <f>Granton!$E$159</f>
        <v>528</v>
      </c>
      <c r="H43" s="75">
        <f>Granton!$F$159</f>
        <v>557</v>
      </c>
      <c r="I43" s="75">
        <f>Granton!$G$159</f>
        <v>536</v>
      </c>
      <c r="J43" s="75">
        <f>Granton!$H$159</f>
        <v>550</v>
      </c>
      <c r="K43" s="75">
        <f>Granton!$I$159</f>
        <v>587</v>
      </c>
      <c r="L43" s="75">
        <f>Granton!$J$159</f>
        <v>619</v>
      </c>
      <c r="M43" s="75">
        <f>Granton!$K$159</f>
        <v>635</v>
      </c>
      <c r="N43" s="75">
        <f>Granton!$L$159</f>
        <v>661</v>
      </c>
      <c r="O43" s="75">
        <f>Granton!$M$159</f>
        <v>672</v>
      </c>
      <c r="P43" s="75">
        <f>Granton!$N$159</f>
        <v>685</v>
      </c>
      <c r="Q43" s="75">
        <f>Granton!$O$159</f>
        <v>699</v>
      </c>
      <c r="R43" s="75">
        <f>Granton!$P$159</f>
        <v>712</v>
      </c>
      <c r="S43" s="147"/>
      <c r="T43" s="147"/>
      <c r="W43" s="73">
        <v>476</v>
      </c>
      <c r="X43" s="73">
        <v>17</v>
      </c>
      <c r="Y43" s="73">
        <f t="shared" si="2"/>
        <v>-3</v>
      </c>
    </row>
    <row r="44" spans="1:25">
      <c r="A44" s="144" t="s">
        <v>38</v>
      </c>
      <c r="B44" s="392">
        <f t="shared" si="1"/>
        <v>504</v>
      </c>
      <c r="C44" s="74">
        <v>18</v>
      </c>
      <c r="D44" s="143">
        <v>507</v>
      </c>
      <c r="E44" s="75">
        <f>Gylemuir!$C$159</f>
        <v>517</v>
      </c>
      <c r="F44" s="75">
        <f>Gylemuir!$D$159</f>
        <v>505</v>
      </c>
      <c r="G44" s="75">
        <f>Gylemuir!$E$159</f>
        <v>487</v>
      </c>
      <c r="H44" s="75">
        <f>Gylemuir!$F$159</f>
        <v>482</v>
      </c>
      <c r="I44" s="75">
        <f>Gylemuir!$G$159</f>
        <v>490</v>
      </c>
      <c r="J44" s="75">
        <f>Gylemuir!$H$159</f>
        <v>488</v>
      </c>
      <c r="K44" s="75">
        <f>Gylemuir!$I$159</f>
        <v>475</v>
      </c>
      <c r="L44" s="75">
        <f>Gylemuir!$J$159</f>
        <v>487</v>
      </c>
      <c r="M44" s="75">
        <f>Gylemuir!$K$159</f>
        <v>497</v>
      </c>
      <c r="N44" s="75">
        <f>Gylemuir!$L$159</f>
        <v>506</v>
      </c>
      <c r="O44" s="75">
        <f>Gylemuir!$M$159</f>
        <v>508</v>
      </c>
      <c r="P44" s="75">
        <f>Gylemuir!$N$159</f>
        <v>516.90151335127348</v>
      </c>
      <c r="Q44" s="75">
        <f>Gylemuir!$O$159</f>
        <v>528.90151335127348</v>
      </c>
      <c r="R44" s="75">
        <f>Gylemuir!$P$159</f>
        <v>539.90151335127348</v>
      </c>
      <c r="S44" s="147"/>
      <c r="T44" s="147"/>
      <c r="W44" s="73">
        <v>504</v>
      </c>
      <c r="X44" s="73">
        <v>18</v>
      </c>
      <c r="Y44" s="73">
        <f t="shared" si="2"/>
        <v>0</v>
      </c>
    </row>
    <row r="45" spans="1:25">
      <c r="A45" s="144" t="s">
        <v>39</v>
      </c>
      <c r="B45" s="392">
        <f t="shared" si="1"/>
        <v>420</v>
      </c>
      <c r="C45" s="74">
        <v>14</v>
      </c>
      <c r="D45" s="143">
        <v>322</v>
      </c>
      <c r="E45" s="75">
        <f>'Hermitage Park'!$C$159</f>
        <v>319.57173854447439</v>
      </c>
      <c r="F45" s="75">
        <f>'Hermitage Park'!$D$159</f>
        <v>314</v>
      </c>
      <c r="G45" s="75">
        <f>'Hermitage Park'!$E$159</f>
        <v>308.34765498652291</v>
      </c>
      <c r="H45" s="75">
        <f>'Hermitage Park'!$F$159</f>
        <v>292.81257412398924</v>
      </c>
      <c r="I45" s="75">
        <f>'Hermitage Park'!$G$159</f>
        <v>294.79582210242586</v>
      </c>
      <c r="J45" s="75">
        <f>'Hermitage Park'!$H$159</f>
        <v>291.57173854447439</v>
      </c>
      <c r="K45" s="75">
        <f>'Hermitage Park'!$I$159</f>
        <v>291.57173854447439</v>
      </c>
      <c r="L45" s="75">
        <f>'Hermitage Park'!$J$159</f>
        <v>292.34765498652291</v>
      </c>
      <c r="M45" s="75">
        <f>'Hermitage Park'!$K$159</f>
        <v>293.34765498652291</v>
      </c>
      <c r="N45" s="75">
        <f>'Hermitage Park'!$L$159</f>
        <v>293.34765498652291</v>
      </c>
      <c r="O45" s="75">
        <f>'Hermitage Park'!$M$159</f>
        <v>299.34765498652291</v>
      </c>
      <c r="P45" s="75">
        <f>'Hermitage Park'!$N$159</f>
        <v>299.57173854447439</v>
      </c>
      <c r="Q45" s="75">
        <f>'Hermitage Park'!$O$159</f>
        <v>299.57173854447439</v>
      </c>
      <c r="R45" s="75">
        <f>'Hermitage Park'!$P$159</f>
        <v>299.57173854447439</v>
      </c>
      <c r="S45" s="147"/>
      <c r="T45" s="147"/>
      <c r="W45" s="73">
        <v>420</v>
      </c>
      <c r="X45" s="73">
        <v>14</v>
      </c>
      <c r="Y45" s="73">
        <f t="shared" si="2"/>
        <v>0</v>
      </c>
    </row>
    <row r="46" spans="1:25">
      <c r="A46" s="144" t="s">
        <v>40</v>
      </c>
      <c r="B46" s="392">
        <f t="shared" si="1"/>
        <v>84</v>
      </c>
      <c r="C46" s="74">
        <v>4</v>
      </c>
      <c r="D46" s="143">
        <v>62</v>
      </c>
      <c r="E46" s="75">
        <f>Hillwood!$C$159</f>
        <v>63.322222222222223</v>
      </c>
      <c r="F46" s="75">
        <f>Hillwood!$D$159</f>
        <v>65.898412698412699</v>
      </c>
      <c r="G46" s="75">
        <f>Hillwood!$E$159</f>
        <v>78.271428571428572</v>
      </c>
      <c r="H46" s="75">
        <f>Hillwood!$F$159</f>
        <v>85.271428571428572</v>
      </c>
      <c r="I46" s="75">
        <f>Hillwood!$G$159</f>
        <v>88.271428571428572</v>
      </c>
      <c r="J46" s="75">
        <f>Hillwood!$H$159</f>
        <v>86.271428571428572</v>
      </c>
      <c r="K46" s="75">
        <f>Hillwood!$I$159</f>
        <v>91.271428571428572</v>
      </c>
      <c r="L46" s="75">
        <f>Hillwood!$J$159</f>
        <v>90.271428571428572</v>
      </c>
      <c r="M46" s="75">
        <f>Hillwood!$K$159</f>
        <v>94.271428571428572</v>
      </c>
      <c r="N46" s="75">
        <f>Hillwood!$L$159</f>
        <v>93.271428571428572</v>
      </c>
      <c r="O46" s="75">
        <f>Hillwood!$M$159</f>
        <v>102.00873015873016</v>
      </c>
      <c r="P46" s="75">
        <f>Hillwood!$N$159</f>
        <v>114.48333333333333</v>
      </c>
      <c r="Q46" s="75">
        <f>Hillwood!$O$159</f>
        <v>126.95793650793651</v>
      </c>
      <c r="R46" s="75">
        <f>Hillwood!$P$159</f>
        <v>137.16984126984127</v>
      </c>
      <c r="S46" s="147" t="s">
        <v>189</v>
      </c>
      <c r="T46" s="147"/>
      <c r="W46" s="73">
        <v>84</v>
      </c>
      <c r="X46" s="73">
        <v>4</v>
      </c>
      <c r="Y46" s="73">
        <f t="shared" si="2"/>
        <v>0</v>
      </c>
    </row>
    <row r="47" spans="1:25">
      <c r="A47" s="144" t="s">
        <v>84</v>
      </c>
      <c r="B47" s="392">
        <f t="shared" si="1"/>
        <v>315</v>
      </c>
      <c r="C47" s="74">
        <v>12</v>
      </c>
      <c r="D47" s="143">
        <v>323</v>
      </c>
      <c r="E47" s="75">
        <f>'Holy Cross RC'!$C$159</f>
        <v>321.72431039053072</v>
      </c>
      <c r="F47" s="75">
        <f>'Holy Cross RC'!$D$159</f>
        <v>314.77637935418255</v>
      </c>
      <c r="G47" s="75">
        <f>'Holy Cross RC'!$E$159</f>
        <v>316.88051728148616</v>
      </c>
      <c r="H47" s="75">
        <f>'Holy Cross RC'!$F$159</f>
        <v>304.77637935418255</v>
      </c>
      <c r="I47" s="75">
        <f>'Holy Cross RC'!$G$159</f>
        <v>296.77637935418255</v>
      </c>
      <c r="J47" s="75">
        <f>'Holy Cross RC'!$H$159</f>
        <v>292.75034487235666</v>
      </c>
      <c r="K47" s="75">
        <f>'Holy Cross RC'!$I$159</f>
        <v>296</v>
      </c>
      <c r="L47" s="75">
        <f>'Holy Cross RC'!$J$159</f>
        <v>300</v>
      </c>
      <c r="M47" s="75">
        <f>'Holy Cross RC'!$K$159</f>
        <v>302</v>
      </c>
      <c r="N47" s="75">
        <f>'Holy Cross RC'!$L$159</f>
        <v>312.62017246322716</v>
      </c>
      <c r="O47" s="75">
        <f>'Holy Cross RC'!$M$159</f>
        <v>316.62017246322716</v>
      </c>
      <c r="P47" s="75">
        <f>'Holy Cross RC'!$N$159</f>
        <v>320.59413798140122</v>
      </c>
      <c r="Q47" s="75">
        <f>'Holy Cross RC'!$O$159</f>
        <v>325.59413798140122</v>
      </c>
      <c r="R47" s="75">
        <f>'Holy Cross RC'!$P$159</f>
        <v>329.59413798140122</v>
      </c>
      <c r="S47" s="147"/>
      <c r="T47" s="147"/>
      <c r="W47" s="73">
        <v>315</v>
      </c>
      <c r="X47" s="73">
        <v>12</v>
      </c>
      <c r="Y47" s="73">
        <f t="shared" si="2"/>
        <v>0</v>
      </c>
    </row>
    <row r="48" spans="1:25">
      <c r="A48" s="144" t="s">
        <v>41</v>
      </c>
      <c r="B48" s="392">
        <f t="shared" si="1"/>
        <v>630</v>
      </c>
      <c r="C48" s="74">
        <v>21</v>
      </c>
      <c r="D48" s="143">
        <v>596</v>
      </c>
      <c r="E48" s="75">
        <f>'James Gillespies'!$C$159</f>
        <v>624</v>
      </c>
      <c r="F48" s="75">
        <f>'James Gillespies'!$D$159</f>
        <v>627.03864894795129</v>
      </c>
      <c r="G48" s="75">
        <f>'James Gillespies'!$E$159</f>
        <v>603.4184453818109</v>
      </c>
      <c r="H48" s="75">
        <f>'James Gillespies'!$F$159</f>
        <v>573</v>
      </c>
      <c r="I48" s="75">
        <f>'James Gillespies'!$G$159</f>
        <v>558.8398210708375</v>
      </c>
      <c r="J48" s="75">
        <f>'James Gillespies'!$H$159</f>
        <v>554</v>
      </c>
      <c r="K48" s="75">
        <f>'James Gillespies'!$I$159</f>
        <v>544</v>
      </c>
      <c r="L48" s="75">
        <f>'James Gillespies'!$J$159</f>
        <v>537.48374457177692</v>
      </c>
      <c r="M48" s="75">
        <f>'James Gillespies'!$K$159</f>
        <v>530.39472544701187</v>
      </c>
      <c r="N48" s="75">
        <f>'James Gillespies'!$L$159</f>
        <v>555.35021588462928</v>
      </c>
      <c r="O48" s="75">
        <f>'James Gillespies'!$M$159</f>
        <v>572.35021588462928</v>
      </c>
      <c r="P48" s="75">
        <f>'James Gillespies'!$N$159</f>
        <v>577.30570632224669</v>
      </c>
      <c r="Q48" s="75">
        <f>'James Gillespies'!$O$159</f>
        <v>585.30570632224669</v>
      </c>
      <c r="R48" s="75">
        <f>'James Gillespies'!$P$159</f>
        <v>591.30570632224669</v>
      </c>
      <c r="S48" s="147"/>
      <c r="T48" s="147"/>
      <c r="W48" s="73">
        <v>560</v>
      </c>
      <c r="X48" s="73">
        <v>20</v>
      </c>
      <c r="Y48" s="73">
        <f t="shared" si="2"/>
        <v>-1</v>
      </c>
    </row>
    <row r="49" spans="1:25">
      <c r="A49" s="144" t="s">
        <v>42</v>
      </c>
      <c r="B49" s="392">
        <f t="shared" si="1"/>
        <v>434</v>
      </c>
      <c r="C49" s="74">
        <v>15</v>
      </c>
      <c r="D49" s="143">
        <v>390</v>
      </c>
      <c r="E49" s="75">
        <f>'Juniper Green'!$C$159</f>
        <v>406</v>
      </c>
      <c r="F49" s="75">
        <f>'Juniper Green'!$D$159</f>
        <v>391</v>
      </c>
      <c r="G49" s="75">
        <f>'Juniper Green'!$E$159</f>
        <v>377.52213800641471</v>
      </c>
      <c r="H49" s="75">
        <f>'Juniper Green'!$F$159</f>
        <v>385</v>
      </c>
      <c r="I49" s="75">
        <f>'Juniper Green'!$G$159</f>
        <v>397.08549696285547</v>
      </c>
      <c r="J49" s="75">
        <f>'Juniper Green'!$H$159</f>
        <v>409</v>
      </c>
      <c r="K49" s="75">
        <f>'Juniper Green'!$I$159</f>
        <v>425</v>
      </c>
      <c r="L49" s="75">
        <f>'Juniper Green'!$J$159</f>
        <v>410</v>
      </c>
      <c r="M49" s="75">
        <f>'Juniper Green'!$K$159</f>
        <v>414</v>
      </c>
      <c r="N49" s="75">
        <f>'Juniper Green'!$L$159</f>
        <v>421</v>
      </c>
      <c r="O49" s="75">
        <f>'Juniper Green'!$M$159</f>
        <v>412</v>
      </c>
      <c r="P49" s="75">
        <f>'Juniper Green'!$N$159</f>
        <v>415.88397032736657</v>
      </c>
      <c r="Q49" s="75">
        <f>'Juniper Green'!$O$159</f>
        <v>420.88397032736657</v>
      </c>
      <c r="R49" s="75">
        <f>'Juniper Green'!$P$159</f>
        <v>425.88397032736657</v>
      </c>
      <c r="S49" s="147"/>
      <c r="T49" s="147"/>
      <c r="W49" s="73">
        <v>434</v>
      </c>
      <c r="X49" s="73">
        <v>15</v>
      </c>
      <c r="Y49" s="73">
        <f t="shared" si="2"/>
        <v>0</v>
      </c>
    </row>
    <row r="50" spans="1:25">
      <c r="A50" s="144" t="s">
        <v>43</v>
      </c>
      <c r="B50" s="392">
        <f t="shared" si="1"/>
        <v>560</v>
      </c>
      <c r="C50" s="74">
        <v>20</v>
      </c>
      <c r="D50" s="143">
        <v>582</v>
      </c>
      <c r="E50" s="75">
        <f>Kirkliston!$C$159</f>
        <v>642.17191711590294</v>
      </c>
      <c r="F50" s="75">
        <f>Kirkliston!$D$159</f>
        <v>720</v>
      </c>
      <c r="G50" s="75">
        <f>Kirkliston!$E$159</f>
        <v>784</v>
      </c>
      <c r="H50" s="75">
        <f>Kirkliston!$F$159</f>
        <v>867</v>
      </c>
      <c r="I50" s="75">
        <f>Kirkliston!$G$159</f>
        <v>920</v>
      </c>
      <c r="J50" s="75">
        <f>Kirkliston!$H$159</f>
        <v>964</v>
      </c>
      <c r="K50" s="75">
        <f>Kirkliston!$I$159</f>
        <v>998</v>
      </c>
      <c r="L50" s="75">
        <f>Kirkliston!$J$159</f>
        <v>1021</v>
      </c>
      <c r="M50" s="75">
        <f>Kirkliston!$K$159</f>
        <v>1026</v>
      </c>
      <c r="N50" s="75">
        <f>Kirkliston!$L$159</f>
        <v>1021</v>
      </c>
      <c r="O50" s="75">
        <f>Kirkliston!$M$159</f>
        <v>1026</v>
      </c>
      <c r="P50" s="75">
        <f>Kirkliston!$N$159</f>
        <v>1026</v>
      </c>
      <c r="Q50" s="75">
        <f>Kirkliston!$O$159</f>
        <v>1026</v>
      </c>
      <c r="R50" s="75">
        <f>Kirkliston!$P$159</f>
        <v>1026</v>
      </c>
      <c r="S50" s="147" t="s">
        <v>408</v>
      </c>
      <c r="T50" s="147"/>
      <c r="W50" s="73">
        <v>476</v>
      </c>
      <c r="X50" s="73">
        <v>17</v>
      </c>
      <c r="Y50" s="73">
        <f t="shared" si="2"/>
        <v>-3</v>
      </c>
    </row>
    <row r="51" spans="1:25">
      <c r="A51" s="144" t="s">
        <v>44</v>
      </c>
      <c r="B51" s="392">
        <f t="shared" si="1"/>
        <v>476</v>
      </c>
      <c r="C51" s="74">
        <v>17</v>
      </c>
      <c r="D51" s="143">
        <v>384</v>
      </c>
      <c r="E51" s="75">
        <f>Leith!$C$159</f>
        <v>370</v>
      </c>
      <c r="F51" s="75">
        <f>Leith!$D$159</f>
        <v>365.53875365678641</v>
      </c>
      <c r="G51" s="75">
        <f>Leith!$E$159</f>
        <v>357</v>
      </c>
      <c r="H51" s="75">
        <f>Leith!$F$159</f>
        <v>348</v>
      </c>
      <c r="I51" s="75">
        <f>Leith!$G$159</f>
        <v>359</v>
      </c>
      <c r="J51" s="75">
        <f>Leith!$H$159</f>
        <v>365</v>
      </c>
      <c r="K51" s="75">
        <f>Leith!$I$159</f>
        <v>363</v>
      </c>
      <c r="L51" s="75">
        <f>Leith!$J$159</f>
        <v>376.23801815973945</v>
      </c>
      <c r="M51" s="75">
        <f>Leith!$K$159</f>
        <v>391</v>
      </c>
      <c r="N51" s="75">
        <f>Leith!$L$159</f>
        <v>401</v>
      </c>
      <c r="O51" s="75">
        <f>Leith!$M$159</f>
        <v>407</v>
      </c>
      <c r="P51" s="75">
        <f>Leith!$N$159</f>
        <v>415</v>
      </c>
      <c r="Q51" s="75">
        <f>Leith!$O$159</f>
        <v>423</v>
      </c>
      <c r="R51" s="75">
        <f>Leith!$P$159</f>
        <v>431</v>
      </c>
      <c r="S51" s="147"/>
      <c r="T51" s="147"/>
      <c r="W51" s="73">
        <v>476</v>
      </c>
      <c r="X51" s="73">
        <v>17</v>
      </c>
      <c r="Y51" s="73">
        <f t="shared" si="2"/>
        <v>0</v>
      </c>
    </row>
    <row r="52" spans="1:25">
      <c r="A52" s="144" t="s">
        <v>45</v>
      </c>
      <c r="B52" s="392">
        <f t="shared" si="1"/>
        <v>420</v>
      </c>
      <c r="C52" s="74">
        <v>14</v>
      </c>
      <c r="D52" s="143">
        <v>223</v>
      </c>
      <c r="E52" s="75">
        <f>'Leith Walk'!$C$159</f>
        <v>210</v>
      </c>
      <c r="F52" s="75">
        <f>'Leith Walk'!$D$159</f>
        <v>201</v>
      </c>
      <c r="G52" s="75">
        <f>'Leith Walk'!$E$159</f>
        <v>179</v>
      </c>
      <c r="H52" s="75">
        <f>'Leith Walk'!$F$159</f>
        <v>167</v>
      </c>
      <c r="I52" s="75">
        <f>'Leith Walk'!$G$159</f>
        <v>153</v>
      </c>
      <c r="J52" s="75">
        <f>'Leith Walk'!$H$159</f>
        <v>140</v>
      </c>
      <c r="K52" s="75">
        <f>'Leith Walk'!$I$159</f>
        <v>135</v>
      </c>
      <c r="L52" s="75">
        <f>'Leith Walk'!$J$159</f>
        <v>130</v>
      </c>
      <c r="M52" s="75">
        <f>'Leith Walk'!$K$159</f>
        <v>130</v>
      </c>
      <c r="N52" s="75">
        <f>'Leith Walk'!$L$159</f>
        <v>125</v>
      </c>
      <c r="O52" s="75">
        <f>'Leith Walk'!$M$159</f>
        <v>125</v>
      </c>
      <c r="P52" s="75">
        <f>'Leith Walk'!$N$159</f>
        <v>125</v>
      </c>
      <c r="Q52" s="75">
        <f>'Leith Walk'!$O$159</f>
        <v>125</v>
      </c>
      <c r="R52" s="75">
        <f>'Leith Walk'!$P$159</f>
        <v>125</v>
      </c>
      <c r="S52" s="147"/>
      <c r="T52" s="147"/>
      <c r="W52" s="73">
        <v>420</v>
      </c>
      <c r="X52" s="73">
        <v>14</v>
      </c>
      <c r="Y52" s="73">
        <f t="shared" si="2"/>
        <v>0</v>
      </c>
    </row>
    <row r="53" spans="1:25">
      <c r="A53" s="144" t="s">
        <v>46</v>
      </c>
      <c r="B53" s="392">
        <f t="shared" si="1"/>
        <v>476</v>
      </c>
      <c r="C53" s="74">
        <v>17</v>
      </c>
      <c r="D53" s="143">
        <v>458</v>
      </c>
      <c r="E53" s="75">
        <f>Liberton!$C$159</f>
        <v>464</v>
      </c>
      <c r="F53" s="75">
        <f>Liberton!$D$159</f>
        <v>465</v>
      </c>
      <c r="G53" s="75">
        <f>Liberton!$E$159</f>
        <v>476</v>
      </c>
      <c r="H53" s="75">
        <f>Liberton!$F$159</f>
        <v>465</v>
      </c>
      <c r="I53" s="75">
        <f>Liberton!$G$159</f>
        <v>458</v>
      </c>
      <c r="J53" s="75">
        <f>Liberton!$H$159</f>
        <v>466</v>
      </c>
      <c r="K53" s="75">
        <f>Liberton!$I$159</f>
        <v>478</v>
      </c>
      <c r="L53" s="75">
        <f>Liberton!$J$159</f>
        <v>487</v>
      </c>
      <c r="M53" s="75">
        <f>Liberton!$K$159</f>
        <v>496</v>
      </c>
      <c r="N53" s="75">
        <f>Liberton!$L$159</f>
        <v>499</v>
      </c>
      <c r="O53" s="75">
        <f>Liberton!$M$159</f>
        <v>502</v>
      </c>
      <c r="P53" s="75">
        <f>Liberton!$N$159</f>
        <v>505</v>
      </c>
      <c r="Q53" s="75">
        <f>Liberton!$O$159</f>
        <v>508</v>
      </c>
      <c r="R53" s="75">
        <f>Liberton!$P$159</f>
        <v>508</v>
      </c>
      <c r="S53" s="147"/>
      <c r="T53" s="147"/>
      <c r="W53" s="73">
        <v>434</v>
      </c>
      <c r="X53" s="73">
        <v>15</v>
      </c>
      <c r="Y53" s="73">
        <f t="shared" si="2"/>
        <v>-2</v>
      </c>
    </row>
    <row r="54" spans="1:25">
      <c r="A54" s="144" t="s">
        <v>47</v>
      </c>
      <c r="B54" s="392">
        <f t="shared" si="1"/>
        <v>315</v>
      </c>
      <c r="C54" s="74">
        <v>12</v>
      </c>
      <c r="D54" s="143">
        <v>270</v>
      </c>
      <c r="E54" s="75">
        <f>Longstone!$C$159</f>
        <v>260.0433749257279</v>
      </c>
      <c r="F54" s="75">
        <f>Longstone!$D$159</f>
        <v>256</v>
      </c>
      <c r="G54" s="75">
        <f>Longstone!$E$159</f>
        <v>246</v>
      </c>
      <c r="H54" s="75">
        <f>Longstone!$F$159</f>
        <v>229</v>
      </c>
      <c r="I54" s="75">
        <f>Longstone!$G$159</f>
        <v>207</v>
      </c>
      <c r="J54" s="75">
        <f>Longstone!$H$159</f>
        <v>194</v>
      </c>
      <c r="K54" s="75">
        <f>Longstone!$I$159</f>
        <v>183</v>
      </c>
      <c r="L54" s="75">
        <f>Longstone!$J$159</f>
        <v>165</v>
      </c>
      <c r="M54" s="75">
        <f>Longstone!$K$159</f>
        <v>165</v>
      </c>
      <c r="N54" s="75">
        <f>Longstone!$L$159</f>
        <v>165</v>
      </c>
      <c r="O54" s="75">
        <f>Longstone!$M$159</f>
        <v>165</v>
      </c>
      <c r="P54" s="75">
        <f>Longstone!$N$159</f>
        <v>165</v>
      </c>
      <c r="Q54" s="75">
        <f>Longstone!$O$159</f>
        <v>165</v>
      </c>
      <c r="R54" s="75">
        <f>Longstone!$P$159</f>
        <v>165</v>
      </c>
      <c r="S54" s="147"/>
      <c r="T54" s="147"/>
      <c r="W54" s="73">
        <v>315</v>
      </c>
      <c r="X54" s="73">
        <v>12</v>
      </c>
      <c r="Y54" s="73">
        <f t="shared" si="2"/>
        <v>0</v>
      </c>
    </row>
    <row r="55" spans="1:25">
      <c r="A55" s="144" t="s">
        <v>48</v>
      </c>
      <c r="B55" s="392">
        <f t="shared" si="1"/>
        <v>259</v>
      </c>
      <c r="C55" s="74">
        <v>10</v>
      </c>
      <c r="D55" s="143">
        <v>230</v>
      </c>
      <c r="E55" s="75">
        <f>Lorne!$C$159</f>
        <v>229</v>
      </c>
      <c r="F55" s="75">
        <f>Lorne!$D$159</f>
        <v>213</v>
      </c>
      <c r="G55" s="75">
        <f>Lorne!$E$159</f>
        <v>206</v>
      </c>
      <c r="H55" s="75">
        <f>Lorne!$F$159</f>
        <v>189</v>
      </c>
      <c r="I55" s="75">
        <f>Lorne!$G$159</f>
        <v>179</v>
      </c>
      <c r="J55" s="75">
        <f>Lorne!$H$159</f>
        <v>171</v>
      </c>
      <c r="K55" s="75">
        <f>Lorne!$I$159</f>
        <v>155</v>
      </c>
      <c r="L55" s="75">
        <f>Lorne!$J$159</f>
        <v>151</v>
      </c>
      <c r="M55" s="75">
        <f>Lorne!$K$159</f>
        <v>151</v>
      </c>
      <c r="N55" s="75">
        <f>Lorne!$L$159</f>
        <v>151</v>
      </c>
      <c r="O55" s="75">
        <f>Lorne!$M$159</f>
        <v>151</v>
      </c>
      <c r="P55" s="75">
        <f>Lorne!$N$159</f>
        <v>151</v>
      </c>
      <c r="Q55" s="75">
        <f>Lorne!$O$159</f>
        <v>151</v>
      </c>
      <c r="R55" s="75">
        <f>Lorne!$P$159</f>
        <v>151</v>
      </c>
      <c r="S55" s="147"/>
      <c r="T55" s="147"/>
      <c r="W55" s="73">
        <v>231</v>
      </c>
      <c r="X55" s="73">
        <v>9</v>
      </c>
      <c r="Y55" s="73">
        <f t="shared" si="2"/>
        <v>-1</v>
      </c>
    </row>
    <row r="56" spans="1:25">
      <c r="A56" s="144" t="s">
        <v>49</v>
      </c>
      <c r="B56" s="392">
        <f t="shared" si="1"/>
        <v>420</v>
      </c>
      <c r="C56" s="74">
        <v>14</v>
      </c>
      <c r="D56" s="143">
        <v>375</v>
      </c>
      <c r="E56" s="75">
        <f>Murrayburn!$C$159</f>
        <v>374</v>
      </c>
      <c r="F56" s="75">
        <f>Murrayburn!$D$159</f>
        <v>369</v>
      </c>
      <c r="G56" s="75">
        <f>Murrayburn!$E$159</f>
        <v>332</v>
      </c>
      <c r="H56" s="75">
        <f>Murrayburn!$F$159</f>
        <v>337</v>
      </c>
      <c r="I56" s="75">
        <f>Murrayburn!$G$159</f>
        <v>324.50532971996387</v>
      </c>
      <c r="J56" s="75">
        <f>Murrayburn!$H$159</f>
        <v>324.50532971996387</v>
      </c>
      <c r="K56" s="75">
        <f>Murrayburn!$I$159</f>
        <v>325.50532971996387</v>
      </c>
      <c r="L56" s="75">
        <f>Murrayburn!$J$159</f>
        <v>324.35429087624209</v>
      </c>
      <c r="M56" s="75">
        <f>Murrayburn!$K$159</f>
        <v>323.35429087624209</v>
      </c>
      <c r="N56" s="75">
        <f>Murrayburn!$L$159</f>
        <v>344</v>
      </c>
      <c r="O56" s="75">
        <f>Murrayburn!$M$159</f>
        <v>344</v>
      </c>
      <c r="P56" s="75">
        <f>Murrayburn!$N$159</f>
        <v>345</v>
      </c>
      <c r="Q56" s="75">
        <f>Murrayburn!$O$159</f>
        <v>346</v>
      </c>
      <c r="R56" s="75">
        <f>Murrayburn!$P$159</f>
        <v>347</v>
      </c>
      <c r="S56" s="147"/>
      <c r="T56" s="147"/>
      <c r="W56" s="73">
        <v>420</v>
      </c>
      <c r="X56" s="73">
        <v>14</v>
      </c>
      <c r="Y56" s="73">
        <f t="shared" si="2"/>
        <v>0</v>
      </c>
    </row>
    <row r="57" spans="1:25">
      <c r="A57" s="144" t="s">
        <v>50</v>
      </c>
      <c r="B57" s="392">
        <f t="shared" si="1"/>
        <v>210</v>
      </c>
      <c r="C57" s="74">
        <v>7</v>
      </c>
      <c r="D57" s="143">
        <v>156</v>
      </c>
      <c r="E57" s="75">
        <f>'Nether Currie'!$C$159</f>
        <v>163</v>
      </c>
      <c r="F57" s="75">
        <f>'Nether Currie'!$D$159</f>
        <v>167.73684210526315</v>
      </c>
      <c r="G57" s="75">
        <f>'Nether Currie'!$E$159</f>
        <v>163.73684210526315</v>
      </c>
      <c r="H57" s="75">
        <f>'Nether Currie'!$F$159</f>
        <v>170</v>
      </c>
      <c r="I57" s="75">
        <f>'Nether Currie'!$G$159</f>
        <v>171</v>
      </c>
      <c r="J57" s="75">
        <f>'Nether Currie'!$H$159</f>
        <v>171</v>
      </c>
      <c r="K57" s="75">
        <f>'Nether Currie'!$I$159</f>
        <v>173</v>
      </c>
      <c r="L57" s="75">
        <f>'Nether Currie'!$J$159</f>
        <v>173</v>
      </c>
      <c r="M57" s="75">
        <f>'Nether Currie'!$K$159</f>
        <v>173</v>
      </c>
      <c r="N57" s="75">
        <f>'Nether Currie'!$L$159</f>
        <v>173</v>
      </c>
      <c r="O57" s="75">
        <f>'Nether Currie'!$M$159</f>
        <v>173</v>
      </c>
      <c r="P57" s="75">
        <f>'Nether Currie'!$N$159</f>
        <v>173</v>
      </c>
      <c r="Q57" s="75">
        <f>'Nether Currie'!$O$159</f>
        <v>173</v>
      </c>
      <c r="R57" s="75">
        <f>'Nether Currie'!$P$159</f>
        <v>173</v>
      </c>
      <c r="S57" s="147"/>
      <c r="T57" s="147"/>
      <c r="W57" s="73">
        <v>210</v>
      </c>
      <c r="X57" s="73">
        <v>7</v>
      </c>
      <c r="Y57" s="73">
        <f t="shared" si="2"/>
        <v>0</v>
      </c>
    </row>
    <row r="58" spans="1:25">
      <c r="A58" s="144" t="s">
        <v>51</v>
      </c>
      <c r="B58" s="392">
        <f t="shared" si="1"/>
        <v>210</v>
      </c>
      <c r="C58" s="74">
        <v>7</v>
      </c>
      <c r="D58" s="143">
        <v>173</v>
      </c>
      <c r="E58" s="75">
        <f>Newcraighall!$C$159</f>
        <v>193.75595238095238</v>
      </c>
      <c r="F58" s="75">
        <f>Newcraighall!$D$159</f>
        <v>213</v>
      </c>
      <c r="G58" s="75">
        <f>Newcraighall!$E$159</f>
        <v>218</v>
      </c>
      <c r="H58" s="75">
        <f>Newcraighall!$F$159</f>
        <v>223</v>
      </c>
      <c r="I58" s="75">
        <f>Newcraighall!$G$159</f>
        <v>241</v>
      </c>
      <c r="J58" s="75">
        <f>Newcraighall!$H$159</f>
        <v>268.8154761904762</v>
      </c>
      <c r="K58" s="75">
        <f>Newcraighall!$I$159</f>
        <v>298</v>
      </c>
      <c r="L58" s="75">
        <f>Newcraighall!$J$159</f>
        <v>331</v>
      </c>
      <c r="M58" s="75">
        <f>Newcraighall!$K$159</f>
        <v>364</v>
      </c>
      <c r="N58" s="75">
        <f>Newcraighall!$L$159</f>
        <v>393</v>
      </c>
      <c r="O58" s="75">
        <f>Newcraighall!$M$159</f>
        <v>422</v>
      </c>
      <c r="P58" s="75">
        <f>Newcraighall!$N$159</f>
        <v>448</v>
      </c>
      <c r="Q58" s="75">
        <f>Newcraighall!$O$159</f>
        <v>456</v>
      </c>
      <c r="R58" s="75">
        <f>Newcraighall!$P$159</f>
        <v>470</v>
      </c>
      <c r="S58" s="147" t="s">
        <v>189</v>
      </c>
      <c r="T58" s="147"/>
      <c r="W58" s="73">
        <v>140</v>
      </c>
      <c r="X58" s="73">
        <v>6</v>
      </c>
      <c r="Y58" s="73">
        <f t="shared" si="2"/>
        <v>-1</v>
      </c>
    </row>
    <row r="59" spans="1:25">
      <c r="A59" s="144" t="s">
        <v>52</v>
      </c>
      <c r="B59" s="392">
        <f t="shared" si="1"/>
        <v>434</v>
      </c>
      <c r="C59" s="74">
        <v>15</v>
      </c>
      <c r="D59" s="143">
        <v>295</v>
      </c>
      <c r="E59" s="75">
        <f>'Niddrie Mill'!$C$159</f>
        <v>310</v>
      </c>
      <c r="F59" s="75">
        <f>'Niddrie Mill'!$D$159</f>
        <v>326</v>
      </c>
      <c r="G59" s="75">
        <f>'Niddrie Mill'!$E$159</f>
        <v>323</v>
      </c>
      <c r="H59" s="75">
        <f>'Niddrie Mill'!$F$159</f>
        <v>321</v>
      </c>
      <c r="I59" s="75">
        <f>'Niddrie Mill'!$G$159</f>
        <v>320</v>
      </c>
      <c r="J59" s="75">
        <f>'Niddrie Mill'!$H$159</f>
        <v>318</v>
      </c>
      <c r="K59" s="75">
        <f>'Niddrie Mill'!$I$159</f>
        <v>310</v>
      </c>
      <c r="L59" s="75">
        <f>'Niddrie Mill'!$J$159</f>
        <v>308</v>
      </c>
      <c r="M59" s="75">
        <f>'Niddrie Mill'!$K$159</f>
        <v>307</v>
      </c>
      <c r="N59" s="75">
        <f>'Niddrie Mill'!$L$159</f>
        <v>307</v>
      </c>
      <c r="O59" s="75">
        <f>'Niddrie Mill'!$M$159</f>
        <v>307</v>
      </c>
      <c r="P59" s="75">
        <f>'Niddrie Mill'!$N$159</f>
        <v>307</v>
      </c>
      <c r="Q59" s="75">
        <f>'Niddrie Mill'!$O$159</f>
        <v>307</v>
      </c>
      <c r="R59" s="75">
        <f>'Niddrie Mill'!$P$159</f>
        <v>307</v>
      </c>
      <c r="S59" s="147"/>
      <c r="T59" s="147"/>
      <c r="W59" s="73">
        <v>434</v>
      </c>
      <c r="X59" s="73">
        <v>15</v>
      </c>
      <c r="Y59" s="73">
        <f t="shared" si="2"/>
        <v>0</v>
      </c>
    </row>
    <row r="60" spans="1:25">
      <c r="A60" s="144" t="s">
        <v>53</v>
      </c>
      <c r="B60" s="392">
        <f t="shared" si="1"/>
        <v>434</v>
      </c>
      <c r="C60" s="74">
        <v>15</v>
      </c>
      <c r="D60" s="143">
        <v>382</v>
      </c>
      <c r="E60" s="75">
        <f>Oxgangs!$C$159</f>
        <v>358</v>
      </c>
      <c r="F60" s="75">
        <f>Oxgangs!$D$159</f>
        <v>355.04977132095775</v>
      </c>
      <c r="G60" s="75">
        <f>Oxgangs!$E$159</f>
        <v>357</v>
      </c>
      <c r="H60" s="75">
        <f>Oxgangs!$F$159</f>
        <v>350</v>
      </c>
      <c r="I60" s="75">
        <f>Oxgangs!$G$159</f>
        <v>350.04977132095775</v>
      </c>
      <c r="J60" s="75">
        <f>Oxgangs!$H$159</f>
        <v>349.91269841269843</v>
      </c>
      <c r="K60" s="75">
        <f>Oxgangs!$I$159</f>
        <v>350.77562550443906</v>
      </c>
      <c r="L60" s="75">
        <f>Oxgangs!$J$159</f>
        <v>357.77562550443906</v>
      </c>
      <c r="M60" s="75">
        <f>Oxgangs!$K$159</f>
        <v>361.63855259617969</v>
      </c>
      <c r="N60" s="75">
        <f>Oxgangs!$L$159</f>
        <v>361.63855259617969</v>
      </c>
      <c r="O60" s="75">
        <f>Oxgangs!$M$159</f>
        <v>369.63855259617969</v>
      </c>
      <c r="P60" s="75">
        <f>Oxgangs!$N$159</f>
        <v>372.50147968792038</v>
      </c>
      <c r="Q60" s="75">
        <f>Oxgangs!$O$159</f>
        <v>374.50147968792038</v>
      </c>
      <c r="R60" s="75">
        <f>Oxgangs!$P$159</f>
        <v>375.50147968792038</v>
      </c>
      <c r="S60" s="147"/>
      <c r="T60" s="147"/>
      <c r="W60" s="73">
        <v>434</v>
      </c>
      <c r="X60" s="73">
        <v>15</v>
      </c>
      <c r="Y60" s="73">
        <f t="shared" si="2"/>
        <v>0</v>
      </c>
    </row>
    <row r="61" spans="1:25">
      <c r="A61" s="144" t="s">
        <v>54</v>
      </c>
      <c r="B61" s="392">
        <f t="shared" si="1"/>
        <v>420</v>
      </c>
      <c r="C61" s="74">
        <v>14</v>
      </c>
      <c r="D61" s="143">
        <v>352</v>
      </c>
      <c r="E61" s="75">
        <f>'Parsons Green'!$C$159</f>
        <v>338.30515117581189</v>
      </c>
      <c r="F61" s="75">
        <f>'Parsons Green'!$D$159</f>
        <v>318</v>
      </c>
      <c r="G61" s="75">
        <f>'Parsons Green'!$E$159</f>
        <v>310.61814109742443</v>
      </c>
      <c r="H61" s="75">
        <f>'Parsons Green'!$F$159</f>
        <v>306.72247107129527</v>
      </c>
      <c r="I61" s="75">
        <f>'Parsons Green'!$G$159</f>
        <v>296.13979096677866</v>
      </c>
      <c r="J61" s="75">
        <f>'Parsons Green'!$H$159</f>
        <v>292.03546099290782</v>
      </c>
      <c r="K61" s="75">
        <f>'Parsons Green'!$I$159</f>
        <v>290.03546099290782</v>
      </c>
      <c r="L61" s="75">
        <f>'Parsons Green'!$J$159</f>
        <v>284.93113101903697</v>
      </c>
      <c r="M61" s="75">
        <f>'Parsons Green'!$K$159</f>
        <v>303.93113101903697</v>
      </c>
      <c r="N61" s="75">
        <f>'Parsons Green'!$L$159</f>
        <v>302.93113101903697</v>
      </c>
      <c r="O61" s="75">
        <f>'Parsons Green'!$M$159</f>
        <v>301.93113101903697</v>
      </c>
      <c r="P61" s="75">
        <f>'Parsons Green'!$N$159</f>
        <v>304.82680104516612</v>
      </c>
      <c r="Q61" s="75">
        <f>'Parsons Green'!$O$159</f>
        <v>306.82680104516612</v>
      </c>
      <c r="R61" s="75">
        <f>'Parsons Green'!$P$159</f>
        <v>308.82680104516612</v>
      </c>
      <c r="S61" s="147"/>
      <c r="T61" s="147"/>
      <c r="W61" s="73">
        <v>420</v>
      </c>
      <c r="X61" s="73">
        <v>14</v>
      </c>
      <c r="Y61" s="73">
        <f t="shared" si="2"/>
        <v>0</v>
      </c>
    </row>
    <row r="62" spans="1:25">
      <c r="A62" s="144" t="s">
        <v>80</v>
      </c>
      <c r="B62" s="392">
        <f t="shared" si="1"/>
        <v>504</v>
      </c>
      <c r="C62" s="74">
        <v>18</v>
      </c>
      <c r="D62" s="143">
        <v>464</v>
      </c>
      <c r="E62" s="75">
        <f>Pentland!$C$159</f>
        <v>452</v>
      </c>
      <c r="F62" s="75">
        <f>Pentland!$D$159</f>
        <v>459</v>
      </c>
      <c r="G62" s="75">
        <f>Pentland!$E$159</f>
        <v>462</v>
      </c>
      <c r="H62" s="75">
        <f>Pentland!$F$159</f>
        <v>455</v>
      </c>
      <c r="I62" s="75">
        <f>Pentland!$G$159</f>
        <v>463</v>
      </c>
      <c r="J62" s="75">
        <f>Pentland!$H$159</f>
        <v>463</v>
      </c>
      <c r="K62" s="75">
        <f>Pentland!$I$159</f>
        <v>470</v>
      </c>
      <c r="L62" s="75">
        <f>Pentland!$J$159</f>
        <v>475</v>
      </c>
      <c r="M62" s="75">
        <f>Pentland!$K$159</f>
        <v>474</v>
      </c>
      <c r="N62" s="75">
        <f>Pentland!$L$159</f>
        <v>473</v>
      </c>
      <c r="O62" s="75">
        <f>Pentland!$M$159</f>
        <v>484</v>
      </c>
      <c r="P62" s="75">
        <f>Pentland!$N$159</f>
        <v>484</v>
      </c>
      <c r="Q62" s="75">
        <f>Pentland!$O$159</f>
        <v>484</v>
      </c>
      <c r="R62" s="75">
        <f>Pentland!$P$159</f>
        <v>484</v>
      </c>
      <c r="S62" s="147" t="s">
        <v>411</v>
      </c>
      <c r="T62" s="147"/>
      <c r="W62" s="73">
        <v>504</v>
      </c>
      <c r="X62" s="73">
        <v>18</v>
      </c>
      <c r="Y62" s="73">
        <f t="shared" si="2"/>
        <v>0</v>
      </c>
    </row>
    <row r="63" spans="1:25">
      <c r="A63" s="144" t="s">
        <v>55</v>
      </c>
      <c r="B63" s="392">
        <f t="shared" si="1"/>
        <v>329</v>
      </c>
      <c r="C63" s="74">
        <v>13</v>
      </c>
      <c r="D63" s="143">
        <v>279</v>
      </c>
      <c r="E63" s="75">
        <f>Pirniehall!$C$159</f>
        <v>255</v>
      </c>
      <c r="F63" s="75">
        <f>Pirniehall!$D$159</f>
        <v>258</v>
      </c>
      <c r="G63" s="75">
        <f>Pirniehall!$E$159</f>
        <v>248</v>
      </c>
      <c r="H63" s="75">
        <f>Pirniehall!$F$159</f>
        <v>260</v>
      </c>
      <c r="I63" s="75">
        <f>Pirniehall!$G$159</f>
        <v>272</v>
      </c>
      <c r="J63" s="75">
        <f>Pirniehall!$H$159</f>
        <v>297</v>
      </c>
      <c r="K63" s="75">
        <f>Pirniehall!$I$159</f>
        <v>304</v>
      </c>
      <c r="L63" s="75">
        <f>Pirniehall!$J$159</f>
        <v>333</v>
      </c>
      <c r="M63" s="75">
        <f>Pirniehall!$K$159</f>
        <v>337</v>
      </c>
      <c r="N63" s="75">
        <f>Pirniehall!$L$159</f>
        <v>359</v>
      </c>
      <c r="O63" s="75">
        <f>Pirniehall!$M$159</f>
        <v>353</v>
      </c>
      <c r="P63" s="75">
        <f>Pirniehall!$N$159</f>
        <v>349</v>
      </c>
      <c r="Q63" s="75">
        <f>Pirniehall!$O$159</f>
        <v>347</v>
      </c>
      <c r="R63" s="75">
        <f>Pirniehall!$P$159</f>
        <v>346</v>
      </c>
      <c r="S63" s="147" t="s">
        <v>189</v>
      </c>
      <c r="T63" s="147"/>
      <c r="W63" s="73">
        <v>329</v>
      </c>
      <c r="X63" s="73">
        <v>13</v>
      </c>
      <c r="Y63" s="73">
        <f t="shared" si="2"/>
        <v>0</v>
      </c>
    </row>
    <row r="64" spans="1:25">
      <c r="A64" s="144" t="s">
        <v>56</v>
      </c>
      <c r="B64" s="392">
        <f t="shared" si="1"/>
        <v>315</v>
      </c>
      <c r="C64" s="74">
        <v>12</v>
      </c>
      <c r="D64" s="143">
        <v>294</v>
      </c>
      <c r="E64" s="75">
        <f>'Preston Street'!$C$159</f>
        <v>281.29243697478989</v>
      </c>
      <c r="F64" s="75">
        <f>'Preston Street'!$D$159</f>
        <v>271.49841269841272</v>
      </c>
      <c r="G64" s="75">
        <f>'Preston Street'!$E$159</f>
        <v>249</v>
      </c>
      <c r="H64" s="75">
        <f>'Preston Street'!$F$159</f>
        <v>231</v>
      </c>
      <c r="I64" s="75">
        <f>'Preston Street'!$G$159</f>
        <v>222</v>
      </c>
      <c r="J64" s="75">
        <f>'Preston Street'!$H$159</f>
        <v>210</v>
      </c>
      <c r="K64" s="75">
        <f>'Preston Street'!$I$159</f>
        <v>195</v>
      </c>
      <c r="L64" s="75">
        <f>'Preston Street'!$J$159</f>
        <v>188</v>
      </c>
      <c r="M64" s="75">
        <f>'Preston Street'!$K$159</f>
        <v>182</v>
      </c>
      <c r="N64" s="75">
        <f>'Preston Street'!$L$159</f>
        <v>182</v>
      </c>
      <c r="O64" s="75">
        <f>'Preston Street'!$M$159</f>
        <v>187</v>
      </c>
      <c r="P64" s="75">
        <f>'Preston Street'!$N$159</f>
        <v>187</v>
      </c>
      <c r="Q64" s="75">
        <f>'Preston Street'!$O$159</f>
        <v>187</v>
      </c>
      <c r="R64" s="75">
        <f>'Preston Street'!$P$159</f>
        <v>187</v>
      </c>
      <c r="S64" s="147"/>
      <c r="T64" s="147"/>
      <c r="W64" s="73">
        <v>294</v>
      </c>
      <c r="X64" s="73">
        <v>11</v>
      </c>
      <c r="Y64" s="73">
        <f t="shared" si="2"/>
        <v>-1</v>
      </c>
    </row>
    <row r="65" spans="1:25">
      <c r="A65" s="144" t="s">
        <v>57</v>
      </c>
      <c r="B65" s="392">
        <f t="shared" si="1"/>
        <v>294</v>
      </c>
      <c r="C65" s="74">
        <v>11</v>
      </c>
      <c r="D65" s="143">
        <v>197</v>
      </c>
      <c r="E65" s="75">
        <f>Prestonfield!$C$159</f>
        <v>188</v>
      </c>
      <c r="F65" s="75">
        <f>Prestonfield!$D$159</f>
        <v>187</v>
      </c>
      <c r="G65" s="75">
        <f>Prestonfield!$E$159</f>
        <v>178.75166666666667</v>
      </c>
      <c r="H65" s="75">
        <f>Prestonfield!$F$159</f>
        <v>173.84083333333334</v>
      </c>
      <c r="I65" s="75">
        <f>Prestonfield!$G$159</f>
        <v>172</v>
      </c>
      <c r="J65" s="75">
        <f>Prestonfield!$H$159</f>
        <v>171</v>
      </c>
      <c r="K65" s="75">
        <f>Prestonfield!$I$159</f>
        <v>171</v>
      </c>
      <c r="L65" s="75">
        <f>Prestonfield!$J$159</f>
        <v>171</v>
      </c>
      <c r="M65" s="75">
        <f>Prestonfield!$K$159</f>
        <v>174</v>
      </c>
      <c r="N65" s="75">
        <f>Prestonfield!$L$159</f>
        <v>178</v>
      </c>
      <c r="O65" s="75">
        <f>Prestonfield!$M$159</f>
        <v>183</v>
      </c>
      <c r="P65" s="75">
        <f>Prestonfield!$N$159</f>
        <v>183</v>
      </c>
      <c r="Q65" s="75">
        <f>Prestonfield!$O$159</f>
        <v>183</v>
      </c>
      <c r="R65" s="75">
        <f>Prestonfield!$P$159</f>
        <v>183</v>
      </c>
      <c r="S65" s="147"/>
      <c r="T65" s="147"/>
      <c r="W65" s="73">
        <v>315</v>
      </c>
      <c r="X65" s="73">
        <v>12</v>
      </c>
      <c r="Y65" s="73">
        <f t="shared" si="2"/>
        <v>1</v>
      </c>
    </row>
    <row r="66" spans="1:25">
      <c r="A66" s="144" t="s">
        <v>58</v>
      </c>
      <c r="B66" s="392">
        <f t="shared" si="1"/>
        <v>504</v>
      </c>
      <c r="C66" s="74">
        <v>18</v>
      </c>
      <c r="D66" s="143">
        <v>453</v>
      </c>
      <c r="E66" s="75">
        <f>Queensferry!$C$159</f>
        <v>465.24016393442622</v>
      </c>
      <c r="F66" s="75">
        <f>Queensferry!$D$159</f>
        <v>462.32486740597881</v>
      </c>
      <c r="G66" s="75">
        <f>Queensferry!$E$159</f>
        <v>482</v>
      </c>
      <c r="H66" s="75">
        <f>Queensferry!$F$159</f>
        <v>513.88490838958535</v>
      </c>
      <c r="I66" s="75">
        <f>Queensferry!$G$159</f>
        <v>526</v>
      </c>
      <c r="J66" s="75">
        <f>Queensferry!$H$159</f>
        <v>534.88490838958535</v>
      </c>
      <c r="K66" s="75">
        <f>Queensferry!$I$159</f>
        <v>544.71550144648018</v>
      </c>
      <c r="L66" s="75">
        <f>Queensferry!$J$159</f>
        <v>560.46139103182259</v>
      </c>
      <c r="M66" s="75">
        <f>Queensferry!$K$159</f>
        <v>579.37668756027006</v>
      </c>
      <c r="N66" s="75">
        <f>Queensferry!$L$159</f>
        <v>590.37668756027006</v>
      </c>
      <c r="O66" s="75">
        <f>Queensferry!$M$159</f>
        <v>595.29198408871753</v>
      </c>
      <c r="P66" s="75">
        <f>Queensferry!$N$159</f>
        <v>606.20728061716488</v>
      </c>
      <c r="Q66" s="75">
        <f>Queensferry!$O$159</f>
        <v>614.12257714561235</v>
      </c>
      <c r="R66" s="75">
        <f>Queensferry!$P$159</f>
        <v>623.12257714561235</v>
      </c>
      <c r="S66" s="147"/>
      <c r="T66" s="147"/>
      <c r="W66" s="73">
        <v>420</v>
      </c>
      <c r="X66" s="73">
        <v>14</v>
      </c>
      <c r="Y66" s="73">
        <f t="shared" si="2"/>
        <v>-4</v>
      </c>
    </row>
    <row r="67" spans="1:25">
      <c r="A67" s="144" t="s">
        <v>59</v>
      </c>
      <c r="B67" s="392">
        <f t="shared" si="1"/>
        <v>294</v>
      </c>
      <c r="C67" s="74">
        <v>11</v>
      </c>
      <c r="D67" s="143">
        <v>263</v>
      </c>
      <c r="E67" s="75">
        <f>Ratho!$C$159</f>
        <v>303.05761024182078</v>
      </c>
      <c r="F67" s="75">
        <f>Ratho!$D$159</f>
        <v>341</v>
      </c>
      <c r="G67" s="75">
        <f>Ratho!$E$159</f>
        <v>349.18207681365573</v>
      </c>
      <c r="H67" s="75">
        <f>Ratho!$F$159</f>
        <v>370.18207681365573</v>
      </c>
      <c r="I67" s="75">
        <f>Ratho!$G$159</f>
        <v>381.16429587482219</v>
      </c>
      <c r="J67" s="75">
        <f>Ratho!$H$159</f>
        <v>397</v>
      </c>
      <c r="K67" s="75">
        <f>Ratho!$I$159</f>
        <v>405</v>
      </c>
      <c r="L67" s="75">
        <f>Ratho!$J$159</f>
        <v>398</v>
      </c>
      <c r="M67" s="75">
        <f>Ratho!$K$159</f>
        <v>397</v>
      </c>
      <c r="N67" s="75">
        <f>Ratho!$L$159</f>
        <v>400</v>
      </c>
      <c r="O67" s="75">
        <f>Ratho!$M$159</f>
        <v>403</v>
      </c>
      <c r="P67" s="75">
        <f>Ratho!$N$159</f>
        <v>405</v>
      </c>
      <c r="Q67" s="75">
        <f>Ratho!$O$159</f>
        <v>405</v>
      </c>
      <c r="R67" s="75">
        <f>Ratho!$P$159</f>
        <v>405</v>
      </c>
      <c r="S67" s="147" t="s">
        <v>408</v>
      </c>
      <c r="T67" s="147"/>
      <c r="W67" s="73">
        <v>294</v>
      </c>
      <c r="X67" s="73">
        <v>11</v>
      </c>
      <c r="Y67" s="73">
        <f t="shared" si="2"/>
        <v>0</v>
      </c>
    </row>
    <row r="68" spans="1:25">
      <c r="A68" s="144" t="s">
        <v>60</v>
      </c>
      <c r="B68" s="392">
        <f t="shared" si="1"/>
        <v>294</v>
      </c>
      <c r="C68" s="74">
        <v>11</v>
      </c>
      <c r="D68" s="143">
        <v>269</v>
      </c>
      <c r="E68" s="75">
        <f>Roseburn!$C$159</f>
        <v>264.54761904761904</v>
      </c>
      <c r="F68" s="75">
        <f>Roseburn!$D$159</f>
        <v>266</v>
      </c>
      <c r="G68" s="75">
        <f>Roseburn!$E$159</f>
        <v>261.37157287157288</v>
      </c>
      <c r="H68" s="75">
        <f>Roseburn!$F$159</f>
        <v>245</v>
      </c>
      <c r="I68" s="75">
        <f>Roseburn!$G$159</f>
        <v>242</v>
      </c>
      <c r="J68" s="75">
        <f>Roseburn!$H$159</f>
        <v>237</v>
      </c>
      <c r="K68" s="75">
        <f>Roseburn!$I$159</f>
        <v>229</v>
      </c>
      <c r="L68" s="75">
        <f>Roseburn!$J$159</f>
        <v>225.59163059163058</v>
      </c>
      <c r="M68" s="75">
        <f>Roseburn!$K$159</f>
        <v>231.59163059163058</v>
      </c>
      <c r="N68" s="75">
        <f>Roseburn!$L$159</f>
        <v>227.59163059163058</v>
      </c>
      <c r="O68" s="75">
        <f>Roseburn!$M$159</f>
        <v>239.59163059163058</v>
      </c>
      <c r="P68" s="75">
        <f>Roseburn!$N$159</f>
        <v>247.59163059163058</v>
      </c>
      <c r="Q68" s="75">
        <f>Roseburn!$O$159</f>
        <v>255.59163059163058</v>
      </c>
      <c r="R68" s="75">
        <f>Roseburn!$P$159</f>
        <v>263.59163059163058</v>
      </c>
      <c r="S68" s="147"/>
      <c r="T68" s="147"/>
      <c r="W68" s="73">
        <v>259</v>
      </c>
      <c r="X68" s="73">
        <v>10</v>
      </c>
      <c r="Y68" s="73">
        <f t="shared" si="2"/>
        <v>-1</v>
      </c>
    </row>
    <row r="69" spans="1:25">
      <c r="A69" s="144" t="s">
        <v>61</v>
      </c>
      <c r="B69" s="392">
        <f t="shared" si="1"/>
        <v>210</v>
      </c>
      <c r="C69" s="74">
        <v>7</v>
      </c>
      <c r="D69" s="143">
        <v>142</v>
      </c>
      <c r="E69" s="75">
        <f>'Royal Mile'!$C$159</f>
        <v>139.68143236074269</v>
      </c>
      <c r="F69" s="75">
        <f>'Royal Mile'!$D$159</f>
        <v>137.18585322723254</v>
      </c>
      <c r="G69" s="75">
        <f>'Royal Mile'!$E$159</f>
        <v>126.98231653404068</v>
      </c>
      <c r="H69" s="75">
        <f>'Royal Mile'!$F$159</f>
        <v>124.5840848806366</v>
      </c>
      <c r="I69" s="75">
        <f>'Royal Mile'!$G$159</f>
        <v>126.98231653404068</v>
      </c>
      <c r="J69" s="75">
        <f>'Royal Mile'!$H$159</f>
        <v>119.6814323607427</v>
      </c>
      <c r="K69" s="75">
        <f>'Royal Mile'!$I$159</f>
        <v>114.6814323607427</v>
      </c>
      <c r="L69" s="75">
        <f>'Royal Mile'!$J$159</f>
        <v>111.6814323607427</v>
      </c>
      <c r="M69" s="75">
        <f>'Royal Mile'!$K$159</f>
        <v>113.38054818744473</v>
      </c>
      <c r="N69" s="75">
        <f>'Royal Mile'!$L$159</f>
        <v>113.38054818744473</v>
      </c>
      <c r="O69" s="75">
        <f>'Royal Mile'!$M$159</f>
        <v>115.38054818744473</v>
      </c>
      <c r="P69" s="75">
        <f>'Royal Mile'!$N$159</f>
        <v>117.38054818744473</v>
      </c>
      <c r="Q69" s="75">
        <f>'Royal Mile'!$O$159</f>
        <v>118.38054818744473</v>
      </c>
      <c r="R69" s="75">
        <f>'Royal Mile'!$P$159</f>
        <v>119.38054818744473</v>
      </c>
      <c r="S69" s="147"/>
      <c r="T69" s="147"/>
      <c r="W69" s="73">
        <v>210</v>
      </c>
      <c r="X69" s="73">
        <v>7</v>
      </c>
      <c r="Y69" s="73">
        <f t="shared" si="2"/>
        <v>0</v>
      </c>
    </row>
    <row r="70" spans="1:25">
      <c r="A70" s="144" t="s">
        <v>62</v>
      </c>
      <c r="B70" s="392">
        <f t="shared" si="1"/>
        <v>630</v>
      </c>
      <c r="C70" s="74">
        <v>21</v>
      </c>
      <c r="D70" s="143">
        <v>662</v>
      </c>
      <c r="E70" s="75">
        <f>Sciennes!$C$159</f>
        <v>666</v>
      </c>
      <c r="F70" s="75">
        <f>Sciennes!$D$159</f>
        <v>640</v>
      </c>
      <c r="G70" s="75">
        <f>Sciennes!$E$159</f>
        <v>642</v>
      </c>
      <c r="H70" s="75">
        <f>Sciennes!$F$159</f>
        <v>630</v>
      </c>
      <c r="I70" s="75">
        <f>Sciennes!$G$159</f>
        <v>614</v>
      </c>
      <c r="J70" s="75">
        <f>Sciennes!$H$159</f>
        <v>592</v>
      </c>
      <c r="K70" s="75">
        <f>Sciennes!$I$159</f>
        <v>585</v>
      </c>
      <c r="L70" s="75">
        <f>Sciennes!$J$159</f>
        <v>576.32354430379746</v>
      </c>
      <c r="M70" s="75">
        <f>Sciennes!$K$159</f>
        <v>595.32354430379746</v>
      </c>
      <c r="N70" s="75">
        <f>Sciennes!$L$159</f>
        <v>587.30177215189872</v>
      </c>
      <c r="O70" s="75">
        <f>Sciennes!$M$159</f>
        <v>601.30177215189872</v>
      </c>
      <c r="P70" s="75">
        <f>Sciennes!$N$159</f>
        <v>617.30177215189872</v>
      </c>
      <c r="Q70" s="75">
        <f>Sciennes!$O$159</f>
        <v>631.30177215189872</v>
      </c>
      <c r="R70" s="75">
        <f>Sciennes!$P$159</f>
        <v>645.30177215189872</v>
      </c>
      <c r="S70" s="147"/>
      <c r="T70" s="147"/>
      <c r="W70" s="73">
        <v>630</v>
      </c>
      <c r="X70" s="73">
        <v>21</v>
      </c>
      <c r="Y70" s="73">
        <f t="shared" ref="Y70:Y93" si="3">X70-C70</f>
        <v>0</v>
      </c>
    </row>
    <row r="71" spans="1:25">
      <c r="A71" s="144" t="s">
        <v>63</v>
      </c>
      <c r="B71" s="392">
        <f t="shared" ref="B71:B93" si="4">IF(C71=4,84,IF(C71=5,112,IF(C71=6,140,IF(C71=7,210,IF(C71=8,217,IF(C71=9,231,IF(C71=10,259,IF(C71=11,294,IF(C71=12,315,IF(C71=13,329,IF(C71=14,420,IF(C71=15,434,IF(C71=16,462,IF(C71=17,476,IF(C71=18,504,IF(C71=19,546,IF(C71=20,560,IF(C71=21,630,IF(C71=22,651,IF(C71=23,693))))))))))))))))))))</f>
        <v>294</v>
      </c>
      <c r="C71" s="74">
        <v>11</v>
      </c>
      <c r="D71" s="143">
        <v>248</v>
      </c>
      <c r="E71" s="75">
        <f>Sighthill!$C$159</f>
        <v>246.69046673286991</v>
      </c>
      <c r="F71" s="75">
        <f>Sighthill!$D$159</f>
        <v>260.09149288315126</v>
      </c>
      <c r="G71" s="75">
        <f>Sighthill!$E$159</f>
        <v>243</v>
      </c>
      <c r="H71" s="75">
        <f>Sighthill!$F$159</f>
        <v>230</v>
      </c>
      <c r="I71" s="75">
        <f>Sighthill!$G$159</f>
        <v>220.60923535253227</v>
      </c>
      <c r="J71" s="75">
        <f>Sighthill!$H$159</f>
        <v>211.60923535253227</v>
      </c>
      <c r="K71" s="75">
        <f>Sighthill!$I$159</f>
        <v>207.28944058258855</v>
      </c>
      <c r="L71" s="75">
        <f>Sighthill!$J$159</f>
        <v>204.28944058258855</v>
      </c>
      <c r="M71" s="75">
        <f>Sighthill!$K$159</f>
        <v>200.96964581264481</v>
      </c>
      <c r="N71" s="75">
        <f>Sighthill!$L$159</f>
        <v>210.96964581264481</v>
      </c>
      <c r="O71" s="75">
        <f>Sighthill!$M$159</f>
        <v>217.96964581264481</v>
      </c>
      <c r="P71" s="75">
        <f>Sighthill!$N$159</f>
        <v>218.96964581264481</v>
      </c>
      <c r="Q71" s="75">
        <f>Sighthill!$O$159</f>
        <v>219.96964581264481</v>
      </c>
      <c r="R71" s="75">
        <f>Sighthill!$P$159</f>
        <v>219.96964581264481</v>
      </c>
      <c r="S71" s="147"/>
      <c r="T71" s="147"/>
      <c r="W71" s="73">
        <v>315</v>
      </c>
      <c r="X71" s="73">
        <v>12</v>
      </c>
      <c r="Y71" s="73">
        <f t="shared" si="3"/>
        <v>1</v>
      </c>
    </row>
    <row r="72" spans="1:25">
      <c r="A72" s="144" t="s">
        <v>64</v>
      </c>
      <c r="B72" s="392">
        <f t="shared" si="4"/>
        <v>630</v>
      </c>
      <c r="C72" s="74">
        <v>21</v>
      </c>
      <c r="D72" s="143">
        <v>643</v>
      </c>
      <c r="E72" s="75">
        <f>'South Morningside'!$C$159</f>
        <v>651.82081949058693</v>
      </c>
      <c r="F72" s="75">
        <f>'South Morningside'!$D$159</f>
        <v>655.82081949058693</v>
      </c>
      <c r="G72" s="75">
        <f>'South Morningside'!$E$159</f>
        <v>670.55282392026584</v>
      </c>
      <c r="H72" s="75">
        <f>'South Morningside'!$F$159</f>
        <v>658.86101882613514</v>
      </c>
      <c r="I72" s="75">
        <f>'South Morningside'!$G$159</f>
        <v>663.72702104097448</v>
      </c>
      <c r="J72" s="75">
        <f>'South Morningside'!$H$159</f>
        <v>669.71362126245845</v>
      </c>
      <c r="K72" s="75">
        <f>'South Morningside'!$I$159</f>
        <v>661.70022148394241</v>
      </c>
      <c r="L72" s="75">
        <f>'South Morningside'!$J$159</f>
        <v>670.68682170542638</v>
      </c>
      <c r="M72" s="75">
        <f>'South Morningside'!$K$159</f>
        <v>680.67342192691035</v>
      </c>
      <c r="N72" s="75">
        <f>'South Morningside'!$L$159</f>
        <v>672.67342192691035</v>
      </c>
      <c r="O72" s="75">
        <f>'South Morningside'!$M$159</f>
        <v>686.67342192691035</v>
      </c>
      <c r="P72" s="75">
        <f>'South Morningside'!$N$159</f>
        <v>690</v>
      </c>
      <c r="Q72" s="75">
        <f>'South Morningside'!$O$159</f>
        <v>693</v>
      </c>
      <c r="R72" s="75">
        <f>'South Morningside'!$P$159</f>
        <v>695</v>
      </c>
      <c r="S72" s="147" t="s">
        <v>412</v>
      </c>
      <c r="T72" s="147"/>
      <c r="W72" s="73">
        <v>630</v>
      </c>
      <c r="X72" s="73">
        <v>21</v>
      </c>
      <c r="Y72" s="73">
        <f t="shared" si="3"/>
        <v>0</v>
      </c>
    </row>
    <row r="73" spans="1:25">
      <c r="A73" s="144" t="s">
        <v>65</v>
      </c>
      <c r="B73" s="392">
        <f t="shared" si="4"/>
        <v>210</v>
      </c>
      <c r="C73" s="74">
        <v>7</v>
      </c>
      <c r="D73" s="143">
        <v>214</v>
      </c>
      <c r="E73" s="75">
        <f>'St Catherines RC'!$C$159</f>
        <v>219.85031928480203</v>
      </c>
      <c r="F73" s="75">
        <f>'St Catherines RC'!$D$159</f>
        <v>223.85031928480203</v>
      </c>
      <c r="G73" s="75">
        <f>'St Catherines RC'!$E$159</f>
        <v>231.49203916560236</v>
      </c>
      <c r="H73" s="75">
        <f>'St Catherines RC'!$F$159</f>
        <v>231.77866326096211</v>
      </c>
      <c r="I73" s="75">
        <f>'St Catherines RC'!$G$159</f>
        <v>235.56369518944231</v>
      </c>
      <c r="J73" s="75">
        <f>'St Catherines RC'!$H$159</f>
        <v>243.49203916560236</v>
      </c>
      <c r="K73" s="75">
        <f>'St Catherines RC'!$I$159</f>
        <v>251.42038314176244</v>
      </c>
      <c r="L73" s="75">
        <f>'St Catherines RC'!$J$159</f>
        <v>256.34872711792252</v>
      </c>
      <c r="M73" s="75">
        <f>'St Catherines RC'!$K$159</f>
        <v>264.34872711792252</v>
      </c>
      <c r="N73" s="75">
        <f>'St Catherines RC'!$L$159</f>
        <v>266.20541507024268</v>
      </c>
      <c r="O73" s="75">
        <f>'St Catherines RC'!$M$159</f>
        <v>272.20541507024268</v>
      </c>
      <c r="P73" s="75">
        <f>'St Catherines RC'!$N$159</f>
        <v>275.20541507024268</v>
      </c>
      <c r="Q73" s="75">
        <f>'St Catherines RC'!$O$159</f>
        <v>278.20541507024268</v>
      </c>
      <c r="R73" s="75">
        <f>'St Catherines RC'!$P$159</f>
        <v>281.20541507024268</v>
      </c>
      <c r="S73" s="147" t="s">
        <v>189</v>
      </c>
      <c r="T73" s="147"/>
      <c r="W73" s="73">
        <v>210</v>
      </c>
      <c r="X73" s="73">
        <v>7</v>
      </c>
      <c r="Y73" s="73">
        <f t="shared" si="3"/>
        <v>0</v>
      </c>
    </row>
    <row r="74" spans="1:25">
      <c r="A74" s="144" t="s">
        <v>85</v>
      </c>
      <c r="B74" s="392">
        <f t="shared" si="4"/>
        <v>210</v>
      </c>
      <c r="C74" s="74">
        <v>7</v>
      </c>
      <c r="D74" s="143">
        <v>209</v>
      </c>
      <c r="E74" s="75">
        <f>'St Cuthberts RC'!$C$159</f>
        <v>217.45833333333334</v>
      </c>
      <c r="F74" s="75">
        <f>'St Cuthberts RC'!$D$159</f>
        <v>214.51149425287355</v>
      </c>
      <c r="G74" s="75">
        <f>'St Cuthberts RC'!$E$159</f>
        <v>218</v>
      </c>
      <c r="H74" s="75">
        <f>'St Cuthberts RC'!$F$159</f>
        <v>212</v>
      </c>
      <c r="I74" s="75">
        <f>'St Cuthberts RC'!$G$159</f>
        <v>213.51149425287355</v>
      </c>
      <c r="J74" s="75">
        <f>'St Cuthberts RC'!$H$159</f>
        <v>216.40517241379311</v>
      </c>
      <c r="K74" s="75">
        <f>'St Cuthberts RC'!$I$159</f>
        <v>213.40517241379311</v>
      </c>
      <c r="L74" s="75">
        <f>'St Cuthberts RC'!$J$159</f>
        <v>212</v>
      </c>
      <c r="M74" s="75">
        <f>'St Cuthberts RC'!$K$159</f>
        <v>214.29885057471265</v>
      </c>
      <c r="N74" s="75">
        <f>'St Cuthberts RC'!$L$159</f>
        <v>222.29885057471265</v>
      </c>
      <c r="O74" s="75">
        <f>'St Cuthberts RC'!$M$159</f>
        <v>229.29885057471265</v>
      </c>
      <c r="P74" s="75">
        <f>'St Cuthberts RC'!$N$159</f>
        <v>231.29885057471265</v>
      </c>
      <c r="Q74" s="75">
        <f>'St Cuthberts RC'!$O$159</f>
        <v>232.29885057471265</v>
      </c>
      <c r="R74" s="75">
        <f>'St Cuthberts RC'!$P$159</f>
        <v>234.29885057471265</v>
      </c>
      <c r="S74" s="147" t="s">
        <v>408</v>
      </c>
      <c r="T74" s="147"/>
      <c r="W74" s="73">
        <v>210</v>
      </c>
      <c r="X74" s="73">
        <v>7</v>
      </c>
      <c r="Y74" s="73">
        <f t="shared" si="3"/>
        <v>0</v>
      </c>
    </row>
    <row r="75" spans="1:25">
      <c r="A75" s="144" t="s">
        <v>86</v>
      </c>
      <c r="B75" s="392">
        <f t="shared" si="4"/>
        <v>329</v>
      </c>
      <c r="C75" s="74">
        <v>13</v>
      </c>
      <c r="D75" s="143">
        <v>303</v>
      </c>
      <c r="E75" s="75">
        <f>'St Davids RC'!$C$159</f>
        <v>308.00880932082976</v>
      </c>
      <c r="F75" s="75">
        <f>'St Davids RC'!$D$159</f>
        <v>309.72435350951974</v>
      </c>
      <c r="G75" s="75">
        <f>'St Davids RC'!$E$159</f>
        <v>324.04944586530263</v>
      </c>
      <c r="H75" s="75">
        <f>'St Davids RC'!$F$159</f>
        <v>325.80562659846544</v>
      </c>
      <c r="I75" s="75">
        <f>'St Davids RC'!$G$159</f>
        <v>332.80562659846544</v>
      </c>
      <c r="J75" s="75">
        <f>'St Davids RC'!$H$159</f>
        <v>335.72435350951974</v>
      </c>
      <c r="K75" s="75">
        <f>'St Davids RC'!$I$159</f>
        <v>346.64308042057405</v>
      </c>
      <c r="L75" s="75">
        <f>'St Davids RC'!$J$159</f>
        <v>354.60244387610118</v>
      </c>
      <c r="M75" s="75">
        <f>'St Davids RC'!$K$159</f>
        <v>359.60244387610118</v>
      </c>
      <c r="N75" s="75">
        <f>'St Davids RC'!$L$159</f>
        <v>371.52117078715543</v>
      </c>
      <c r="O75" s="75">
        <f>'St Davids RC'!$M$159</f>
        <v>375</v>
      </c>
      <c r="P75" s="75">
        <f>'St Davids RC'!$N$159</f>
        <v>382</v>
      </c>
      <c r="Q75" s="75">
        <f>'St Davids RC'!$O$159</f>
        <v>386.43989769820973</v>
      </c>
      <c r="R75" s="75">
        <f>'St Davids RC'!$P$159</f>
        <v>392.43989769820973</v>
      </c>
      <c r="S75" s="147" t="s">
        <v>189</v>
      </c>
      <c r="T75" s="147"/>
      <c r="W75" s="73">
        <v>329</v>
      </c>
      <c r="X75" s="73">
        <v>13</v>
      </c>
      <c r="Y75" s="73">
        <f t="shared" si="3"/>
        <v>0</v>
      </c>
    </row>
    <row r="76" spans="1:25">
      <c r="A76" s="144" t="s">
        <v>87</v>
      </c>
      <c r="B76" s="392">
        <f t="shared" si="4"/>
        <v>315</v>
      </c>
      <c r="C76" s="74">
        <v>12</v>
      </c>
      <c r="D76" s="143">
        <v>251</v>
      </c>
      <c r="E76" s="75">
        <f>'St Francis RC'!$C$159</f>
        <v>264.14478029194339</v>
      </c>
      <c r="F76" s="75">
        <f>'St Francis RC'!$D$159</f>
        <v>265.9654677473826</v>
      </c>
      <c r="G76" s="75">
        <f>'St Francis RC'!$E$159</f>
        <v>281.51718638598072</v>
      </c>
      <c r="H76" s="75">
        <f>'St Francis RC'!$F$159</f>
        <v>303.33787384141993</v>
      </c>
      <c r="I76" s="75">
        <f>'St Francis RC'!$G$159</f>
        <v>316.4275301137003</v>
      </c>
      <c r="J76" s="75">
        <f>'St Francis RC'!$H$159</f>
        <v>315.33787384141993</v>
      </c>
      <c r="K76" s="75">
        <f>'St Francis RC'!$I$159</f>
        <v>314.24821756913957</v>
      </c>
      <c r="L76" s="75">
        <f>'St Francis RC'!$J$159</f>
        <v>322.24821756913957</v>
      </c>
      <c r="M76" s="75">
        <f>'St Francis RC'!$K$159</f>
        <v>330.06890502457878</v>
      </c>
      <c r="N76" s="75">
        <f>'St Francis RC'!$L$159</f>
        <v>333.06890502457878</v>
      </c>
      <c r="O76" s="75">
        <f>'St Francis RC'!$M$159</f>
        <v>335.06890502457878</v>
      </c>
      <c r="P76" s="75">
        <f>'St Francis RC'!$N$159</f>
        <v>338.06890502457878</v>
      </c>
      <c r="Q76" s="75">
        <f>'St Francis RC'!$O$159</f>
        <v>341.06890502457878</v>
      </c>
      <c r="R76" s="75">
        <f>'St Francis RC'!$P$159</f>
        <v>342.06890502457878</v>
      </c>
      <c r="S76" s="147"/>
      <c r="T76" s="147"/>
      <c r="W76" s="73">
        <v>315</v>
      </c>
      <c r="X76" s="73">
        <v>12</v>
      </c>
      <c r="Y76" s="73">
        <f t="shared" si="3"/>
        <v>0</v>
      </c>
    </row>
    <row r="77" spans="1:25">
      <c r="A77" s="144" t="s">
        <v>88</v>
      </c>
      <c r="B77" s="392">
        <f t="shared" si="4"/>
        <v>259</v>
      </c>
      <c r="C77" s="74">
        <v>10</v>
      </c>
      <c r="D77" s="143">
        <v>272</v>
      </c>
      <c r="E77" s="75">
        <f>'St John Vianney'!$C$159</f>
        <v>264.48414746543779</v>
      </c>
      <c r="F77" s="75">
        <f>'St John Vianney'!$D$159</f>
        <v>252.368356374808</v>
      </c>
      <c r="G77" s="75">
        <f>'St John Vianney'!$E$159</f>
        <v>259.368356374808</v>
      </c>
      <c r="H77" s="75">
        <f>'St John Vianney'!$F$159</f>
        <v>274.02098310291859</v>
      </c>
      <c r="I77" s="75">
        <f>'St John Vianney'!$G$159</f>
        <v>284.78940092165897</v>
      </c>
      <c r="J77" s="75">
        <f>'St John Vianney'!$H$159</f>
        <v>297.5578187403994</v>
      </c>
      <c r="K77" s="75">
        <f>'St John Vianney'!$I$159</f>
        <v>294.32623655913977</v>
      </c>
      <c r="L77" s="75">
        <f>'St John Vianney'!$J$159</f>
        <v>304.21044546850999</v>
      </c>
      <c r="M77" s="75">
        <f>'St John Vianney'!$K$159</f>
        <v>311.97886328725042</v>
      </c>
      <c r="N77" s="75">
        <f>'St John Vianney'!$L$159</f>
        <v>316.97886328725042</v>
      </c>
      <c r="O77" s="75">
        <f>'St John Vianney'!$M$159</f>
        <v>319.86307219662058</v>
      </c>
      <c r="P77" s="75">
        <f>'St John Vianney'!$N$159</f>
        <v>321.86307219662058</v>
      </c>
      <c r="Q77" s="75">
        <f>'St John Vianney'!$O$159</f>
        <v>323.86307219662058</v>
      </c>
      <c r="R77" s="75">
        <f>'St John Vianney'!$P$159</f>
        <v>325.86307219662058</v>
      </c>
      <c r="S77" s="147"/>
      <c r="T77" s="147"/>
      <c r="W77" s="73">
        <v>294</v>
      </c>
      <c r="X77" s="73">
        <v>11</v>
      </c>
      <c r="Y77" s="73">
        <f t="shared" si="3"/>
        <v>1</v>
      </c>
    </row>
    <row r="78" spans="1:25">
      <c r="A78" s="144" t="s">
        <v>89</v>
      </c>
      <c r="B78" s="392">
        <f t="shared" si="4"/>
        <v>434</v>
      </c>
      <c r="C78" s="74">
        <v>15</v>
      </c>
      <c r="D78" s="143">
        <v>363</v>
      </c>
      <c r="E78" s="75">
        <f>'St Johns RC'!$C$159</f>
        <v>356.90909090909088</v>
      </c>
      <c r="F78" s="75">
        <f>'St Johns RC'!$D$159</f>
        <v>362.93333333333334</v>
      </c>
      <c r="G78" s="75">
        <f>'St Johns RC'!$E$159</f>
        <v>362</v>
      </c>
      <c r="H78" s="75">
        <f>'St Johns RC'!$F$159</f>
        <v>356</v>
      </c>
      <c r="I78" s="75">
        <f>'St Johns RC'!$G$159</f>
        <v>356</v>
      </c>
      <c r="J78" s="75">
        <f>'St Johns RC'!$H$159</f>
        <v>349</v>
      </c>
      <c r="K78" s="75">
        <f>'St Johns RC'!$I$159</f>
        <v>355.73939393939395</v>
      </c>
      <c r="L78" s="75">
        <f>'St Johns RC'!$J$159</f>
        <v>365.71515151515155</v>
      </c>
      <c r="M78" s="75">
        <f>'St Johns RC'!$K$159</f>
        <v>375.69090909090909</v>
      </c>
      <c r="N78" s="75">
        <f>'St Johns RC'!$L$159</f>
        <v>384.64242424242423</v>
      </c>
      <c r="O78" s="75">
        <f>'St Johns RC'!$M$159</f>
        <v>392.64242424242423</v>
      </c>
      <c r="P78" s="75">
        <f>'St Johns RC'!$N$159</f>
        <v>400</v>
      </c>
      <c r="Q78" s="75">
        <f>'St Johns RC'!$O$159</f>
        <v>409</v>
      </c>
      <c r="R78" s="75">
        <f>'St Johns RC'!$P$159</f>
        <v>412</v>
      </c>
      <c r="S78" s="147"/>
      <c r="T78" s="147"/>
      <c r="W78" s="73">
        <v>434</v>
      </c>
      <c r="X78" s="73">
        <v>15</v>
      </c>
      <c r="Y78" s="73">
        <f t="shared" si="3"/>
        <v>0</v>
      </c>
    </row>
    <row r="79" spans="1:25">
      <c r="A79" s="144" t="s">
        <v>90</v>
      </c>
      <c r="B79" s="392">
        <f t="shared" si="4"/>
        <v>329</v>
      </c>
      <c r="C79" s="74">
        <v>13</v>
      </c>
      <c r="D79" s="143">
        <v>324</v>
      </c>
      <c r="E79" s="75">
        <f>'St Josephs RC'!$C$159</f>
        <v>324.12890922959571</v>
      </c>
      <c r="F79" s="75">
        <f>'St Josephs RC'!$D$159</f>
        <v>331.24585240274598</v>
      </c>
      <c r="G79" s="75">
        <f>'St Josephs RC'!$E$159</f>
        <v>342.24585240274598</v>
      </c>
      <c r="H79" s="75">
        <f>'St Josephs RC'!$F$159</f>
        <v>340.1678902873125</v>
      </c>
      <c r="I79" s="75">
        <f>'St Josephs RC'!$G$159</f>
        <v>336.20687134502924</v>
      </c>
      <c r="J79" s="75">
        <f>'St Josephs RC'!$H$159</f>
        <v>327.1678902873125</v>
      </c>
      <c r="K79" s="75">
        <f>'St Josephs RC'!$I$159</f>
        <v>324.12890922959571</v>
      </c>
      <c r="L79" s="75">
        <f>'St Josephs RC'!$J$159</f>
        <v>325.08992817187897</v>
      </c>
      <c r="M79" s="75">
        <f>'St Josephs RC'!$K$159</f>
        <v>329.08992817187897</v>
      </c>
      <c r="N79" s="75">
        <f>'St Josephs RC'!$L$159</f>
        <v>332.08992817187897</v>
      </c>
      <c r="O79" s="75">
        <f>'St Josephs RC'!$M$159</f>
        <v>334.08992817187897</v>
      </c>
      <c r="P79" s="75">
        <f>'St Josephs RC'!$N$159</f>
        <v>337.05094711416223</v>
      </c>
      <c r="Q79" s="75">
        <f>'St Josephs RC'!$O$159</f>
        <v>341.05094711416223</v>
      </c>
      <c r="R79" s="75">
        <f>'St Josephs RC'!$P$159</f>
        <v>343.05094711416223</v>
      </c>
      <c r="S79" s="147" t="s">
        <v>408</v>
      </c>
      <c r="T79" s="147"/>
      <c r="W79" s="73">
        <v>329</v>
      </c>
      <c r="X79" s="73">
        <v>13</v>
      </c>
      <c r="Y79" s="73">
        <f t="shared" si="3"/>
        <v>0</v>
      </c>
    </row>
    <row r="80" spans="1:25">
      <c r="A80" s="144" t="s">
        <v>81</v>
      </c>
      <c r="B80" s="392">
        <f t="shared" si="4"/>
        <v>210</v>
      </c>
      <c r="C80" s="74">
        <v>7</v>
      </c>
      <c r="D80" s="143">
        <v>120</v>
      </c>
      <c r="E80" s="75">
        <f>'St Margarets RC'!$C$159</f>
        <v>129</v>
      </c>
      <c r="F80" s="75">
        <f>'St Margarets RC'!$D$159</f>
        <v>122</v>
      </c>
      <c r="G80" s="75">
        <f>'St Margarets RC'!$E$159</f>
        <v>134</v>
      </c>
      <c r="H80" s="75">
        <f>'St Margarets RC'!$F$159</f>
        <v>152</v>
      </c>
      <c r="I80" s="75">
        <f>'St Margarets RC'!$G$159</f>
        <v>160</v>
      </c>
      <c r="J80" s="75">
        <f>'St Margarets RC'!$H$159</f>
        <v>170</v>
      </c>
      <c r="K80" s="75">
        <f>'St Margarets RC'!$I$159</f>
        <v>181</v>
      </c>
      <c r="L80" s="75">
        <f>'St Margarets RC'!$J$159</f>
        <v>192</v>
      </c>
      <c r="M80" s="75">
        <f>'St Margarets RC'!$K$159</f>
        <v>201</v>
      </c>
      <c r="N80" s="75">
        <f>'St Margarets RC'!$L$159</f>
        <v>211</v>
      </c>
      <c r="O80" s="75">
        <f>'St Margarets RC'!$M$159</f>
        <v>215</v>
      </c>
      <c r="P80" s="75">
        <f>'St Margarets RC'!$N$159</f>
        <v>220</v>
      </c>
      <c r="Q80" s="75">
        <f>'St Margarets RC'!$O$159</f>
        <v>226</v>
      </c>
      <c r="R80" s="75">
        <f>'St Margarets RC'!$P$159</f>
        <v>231</v>
      </c>
      <c r="S80" s="147"/>
      <c r="T80" s="147"/>
      <c r="W80" s="73">
        <v>112</v>
      </c>
      <c r="X80" s="73">
        <v>5</v>
      </c>
      <c r="Y80" s="73">
        <f t="shared" si="3"/>
        <v>-2</v>
      </c>
    </row>
    <row r="81" spans="1:25">
      <c r="A81" s="144" t="s">
        <v>91</v>
      </c>
      <c r="B81" s="392">
        <f t="shared" si="4"/>
        <v>210</v>
      </c>
      <c r="C81" s="74">
        <v>7</v>
      </c>
      <c r="D81" s="143">
        <v>148</v>
      </c>
      <c r="E81" s="75">
        <f>'St Marks RC'!$C$159</f>
        <v>137.88603425559947</v>
      </c>
      <c r="F81" s="75">
        <f>'St Marks RC'!$D$159</f>
        <v>132.82740447957838</v>
      </c>
      <c r="G81" s="75">
        <f>'St Marks RC'!$E$159</f>
        <v>130.65151515151516</v>
      </c>
      <c r="H81" s="75">
        <f>'St Marks RC'!$F$159</f>
        <v>118.00329380764163</v>
      </c>
      <c r="I81" s="75">
        <f>'St Marks RC'!$G$159</f>
        <v>117.76877470355731</v>
      </c>
      <c r="J81" s="75">
        <f>'St Marks RC'!$H$159</f>
        <v>116.71014492753623</v>
      </c>
      <c r="K81" s="75">
        <f>'St Marks RC'!$I$159</f>
        <v>118.71014492753623</v>
      </c>
      <c r="L81" s="75">
        <f>'St Marks RC'!$J$159</f>
        <v>120.71014492753623</v>
      </c>
      <c r="M81" s="75">
        <f>'St Marks RC'!$K$159</f>
        <v>121.71014492753623</v>
      </c>
      <c r="N81" s="75">
        <f>'St Marks RC'!$L$159</f>
        <v>120.65151515151516</v>
      </c>
      <c r="O81" s="75">
        <f>'St Marks RC'!$M$159</f>
        <v>124.65151515151516</v>
      </c>
      <c r="P81" s="75">
        <f>'St Marks RC'!$N$159</f>
        <v>126.65151515151516</v>
      </c>
      <c r="Q81" s="75">
        <f>'St Marks RC'!$O$159</f>
        <v>127.65151515151516</v>
      </c>
      <c r="R81" s="75">
        <f>'St Marks RC'!$P$159</f>
        <v>128.65151515151516</v>
      </c>
      <c r="S81" s="147"/>
      <c r="T81" s="147"/>
      <c r="W81" s="73">
        <v>210</v>
      </c>
      <c r="X81" s="73">
        <v>7</v>
      </c>
      <c r="Y81" s="73">
        <f t="shared" si="3"/>
        <v>0</v>
      </c>
    </row>
    <row r="82" spans="1:25">
      <c r="A82" s="144" t="s">
        <v>92</v>
      </c>
      <c r="B82" s="392">
        <f t="shared" si="4"/>
        <v>434</v>
      </c>
      <c r="C82" s="74">
        <v>15</v>
      </c>
      <c r="D82" s="143">
        <v>348</v>
      </c>
      <c r="E82" s="75">
        <f>'St Marys Edin'!$C$159</f>
        <v>343.26666666666665</v>
      </c>
      <c r="F82" s="75">
        <f>'St Marys Edin'!$D$159</f>
        <v>330.31666666666666</v>
      </c>
      <c r="G82" s="75">
        <f>'St Marys Edin'!$E$159</f>
        <v>333.26666666666665</v>
      </c>
      <c r="H82" s="75">
        <f>'St Marys Edin'!$F$159</f>
        <v>317.33333333333337</v>
      </c>
      <c r="I82" s="75">
        <f>'St Marys Edin'!$G$159</f>
        <v>312.3</v>
      </c>
      <c r="J82" s="75">
        <f>'St Marys Edin'!$H$159</f>
        <v>304.2833333333333</v>
      </c>
      <c r="K82" s="75">
        <f>'St Marys Edin'!$I$159</f>
        <v>306.26666666666665</v>
      </c>
      <c r="L82" s="75">
        <f>'St Marys Edin'!$J$159</f>
        <v>305.25</v>
      </c>
      <c r="M82" s="75">
        <f>'St Marys Edin'!$K$159</f>
        <v>309.25</v>
      </c>
      <c r="N82" s="75">
        <f>'St Marys Edin'!$L$159</f>
        <v>310.25</v>
      </c>
      <c r="O82" s="75">
        <f>'St Marys Edin'!$M$159</f>
        <v>314.25</v>
      </c>
      <c r="P82" s="75">
        <f>'St Marys Edin'!$N$159</f>
        <v>317.23333333333335</v>
      </c>
      <c r="Q82" s="75">
        <f>'St Marys Edin'!$O$159</f>
        <v>319.23333333333335</v>
      </c>
      <c r="R82" s="75">
        <f>'St Marys Edin'!$P$159</f>
        <v>321.23333333333335</v>
      </c>
      <c r="S82" s="147"/>
      <c r="T82" s="147"/>
      <c r="W82" s="73">
        <v>434</v>
      </c>
      <c r="X82" s="73">
        <v>15</v>
      </c>
      <c r="Y82" s="73">
        <f t="shared" si="3"/>
        <v>0</v>
      </c>
    </row>
    <row r="83" spans="1:25">
      <c r="A83" s="144" t="s">
        <v>93</v>
      </c>
      <c r="B83" s="392">
        <f t="shared" si="4"/>
        <v>420</v>
      </c>
      <c r="C83" s="74">
        <v>14</v>
      </c>
      <c r="D83" s="143">
        <v>353</v>
      </c>
      <c r="E83" s="75">
        <f>'St Marys Leith'!$C$159</f>
        <v>349</v>
      </c>
      <c r="F83" s="75">
        <f>'St Marys Leith'!$D$159</f>
        <v>333.50829931972788</v>
      </c>
      <c r="G83" s="75">
        <f>'St Marys Leith'!$E$159</f>
        <v>324.4736086062332</v>
      </c>
      <c r="H83" s="75">
        <f>'St Marys Leith'!$F$159</f>
        <v>318.40422717924378</v>
      </c>
      <c r="I83" s="75">
        <f>'St Marys Leith'!$G$159</f>
        <v>310.40422717924378</v>
      </c>
      <c r="J83" s="75">
        <f>'St Marys Leith'!$H$159</f>
        <v>311.33484575225441</v>
      </c>
      <c r="K83" s="75">
        <f>'St Marys Leith'!$I$159</f>
        <v>314.30015503875973</v>
      </c>
      <c r="L83" s="75">
        <f>'St Marys Leith'!$J$159</f>
        <v>314.30015503875973</v>
      </c>
      <c r="M83" s="75">
        <f>'St Marys Leith'!$K$159</f>
        <v>321</v>
      </c>
      <c r="N83" s="75">
        <f>'St Marys Leith'!$L$159</f>
        <v>329.19608289827556</v>
      </c>
      <c r="O83" s="75">
        <f>'St Marys Leith'!$M$159</f>
        <v>335.19608289827556</v>
      </c>
      <c r="P83" s="75">
        <f>'St Marys Leith'!$N$159</f>
        <v>341.16139218478088</v>
      </c>
      <c r="Q83" s="75">
        <f>'St Marys Leith'!$O$159</f>
        <v>346.1267014712862</v>
      </c>
      <c r="R83" s="75">
        <f>'St Marys Leith'!$P$159</f>
        <v>351.1267014712862</v>
      </c>
      <c r="S83" s="147"/>
      <c r="T83" s="147"/>
      <c r="W83" s="73">
        <v>329</v>
      </c>
      <c r="X83" s="73">
        <v>13</v>
      </c>
      <c r="Y83" s="73">
        <f t="shared" si="3"/>
        <v>-1</v>
      </c>
    </row>
    <row r="84" spans="1:25">
      <c r="A84" s="144" t="s">
        <v>94</v>
      </c>
      <c r="B84" s="392">
        <f t="shared" si="4"/>
        <v>315</v>
      </c>
      <c r="C84" s="74">
        <v>12</v>
      </c>
      <c r="D84" s="143">
        <v>256</v>
      </c>
      <c r="E84" s="75">
        <f>'St Ninians RC'!$C$159</f>
        <v>263.71333333333337</v>
      </c>
      <c r="F84" s="75">
        <f>'St Ninians RC'!$D$159</f>
        <v>270.86294573643409</v>
      </c>
      <c r="G84" s="75">
        <f>'St Ninians RC'!$E$159</f>
        <v>268.74325581395351</v>
      </c>
      <c r="H84" s="75">
        <f>'St Ninians RC'!$F$159</f>
        <v>258.01255813953492</v>
      </c>
      <c r="I84" s="75">
        <f>'St Ninians RC'!$G$159</f>
        <v>249.86294573643411</v>
      </c>
      <c r="J84" s="75">
        <f>'St Ninians RC'!$H$159</f>
        <v>257.83302325581394</v>
      </c>
      <c r="K84" s="75">
        <f>'St Ninians RC'!$I$159</f>
        <v>255.83302325581394</v>
      </c>
      <c r="L84" s="75">
        <f>'St Ninians RC'!$J$159</f>
        <v>251.83302325581394</v>
      </c>
      <c r="M84" s="75">
        <f>'St Ninians RC'!$K$159</f>
        <v>253.8031007751938</v>
      </c>
      <c r="N84" s="75">
        <f>'St Ninians RC'!$L$159</f>
        <v>251.8031007751938</v>
      </c>
      <c r="O84" s="75">
        <f>'St Ninians RC'!$M$159</f>
        <v>258.8031007751938</v>
      </c>
      <c r="P84" s="75">
        <f>'St Ninians RC'!$N$159</f>
        <v>260.8031007751938</v>
      </c>
      <c r="Q84" s="75">
        <f>'St Ninians RC'!$O$159</f>
        <v>261.8031007751938</v>
      </c>
      <c r="R84" s="75">
        <f>'St Ninians RC'!$P$159</f>
        <v>262.8031007751938</v>
      </c>
      <c r="S84" s="147"/>
      <c r="T84" s="147"/>
      <c r="W84" s="73">
        <v>315</v>
      </c>
      <c r="X84" s="73">
        <v>12</v>
      </c>
      <c r="Y84" s="73">
        <f t="shared" si="3"/>
        <v>0</v>
      </c>
    </row>
    <row r="85" spans="1:25">
      <c r="A85" s="144" t="s">
        <v>95</v>
      </c>
      <c r="B85" s="392">
        <f t="shared" si="4"/>
        <v>434</v>
      </c>
      <c r="C85" s="74">
        <v>15</v>
      </c>
      <c r="D85" s="143">
        <v>389</v>
      </c>
      <c r="E85" s="75">
        <f>'St Peters RC'!$C$159</f>
        <v>374.57723577235771</v>
      </c>
      <c r="F85" s="75">
        <f>'St Peters RC'!$D$159</f>
        <v>366</v>
      </c>
      <c r="G85" s="75">
        <f>'St Peters RC'!$E$159</f>
        <v>353.63414634146341</v>
      </c>
      <c r="H85" s="75">
        <f>'St Peters RC'!$F$159</f>
        <v>340.64227642276421</v>
      </c>
      <c r="I85" s="75">
        <f>'St Peters RC'!$G$159</f>
        <v>333.6178861788618</v>
      </c>
      <c r="J85" s="75">
        <f>'St Peters RC'!$H$159</f>
        <v>326</v>
      </c>
      <c r="K85" s="75">
        <f>'St Peters RC'!$I$159</f>
        <v>332</v>
      </c>
      <c r="L85" s="75">
        <f>'St Peters RC'!$J$159</f>
        <v>327</v>
      </c>
      <c r="M85" s="75">
        <f>'St Peters RC'!$K$159</f>
        <v>330</v>
      </c>
      <c r="N85" s="75">
        <f>'St Peters RC'!$L$159</f>
        <v>334.58536585365857</v>
      </c>
      <c r="O85" s="75">
        <f>'St Peters RC'!$M$159</f>
        <v>337.58536585365857</v>
      </c>
      <c r="P85" s="75">
        <f>'St Peters RC'!$N$159</f>
        <v>341.58536585365857</v>
      </c>
      <c r="Q85" s="75">
        <f>'St Peters RC'!$O$159</f>
        <v>344.58536585365857</v>
      </c>
      <c r="R85" s="75">
        <f>'St Peters RC'!$P$159</f>
        <v>348.58536585365857</v>
      </c>
      <c r="S85" s="147"/>
      <c r="T85" s="147"/>
      <c r="W85" s="73">
        <v>434</v>
      </c>
      <c r="X85" s="73">
        <v>15</v>
      </c>
      <c r="Y85" s="73">
        <f t="shared" si="3"/>
        <v>0</v>
      </c>
    </row>
    <row r="86" spans="1:25">
      <c r="A86" s="144" t="s">
        <v>66</v>
      </c>
      <c r="B86" s="392">
        <f t="shared" si="4"/>
        <v>420</v>
      </c>
      <c r="C86" s="74">
        <v>14</v>
      </c>
      <c r="D86" s="143">
        <v>350</v>
      </c>
      <c r="E86" s="75">
        <f>Stenhouse!$C$159</f>
        <v>355.09510339170038</v>
      </c>
      <c r="F86" s="75">
        <f>Stenhouse!$D$159</f>
        <v>354.57129925603238</v>
      </c>
      <c r="G86" s="75">
        <f>Stenhouse!$E$159</f>
        <v>352.80939718819832</v>
      </c>
      <c r="H86" s="75">
        <f>Stenhouse!$F$159</f>
        <v>345.57129925603238</v>
      </c>
      <c r="I86" s="75">
        <f>Stenhouse!$G$159</f>
        <v>339.57129925603238</v>
      </c>
      <c r="J86" s="75">
        <f>Stenhouse!$H$159</f>
        <v>330.33320132386638</v>
      </c>
      <c r="K86" s="75">
        <f>Stenhouse!$I$159</f>
        <v>324.09510339170038</v>
      </c>
      <c r="L86" s="75">
        <f>Stenhouse!$J$159</f>
        <v>323.09510339170038</v>
      </c>
      <c r="M86" s="75">
        <f>Stenhouse!$K$159</f>
        <v>324.09510339170038</v>
      </c>
      <c r="N86" s="75">
        <f>Stenhouse!$L$159</f>
        <v>326.85700545953438</v>
      </c>
      <c r="O86" s="75">
        <f>Stenhouse!$M$159</f>
        <v>328.85700545953438</v>
      </c>
      <c r="P86" s="75">
        <f>Stenhouse!$N$159</f>
        <v>330.85700545953438</v>
      </c>
      <c r="Q86" s="75">
        <f>Stenhouse!$O$159</f>
        <v>332.85700545953438</v>
      </c>
      <c r="R86" s="75">
        <f>Stenhouse!$P$159</f>
        <v>333.85700545953438</v>
      </c>
      <c r="S86" s="147"/>
      <c r="T86" s="147"/>
      <c r="W86" s="73">
        <v>420</v>
      </c>
      <c r="X86" s="73">
        <v>14</v>
      </c>
      <c r="Y86" s="73">
        <f t="shared" si="3"/>
        <v>0</v>
      </c>
    </row>
    <row r="87" spans="1:25">
      <c r="A87" s="144" t="s">
        <v>67</v>
      </c>
      <c r="B87" s="392">
        <f t="shared" si="4"/>
        <v>294</v>
      </c>
      <c r="C87" s="74">
        <v>11</v>
      </c>
      <c r="D87" s="143">
        <v>254</v>
      </c>
      <c r="E87" s="75">
        <f>Stockbridge!$C$159</f>
        <v>260.97564935064935</v>
      </c>
      <c r="F87" s="75">
        <f>Stockbridge!$D$159</f>
        <v>241</v>
      </c>
      <c r="G87" s="75">
        <f>Stockbridge!$E$159</f>
        <v>243.03255772005772</v>
      </c>
      <c r="H87" s="75">
        <f>Stockbridge!$F$159</f>
        <v>228</v>
      </c>
      <c r="I87" s="75">
        <f>Stockbridge!$G$159</f>
        <v>226</v>
      </c>
      <c r="J87" s="75">
        <f>Stockbridge!$H$159</f>
        <v>218</v>
      </c>
      <c r="K87" s="75">
        <f>Stockbridge!$I$159</f>
        <v>213.11792027417027</v>
      </c>
      <c r="L87" s="75">
        <f>Stockbridge!$J$159</f>
        <v>207.11792027417027</v>
      </c>
      <c r="M87" s="75">
        <f>Stockbridge!$K$159</f>
        <v>211.11792027417027</v>
      </c>
      <c r="N87" s="75">
        <f>Stockbridge!$L$159</f>
        <v>210.0894660894661</v>
      </c>
      <c r="O87" s="75">
        <f>Stockbridge!$M$159</f>
        <v>220.0894660894661</v>
      </c>
      <c r="P87" s="75">
        <f>Stockbridge!$N$159</f>
        <v>225.0894660894661</v>
      </c>
      <c r="Q87" s="75">
        <f>Stockbridge!$O$159</f>
        <v>230.0894660894661</v>
      </c>
      <c r="R87" s="75">
        <f>Stockbridge!$P$159</f>
        <v>231.0894660894661</v>
      </c>
      <c r="S87" s="147"/>
      <c r="T87" s="147"/>
      <c r="W87" s="73">
        <v>231</v>
      </c>
      <c r="X87" s="73">
        <v>9</v>
      </c>
      <c r="Y87" s="73">
        <f t="shared" si="3"/>
        <v>-2</v>
      </c>
    </row>
    <row r="88" spans="1:25">
      <c r="A88" s="144" t="s">
        <v>68</v>
      </c>
      <c r="B88" s="392">
        <f t="shared" si="4"/>
        <v>420</v>
      </c>
      <c r="C88" s="74">
        <v>14</v>
      </c>
      <c r="D88" s="143">
        <v>329</v>
      </c>
      <c r="E88" s="75">
        <f>'The Royal High'!$C$159</f>
        <v>355</v>
      </c>
      <c r="F88" s="75">
        <f>'The Royal High'!$D$159</f>
        <v>332</v>
      </c>
      <c r="G88" s="75">
        <f>'The Royal High'!$E$159</f>
        <v>336</v>
      </c>
      <c r="H88" s="75">
        <f>'The Royal High'!$F$159</f>
        <v>340</v>
      </c>
      <c r="I88" s="75">
        <f>'The Royal High'!$G$159</f>
        <v>367</v>
      </c>
      <c r="J88" s="75">
        <f>'The Royal High'!$H$159</f>
        <v>369</v>
      </c>
      <c r="K88" s="75">
        <f>'The Royal High'!$I$159</f>
        <v>372</v>
      </c>
      <c r="L88" s="75">
        <f>'The Royal High'!$J$159</f>
        <v>373</v>
      </c>
      <c r="M88" s="75">
        <f>'The Royal High'!$K$159</f>
        <v>390</v>
      </c>
      <c r="N88" s="75">
        <f>'The Royal High'!$L$159</f>
        <v>385</v>
      </c>
      <c r="O88" s="75">
        <f>'The Royal High'!$M$159</f>
        <v>381</v>
      </c>
      <c r="P88" s="75">
        <f>'The Royal High'!$N$159</f>
        <v>379</v>
      </c>
      <c r="Q88" s="75">
        <f>'The Royal High'!$O$159</f>
        <v>378</v>
      </c>
      <c r="R88" s="75">
        <f>'The Royal High'!$P$159</f>
        <v>378</v>
      </c>
      <c r="S88" s="147"/>
      <c r="T88" s="147"/>
      <c r="W88" s="73">
        <v>420</v>
      </c>
      <c r="X88" s="73">
        <v>14</v>
      </c>
      <c r="Y88" s="73">
        <f t="shared" si="3"/>
        <v>0</v>
      </c>
    </row>
    <row r="89" spans="1:25">
      <c r="A89" s="144" t="s">
        <v>69</v>
      </c>
      <c r="B89" s="392">
        <f t="shared" si="4"/>
        <v>315</v>
      </c>
      <c r="C89" s="74">
        <v>12</v>
      </c>
      <c r="D89" s="143">
        <v>238</v>
      </c>
      <c r="E89" s="75">
        <f>Tollcross!$C$159</f>
        <v>249</v>
      </c>
      <c r="F89" s="75">
        <f>Tollcross!$D$159</f>
        <v>273.25230769230768</v>
      </c>
      <c r="G89" s="75">
        <f>Tollcross!$E$159</f>
        <v>258</v>
      </c>
      <c r="H89" s="75">
        <f>Tollcross!$F$159</f>
        <v>260</v>
      </c>
      <c r="I89" s="75">
        <f>Tollcross!$G$159</f>
        <v>255</v>
      </c>
      <c r="J89" s="75">
        <f>Tollcross!$H$159</f>
        <v>240</v>
      </c>
      <c r="K89" s="75">
        <f>Tollcross!$I$159</f>
        <v>224</v>
      </c>
      <c r="L89" s="75">
        <f>Tollcross!$J$159</f>
        <v>224</v>
      </c>
      <c r="M89" s="75">
        <f>Tollcross!$K$159</f>
        <v>197</v>
      </c>
      <c r="N89" s="75">
        <f>Tollcross!$L$159</f>
        <v>196</v>
      </c>
      <c r="O89" s="75">
        <f>Tollcross!$M$159</f>
        <v>195</v>
      </c>
      <c r="P89" s="75">
        <f>Tollcross!$N$159</f>
        <v>195</v>
      </c>
      <c r="Q89" s="75">
        <f>Tollcross!$O$159</f>
        <v>195</v>
      </c>
      <c r="R89" s="75">
        <f>Tollcross!$P$159</f>
        <v>195</v>
      </c>
      <c r="S89" s="147"/>
      <c r="T89" s="147"/>
      <c r="W89" s="73">
        <v>315</v>
      </c>
      <c r="X89" s="73">
        <v>12</v>
      </c>
      <c r="Y89" s="73">
        <f t="shared" si="3"/>
        <v>0</v>
      </c>
    </row>
    <row r="90" spans="1:25">
      <c r="A90" s="144" t="s">
        <v>70</v>
      </c>
      <c r="B90" s="392">
        <f t="shared" si="4"/>
        <v>630</v>
      </c>
      <c r="C90" s="74">
        <v>21</v>
      </c>
      <c r="D90" s="143">
        <v>636</v>
      </c>
      <c r="E90" s="75">
        <f>Towerbank!$C$159</f>
        <v>612</v>
      </c>
      <c r="F90" s="75">
        <f>Towerbank!$D$159</f>
        <v>586</v>
      </c>
      <c r="G90" s="75">
        <f>Towerbank!$E$159</f>
        <v>543</v>
      </c>
      <c r="H90" s="75">
        <f>Towerbank!$F$159</f>
        <v>507</v>
      </c>
      <c r="I90" s="75">
        <f>Towerbank!$G$159</f>
        <v>482</v>
      </c>
      <c r="J90" s="75">
        <f>Towerbank!$H$159</f>
        <v>466</v>
      </c>
      <c r="K90" s="75">
        <f>Towerbank!$I$159</f>
        <v>431</v>
      </c>
      <c r="L90" s="75">
        <f>Towerbank!$J$159</f>
        <v>418</v>
      </c>
      <c r="M90" s="75">
        <f>Towerbank!$K$159</f>
        <v>417</v>
      </c>
      <c r="N90" s="75">
        <f>Towerbank!$L$159</f>
        <v>416</v>
      </c>
      <c r="O90" s="75">
        <f>Towerbank!$M$159</f>
        <v>415</v>
      </c>
      <c r="P90" s="75">
        <f>Towerbank!$N$159</f>
        <v>414</v>
      </c>
      <c r="Q90" s="75">
        <f>Towerbank!$O$159</f>
        <v>413</v>
      </c>
      <c r="R90" s="75">
        <f>Towerbank!$P$159</f>
        <v>412</v>
      </c>
      <c r="S90" s="147" t="s">
        <v>413</v>
      </c>
      <c r="T90" s="147"/>
      <c r="W90" s="73">
        <v>630</v>
      </c>
      <c r="X90" s="73">
        <v>22</v>
      </c>
      <c r="Y90" s="73">
        <f t="shared" si="3"/>
        <v>1</v>
      </c>
    </row>
    <row r="91" spans="1:25">
      <c r="A91" s="144" t="s">
        <v>71</v>
      </c>
      <c r="B91" s="392">
        <f t="shared" si="4"/>
        <v>630</v>
      </c>
      <c r="C91" s="74">
        <v>21</v>
      </c>
      <c r="D91" s="143">
        <v>578</v>
      </c>
      <c r="E91" s="75">
        <f>Trinity!$C$159</f>
        <v>577</v>
      </c>
      <c r="F91" s="75">
        <f>Trinity!$D$159</f>
        <v>588.10062252749208</v>
      </c>
      <c r="G91" s="75">
        <f>Trinity!$E$159</f>
        <v>575</v>
      </c>
      <c r="H91" s="75">
        <f>Trinity!$F$159</f>
        <v>578</v>
      </c>
      <c r="I91" s="75">
        <f>Trinity!$G$159</f>
        <v>569</v>
      </c>
      <c r="J91" s="75">
        <f>Trinity!$H$159</f>
        <v>568.03938030908569</v>
      </c>
      <c r="K91" s="75">
        <f>Trinity!$I$159</f>
        <v>567.85565365386663</v>
      </c>
      <c r="L91" s="75">
        <f>Trinity!$J$159</f>
        <v>588.67192699864756</v>
      </c>
      <c r="M91" s="75">
        <f>Trinity!$K$159</f>
        <v>598</v>
      </c>
      <c r="N91" s="75">
        <f>Trinity!$L$159</f>
        <v>623</v>
      </c>
      <c r="O91" s="75">
        <f>Trinity!$M$159</f>
        <v>640</v>
      </c>
      <c r="P91" s="75">
        <f>Trinity!$N$159</f>
        <v>663</v>
      </c>
      <c r="Q91" s="75">
        <f>Trinity!$O$159</f>
        <v>677</v>
      </c>
      <c r="R91" s="75">
        <f>Trinity!$P$159</f>
        <v>688</v>
      </c>
      <c r="S91" s="147"/>
      <c r="T91" s="147"/>
      <c r="W91" s="73">
        <v>504</v>
      </c>
      <c r="X91" s="73">
        <v>18</v>
      </c>
      <c r="Y91" s="73">
        <f t="shared" si="3"/>
        <v>-3</v>
      </c>
    </row>
    <row r="92" spans="1:25">
      <c r="A92" s="144" t="s">
        <v>72</v>
      </c>
      <c r="B92" s="392">
        <f t="shared" si="4"/>
        <v>315</v>
      </c>
      <c r="C92" s="74">
        <v>12</v>
      </c>
      <c r="D92" s="143">
        <v>282</v>
      </c>
      <c r="E92" s="75">
        <f>Victoria!$C$159</f>
        <v>287.29797979797979</v>
      </c>
      <c r="F92" s="75">
        <f>Victoria!$D$159</f>
        <v>285</v>
      </c>
      <c r="G92" s="75">
        <f>Victoria!$E$159</f>
        <v>259</v>
      </c>
      <c r="H92" s="75">
        <f>Victoria!$F$159</f>
        <v>263.42171717171721</v>
      </c>
      <c r="I92" s="75">
        <f>Victoria!$G$159</f>
        <v>257</v>
      </c>
      <c r="J92" s="75">
        <f>Victoria!$H$159</f>
        <v>257.54545454545456</v>
      </c>
      <c r="K92" s="75">
        <f>Victoria!$I$159</f>
        <v>261.29797979797979</v>
      </c>
      <c r="L92" s="75">
        <f>Victoria!$J$159</f>
        <v>270.05050505050508</v>
      </c>
      <c r="M92" s="75">
        <f>Victoria!$K$159</f>
        <v>288.80303030303031</v>
      </c>
      <c r="N92" s="75">
        <f>Victoria!$L$159</f>
        <v>309.67929292929296</v>
      </c>
      <c r="O92" s="75">
        <f>Victoria!$M$159</f>
        <v>314.43181818181819</v>
      </c>
      <c r="P92" s="75">
        <f>Victoria!$N$159</f>
        <v>332</v>
      </c>
      <c r="Q92" s="75">
        <f>Victoria!$O$159</f>
        <v>341</v>
      </c>
      <c r="R92" s="75">
        <f>Victoria!$P$159</f>
        <v>346</v>
      </c>
      <c r="S92" s="147" t="s">
        <v>412</v>
      </c>
      <c r="T92" s="147"/>
      <c r="W92" s="73">
        <v>259</v>
      </c>
      <c r="X92" s="73">
        <v>10</v>
      </c>
      <c r="Y92" s="73">
        <f t="shared" si="3"/>
        <v>-2</v>
      </c>
    </row>
    <row r="93" spans="1:25">
      <c r="A93" s="144" t="s">
        <v>73</v>
      </c>
      <c r="B93" s="392">
        <f t="shared" si="4"/>
        <v>560</v>
      </c>
      <c r="C93" s="74">
        <v>20</v>
      </c>
      <c r="D93" s="143">
        <v>519</v>
      </c>
      <c r="E93" s="75">
        <f>Wardie!$C$159</f>
        <v>516</v>
      </c>
      <c r="F93" s="75">
        <f>Wardie!$D$159</f>
        <v>502</v>
      </c>
      <c r="G93" s="75">
        <f>Wardie!$E$159</f>
        <v>489.70567307382726</v>
      </c>
      <c r="H93" s="75">
        <f>Wardie!$F$159</f>
        <v>470</v>
      </c>
      <c r="I93" s="75">
        <f>Wardie!$G$159</f>
        <v>444</v>
      </c>
      <c r="J93" s="75">
        <f>Wardie!$H$159</f>
        <v>430</v>
      </c>
      <c r="K93" s="75">
        <f>Wardie!$I$159</f>
        <v>421</v>
      </c>
      <c r="L93" s="75">
        <f>Wardie!$J$159</f>
        <v>414</v>
      </c>
      <c r="M93" s="75">
        <f>Wardie!$K$159</f>
        <v>408</v>
      </c>
      <c r="N93" s="75">
        <f>Wardie!$L$159</f>
        <v>414</v>
      </c>
      <c r="O93" s="75">
        <f>Wardie!$M$159</f>
        <v>420</v>
      </c>
      <c r="P93" s="75">
        <f>Wardie!$N$159</f>
        <v>426</v>
      </c>
      <c r="Q93" s="75">
        <f>Wardie!$O$159</f>
        <v>432</v>
      </c>
      <c r="R93" s="75">
        <f>Wardie!$P$159</f>
        <v>432</v>
      </c>
      <c r="S93" s="147"/>
      <c r="T93" s="147"/>
      <c r="W93" s="73">
        <v>560</v>
      </c>
      <c r="X93" s="73">
        <v>20</v>
      </c>
      <c r="Y93" s="73">
        <f t="shared" si="3"/>
        <v>0</v>
      </c>
    </row>
    <row r="94" spans="1:25">
      <c r="A94" s="76" t="s">
        <v>144</v>
      </c>
      <c r="B94" s="222">
        <f>SUM(B6:B93)</f>
        <v>35945</v>
      </c>
      <c r="C94" s="222">
        <f>SUM(C6:C93)</f>
        <v>1264</v>
      </c>
      <c r="D94" s="223">
        <f>SUM(D6:D93)</f>
        <v>30883</v>
      </c>
      <c r="E94" s="77">
        <f t="shared" ref="E94:M94" si="5">SUM(E6:E93)</f>
        <v>31203.396171799082</v>
      </c>
      <c r="F94" s="77">
        <f t="shared" si="5"/>
        <v>31277.087588386861</v>
      </c>
      <c r="G94" s="77">
        <f t="shared" si="5"/>
        <v>31280.130154707738</v>
      </c>
      <c r="H94" s="77">
        <f t="shared" si="5"/>
        <v>31253.487187979634</v>
      </c>
      <c r="I94" s="77">
        <f t="shared" si="5"/>
        <v>31337.233276772749</v>
      </c>
      <c r="J94" s="77">
        <f t="shared" si="5"/>
        <v>31464.793329452241</v>
      </c>
      <c r="K94" s="77">
        <f t="shared" si="5"/>
        <v>31665.305991632405</v>
      </c>
      <c r="L94" s="77">
        <f t="shared" si="5"/>
        <v>32057.016881671239</v>
      </c>
      <c r="M94" s="77">
        <f t="shared" si="5"/>
        <v>32462.630876277246</v>
      </c>
      <c r="N94" s="77">
        <f t="shared" ref="N94:R94" si="6">SUM(N6:N93)</f>
        <v>32975.141284787838</v>
      </c>
      <c r="O94" s="77">
        <f t="shared" si="6"/>
        <v>33435.94333445045</v>
      </c>
      <c r="P94" s="77">
        <f t="shared" si="6"/>
        <v>33793.063101264517</v>
      </c>
      <c r="Q94" s="77">
        <f t="shared" si="6"/>
        <v>34084.663385780019</v>
      </c>
      <c r="R94" s="77">
        <f t="shared" si="6"/>
        <v>34341.277054025093</v>
      </c>
    </row>
    <row r="95" spans="1:25">
      <c r="E95" s="142"/>
      <c r="F95" s="142"/>
      <c r="G95" s="142"/>
      <c r="H95" s="142"/>
      <c r="I95" s="142"/>
      <c r="J95" s="142"/>
      <c r="K95" s="142"/>
      <c r="L95" s="142"/>
      <c r="M95" s="142"/>
      <c r="N95" s="142"/>
      <c r="O95" s="142"/>
      <c r="P95" s="142"/>
      <c r="Q95" s="142"/>
      <c r="R95" s="142"/>
    </row>
    <row r="96" spans="1:25">
      <c r="D96" s="333"/>
      <c r="E96" s="334"/>
      <c r="F96" s="325"/>
      <c r="G96" s="284"/>
      <c r="H96" s="284"/>
      <c r="I96" s="284"/>
      <c r="J96" s="284"/>
      <c r="K96" s="284"/>
      <c r="L96" s="284"/>
      <c r="M96" s="335"/>
      <c r="N96" s="334"/>
      <c r="O96" s="334"/>
      <c r="P96" s="334"/>
      <c r="Q96" s="334"/>
      <c r="R96" s="334"/>
    </row>
    <row r="97" spans="1:21">
      <c r="A97" s="229" t="s">
        <v>251</v>
      </c>
      <c r="C97"/>
      <c r="D97" s="252"/>
      <c r="E97" s="332"/>
      <c r="F97" s="285"/>
      <c r="G97" s="285"/>
      <c r="H97" s="285"/>
      <c r="I97" s="285"/>
      <c r="J97" s="285"/>
      <c r="K97" s="285"/>
      <c r="L97" s="285"/>
      <c r="M97" s="285"/>
      <c r="N97" s="332"/>
      <c r="O97" s="332"/>
      <c r="P97" s="332"/>
      <c r="Q97" s="332"/>
      <c r="R97" s="332"/>
    </row>
    <row r="98" spans="1:21">
      <c r="A98"/>
      <c r="B98"/>
      <c r="C98" s="250"/>
      <c r="D98" s="250"/>
      <c r="E98" s="251"/>
      <c r="F98" s="251"/>
      <c r="G98" s="251"/>
      <c r="H98" s="251"/>
      <c r="I98" s="251"/>
      <c r="J98" s="251"/>
      <c r="K98" s="251"/>
      <c r="L98" s="251"/>
      <c r="M98" s="251"/>
      <c r="N98" s="251"/>
      <c r="O98" s="251"/>
      <c r="P98" s="251"/>
      <c r="Q98" s="251"/>
      <c r="R98" s="251"/>
    </row>
    <row r="99" spans="1:21">
      <c r="A99" s="227"/>
      <c r="B99" s="228" t="s">
        <v>1</v>
      </c>
      <c r="C99" s="228" t="s">
        <v>2</v>
      </c>
      <c r="D99" s="228" t="s">
        <v>3</v>
      </c>
      <c r="E99" s="228" t="s">
        <v>4</v>
      </c>
      <c r="F99" s="228" t="s">
        <v>5</v>
      </c>
      <c r="G99" s="228" t="s">
        <v>6</v>
      </c>
      <c r="H99" s="228" t="s">
        <v>7</v>
      </c>
      <c r="I99" s="230" t="s">
        <v>8</v>
      </c>
      <c r="T99" s="73"/>
      <c r="U99" s="146"/>
    </row>
    <row r="100" spans="1:21">
      <c r="A100" s="228">
        <v>2017</v>
      </c>
      <c r="B100" s="231">
        <f>'Bun Sgoil Taobh na Pairce'!D9+Abbeyhill!C139+Balgreen!C139+Blackhall!C139+Bonaly!C139+Broomhouse!C139+Broughton!C139+Brunstane!C139+Bruntsfield!C139+Buckstone!C139+'Canal View'!C139+'Carrick Knowe'!C139+Castleview!C139+Clermiston!C139+Clovenstone!C139+Colinton!C139+Corstorphine!C139+Craigentinny!C139+Craiglockhart!C139+'Craigour Park'!C139+Craigroyston!C139+Cramond!C139+Currie!C139+Dalmeny!C139+Dalry!C139+'Davidsons Mains'!C139+'Dean Park'!C139+Duddingston!C139+'East Craigs'!C139+Echline!C139+Ferryhill!C139+'Flora Stevenson'!C139+Forthview!C139+'Fox Covert ND'!C139+'Fox Covert RC'!C139+Gilmerton!C139+Gracemount!C139+Granton!C139+Gylemuir!C139+'Hermitage Park'!C139+Hillwood!C139+'Holy Cross RC'!C139+'James Gillespies'!C139+'Juniper Green'!C139+Kirkliston!C139+Leith!C139+'Leith Walk'!C139+Liberton!C139+Longstone!C139+Lorne!C139+Murrayburn!C139+'Nether Currie'!C139+Newcraighall!C139+'Niddrie Mill'!C139+Oxgangs!C139+'Parsons Green'!C139+Pentland!C139+Pirniehall!C139+'Preston Street'!C139+Prestonfield!C139+Queensferry!C139+Ratho!C139+Roseburn!C139+'Royal Mile'!C139+Sciennes!C139+Sighthill!C139+'South Morningside'!C139+'St Catherines RC'!C139+'St Cuthberts RC'!C139+'St Davids RC'!C139+'St Francis RC'!C139+'St John Vianney'!C139+'St Johns RC'!C139+'St Josephs RC'!C139+'St Margarets RC'!C139+'St Marks RC'!C139+'St Marys Edin'!C139+'St Marys Leith'!C139+'St Ninians RC'!C139+'St Peters RC'!C139+Stenhouse!C139+Stockbridge!C139+'The Royal High'!C139+Tollcross!C139+Towerbank!C139+Trinity!C139+Victoria!C139+Wardie!C139</f>
        <v>4449.3961717990778</v>
      </c>
      <c r="C100" s="231">
        <f>'Bun Sgoil Taobh na Pairce'!D10+Abbeyhill!D139+Balgreen!D139+Blackhall!D139+Bonaly!D139+Broomhouse!D139+Broughton!D139+Brunstane!D139+Bruntsfield!D139+Buckstone!D139+'Canal View'!D139+'Carrick Knowe'!D139+Castleview!D139+Clermiston!D139+Clovenstone!D139+Colinton!D139+Corstorphine!D139+Craigentinny!D139+Craiglockhart!D139+'Craigour Park'!D139+Craigroyston!D139+Cramond!D139+Currie!D139+Dalmeny!D139+Dalry!D139+'Davidsons Mains'!D139+'Dean Park'!D139+Duddingston!D139+'East Craigs'!D139+Echline!D139+Ferryhill!D139+'Flora Stevenson'!D139+Forthview!D139+'Fox Covert ND'!D139+'Fox Covert RC'!D139+Gilmerton!D139+Gracemount!D139+Granton!D139+Gylemuir!D139+'Hermitage Park'!D139+Hillwood!D139+'Holy Cross RC'!D139+'James Gillespies'!D139+'Juniper Green'!D139+Kirkliston!D139+Leith!D139+'Leith Walk'!D139+Liberton!D139+Longstone!D139+Lorne!D139+Murrayburn!D139+'Nether Currie'!D139+Newcraighall!D139+'Niddrie Mill'!D139+Oxgangs!D139+'Parsons Green'!D139+Pentland!D139+Pirniehall!D139+'Preston Street'!D139+Prestonfield!D139+Queensferry!D139+Ratho!D139+Roseburn!D139+'Royal Mile'!D139+Sciennes!D139+Sighthill!D139+'South Morningside'!D139+'St Catherines RC'!D139+'St Cuthberts RC'!D139+'St Davids RC'!D139+'St Francis RC'!D139+'St John Vianney'!D139+'St Johns RC'!D139+'St Josephs RC'!D139+'St Margarets RC'!D139+'St Marks RC'!D139+'St Marys Edin'!D139+'St Marys Leith'!D139+'St Ninians RC'!D139+'St Peters RC'!D139+Stenhouse!D139+Stockbridge!D139+'The Royal High'!D139+Tollcross!D139+Towerbank!D139+Trinity!D139+Victoria!D139+Wardie!D139</f>
        <v>4596</v>
      </c>
      <c r="D100" s="231">
        <f>'Bun Sgoil Taobh na Pairce'!D11+Abbeyhill!E139+Balgreen!E139+Blackhall!E139+Bonaly!E139+Broomhouse!E139+Broughton!E139+Brunstane!E139+Bruntsfield!E139+Buckstone!E139+'Canal View'!E139+'Carrick Knowe'!E139+Castleview!E139+Clermiston!E139+Clovenstone!E139+Colinton!E139+Corstorphine!E139+Craigentinny!E139+Craiglockhart!E139+'Craigour Park'!E139+Craigroyston!E139+Cramond!E139+Currie!E139+Dalmeny!E139+Dalry!E139+'Davidsons Mains'!E139+'Dean Park'!E139+Duddingston!E139+'East Craigs'!E139+Echline!E139+Ferryhill!E139+'Flora Stevenson'!E139+Forthview!E139+'Fox Covert ND'!E139+'Fox Covert RC'!E139+Gilmerton!E139+Gracemount!E139+Granton!E139+Gylemuir!E139+'Hermitage Park'!E139+Hillwood!E139+'Holy Cross RC'!E139+'James Gillespies'!E139+'Juniper Green'!E139+Kirkliston!E139+Leith!E139+'Leith Walk'!E139+Liberton!E139+Longstone!E139+Lorne!E139+Murrayburn!E139+'Nether Currie'!E139+Newcraighall!E139+'Niddrie Mill'!E139+Oxgangs!E139+'Parsons Green'!E139+Pentland!E139+Pirniehall!E139+'Preston Street'!E139+Prestonfield!E139+Queensferry!E139+Ratho!E139+Roseburn!E139+'Royal Mile'!E139+Sciennes!E139+Sighthill!E139+'South Morningside'!E139+'St Catherines RC'!E139+'St Cuthberts RC'!E139+'St Davids RC'!E139+'St Francis RC'!E139+'St John Vianney'!E139+'St Johns RC'!E139+'St Josephs RC'!E139+'St Margarets RC'!E139+'St Marks RC'!E139+'St Marys Edin'!E139+'St Marys Leith'!E139+'St Ninians RC'!E139+'St Peters RC'!E139+Stenhouse!E139+Stockbridge!E139+'The Royal High'!E139+Tollcross!E139+Towerbank!E139+Trinity!E139+Victoria!E139+Wardie!E139</f>
        <v>4570</v>
      </c>
      <c r="E100" s="231">
        <f>'Bun Sgoil Taobh na Pairce'!E11+Abbeyhill!F139+Balgreen!F139+Blackhall!F139+Bonaly!F139+Broomhouse!F139+Broughton!F139+Brunstane!F139+Bruntsfield!F139+Buckstone!F139+'Canal View'!F139+'Carrick Knowe'!F139+Castleview!F139+Clermiston!F139+Clovenstone!F139+Colinton!F139+Corstorphine!F139+Craigentinny!F139+Craiglockhart!F139+'Craigour Park'!F139+Craigroyston!F139+Cramond!F139+Currie!F139+Dalmeny!F139+Dalry!F139+'Davidsons Mains'!F139+'Dean Park'!F139+Duddingston!F139+'East Craigs'!F139+Echline!F139+Ferryhill!F139+'Flora Stevenson'!F139+Forthview!F139+'Fox Covert ND'!F139+'Fox Covert RC'!F139+Gilmerton!F139+Gracemount!F139+Granton!F139+Gylemuir!F139+'Hermitage Park'!F139+Hillwood!F139+'Holy Cross RC'!F139+'James Gillespies'!F139+'Juniper Green'!F139+Kirkliston!F139+Leith!F139+'Leith Walk'!F139+Liberton!F139+Longstone!F139+Lorne!F139+Murrayburn!F139+'Nether Currie'!F139+Newcraighall!F139+'Niddrie Mill'!F139+Oxgangs!F139+'Parsons Green'!F139+Pentland!F139+Pirniehall!F139+'Preston Street'!F139+Prestonfield!F139+Queensferry!F139+Ratho!F139+Roseburn!F139+'Royal Mile'!F139+Sciennes!F139+Sighthill!F139+'South Morningside'!F139+'St Catherines RC'!F139+'St Cuthberts RC'!F139+'St Davids RC'!F139+'St Francis RC'!F139+'St John Vianney'!F139+'St Johns RC'!F139+'St Josephs RC'!F139+'St Margarets RC'!F139+'St Marks RC'!F139+'St Marys Edin'!F139+'St Marys Leith'!F139+'St Ninians RC'!F139+'St Peters RC'!F139+Stenhouse!F139+Stockbridge!F139+'The Royal High'!F139+Tollcross!F139+Towerbank!F139+Trinity!F139+Victoria!F139+Wardie!F139</f>
        <v>4457</v>
      </c>
      <c r="F100" s="231">
        <f>'Bun Sgoil Taobh na Pairce'!D13+Abbeyhill!G139+Balgreen!G139+Blackhall!G139+Bonaly!G139+Broomhouse!G139+Broughton!G139+Brunstane!G139+Bruntsfield!G139+Buckstone!G139+'Canal View'!G139+'Carrick Knowe'!G139+Castleview!G139+Clermiston!G139+Clovenstone!G139+Colinton!G139+Corstorphine!G139+Craigentinny!G139+Craiglockhart!G139+'Craigour Park'!G139+Craigroyston!G139+Cramond!G139+Currie!G139+Dalmeny!G139+Dalry!G139+'Davidsons Mains'!G139+'Dean Park'!G139+Duddingston!G139+'East Craigs'!G139+Echline!G139+Ferryhill!G139+'Flora Stevenson'!G139+Forthview!G139+'Fox Covert ND'!G139+'Fox Covert RC'!G139+Gilmerton!G139+Gracemount!G139+Granton!G139+Gylemuir!G139+'Hermitage Park'!G139+Hillwood!G139+'Holy Cross RC'!G139+'James Gillespies'!G139+'Juniper Green'!G139+Kirkliston!G139+Leith!G139+'Leith Walk'!G139+Liberton!G139+Longstone!G139+Lorne!G139+Murrayburn!G139+'Nether Currie'!G139+Newcraighall!G139+'Niddrie Mill'!G139+Oxgangs!G139+'Parsons Green'!G139+Pentland!G139+Pirniehall!G139+'Preston Street'!G139+Prestonfield!G139+Queensferry!G139+Ratho!G139+Roseburn!G139+'Royal Mile'!G139+Sciennes!G139+Sighthill!G139+'South Morningside'!G139+'St Catherines RC'!G139+'St Cuthberts RC'!G139+'St Davids RC'!G139+'St Francis RC'!G139+'St John Vianney'!G139+'St Johns RC'!G139+'St Josephs RC'!G139+'St Margarets RC'!G139+'St Marks RC'!G139+'St Marys Edin'!G139+'St Marys Leith'!G139+'St Ninians RC'!G139+'St Peters RC'!G139+Stenhouse!G139+Stockbridge!G139+'The Royal High'!G139+Tollcross!G139+Towerbank!G139+Trinity!G139+Victoria!G139+Wardie!G139</f>
        <v>4411</v>
      </c>
      <c r="G100" s="231">
        <f>'Bun Sgoil Taobh na Pairce'!D14+Abbeyhill!H139+Balgreen!H139+Blackhall!H139+Bonaly!H139+Broomhouse!H139+Broughton!H139+Brunstane!H139+Bruntsfield!H139+Buckstone!H139+'Canal View'!H139+'Carrick Knowe'!H139+Castleview!H139+Clermiston!H139+Clovenstone!H139+Colinton!H139+Corstorphine!H139+Craigentinny!H139+Craiglockhart!H139+'Craigour Park'!H139+Craigroyston!H139+Cramond!H139+Currie!H139+Dalmeny!H139+Dalry!H139+'Davidsons Mains'!H139+'Dean Park'!H139+Duddingston!H139+'East Craigs'!H139+Echline!H139+Ferryhill!H139+'Flora Stevenson'!H139+Forthview!H139+'Fox Covert ND'!H139+'Fox Covert RC'!H139+Gilmerton!H139+Gracemount!H139+Granton!H139+Gylemuir!H139+'Hermitage Park'!H139+Hillwood!H139+'Holy Cross RC'!H139+'James Gillespies'!H139+'Juniper Green'!H139+Kirkliston!H139+Leith!H139+'Leith Walk'!H139+Liberton!H139+Longstone!H139+Lorne!H139+Murrayburn!H139+'Nether Currie'!H139+Newcraighall!H139+'Niddrie Mill'!H139+Oxgangs!H139+'Parsons Green'!H139+Pentland!H139+Pirniehall!H139+'Preston Street'!H139+Prestonfield!H139+Queensferry!H139+Ratho!H139+Roseburn!H139+'Royal Mile'!H139+Sciennes!H139+Sighthill!H139+'South Morningside'!H139+'St Catherines RC'!H139+'St Cuthberts RC'!H139+'St Davids RC'!H139+'St Francis RC'!H139+'St John Vianney'!H139+'St Johns RC'!H139+'St Josephs RC'!H139+'St Margarets RC'!H139+'St Marks RC'!H139+'St Marys Edin'!H139+'St Marys Leith'!H139+'St Ninians RC'!H139+'St Peters RC'!H139+Stenhouse!H139+Stockbridge!H139+'The Royal High'!H139+Tollcross!H139+Towerbank!H139+Trinity!H139+Victoria!H139+Wardie!H139</f>
        <v>4359</v>
      </c>
      <c r="H100" s="231">
        <f>'Bun Sgoil Taobh na Pairce'!D15+Abbeyhill!I139+Balgreen!I139+Blackhall!I139+Bonaly!I139+Broomhouse!I139+Broughton!I139+Brunstane!I139+Bruntsfield!I139+Buckstone!I139+'Canal View'!I139+'Carrick Knowe'!I139+Castleview!I139+Clermiston!I139+Clovenstone!I139+Colinton!I139+Corstorphine!I139+Craigentinny!I139+Craiglockhart!I139+'Craigour Park'!I139+Craigroyston!I139+Cramond!I139+Currie!I139+Dalmeny!I139+Dalry!I139+'Davidsons Mains'!I139+'Dean Park'!I139+Duddingston!I139+'East Craigs'!I139+Echline!I139+Ferryhill!I139+'Flora Stevenson'!I139+Forthview!I139+'Fox Covert ND'!I139+'Fox Covert RC'!I139+Gilmerton!I139+Gracemount!I139+Granton!I139+Gylemuir!I139+'Hermitage Park'!I139+Hillwood!I139+'Holy Cross RC'!I139+'James Gillespies'!I139+'Juniper Green'!I139+Kirkliston!I139+Leith!I139+'Leith Walk'!I139+Liberton!I139+Longstone!I139+Lorne!I139+Murrayburn!I139+'Nether Currie'!I139+Newcraighall!I139+'Niddrie Mill'!I139+Oxgangs!I139+'Parsons Green'!I139+Pentland!I139+Pirniehall!I139+'Preston Street'!I139+Prestonfield!I139+Queensferry!I139+Ratho!I139+Roseburn!I139+'Royal Mile'!I139+Sciennes!I139+Sighthill!I139+'South Morningside'!I139+'St Catherines RC'!I139+'St Cuthberts RC'!I139+'St Davids RC'!I139+'St Francis RC'!I139+'St John Vianney'!I139+'St Johns RC'!I139+'St Josephs RC'!I139+'St Margarets RC'!I139+'St Marks RC'!I139+'St Marys Edin'!I139+'St Marys Leith'!I139+'St Ninians RC'!I139+'St Peters RC'!I139+Stenhouse!I139+Stockbridge!I139+'The Royal High'!I139+Tollcross!I139+Towerbank!I139+Trinity!I139+Victoria!I139+Wardie!I139</f>
        <v>4294</v>
      </c>
      <c r="I100" s="232">
        <f t="shared" ref="I100:I108" si="7">SUM(B100:H100)</f>
        <v>31136.396171799079</v>
      </c>
      <c r="K100" s="142"/>
      <c r="L100" s="283"/>
      <c r="M100" s="142"/>
      <c r="T100" s="142">
        <f t="shared" ref="T100:T108" si="8">N100-B100</f>
        <v>-4449.3961717990778</v>
      </c>
      <c r="U100" s="146"/>
    </row>
    <row r="101" spans="1:21">
      <c r="A101" s="228">
        <v>2018</v>
      </c>
      <c r="B101" s="231">
        <f>'Bun Sgoil Taobh na Pairce'!E9+Abbeyhill!C140+Balgreen!C140+Blackhall!C140+Bonaly!C140+Broomhouse!C140+Broughton!C140+Brunstane!C140+Bruntsfield!C140+Buckstone!C140+'Canal View'!C140+'Carrick Knowe'!C140+Castleview!C140+Clermiston!C140+Clovenstone!C140+Colinton!C140+Corstorphine!C140+Craigentinny!C140+Craiglockhart!C140+'Craigour Park'!C140+Craigroyston!C140+Cramond!C140+Currie!C140+Dalmeny!C140+Dalry!C140+'Davidsons Mains'!C140+'Dean Park'!C140+Duddingston!C140+'East Craigs'!C140+Echline!C140+Ferryhill!C140+'Flora Stevenson'!C140+Forthview!C140+'Fox Covert ND'!C140+'Fox Covert RC'!C140+Gilmerton!C140+Gracemount!C140+Granton!C140+Gylemuir!C140+'Hermitage Park'!C140+Hillwood!C140+'Holy Cross RC'!C140+'James Gillespies'!C140+'Juniper Green'!C140+Kirkliston!C140+Leith!C140+'Leith Walk'!C140+Liberton!C140+Longstone!C140+Lorne!C140+Murrayburn!C140+'Nether Currie'!C140+Newcraighall!C140+'Niddrie Mill'!C140+Oxgangs!C140+'Parsons Green'!C140+Pentland!C140+Pirniehall!C140+'Preston Street'!C140+Prestonfield!C140+Queensferry!C140+Ratho!C140+Roseburn!C140+'Royal Mile'!C140+Sciennes!C140+Sighthill!C140+'South Morningside'!C140+'St Catherines RC'!C140+'St Cuthberts RC'!C140+'St Davids RC'!C140+'St Francis RC'!C140+'St John Vianney'!C140+'St Johns RC'!C140+'St Josephs RC'!C140+'St Margarets RC'!C140+'St Marks RC'!C140+'St Marys Edin'!C140+'St Marys Leith'!C140+'St Ninians RC'!C140+'St Peters RC'!C140+Stenhouse!C140+Stockbridge!C140+'The Royal High'!C140+Tollcross!C140+Towerbank!C140+Trinity!C140+Victoria!C140+Wardie!C140</f>
        <v>4431.0875883868666</v>
      </c>
      <c r="C101" s="231">
        <f>'Bun Sgoil Taobh na Pairce'!E10+Abbeyhill!D140+Balgreen!D140+Blackhall!D140+Bonaly!D140+Broomhouse!D140+Broughton!D140+Brunstane!D140+Bruntsfield!D140+Buckstone!D140+'Canal View'!D140+'Carrick Knowe'!D140+Castleview!D140+Clermiston!D140+Clovenstone!D140+Colinton!D140+Corstorphine!D140+Craigentinny!D140+Craiglockhart!D140+'Craigour Park'!D140+Craigroyston!D140+Cramond!D140+Currie!D140+Dalmeny!D140+Dalry!D140+'Davidsons Mains'!D140+'Dean Park'!D140+Duddingston!D140+'East Craigs'!D140+Echline!D140+Ferryhill!D140+'Flora Stevenson'!D140+Forthview!D140+'Fox Covert ND'!D140+'Fox Covert RC'!D140+Gilmerton!D140+Gracemount!D140+Granton!D140+Gylemuir!D140+'Hermitage Park'!D140+Hillwood!D140+'Holy Cross RC'!D140+'James Gillespies'!D140+'Juniper Green'!D140+Kirkliston!D140+Leith!D140+'Leith Walk'!D140+Liberton!D140+Longstone!D140+Lorne!D140+Murrayburn!D140+'Nether Currie'!D140+Newcraighall!D140+'Niddrie Mill'!D140+Oxgangs!D140+'Parsons Green'!D140+Pentland!D140+Pirniehall!D140+'Preston Street'!D140+Prestonfield!D140+Queensferry!D140+Ratho!D140+Roseburn!D140+'Royal Mile'!D140+Sciennes!D140+Sighthill!D140+'South Morningside'!D140+'St Catherines RC'!D140+'St Cuthberts RC'!D140+'St Davids RC'!D140+'St Francis RC'!D140+'St John Vianney'!D140+'St Johns RC'!D140+'St Josephs RC'!D140+'St Margarets RC'!D140+'St Marks RC'!D140+'St Marys Edin'!D140+'St Marys Leith'!D140+'St Ninians RC'!D140+'St Peters RC'!D140+Stenhouse!D140+Stockbridge!D140+'The Royal High'!D140+Tollcross!D140+Towerbank!D140+Trinity!D140+Victoria!D140+Wardie!D140</f>
        <v>4441</v>
      </c>
      <c r="D101" s="231">
        <f>'Bun Sgoil Taobh na Pairce'!E11+Abbeyhill!E140+Balgreen!E140+Blackhall!E140+Bonaly!E140+Broomhouse!E140+Broughton!E140+Brunstane!E140+Bruntsfield!E140+Buckstone!E140+'Canal View'!E140+'Carrick Knowe'!E140+Castleview!E140+Clermiston!E140+Clovenstone!E140+Colinton!E140+Corstorphine!E140+Craigentinny!E140+Craiglockhart!E140+'Craigour Park'!E140+Craigroyston!E140+Cramond!E140+Currie!E140+Dalmeny!E140+Dalry!E140+'Davidsons Mains'!E140+'Dean Park'!E140+Duddingston!E140+'East Craigs'!E140+Echline!E140+Ferryhill!E140+'Flora Stevenson'!E140+Forthview!E140+'Fox Covert ND'!E140+'Fox Covert RC'!E140+Gilmerton!E140+Gracemount!E140+Granton!E140+Gylemuir!E140+'Hermitage Park'!E140+Hillwood!E140+'Holy Cross RC'!E140+'James Gillespies'!E140+'Juniper Green'!E140+Kirkliston!E140+Leith!E140+'Leith Walk'!E140+Liberton!E140+Longstone!E140+Lorne!E140+Murrayburn!E140+'Nether Currie'!E140+Newcraighall!E140+'Niddrie Mill'!E140+Oxgangs!E140+'Parsons Green'!E140+Pentland!E140+Pirniehall!E140+'Preston Street'!E140+Prestonfield!E140+Queensferry!E140+Ratho!E140+Roseburn!E140+'Royal Mile'!E140+Sciennes!E140+Sighthill!E140+'South Morningside'!E140+'St Catherines RC'!E140+'St Cuthberts RC'!E140+'St Davids RC'!E140+'St Francis RC'!E140+'St John Vianney'!E140+'St Johns RC'!E140+'St Josephs RC'!E140+'St Margarets RC'!E140+'St Marks RC'!E140+'St Marys Edin'!E140+'St Marys Leith'!E140+'St Ninians RC'!E140+'St Peters RC'!E140+Stenhouse!E140+Stockbridge!E140+'The Royal High'!E140+Tollcross!E140+Towerbank!E140+Trinity!E140+Victoria!E140+Wardie!E140</f>
        <v>4577</v>
      </c>
      <c r="E101" s="231">
        <f>'Bun Sgoil Taobh na Pairce'!F11+Abbeyhill!F140+Balgreen!F140+Blackhall!F140+Bonaly!F140+Broomhouse!F140+Broughton!F140+Brunstane!F140+Bruntsfield!F140+Buckstone!F140+'Canal View'!F140+'Carrick Knowe'!F140+Castleview!F140+Clermiston!F140+Clovenstone!F140+Colinton!F140+Corstorphine!F140+Craigentinny!F140+Craiglockhart!F140+'Craigour Park'!F140+Craigroyston!F140+Cramond!F140+Currie!F140+Dalmeny!F140+Dalry!F140+'Davidsons Mains'!F140+'Dean Park'!F140+Duddingston!F140+'East Craigs'!F140+Echline!F140+Ferryhill!F140+'Flora Stevenson'!F140+Forthview!F140+'Fox Covert ND'!F140+'Fox Covert RC'!F140+Gilmerton!F140+Gracemount!F140+Granton!F140+Gylemuir!F140+'Hermitage Park'!F140+Hillwood!F140+'Holy Cross RC'!F140+'James Gillespies'!F140+'Juniper Green'!F140+Kirkliston!F140+Leith!F140+'Leith Walk'!F140+Liberton!F140+Longstone!F140+Lorne!F140+Murrayburn!F140+'Nether Currie'!F140+Newcraighall!F140+'Niddrie Mill'!F140+Oxgangs!F140+'Parsons Green'!F140+Pentland!F140+Pirniehall!F140+'Preston Street'!F140+Prestonfield!F140+Queensferry!F140+Ratho!F140+Roseburn!F140+'Royal Mile'!F140+Sciennes!F140+Sighthill!F140+'South Morningside'!F140+'St Catherines RC'!F140+'St Cuthberts RC'!F140+'St Davids RC'!F140+'St Francis RC'!F140+'St John Vianney'!F140+'St Johns RC'!F140+'St Josephs RC'!F140+'St Margarets RC'!F140+'St Marks RC'!F140+'St Marys Edin'!F140+'St Marys Leith'!F140+'St Ninians RC'!F140+'St Peters RC'!F140+Stenhouse!F140+Stockbridge!F140+'The Royal High'!F140+Tollcross!F140+Towerbank!F140+Trinity!F140+Victoria!F140+Wardie!F140</f>
        <v>4601</v>
      </c>
      <c r="F101" s="231">
        <f>'Bun Sgoil Taobh na Pairce'!E13+Abbeyhill!G140+Balgreen!G140+Blackhall!G140+Bonaly!G140+Broomhouse!G140+Broughton!G140+Brunstane!G140+Bruntsfield!G140+Buckstone!G140+'Canal View'!G140+'Carrick Knowe'!G140+Castleview!G140+Clermiston!G140+Clovenstone!G140+Colinton!G140+Corstorphine!G140+Craigentinny!G140+Craiglockhart!G140+'Craigour Park'!G140+Craigroyston!G140+Cramond!G140+Currie!G140+Dalmeny!G140+Dalry!G140+'Davidsons Mains'!G140+'Dean Park'!G140+Duddingston!G140+'East Craigs'!G140+Echline!G140+Ferryhill!G140+'Flora Stevenson'!G140+Forthview!G140+'Fox Covert ND'!G140+'Fox Covert RC'!G140+Gilmerton!G140+Gracemount!G140+Granton!G140+Gylemuir!G140+'Hermitage Park'!G140+Hillwood!G140+'Holy Cross RC'!G140+'James Gillespies'!G140+'Juniper Green'!G140+Kirkliston!G140+Leith!G140+'Leith Walk'!G140+Liberton!G140+Longstone!G140+Lorne!G140+Murrayburn!G140+'Nether Currie'!G140+Newcraighall!G140+'Niddrie Mill'!G140+Oxgangs!G140+'Parsons Green'!G140+Pentland!G140+Pirniehall!G140+'Preston Street'!G140+Prestonfield!G140+Queensferry!G140+Ratho!G140+Roseburn!G140+'Royal Mile'!G140+Sciennes!G140+Sighthill!G140+'South Morningside'!G140+'St Catherines RC'!G140+'St Cuthberts RC'!G140+'St Davids RC'!G140+'St Francis RC'!G140+'St John Vianney'!G140+'St Johns RC'!G140+'St Josephs RC'!G140+'St Margarets RC'!G140+'St Marks RC'!G140+'St Marys Edin'!G140+'St Marys Leith'!G140+'St Ninians RC'!G140+'St Peters RC'!G140+Stenhouse!G140+Stockbridge!G140+'The Royal High'!G140+Tollcross!G140+Towerbank!G140+Trinity!G140+Victoria!G140+Wardie!G140</f>
        <v>4478</v>
      </c>
      <c r="G101" s="231">
        <f>'Bun Sgoil Taobh na Pairce'!E14+Abbeyhill!H140+Balgreen!H140+Blackhall!H140+Bonaly!H140+Broomhouse!H140+Broughton!H140+Brunstane!H140+Bruntsfield!H140+Buckstone!H140+'Canal View'!H140+'Carrick Knowe'!H140+Castleview!H140+Clermiston!H140+Clovenstone!H140+Colinton!H140+Corstorphine!H140+Craigentinny!H140+Craiglockhart!H140+'Craigour Park'!H140+Craigroyston!H140+Cramond!H140+Currie!H140+Dalmeny!H140+Dalry!H140+'Davidsons Mains'!H140+'Dean Park'!H140+Duddingston!H140+'East Craigs'!H140+Echline!H140+Ferryhill!H140+'Flora Stevenson'!H140+Forthview!H140+'Fox Covert ND'!H140+'Fox Covert RC'!H140+Gilmerton!H140+Gracemount!H140+Granton!H140+Gylemuir!H140+'Hermitage Park'!H140+Hillwood!H140+'Holy Cross RC'!H140+'James Gillespies'!H140+'Juniper Green'!H140+Kirkliston!H140+Leith!H140+'Leith Walk'!H140+Liberton!H140+Longstone!H140+Lorne!H140+Murrayburn!H140+'Nether Currie'!H140+Newcraighall!H140+'Niddrie Mill'!H140+Oxgangs!H140+'Parsons Green'!H140+Pentland!H140+Pirniehall!H140+'Preston Street'!H140+Prestonfield!H140+Queensferry!H140+Ratho!H140+Roseburn!H140+'Royal Mile'!H140+Sciennes!H140+Sighthill!H140+'South Morningside'!H140+'St Catherines RC'!H140+'St Cuthberts RC'!H140+'St Davids RC'!H140+'St Francis RC'!H140+'St John Vianney'!H140+'St Johns RC'!H140+'St Josephs RC'!H140+'St Margarets RC'!H140+'St Marks RC'!H140+'St Marys Edin'!H140+'St Marys Leith'!H140+'St Ninians RC'!H140+'St Peters RC'!H140+Stenhouse!H140+Stockbridge!H140+'The Royal High'!H140+Tollcross!H140+Towerbank!H140+Trinity!H140+Victoria!H140+Wardie!H140</f>
        <v>4395</v>
      </c>
      <c r="H101" s="231">
        <f>'Bun Sgoil Taobh na Pairce'!E15+Abbeyhill!I140+Balgreen!I140+Blackhall!I140+Bonaly!I140+Broomhouse!I140+Broughton!I140+Brunstane!I140+Bruntsfield!I140+Buckstone!I140+'Canal View'!I140+'Carrick Knowe'!I140+Castleview!I140+Clermiston!I140+Clovenstone!I140+Colinton!I140+Corstorphine!I140+Craigentinny!I140+Craiglockhart!I140+'Craigour Park'!I140+Craigroyston!I140+Cramond!I140+Currie!I140+Dalmeny!I140+Dalry!I140+'Davidsons Mains'!I140+'Dean Park'!I140+Duddingston!I140+'East Craigs'!I140+Echline!I140+Ferryhill!I140+'Flora Stevenson'!I140+Forthview!I140+'Fox Covert ND'!I140+'Fox Covert RC'!I140+Gilmerton!I140+Gracemount!I140+Granton!I140+Gylemuir!I140+'Hermitage Park'!I140+Hillwood!I140+'Holy Cross RC'!I140+'James Gillespies'!I140+'Juniper Green'!I140+Kirkliston!I140+Leith!I140+'Leith Walk'!I140+Liberton!I140+Longstone!I140+Lorne!I140+Murrayburn!I140+'Nether Currie'!I140+Newcraighall!I140+'Niddrie Mill'!I140+Oxgangs!I140+'Parsons Green'!I140+Pentland!I140+Pirniehall!I140+'Preston Street'!I140+Prestonfield!I140+Queensferry!I140+Ratho!I140+Roseburn!I140+'Royal Mile'!I140+Sciennes!I140+Sighthill!I140+'South Morningside'!I140+'St Catherines RC'!I140+'St Cuthberts RC'!I140+'St Davids RC'!I140+'St Francis RC'!I140+'St John Vianney'!I140+'St Johns RC'!I140+'St Josephs RC'!I140+'St Margarets RC'!I140+'St Marks RC'!I140+'St Marys Edin'!I140+'St Marys Leith'!I140+'St Ninians RC'!I140+'St Peters RC'!I140+Stenhouse!I140+Stockbridge!I140+'The Royal High'!I140+Tollcross!I140+Towerbank!I140+Trinity!I140+Victoria!I140+Wardie!I140</f>
        <v>4328</v>
      </c>
      <c r="I101" s="232">
        <f t="shared" si="7"/>
        <v>31251.087588386865</v>
      </c>
      <c r="K101" s="142"/>
      <c r="L101" s="283"/>
      <c r="M101" s="142"/>
      <c r="T101" s="142">
        <f t="shared" si="8"/>
        <v>-4431.0875883868666</v>
      </c>
      <c r="U101" s="146"/>
    </row>
    <row r="102" spans="1:21">
      <c r="A102" s="228">
        <v>2019</v>
      </c>
      <c r="B102" s="231">
        <f>'Bun Sgoil Taobh na Pairce'!F9+Abbeyhill!C141+Balgreen!C141+Blackhall!C141+Bonaly!C141+Broomhouse!C141+Broughton!C141+Brunstane!C141+Bruntsfield!C141+Buckstone!C141+'Canal View'!C141+'Carrick Knowe'!C141+Castleview!C141+Clermiston!C141+Clovenstone!C141+Colinton!C141+Corstorphine!C141+Craigentinny!C141+Craiglockhart!C141+'Craigour Park'!C141+Craigroyston!C141+Cramond!C141+Currie!C141+Dalmeny!C141+Dalry!C141+'Davidsons Mains'!C141+'Dean Park'!C141+Duddingston!C141+'East Craigs'!C141+Echline!C141+Ferryhill!C141+'Flora Stevenson'!C141+Forthview!C141+'Fox Covert ND'!C141+'Fox Covert RC'!C141+Gilmerton!C141+Gracemount!C141+Granton!C141+Gylemuir!C141+'Hermitage Park'!C141+Hillwood!C141+'Holy Cross RC'!C141+'James Gillespies'!C141+'Juniper Green'!C141+Kirkliston!C141+Leith!C141+'Leith Walk'!C141+Liberton!C141+Longstone!C141+Lorne!C141+Murrayburn!C141+'Nether Currie'!C141+Newcraighall!C141+'Niddrie Mill'!C141+Oxgangs!C141+'Parsons Green'!C141+Pentland!C141+Pirniehall!C141+'Preston Street'!C141+Prestonfield!C141+Queensferry!C141+Ratho!C141+Roseburn!C141+'Royal Mile'!C141+Sciennes!C141+Sighthill!C141+'South Morningside'!C141+'St Catherines RC'!C141+'St Cuthberts RC'!C141+'St Davids RC'!C141+'St Francis RC'!C141+'St John Vianney'!C141+'St Johns RC'!C141+'St Josephs RC'!C141+'St Margarets RC'!C141+'St Marks RC'!C141+'St Marys Edin'!C141+'St Marys Leith'!C141+'St Ninians RC'!C141+'St Peters RC'!C141+Stenhouse!C141+Stockbridge!C141+'The Royal High'!C141+Tollcross!C141+Towerbank!C141+Trinity!C141+Victoria!C141+Wardie!C141</f>
        <v>4364.1301547077428</v>
      </c>
      <c r="C102" s="231">
        <f>'Bun Sgoil Taobh na Pairce'!F10+Abbeyhill!D141+Balgreen!D141+Blackhall!D141+Bonaly!D141+Broomhouse!D141+Broughton!D141+Brunstane!D141+Bruntsfield!D141+Buckstone!D141+'Canal View'!D141+'Carrick Knowe'!D141+Castleview!D141+Clermiston!D141+Clovenstone!D141+Colinton!D141+Corstorphine!D141+Craigentinny!D141+Craiglockhart!D141+'Craigour Park'!D141+Craigroyston!D141+Cramond!D141+Currie!D141+Dalmeny!D141+Dalry!D141+'Davidsons Mains'!D141+'Dean Park'!D141+Duddingston!D141+'East Craigs'!D141+Echline!D141+Ferryhill!D141+'Flora Stevenson'!D141+Forthview!D141+'Fox Covert ND'!D141+'Fox Covert RC'!D141+Gilmerton!D141+Gracemount!D141+Granton!D141+Gylemuir!D141+'Hermitage Park'!D141+Hillwood!D141+'Holy Cross RC'!D141+'James Gillespies'!D141+'Juniper Green'!D141+Kirkliston!D141+Leith!D141+'Leith Walk'!D141+Liberton!D141+Longstone!D141+Lorne!D141+Murrayburn!D141+'Nether Currie'!D141+Newcraighall!D141+'Niddrie Mill'!D141+Oxgangs!D141+'Parsons Green'!D141+Pentland!D141+Pirniehall!D141+'Preston Street'!D141+Prestonfield!D141+Queensferry!D141+Ratho!D141+Roseburn!D141+'Royal Mile'!D141+Sciennes!D141+Sighthill!D141+'South Morningside'!D141+'St Catherines RC'!D141+'St Cuthberts RC'!D141+'St Davids RC'!D141+'St Francis RC'!D141+'St John Vianney'!D141+'St Johns RC'!D141+'St Josephs RC'!D141+'St Margarets RC'!D141+'St Marks RC'!D141+'St Marys Edin'!D141+'St Marys Leith'!D141+'St Ninians RC'!D141+'St Peters RC'!D141+Stenhouse!D141+Stockbridge!D141+'The Royal High'!D141+Tollcross!D141+Towerbank!D141+Trinity!D141+Victoria!D141+Wardie!D141</f>
        <v>4427</v>
      </c>
      <c r="D102" s="231">
        <f>'Bun Sgoil Taobh na Pairce'!F11+Abbeyhill!E141+Balgreen!E141+Blackhall!E141+Bonaly!E141+Broomhouse!E141+Broughton!E141+Brunstane!E141+Bruntsfield!E141+Buckstone!E141+'Canal View'!E141+'Carrick Knowe'!E141+Castleview!E141+Clermiston!E141+Clovenstone!E141+Colinton!E141+Corstorphine!E141+Craigentinny!E141+Craiglockhart!E141+'Craigour Park'!E141+Craigroyston!E141+Cramond!E141+Currie!E141+Dalmeny!E141+Dalry!E141+'Davidsons Mains'!E141+'Dean Park'!E141+Duddingston!E141+'East Craigs'!E141+Echline!E141+Ferryhill!E141+'Flora Stevenson'!E141+Forthview!E141+'Fox Covert ND'!E141+'Fox Covert RC'!E141+Gilmerton!E141+Gracemount!E141+Granton!E141+Gylemuir!E141+'Hermitage Park'!E141+Hillwood!E141+'Holy Cross RC'!E141+'James Gillespies'!E141+'Juniper Green'!E141+Kirkliston!E141+Leith!E141+'Leith Walk'!E141+Liberton!E141+Longstone!E141+Lorne!E141+Murrayburn!E141+'Nether Currie'!E141+Newcraighall!E141+'Niddrie Mill'!E141+Oxgangs!E141+'Parsons Green'!E141+Pentland!E141+Pirniehall!E141+'Preston Street'!E141+Prestonfield!E141+Queensferry!E141+Ratho!E141+Roseburn!E141+'Royal Mile'!E141+Sciennes!E141+Sighthill!E141+'South Morningside'!E141+'St Catherines RC'!E141+'St Cuthberts RC'!E141+'St Davids RC'!E141+'St Francis RC'!E141+'St John Vianney'!E141+'St Johns RC'!E141+'St Josephs RC'!E141+'St Margarets RC'!E141+'St Marks RC'!E141+'St Marys Edin'!E141+'St Marys Leith'!E141+'St Ninians RC'!E141+'St Peters RC'!E141+Stenhouse!E141+Stockbridge!E141+'The Royal High'!E141+Tollcross!E141+Towerbank!E141+Trinity!E141+Victoria!E141+Wardie!E141</f>
        <v>4435</v>
      </c>
      <c r="E102" s="231">
        <f>'Bun Sgoil Taobh na Pairce'!G11+Abbeyhill!F141+Balgreen!F141+Blackhall!F141+Bonaly!F141+Broomhouse!F141+Broughton!F141+Brunstane!F141+Bruntsfield!F141+Buckstone!F141+'Canal View'!F141+'Carrick Knowe'!F141+Castleview!F141+Clermiston!F141+Clovenstone!F141+Colinton!F141+Corstorphine!F141+Craigentinny!F141+Craiglockhart!F141+'Craigour Park'!F141+Craigroyston!F141+Cramond!F141+Currie!F141+Dalmeny!F141+Dalry!F141+'Davidsons Mains'!F141+'Dean Park'!F141+Duddingston!F141+'East Craigs'!F141+Echline!F141+Ferryhill!F141+'Flora Stevenson'!F141+Forthview!F141+'Fox Covert ND'!F141+'Fox Covert RC'!F141+Gilmerton!F141+Gracemount!F141+Granton!F141+Gylemuir!F141+'Hermitage Park'!F141+Hillwood!F141+'Holy Cross RC'!F141+'James Gillespies'!F141+'Juniper Green'!F141+Kirkliston!F141+Leith!F141+'Leith Walk'!F141+Liberton!F141+Longstone!F141+Lorne!F141+Murrayburn!F141+'Nether Currie'!F141+Newcraighall!F141+'Niddrie Mill'!F141+Oxgangs!F141+'Parsons Green'!F141+Pentland!F141+Pirniehall!F141+'Preston Street'!F141+Prestonfield!F141+Queensferry!F141+Ratho!F141+Roseburn!F141+'Royal Mile'!F141+Sciennes!F141+Sighthill!F141+'South Morningside'!F141+'St Catherines RC'!F141+'St Cuthberts RC'!F141+'St Davids RC'!F141+'St Francis RC'!F141+'St John Vianney'!F141+'St Johns RC'!F141+'St Josephs RC'!F141+'St Margarets RC'!F141+'St Marks RC'!F141+'St Marys Edin'!F141+'St Marys Leith'!F141+'St Ninians RC'!F141+'St Peters RC'!F141+Stenhouse!F141+Stockbridge!F141+'The Royal High'!F141+Tollcross!F141+Towerbank!F141+Trinity!F141+Victoria!F141+Wardie!F141</f>
        <v>4599</v>
      </c>
      <c r="F102" s="231">
        <f>'Bun Sgoil Taobh na Pairce'!F13+Abbeyhill!G141+Balgreen!G141+Blackhall!G141+Bonaly!G141+Broomhouse!G141+Broughton!G141+Brunstane!G141+Bruntsfield!G141+Buckstone!G141+'Canal View'!G141+'Carrick Knowe'!G141+Castleview!G141+Clermiston!G141+Clovenstone!G141+Colinton!G141+Corstorphine!G141+Craigentinny!G141+Craiglockhart!G141+'Craigour Park'!G141+Craigroyston!G141+Cramond!G141+Currie!G141+Dalmeny!G141+Dalry!G141+'Davidsons Mains'!G141+'Dean Park'!G141+Duddingston!G141+'East Craigs'!G141+Echline!G141+Ferryhill!G141+'Flora Stevenson'!G141+Forthview!G141+'Fox Covert ND'!G141+'Fox Covert RC'!G141+Gilmerton!G141+Gracemount!G141+Granton!G141+Gylemuir!G141+'Hermitage Park'!G141+Hillwood!G141+'Holy Cross RC'!G141+'James Gillespies'!G141+'Juniper Green'!G141+Kirkliston!G141+Leith!G141+'Leith Walk'!G141+Liberton!G141+Longstone!G141+Lorne!G141+Murrayburn!G141+'Nether Currie'!G141+Newcraighall!G141+'Niddrie Mill'!G141+Oxgangs!G141+'Parsons Green'!G141+Pentland!G141+Pirniehall!G141+'Preston Street'!G141+Prestonfield!G141+Queensferry!G141+Ratho!G141+Roseburn!G141+'Royal Mile'!G141+Sciennes!G141+Sighthill!G141+'South Morningside'!G141+'St Catherines RC'!G141+'St Cuthberts RC'!G141+'St Davids RC'!G141+'St Francis RC'!G141+'St John Vianney'!G141+'St Johns RC'!G141+'St Josephs RC'!G141+'St Margarets RC'!G141+'St Marks RC'!G141+'St Marys Edin'!G141+'St Marys Leith'!G141+'St Ninians RC'!G141+'St Peters RC'!G141+Stenhouse!G141+Stockbridge!G141+'The Royal High'!G141+Tollcross!G141+Towerbank!G141+Trinity!G141+Victoria!G141+Wardie!G141</f>
        <v>4596</v>
      </c>
      <c r="G102" s="231">
        <f>'Bun Sgoil Taobh na Pairce'!F14+Abbeyhill!H141+Balgreen!H141+Blackhall!H141+Bonaly!H141+Broomhouse!H141+Broughton!H141+Brunstane!H141+Bruntsfield!H141+Buckstone!H141+'Canal View'!H141+'Carrick Knowe'!H141+Castleview!H141+Clermiston!H141+Clovenstone!H141+Colinton!H141+Corstorphine!H141+Craigentinny!H141+Craiglockhart!H141+'Craigour Park'!H141+Craigroyston!H141+Cramond!H141+Currie!H141+Dalmeny!H141+Dalry!H141+'Davidsons Mains'!H141+'Dean Park'!H141+Duddingston!H141+'East Craigs'!H141+Echline!H141+Ferryhill!H141+'Flora Stevenson'!H141+Forthview!H141+'Fox Covert ND'!H141+'Fox Covert RC'!H141+Gilmerton!H141+Gracemount!H141+Granton!H141+Gylemuir!H141+'Hermitage Park'!H141+Hillwood!H141+'Holy Cross RC'!H141+'James Gillespies'!H141+'Juniper Green'!H141+Kirkliston!H141+Leith!H141+'Leith Walk'!H141+Liberton!H141+Longstone!H141+Lorne!H141+Murrayburn!H141+'Nether Currie'!H141+Newcraighall!H141+'Niddrie Mill'!H141+Oxgangs!H141+'Parsons Green'!H141+Pentland!H141+Pirniehall!H141+'Preston Street'!H141+Prestonfield!H141+Queensferry!H141+Ratho!H141+Roseburn!H141+'Royal Mile'!H141+Sciennes!H141+Sighthill!H141+'South Morningside'!H141+'St Catherines RC'!H141+'St Cuthberts RC'!H141+'St Davids RC'!H141+'St Francis RC'!H141+'St John Vianney'!H141+'St Johns RC'!H141+'St Josephs RC'!H141+'St Margarets RC'!H141+'St Marks RC'!H141+'St Marys Edin'!H141+'St Marys Leith'!H141+'St Ninians RC'!H141+'St Peters RC'!H141+Stenhouse!H141+Stockbridge!H141+'The Royal High'!H141+Tollcross!H141+Towerbank!H141+Trinity!H141+Victoria!H141+Wardie!H141</f>
        <v>4474</v>
      </c>
      <c r="H102" s="231">
        <f>'Bun Sgoil Taobh na Pairce'!F15+Abbeyhill!I141+Balgreen!I141+Blackhall!I141+Bonaly!I141+Broomhouse!I141+Broughton!I141+Brunstane!I141+Bruntsfield!I141+Buckstone!I141+'Canal View'!I141+'Carrick Knowe'!I141+Castleview!I141+Clermiston!I141+Clovenstone!I141+Colinton!I141+Corstorphine!I141+Craigentinny!I141+Craiglockhart!I141+'Craigour Park'!I141+Craigroyston!I141+Cramond!I141+Currie!I141+Dalmeny!I141+Dalry!I141+'Davidsons Mains'!I141+'Dean Park'!I141+Duddingston!I141+'East Craigs'!I141+Echline!I141+Ferryhill!I141+'Flora Stevenson'!I141+Forthview!I141+'Fox Covert ND'!I141+'Fox Covert RC'!I141+Gilmerton!I141+Gracemount!I141+Granton!I141+Gylemuir!I141+'Hermitage Park'!I141+Hillwood!I141+'Holy Cross RC'!I141+'James Gillespies'!I141+'Juniper Green'!I141+Kirkliston!I141+Leith!I141+'Leith Walk'!I141+Liberton!I141+Longstone!I141+Lorne!I141+Murrayburn!I141+'Nether Currie'!I141+Newcraighall!I141+'Niddrie Mill'!I141+Oxgangs!I141+'Parsons Green'!I141+Pentland!I141+Pirniehall!I141+'Preston Street'!I141+Prestonfield!I141+Queensferry!I141+Ratho!I141+Roseburn!I141+'Royal Mile'!I141+Sciennes!I141+Sighthill!I141+'South Morningside'!I141+'St Catherines RC'!I141+'St Cuthberts RC'!I141+'St Davids RC'!I141+'St Francis RC'!I141+'St John Vianney'!I141+'St Johns RC'!I141+'St Josephs RC'!I141+'St Margarets RC'!I141+'St Marks RC'!I141+'St Marys Edin'!I141+'St Marys Leith'!I141+'St Ninians RC'!I141+'St Peters RC'!I141+Stenhouse!I141+Stockbridge!I141+'The Royal High'!I141+Tollcross!I141+Towerbank!I141+Trinity!I141+Victoria!I141+Wardie!I141</f>
        <v>4372</v>
      </c>
      <c r="I102" s="232">
        <f t="shared" si="7"/>
        <v>31267.130154707742</v>
      </c>
      <c r="K102" s="142"/>
      <c r="L102" s="283"/>
      <c r="M102" s="142"/>
      <c r="T102" s="142">
        <f t="shared" si="8"/>
        <v>-4364.1301547077428</v>
      </c>
      <c r="U102" s="146"/>
    </row>
    <row r="103" spans="1:21">
      <c r="A103" s="228">
        <v>2020</v>
      </c>
      <c r="B103" s="231">
        <f>'Bun Sgoil Taobh na Pairce'!G9+Abbeyhill!C142+Balgreen!C142+Blackhall!C142+Bonaly!C142+Broomhouse!C142+Broughton!C142+Brunstane!C142+Bruntsfield!C142+Buckstone!C142+'Canal View'!C142+'Carrick Knowe'!C142+Castleview!C142+Clermiston!C142+Clovenstone!C142+Colinton!C142+Corstorphine!C142+Craigentinny!C142+Craiglockhart!C142+'Craigour Park'!C142+Craigroyston!C142+Cramond!C142+Currie!C142+Dalmeny!C142+Dalry!C142+'Davidsons Mains'!C142+'Dean Park'!C142+Duddingston!C142+'East Craigs'!C142+Echline!C142+Ferryhill!C142+'Flora Stevenson'!C142+Forthview!C142+'Fox Covert ND'!C142+'Fox Covert RC'!C142+Gilmerton!C142+Gracemount!C142+Granton!C142+Gylemuir!C142+'Hermitage Park'!C142+Hillwood!C142+'Holy Cross RC'!C142+'James Gillespies'!C142+'Juniper Green'!C142+Kirkliston!C142+Leith!C142+'Leith Walk'!C142+Liberton!C142+Longstone!C142+Lorne!C142+Murrayburn!C142+'Nether Currie'!C142+Newcraighall!C142+'Niddrie Mill'!C142+Oxgangs!C142+'Parsons Green'!C142+Pentland!C142+Pirniehall!C142+'Preston Street'!C142+Prestonfield!C142+Queensferry!C142+Ratho!C142+Roseburn!C142+'Royal Mile'!C142+Sciennes!C142+Sighthill!C142+'South Morningside'!C142+'St Catherines RC'!C142+'St Cuthberts RC'!C142+'St Davids RC'!C142+'St Francis RC'!C142+'St John Vianney'!C142+'St Johns RC'!C142+'St Josephs RC'!C142+'St Margarets RC'!C142+'St Marks RC'!C142+'St Marys Edin'!C142+'St Marys Leith'!C142+'St Ninians RC'!C142+'St Peters RC'!C142+Stenhouse!C142+Stockbridge!C142+'The Royal High'!C142+Tollcross!C142+Towerbank!C142+Trinity!C142+Victoria!C142+Wardie!C142</f>
        <v>4319.4871879796419</v>
      </c>
      <c r="C103" s="231">
        <f>'Bun Sgoil Taobh na Pairce'!G10+Abbeyhill!D142+Balgreen!D142+Blackhall!D142+Bonaly!D142+Broomhouse!D142+Broughton!D142+Brunstane!D142+Bruntsfield!D142+Buckstone!D142+'Canal View'!D142+'Carrick Knowe'!D142+Castleview!D142+Clermiston!D142+Clovenstone!D142+Colinton!D142+Corstorphine!D142+Craigentinny!D142+Craiglockhart!D142+'Craigour Park'!D142+Craigroyston!D142+Cramond!D142+Currie!D142+Dalmeny!D142+Dalry!D142+'Davidsons Mains'!D142+'Dean Park'!D142+Duddingston!D142+'East Craigs'!D142+Echline!D142+Ferryhill!D142+'Flora Stevenson'!D142+Forthview!D142+'Fox Covert ND'!D142+'Fox Covert RC'!D142+Gilmerton!D142+Gracemount!D142+Granton!D142+Gylemuir!D142+'Hermitage Park'!D142+Hillwood!D142+'Holy Cross RC'!D142+'James Gillespies'!D142+'Juniper Green'!D142+Kirkliston!D142+Leith!D142+'Leith Walk'!D142+Liberton!D142+Longstone!D142+Lorne!D142+Murrayburn!D142+'Nether Currie'!D142+Newcraighall!D142+'Niddrie Mill'!D142+Oxgangs!D142+'Parsons Green'!D142+Pentland!D142+Pirniehall!D142+'Preston Street'!D142+Prestonfield!D142+Queensferry!D142+Ratho!D142+Roseburn!D142+'Royal Mile'!D142+Sciennes!D142+Sighthill!D142+'South Morningside'!D142+'St Catherines RC'!D142+'St Cuthberts RC'!D142+'St Davids RC'!D142+'St Francis RC'!D142+'St John Vianney'!D142+'St Johns RC'!D142+'St Josephs RC'!D142+'St Margarets RC'!D142+'St Marks RC'!D142+'St Marys Edin'!D142+'St Marys Leith'!D142+'St Ninians RC'!D142+'St Peters RC'!D142+Stenhouse!D142+Stockbridge!D142+'The Royal High'!D142+Tollcross!D142+Towerbank!D142+Trinity!D142+Victoria!D142+Wardie!D142</f>
        <v>4355</v>
      </c>
      <c r="D103" s="231">
        <f>'Bun Sgoil Taobh na Pairce'!G11+Abbeyhill!E142+Balgreen!E142+Blackhall!E142+Bonaly!E142+Broomhouse!E142+Broughton!E142+Brunstane!E142+Bruntsfield!E142+Buckstone!E142+'Canal View'!E142+'Carrick Knowe'!E142+Castleview!E142+Clermiston!E142+Clovenstone!E142+Colinton!E142+Corstorphine!E142+Craigentinny!E142+Craiglockhart!E142+'Craigour Park'!E142+Craigroyston!E142+Cramond!E142+Currie!E142+Dalmeny!E142+Dalry!E142+'Davidsons Mains'!E142+'Dean Park'!E142+Duddingston!E142+'East Craigs'!E142+Echline!E142+Ferryhill!E142+'Flora Stevenson'!E142+Forthview!E142+'Fox Covert ND'!E142+'Fox Covert RC'!E142+Gilmerton!E142+Gracemount!E142+Granton!E142+Gylemuir!E142+'Hermitage Park'!E142+Hillwood!E142+'Holy Cross RC'!E142+'James Gillespies'!E142+'Juniper Green'!E142+Kirkliston!E142+Leith!E142+'Leith Walk'!E142+Liberton!E142+Longstone!E142+Lorne!E142+Murrayburn!E142+'Nether Currie'!E142+Newcraighall!E142+'Niddrie Mill'!E142+Oxgangs!E142+'Parsons Green'!E142+Pentland!E142+Pirniehall!E142+'Preston Street'!E142+Prestonfield!E142+Queensferry!E142+Ratho!E142+Roseburn!E142+'Royal Mile'!E142+Sciennes!E142+Sighthill!E142+'South Morningside'!E142+'St Catherines RC'!E142+'St Cuthberts RC'!E142+'St Davids RC'!E142+'St Francis RC'!E142+'St John Vianney'!E142+'St Johns RC'!E142+'St Josephs RC'!E142+'St Margarets RC'!E142+'St Marks RC'!E142+'St Marys Edin'!E142+'St Marys Leith'!E142+'St Ninians RC'!E142+'St Peters RC'!E142+Stenhouse!E142+Stockbridge!E142+'The Royal High'!E142+Tollcross!E142+Towerbank!E142+Trinity!E142+Victoria!E142+Wardie!E142</f>
        <v>4429</v>
      </c>
      <c r="E103" s="231">
        <f>'Bun Sgoil Taobh na Pairce'!H11+Abbeyhill!F142+Balgreen!F142+Blackhall!F142+Bonaly!F142+Broomhouse!F142+Broughton!F142+Brunstane!F142+Bruntsfield!F142+Buckstone!F142+'Canal View'!F142+'Carrick Knowe'!F142+Castleview!F142+Clermiston!F142+Clovenstone!F142+Colinton!F142+Corstorphine!F142+Craigentinny!F142+Craiglockhart!F142+'Craigour Park'!F142+Craigroyston!F142+Cramond!F142+Currie!F142+Dalmeny!F142+Dalry!F142+'Davidsons Mains'!F142+'Dean Park'!F142+Duddingston!F142+'East Craigs'!F142+Echline!F142+Ferryhill!F142+'Flora Stevenson'!F142+Forthview!F142+'Fox Covert ND'!F142+'Fox Covert RC'!F142+Gilmerton!F142+Gracemount!F142+Granton!F142+Gylemuir!F142+'Hermitage Park'!F142+Hillwood!F142+'Holy Cross RC'!F142+'James Gillespies'!F142+'Juniper Green'!F142+Kirkliston!F142+Leith!F142+'Leith Walk'!F142+Liberton!F142+Longstone!F142+Lorne!F142+Murrayburn!F142+'Nether Currie'!F142+Newcraighall!F142+'Niddrie Mill'!F142+Oxgangs!F142+'Parsons Green'!F142+Pentland!F142+Pirniehall!F142+'Preston Street'!F142+Prestonfield!F142+Queensferry!F142+Ratho!F142+Roseburn!F142+'Royal Mile'!F142+Sciennes!F142+Sighthill!F142+'South Morningside'!F142+'St Catherines RC'!F142+'St Cuthberts RC'!F142+'St Davids RC'!F142+'St Francis RC'!F142+'St John Vianney'!F142+'St Johns RC'!F142+'St Josephs RC'!F142+'St Margarets RC'!F142+'St Marks RC'!F142+'St Marys Edin'!F142+'St Marys Leith'!F142+'St Ninians RC'!F142+'St Peters RC'!F142+Stenhouse!F142+Stockbridge!F142+'The Royal High'!F142+Tollcross!F142+Towerbank!F142+Trinity!F142+Victoria!F142+Wardie!F142</f>
        <v>4452</v>
      </c>
      <c r="F103" s="231">
        <f>'Bun Sgoil Taobh na Pairce'!G13+Abbeyhill!G142+Balgreen!G142+Blackhall!G142+Bonaly!G142+Broomhouse!G142+Broughton!G142+Brunstane!G142+Bruntsfield!G142+Buckstone!G142+'Canal View'!G142+'Carrick Knowe'!G142+Castleview!G142+Clermiston!G142+Clovenstone!G142+Colinton!G142+Corstorphine!G142+Craigentinny!G142+Craiglockhart!G142+'Craigour Park'!G142+Craigroyston!G142+Cramond!G142+Currie!G142+Dalmeny!G142+Dalry!G142+'Davidsons Mains'!G142+'Dean Park'!G142+Duddingston!G142+'East Craigs'!G142+Echline!G142+Ferryhill!G142+'Flora Stevenson'!G142+Forthview!G142+'Fox Covert ND'!G142+'Fox Covert RC'!G142+Gilmerton!G142+Gracemount!G142+Granton!G142+Gylemuir!G142+'Hermitage Park'!G142+Hillwood!G142+'Holy Cross RC'!G142+'James Gillespies'!G142+'Juniper Green'!G142+Kirkliston!G142+Leith!G142+'Leith Walk'!G142+Liberton!G142+Longstone!G142+Lorne!G142+Murrayburn!G142+'Nether Currie'!G142+Newcraighall!G142+'Niddrie Mill'!G142+Oxgangs!G142+'Parsons Green'!G142+Pentland!G142+Pirniehall!G142+'Preston Street'!G142+Prestonfield!G142+Queensferry!G142+Ratho!G142+Roseburn!G142+'Royal Mile'!G142+Sciennes!G142+Sighthill!G142+'South Morningside'!G142+'St Catherines RC'!G142+'St Cuthberts RC'!G142+'St Davids RC'!G142+'St Francis RC'!G142+'St John Vianney'!G142+'St Johns RC'!G142+'St Josephs RC'!G142+'St Margarets RC'!G142+'St Marks RC'!G142+'St Marys Edin'!G142+'St Marys Leith'!G142+'St Ninians RC'!G142+'St Peters RC'!G142+Stenhouse!G142+Stockbridge!G142+'The Royal High'!G142+Tollcross!G142+Towerbank!G142+Trinity!G142+Victoria!G142+Wardie!G142</f>
        <v>4621</v>
      </c>
      <c r="G103" s="231">
        <f>'Bun Sgoil Taobh na Pairce'!G14+Abbeyhill!H142+Balgreen!H142+Blackhall!H142+Bonaly!H142+Broomhouse!H142+Broughton!H142+Brunstane!H142+Bruntsfield!H142+Buckstone!H142+'Canal View'!H142+'Carrick Knowe'!H142+Castleview!H142+Clermiston!H142+Clovenstone!H142+Colinton!H142+Corstorphine!H142+Craigentinny!H142+Craiglockhart!H142+'Craigour Park'!H142+Craigroyston!H142+Cramond!H142+Currie!H142+Dalmeny!H142+Dalry!H142+'Davidsons Mains'!H142+'Dean Park'!H142+Duddingston!H142+'East Craigs'!H142+Echline!H142+Ferryhill!H142+'Flora Stevenson'!H142+Forthview!H142+'Fox Covert ND'!H142+'Fox Covert RC'!H142+Gilmerton!H142+Gracemount!H142+Granton!H142+Gylemuir!H142+'Hermitage Park'!H142+Hillwood!H142+'Holy Cross RC'!H142+'James Gillespies'!H142+'Juniper Green'!H142+Kirkliston!H142+Leith!H142+'Leith Walk'!H142+Liberton!H142+Longstone!H142+Lorne!H142+Murrayburn!H142+'Nether Currie'!H142+Newcraighall!H142+'Niddrie Mill'!H142+Oxgangs!H142+'Parsons Green'!H142+Pentland!H142+Pirniehall!H142+'Preston Street'!H142+Prestonfield!H142+Queensferry!H142+Ratho!H142+Roseburn!H142+'Royal Mile'!H142+Sciennes!H142+Sighthill!H142+'South Morningside'!H142+'St Catherines RC'!H142+'St Cuthberts RC'!H142+'St Davids RC'!H142+'St Francis RC'!H142+'St John Vianney'!H142+'St Johns RC'!H142+'St Josephs RC'!H142+'St Margarets RC'!H142+'St Marks RC'!H142+'St Marys Edin'!H142+'St Marys Leith'!H142+'St Ninians RC'!H142+'St Peters RC'!H142+Stenhouse!H142+Stockbridge!H142+'The Royal High'!H142+Tollcross!H142+Towerbank!H142+Trinity!H142+Victoria!H142+Wardie!H142</f>
        <v>4592</v>
      </c>
      <c r="H103" s="231">
        <f>'Bun Sgoil Taobh na Pairce'!G15+Abbeyhill!I142+Balgreen!I142+Blackhall!I142+Bonaly!I142+Broomhouse!I142+Broughton!I142+Brunstane!I142+Bruntsfield!I142+Buckstone!I142+'Canal View'!I142+'Carrick Knowe'!I142+Castleview!I142+Clermiston!I142+Clovenstone!I142+Colinton!I142+Corstorphine!I142+Craigentinny!I142+Craiglockhart!I142+'Craigour Park'!I142+Craigroyston!I142+Cramond!I142+Currie!I142+Dalmeny!I142+Dalry!I142+'Davidsons Mains'!I142+'Dean Park'!I142+Duddingston!I142+'East Craigs'!I142+Echline!I142+Ferryhill!I142+'Flora Stevenson'!I142+Forthview!I142+'Fox Covert ND'!I142+'Fox Covert RC'!I142+Gilmerton!I142+Gracemount!I142+Granton!I142+Gylemuir!I142+'Hermitage Park'!I142+Hillwood!I142+'Holy Cross RC'!I142+'James Gillespies'!I142+'Juniper Green'!I142+Kirkliston!I142+Leith!I142+'Leith Walk'!I142+Liberton!I142+Longstone!I142+Lorne!I142+Murrayburn!I142+'Nether Currie'!I142+Newcraighall!I142+'Niddrie Mill'!I142+Oxgangs!I142+'Parsons Green'!I142+Pentland!I142+Pirniehall!I142+'Preston Street'!I142+Prestonfield!I142+Queensferry!I142+Ratho!I142+Roseburn!I142+'Royal Mile'!I142+Sciennes!I142+Sighthill!I142+'South Morningside'!I142+'St Catherines RC'!I142+'St Cuthberts RC'!I142+'St Davids RC'!I142+'St Francis RC'!I142+'St John Vianney'!I142+'St Johns RC'!I142+'St Josephs RC'!I142+'St Margarets RC'!I142+'St Marks RC'!I142+'St Marys Edin'!I142+'St Marys Leith'!I142+'St Ninians RC'!I142+'St Peters RC'!I142+Stenhouse!I142+Stockbridge!I142+'The Royal High'!I142+Tollcross!I142+Towerbank!I142+Trinity!I142+Victoria!I142+Wardie!I142</f>
        <v>4459</v>
      </c>
      <c r="I103" s="232">
        <f t="shared" si="7"/>
        <v>31227.487187979641</v>
      </c>
      <c r="K103" s="142"/>
      <c r="L103" s="283"/>
      <c r="M103" s="142"/>
      <c r="T103" s="142">
        <f t="shared" si="8"/>
        <v>-4319.4871879796419</v>
      </c>
      <c r="U103" s="146"/>
    </row>
    <row r="104" spans="1:21">
      <c r="A104" s="228">
        <v>2021</v>
      </c>
      <c r="B104" s="231">
        <f>'Bun Sgoil Taobh na Pairce'!H9+Abbeyhill!C143+Balgreen!C143+Blackhall!C143+Bonaly!C143+Broomhouse!C143+Broughton!C143+Brunstane!C143+Bruntsfield!C143+Buckstone!C143+'Canal View'!C143+'Carrick Knowe'!C143+Castleview!C143+Clermiston!C143+Clovenstone!C143+Colinton!C143+Corstorphine!C143+Craigentinny!C143+Craiglockhart!C143+'Craigour Park'!C143+Craigroyston!C143+Cramond!C143+Currie!C143+Dalmeny!C143+Dalry!C143+'Davidsons Mains'!C143+'Dean Park'!C143+Duddingston!C143+'East Craigs'!C143+Echline!C143+Ferryhill!C143+'Flora Stevenson'!C143+Forthview!C143+'Fox Covert ND'!C143+'Fox Covert RC'!C143+Gilmerton!C143+Gracemount!C143+Granton!C143+Gylemuir!C143+'Hermitage Park'!C143+Hillwood!C143+'Holy Cross RC'!C143+'James Gillespies'!C143+'Juniper Green'!C143+Kirkliston!C143+Leith!C143+'Leith Walk'!C143+Liberton!C143+Longstone!C143+Lorne!C143+Murrayburn!C143+'Nether Currie'!C143+Newcraighall!C143+'Niddrie Mill'!C143+Oxgangs!C143+'Parsons Green'!C143+Pentland!C143+Pirniehall!C143+'Preston Street'!C143+Prestonfield!C143+Queensferry!C143+Ratho!C143+Roseburn!C143+'Royal Mile'!C143+Sciennes!C143+Sighthill!C143+'South Morningside'!C143+'St Catherines RC'!C143+'St Cuthberts RC'!C143+'St Davids RC'!C143+'St Francis RC'!C143+'St John Vianney'!C143+'St Johns RC'!C143+'St Josephs RC'!C143+'St Margarets RC'!C143+'St Marks RC'!C143+'St Marys Edin'!C143+'St Marys Leith'!C143+'St Ninians RC'!C143+'St Peters RC'!C143+Stenhouse!C143+Stockbridge!C143+'The Royal High'!C143+Tollcross!C143+Towerbank!C143+Trinity!C143+Victoria!C143+Wardie!C143</f>
        <v>4512.2332767727576</v>
      </c>
      <c r="C104" s="231">
        <f>'Bun Sgoil Taobh na Pairce'!H10+Abbeyhill!D143+Balgreen!D143+Blackhall!D143+Bonaly!D143+Broomhouse!D143+Broughton!D143+Brunstane!D143+Bruntsfield!D143+Buckstone!D143+'Canal View'!D143+'Carrick Knowe'!D143+Castleview!D143+Clermiston!D143+Clovenstone!D143+Colinton!D143+Corstorphine!D143+Craigentinny!D143+Craiglockhart!D143+'Craigour Park'!D143+Craigroyston!D143+Cramond!D143+Currie!D143+Dalmeny!D143+Dalry!D143+'Davidsons Mains'!D143+'Dean Park'!D143+Duddingston!D143+'East Craigs'!D143+Echline!D143+Ferryhill!D143+'Flora Stevenson'!D143+Forthview!D143+'Fox Covert ND'!D143+'Fox Covert RC'!D143+Gilmerton!D143+Gracemount!D143+Granton!D143+Gylemuir!D143+'Hermitage Park'!D143+Hillwood!D143+'Holy Cross RC'!D143+'James Gillespies'!D143+'Juniper Green'!D143+Kirkliston!D143+Leith!D143+'Leith Walk'!D143+Liberton!D143+Longstone!D143+Lorne!D143+Murrayburn!D143+'Nether Currie'!D143+Newcraighall!D143+'Niddrie Mill'!D143+Oxgangs!D143+'Parsons Green'!D143+Pentland!D143+Pirniehall!D143+'Preston Street'!D143+Prestonfield!D143+Queensferry!D143+Ratho!D143+Roseburn!D143+'Royal Mile'!D143+Sciennes!D143+Sighthill!D143+'South Morningside'!D143+'St Catherines RC'!D143+'St Cuthberts RC'!D143+'St Davids RC'!D143+'St Francis RC'!D143+'St John Vianney'!D143+'St Johns RC'!D143+'St Josephs RC'!D143+'St Margarets RC'!D143+'St Marks RC'!D143+'St Marys Edin'!D143+'St Marys Leith'!D143+'St Ninians RC'!D143+'St Peters RC'!D143+Stenhouse!D143+Stockbridge!D143+'The Royal High'!D143+Tollcross!D143+Towerbank!D143+Trinity!D143+Victoria!D143+Wardie!D143</f>
        <v>4312</v>
      </c>
      <c r="D104" s="231">
        <f>'Bun Sgoil Taobh na Pairce'!H11+Abbeyhill!E143+Balgreen!E143+Blackhall!E143+Bonaly!E143+Broomhouse!E143+Broughton!E143+Brunstane!E143+Bruntsfield!E143+Buckstone!E143+'Canal View'!E143+'Carrick Knowe'!E143+Castleview!E143+Clermiston!E143+Clovenstone!E143+Colinton!E143+Corstorphine!E143+Craigentinny!E143+Craiglockhart!E143+'Craigour Park'!E143+Craigroyston!E143+Cramond!E143+Currie!E143+Dalmeny!E143+Dalry!E143+'Davidsons Mains'!E143+'Dean Park'!E143+Duddingston!E143+'East Craigs'!E143+Echline!E143+Ferryhill!E143+'Flora Stevenson'!E143+Forthview!E143+'Fox Covert ND'!E143+'Fox Covert RC'!E143+Gilmerton!E143+Gracemount!E143+Granton!E143+Gylemuir!E143+'Hermitage Park'!E143+Hillwood!E143+'Holy Cross RC'!E143+'James Gillespies'!E143+'Juniper Green'!E143+Kirkliston!E143+Leith!E143+'Leith Walk'!E143+Liberton!E143+Longstone!E143+Lorne!E143+Murrayburn!E143+'Nether Currie'!E143+Newcraighall!E143+'Niddrie Mill'!E143+Oxgangs!E143+'Parsons Green'!E143+Pentland!E143+Pirniehall!E143+'Preston Street'!E143+Prestonfield!E143+Queensferry!E143+Ratho!E143+Roseburn!E143+'Royal Mile'!E143+Sciennes!E143+Sighthill!E143+'South Morningside'!E143+'St Catherines RC'!E143+'St Cuthberts RC'!E143+'St Davids RC'!E143+'St Francis RC'!E143+'St John Vianney'!E143+'St Johns RC'!E143+'St Josephs RC'!E143+'St Margarets RC'!E143+'St Marks RC'!E143+'St Marys Edin'!E143+'St Marys Leith'!E143+'St Ninians RC'!E143+'St Peters RC'!E143+Stenhouse!E143+Stockbridge!E143+'The Royal High'!E143+Tollcross!E143+Towerbank!E143+Trinity!E143+Victoria!E143+Wardie!E143</f>
        <v>4354</v>
      </c>
      <c r="E104" s="231">
        <f>'Bun Sgoil Taobh na Pairce'!I11+Abbeyhill!F143+Balgreen!F143+Blackhall!F143+Bonaly!F143+Broomhouse!F143+Broughton!F143+Brunstane!F143+Bruntsfield!F143+Buckstone!F143+'Canal View'!F143+'Carrick Knowe'!F143+Castleview!F143+Clermiston!F143+Clovenstone!F143+Colinton!F143+Corstorphine!F143+Craigentinny!F143+Craiglockhart!F143+'Craigour Park'!F143+Craigroyston!F143+Cramond!F143+Currie!F143+Dalmeny!F143+Dalry!F143+'Davidsons Mains'!F143+'Dean Park'!F143+Duddingston!F143+'East Craigs'!F143+Echline!F143+Ferryhill!F143+'Flora Stevenson'!F143+Forthview!F143+'Fox Covert ND'!F143+'Fox Covert RC'!F143+Gilmerton!F143+Gracemount!F143+Granton!F143+Gylemuir!F143+'Hermitage Park'!F143+Hillwood!F143+'Holy Cross RC'!F143+'James Gillespies'!F143+'Juniper Green'!F143+Kirkliston!F143+Leith!F143+'Leith Walk'!F143+Liberton!F143+Longstone!F143+Lorne!F143+Murrayburn!F143+'Nether Currie'!F143+Newcraighall!F143+'Niddrie Mill'!F143+Oxgangs!F143+'Parsons Green'!F143+Pentland!F143+Pirniehall!F143+'Preston Street'!F143+Prestonfield!F143+Queensferry!F143+Ratho!F143+Roseburn!F143+'Royal Mile'!F143+Sciennes!F143+Sighthill!F143+'South Morningside'!F143+'St Catherines RC'!F143+'St Cuthberts RC'!F143+'St Davids RC'!F143+'St Francis RC'!F143+'St John Vianney'!F143+'St Johns RC'!F143+'St Josephs RC'!F143+'St Margarets RC'!F143+'St Marks RC'!F143+'St Marys Edin'!F143+'St Marys Leith'!F143+'St Ninians RC'!F143+'St Peters RC'!F143+Stenhouse!F143+Stockbridge!F143+'The Royal High'!F143+Tollcross!F143+Towerbank!F143+Trinity!F143+Victoria!F143+Wardie!F143</f>
        <v>4460</v>
      </c>
      <c r="F104" s="231">
        <f>'Bun Sgoil Taobh na Pairce'!H13+Abbeyhill!G143+Balgreen!G143+Blackhall!G143+Bonaly!G143+Broomhouse!G143+Broughton!G143+Brunstane!G143+Bruntsfield!G143+Buckstone!G143+'Canal View'!G143+'Carrick Knowe'!G143+Castleview!G143+Clermiston!G143+Clovenstone!G143+Colinton!G143+Corstorphine!G143+Craigentinny!G143+Craiglockhart!G143+'Craigour Park'!G143+Craigroyston!G143+Cramond!G143+Currie!G143+Dalmeny!G143+Dalry!G143+'Davidsons Mains'!G143+'Dean Park'!G143+Duddingston!G143+'East Craigs'!G143+Echline!G143+Ferryhill!G143+'Flora Stevenson'!G143+Forthview!G143+'Fox Covert ND'!G143+'Fox Covert RC'!G143+Gilmerton!G143+Gracemount!G143+Granton!G143+Gylemuir!G143+'Hermitage Park'!G143+Hillwood!G143+'Holy Cross RC'!G143+'James Gillespies'!G143+'Juniper Green'!G143+Kirkliston!G143+Leith!G143+'Leith Walk'!G143+Liberton!G143+Longstone!G143+Lorne!G143+Murrayburn!G143+'Nether Currie'!G143+Newcraighall!G143+'Niddrie Mill'!G143+Oxgangs!G143+'Parsons Green'!G143+Pentland!G143+Pirniehall!G143+'Preston Street'!G143+Prestonfield!G143+Queensferry!G143+Ratho!G143+Roseburn!G143+'Royal Mile'!G143+Sciennes!G143+Sighthill!G143+'South Morningside'!G143+'St Catherines RC'!G143+'St Cuthberts RC'!G143+'St Davids RC'!G143+'St Francis RC'!G143+'St John Vianney'!G143+'St Johns RC'!G143+'St Josephs RC'!G143+'St Margarets RC'!G143+'St Marks RC'!G143+'St Marys Edin'!G143+'St Marys Leith'!G143+'St Ninians RC'!G143+'St Peters RC'!G143+Stenhouse!G143+Stockbridge!G143+'The Royal High'!G143+Tollcross!G143+Towerbank!G143+Trinity!G143+Victoria!G143+Wardie!G143</f>
        <v>4489</v>
      </c>
      <c r="G104" s="231">
        <f>'Bun Sgoil Taobh na Pairce'!H14+Abbeyhill!H143+Balgreen!H143+Blackhall!H143+Bonaly!H143+Broomhouse!H143+Broughton!H143+Brunstane!H143+Bruntsfield!H143+Buckstone!H143+'Canal View'!H143+'Carrick Knowe'!H143+Castleview!H143+Clermiston!H143+Clovenstone!H143+Colinton!H143+Corstorphine!H143+Craigentinny!H143+Craiglockhart!H143+'Craigour Park'!H143+Craigroyston!H143+Cramond!H143+Currie!H143+Dalmeny!H143+Dalry!H143+'Davidsons Mains'!H143+'Dean Park'!H143+Duddingston!H143+'East Craigs'!H143+Echline!H143+Ferryhill!H143+'Flora Stevenson'!H143+Forthview!H143+'Fox Covert ND'!H143+'Fox Covert RC'!H143+Gilmerton!H143+Gracemount!H143+Granton!H143+Gylemuir!H143+'Hermitage Park'!H143+Hillwood!H143+'Holy Cross RC'!H143+'James Gillespies'!H143+'Juniper Green'!H143+Kirkliston!H143+Leith!H143+'Leith Walk'!H143+Liberton!H143+Longstone!H143+Lorne!H143+Murrayburn!H143+'Nether Currie'!H143+Newcraighall!H143+'Niddrie Mill'!H143+Oxgangs!H143+'Parsons Green'!H143+Pentland!H143+Pirniehall!H143+'Preston Street'!H143+Prestonfield!H143+Queensferry!H143+Ratho!H143+Roseburn!H143+'Royal Mile'!H143+Sciennes!H143+Sighthill!H143+'South Morningside'!H143+'St Catherines RC'!H143+'St Cuthberts RC'!H143+'St Davids RC'!H143+'St Francis RC'!H143+'St John Vianney'!H143+'St Johns RC'!H143+'St Josephs RC'!H143+'St Margarets RC'!H143+'St Marks RC'!H143+'St Marys Edin'!H143+'St Marys Leith'!H143+'St Ninians RC'!H143+'St Peters RC'!H143+Stenhouse!H143+Stockbridge!H143+'The Royal High'!H143+Tollcross!H143+Towerbank!H143+Trinity!H143+Victoria!H143+Wardie!H143</f>
        <v>4619</v>
      </c>
      <c r="H104" s="231">
        <f>'Bun Sgoil Taobh na Pairce'!H15+Abbeyhill!I143+Balgreen!I143+Blackhall!I143+Bonaly!I143+Broomhouse!I143+Broughton!I143+Brunstane!I143+Bruntsfield!I143+Buckstone!I143+'Canal View'!I143+'Carrick Knowe'!I143+Castleview!I143+Clermiston!I143+Clovenstone!I143+Colinton!I143+Corstorphine!I143+Craigentinny!I143+Craiglockhart!I143+'Craigour Park'!I143+Craigroyston!I143+Cramond!I143+Currie!I143+Dalmeny!I143+Dalry!I143+'Davidsons Mains'!I143+'Dean Park'!I143+Duddingston!I143+'East Craigs'!I143+Echline!I143+Ferryhill!I143+'Flora Stevenson'!I143+Forthview!I143+'Fox Covert ND'!I143+'Fox Covert RC'!I143+Gilmerton!I143+Gracemount!I143+Granton!I143+Gylemuir!I143+'Hermitage Park'!I143+Hillwood!I143+'Holy Cross RC'!I143+'James Gillespies'!I143+'Juniper Green'!I143+Kirkliston!I143+Leith!I143+'Leith Walk'!I143+Liberton!I143+Longstone!I143+Lorne!I143+Murrayburn!I143+'Nether Currie'!I143+Newcraighall!I143+'Niddrie Mill'!I143+Oxgangs!I143+'Parsons Green'!I143+Pentland!I143+Pirniehall!I143+'Preston Street'!I143+Prestonfield!I143+Queensferry!I143+Ratho!I143+Roseburn!I143+'Royal Mile'!I143+Sciennes!I143+Sighthill!I143+'South Morningside'!I143+'St Catherines RC'!I143+'St Cuthberts RC'!I143+'St Davids RC'!I143+'St Francis RC'!I143+'St John Vianney'!I143+'St Johns RC'!I143+'St Josephs RC'!I143+'St Margarets RC'!I143+'St Marks RC'!I143+'St Marys Edin'!I143+'St Marys Leith'!I143+'St Ninians RC'!I143+'St Peters RC'!I143+Stenhouse!I143+Stockbridge!I143+'The Royal High'!I143+Tollcross!I143+Towerbank!I143+Trinity!I143+Victoria!I143+Wardie!I143</f>
        <v>4572</v>
      </c>
      <c r="I104" s="232">
        <f t="shared" si="7"/>
        <v>31318.233276772757</v>
      </c>
      <c r="L104" s="283"/>
      <c r="M104" s="142"/>
      <c r="T104" s="142">
        <f t="shared" si="8"/>
        <v>-4512.2332767727576</v>
      </c>
      <c r="U104" s="146"/>
    </row>
    <row r="105" spans="1:21">
      <c r="A105" s="228">
        <v>2022</v>
      </c>
      <c r="B105" s="231">
        <f>'Bun Sgoil Taobh na Pairce'!I9+Abbeyhill!C144+Balgreen!C144+Blackhall!C144+Bonaly!C144+Broomhouse!C144+Broughton!C144+Brunstane!C144+Bruntsfield!C144+Buckstone!C144+'Canal View'!C144+'Carrick Knowe'!C144+Castleview!C144+Clermiston!C144+Clovenstone!C144+Colinton!C144+Corstorphine!C144+Craigentinny!C144+Craiglockhart!C144+'Craigour Park'!C144+Craigroyston!C144+Cramond!C144+Currie!C144+Dalmeny!C144+Dalry!C144+'Davidsons Mains'!C144+'Dean Park'!C144+Duddingston!C144+'East Craigs'!C144+Echline!C144+Ferryhill!C144+'Flora Stevenson'!C144+Forthview!C144+'Fox Covert ND'!C144+'Fox Covert RC'!C144+Gilmerton!C144+Gracemount!C144+Granton!C144+Gylemuir!C144+'Hermitage Park'!C144+Hillwood!C144+'Holy Cross RC'!C144+'James Gillespies'!C144+'Juniper Green'!C144+Kirkliston!C144+Leith!C144+'Leith Walk'!C144+Liberton!C144+Longstone!C144+Lorne!C144+Murrayburn!C144+'Nether Currie'!C144+Newcraighall!C144+'Niddrie Mill'!C144+Oxgangs!C144+'Parsons Green'!C144+Pentland!C144+Pirniehall!C144+'Preston Street'!C144+Prestonfield!C144+Queensferry!C144+Ratho!C144+Roseburn!C144+'Royal Mile'!C144+Sciennes!C144+Sighthill!C144+'South Morningside'!C144+'St Catherines RC'!C144+'St Cuthberts RC'!C144+'St Davids RC'!C144+'St Francis RC'!C144+'St John Vianney'!C144+'St Johns RC'!C144+'St Josephs RC'!C144+'St Margarets RC'!C144+'St Marks RC'!C144+'St Marys Edin'!C144+'St Marys Leith'!C144+'St Ninians RC'!C144+'St Peters RC'!C144+Stenhouse!C144+Stockbridge!C144+'The Royal High'!C144+Tollcross!C144+Towerbank!C144+Trinity!C144+Victoria!C144+Wardie!C144</f>
        <v>4650.7933294522381</v>
      </c>
      <c r="C105" s="231">
        <f>'Bun Sgoil Taobh na Pairce'!I10+Abbeyhill!D144+Balgreen!D144+Blackhall!D144+Bonaly!D144+Broomhouse!D144+Broughton!D144+Brunstane!D144+Bruntsfield!D144+Buckstone!D144+'Canal View'!D144+'Carrick Knowe'!D144+Castleview!D144+Clermiston!D144+Clovenstone!D144+Colinton!D144+Corstorphine!D144+Craigentinny!D144+Craiglockhart!D144+'Craigour Park'!D144+Craigroyston!D144+Cramond!D144+Currie!D144+Dalmeny!D144+Dalry!D144+'Davidsons Mains'!D144+'Dean Park'!D144+Duddingston!D144+'East Craigs'!D144+Echline!D144+Ferryhill!D144+'Flora Stevenson'!D144+Forthview!D144+'Fox Covert ND'!D144+'Fox Covert RC'!D144+Gilmerton!D144+Gracemount!D144+Granton!D144+Gylemuir!D144+'Hermitage Park'!D144+Hillwood!D144+'Holy Cross RC'!D144+'James Gillespies'!D144+'Juniper Green'!D144+Kirkliston!D144+Leith!D144+'Leith Walk'!D144+Liberton!D144+Longstone!D144+Lorne!D144+Murrayburn!D144+'Nether Currie'!D144+Newcraighall!D144+'Niddrie Mill'!D144+Oxgangs!D144+'Parsons Green'!D144+Pentland!D144+Pirniehall!D144+'Preston Street'!D144+Prestonfield!D144+Queensferry!D144+Ratho!D144+Roseburn!D144+'Royal Mile'!D144+Sciennes!D144+Sighthill!D144+'South Morningside'!D144+'St Catherines RC'!D144+'St Cuthberts RC'!D144+'St Davids RC'!D144+'St Francis RC'!D144+'St John Vianney'!D144+'St Johns RC'!D144+'St Josephs RC'!D144+'St Margarets RC'!D144+'St Marks RC'!D144+'St Marys Edin'!D144+'St Marys Leith'!D144+'St Ninians RC'!D144+'St Peters RC'!D144+Stenhouse!D144+Stockbridge!D144+'The Royal High'!D144+Tollcross!D144+Towerbank!D144+Trinity!D144+Victoria!D144+Wardie!D144</f>
        <v>4502</v>
      </c>
      <c r="D105" s="231">
        <f>'Bun Sgoil Taobh na Pairce'!I11+Abbeyhill!E144+Balgreen!E144+Blackhall!E144+Bonaly!E144+Broomhouse!E144+Broughton!E144+Brunstane!E144+Bruntsfield!E144+Buckstone!E144+'Canal View'!E144+'Carrick Knowe'!E144+Castleview!E144+Clermiston!E144+Clovenstone!E144+Colinton!E144+Corstorphine!E144+Craigentinny!E144+Craiglockhart!E144+'Craigour Park'!E144+Craigroyston!E144+Cramond!E144+Currie!E144+Dalmeny!E144+Dalry!E144+'Davidsons Mains'!E144+'Dean Park'!E144+Duddingston!E144+'East Craigs'!E144+Echline!E144+Ferryhill!E144+'Flora Stevenson'!E144+Forthview!E144+'Fox Covert ND'!E144+'Fox Covert RC'!E144+Gilmerton!E144+Gracemount!E144+Granton!E144+Gylemuir!E144+'Hermitage Park'!E144+Hillwood!E144+'Holy Cross RC'!E144+'James Gillespies'!E144+'Juniper Green'!E144+Kirkliston!E144+Leith!E144+'Leith Walk'!E144+Liberton!E144+Longstone!E144+Lorne!E144+Murrayburn!E144+'Nether Currie'!E144+Newcraighall!E144+'Niddrie Mill'!E144+Oxgangs!E144+'Parsons Green'!E144+Pentland!E144+Pirniehall!E144+'Preston Street'!E144+Prestonfield!E144+Queensferry!E144+Ratho!E144+Roseburn!E144+'Royal Mile'!E144+Sciennes!E144+Sighthill!E144+'South Morningside'!E144+'St Catherines RC'!E144+'St Cuthberts RC'!E144+'St Davids RC'!E144+'St Francis RC'!E144+'St John Vianney'!E144+'St Johns RC'!E144+'St Josephs RC'!E144+'St Margarets RC'!E144+'St Marks RC'!E144+'St Marys Edin'!E144+'St Marys Leith'!E144+'St Ninians RC'!E144+'St Peters RC'!E144+Stenhouse!E144+Stockbridge!E144+'The Royal High'!E144+Tollcross!E144+Towerbank!E144+Trinity!E144+Victoria!E144+Wardie!E144</f>
        <v>4322</v>
      </c>
      <c r="E105" s="231">
        <f>'Bun Sgoil Taobh na Pairce'!J11+Abbeyhill!F144+Balgreen!F144+Blackhall!F144+Bonaly!F144+Broomhouse!F144+Broughton!F144+Brunstane!F144+Bruntsfield!F144+Buckstone!F144+'Canal View'!F144+'Carrick Knowe'!F144+Castleview!F144+Clermiston!F144+Clovenstone!F144+Colinton!F144+Corstorphine!F144+Craigentinny!F144+Craiglockhart!F144+'Craigour Park'!F144+Craigroyston!F144+Cramond!F144+Currie!F144+Dalmeny!F144+Dalry!F144+'Davidsons Mains'!F144+'Dean Park'!F144+Duddingston!F144+'East Craigs'!F144+Echline!F144+Ferryhill!F144+'Flora Stevenson'!F144+Forthview!F144+'Fox Covert ND'!F144+'Fox Covert RC'!F144+Gilmerton!F144+Gracemount!F144+Granton!F144+Gylemuir!F144+'Hermitage Park'!F144+Hillwood!F144+'Holy Cross RC'!F144+'James Gillespies'!F144+'Juniper Green'!F144+Kirkliston!F144+Leith!F144+'Leith Walk'!F144+Liberton!F144+Longstone!F144+Lorne!F144+Murrayburn!F144+'Nether Currie'!F144+Newcraighall!F144+'Niddrie Mill'!F144+Oxgangs!F144+'Parsons Green'!F144+Pentland!F144+Pirniehall!F144+'Preston Street'!F144+Prestonfield!F144+Queensferry!F144+Ratho!F144+Roseburn!F144+'Royal Mile'!F144+Sciennes!F144+Sighthill!F144+'South Morningside'!F144+'St Catherines RC'!F144+'St Cuthberts RC'!F144+'St Davids RC'!F144+'St Francis RC'!F144+'St John Vianney'!F144+'St Johns RC'!F144+'St Josephs RC'!F144+'St Margarets RC'!F144+'St Marks RC'!F144+'St Marys Edin'!F144+'St Marys Leith'!F144+'St Ninians RC'!F144+'St Peters RC'!F144+Stenhouse!F144+Stockbridge!F144+'The Royal High'!F144+Tollcross!F144+Towerbank!F144+Trinity!F144+Victoria!F144+Wardie!F144</f>
        <v>4388</v>
      </c>
      <c r="F105" s="231">
        <f>'Bun Sgoil Taobh na Pairce'!I13+Abbeyhill!G144+Balgreen!G144+Blackhall!G144+Bonaly!G144+Broomhouse!G144+Broughton!G144+Brunstane!G144+Bruntsfield!G144+Buckstone!G144+'Canal View'!G144+'Carrick Knowe'!G144+Castleview!G144+Clermiston!G144+Clovenstone!G144+Colinton!G144+Corstorphine!G144+Craigentinny!G144+Craiglockhart!G144+'Craigour Park'!G144+Craigroyston!G144+Cramond!G144+Currie!G144+Dalmeny!G144+Dalry!G144+'Davidsons Mains'!G144+'Dean Park'!G144+Duddingston!G144+'East Craigs'!G144+Echline!G144+Ferryhill!G144+'Flora Stevenson'!G144+Forthview!G144+'Fox Covert ND'!G144+'Fox Covert RC'!G144+Gilmerton!G144+Gracemount!G144+Granton!G144+Gylemuir!G144+'Hermitage Park'!G144+Hillwood!G144+'Holy Cross RC'!G144+'James Gillespies'!G144+'Juniper Green'!G144+Kirkliston!G144+Leith!G144+'Leith Walk'!G144+Liberton!G144+Longstone!G144+Lorne!G144+Murrayburn!G144+'Nether Currie'!G144+Newcraighall!G144+'Niddrie Mill'!G144+Oxgangs!G144+'Parsons Green'!G144+Pentland!G144+Pirniehall!G144+'Preston Street'!G144+Prestonfield!G144+Queensferry!G144+Ratho!G144+Roseburn!G144+'Royal Mile'!G144+Sciennes!G144+Sighthill!G144+'South Morningside'!G144+'St Catherines RC'!G144+'St Cuthberts RC'!G144+'St Davids RC'!G144+'St Francis RC'!G144+'St John Vianney'!G144+'St Johns RC'!G144+'St Josephs RC'!G144+'St Margarets RC'!G144+'St Marks RC'!G144+'St Marys Edin'!G144+'St Marys Leith'!G144+'St Ninians RC'!G144+'St Peters RC'!G144+Stenhouse!G144+Stockbridge!G144+'The Royal High'!G144+Tollcross!G144+Towerbank!G144+Trinity!G144+Victoria!G144+Wardie!G144</f>
        <v>4487</v>
      </c>
      <c r="G105" s="231">
        <f>'Bun Sgoil Taobh na Pairce'!I14+Abbeyhill!H144+Balgreen!H144+Blackhall!H144+Bonaly!H144+Broomhouse!H144+Broughton!H144+Brunstane!H144+Bruntsfield!H144+Buckstone!H144+'Canal View'!H144+'Carrick Knowe'!H144+Castleview!H144+Clermiston!H144+Clovenstone!H144+Colinton!H144+Corstorphine!H144+Craigentinny!H144+Craiglockhart!H144+'Craigour Park'!H144+Craigroyston!H144+Cramond!H144+Currie!H144+Dalmeny!H144+Dalry!H144+'Davidsons Mains'!H144+'Dean Park'!H144+Duddingston!H144+'East Craigs'!H144+Echline!H144+Ferryhill!H144+'Flora Stevenson'!H144+Forthview!H144+'Fox Covert ND'!H144+'Fox Covert RC'!H144+Gilmerton!H144+Gracemount!H144+Granton!H144+Gylemuir!H144+'Hermitage Park'!H144+Hillwood!H144+'Holy Cross RC'!H144+'James Gillespies'!H144+'Juniper Green'!H144+Kirkliston!H144+Leith!H144+'Leith Walk'!H144+Liberton!H144+Longstone!H144+Lorne!H144+Murrayburn!H144+'Nether Currie'!H144+Newcraighall!H144+'Niddrie Mill'!H144+Oxgangs!H144+'Parsons Green'!H144+Pentland!H144+Pirniehall!H144+'Preston Street'!H144+Prestonfield!H144+Queensferry!H144+Ratho!H144+Roseburn!H144+'Royal Mile'!H144+Sciennes!H144+Sighthill!H144+'South Morningside'!H144+'St Catherines RC'!H144+'St Cuthberts RC'!H144+'St Davids RC'!H144+'St Francis RC'!H144+'St John Vianney'!H144+'St Johns RC'!H144+'St Josephs RC'!H144+'St Margarets RC'!H144+'St Marks RC'!H144+'St Marys Edin'!H144+'St Marys Leith'!H144+'St Ninians RC'!H144+'St Peters RC'!H144+Stenhouse!H144+Stockbridge!H144+'The Royal High'!H144+Tollcross!H144+Towerbank!H144+Trinity!H144+Victoria!H144+Wardie!H144</f>
        <v>4504</v>
      </c>
      <c r="H105" s="231">
        <f>'Bun Sgoil Taobh na Pairce'!I15+Abbeyhill!I144+Balgreen!I144+Blackhall!I144+Bonaly!I144+Broomhouse!I144+Broughton!I144+Brunstane!I144+Bruntsfield!I144+Buckstone!I144+'Canal View'!I144+'Carrick Knowe'!I144+Castleview!I144+Clermiston!I144+Clovenstone!I144+Colinton!I144+Corstorphine!I144+Craigentinny!I144+Craiglockhart!I144+'Craigour Park'!I144+Craigroyston!I144+Cramond!I144+Currie!I144+Dalmeny!I144+Dalry!I144+'Davidsons Mains'!I144+'Dean Park'!I144+Duddingston!I144+'East Craigs'!I144+Echline!I144+Ferryhill!I144+'Flora Stevenson'!I144+Forthview!I144+'Fox Covert ND'!I144+'Fox Covert RC'!I144+Gilmerton!I144+Gracemount!I144+Granton!I144+Gylemuir!I144+'Hermitage Park'!I144+Hillwood!I144+'Holy Cross RC'!I144+'James Gillespies'!I144+'Juniper Green'!I144+Kirkliston!I144+Leith!I144+'Leith Walk'!I144+Liberton!I144+Longstone!I144+Lorne!I144+Murrayburn!I144+'Nether Currie'!I144+Newcraighall!I144+'Niddrie Mill'!I144+Oxgangs!I144+'Parsons Green'!I144+Pentland!I144+Pirniehall!I144+'Preston Street'!I144+Prestonfield!I144+Queensferry!I144+Ratho!I144+Roseburn!I144+'Royal Mile'!I144+Sciennes!I144+Sighthill!I144+'South Morningside'!I144+'St Catherines RC'!I144+'St Cuthberts RC'!I144+'St Davids RC'!I144+'St Francis RC'!I144+'St John Vianney'!I144+'St Johns RC'!I144+'St Josephs RC'!I144+'St Margarets RC'!I144+'St Marks RC'!I144+'St Marys Edin'!I144+'St Marys Leith'!I144+'St Ninians RC'!I144+'St Peters RC'!I144+Stenhouse!I144+Stockbridge!I144+'The Royal High'!I144+Tollcross!I144+Towerbank!I144+Trinity!I144+Victoria!I144+Wardie!I144</f>
        <v>4611</v>
      </c>
      <c r="I105" s="232">
        <f t="shared" si="7"/>
        <v>31464.793329452237</v>
      </c>
      <c r="L105" s="283"/>
      <c r="M105" s="142"/>
      <c r="T105" s="142">
        <f t="shared" si="8"/>
        <v>-4650.7933294522381</v>
      </c>
      <c r="U105" s="146"/>
    </row>
    <row r="106" spans="1:21">
      <c r="A106" s="228">
        <v>2023</v>
      </c>
      <c r="B106" s="231">
        <f>'Bun Sgoil Taobh na Pairce'!J9+Abbeyhill!C145+Balgreen!C145+Blackhall!C145+Bonaly!C145+Broomhouse!C145+Broughton!C145+Brunstane!C145+Bruntsfield!C145+Buckstone!C145+'Canal View'!C145+'Carrick Knowe'!C145+Castleview!C145+Clermiston!C145+Clovenstone!C145+Colinton!C145+Corstorphine!C145+Craigentinny!C145+Craiglockhart!C145+'Craigour Park'!C145+Craigroyston!C145+Cramond!C145+Currie!C145+Dalmeny!C145+Dalry!C145+'Davidsons Mains'!C145+'Dean Park'!C145+Duddingston!C145+'East Craigs'!C145+Echline!C145+Ferryhill!C145+'Flora Stevenson'!C145+Forthview!C145+'Fox Covert ND'!C145+'Fox Covert RC'!C145+Gilmerton!C145+Gracemount!C145+Granton!C145+Gylemuir!C145+'Hermitage Park'!C145+Hillwood!C145+'Holy Cross RC'!C145+'James Gillespies'!C145+'Juniper Green'!C145+Kirkliston!C145+Leith!C145+'Leith Walk'!C145+Liberton!C145+Longstone!C145+Lorne!C145+Murrayburn!C145+'Nether Currie'!C145+Newcraighall!C145+'Niddrie Mill'!C145+Oxgangs!C145+'Parsons Green'!C145+Pentland!C145+Pirniehall!C145+'Preston Street'!C145+Prestonfield!C145+Queensferry!C145+Ratho!C145+Roseburn!C145+'Royal Mile'!C145+Sciennes!C145+Sighthill!C145+'South Morningside'!C145+'St Catherines RC'!C145+'St Cuthberts RC'!C145+'St Davids RC'!C145+'St Francis RC'!C145+'St John Vianney'!C145+'St Johns RC'!C145+'St Josephs RC'!C145+'St Margarets RC'!C145+'St Marks RC'!C145+'St Marys Edin'!C145+'St Marys Leith'!C145+'St Ninians RC'!C145+'St Peters RC'!C145+Stenhouse!C145+Stockbridge!C145+'The Royal High'!C145+Tollcross!C145+Towerbank!C145+Trinity!C145+Victoria!C145+Wardie!C145</f>
        <v>4745.3059916323991</v>
      </c>
      <c r="C106" s="231">
        <f>'Bun Sgoil Taobh na Pairce'!J10+Abbeyhill!D145+Balgreen!D145+Blackhall!D145+Bonaly!D145+Broomhouse!D145+Broughton!D145+Brunstane!D145+Bruntsfield!D145+Buckstone!D145+'Canal View'!D145+'Carrick Knowe'!D145+Castleview!D145+Clermiston!D145+Clovenstone!D145+Colinton!D145+Corstorphine!D145+Craigentinny!D145+Craiglockhart!D145+'Craigour Park'!D145+Craigroyston!D145+Cramond!D145+Currie!D145+Dalmeny!D145+Dalry!D145+'Davidsons Mains'!D145+'Dean Park'!D145+Duddingston!D145+'East Craigs'!D145+Echline!D145+Ferryhill!D145+'Flora Stevenson'!D145+Forthview!D145+'Fox Covert ND'!D145+'Fox Covert RC'!D145+Gilmerton!D145+Gracemount!D145+Granton!D145+Gylemuir!D145+'Hermitage Park'!D145+Hillwood!D145+'Holy Cross RC'!D145+'James Gillespies'!D145+'Juniper Green'!D145+Kirkliston!D145+Leith!D145+'Leith Walk'!D145+Liberton!D145+Longstone!D145+Lorne!D145+Murrayburn!D145+'Nether Currie'!D145+Newcraighall!D145+'Niddrie Mill'!D145+Oxgangs!D145+'Parsons Green'!D145+Pentland!D145+Pirniehall!D145+'Preston Street'!D145+Prestonfield!D145+Queensferry!D145+Ratho!D145+Roseburn!D145+'Royal Mile'!D145+Sciennes!D145+Sighthill!D145+'South Morningside'!D145+'St Catherines RC'!D145+'St Cuthberts RC'!D145+'St Davids RC'!D145+'St Francis RC'!D145+'St John Vianney'!D145+'St Johns RC'!D145+'St Josephs RC'!D145+'St Margarets RC'!D145+'St Marks RC'!D145+'St Marys Edin'!D145+'St Marys Leith'!D145+'St Ninians RC'!D145+'St Peters RC'!D145+Stenhouse!D145+Stockbridge!D145+'The Royal High'!D145+Tollcross!D145+Towerbank!D145+Trinity!D145+Victoria!D145+Wardie!D145</f>
        <v>4639</v>
      </c>
      <c r="D106" s="231">
        <f>'Bun Sgoil Taobh na Pairce'!J11+Abbeyhill!E145+Balgreen!E145+Blackhall!E145+Bonaly!E145+Broomhouse!E145+Broughton!E145+Brunstane!E145+Bruntsfield!E145+Buckstone!E145+'Canal View'!E145+'Carrick Knowe'!E145+Castleview!E145+Clermiston!E145+Clovenstone!E145+Colinton!E145+Corstorphine!E145+Craigentinny!E145+Craiglockhart!E145+'Craigour Park'!E145+Craigroyston!E145+Cramond!E145+Currie!E145+Dalmeny!E145+Dalry!E145+'Davidsons Mains'!E145+'Dean Park'!E145+Duddingston!E145+'East Craigs'!E145+Echline!E145+Ferryhill!E145+'Flora Stevenson'!E145+Forthview!E145+'Fox Covert ND'!E145+'Fox Covert RC'!E145+Gilmerton!E145+Gracemount!E145+Granton!E145+Gylemuir!E145+'Hermitage Park'!E145+Hillwood!E145+'Holy Cross RC'!E145+'James Gillespies'!E145+'Juniper Green'!E145+Kirkliston!E145+Leith!E145+'Leith Walk'!E145+Liberton!E145+Longstone!E145+Lorne!E145+Murrayburn!E145+'Nether Currie'!E145+Newcraighall!E145+'Niddrie Mill'!E145+Oxgangs!E145+'Parsons Green'!E145+Pentland!E145+Pirniehall!E145+'Preston Street'!E145+Prestonfield!E145+Queensferry!E145+Ratho!E145+Roseburn!E145+'Royal Mile'!E145+Sciennes!E145+Sighthill!E145+'South Morningside'!E145+'St Catherines RC'!E145+'St Cuthberts RC'!E145+'St Davids RC'!E145+'St Francis RC'!E145+'St John Vianney'!E145+'St Johns RC'!E145+'St Josephs RC'!E145+'St Margarets RC'!E145+'St Marks RC'!E145+'St Marys Edin'!E145+'St Marys Leith'!E145+'St Ninians RC'!E145+'St Peters RC'!E145+Stenhouse!E145+Stockbridge!E145+'The Royal High'!E145+Tollcross!E145+Towerbank!E145+Trinity!E145+Victoria!E145+Wardie!E145</f>
        <v>4509</v>
      </c>
      <c r="E106" s="231">
        <f>'Bun Sgoil Taobh na Pairce'!K11+Abbeyhill!F145+Balgreen!F145+Blackhall!F145+Bonaly!F145+Broomhouse!F145+Broughton!F145+Brunstane!F145+Bruntsfield!F145+Buckstone!F145+'Canal View'!F145+'Carrick Knowe'!F145+Castleview!F145+Clermiston!F145+Clovenstone!F145+Colinton!F145+Corstorphine!F145+Craigentinny!F145+Craiglockhart!F145+'Craigour Park'!F145+Craigroyston!F145+Cramond!F145+Currie!F145+Dalmeny!F145+Dalry!F145+'Davidsons Mains'!F145+'Dean Park'!F145+Duddingston!F145+'East Craigs'!F145+Echline!F145+Ferryhill!F145+'Flora Stevenson'!F145+Forthview!F145+'Fox Covert ND'!F145+'Fox Covert RC'!F145+Gilmerton!F145+Gracemount!F145+Granton!F145+Gylemuir!F145+'Hermitage Park'!F145+Hillwood!F145+'Holy Cross RC'!F145+'James Gillespies'!F145+'Juniper Green'!F145+Kirkliston!F145+Leith!F145+'Leith Walk'!F145+Liberton!F145+Longstone!F145+Lorne!F145+Murrayburn!F145+'Nether Currie'!F145+Newcraighall!F145+'Niddrie Mill'!F145+Oxgangs!F145+'Parsons Green'!F145+Pentland!F145+Pirniehall!F145+'Preston Street'!F145+Prestonfield!F145+Queensferry!F145+Ratho!F145+Roseburn!F145+'Royal Mile'!F145+Sciennes!F145+Sighthill!F145+'South Morningside'!F145+'St Catherines RC'!F145+'St Cuthberts RC'!F145+'St Davids RC'!F145+'St Francis RC'!F145+'St John Vianney'!F145+'St Johns RC'!F145+'St Josephs RC'!F145+'St Margarets RC'!F145+'St Marks RC'!F145+'St Marys Edin'!F145+'St Marys Leith'!F145+'St Ninians RC'!F145+'St Peters RC'!F145+Stenhouse!F145+Stockbridge!F145+'The Royal High'!F145+Tollcross!F145+Towerbank!F145+Trinity!F145+Victoria!F145+Wardie!F145</f>
        <v>4353</v>
      </c>
      <c r="F106" s="231">
        <f>'Bun Sgoil Taobh na Pairce'!J13+Abbeyhill!G145+Balgreen!G145+Blackhall!G145+Bonaly!G145+Broomhouse!G145+Broughton!G145+Brunstane!G145+Bruntsfield!G145+Buckstone!G145+'Canal View'!G145+'Carrick Knowe'!G145+Castleview!G145+Clermiston!G145+Clovenstone!G145+Colinton!G145+Corstorphine!G145+Craigentinny!G145+Craiglockhart!G145+'Craigour Park'!G145+Craigroyston!G145+Cramond!G145+Currie!G145+Dalmeny!G145+Dalry!G145+'Davidsons Mains'!G145+'Dean Park'!G145+Duddingston!G145+'East Craigs'!G145+Echline!G145+Ferryhill!G145+'Flora Stevenson'!G145+Forthview!G145+'Fox Covert ND'!G145+'Fox Covert RC'!G145+Gilmerton!G145+Gracemount!G145+Granton!G145+Gylemuir!G145+'Hermitage Park'!G145+Hillwood!G145+'Holy Cross RC'!G145+'James Gillespies'!G145+'Juniper Green'!G145+Kirkliston!G145+Leith!G145+'Leith Walk'!G145+Liberton!G145+Longstone!G145+Lorne!G145+Murrayburn!G145+'Nether Currie'!G145+Newcraighall!G145+'Niddrie Mill'!G145+Oxgangs!G145+'Parsons Green'!G145+Pentland!G145+Pirniehall!G145+'Preston Street'!G145+Prestonfield!G145+Queensferry!G145+Ratho!G145+Roseburn!G145+'Royal Mile'!G145+Sciennes!G145+Sighthill!G145+'South Morningside'!G145+'St Catherines RC'!G145+'St Cuthberts RC'!G145+'St Davids RC'!G145+'St Francis RC'!G145+'St John Vianney'!G145+'St Johns RC'!G145+'St Josephs RC'!G145+'St Margarets RC'!G145+'St Marks RC'!G145+'St Marys Edin'!G145+'St Marys Leith'!G145+'St Ninians RC'!G145+'St Peters RC'!G145+Stenhouse!G145+Stockbridge!G145+'The Royal High'!G145+Tollcross!G145+Towerbank!G145+Trinity!G145+Victoria!G145+Wardie!G145</f>
        <v>4417</v>
      </c>
      <c r="G106" s="231">
        <f>'Bun Sgoil Taobh na Pairce'!J14+Abbeyhill!H145+Balgreen!H145+Blackhall!H145+Bonaly!H145+Broomhouse!H145+Broughton!H145+Brunstane!H145+Bruntsfield!H145+Buckstone!H145+'Canal View'!H145+'Carrick Knowe'!H145+Castleview!H145+Clermiston!H145+Clovenstone!H145+Colinton!H145+Corstorphine!H145+Craigentinny!H145+Craiglockhart!H145+'Craigour Park'!H145+Craigroyston!H145+Cramond!H145+Currie!H145+Dalmeny!H145+Dalry!H145+'Davidsons Mains'!H145+'Dean Park'!H145+Duddingston!H145+'East Craigs'!H145+Echline!H145+Ferryhill!H145+'Flora Stevenson'!H145+Forthview!H145+'Fox Covert ND'!H145+'Fox Covert RC'!H145+Gilmerton!H145+Gracemount!H145+Granton!H145+Gylemuir!H145+'Hermitage Park'!H145+Hillwood!H145+'Holy Cross RC'!H145+'James Gillespies'!H145+'Juniper Green'!H145+Kirkliston!H145+Leith!H145+'Leith Walk'!H145+Liberton!H145+Longstone!H145+Lorne!H145+Murrayburn!H145+'Nether Currie'!H145+Newcraighall!H145+'Niddrie Mill'!H145+Oxgangs!H145+'Parsons Green'!H145+Pentland!H145+Pirniehall!H145+'Preston Street'!H145+Prestonfield!H145+Queensferry!H145+Ratho!H145+Roseburn!H145+'Royal Mile'!H145+Sciennes!H145+Sighthill!H145+'South Morningside'!H145+'St Catherines RC'!H145+'St Cuthberts RC'!H145+'St Davids RC'!H145+'St Francis RC'!H145+'St John Vianney'!H145+'St Johns RC'!H145+'St Josephs RC'!H145+'St Margarets RC'!H145+'St Marks RC'!H145+'St Marys Edin'!H145+'St Marys Leith'!H145+'St Ninians RC'!H145+'St Peters RC'!H145+Stenhouse!H145+Stockbridge!H145+'The Royal High'!H145+Tollcross!H145+Towerbank!H145+Trinity!H145+Victoria!H145+Wardie!H145</f>
        <v>4503</v>
      </c>
      <c r="H106" s="231">
        <f>'Bun Sgoil Taobh na Pairce'!J15+Abbeyhill!I145+Balgreen!I145+Blackhall!I145+Bonaly!I145+Broomhouse!I145+Broughton!I145+Brunstane!I145+Bruntsfield!I145+Buckstone!I145+'Canal View'!I145+'Carrick Knowe'!I145+Castleview!I145+Clermiston!I145+Clovenstone!I145+Colinton!I145+Corstorphine!I145+Craigentinny!I145+Craiglockhart!I145+'Craigour Park'!I145+Craigroyston!I145+Cramond!I145+Currie!I145+Dalmeny!I145+Dalry!I145+'Davidsons Mains'!I145+'Dean Park'!I145+Duddingston!I145+'East Craigs'!I145+Echline!I145+Ferryhill!I145+'Flora Stevenson'!I145+Forthview!I145+'Fox Covert ND'!I145+'Fox Covert RC'!I145+Gilmerton!I145+Gracemount!I145+Granton!I145+Gylemuir!I145+'Hermitage Park'!I145+Hillwood!I145+'Holy Cross RC'!I145+'James Gillespies'!I145+'Juniper Green'!I145+Kirkliston!I145+Leith!I145+'Leith Walk'!I145+Liberton!I145+Longstone!I145+Lorne!I145+Murrayburn!I145+'Nether Currie'!I145+Newcraighall!I145+'Niddrie Mill'!I145+Oxgangs!I145+'Parsons Green'!I145+Pentland!I145+Pirniehall!I145+'Preston Street'!I145+Prestonfield!I145+Queensferry!I145+Ratho!I145+Roseburn!I145+'Royal Mile'!I145+Sciennes!I145+Sighthill!I145+'South Morningside'!I145+'St Catherines RC'!I145+'St Cuthberts RC'!I145+'St Davids RC'!I145+'St Francis RC'!I145+'St John Vianney'!I145+'St Johns RC'!I145+'St Josephs RC'!I145+'St Margarets RC'!I145+'St Marks RC'!I145+'St Marys Edin'!I145+'St Marys Leith'!I145+'St Ninians RC'!I145+'St Peters RC'!I145+Stenhouse!I145+Stockbridge!I145+'The Royal High'!I145+Tollcross!I145+Towerbank!I145+Trinity!I145+Victoria!I145+Wardie!I145</f>
        <v>4503</v>
      </c>
      <c r="I106" s="232">
        <f t="shared" si="7"/>
        <v>31669.305991632398</v>
      </c>
      <c r="L106" s="283"/>
      <c r="M106" s="142"/>
      <c r="T106" s="142">
        <f t="shared" si="8"/>
        <v>-4745.3059916323991</v>
      </c>
      <c r="U106" s="146"/>
    </row>
    <row r="107" spans="1:21">
      <c r="A107" s="228">
        <v>2024</v>
      </c>
      <c r="B107" s="231">
        <f>'Bun Sgoil Taobh na Pairce'!K9+Abbeyhill!C146+Balgreen!C146+Blackhall!C146+Bonaly!C146+Broomhouse!C146+Broughton!C146+Brunstane!C146+Bruntsfield!C146+Buckstone!C146+'Canal View'!C146+'Carrick Knowe'!C146+Castleview!C146+Clermiston!C146+Clovenstone!C146+Colinton!C146+Corstorphine!C146+Craigentinny!C146+Craiglockhart!C146+'Craigour Park'!C146+Craigroyston!C146+Cramond!C146+Currie!C146+Dalmeny!C146+Dalry!C146+'Davidsons Mains'!C146+'Dean Park'!C146+Duddingston!C146+'East Craigs'!C146+Echline!C146+Ferryhill!C146+'Flora Stevenson'!C146+Forthview!C146+'Fox Covert ND'!C146+'Fox Covert RC'!C146+Gilmerton!C146+Gracemount!C146+Granton!C146+Gylemuir!C146+'Hermitage Park'!C146+Hillwood!C146+'Holy Cross RC'!C146+'James Gillespies'!C146+'Juniper Green'!C146+Kirkliston!C146+Leith!C146+'Leith Walk'!C146+Liberton!C146+Longstone!C146+Lorne!C146+Murrayburn!C146+'Nether Currie'!C146+Newcraighall!C146+'Niddrie Mill'!C146+Oxgangs!C146+'Parsons Green'!C146+Pentland!C146+Pirniehall!C146+'Preston Street'!C146+Prestonfield!C146+Queensferry!C146+Ratho!C146+Roseburn!C146+'Royal Mile'!C146+Sciennes!C146+Sighthill!C146+'South Morningside'!C146+'St Catherines RC'!C146+'St Cuthberts RC'!C146+'St Davids RC'!C146+'St Francis RC'!C146+'St John Vianney'!C146+'St Johns RC'!C146+'St Josephs RC'!C146+'St Margarets RC'!C146+'St Marks RC'!C146+'St Marys Edin'!C146+'St Marys Leith'!C146+'St Ninians RC'!C146+'St Peters RC'!C146+Stenhouse!C146+Stockbridge!C146+'The Royal High'!C146+Tollcross!C146+Towerbank!C146+Trinity!C146+Victoria!C146+Wardie!C146</f>
        <v>4830.0168816712385</v>
      </c>
      <c r="C107" s="231">
        <f>'Bun Sgoil Taobh na Pairce'!K10+Abbeyhill!D146+Balgreen!D146+Blackhall!D146+Bonaly!D146+Broomhouse!D146+Broughton!D146+Brunstane!D146+Bruntsfield!D146+Buckstone!D146+'Canal View'!D146+'Carrick Knowe'!D146+Castleview!D146+Clermiston!D146+Clovenstone!D146+Colinton!D146+Corstorphine!D146+Craigentinny!D146+Craiglockhart!D146+'Craigour Park'!D146+Craigroyston!D146+Cramond!D146+Currie!D146+Dalmeny!D146+Dalry!D146+'Davidsons Mains'!D146+'Dean Park'!D146+Duddingston!D146+'East Craigs'!D146+Echline!D146+Ferryhill!D146+'Flora Stevenson'!D146+Forthview!D146+'Fox Covert ND'!D146+'Fox Covert RC'!D146+Gilmerton!D146+Gracemount!D146+Granton!D146+Gylemuir!D146+'Hermitage Park'!D146+Hillwood!D146+'Holy Cross RC'!D146+'James Gillespies'!D146+'Juniper Green'!D146+Kirkliston!D146+Leith!D146+'Leith Walk'!D146+Liberton!D146+Longstone!D146+Lorne!D146+Murrayburn!D146+'Nether Currie'!D146+Newcraighall!D146+'Niddrie Mill'!D146+Oxgangs!D146+'Parsons Green'!D146+Pentland!D146+Pirniehall!D146+'Preston Street'!D146+Prestonfield!D146+Queensferry!D146+Ratho!D146+Roseburn!D146+'Royal Mile'!D146+Sciennes!D146+Sighthill!D146+'South Morningside'!D146+'St Catherines RC'!D146+'St Cuthberts RC'!D146+'St Davids RC'!D146+'St Francis RC'!D146+'St John Vianney'!D146+'St Johns RC'!D146+'St Josephs RC'!D146+'St Margarets RC'!D146+'St Marks RC'!D146+'St Marys Edin'!D146+'St Marys Leith'!D146+'St Ninians RC'!D146+'St Peters RC'!D146+Stenhouse!D146+Stockbridge!D146+'The Royal High'!D146+Tollcross!D146+Towerbank!D146+Trinity!D146+Victoria!D146+Wardie!D146</f>
        <v>4735</v>
      </c>
      <c r="D107" s="231">
        <f>'Bun Sgoil Taobh na Pairce'!K11+Abbeyhill!E146+Balgreen!E146+Blackhall!E146+Bonaly!E146+Broomhouse!E146+Broughton!E146+Brunstane!E146+Bruntsfield!E146+Buckstone!E146+'Canal View'!E146+'Carrick Knowe'!E146+Castleview!E146+Clermiston!E146+Clovenstone!E146+Colinton!E146+Corstorphine!E146+Craigentinny!E146+Craiglockhart!E146+'Craigour Park'!E146+Craigroyston!E146+Cramond!E146+Currie!E146+Dalmeny!E146+Dalry!E146+'Davidsons Mains'!E146+'Dean Park'!E146+Duddingston!E146+'East Craigs'!E146+Echline!E146+Ferryhill!E146+'Flora Stevenson'!E146+Forthview!E146+'Fox Covert ND'!E146+'Fox Covert RC'!E146+Gilmerton!E146+Gracemount!E146+Granton!E146+Gylemuir!E146+'Hermitage Park'!E146+Hillwood!E146+'Holy Cross RC'!E146+'James Gillespies'!E146+'Juniper Green'!E146+Kirkliston!E146+Leith!E146+'Leith Walk'!E146+Liberton!E146+Longstone!E146+Lorne!E146+Murrayburn!E146+'Nether Currie'!E146+Newcraighall!E146+'Niddrie Mill'!E146+Oxgangs!E146+'Parsons Green'!E146+Pentland!E146+Pirniehall!E146+'Preston Street'!E146+Prestonfield!E146+Queensferry!E146+Ratho!E146+Roseburn!E146+'Royal Mile'!E146+Sciennes!E146+Sighthill!E146+'South Morningside'!E146+'St Catherines RC'!E146+'St Cuthberts RC'!E146+'St Davids RC'!E146+'St Francis RC'!E146+'St John Vianney'!E146+'St Johns RC'!E146+'St Josephs RC'!E146+'St Margarets RC'!E146+'St Marks RC'!E146+'St Marys Edin'!E146+'St Marys Leith'!E146+'St Ninians RC'!E146+'St Peters RC'!E146+Stenhouse!E146+Stockbridge!E146+'The Royal High'!E146+Tollcross!E146+Towerbank!E146+Trinity!E146+Victoria!E146+Wardie!E146</f>
        <v>4638</v>
      </c>
      <c r="E107" s="231">
        <f>'Bun Sgoil Taobh na Pairce'!L11+Abbeyhill!F146+Balgreen!F146+Blackhall!F146+Bonaly!F146+Broomhouse!F146+Broughton!F146+Brunstane!F146+Bruntsfield!F146+Buckstone!F146+'Canal View'!F146+'Carrick Knowe'!F146+Castleview!F146+Clermiston!F146+Clovenstone!F146+Colinton!F146+Corstorphine!F146+Craigentinny!F146+Craiglockhart!F146+'Craigour Park'!F146+Craigroyston!F146+Cramond!F146+Currie!F146+Dalmeny!F146+Dalry!F146+'Davidsons Mains'!F146+'Dean Park'!F146+Duddingston!F146+'East Craigs'!F146+Echline!F146+Ferryhill!F146+'Flora Stevenson'!F146+Forthview!F146+'Fox Covert ND'!F146+'Fox Covert RC'!F146+Gilmerton!F146+Gracemount!F146+Granton!F146+Gylemuir!F146+'Hermitage Park'!F146+Hillwood!F146+'Holy Cross RC'!F146+'James Gillespies'!F146+'Juniper Green'!F146+Kirkliston!F146+Leith!F146+'Leith Walk'!F146+Liberton!F146+Longstone!F146+Lorne!F146+Murrayburn!F146+'Nether Currie'!F146+Newcraighall!F146+'Niddrie Mill'!F146+Oxgangs!F146+'Parsons Green'!F146+Pentland!F146+Pirniehall!F146+'Preston Street'!F146+Prestonfield!F146+Queensferry!F146+Ratho!F146+Roseburn!F146+'Royal Mile'!F146+Sciennes!F146+Sighthill!F146+'South Morningside'!F146+'St Catherines RC'!F146+'St Cuthberts RC'!F146+'St Davids RC'!F146+'St Francis RC'!F146+'St John Vianney'!F146+'St Johns RC'!F146+'St Josephs RC'!F146+'St Margarets RC'!F146+'St Marks RC'!F146+'St Marys Edin'!F146+'St Marys Leith'!F146+'St Ninians RC'!F146+'St Peters RC'!F146+Stenhouse!F146+Stockbridge!F146+'The Royal High'!F146+Tollcross!F146+Towerbank!F146+Trinity!F146+Victoria!F146+Wardie!F146</f>
        <v>4546</v>
      </c>
      <c r="F107" s="231">
        <f>'Bun Sgoil Taobh na Pairce'!K13+Abbeyhill!G146+Balgreen!G146+Blackhall!G146+Bonaly!G146+Broomhouse!G146+Broughton!G146+Brunstane!G146+Bruntsfield!G146+Buckstone!G146+'Canal View'!G146+'Carrick Knowe'!G146+Castleview!G146+Clermiston!G146+Clovenstone!G146+Colinton!G146+Corstorphine!G146+Craigentinny!G146+Craiglockhart!G146+'Craigour Park'!G146+Craigroyston!G146+Cramond!G146+Currie!G146+Dalmeny!G146+Dalry!G146+'Davidsons Mains'!G146+'Dean Park'!G146+Duddingston!G146+'East Craigs'!G146+Echline!G146+Ferryhill!G146+'Flora Stevenson'!G146+Forthview!G146+'Fox Covert ND'!G146+'Fox Covert RC'!G146+Gilmerton!G146+Gracemount!G146+Granton!G146+Gylemuir!G146+'Hermitage Park'!G146+Hillwood!G146+'Holy Cross RC'!G146+'James Gillespies'!G146+'Juniper Green'!G146+Kirkliston!G146+Leith!G146+'Leith Walk'!G146+Liberton!G146+Longstone!G146+Lorne!G146+Murrayburn!G146+'Nether Currie'!G146+Newcraighall!G146+'Niddrie Mill'!G146+Oxgangs!G146+'Parsons Green'!G146+Pentland!G146+Pirniehall!G146+'Preston Street'!G146+Prestonfield!G146+Queensferry!G146+Ratho!G146+Roseburn!G146+'Royal Mile'!G146+Sciennes!G146+Sighthill!G146+'South Morningside'!G146+'St Catherines RC'!G146+'St Cuthberts RC'!G146+'St Davids RC'!G146+'St Francis RC'!G146+'St John Vianney'!G146+'St Johns RC'!G146+'St Josephs RC'!G146+'St Margarets RC'!G146+'St Marks RC'!G146+'St Marys Edin'!G146+'St Marys Leith'!G146+'St Ninians RC'!G146+'St Peters RC'!G146+Stenhouse!G146+Stockbridge!G146+'The Royal High'!G146+Tollcross!G146+Towerbank!G146+Trinity!G146+Victoria!G146+Wardie!G146</f>
        <v>4385</v>
      </c>
      <c r="G107" s="231">
        <f>'Bun Sgoil Taobh na Pairce'!K14+Abbeyhill!H146+Balgreen!H146+Blackhall!H146+Bonaly!H146+Broomhouse!H146+Broughton!H146+Brunstane!H146+Bruntsfield!H146+Buckstone!H146+'Canal View'!H146+'Carrick Knowe'!H146+Castleview!H146+Clermiston!H146+Clovenstone!H146+Colinton!H146+Corstorphine!H146+Craigentinny!H146+Craiglockhart!H146+'Craigour Park'!H146+Craigroyston!H146+Cramond!H146+Currie!H146+Dalmeny!H146+Dalry!H146+'Davidsons Mains'!H146+'Dean Park'!H146+Duddingston!H146+'East Craigs'!H146+Echline!H146+Ferryhill!H146+'Flora Stevenson'!H146+Forthview!H146+'Fox Covert ND'!H146+'Fox Covert RC'!H146+Gilmerton!H146+Gracemount!H146+Granton!H146+Gylemuir!H146+'Hermitage Park'!H146+Hillwood!H146+'Holy Cross RC'!H146+'James Gillespies'!H146+'Juniper Green'!H146+Kirkliston!H146+Leith!H146+'Leith Walk'!H146+Liberton!H146+Longstone!H146+Lorne!H146+Murrayburn!H146+'Nether Currie'!H146+Newcraighall!H146+'Niddrie Mill'!H146+Oxgangs!H146+'Parsons Green'!H146+Pentland!H146+Pirniehall!H146+'Preston Street'!H146+Prestonfield!H146+Queensferry!H146+Ratho!H146+Roseburn!H146+'Royal Mile'!H146+Sciennes!H146+Sighthill!H146+'South Morningside'!H146+'St Catherines RC'!H146+'St Cuthberts RC'!H146+'St Davids RC'!H146+'St Francis RC'!H146+'St John Vianney'!H146+'St Johns RC'!H146+'St Josephs RC'!H146+'St Margarets RC'!H146+'St Marks RC'!H146+'St Marys Edin'!H146+'St Marys Leith'!H146+'St Ninians RC'!H146+'St Peters RC'!H146+Stenhouse!H146+Stockbridge!H146+'The Royal High'!H146+Tollcross!H146+Towerbank!H146+Trinity!H146+Victoria!H146+Wardie!H146</f>
        <v>4425</v>
      </c>
      <c r="H107" s="231">
        <f>'Bun Sgoil Taobh na Pairce'!K15+Abbeyhill!I146+Balgreen!I146+Blackhall!I146+Bonaly!I146+Broomhouse!I146+Broughton!I146+Brunstane!I146+Bruntsfield!I146+Buckstone!I146+'Canal View'!I146+'Carrick Knowe'!I146+Castleview!I146+Clermiston!I146+Clovenstone!I146+Colinton!I146+Corstorphine!I146+Craigentinny!I146+Craiglockhart!I146+'Craigour Park'!I146+Craigroyston!I146+Cramond!I146+Currie!I146+Dalmeny!I146+Dalry!I146+'Davidsons Mains'!I146+'Dean Park'!I146+Duddingston!I146+'East Craigs'!I146+Echline!I146+Ferryhill!I146+'Flora Stevenson'!I146+Forthview!I146+'Fox Covert ND'!I146+'Fox Covert RC'!I146+Gilmerton!I146+Gracemount!I146+Granton!I146+Gylemuir!I146+'Hermitage Park'!I146+Hillwood!I146+'Holy Cross RC'!I146+'James Gillespies'!I146+'Juniper Green'!I146+Kirkliston!I146+Leith!I146+'Leith Walk'!I146+Liberton!I146+Longstone!I146+Lorne!I146+Murrayburn!I146+'Nether Currie'!I146+Newcraighall!I146+'Niddrie Mill'!I146+Oxgangs!I146+'Parsons Green'!I146+Pentland!I146+Pirniehall!I146+'Preston Street'!I146+Prestonfield!I146+Queensferry!I146+Ratho!I146+Roseburn!I146+'Royal Mile'!I146+Sciennes!I146+Sighthill!I146+'South Morningside'!I146+'St Catherines RC'!I146+'St Cuthberts RC'!I146+'St Davids RC'!I146+'St Francis RC'!I146+'St John Vianney'!I146+'St Johns RC'!I146+'St Josephs RC'!I146+'St Margarets RC'!I146+'St Marks RC'!I146+'St Marys Edin'!I146+'St Marys Leith'!I146+'St Ninians RC'!I146+'St Peters RC'!I146+Stenhouse!I146+Stockbridge!I146+'The Royal High'!I146+Tollcross!I146+Towerbank!I146+Trinity!I146+Victoria!I146+Wardie!I146</f>
        <v>4494</v>
      </c>
      <c r="I107" s="232">
        <f t="shared" si="7"/>
        <v>32053.016881671239</v>
      </c>
      <c r="L107" s="283"/>
      <c r="M107" s="142"/>
      <c r="T107" s="142">
        <f t="shared" si="8"/>
        <v>-4830.0168816712385</v>
      </c>
      <c r="U107" s="146"/>
    </row>
    <row r="108" spans="1:21">
      <c r="A108" s="228">
        <v>2025</v>
      </c>
      <c r="B108" s="231">
        <f>'Bun Sgoil Taobh na Pairce'!L9+Abbeyhill!C147+Balgreen!C147+Blackhall!C147+Bonaly!C147+Broomhouse!C147+Broughton!C147+Brunstane!C147+Bruntsfield!C147+Buckstone!C147+'Canal View'!C147+'Carrick Knowe'!C147+Castleview!C147+Clermiston!C147+Clovenstone!C147+Colinton!C147+Corstorphine!C147+Craigentinny!C147+Craiglockhart!C147+'Craigour Park'!C147+Craigroyston!C147+Cramond!C147+Currie!C147+Dalmeny!C147+Dalry!C147+'Davidsons Mains'!C147+'Dean Park'!C147+Duddingston!C147+'East Craigs'!C147+Echline!C147+Ferryhill!C147+'Flora Stevenson'!C147+Forthview!C147+'Fox Covert ND'!C147+'Fox Covert RC'!C147+Gilmerton!C147+Gracemount!C147+Granton!C147+Gylemuir!C147+'Hermitage Park'!C147+Hillwood!C147+'Holy Cross RC'!C147+'James Gillespies'!C147+'Juniper Green'!C147+Kirkliston!C147+Leith!C147+'Leith Walk'!C147+Liberton!C147+Longstone!C147+Lorne!C147+Murrayburn!C147+'Nether Currie'!C147+Newcraighall!C147+'Niddrie Mill'!C147+Oxgangs!C147+'Parsons Green'!C147+Pentland!C147+Pirniehall!C147+'Preston Street'!C147+Prestonfield!C147+Queensferry!C147+Ratho!C147+Roseburn!C147+'Royal Mile'!C147+Sciennes!C147+Sighthill!C147+'South Morningside'!C147+'St Catherines RC'!C147+'St Cuthberts RC'!C147+'St Davids RC'!C147+'St Francis RC'!C147+'St John Vianney'!C147+'St Johns RC'!C147+'St Josephs RC'!C147+'St Margarets RC'!C147+'St Marks RC'!C147+'St Marys Edin'!C147+'St Marys Leith'!C147+'St Ninians RC'!C147+'St Peters RC'!C147+Stenhouse!C147+Stockbridge!C147+'The Royal High'!C147+Tollcross!C147+Towerbank!C147+Trinity!C147+Victoria!C147+Wardie!C147</f>
        <v>4889.6308762772469</v>
      </c>
      <c r="C108" s="231">
        <f>'Bun Sgoil Taobh na Pairce'!L10+Abbeyhill!D147+Balgreen!D147+Blackhall!D147+Bonaly!D147+Broomhouse!D147+Broughton!D147+Brunstane!D147+Bruntsfield!D147+Buckstone!D147+'Canal View'!D147+'Carrick Knowe'!D147+Castleview!D147+Clermiston!D147+Clovenstone!D147+Colinton!D147+Corstorphine!D147+Craigentinny!D147+Craiglockhart!D147+'Craigour Park'!D147+Craigroyston!D147+Cramond!D147+Currie!D147+Dalmeny!D147+Dalry!D147+'Davidsons Mains'!D147+'Dean Park'!D147+Duddingston!D147+'East Craigs'!D147+Echline!D147+Ferryhill!D147+'Flora Stevenson'!D147+Forthview!D147+'Fox Covert ND'!D147+'Fox Covert RC'!D147+Gilmerton!D147+Gracemount!D147+Granton!D147+Gylemuir!D147+'Hermitage Park'!D147+Hillwood!D147+'Holy Cross RC'!D147+'James Gillespies'!D147+'Juniper Green'!D147+Kirkliston!D147+Leith!D147+'Leith Walk'!D147+Liberton!D147+Longstone!D147+Lorne!D147+Murrayburn!D147+'Nether Currie'!D147+Newcraighall!D147+'Niddrie Mill'!D147+Oxgangs!D147+'Parsons Green'!D147+Pentland!D147+Pirniehall!D147+'Preston Street'!D147+Prestonfield!D147+Queensferry!D147+Ratho!D147+Roseburn!D147+'Royal Mile'!D147+Sciennes!D147+Sighthill!D147+'South Morningside'!D147+'St Catherines RC'!D147+'St Cuthberts RC'!D147+'St Davids RC'!D147+'St Francis RC'!D147+'St John Vianney'!D147+'St Johns RC'!D147+'St Josephs RC'!D147+'St Margarets RC'!D147+'St Marks RC'!D147+'St Marys Edin'!D147+'St Marys Leith'!D147+'St Ninians RC'!D147+'St Peters RC'!D147+Stenhouse!D147+Stockbridge!D147+'The Royal High'!D147+Tollcross!D147+Towerbank!D147+Trinity!D147+Victoria!D147+Wardie!D147</f>
        <v>4819</v>
      </c>
      <c r="D108" s="231">
        <f>'Bun Sgoil Taobh na Pairce'!L11+Abbeyhill!E147+Balgreen!E147+Blackhall!E147+Bonaly!E147+Broomhouse!E147+Broughton!E147+Brunstane!E147+Bruntsfield!E147+Buckstone!E147+'Canal View'!E147+'Carrick Knowe'!E147+Castleview!E147+Clermiston!E147+Clovenstone!E147+Colinton!E147+Corstorphine!E147+Craigentinny!E147+Craiglockhart!E147+'Craigour Park'!E147+Craigroyston!E147+Cramond!E147+Currie!E147+Dalmeny!E147+Dalry!E147+'Davidsons Mains'!E147+'Dean Park'!E147+Duddingston!E147+'East Craigs'!E147+Echline!E147+Ferryhill!E147+'Flora Stevenson'!E147+Forthview!E147+'Fox Covert ND'!E147+'Fox Covert RC'!E147+Gilmerton!E147+Gracemount!E147+Granton!E147+Gylemuir!E147+'Hermitage Park'!E147+Hillwood!E147+'Holy Cross RC'!E147+'James Gillespies'!E147+'Juniper Green'!E147+Kirkliston!E147+Leith!E147+'Leith Walk'!E147+Liberton!E147+Longstone!E147+Lorne!E147+Murrayburn!E147+'Nether Currie'!E147+Newcraighall!E147+'Niddrie Mill'!E147+Oxgangs!E147+'Parsons Green'!E147+Pentland!E147+Pirniehall!E147+'Preston Street'!E147+Prestonfield!E147+Queensferry!E147+Ratho!E147+Roseburn!E147+'Royal Mile'!E147+Sciennes!E147+Sighthill!E147+'South Morningside'!E147+'St Catherines RC'!E147+'St Cuthberts RC'!E147+'St Davids RC'!E147+'St Francis RC'!E147+'St John Vianney'!E147+'St Johns RC'!E147+'St Josephs RC'!E147+'St Margarets RC'!E147+'St Marks RC'!E147+'St Marys Edin'!E147+'St Marys Leith'!E147+'St Ninians RC'!E147+'St Peters RC'!E147+Stenhouse!E147+Stockbridge!E147+'The Royal High'!E147+Tollcross!E147+Towerbank!E147+Trinity!E147+Victoria!E147+Wardie!E147</f>
        <v>4729</v>
      </c>
      <c r="E108" s="231">
        <f>'Bun Sgoil Taobh na Pairce'!M11+Abbeyhill!F147+Balgreen!F147+Blackhall!F147+Bonaly!F147+Broomhouse!F147+Broughton!F147+Brunstane!F147+Bruntsfield!F147+Buckstone!F147+'Canal View'!F147+'Carrick Knowe'!F147+Castleview!F147+Clermiston!F147+Clovenstone!F147+Colinton!F147+Corstorphine!F147+Craigentinny!F147+Craiglockhart!F147+'Craigour Park'!F147+Craigroyston!F147+Cramond!F147+Currie!F147+Dalmeny!F147+Dalry!F147+'Davidsons Mains'!F147+'Dean Park'!F147+Duddingston!F147+'East Craigs'!F147+Echline!F147+Ferryhill!F147+'Flora Stevenson'!F147+Forthview!F147+'Fox Covert ND'!F147+'Fox Covert RC'!F147+Gilmerton!F147+Gracemount!F147+Granton!F147+Gylemuir!F147+'Hermitage Park'!F147+Hillwood!F147+'Holy Cross RC'!F147+'James Gillespies'!F147+'Juniper Green'!F147+Kirkliston!F147+Leith!F147+'Leith Walk'!F147+Liberton!F147+Longstone!F147+Lorne!F147+Murrayburn!F147+'Nether Currie'!F147+Newcraighall!F147+'Niddrie Mill'!F147+Oxgangs!F147+'Parsons Green'!F147+Pentland!F147+Pirniehall!F147+'Preston Street'!F147+Prestonfield!F147+Queensferry!F147+Ratho!F147+Roseburn!F147+'Royal Mile'!F147+Sciennes!F147+Sighthill!F147+'South Morningside'!F147+'St Catherines RC'!F147+'St Cuthberts RC'!F147+'St Davids RC'!F147+'St Francis RC'!F147+'St John Vianney'!F147+'St Johns RC'!F147+'St Josephs RC'!F147+'St Margarets RC'!F147+'St Marks RC'!F147+'St Marys Edin'!F147+'St Marys Leith'!F147+'St Ninians RC'!F147+'St Peters RC'!F147+Stenhouse!F147+Stockbridge!F147+'The Royal High'!F147+Tollcross!F147+Towerbank!F147+Trinity!F147+Victoria!F147+Wardie!F147</f>
        <v>4667</v>
      </c>
      <c r="F108" s="231">
        <f>'Bun Sgoil Taobh na Pairce'!L13+Abbeyhill!G147+Balgreen!G147+Blackhall!G147+Bonaly!G147+Broomhouse!G147+Broughton!G147+Brunstane!G147+Bruntsfield!G147+Buckstone!G147+'Canal View'!G147+'Carrick Knowe'!G147+Castleview!G147+Clermiston!G147+Clovenstone!G147+Colinton!G147+Corstorphine!G147+Craigentinny!G147+Craiglockhart!G147+'Craigour Park'!G147+Craigroyston!G147+Cramond!G147+Currie!G147+Dalmeny!G147+Dalry!G147+'Davidsons Mains'!G147+'Dean Park'!G147+Duddingston!G147+'East Craigs'!G147+Echline!G147+Ferryhill!G147+'Flora Stevenson'!G147+Forthview!G147+'Fox Covert ND'!G147+'Fox Covert RC'!G147+Gilmerton!G147+Gracemount!G147+Granton!G147+Gylemuir!G147+'Hermitage Park'!G147+Hillwood!G147+'Holy Cross RC'!G147+'James Gillespies'!G147+'Juniper Green'!G147+Kirkliston!G147+Leith!G147+'Leith Walk'!G147+Liberton!G147+Longstone!G147+Lorne!G147+Murrayburn!G147+'Nether Currie'!G147+Newcraighall!G147+'Niddrie Mill'!G147+Oxgangs!G147+'Parsons Green'!G147+Pentland!G147+Pirniehall!G147+'Preston Street'!G147+Prestonfield!G147+Queensferry!G147+Ratho!G147+Roseburn!G147+'Royal Mile'!G147+Sciennes!G147+Sighthill!G147+'South Morningside'!G147+'St Catherines RC'!G147+'St Cuthberts RC'!G147+'St Davids RC'!G147+'St Francis RC'!G147+'St John Vianney'!G147+'St Johns RC'!G147+'St Josephs RC'!G147+'St Margarets RC'!G147+'St Marks RC'!G147+'St Marys Edin'!G147+'St Marys Leith'!G147+'St Ninians RC'!G147+'St Peters RC'!G147+Stenhouse!G147+Stockbridge!G147+'The Royal High'!G147+Tollcross!G147+Towerbank!G147+Trinity!G147+Victoria!G147+Wardie!G147</f>
        <v>4564</v>
      </c>
      <c r="G108" s="231">
        <f>'Bun Sgoil Taobh na Pairce'!L14+Abbeyhill!H147+Balgreen!H147+Blackhall!H147+Bonaly!H147+Broomhouse!H147+Broughton!H147+Brunstane!H147+Bruntsfield!H147+Buckstone!H147+'Canal View'!H147+'Carrick Knowe'!H147+Castleview!H147+Clermiston!H147+Clovenstone!H147+Colinton!H147+Corstorphine!H147+Craigentinny!H147+Craiglockhart!H147+'Craigour Park'!H147+Craigroyston!H147+Cramond!H147+Currie!H147+Dalmeny!H147+Dalry!H147+'Davidsons Mains'!H147+'Dean Park'!H147+Duddingston!H147+'East Craigs'!H147+Echline!H147+Ferryhill!H147+'Flora Stevenson'!H147+Forthview!H147+'Fox Covert ND'!H147+'Fox Covert RC'!H147+Gilmerton!H147+Gracemount!H147+Granton!H147+Gylemuir!H147+'Hermitage Park'!H147+Hillwood!H147+'Holy Cross RC'!H147+'James Gillespies'!H147+'Juniper Green'!H147+Kirkliston!H147+Leith!H147+'Leith Walk'!H147+Liberton!H147+Longstone!H147+Lorne!H147+Murrayburn!H147+'Nether Currie'!H147+Newcraighall!H147+'Niddrie Mill'!H147+Oxgangs!H147+'Parsons Green'!H147+Pentland!H147+Pirniehall!H147+'Preston Street'!H147+Prestonfield!H147+Queensferry!H147+Ratho!H147+Roseburn!H147+'Royal Mile'!H147+Sciennes!H147+Sighthill!H147+'South Morningside'!H147+'St Catherines RC'!H147+'St Cuthberts RC'!H147+'St Davids RC'!H147+'St Francis RC'!H147+'St John Vianney'!H147+'St Johns RC'!H147+'St Josephs RC'!H147+'St Margarets RC'!H147+'St Marks RC'!H147+'St Marys Edin'!H147+'St Marys Leith'!H147+'St Ninians RC'!H147+'St Peters RC'!H147+Stenhouse!H147+Stockbridge!H147+'The Royal High'!H147+Tollcross!H147+Towerbank!H147+Trinity!H147+Victoria!H147+Wardie!H147</f>
        <v>4385</v>
      </c>
      <c r="H108" s="231">
        <f>'Bun Sgoil Taobh na Pairce'!L15+Abbeyhill!I147+Balgreen!I147+Blackhall!I147+Bonaly!I147+Broomhouse!I147+Broughton!I147+Brunstane!I147+Bruntsfield!I147+Buckstone!I147+'Canal View'!I147+'Carrick Knowe'!I147+Castleview!I147+Clermiston!I147+Clovenstone!I147+Colinton!I147+Corstorphine!I147+Craigentinny!I147+Craiglockhart!I147+'Craigour Park'!I147+Craigroyston!I147+Cramond!I147+Currie!I147+Dalmeny!I147+Dalry!I147+'Davidsons Mains'!I147+'Dean Park'!I147+Duddingston!I147+'East Craigs'!I147+Echline!I147+Ferryhill!I147+'Flora Stevenson'!I147+Forthview!I147+'Fox Covert ND'!I147+'Fox Covert RC'!I147+Gilmerton!I147+Gracemount!I147+Granton!I147+Gylemuir!I147+'Hermitage Park'!I147+Hillwood!I147+'Holy Cross RC'!I147+'James Gillespies'!I147+'Juniper Green'!I147+Kirkliston!I147+Leith!I147+'Leith Walk'!I147+Liberton!I147+Longstone!I147+Lorne!I147+Murrayburn!I147+'Nether Currie'!I147+Newcraighall!I147+'Niddrie Mill'!I147+Oxgangs!I147+'Parsons Green'!I147+Pentland!I147+Pirniehall!I147+'Preston Street'!I147+Prestonfield!I147+Queensferry!I147+Ratho!I147+Roseburn!I147+'Royal Mile'!I147+Sciennes!I147+Sighthill!I147+'South Morningside'!I147+'St Catherines RC'!I147+'St Cuthberts RC'!I147+'St Davids RC'!I147+'St Francis RC'!I147+'St John Vianney'!I147+'St Johns RC'!I147+'St Josephs RC'!I147+'St Margarets RC'!I147+'St Marks RC'!I147+'St Marys Edin'!I147+'St Marys Leith'!I147+'St Ninians RC'!I147+'St Peters RC'!I147+Stenhouse!I147+Stockbridge!I147+'The Royal High'!I147+Tollcross!I147+Towerbank!I147+Trinity!I147+Victoria!I147+Wardie!I147</f>
        <v>4409</v>
      </c>
      <c r="I108" s="232">
        <f t="shared" si="7"/>
        <v>32462.630876277246</v>
      </c>
      <c r="L108" s="283"/>
      <c r="M108" s="142"/>
      <c r="T108" s="142">
        <f t="shared" si="8"/>
        <v>-4889.6308762772469</v>
      </c>
      <c r="U108" s="146"/>
    </row>
    <row r="109" spans="1:21">
      <c r="S109" s="142">
        <f t="shared" ref="S109" si="9">M109-B109</f>
        <v>0</v>
      </c>
    </row>
    <row r="111" spans="1:21">
      <c r="D111" s="142"/>
      <c r="E111" s="142"/>
      <c r="F111" s="142"/>
      <c r="G111" s="142"/>
      <c r="H111" s="142"/>
      <c r="I111" s="142"/>
      <c r="J111" s="142"/>
      <c r="K111" s="142"/>
      <c r="L111" s="142"/>
      <c r="M111" s="142"/>
      <c r="N111" s="142"/>
      <c r="O111" s="142"/>
      <c r="P111" s="142"/>
      <c r="Q111" s="142"/>
      <c r="R111" s="142"/>
    </row>
    <row r="112" spans="1:21">
      <c r="D112" s="142"/>
    </row>
    <row r="113" spans="4:4">
      <c r="D113" s="142"/>
    </row>
    <row r="114" spans="4:4">
      <c r="D114" s="142"/>
    </row>
    <row r="115" spans="4:4">
      <c r="D115" s="142"/>
    </row>
    <row r="116" spans="4:4">
      <c r="D116" s="142"/>
    </row>
  </sheetData>
  <mergeCells count="4">
    <mergeCell ref="E4:H4"/>
    <mergeCell ref="D3:D4"/>
    <mergeCell ref="E3:R3"/>
    <mergeCell ref="I4:R4"/>
  </mergeCells>
  <conditionalFormatting sqref="D6:R93">
    <cfRule type="cellIs" dxfId="3" priority="2" stopIfTrue="1" operator="greaterThan">
      <formula>$B6</formula>
    </cfRule>
  </conditionalFormatting>
  <conditionalFormatting sqref="J6:R14 K7:R93">
    <cfRule type="cellIs" dxfId="2" priority="1" stopIfTrue="1" operator="greaterThan">
      <formula>$B6</formula>
    </cfRule>
  </conditionalFormatting>
  <hyperlinks>
    <hyperlink ref="A6" location="Abbeyhill!A1" display="Abbeyhill Primary School"/>
    <hyperlink ref="A7" location="Balgreen!A1" display="Balgreen Primary School"/>
    <hyperlink ref="A8" location="Blackhall!A1" display="Blackhall Primary School"/>
    <hyperlink ref="A9" location="Bonaly!A1" display="Bonaly Primary School"/>
    <hyperlink ref="A10" location="Broomhouse!A1" display="Broomhouse Primary School"/>
    <hyperlink ref="A11" location="Broughton!A1" display="Broughton Primary School"/>
    <hyperlink ref="A12" location="Brunstane!A1" display="Brunstane Primary School"/>
    <hyperlink ref="A13" location="Bruntsfield!A1" display="Bruntsfield Primary School"/>
    <hyperlink ref="A14" location="Buckstone!A1" display="Buckstone Primary School"/>
    <hyperlink ref="A16" location="'Canal View'!A1" display="Canal View Primary School"/>
    <hyperlink ref="A17" location="'Carrick Knowe'!A1" display="Carrick Knowe Primary School"/>
    <hyperlink ref="A18" location="Castleview!A1" display="Castleview Primary School"/>
    <hyperlink ref="A19" location="Clermiston!A1" display="Clermiston Primary School"/>
    <hyperlink ref="A20" location="Clovenstone!A1" display="Clovenstone Primary School"/>
    <hyperlink ref="A21" location="Colinton!A1" display="Colinton Primary School"/>
    <hyperlink ref="A22" location="Corstorphine!A1" display="Corstorphine Primary School"/>
    <hyperlink ref="A23" location="Craigentinny!A1" display="Craigentinny Primary School"/>
    <hyperlink ref="A24" location="Craiglockhart!A1" display="Craiglockhart Primary School"/>
    <hyperlink ref="A25" location="'Craigour Park'!A1" display="Craigour Park Primary School"/>
    <hyperlink ref="A26" location="Craigroyston!A1" display="Craigroyston Primary School"/>
    <hyperlink ref="A27" location="Cramond!A1" display="Cramond Primary School"/>
    <hyperlink ref="A28" location="Currie!A1" display="Currie Primary School"/>
    <hyperlink ref="A29" location="Dalmeny!A1" display="Dalmeny Primary School"/>
    <hyperlink ref="A30" location="Dalry!A1" display="Dalry Primary School"/>
    <hyperlink ref="A31" location="'Davidsons Mains'!A1" display="Davidson's Mains Primary School"/>
    <hyperlink ref="A32" location="'Dean Park'!A1" display="Dean Park Primary School"/>
    <hyperlink ref="A33" location="Duddingston!A1" display="Duddingston Primary School"/>
    <hyperlink ref="A34" location="'East Craigs'!A1" display="East Craigs Primary School"/>
    <hyperlink ref="A35" location="Echline!A1" display="Echline Primary School"/>
    <hyperlink ref="A36" location="Ferryhill!A1" display="Ferryhill Primary School"/>
    <hyperlink ref="A37" location="'Flora Stevenson'!A1" display="Flora Stevenson Primary School"/>
    <hyperlink ref="A38" location="Forthview!A1" display="Forthview Primary School"/>
    <hyperlink ref="A39" location="'Fox Covert ND'!A1" display="Fox Covert ND Primary School"/>
    <hyperlink ref="A40" location="'Fox Covert RC'!A1" display="Fox Covert RC Primary School"/>
    <hyperlink ref="A41" location="Gilmerton!A1" display="Gilmerton Primary School"/>
    <hyperlink ref="A42" location="Gracemount!A1" display="Gracemount Primary School"/>
    <hyperlink ref="A43" location="Granton!A1" display="Granton Primary School"/>
    <hyperlink ref="A44" location="Gylemuir!A1" display="Gylemuir Primary School"/>
    <hyperlink ref="A45" location="'Hermitage Park'!A1" display="Hermitage Park Primary School"/>
    <hyperlink ref="A46" location="Hillwood!A1" display="Hillwood Primary School"/>
    <hyperlink ref="A47" location="'Holy Cross RC'!A1" display="Holy Cross RC Primary School"/>
    <hyperlink ref="A48" location="'James Gillespies'!A1" display="James Gillespie's Primary School"/>
    <hyperlink ref="A49" location="'Juniper Green'!A1" display="Juniper Green Primary School"/>
    <hyperlink ref="A50" location="Kirkliston!A1" display="Kirkliston Primary School"/>
    <hyperlink ref="A51" location="Leith!A1" display="Leith Primary School"/>
    <hyperlink ref="A52" location="'Leith Walk'!A1" display="Leith Walk Primary School"/>
    <hyperlink ref="A53" location="Liberton!A1" display="Liberton Primary School"/>
    <hyperlink ref="A54" location="Longstone!A1" display="Longstone Primary School"/>
    <hyperlink ref="A55" location="Lorne!A1" display="Lorne Primary School"/>
    <hyperlink ref="A56" location="Murrayburn!A1" display="Murrayburn Primary School"/>
    <hyperlink ref="A57" location="'Nether Currie'!A1" display="Nether Currie Primary School"/>
    <hyperlink ref="A58" location="Newcraighall!A1" display="Newcraighall Primary School"/>
    <hyperlink ref="A59" location="'Niddrie Mill'!A1" display="Niddrie Mill Primary School"/>
    <hyperlink ref="A60" location="Oxgangs!A1" display="Oxgangs Primary School"/>
    <hyperlink ref="A61" location="'Parsons Green'!A1" display="Parsons Green Primary School"/>
    <hyperlink ref="A62" location="Pentland!A1" display="Pentland Primary School"/>
    <hyperlink ref="A63" location="Pirniehall!A1" display="Pirniehall Primary School"/>
    <hyperlink ref="A64" location="'Preston Street'!A1" display="Preston Street Primary School"/>
    <hyperlink ref="A65" location="Prestonfield!A1" display="Prestonfield Primary School"/>
    <hyperlink ref="A66" location="Queensferry!A1" display="Queensferry Primary School"/>
    <hyperlink ref="A67" location="Ratho!A1" display="Ratho Primary School"/>
    <hyperlink ref="A68" location="Roseburn!A1" display="Roseburn Primary School"/>
    <hyperlink ref="A69" location="'Royal Mile'!A1" display="Royal Mile Primary School"/>
    <hyperlink ref="A70" location="Sciennes!A1" display="Sciennes Primary School"/>
    <hyperlink ref="A71" location="Sighthill!A1" display="Sighthill Primary School"/>
    <hyperlink ref="A72" location="'South Morningside'!A1" display="South Morningside Primary School"/>
    <hyperlink ref="A73" location="'St Catherines RC'!A1" display="St Catherine's RC Primary School"/>
    <hyperlink ref="A74" location="'St Cuthberts RC'!A1" display="St Cuthbert's RC Primary School"/>
    <hyperlink ref="A75" location="'St Davids RC'!A1" display="St David's RC Primary School"/>
    <hyperlink ref="A76" location="'St Francis RC'!A1" display="St Francis' RC Primary School"/>
    <hyperlink ref="A77" location="'St John Vianney'!A1" display="St John Vianney RC Primary School"/>
    <hyperlink ref="A78" location="'St Johns RC'!A1" display="St John's RC Primary School"/>
    <hyperlink ref="A79" location="'St Josephs RC'!A1" display="St Joseph's RC Primary School"/>
    <hyperlink ref="A80" location="'St Margarets RC'!A1" display="St Margaret's RC Primary School"/>
    <hyperlink ref="A81" location="'St Marks RC'!A1" display="St Mark's RC Primary School"/>
    <hyperlink ref="A82" location="'St Marys Edin'!A1" display="St Mary's RC Primary School (Edin.)"/>
    <hyperlink ref="A83" location="'St Marys Leith'!A1" display="St Mary's RC Primary School (Leith)"/>
    <hyperlink ref="A84" location="'St Ninians RC'!A1" display="St Ninian's RC Primary School"/>
    <hyperlink ref="A85" location="'St Peters RC'!A1" display="St Peter's RC Primary School"/>
    <hyperlink ref="A86" location="Stenhouse!A1" display="Stenhouse Primary School"/>
    <hyperlink ref="A87" location="Stockbridge!A1" display="Stockbridge Primary School"/>
    <hyperlink ref="A88" location="'The Royal High'!A1" display="The Royal High Primary School"/>
    <hyperlink ref="A89" location="Tollcross!A1" display="Tollcross Primary School"/>
    <hyperlink ref="A90" location="Towerbank!A1" display="Towerbank Primary School"/>
    <hyperlink ref="A91" location="Trinity!A1" display="Trinity Primary School"/>
    <hyperlink ref="A92" location="Victoria!A1" display="Victoria Primary School"/>
    <hyperlink ref="A93" location="Wardie!A1" display="Wardie Primary School"/>
    <hyperlink ref="A15" location="'Taobh na Pairce'!A1" display="Bun-sgoil Taobh na Pairce"/>
  </hyperlinks>
  <pageMargins left="0.23622047244094491" right="0.23622047244094491" top="0.74803149606299213" bottom="0.74803149606299213" header="0.31496062992125984" footer="0.31496062992125984"/>
  <pageSetup paperSize="9" scale="83" fitToHeight="2" orientation="landscape"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2:W14"/>
  <sheetViews>
    <sheetView workbookViewId="0">
      <selection activeCell="L28" sqref="L28"/>
    </sheetView>
  </sheetViews>
  <sheetFormatPr defaultRowHeight="15"/>
  <cols>
    <col min="1" max="1" width="47.7109375" style="337" bestFit="1" customWidth="1"/>
    <col min="2" max="16384" width="9.140625" style="337"/>
  </cols>
  <sheetData>
    <row r="2" spans="1:23">
      <c r="A2" s="344" t="s">
        <v>150</v>
      </c>
      <c r="B2" s="245">
        <v>2010</v>
      </c>
      <c r="C2" s="245">
        <v>2011</v>
      </c>
      <c r="D2" s="245">
        <v>2012</v>
      </c>
      <c r="E2" s="245">
        <v>2013</v>
      </c>
      <c r="F2" s="245">
        <v>2014</v>
      </c>
      <c r="G2" s="245">
        <v>2015</v>
      </c>
      <c r="H2" s="245">
        <v>2016</v>
      </c>
      <c r="I2" s="245">
        <v>2017</v>
      </c>
      <c r="J2" s="245">
        <v>2018</v>
      </c>
      <c r="K2" s="245">
        <v>2019</v>
      </c>
      <c r="L2" s="245">
        <v>2020</v>
      </c>
      <c r="M2" s="245">
        <v>2021</v>
      </c>
      <c r="N2" s="245">
        <v>2022</v>
      </c>
      <c r="O2" s="245">
        <v>2023</v>
      </c>
      <c r="P2" s="245">
        <v>2024</v>
      </c>
      <c r="Q2" s="245">
        <v>2025</v>
      </c>
      <c r="R2" s="245">
        <v>2026</v>
      </c>
      <c r="S2" s="245">
        <v>2027</v>
      </c>
      <c r="T2" s="245">
        <v>2028</v>
      </c>
      <c r="U2" s="245">
        <v>2029</v>
      </c>
      <c r="V2" s="245">
        <v>2030</v>
      </c>
    </row>
    <row r="3" spans="1:23">
      <c r="A3" s="341" t="s">
        <v>297</v>
      </c>
      <c r="B3" s="342"/>
      <c r="C3" s="342"/>
      <c r="D3" s="342"/>
      <c r="E3" s="342"/>
      <c r="F3" s="342"/>
      <c r="G3" s="342"/>
      <c r="H3" s="342">
        <v>29745</v>
      </c>
      <c r="I3" s="340">
        <v>30552.945619629503</v>
      </c>
      <c r="J3" s="340">
        <v>31097.710719776984</v>
      </c>
      <c r="K3" s="340">
        <v>31352.981004603505</v>
      </c>
      <c r="L3" s="340">
        <v>31544.585923443807</v>
      </c>
      <c r="M3" s="340">
        <v>31884.479418508276</v>
      </c>
      <c r="N3" s="340">
        <v>32234.425845445818</v>
      </c>
      <c r="O3" s="340">
        <v>32580.034783992185</v>
      </c>
      <c r="P3" s="340">
        <v>33007.978994639227</v>
      </c>
      <c r="Q3" s="340">
        <v>33441.65470380336</v>
      </c>
      <c r="R3" s="340">
        <v>33968.383595187166</v>
      </c>
      <c r="S3" s="340">
        <v>34523.952529069669</v>
      </c>
      <c r="T3" s="340">
        <v>34917.079661349366</v>
      </c>
      <c r="U3" s="340">
        <v>35303.870085395945</v>
      </c>
      <c r="V3" s="340">
        <v>35655.349291706458</v>
      </c>
    </row>
    <row r="4" spans="1:23">
      <c r="A4" s="343" t="s">
        <v>296</v>
      </c>
      <c r="B4" s="342">
        <v>24618</v>
      </c>
      <c r="C4" s="342">
        <v>25038</v>
      </c>
      <c r="D4" s="342">
        <v>25887</v>
      </c>
      <c r="E4" s="342">
        <v>26900</v>
      </c>
      <c r="F4" s="342">
        <v>28010</v>
      </c>
      <c r="G4" s="342">
        <v>28804</v>
      </c>
      <c r="H4" s="342">
        <v>29745</v>
      </c>
    </row>
    <row r="5" spans="1:23">
      <c r="A5" s="341" t="s">
        <v>295</v>
      </c>
      <c r="B5" s="340">
        <v>34448</v>
      </c>
      <c r="C5" s="340">
        <v>34448</v>
      </c>
      <c r="D5" s="340">
        <v>34448</v>
      </c>
      <c r="E5" s="340">
        <v>34448</v>
      </c>
      <c r="F5" s="340">
        <v>34448</v>
      </c>
      <c r="G5" s="340">
        <v>34448</v>
      </c>
      <c r="H5" s="340">
        <v>34448</v>
      </c>
      <c r="I5" s="340">
        <v>34448</v>
      </c>
      <c r="J5" s="340">
        <v>34448</v>
      </c>
      <c r="K5" s="340">
        <v>34448</v>
      </c>
      <c r="L5" s="340">
        <v>34448</v>
      </c>
      <c r="M5" s="340">
        <v>34448</v>
      </c>
      <c r="N5" s="340">
        <v>34448</v>
      </c>
      <c r="O5" s="340">
        <v>34448</v>
      </c>
      <c r="P5" s="340">
        <v>34448</v>
      </c>
      <c r="Q5" s="340">
        <v>34448</v>
      </c>
      <c r="R5" s="340">
        <v>34448</v>
      </c>
      <c r="S5" s="340">
        <v>34448</v>
      </c>
      <c r="T5" s="340">
        <v>34448</v>
      </c>
      <c r="U5" s="340">
        <v>34448</v>
      </c>
      <c r="V5" s="340">
        <v>34448</v>
      </c>
    </row>
    <row r="6" spans="1:23">
      <c r="A6" s="339" t="s">
        <v>298</v>
      </c>
      <c r="B6" s="338"/>
      <c r="C6" s="338"/>
      <c r="D6" s="338"/>
      <c r="E6" s="338"/>
      <c r="F6" s="346">
        <f>SUM(F7:F13)</f>
        <v>31757</v>
      </c>
      <c r="G6" s="346">
        <f t="shared" ref="G6:V6" si="0">SUM(G7:G13)</f>
        <v>32790</v>
      </c>
      <c r="H6" s="346">
        <f t="shared" si="0"/>
        <v>34309</v>
      </c>
      <c r="I6" s="346">
        <f t="shared" si="0"/>
        <v>35337</v>
      </c>
      <c r="J6" s="346">
        <f t="shared" si="0"/>
        <v>36063</v>
      </c>
      <c r="K6" s="346">
        <f t="shared" si="0"/>
        <v>36623</v>
      </c>
      <c r="L6" s="346">
        <f t="shared" si="0"/>
        <v>36554</v>
      </c>
      <c r="M6" s="346">
        <f t="shared" si="0"/>
        <v>36404</v>
      </c>
      <c r="N6" s="346">
        <f t="shared" si="0"/>
        <v>36500</v>
      </c>
      <c r="O6" s="346">
        <f t="shared" si="0"/>
        <v>36106</v>
      </c>
      <c r="P6" s="346">
        <f t="shared" si="0"/>
        <v>36055</v>
      </c>
      <c r="Q6" s="346">
        <f t="shared" si="0"/>
        <v>36124</v>
      </c>
      <c r="R6" s="346">
        <f t="shared" si="0"/>
        <v>36227</v>
      </c>
      <c r="S6" s="346">
        <f t="shared" si="0"/>
        <v>36525</v>
      </c>
      <c r="T6" s="346">
        <f t="shared" si="0"/>
        <v>36823</v>
      </c>
      <c r="U6" s="346">
        <f t="shared" si="0"/>
        <v>37136</v>
      </c>
      <c r="V6" s="346">
        <f t="shared" si="0"/>
        <v>37424</v>
      </c>
    </row>
    <row r="7" spans="1:23">
      <c r="F7" s="345">
        <v>5286</v>
      </c>
      <c r="G7" s="345">
        <v>5027</v>
      </c>
      <c r="H7" s="345">
        <v>5612</v>
      </c>
      <c r="I7" s="345">
        <v>5319</v>
      </c>
      <c r="J7" s="345">
        <v>5272</v>
      </c>
      <c r="K7" s="345">
        <v>5305</v>
      </c>
      <c r="L7" s="345">
        <v>5130</v>
      </c>
      <c r="M7" s="345">
        <v>5157</v>
      </c>
      <c r="N7" s="345">
        <v>5156</v>
      </c>
      <c r="O7" s="345">
        <v>5202</v>
      </c>
      <c r="P7" s="345">
        <v>5278</v>
      </c>
      <c r="Q7" s="345">
        <v>5340</v>
      </c>
      <c r="R7" s="345">
        <v>5394</v>
      </c>
      <c r="S7" s="345">
        <v>5430</v>
      </c>
      <c r="T7" s="345">
        <v>5457</v>
      </c>
      <c r="U7" s="345">
        <v>5471</v>
      </c>
      <c r="V7" s="345">
        <v>5490</v>
      </c>
    </row>
    <row r="8" spans="1:23">
      <c r="F8" s="345">
        <v>5156</v>
      </c>
      <c r="G8" s="345">
        <v>5282</v>
      </c>
      <c r="H8" s="345">
        <v>5018</v>
      </c>
      <c r="I8" s="345">
        <v>5603</v>
      </c>
      <c r="J8" s="345">
        <v>5309</v>
      </c>
      <c r="K8" s="345">
        <v>5257</v>
      </c>
      <c r="L8" s="345">
        <v>5287</v>
      </c>
      <c r="M8" s="345">
        <v>5115</v>
      </c>
      <c r="N8" s="345">
        <v>5141</v>
      </c>
      <c r="O8" s="345">
        <v>5140</v>
      </c>
      <c r="P8" s="345">
        <v>5186</v>
      </c>
      <c r="Q8" s="345">
        <v>5262</v>
      </c>
      <c r="R8" s="345">
        <v>5324</v>
      </c>
      <c r="S8" s="345">
        <v>5378</v>
      </c>
      <c r="T8" s="345">
        <v>5414</v>
      </c>
      <c r="U8" s="345">
        <v>5441</v>
      </c>
      <c r="V8" s="345">
        <v>5456</v>
      </c>
      <c r="W8" s="345"/>
    </row>
    <row r="9" spans="1:23">
      <c r="F9" s="345">
        <v>4648</v>
      </c>
      <c r="G9" s="345">
        <v>5143</v>
      </c>
      <c r="H9" s="345">
        <v>5262</v>
      </c>
      <c r="I9" s="345">
        <v>5002</v>
      </c>
      <c r="J9" s="345">
        <v>5572</v>
      </c>
      <c r="K9" s="345">
        <v>5289</v>
      </c>
      <c r="L9" s="345">
        <v>5236</v>
      </c>
      <c r="M9" s="345">
        <v>5263</v>
      </c>
      <c r="N9" s="345">
        <v>5095</v>
      </c>
      <c r="O9" s="345">
        <v>5121</v>
      </c>
      <c r="P9" s="345">
        <v>5120</v>
      </c>
      <c r="Q9" s="345">
        <v>5165</v>
      </c>
      <c r="R9" s="345">
        <v>5242</v>
      </c>
      <c r="S9" s="345">
        <v>5303</v>
      </c>
      <c r="T9" s="345">
        <v>5357</v>
      </c>
      <c r="U9" s="345">
        <v>5394</v>
      </c>
      <c r="V9" s="345">
        <v>5421</v>
      </c>
      <c r="W9" s="345"/>
    </row>
    <row r="10" spans="1:23">
      <c r="F10" s="345">
        <v>4452</v>
      </c>
      <c r="G10" s="345">
        <v>4636</v>
      </c>
      <c r="H10" s="345">
        <v>5117</v>
      </c>
      <c r="I10" s="345">
        <v>5229</v>
      </c>
      <c r="J10" s="345">
        <v>4978</v>
      </c>
      <c r="K10" s="345">
        <v>5531</v>
      </c>
      <c r="L10" s="345">
        <v>5256</v>
      </c>
      <c r="M10" s="345">
        <v>5203</v>
      </c>
      <c r="N10" s="345">
        <v>5229</v>
      </c>
      <c r="O10" s="345">
        <v>5063</v>
      </c>
      <c r="P10" s="345">
        <v>5089</v>
      </c>
      <c r="Q10" s="345">
        <v>5088</v>
      </c>
      <c r="R10" s="345">
        <v>5133</v>
      </c>
      <c r="S10" s="345">
        <v>5210</v>
      </c>
      <c r="T10" s="345">
        <v>5269</v>
      </c>
      <c r="U10" s="345">
        <v>5325</v>
      </c>
      <c r="V10" s="345">
        <v>5362</v>
      </c>
      <c r="W10" s="345"/>
    </row>
    <row r="11" spans="1:23">
      <c r="F11" s="345">
        <v>4217</v>
      </c>
      <c r="G11" s="345">
        <v>4459</v>
      </c>
      <c r="H11" s="345">
        <v>4634</v>
      </c>
      <c r="I11" s="345">
        <v>5109</v>
      </c>
      <c r="J11" s="345">
        <v>5216</v>
      </c>
      <c r="K11" s="345">
        <v>4967</v>
      </c>
      <c r="L11" s="345">
        <v>5514</v>
      </c>
      <c r="M11" s="345">
        <v>5242</v>
      </c>
      <c r="N11" s="345">
        <v>5187</v>
      </c>
      <c r="O11" s="345">
        <v>5211</v>
      </c>
      <c r="P11" s="345">
        <v>5047</v>
      </c>
      <c r="Q11" s="345">
        <v>5074</v>
      </c>
      <c r="R11" s="345">
        <v>5073</v>
      </c>
      <c r="S11" s="345">
        <v>5117</v>
      </c>
      <c r="T11" s="345">
        <v>5195</v>
      </c>
      <c r="U11" s="345">
        <v>5252</v>
      </c>
      <c r="V11" s="345">
        <v>5308</v>
      </c>
      <c r="W11" s="345"/>
    </row>
    <row r="12" spans="1:23">
      <c r="F12" s="345">
        <v>4017</v>
      </c>
      <c r="G12" s="345">
        <v>4208</v>
      </c>
      <c r="H12" s="345">
        <v>4443</v>
      </c>
      <c r="I12" s="345">
        <v>4616</v>
      </c>
      <c r="J12" s="345">
        <v>5083</v>
      </c>
      <c r="K12" s="345">
        <v>5185</v>
      </c>
      <c r="L12" s="345">
        <v>4940</v>
      </c>
      <c r="M12" s="345">
        <v>5478</v>
      </c>
      <c r="N12" s="345">
        <v>5211</v>
      </c>
      <c r="O12" s="345">
        <v>5154</v>
      </c>
      <c r="P12" s="345">
        <v>5178</v>
      </c>
      <c r="Q12" s="345">
        <v>5015</v>
      </c>
      <c r="R12" s="345">
        <v>5042</v>
      </c>
      <c r="S12" s="345">
        <v>5041</v>
      </c>
      <c r="T12" s="345">
        <v>5085</v>
      </c>
      <c r="U12" s="345">
        <v>5163</v>
      </c>
      <c r="V12" s="345">
        <v>5219</v>
      </c>
      <c r="W12" s="345"/>
    </row>
    <row r="13" spans="1:23">
      <c r="F13" s="345">
        <v>3981</v>
      </c>
      <c r="G13" s="345">
        <v>4035</v>
      </c>
      <c r="H13" s="345">
        <v>4223</v>
      </c>
      <c r="I13" s="345">
        <v>4459</v>
      </c>
      <c r="J13" s="345">
        <v>4633</v>
      </c>
      <c r="K13" s="345">
        <v>5089</v>
      </c>
      <c r="L13" s="345">
        <v>5191</v>
      </c>
      <c r="M13" s="345">
        <v>4946</v>
      </c>
      <c r="N13" s="345">
        <v>5481</v>
      </c>
      <c r="O13" s="345">
        <v>5215</v>
      </c>
      <c r="P13" s="345">
        <v>5157</v>
      </c>
      <c r="Q13" s="345">
        <v>5180</v>
      </c>
      <c r="R13" s="345">
        <v>5019</v>
      </c>
      <c r="S13" s="345">
        <v>5046</v>
      </c>
      <c r="T13" s="345">
        <v>5046</v>
      </c>
      <c r="U13" s="345">
        <v>5090</v>
      </c>
      <c r="V13" s="345">
        <v>5168</v>
      </c>
      <c r="W13" s="345"/>
    </row>
    <row r="14" spans="1:23">
      <c r="W14" s="345"/>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Q193"/>
  <sheetViews>
    <sheetView topLeftCell="B52" zoomScaleNormal="100" workbookViewId="0">
      <selection activeCell="H60" sqref="H60:H64"/>
    </sheetView>
  </sheetViews>
  <sheetFormatPr defaultColWidth="13.7109375" defaultRowHeight="15" customHeight="1"/>
  <cols>
    <col min="1" max="1" width="0" style="11" hidden="1" customWidth="1"/>
    <col min="2" max="16384" width="13.710937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9</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Abbeyhill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231 Pupils (9 classes)</v>
      </c>
      <c r="G12" s="16"/>
      <c r="H12" s="16"/>
    </row>
    <row r="13" spans="2:10" ht="15" customHeight="1">
      <c r="C13" s="16"/>
      <c r="D13" s="16"/>
      <c r="E13" s="16"/>
      <c r="F13" s="16"/>
      <c r="G13" s="16"/>
      <c r="H13" s="16"/>
    </row>
    <row r="14" spans="2:10" ht="15" customHeight="1">
      <c r="B14" s="15" t="str">
        <f>"Figure 1: "&amp;E3&amp;" Roll, 2002-2015"</f>
        <v>Figure 1: Abbeyhill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Abbeyhill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202"/>
      <c r="E47" s="202"/>
      <c r="F47" s="202"/>
      <c r="G47" s="202"/>
      <c r="H47" s="202"/>
      <c r="I47" s="203"/>
      <c r="J47" s="203"/>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20</v>
      </c>
      <c r="E49" s="108">
        <f>VLOOKUP($E$3,'Catchment Projections'!$A$1:$BU$90,46,FALSE)</f>
        <v>19</v>
      </c>
      <c r="F49" s="108">
        <f>VLOOKUP($E$3,'Catchment Projections'!$A$1:$BU$90,47,FALSE)</f>
        <v>21</v>
      </c>
      <c r="G49" s="108">
        <f>VLOOKUP($E$3,'Catchment Projections'!$A$1:$BU$90,48,FALSE)</f>
        <v>17</v>
      </c>
      <c r="H49" s="133">
        <f>VLOOKUP($E$3,'Catchment Projections'!$A$1:$BU$90,49,FALSE)</f>
        <v>19</v>
      </c>
      <c r="I49" s="133">
        <f>VLOOKUP($E$3,'Catchment Projections'!$A$1:$BU$90,50,FALSE)</f>
        <v>19</v>
      </c>
      <c r="J49" s="133">
        <f>VLOOKUP($E$3,'Catchment Projections'!$A$1:$BU$90,51,FALSE)</f>
        <v>20</v>
      </c>
      <c r="K49" s="133">
        <f>VLOOKUP($E$3,'Catchment Projections'!$A$1:$BU$90,52,FALSE)</f>
        <v>20</v>
      </c>
      <c r="L49" s="133">
        <f>VLOOKUP($E$3,'Catchment Projections'!$A$1:$BU$90,53,FALSE)</f>
        <v>20</v>
      </c>
      <c r="M49" s="133">
        <f>VLOOKUP($E$3,'Catchment Projections'!$A$1:$BU$90,54,FALSE)</f>
        <v>20</v>
      </c>
      <c r="N49" s="133">
        <f>VLOOKUP($E$3,'Catchment Projections'!$A$1:$BU$90,55,FALSE)</f>
        <v>20</v>
      </c>
      <c r="O49" s="133">
        <f>VLOOKUP($E$3,'Catchment Projections'!$A$1:$BU$90,56,FALSE)</f>
        <v>20</v>
      </c>
      <c r="P49" s="133">
        <f>VLOOKUP($E$3,'Catchment Projections'!$A$1:$BU$90,57,FALSE)</f>
        <v>20</v>
      </c>
      <c r="Q49" s="133">
        <f>VLOOKUP($E$3,'Catchment Projections'!$A$1:$BU$90,58,FALSE)</f>
        <v>20</v>
      </c>
    </row>
    <row r="50" spans="2:17" ht="15" customHeight="1" thickBot="1">
      <c r="B50" s="410" t="s">
        <v>141</v>
      </c>
      <c r="C50" s="411"/>
      <c r="D50" s="116">
        <f>VLOOKUP(E3,'Housing Generation'!$A$3:$DQ$90,10,FALSE)</f>
        <v>1</v>
      </c>
      <c r="E50" s="116">
        <f>VLOOKUP(E3,'Housing Generation'!$A$3:$DQ$90,18,FALSE)</f>
        <v>2</v>
      </c>
      <c r="F50" s="116">
        <f>VLOOKUP(E3,'Housing Generation'!$A$3:$DQ$90,26,FALSE)</f>
        <v>3</v>
      </c>
      <c r="G50" s="243">
        <f>VLOOKUP(E3,'Housing Generation'!$A$3:$DQ$90,34,FALSE)</f>
        <v>4</v>
      </c>
      <c r="H50" s="133">
        <f>VLOOKUP(E3,'Housing Generation'!$A$3:$DQ$90,42,FALSE)</f>
        <v>4</v>
      </c>
      <c r="I50" s="133">
        <f>VLOOKUP(E3,'Housing Generation'!$A$3:$DQ$90,50,FALSE)</f>
        <v>4</v>
      </c>
      <c r="J50" s="133">
        <f>VLOOKUP(E3,'Housing Generation'!$A$3:$CK$90,58,FALSE)</f>
        <v>4</v>
      </c>
      <c r="K50" s="133">
        <f>VLOOKUP(E3,'Housing Generation'!$A$3:$CK$90,66,FALSE)</f>
        <v>4</v>
      </c>
      <c r="L50" s="133">
        <f>VLOOKUP(E3,'Housing Generation'!$A$3:$DQ$90,74,FALSE)</f>
        <v>4</v>
      </c>
      <c r="M50" s="133">
        <f>VLOOKUP(E3,'Housing Generation'!$A$3:$DQ$90,82,FALSE)</f>
        <v>4</v>
      </c>
      <c r="N50" s="133">
        <f>VLOOKUP(E3,'Housing Generation'!$A$3:$DQ$90,90,FALSE)</f>
        <v>4</v>
      </c>
      <c r="O50" s="133">
        <f>VLOOKUP(E3,'Housing Generation'!$A$3:$DQ$90,98,FALSE)</f>
        <v>4</v>
      </c>
      <c r="P50" s="133">
        <f>VLOOKUP(E3,'Housing Generation'!$A$3:$DQ$90,106,FALSE)</f>
        <v>4</v>
      </c>
      <c r="Q50" s="133">
        <f>VLOOKUP(E3,'Housing Generation'!$A$3:$DQ$90,114,FALSE)</f>
        <v>4</v>
      </c>
    </row>
    <row r="51" spans="2:17" ht="15" customHeight="1" thickTop="1">
      <c r="B51" s="421" t="s">
        <v>130</v>
      </c>
      <c r="C51" s="422"/>
      <c r="D51" s="47">
        <f t="shared" ref="D51:I51" si="0">SUM(D49:D50)</f>
        <v>21</v>
      </c>
      <c r="E51" s="47">
        <f t="shared" si="0"/>
        <v>21</v>
      </c>
      <c r="F51" s="80">
        <f t="shared" si="0"/>
        <v>24</v>
      </c>
      <c r="G51" s="244">
        <f t="shared" si="0"/>
        <v>21</v>
      </c>
      <c r="H51" s="71">
        <f t="shared" si="0"/>
        <v>23</v>
      </c>
      <c r="I51" s="71">
        <f t="shared" si="0"/>
        <v>23</v>
      </c>
      <c r="J51" s="71">
        <f t="shared" ref="J51:L51" si="1">SUM(J49:J50)</f>
        <v>24</v>
      </c>
      <c r="K51" s="71">
        <f t="shared" si="1"/>
        <v>24</v>
      </c>
      <c r="L51" s="71">
        <f t="shared" si="1"/>
        <v>24</v>
      </c>
      <c r="M51" s="71">
        <f t="shared" ref="M51:Q51" si="2">SUM(M49:M50)</f>
        <v>24</v>
      </c>
      <c r="N51" s="71">
        <f t="shared" si="2"/>
        <v>24</v>
      </c>
      <c r="O51" s="71">
        <f t="shared" si="2"/>
        <v>24</v>
      </c>
      <c r="P51" s="71">
        <f t="shared" si="2"/>
        <v>24</v>
      </c>
      <c r="Q51" s="71">
        <f t="shared" si="2"/>
        <v>24</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24</v>
      </c>
      <c r="D60" s="130">
        <f>VLOOKUP($E$3,'Catchment Projections'!$A$1:$BZ$90,74,FALSE)</f>
        <v>21</v>
      </c>
      <c r="E60" s="303">
        <f>D60/C60</f>
        <v>0.875</v>
      </c>
      <c r="G60" s="132">
        <v>2014</v>
      </c>
      <c r="H60" s="395">
        <f>VLOOKUP($G$60,$B$177:$C$215, 2, FALSE)</f>
        <v>30</v>
      </c>
      <c r="I60" s="120">
        <f>H60-D60</f>
        <v>9</v>
      </c>
      <c r="J60" s="121">
        <f>I60/H60</f>
        <v>0.3</v>
      </c>
    </row>
    <row r="61" spans="2:17" ht="15" customHeight="1">
      <c r="B61" s="132">
        <v>2015</v>
      </c>
      <c r="C61" s="359">
        <f>VLOOKUP($E$3,'Catchment Projections'!$A$1:$BZ$90,41,FALSE)</f>
        <v>32</v>
      </c>
      <c r="D61" s="358">
        <f>VLOOKUP($E$3,'Catchment Projections'!$A$1:$BZ$90,75,FALSE)</f>
        <v>27</v>
      </c>
      <c r="E61" s="303">
        <f>D61/C61</f>
        <v>0.84375</v>
      </c>
      <c r="G61" s="132">
        <v>2015</v>
      </c>
      <c r="H61" s="395">
        <f>VLOOKUP($G$61,$B$177:$C$215, 2, FALSE)</f>
        <v>31</v>
      </c>
      <c r="I61" s="120">
        <f>H61-D61</f>
        <v>4</v>
      </c>
      <c r="J61" s="121">
        <f>I61/H61</f>
        <v>0.12903225806451613</v>
      </c>
    </row>
    <row r="62" spans="2:17" ht="15" customHeight="1">
      <c r="B62" s="131">
        <v>2016</v>
      </c>
      <c r="C62" s="359">
        <f>VLOOKUP($E$3,'Catchment Projections'!$A$1:$BZ$90,42,FALSE)</f>
        <v>19</v>
      </c>
      <c r="D62" s="358">
        <f>VLOOKUP($E$3,'Catchment Projections'!$A$1:$BZ$90,76,FALSE)</f>
        <v>15</v>
      </c>
      <c r="E62" s="57">
        <f>D62/C62</f>
        <v>0.78947368421052633</v>
      </c>
      <c r="G62" s="131">
        <v>2016</v>
      </c>
      <c r="H62" s="395">
        <f>VLOOKUP($G$62,$B$177:$C$215, 2, FALSE)</f>
        <v>24</v>
      </c>
      <c r="I62" s="120">
        <f>H62-D62</f>
        <v>9</v>
      </c>
      <c r="J62" s="121">
        <f>I62/H62</f>
        <v>0.375</v>
      </c>
    </row>
    <row r="63" spans="2:17" ht="15" customHeight="1">
      <c r="B63" s="114">
        <v>2017</v>
      </c>
      <c r="C63" s="359">
        <f>VLOOKUP($E$3,'Catchment Projections'!$A$1:$BZ$90,43,FALSE)</f>
        <v>21</v>
      </c>
      <c r="D63" s="358">
        <f>VLOOKUP($E$3,'Catchment Projections'!$A$1:$BZ$90,77,FALSE)</f>
        <v>19</v>
      </c>
      <c r="E63" s="304">
        <f>D63/C63</f>
        <v>0.90476190476190477</v>
      </c>
      <c r="G63" s="114">
        <v>2017</v>
      </c>
      <c r="H63" s="395">
        <f>VLOOKUP($G$63,$B$177:$C$215, 2, FALSE)</f>
        <v>23</v>
      </c>
      <c r="I63" s="120">
        <f>H63-D63</f>
        <v>4</v>
      </c>
      <c r="J63" s="121">
        <f>I63/H63</f>
        <v>0.17391304347826086</v>
      </c>
    </row>
    <row r="64" spans="2:17" ht="15" customHeight="1">
      <c r="B64" s="114">
        <v>2018</v>
      </c>
      <c r="C64" s="359">
        <f>VLOOKUP($E$3,'Catchment Projections'!$A$1:$BZ$90,44,FALSE)</f>
        <v>14</v>
      </c>
      <c r="D64" s="358">
        <f>VLOOKUP($E$3,'Catchment Projections'!$A$1:$BZ$90,78,FALSE)</f>
        <v>13</v>
      </c>
      <c r="E64" s="305">
        <f>D64/C64</f>
        <v>0.9285714285714286</v>
      </c>
      <c r="G64" s="114">
        <v>2018</v>
      </c>
      <c r="H64" s="395">
        <f>VLOOKUP($G$64,$B$177:$C$215, 2, FALSE)</f>
        <v>25</v>
      </c>
      <c r="I64" s="120">
        <f>H64-D64</f>
        <v>12</v>
      </c>
      <c r="J64" s="121">
        <f>I64/H64</f>
        <v>0.48</v>
      </c>
    </row>
    <row r="65" spans="2:10" ht="15" customHeight="1">
      <c r="B65" s="412" t="s">
        <v>136</v>
      </c>
      <c r="C65" s="413"/>
      <c r="D65" s="414"/>
      <c r="E65" s="137">
        <f>IF((AVERAGE(E62:E64))="#DIV/0!","n/a",(AVERAGE(E62:E64)))</f>
        <v>0.8742690058479532</v>
      </c>
      <c r="G65" s="415" t="s">
        <v>137</v>
      </c>
      <c r="H65" s="416"/>
      <c r="I65" s="138">
        <f>MEDIAN(I60:I64)</f>
        <v>9</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21</v>
      </c>
      <c r="D70" s="408"/>
      <c r="E70" s="122">
        <f>E65</f>
        <v>0.8742690058479532</v>
      </c>
      <c r="F70" s="120">
        <f t="shared" ref="F70:F75" si="3">C70*$E$65</f>
        <v>18.359649122807017</v>
      </c>
      <c r="G70" s="118">
        <f>IF(F70&lt;26,25,IF(F70&gt;135,140,IF(F70&gt;130,135,IF(F70&gt;125,130,IF(F70&gt;120,125,IF(F70&gt;115,120,IF(F70&gt;110,115,IF(F70&gt;105,110,IF(F70&gt;100,105,IF(F70&gt;99,100,IF(F70&gt;90,99,IF(F70&gt;75,90,IF(F70&gt;72,75,IF(F70&gt;66,72,IF(F70&gt;60,66,IF(F70&gt;50,60,IF(F70&gt;30,50,IF(F70&gt;25,30,0))))))))))))))))))</f>
        <v>25</v>
      </c>
      <c r="H70" s="119">
        <f t="shared" ref="H70:H75" si="4">G70-F70</f>
        <v>6.6403508771929829</v>
      </c>
      <c r="I70" s="118" t="str">
        <f>IF(I$65&lt;H70, "NO", "YES")</f>
        <v>YES</v>
      </c>
      <c r="J70" s="117">
        <f t="shared" ref="J70:J75" si="5">IF(I70="YES",G70,(MIN((SUM(F70,$I$65)),G70)))</f>
        <v>25</v>
      </c>
    </row>
    <row r="71" spans="2:10" ht="15" customHeight="1">
      <c r="B71" s="114">
        <v>2020</v>
      </c>
      <c r="C71" s="433">
        <f>E51</f>
        <v>21</v>
      </c>
      <c r="D71" s="408"/>
      <c r="E71" s="121">
        <f>E65</f>
        <v>0.8742690058479532</v>
      </c>
      <c r="F71" s="120">
        <f t="shared" si="3"/>
        <v>18.359649122807017</v>
      </c>
      <c r="G71" s="118">
        <f t="shared" ref="G71:G83" si="6">IF(F71&lt;26,25,IF(F71&gt;135,140,IF(F71&gt;130,135,IF(F71&gt;125,130,IF(F71&gt;120,125,IF(F71&gt;115,120,IF(F71&gt;110,115,IF(F71&gt;105,110,IF(F71&gt;100,105,IF(F71&gt;99,100,IF(F71&gt;90,99,IF(F71&gt;75,90,IF(F71&gt;72,75,IF(F71&gt;66,72,IF(F71&gt;60,66,IF(F71&gt;50,60,IF(F71&gt;30,50,IF(F71&gt;25,30,0))))))))))))))))))</f>
        <v>25</v>
      </c>
      <c r="H71" s="119">
        <f t="shared" si="4"/>
        <v>6.6403508771929829</v>
      </c>
      <c r="I71" s="118" t="str">
        <f t="shared" ref="I71:I83" si="7">IF(I$65&lt;H71, "NO", "YES")</f>
        <v>YES</v>
      </c>
      <c r="J71" s="117">
        <f t="shared" si="5"/>
        <v>25</v>
      </c>
    </row>
    <row r="72" spans="2:10" ht="15" customHeight="1">
      <c r="B72" s="114">
        <v>2021</v>
      </c>
      <c r="C72" s="430">
        <f>F51</f>
        <v>24</v>
      </c>
      <c r="D72" s="431"/>
      <c r="E72" s="121">
        <f>E65</f>
        <v>0.8742690058479532</v>
      </c>
      <c r="F72" s="120">
        <f t="shared" si="3"/>
        <v>20.982456140350877</v>
      </c>
      <c r="G72" s="118">
        <f t="shared" si="6"/>
        <v>25</v>
      </c>
      <c r="H72" s="119">
        <f t="shared" si="4"/>
        <v>4.0175438596491233</v>
      </c>
      <c r="I72" s="118" t="str">
        <f t="shared" si="7"/>
        <v>YES</v>
      </c>
      <c r="J72" s="117">
        <f t="shared" si="5"/>
        <v>25</v>
      </c>
    </row>
    <row r="73" spans="2:10" ht="15" customHeight="1">
      <c r="B73" s="114">
        <v>2022</v>
      </c>
      <c r="C73" s="430">
        <f>G51</f>
        <v>21</v>
      </c>
      <c r="D73" s="431"/>
      <c r="E73" s="121">
        <f>E65</f>
        <v>0.8742690058479532</v>
      </c>
      <c r="F73" s="120">
        <f t="shared" si="3"/>
        <v>18.359649122807017</v>
      </c>
      <c r="G73" s="118">
        <f t="shared" si="6"/>
        <v>25</v>
      </c>
      <c r="H73" s="119">
        <f t="shared" si="4"/>
        <v>6.6403508771929829</v>
      </c>
      <c r="I73" s="118" t="str">
        <f t="shared" si="7"/>
        <v>YES</v>
      </c>
      <c r="J73" s="117">
        <f t="shared" si="5"/>
        <v>25</v>
      </c>
    </row>
    <row r="74" spans="2:10" ht="15" customHeight="1">
      <c r="B74" s="114">
        <v>2023</v>
      </c>
      <c r="C74" s="430">
        <f>H51</f>
        <v>23</v>
      </c>
      <c r="D74" s="431"/>
      <c r="E74" s="121">
        <f>E65</f>
        <v>0.8742690058479532</v>
      </c>
      <c r="F74" s="120">
        <f t="shared" si="3"/>
        <v>20.108187134502923</v>
      </c>
      <c r="G74" s="118">
        <f t="shared" si="6"/>
        <v>25</v>
      </c>
      <c r="H74" s="119">
        <f t="shared" si="4"/>
        <v>4.8918128654970765</v>
      </c>
      <c r="I74" s="118" t="str">
        <f t="shared" si="7"/>
        <v>YES</v>
      </c>
      <c r="J74" s="117">
        <f t="shared" si="5"/>
        <v>25</v>
      </c>
    </row>
    <row r="75" spans="2:10" ht="15" customHeight="1">
      <c r="B75" s="114">
        <v>2024</v>
      </c>
      <c r="C75" s="430">
        <f>I51</f>
        <v>23</v>
      </c>
      <c r="D75" s="431"/>
      <c r="E75" s="121">
        <f>E65</f>
        <v>0.8742690058479532</v>
      </c>
      <c r="F75" s="120">
        <f t="shared" si="3"/>
        <v>20.108187134502923</v>
      </c>
      <c r="G75" s="118">
        <f t="shared" si="6"/>
        <v>25</v>
      </c>
      <c r="H75" s="119">
        <f t="shared" si="4"/>
        <v>4.8918128654970765</v>
      </c>
      <c r="I75" s="118" t="str">
        <f t="shared" si="7"/>
        <v>YES</v>
      </c>
      <c r="J75" s="117">
        <f t="shared" si="5"/>
        <v>25</v>
      </c>
    </row>
    <row r="76" spans="2:10" ht="15" customHeight="1">
      <c r="B76" s="114">
        <v>2025</v>
      </c>
      <c r="C76" s="430">
        <f>J51</f>
        <v>24</v>
      </c>
      <c r="D76" s="431"/>
      <c r="E76" s="121">
        <f>E65</f>
        <v>0.8742690058479532</v>
      </c>
      <c r="F76" s="120">
        <f t="shared" ref="F76:F83" si="8">C76*$E$65</f>
        <v>20.982456140350877</v>
      </c>
      <c r="G76" s="118">
        <f t="shared" si="6"/>
        <v>25</v>
      </c>
      <c r="H76" s="119">
        <f t="shared" ref="H76:H83" si="9">G76-F76</f>
        <v>4.0175438596491233</v>
      </c>
      <c r="I76" s="118" t="str">
        <f t="shared" si="7"/>
        <v>YES</v>
      </c>
      <c r="J76" s="117">
        <f t="shared" ref="J76:J83" si="10">IF(I76="YES",G76,(MIN((SUM(F76,$I$65)),G76)))</f>
        <v>25</v>
      </c>
    </row>
    <row r="77" spans="2:10" ht="15" customHeight="1">
      <c r="B77" s="114">
        <v>2026</v>
      </c>
      <c r="C77" s="430">
        <f>K51</f>
        <v>24</v>
      </c>
      <c r="D77" s="431"/>
      <c r="E77" s="121">
        <f>E65</f>
        <v>0.8742690058479532</v>
      </c>
      <c r="F77" s="120">
        <f t="shared" si="8"/>
        <v>20.982456140350877</v>
      </c>
      <c r="G77" s="118">
        <f t="shared" si="6"/>
        <v>25</v>
      </c>
      <c r="H77" s="119">
        <f t="shared" si="9"/>
        <v>4.0175438596491233</v>
      </c>
      <c r="I77" s="118" t="str">
        <f t="shared" si="7"/>
        <v>YES</v>
      </c>
      <c r="J77" s="117">
        <f t="shared" si="10"/>
        <v>25</v>
      </c>
    </row>
    <row r="78" spans="2:10" ht="15" customHeight="1">
      <c r="B78" s="114">
        <v>2027</v>
      </c>
      <c r="C78" s="430">
        <f>L51</f>
        <v>24</v>
      </c>
      <c r="D78" s="431"/>
      <c r="E78" s="121">
        <f>$E$65</f>
        <v>0.8742690058479532</v>
      </c>
      <c r="F78" s="120">
        <f t="shared" si="8"/>
        <v>20.982456140350877</v>
      </c>
      <c r="G78" s="118">
        <f t="shared" si="6"/>
        <v>25</v>
      </c>
      <c r="H78" s="119">
        <f t="shared" si="9"/>
        <v>4.0175438596491233</v>
      </c>
      <c r="I78" s="118" t="str">
        <f t="shared" si="7"/>
        <v>YES</v>
      </c>
      <c r="J78" s="117">
        <f t="shared" si="10"/>
        <v>25</v>
      </c>
    </row>
    <row r="79" spans="2:10" ht="15" customHeight="1">
      <c r="B79" s="114">
        <v>2028</v>
      </c>
      <c r="C79" s="430">
        <f>M51</f>
        <v>24</v>
      </c>
      <c r="D79" s="431"/>
      <c r="E79" s="121">
        <f t="shared" ref="E79:E83" si="11">$E$65</f>
        <v>0.8742690058479532</v>
      </c>
      <c r="F79" s="120">
        <f t="shared" si="8"/>
        <v>20.982456140350877</v>
      </c>
      <c r="G79" s="118">
        <f t="shared" si="6"/>
        <v>25</v>
      </c>
      <c r="H79" s="119">
        <f t="shared" si="9"/>
        <v>4.0175438596491233</v>
      </c>
      <c r="I79" s="118" t="str">
        <f t="shared" si="7"/>
        <v>YES</v>
      </c>
      <c r="J79" s="117">
        <f t="shared" si="10"/>
        <v>25</v>
      </c>
    </row>
    <row r="80" spans="2:10" ht="15" customHeight="1">
      <c r="B80" s="114">
        <v>2029</v>
      </c>
      <c r="C80" s="430">
        <f>N51</f>
        <v>24</v>
      </c>
      <c r="D80" s="431"/>
      <c r="E80" s="121">
        <f t="shared" si="11"/>
        <v>0.8742690058479532</v>
      </c>
      <c r="F80" s="120">
        <f t="shared" si="8"/>
        <v>20.982456140350877</v>
      </c>
      <c r="G80" s="118">
        <f t="shared" si="6"/>
        <v>25</v>
      </c>
      <c r="H80" s="119">
        <f t="shared" si="9"/>
        <v>4.0175438596491233</v>
      </c>
      <c r="I80" s="118" t="str">
        <f t="shared" si="7"/>
        <v>YES</v>
      </c>
      <c r="J80" s="117">
        <f t="shared" si="10"/>
        <v>25</v>
      </c>
    </row>
    <row r="81" spans="2:10" ht="15" customHeight="1">
      <c r="B81" s="114">
        <v>2030</v>
      </c>
      <c r="C81" s="430">
        <f>O51</f>
        <v>24</v>
      </c>
      <c r="D81" s="431"/>
      <c r="E81" s="121">
        <f t="shared" si="11"/>
        <v>0.8742690058479532</v>
      </c>
      <c r="F81" s="120">
        <f t="shared" si="8"/>
        <v>20.982456140350877</v>
      </c>
      <c r="G81" s="118">
        <f t="shared" si="6"/>
        <v>25</v>
      </c>
      <c r="H81" s="119">
        <f t="shared" si="9"/>
        <v>4.0175438596491233</v>
      </c>
      <c r="I81" s="118" t="str">
        <f t="shared" si="7"/>
        <v>YES</v>
      </c>
      <c r="J81" s="117">
        <f t="shared" si="10"/>
        <v>25</v>
      </c>
    </row>
    <row r="82" spans="2:10" ht="15" customHeight="1">
      <c r="B82" s="114">
        <v>2031</v>
      </c>
      <c r="C82" s="430">
        <f>P51</f>
        <v>24</v>
      </c>
      <c r="D82" s="431"/>
      <c r="E82" s="121">
        <f t="shared" si="11"/>
        <v>0.8742690058479532</v>
      </c>
      <c r="F82" s="120">
        <f t="shared" si="8"/>
        <v>20.982456140350877</v>
      </c>
      <c r="G82" s="118">
        <f t="shared" si="6"/>
        <v>25</v>
      </c>
      <c r="H82" s="119">
        <f t="shared" si="9"/>
        <v>4.0175438596491233</v>
      </c>
      <c r="I82" s="118" t="str">
        <f t="shared" si="7"/>
        <v>YES</v>
      </c>
      <c r="J82" s="117">
        <f t="shared" si="10"/>
        <v>25</v>
      </c>
    </row>
    <row r="83" spans="2:10" ht="15" customHeight="1">
      <c r="B83" s="114">
        <v>2032</v>
      </c>
      <c r="C83" s="430">
        <f>Q51</f>
        <v>24</v>
      </c>
      <c r="D83" s="431"/>
      <c r="E83" s="121">
        <f t="shared" si="11"/>
        <v>0.8742690058479532</v>
      </c>
      <c r="F83" s="120">
        <f t="shared" si="8"/>
        <v>20.982456140350877</v>
      </c>
      <c r="G83" s="118">
        <f t="shared" si="6"/>
        <v>25</v>
      </c>
      <c r="H83" s="119">
        <f t="shared" si="9"/>
        <v>4.0175438596491233</v>
      </c>
      <c r="I83" s="118" t="str">
        <f t="shared" si="7"/>
        <v>YES</v>
      </c>
      <c r="J83" s="117">
        <f t="shared" si="10"/>
        <v>25</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Abbeyhill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49</v>
      </c>
      <c r="D91" s="112">
        <f t="shared" ref="D91:J91" si="12">D188</f>
        <v>28</v>
      </c>
      <c r="E91" s="112">
        <f t="shared" si="12"/>
        <v>17</v>
      </c>
      <c r="F91" s="112">
        <f t="shared" si="12"/>
        <v>28</v>
      </c>
      <c r="G91" s="112">
        <f t="shared" si="12"/>
        <v>15</v>
      </c>
      <c r="H91" s="112">
        <f t="shared" si="12"/>
        <v>16</v>
      </c>
      <c r="I91" s="112">
        <f t="shared" si="12"/>
        <v>10</v>
      </c>
      <c r="J91" s="213">
        <f t="shared" si="12"/>
        <v>163</v>
      </c>
    </row>
    <row r="92" spans="2:10" ht="15" customHeight="1">
      <c r="B92" s="114">
        <v>2014</v>
      </c>
      <c r="C92" s="112">
        <f>C189</f>
        <v>30</v>
      </c>
      <c r="D92" s="112">
        <f t="shared" ref="D92:J92" si="13">D189</f>
        <v>44</v>
      </c>
      <c r="E92" s="112">
        <f t="shared" si="13"/>
        <v>27</v>
      </c>
      <c r="F92" s="112">
        <f t="shared" si="13"/>
        <v>17</v>
      </c>
      <c r="G92" s="112">
        <f t="shared" si="13"/>
        <v>29</v>
      </c>
      <c r="H92" s="112">
        <f t="shared" si="13"/>
        <v>16</v>
      </c>
      <c r="I92" s="112">
        <f t="shared" si="13"/>
        <v>16</v>
      </c>
      <c r="J92" s="213">
        <f t="shared" si="13"/>
        <v>179</v>
      </c>
    </row>
    <row r="93" spans="2:10" ht="15" customHeight="1">
      <c r="B93" s="114">
        <v>2015</v>
      </c>
      <c r="C93" s="112">
        <f>C190</f>
        <v>31</v>
      </c>
      <c r="D93" s="112">
        <f t="shared" ref="D93:J93" si="14">D190</f>
        <v>28</v>
      </c>
      <c r="E93" s="112">
        <f t="shared" si="14"/>
        <v>44</v>
      </c>
      <c r="F93" s="112">
        <f t="shared" si="14"/>
        <v>22</v>
      </c>
      <c r="G93" s="112">
        <f t="shared" si="14"/>
        <v>22</v>
      </c>
      <c r="H93" s="112">
        <f t="shared" si="14"/>
        <v>27</v>
      </c>
      <c r="I93" s="112">
        <f t="shared" si="14"/>
        <v>17</v>
      </c>
      <c r="J93" s="213">
        <f t="shared" si="14"/>
        <v>191</v>
      </c>
    </row>
    <row r="94" spans="2:10" ht="15" customHeight="1">
      <c r="B94" s="114">
        <v>2016</v>
      </c>
      <c r="C94" s="112">
        <f>C191</f>
        <v>24</v>
      </c>
      <c r="D94" s="112">
        <f t="shared" ref="D94:J94" si="15">D191</f>
        <v>29</v>
      </c>
      <c r="E94" s="112">
        <f t="shared" si="15"/>
        <v>28</v>
      </c>
      <c r="F94" s="112">
        <f t="shared" si="15"/>
        <v>28</v>
      </c>
      <c r="G94" s="112">
        <f t="shared" si="15"/>
        <v>20</v>
      </c>
      <c r="H94" s="112">
        <f t="shared" si="15"/>
        <v>18</v>
      </c>
      <c r="I94" s="112">
        <f t="shared" si="15"/>
        <v>26</v>
      </c>
      <c r="J94" s="213">
        <f t="shared" si="15"/>
        <v>173</v>
      </c>
    </row>
    <row r="95" spans="2:10" ht="15" customHeight="1">
      <c r="B95" s="114">
        <v>2017</v>
      </c>
      <c r="C95" s="112">
        <f>C192</f>
        <v>23</v>
      </c>
      <c r="D95" s="112">
        <f t="shared" ref="D95:J95" si="16">D192</f>
        <v>25</v>
      </c>
      <c r="E95" s="112">
        <f t="shared" si="16"/>
        <v>22</v>
      </c>
      <c r="F95" s="112">
        <f t="shared" si="16"/>
        <v>27</v>
      </c>
      <c r="G95" s="112">
        <f t="shared" si="16"/>
        <v>27</v>
      </c>
      <c r="H95" s="112">
        <f t="shared" si="16"/>
        <v>18</v>
      </c>
      <c r="I95" s="112">
        <f t="shared" si="16"/>
        <v>17</v>
      </c>
      <c r="J95" s="213">
        <f t="shared" si="16"/>
        <v>159</v>
      </c>
    </row>
    <row r="96" spans="2:10" ht="15" customHeight="1">
      <c r="B96" s="307">
        <v>2018</v>
      </c>
      <c r="C96" s="112">
        <f t="shared" ref="C96:J96" si="17">C193</f>
        <v>25</v>
      </c>
      <c r="D96" s="112">
        <f t="shared" si="17"/>
        <v>21</v>
      </c>
      <c r="E96" s="112">
        <f t="shared" si="17"/>
        <v>25</v>
      </c>
      <c r="F96" s="112">
        <f t="shared" si="17"/>
        <v>18</v>
      </c>
      <c r="G96" s="112">
        <f t="shared" si="17"/>
        <v>24</v>
      </c>
      <c r="H96" s="112">
        <f t="shared" si="17"/>
        <v>27</v>
      </c>
      <c r="I96" s="112">
        <f t="shared" si="17"/>
        <v>17</v>
      </c>
      <c r="J96" s="213">
        <f t="shared" si="17"/>
        <v>157</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6.6666666666666666E-2</v>
      </c>
      <c r="E98" s="210">
        <f t="shared" ref="E98:I98" si="18">MEDIAN(((D91-E92)/D91),((D92-E93)/D92),((D93-E94)/D93),((D94-E95)/D94),((D95-E96)/D95))</f>
        <v>0</v>
      </c>
      <c r="F98" s="210">
        <f t="shared" si="18"/>
        <v>0.18181818181818182</v>
      </c>
      <c r="G98" s="210">
        <f t="shared" si="18"/>
        <v>3.5714285714285712E-2</v>
      </c>
      <c r="H98" s="210">
        <f t="shared" si="18"/>
        <v>6.8965517241379309E-2</v>
      </c>
      <c r="I98" s="210">
        <f t="shared" si="18"/>
        <v>3.7037037037037035E-2</v>
      </c>
    </row>
    <row r="99" spans="2:10" ht="15" customHeight="1">
      <c r="B99" s="59"/>
      <c r="C99" s="60"/>
      <c r="D99" s="61"/>
      <c r="E99" s="61"/>
      <c r="F99" s="61"/>
      <c r="G99" s="61"/>
      <c r="H99" s="61"/>
      <c r="I99" s="61"/>
      <c r="J99" s="58"/>
    </row>
    <row r="100" spans="2:10" ht="15" customHeight="1">
      <c r="B100" s="15" t="str">
        <f>"Table 4B: "&amp;E3&amp;" Projected Roll by Stage (incorporating Projected P1 and Drop-Off Rates), 2019-2032"</f>
        <v>Table 4B: Abbeyhill Primary School Projected Roll by Stage (incorporating Projected P1 and Drop-Off Rates), 2019-2032</v>
      </c>
      <c r="F100" s="14"/>
      <c r="G100" s="14"/>
    </row>
    <row r="101" spans="2:10" ht="15" customHeight="1">
      <c r="F101" s="14"/>
      <c r="G101" s="14"/>
    </row>
    <row r="102" spans="2:10" ht="15" customHeight="1">
      <c r="B102" s="115"/>
      <c r="C102" s="109" t="s">
        <v>1</v>
      </c>
      <c r="D102" s="109" t="s">
        <v>2</v>
      </c>
      <c r="E102" s="109" t="s">
        <v>3</v>
      </c>
      <c r="F102" s="109" t="s">
        <v>4</v>
      </c>
      <c r="G102" s="109" t="s">
        <v>5</v>
      </c>
      <c r="H102" s="109" t="s">
        <v>6</v>
      </c>
      <c r="I102" s="109" t="s">
        <v>7</v>
      </c>
      <c r="J102" s="109" t="s">
        <v>8</v>
      </c>
    </row>
    <row r="103" spans="2:10" ht="15" customHeight="1">
      <c r="B103" s="114">
        <v>2019</v>
      </c>
      <c r="C103" s="113">
        <f t="shared" ref="C103:C108" si="19">J70</f>
        <v>25</v>
      </c>
      <c r="D103" s="324">
        <f>ROUND((C96)-(C96*$D$98),0)</f>
        <v>23</v>
      </c>
      <c r="E103" s="324">
        <f>ROUND((D96)-(D96*$E$98),0)</f>
        <v>21</v>
      </c>
      <c r="F103" s="324">
        <f>ROUND((E96)-(E96*$F$98),0)</f>
        <v>20</v>
      </c>
      <c r="G103" s="324">
        <f>ROUND((F96)-(F96*$G$98),0)</f>
        <v>17</v>
      </c>
      <c r="H103" s="324">
        <f>ROUND((G96)-(G96*$H$98),0)</f>
        <v>22</v>
      </c>
      <c r="I103" s="324">
        <f>ROUND((H96)-(H96*$I$98),0)</f>
        <v>26</v>
      </c>
      <c r="J103" s="111">
        <f t="shared" ref="J103:J108" si="20">SUM(C103:I103)</f>
        <v>154</v>
      </c>
    </row>
    <row r="104" spans="2:10" ht="15" customHeight="1">
      <c r="B104" s="114">
        <v>2020</v>
      </c>
      <c r="C104" s="113">
        <f>J71</f>
        <v>25</v>
      </c>
      <c r="D104" s="324">
        <f>ROUND((C103-E50)-(C103*$D$98),0)</f>
        <v>21</v>
      </c>
      <c r="E104" s="112">
        <f t="shared" ref="E104:E116" si="21">ROUND((D103)-(D103*$E$98),0)</f>
        <v>23</v>
      </c>
      <c r="F104" s="112">
        <f t="shared" ref="F104:F116" si="22">ROUND((E103)-(E103*$F$98),0)</f>
        <v>17</v>
      </c>
      <c r="G104" s="112">
        <f t="shared" ref="G104:G116" si="23">ROUND((F103)-(F103*$G$98),0)</f>
        <v>19</v>
      </c>
      <c r="H104" s="112">
        <f t="shared" ref="H104:H116" si="24">ROUND((G103)-(G103*$H$98),0)</f>
        <v>16</v>
      </c>
      <c r="I104" s="112">
        <f t="shared" ref="I104:I116" si="25">ROUND((H103)-(H103*$I$98),0)</f>
        <v>21</v>
      </c>
      <c r="J104" s="111">
        <f t="shared" si="20"/>
        <v>142</v>
      </c>
    </row>
    <row r="105" spans="2:10" ht="15" customHeight="1">
      <c r="B105" s="114">
        <v>2021</v>
      </c>
      <c r="C105" s="113">
        <f t="shared" si="19"/>
        <v>25</v>
      </c>
      <c r="D105" s="324">
        <f>ROUND((C104-F50)-(C104*$D$98),0)</f>
        <v>20</v>
      </c>
      <c r="E105" s="112">
        <f t="shared" si="21"/>
        <v>21</v>
      </c>
      <c r="F105" s="112">
        <f t="shared" si="22"/>
        <v>19</v>
      </c>
      <c r="G105" s="112">
        <f t="shared" si="23"/>
        <v>16</v>
      </c>
      <c r="H105" s="112">
        <f t="shared" si="24"/>
        <v>18</v>
      </c>
      <c r="I105" s="112">
        <f t="shared" si="25"/>
        <v>15</v>
      </c>
      <c r="J105" s="111">
        <f t="shared" si="20"/>
        <v>134</v>
      </c>
    </row>
    <row r="106" spans="2:10" ht="15" customHeight="1">
      <c r="B106" s="114">
        <v>2022</v>
      </c>
      <c r="C106" s="113">
        <f t="shared" si="19"/>
        <v>25</v>
      </c>
      <c r="D106" s="324">
        <f>ROUND((C105-G50)-(C105*$D$98),0)</f>
        <v>19</v>
      </c>
      <c r="E106" s="112">
        <f t="shared" si="21"/>
        <v>20</v>
      </c>
      <c r="F106" s="112">
        <f t="shared" si="22"/>
        <v>17</v>
      </c>
      <c r="G106" s="112">
        <f t="shared" si="23"/>
        <v>18</v>
      </c>
      <c r="H106" s="112">
        <f t="shared" si="24"/>
        <v>15</v>
      </c>
      <c r="I106" s="112">
        <f t="shared" si="25"/>
        <v>17</v>
      </c>
      <c r="J106" s="111">
        <f t="shared" si="20"/>
        <v>131</v>
      </c>
    </row>
    <row r="107" spans="2:10" ht="15" customHeight="1">
      <c r="B107" s="114">
        <v>2023</v>
      </c>
      <c r="C107" s="113">
        <f t="shared" si="19"/>
        <v>25</v>
      </c>
      <c r="D107" s="324">
        <f>ROUND((C106-H50)-(C106*$D$98),0)</f>
        <v>19</v>
      </c>
      <c r="E107" s="112">
        <f t="shared" si="21"/>
        <v>19</v>
      </c>
      <c r="F107" s="112">
        <f t="shared" si="22"/>
        <v>16</v>
      </c>
      <c r="G107" s="112">
        <f t="shared" si="23"/>
        <v>16</v>
      </c>
      <c r="H107" s="112">
        <f t="shared" si="24"/>
        <v>17</v>
      </c>
      <c r="I107" s="112">
        <f t="shared" si="25"/>
        <v>14</v>
      </c>
      <c r="J107" s="111">
        <f t="shared" si="20"/>
        <v>126</v>
      </c>
    </row>
    <row r="108" spans="2:10" ht="15" customHeight="1">
      <c r="B108" s="114">
        <v>2024</v>
      </c>
      <c r="C108" s="113">
        <f t="shared" si="19"/>
        <v>25</v>
      </c>
      <c r="D108" s="324">
        <f>ROUND((C107-I50)-(C107*$D$98),0)</f>
        <v>19</v>
      </c>
      <c r="E108" s="112">
        <f t="shared" si="21"/>
        <v>19</v>
      </c>
      <c r="F108" s="112">
        <f t="shared" si="22"/>
        <v>16</v>
      </c>
      <c r="G108" s="112">
        <f t="shared" si="23"/>
        <v>15</v>
      </c>
      <c r="H108" s="112">
        <f t="shared" si="24"/>
        <v>15</v>
      </c>
      <c r="I108" s="112">
        <f t="shared" si="25"/>
        <v>16</v>
      </c>
      <c r="J108" s="111">
        <f t="shared" si="20"/>
        <v>125</v>
      </c>
    </row>
    <row r="109" spans="2:10" ht="15" customHeight="1">
      <c r="B109" s="114">
        <v>2025</v>
      </c>
      <c r="C109" s="113">
        <f t="shared" ref="C109:C111" si="26">J76</f>
        <v>25</v>
      </c>
      <c r="D109" s="324">
        <f>ROUND((C108-J50)-(C108*$D$98),0)</f>
        <v>19</v>
      </c>
      <c r="E109" s="112">
        <f t="shared" si="21"/>
        <v>19</v>
      </c>
      <c r="F109" s="112">
        <f t="shared" si="22"/>
        <v>16</v>
      </c>
      <c r="G109" s="112">
        <f t="shared" si="23"/>
        <v>15</v>
      </c>
      <c r="H109" s="112">
        <f t="shared" si="24"/>
        <v>14</v>
      </c>
      <c r="I109" s="112">
        <f t="shared" si="25"/>
        <v>14</v>
      </c>
      <c r="J109" s="111">
        <f t="shared" ref="J109:J111" si="27">SUM(C109:I109)</f>
        <v>122</v>
      </c>
    </row>
    <row r="110" spans="2:10" ht="15" customHeight="1">
      <c r="B110" s="114">
        <v>2026</v>
      </c>
      <c r="C110" s="113">
        <f t="shared" si="26"/>
        <v>25</v>
      </c>
      <c r="D110" s="324">
        <f>ROUND((C109-K50)-(C109*$D$98),0)</f>
        <v>19</v>
      </c>
      <c r="E110" s="112">
        <f t="shared" si="21"/>
        <v>19</v>
      </c>
      <c r="F110" s="112">
        <f t="shared" si="22"/>
        <v>16</v>
      </c>
      <c r="G110" s="112">
        <f t="shared" si="23"/>
        <v>15</v>
      </c>
      <c r="H110" s="112">
        <f t="shared" si="24"/>
        <v>14</v>
      </c>
      <c r="I110" s="112">
        <f t="shared" si="25"/>
        <v>13</v>
      </c>
      <c r="J110" s="111">
        <f t="shared" si="27"/>
        <v>121</v>
      </c>
    </row>
    <row r="111" spans="2:10" ht="15" customHeight="1">
      <c r="B111" s="114">
        <v>2027</v>
      </c>
      <c r="C111" s="113">
        <f t="shared" si="26"/>
        <v>25</v>
      </c>
      <c r="D111" s="324">
        <f>ROUND((C110-L50)-(C110*$D$98),0)</f>
        <v>19</v>
      </c>
      <c r="E111" s="112">
        <f t="shared" si="21"/>
        <v>19</v>
      </c>
      <c r="F111" s="112">
        <f t="shared" si="22"/>
        <v>16</v>
      </c>
      <c r="G111" s="112">
        <f t="shared" si="23"/>
        <v>15</v>
      </c>
      <c r="H111" s="112">
        <f t="shared" si="24"/>
        <v>14</v>
      </c>
      <c r="I111" s="112">
        <f t="shared" si="25"/>
        <v>13</v>
      </c>
      <c r="J111" s="111">
        <f t="shared" si="27"/>
        <v>121</v>
      </c>
    </row>
    <row r="112" spans="2:10" ht="15" customHeight="1">
      <c r="B112" s="114">
        <v>2028</v>
      </c>
      <c r="C112" s="113">
        <f t="shared" ref="C112:C116" si="28">J79</f>
        <v>25</v>
      </c>
      <c r="D112" s="324">
        <f>ROUND((C111-M50)-(C111*$D$98),0)</f>
        <v>19</v>
      </c>
      <c r="E112" s="112">
        <f t="shared" si="21"/>
        <v>19</v>
      </c>
      <c r="F112" s="112">
        <f t="shared" si="22"/>
        <v>16</v>
      </c>
      <c r="G112" s="112">
        <f t="shared" si="23"/>
        <v>15</v>
      </c>
      <c r="H112" s="112">
        <f t="shared" si="24"/>
        <v>14</v>
      </c>
      <c r="I112" s="112">
        <f t="shared" si="25"/>
        <v>13</v>
      </c>
      <c r="J112" s="111">
        <f t="shared" ref="J112:J116" si="29">SUM(C112:I112)</f>
        <v>121</v>
      </c>
    </row>
    <row r="113" spans="2:10" ht="15" customHeight="1">
      <c r="B113" s="114">
        <v>2029</v>
      </c>
      <c r="C113" s="113">
        <f t="shared" si="28"/>
        <v>25</v>
      </c>
      <c r="D113" s="324">
        <f>ROUND((C112-N50)-(C112*$D$98),0)</f>
        <v>19</v>
      </c>
      <c r="E113" s="112">
        <f t="shared" si="21"/>
        <v>19</v>
      </c>
      <c r="F113" s="112">
        <f t="shared" si="22"/>
        <v>16</v>
      </c>
      <c r="G113" s="112">
        <f t="shared" si="23"/>
        <v>15</v>
      </c>
      <c r="H113" s="112">
        <f t="shared" si="24"/>
        <v>14</v>
      </c>
      <c r="I113" s="112">
        <f t="shared" si="25"/>
        <v>13</v>
      </c>
      <c r="J113" s="111">
        <f t="shared" si="29"/>
        <v>121</v>
      </c>
    </row>
    <row r="114" spans="2:10" ht="15" customHeight="1">
      <c r="B114" s="114">
        <v>2030</v>
      </c>
      <c r="C114" s="113">
        <f t="shared" si="28"/>
        <v>25</v>
      </c>
      <c r="D114" s="324">
        <f>ROUND((C113-O50)-(C113*$D$98),0)</f>
        <v>19</v>
      </c>
      <c r="E114" s="112">
        <f t="shared" si="21"/>
        <v>19</v>
      </c>
      <c r="F114" s="112">
        <f t="shared" si="22"/>
        <v>16</v>
      </c>
      <c r="G114" s="112">
        <f t="shared" si="23"/>
        <v>15</v>
      </c>
      <c r="H114" s="112">
        <f t="shared" si="24"/>
        <v>14</v>
      </c>
      <c r="I114" s="112">
        <f t="shared" si="25"/>
        <v>13</v>
      </c>
      <c r="J114" s="111">
        <f t="shared" si="29"/>
        <v>121</v>
      </c>
    </row>
    <row r="115" spans="2:10" ht="15" customHeight="1">
      <c r="B115" s="114">
        <v>2031</v>
      </c>
      <c r="C115" s="113">
        <f t="shared" si="28"/>
        <v>25</v>
      </c>
      <c r="D115" s="324">
        <f>ROUND((C114-P50)-(C114*$D$98),0)</f>
        <v>19</v>
      </c>
      <c r="E115" s="112">
        <f t="shared" si="21"/>
        <v>19</v>
      </c>
      <c r="F115" s="112">
        <f t="shared" si="22"/>
        <v>16</v>
      </c>
      <c r="G115" s="112">
        <f t="shared" si="23"/>
        <v>15</v>
      </c>
      <c r="H115" s="112">
        <f t="shared" si="24"/>
        <v>14</v>
      </c>
      <c r="I115" s="112">
        <f t="shared" si="25"/>
        <v>13</v>
      </c>
      <c r="J115" s="111">
        <f t="shared" si="29"/>
        <v>121</v>
      </c>
    </row>
    <row r="116" spans="2:10" ht="15" customHeight="1">
      <c r="B116" s="114">
        <v>2032</v>
      </c>
      <c r="C116" s="113">
        <f t="shared" si="28"/>
        <v>25</v>
      </c>
      <c r="D116" s="324">
        <f>ROUND((C115-Q50)-(C115*$D$98),0)</f>
        <v>19</v>
      </c>
      <c r="E116" s="112">
        <f t="shared" si="21"/>
        <v>19</v>
      </c>
      <c r="F116" s="112">
        <f t="shared" si="22"/>
        <v>16</v>
      </c>
      <c r="G116" s="112">
        <f t="shared" si="23"/>
        <v>15</v>
      </c>
      <c r="H116" s="112">
        <f t="shared" si="24"/>
        <v>14</v>
      </c>
      <c r="I116" s="112">
        <f t="shared" si="25"/>
        <v>13</v>
      </c>
      <c r="J116" s="111">
        <f t="shared" si="29"/>
        <v>121</v>
      </c>
    </row>
    <row r="117" spans="2:10" ht="15" customHeight="1">
      <c r="F117" s="14"/>
      <c r="G117" s="14"/>
    </row>
    <row r="118" spans="2:10" ht="15" customHeight="1">
      <c r="B118" s="15" t="str">
        <f>"Table 4C: "&amp;E3&amp;" Projected Pupil Generation from Housing Development, 2019-2032"</f>
        <v>Table 4C: Abbeyhill Primary School Projected Pupil Generation from Housing Development, 2019-2032</v>
      </c>
      <c r="F118" s="14"/>
      <c r="G118" s="14"/>
    </row>
    <row r="119" spans="2:10" ht="15" customHeight="1">
      <c r="F119" s="14"/>
      <c r="G119" s="14"/>
    </row>
    <row r="120" spans="2:10" ht="15" customHeight="1">
      <c r="B120" s="115"/>
      <c r="C120" s="109" t="s">
        <v>1</v>
      </c>
      <c r="D120" s="109" t="s">
        <v>2</v>
      </c>
      <c r="E120" s="109" t="s">
        <v>3</v>
      </c>
      <c r="F120" s="109" t="s">
        <v>4</v>
      </c>
      <c r="G120" s="109" t="s">
        <v>5</v>
      </c>
      <c r="H120" s="109" t="s">
        <v>6</v>
      </c>
      <c r="I120" s="109" t="s">
        <v>7</v>
      </c>
      <c r="J120" s="109" t="s">
        <v>8</v>
      </c>
    </row>
    <row r="121" spans="2:10" ht="15" customHeight="1">
      <c r="B121" s="114">
        <v>2019</v>
      </c>
      <c r="C121" s="116" t="s">
        <v>97</v>
      </c>
      <c r="D121" s="112">
        <f>VLOOKUP($E$3,'Housing Generation'!$A$3:$BE$90,11,FALSE)</f>
        <v>1</v>
      </c>
      <c r="E121" s="112">
        <f>VLOOKUP($E$3,'Housing Generation'!$A$3:$BE$90,12,FALSE)</f>
        <v>1</v>
      </c>
      <c r="F121" s="112">
        <f>VLOOKUP($E$3,'Housing Generation'!$A$3:$BE$90,13,FALSE)</f>
        <v>1</v>
      </c>
      <c r="G121" s="112">
        <f>VLOOKUP($E$3,'Housing Generation'!$A$3:$BE$90,14,FALSE)</f>
        <v>1</v>
      </c>
      <c r="H121" s="112">
        <f>VLOOKUP($E$3,'Housing Generation'!$A$3:$BE$90,15,FALSE)</f>
        <v>1</v>
      </c>
      <c r="I121" s="112">
        <f>VLOOKUP($E$3,'Housing Generation'!$A$3:$BE$90,16,FALSE)</f>
        <v>0</v>
      </c>
      <c r="J121" s="111">
        <f t="shared" ref="J121:J126" si="30">SUM(D121:I121)</f>
        <v>5</v>
      </c>
    </row>
    <row r="122" spans="2:10" ht="15" customHeight="1">
      <c r="B122" s="114">
        <v>2020</v>
      </c>
      <c r="C122" s="116" t="s">
        <v>97</v>
      </c>
      <c r="D122" s="112">
        <f>VLOOKUP($E$3,'Housing Generation'!$A$3:$BE$90,19,FALSE)</f>
        <v>2</v>
      </c>
      <c r="E122" s="112">
        <f>VLOOKUP($E$3,'Housing Generation'!$A$3:$BE$90,20,FALSE)</f>
        <v>2</v>
      </c>
      <c r="F122" s="112">
        <f>VLOOKUP($E$3,'Housing Generation'!$A$3:$BE$90,21,FALSE)</f>
        <v>2</v>
      </c>
      <c r="G122" s="112">
        <f>VLOOKUP($E$3,'Housing Generation'!$A$3:$BE$90,22,FALSE)</f>
        <v>2</v>
      </c>
      <c r="H122" s="112">
        <f>VLOOKUP($E$3,'Housing Generation'!$A$3:$BE$90,23,FALSE)</f>
        <v>2</v>
      </c>
      <c r="I122" s="112">
        <f>VLOOKUP($E$3,'Housing Generation'!$A$3:$BE$90,24,FALSE)</f>
        <v>1</v>
      </c>
      <c r="J122" s="111">
        <f t="shared" si="30"/>
        <v>11</v>
      </c>
    </row>
    <row r="123" spans="2:10" ht="15" customHeight="1">
      <c r="B123" s="114">
        <v>2021</v>
      </c>
      <c r="C123" s="116" t="s">
        <v>97</v>
      </c>
      <c r="D123" s="112">
        <f>VLOOKUP($E$3,'Housing Generation'!$A$3:$BE$90,27,FALSE)</f>
        <v>3</v>
      </c>
      <c r="E123" s="112">
        <f>VLOOKUP($E$3,'Housing Generation'!$A$3:$BE$90,28,FALSE)</f>
        <v>3</v>
      </c>
      <c r="F123" s="112">
        <f>VLOOKUP($E$3,'Housing Generation'!$A$3:$BE$90,29,FALSE)</f>
        <v>3</v>
      </c>
      <c r="G123" s="112">
        <f>VLOOKUP($E$3,'Housing Generation'!$A$3:$BE$90,30,FALSE)</f>
        <v>3</v>
      </c>
      <c r="H123" s="112">
        <f>VLOOKUP($E$3,'Housing Generation'!$A$3:$BE$90,31,FALSE)</f>
        <v>3</v>
      </c>
      <c r="I123" s="112">
        <f>VLOOKUP($E$3,'Housing Generation'!$A$3:$BE$90,32,FALSE)</f>
        <v>3</v>
      </c>
      <c r="J123" s="111">
        <f t="shared" si="30"/>
        <v>18</v>
      </c>
    </row>
    <row r="124" spans="2:10" ht="15" customHeight="1">
      <c r="B124" s="114">
        <v>2022</v>
      </c>
      <c r="C124" s="116" t="s">
        <v>97</v>
      </c>
      <c r="D124" s="112">
        <f>VLOOKUP($E$3,'Housing Generation'!$A$3:$BE$90,35,FALSE)</f>
        <v>3</v>
      </c>
      <c r="E124" s="112">
        <f>VLOOKUP($E$3,'Housing Generation'!$A$3:$BE$90,36,FALSE)</f>
        <v>3</v>
      </c>
      <c r="F124" s="112">
        <f>VLOOKUP($E$3,'Housing Generation'!$A$3:$BE$90,37,FALSE)</f>
        <v>3</v>
      </c>
      <c r="G124" s="112">
        <f>VLOOKUP($E$3,'Housing Generation'!$A$3:$BE$90,38,FALSE)</f>
        <v>3</v>
      </c>
      <c r="H124" s="112">
        <f>VLOOKUP($E$3,'Housing Generation'!$A$3:$BE$90,39,FALSE)</f>
        <v>3</v>
      </c>
      <c r="I124" s="112">
        <f>VLOOKUP($E$3,'Housing Generation'!$A$3:$BE$90,40,FALSE)</f>
        <v>3</v>
      </c>
      <c r="J124" s="111">
        <f t="shared" si="30"/>
        <v>18</v>
      </c>
    </row>
    <row r="125" spans="2:10" ht="15" customHeight="1">
      <c r="B125" s="114">
        <v>2023</v>
      </c>
      <c r="C125" s="116" t="s">
        <v>97</v>
      </c>
      <c r="D125" s="112">
        <f>VLOOKUP($E$3,'Housing Generation'!$A$3:$BE$90,43,FALSE)</f>
        <v>3</v>
      </c>
      <c r="E125" s="112">
        <f>VLOOKUP($E$3,'Housing Generation'!$A$3:$BE$90,44,FALSE)</f>
        <v>3</v>
      </c>
      <c r="F125" s="112">
        <f>VLOOKUP($E$3,'Housing Generation'!$A$3:$BE$90,45,FALSE)</f>
        <v>3</v>
      </c>
      <c r="G125" s="112">
        <f>VLOOKUP($E$3,'Housing Generation'!$A$3:$BE$90,46,FALSE)</f>
        <v>3</v>
      </c>
      <c r="H125" s="112">
        <f>VLOOKUP($E$3,'Housing Generation'!$A$3:$BE$90,47,FALSE)</f>
        <v>3</v>
      </c>
      <c r="I125" s="112">
        <f>VLOOKUP($E$3,'Housing Generation'!$A$3:$BE$90,48,FALSE)</f>
        <v>3</v>
      </c>
      <c r="J125" s="111">
        <f t="shared" si="30"/>
        <v>18</v>
      </c>
    </row>
    <row r="126" spans="2:10" ht="15" customHeight="1">
      <c r="B126" s="114">
        <v>2024</v>
      </c>
      <c r="C126" s="116" t="s">
        <v>97</v>
      </c>
      <c r="D126" s="112">
        <f>VLOOKUP($E$3,'Housing Generation'!$A$3:$BE$90,51,FALSE)</f>
        <v>3</v>
      </c>
      <c r="E126" s="112">
        <f>VLOOKUP($E$3,'Housing Generation'!$A$3:$BE$90,52,FALSE)</f>
        <v>3</v>
      </c>
      <c r="F126" s="112">
        <f>VLOOKUP($E$3,'Housing Generation'!$A$3:$BE$90,53,FALSE)</f>
        <v>3</v>
      </c>
      <c r="G126" s="112">
        <f>VLOOKUP($E$3,'Housing Generation'!$A$3:$BE$90,54,FALSE)</f>
        <v>3</v>
      </c>
      <c r="H126" s="112">
        <f>VLOOKUP($E$3,'Housing Generation'!$A$3:$BE$90,55,FALSE)</f>
        <v>3</v>
      </c>
      <c r="I126" s="112">
        <f>VLOOKUP($E$3,'Housing Generation'!$A$3:$BE$90,56,FALSE)</f>
        <v>3</v>
      </c>
      <c r="J126" s="111">
        <f t="shared" si="30"/>
        <v>18</v>
      </c>
    </row>
    <row r="127" spans="2:10" ht="15" customHeight="1">
      <c r="B127" s="114">
        <v>2025</v>
      </c>
      <c r="C127" s="240" t="s">
        <v>97</v>
      </c>
      <c r="D127" s="112">
        <f>VLOOKUP($E$3,'Housing Generation'!$A$3:$CK$90,59,FALSE)</f>
        <v>3</v>
      </c>
      <c r="E127" s="112">
        <f>VLOOKUP($E$3,'Housing Generation'!$A$3:$CK$90,60,FALSE)</f>
        <v>3</v>
      </c>
      <c r="F127" s="112">
        <f>VLOOKUP($E$3,'Housing Generation'!$A$3:$CK$90,61,FALSE)</f>
        <v>3</v>
      </c>
      <c r="G127" s="112">
        <f>VLOOKUP($E$3,'Housing Generation'!$A$3:$CK$90,62,FALSE)</f>
        <v>3</v>
      </c>
      <c r="H127" s="112">
        <f>VLOOKUP($E$3,'Housing Generation'!$A$3:$CK$90,63,FALSE)</f>
        <v>3</v>
      </c>
      <c r="I127" s="112">
        <f>VLOOKUP($E$3,'Housing Generation'!$A$3:$CK$90,64,FALSE)</f>
        <v>3</v>
      </c>
      <c r="J127" s="111">
        <f t="shared" ref="J127:J129" si="31">SUM(D127:I127)</f>
        <v>18</v>
      </c>
    </row>
    <row r="128" spans="2:10" ht="15" customHeight="1">
      <c r="B128" s="114">
        <v>2026</v>
      </c>
      <c r="C128" s="240" t="s">
        <v>97</v>
      </c>
      <c r="D128" s="112">
        <f>VLOOKUP($E$3,'Housing Generation'!$A$3:$CK$90,67,FALSE)</f>
        <v>3</v>
      </c>
      <c r="E128" s="112">
        <f>VLOOKUP($E$3,'Housing Generation'!$A$3:$CK$90,68,FALSE)</f>
        <v>3</v>
      </c>
      <c r="F128" s="112">
        <f>VLOOKUP($E$3,'Housing Generation'!$A$3:$CK$90,69,FALSE)</f>
        <v>3</v>
      </c>
      <c r="G128" s="112">
        <f>VLOOKUP($E$3,'Housing Generation'!$A$3:$CK$90,70,FALSE)</f>
        <v>3</v>
      </c>
      <c r="H128" s="112">
        <f>VLOOKUP($E$3,'Housing Generation'!$A$3:$CK$90,71,FALSE)</f>
        <v>3</v>
      </c>
      <c r="I128" s="112">
        <f>VLOOKUP($E$3,'Housing Generation'!$A$3:$CK$90,72,FALSE)</f>
        <v>3</v>
      </c>
      <c r="J128" s="111">
        <f t="shared" si="31"/>
        <v>18</v>
      </c>
    </row>
    <row r="129" spans="2:10" ht="15" customHeight="1">
      <c r="B129" s="114">
        <v>2027</v>
      </c>
      <c r="C129" s="240" t="s">
        <v>97</v>
      </c>
      <c r="D129" s="112">
        <f>VLOOKUP($E$3,'Housing Generation'!$A$3:$CK$90,75,FALSE)</f>
        <v>3</v>
      </c>
      <c r="E129" s="112">
        <f>VLOOKUP($E$3,'Housing Generation'!$A$3:$CK$90,76,FALSE)</f>
        <v>3</v>
      </c>
      <c r="F129" s="112">
        <f>VLOOKUP($E$3,'Housing Generation'!$A$3:$CK$90,77,FALSE)</f>
        <v>3</v>
      </c>
      <c r="G129" s="112">
        <f>VLOOKUP($E$3,'Housing Generation'!$A$3:$CK$90,78,FALSE)</f>
        <v>3</v>
      </c>
      <c r="H129" s="112">
        <f>VLOOKUP($E$3,'Housing Generation'!$A$3:$CK$90,79,FALSE)</f>
        <v>3</v>
      </c>
      <c r="I129" s="112">
        <f>VLOOKUP($E$3,'Housing Generation'!$A$3:$CK$90,80,FALSE)</f>
        <v>3</v>
      </c>
      <c r="J129" s="111">
        <f t="shared" si="31"/>
        <v>18</v>
      </c>
    </row>
    <row r="130" spans="2:10" ht="15" customHeight="1">
      <c r="B130" s="114">
        <v>2028</v>
      </c>
      <c r="C130" s="289" t="s">
        <v>97</v>
      </c>
      <c r="D130" s="112">
        <f>VLOOKUP($E$3,'Housing Generation'!$A$3:$CK$90,83,FALSE)</f>
        <v>3</v>
      </c>
      <c r="E130" s="112">
        <f>VLOOKUP($E$3,'Housing Generation'!$A$3:$CK$90,84,FALSE)</f>
        <v>3</v>
      </c>
      <c r="F130" s="112">
        <f>VLOOKUP($E$3,'Housing Generation'!$A$3:$CK$90,85,FALSE)</f>
        <v>3</v>
      </c>
      <c r="G130" s="112">
        <f>VLOOKUP($E$3,'Housing Generation'!$A$3:$CK$90,86,FALSE)</f>
        <v>3</v>
      </c>
      <c r="H130" s="112">
        <f>VLOOKUP($E$3,'Housing Generation'!$A$3:$CK$90,87,FALSE)</f>
        <v>3</v>
      </c>
      <c r="I130" s="112">
        <f>VLOOKUP($E$3,'Housing Generation'!$A$3:$CK$90,88,FALSE)</f>
        <v>3</v>
      </c>
      <c r="J130" s="111">
        <f t="shared" ref="J130:J134" si="32">SUM(D130:I130)</f>
        <v>18</v>
      </c>
    </row>
    <row r="131" spans="2:10" ht="15" customHeight="1">
      <c r="B131" s="114">
        <v>2029</v>
      </c>
      <c r="C131" s="289" t="s">
        <v>97</v>
      </c>
      <c r="D131" s="112">
        <f>VLOOKUP($E$3,'Housing Generation'!$A$3:$DQ$90,91,FALSE)</f>
        <v>3</v>
      </c>
      <c r="E131" s="112">
        <f>VLOOKUP($E$3,'Housing Generation'!$A$3:$DQ$90,92,FALSE)</f>
        <v>3</v>
      </c>
      <c r="F131" s="112">
        <f>VLOOKUP($E$3,'Housing Generation'!$A$3:$DQ$90,93,FALSE)</f>
        <v>3</v>
      </c>
      <c r="G131" s="112">
        <f>VLOOKUP($E$3,'Housing Generation'!$A$3:$DQ$90,94,FALSE)</f>
        <v>3</v>
      </c>
      <c r="H131" s="112">
        <f>VLOOKUP($E$3,'Housing Generation'!$A$3:$DQ$90,95,FALSE)</f>
        <v>3</v>
      </c>
      <c r="I131" s="112">
        <f>VLOOKUP($E$3,'Housing Generation'!$A$3:$DQ$90,96,FALSE)</f>
        <v>3</v>
      </c>
      <c r="J131" s="111">
        <f t="shared" si="32"/>
        <v>18</v>
      </c>
    </row>
    <row r="132" spans="2:10" ht="15" customHeight="1">
      <c r="B132" s="114">
        <v>2030</v>
      </c>
      <c r="C132" s="289" t="s">
        <v>97</v>
      </c>
      <c r="D132" s="112">
        <f>VLOOKUP($E$3,'Housing Generation'!$A$3:$DQ$90,99,FALSE)</f>
        <v>3</v>
      </c>
      <c r="E132" s="112">
        <f>VLOOKUP($E$3,'Housing Generation'!$A$3:$DQ$90,100,FALSE)</f>
        <v>3</v>
      </c>
      <c r="F132" s="112">
        <f>VLOOKUP($E$3,'Housing Generation'!$A$3:$DQ$90,101,FALSE)</f>
        <v>3</v>
      </c>
      <c r="G132" s="112">
        <f>VLOOKUP($E$3,'Housing Generation'!$A$3:$DQ$90,102,FALSE)</f>
        <v>3</v>
      </c>
      <c r="H132" s="112">
        <f>VLOOKUP($E$3,'Housing Generation'!$A$3:$DQ$90,103,FALSE)</f>
        <v>3</v>
      </c>
      <c r="I132" s="112">
        <f>VLOOKUP($E$3,'Housing Generation'!$A$3:$DQ$90,104,FALSE)</f>
        <v>3</v>
      </c>
      <c r="J132" s="111">
        <f t="shared" si="32"/>
        <v>18</v>
      </c>
    </row>
    <row r="133" spans="2:10" ht="15" customHeight="1">
      <c r="B133" s="114">
        <v>2031</v>
      </c>
      <c r="C133" s="289" t="s">
        <v>97</v>
      </c>
      <c r="D133" s="112">
        <f>VLOOKUP($E$3,'Housing Generation'!$A$3:$DQ$90,107,FALSE)</f>
        <v>3</v>
      </c>
      <c r="E133" s="112">
        <f>VLOOKUP($E$3,'Housing Generation'!$A$3:$DQ$90,108,FALSE)</f>
        <v>3</v>
      </c>
      <c r="F133" s="112">
        <f>VLOOKUP($E$3,'Housing Generation'!$A$3:$DQ$90,109,FALSE)</f>
        <v>3</v>
      </c>
      <c r="G133" s="112">
        <f>VLOOKUP($E$3,'Housing Generation'!$A$3:$DQ$90,110,FALSE)</f>
        <v>3</v>
      </c>
      <c r="H133" s="112">
        <f>VLOOKUP($E$3,'Housing Generation'!$A$3:$DQ$90,111,FALSE)</f>
        <v>3</v>
      </c>
      <c r="I133" s="112">
        <f>VLOOKUP($E$3,'Housing Generation'!$A$3:$DQ$90,112,FALSE)</f>
        <v>3</v>
      </c>
      <c r="J133" s="111">
        <f t="shared" si="32"/>
        <v>18</v>
      </c>
    </row>
    <row r="134" spans="2:10" ht="15" customHeight="1">
      <c r="B134" s="114">
        <v>2032</v>
      </c>
      <c r="C134" s="289" t="s">
        <v>97</v>
      </c>
      <c r="D134" s="112">
        <f>VLOOKUP($E$3,'Housing Generation'!$A$3:$DQ$90,115,FALSE)</f>
        <v>3</v>
      </c>
      <c r="E134" s="112">
        <f>VLOOKUP($E$3,'Housing Generation'!$A$3:$DQ$90,116,FALSE)</f>
        <v>3</v>
      </c>
      <c r="F134" s="112">
        <f>VLOOKUP($E$3,'Housing Generation'!$A$3:$DQ$90,117,FALSE)</f>
        <v>3</v>
      </c>
      <c r="G134" s="112">
        <f>VLOOKUP($E$3,'Housing Generation'!$A$3:$DQ$90,118,FALSE)</f>
        <v>3</v>
      </c>
      <c r="H134" s="112">
        <f>VLOOKUP($E$3,'Housing Generation'!$A$3:$DQ$90,119,FALSE)</f>
        <v>3</v>
      </c>
      <c r="I134" s="112">
        <f>VLOOKUP($E$3,'Housing Generation'!$A$3:$DQ$90,120,FALSE)</f>
        <v>3</v>
      </c>
      <c r="J134" s="111">
        <f t="shared" si="32"/>
        <v>18</v>
      </c>
    </row>
    <row r="135" spans="2:10" ht="15"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Abbeyhill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33">C103</f>
        <v>25</v>
      </c>
      <c r="D139" s="112">
        <f t="shared" ref="D139:I152" si="34">D121+D103</f>
        <v>24</v>
      </c>
      <c r="E139" s="112">
        <f t="shared" si="34"/>
        <v>22</v>
      </c>
      <c r="F139" s="112">
        <f t="shared" si="34"/>
        <v>21</v>
      </c>
      <c r="G139" s="112">
        <f t="shared" si="34"/>
        <v>18</v>
      </c>
      <c r="H139" s="112">
        <f t="shared" si="34"/>
        <v>23</v>
      </c>
      <c r="I139" s="112">
        <f t="shared" si="34"/>
        <v>26</v>
      </c>
      <c r="J139" s="111">
        <f t="shared" ref="J139:J144" si="35">SUM(C139:I139)</f>
        <v>159</v>
      </c>
    </row>
    <row r="140" spans="2:10" ht="15" customHeight="1">
      <c r="B140" s="114">
        <v>2020</v>
      </c>
      <c r="C140" s="113">
        <f t="shared" si="33"/>
        <v>25</v>
      </c>
      <c r="D140" s="112">
        <f t="shared" si="34"/>
        <v>23</v>
      </c>
      <c r="E140" s="112">
        <f t="shared" si="34"/>
        <v>25</v>
      </c>
      <c r="F140" s="112">
        <f t="shared" si="34"/>
        <v>19</v>
      </c>
      <c r="G140" s="112">
        <f t="shared" si="34"/>
        <v>21</v>
      </c>
      <c r="H140" s="112">
        <f t="shared" si="34"/>
        <v>18</v>
      </c>
      <c r="I140" s="112">
        <f t="shared" si="34"/>
        <v>22</v>
      </c>
      <c r="J140" s="111">
        <f t="shared" si="35"/>
        <v>153</v>
      </c>
    </row>
    <row r="141" spans="2:10" ht="15" customHeight="1">
      <c r="B141" s="114">
        <v>2021</v>
      </c>
      <c r="C141" s="113">
        <f t="shared" si="33"/>
        <v>25</v>
      </c>
      <c r="D141" s="112">
        <f t="shared" si="34"/>
        <v>23</v>
      </c>
      <c r="E141" s="112">
        <f t="shared" si="34"/>
        <v>24</v>
      </c>
      <c r="F141" s="112">
        <f t="shared" si="34"/>
        <v>22</v>
      </c>
      <c r="G141" s="112">
        <f t="shared" si="34"/>
        <v>19</v>
      </c>
      <c r="H141" s="112">
        <f t="shared" si="34"/>
        <v>21</v>
      </c>
      <c r="I141" s="112">
        <f t="shared" si="34"/>
        <v>18</v>
      </c>
      <c r="J141" s="111">
        <f t="shared" si="35"/>
        <v>152</v>
      </c>
    </row>
    <row r="142" spans="2:10" ht="15" customHeight="1">
      <c r="B142" s="114">
        <v>2022</v>
      </c>
      <c r="C142" s="113">
        <f t="shared" si="33"/>
        <v>25</v>
      </c>
      <c r="D142" s="112">
        <f t="shared" si="34"/>
        <v>22</v>
      </c>
      <c r="E142" s="112">
        <f t="shared" si="34"/>
        <v>23</v>
      </c>
      <c r="F142" s="112">
        <f t="shared" si="34"/>
        <v>20</v>
      </c>
      <c r="G142" s="112">
        <f t="shared" si="34"/>
        <v>21</v>
      </c>
      <c r="H142" s="112">
        <f t="shared" si="34"/>
        <v>18</v>
      </c>
      <c r="I142" s="112">
        <f t="shared" si="34"/>
        <v>20</v>
      </c>
      <c r="J142" s="111">
        <f t="shared" si="35"/>
        <v>149</v>
      </c>
    </row>
    <row r="143" spans="2:10" ht="15" customHeight="1">
      <c r="B143" s="114">
        <v>2023</v>
      </c>
      <c r="C143" s="113">
        <f t="shared" si="33"/>
        <v>25</v>
      </c>
      <c r="D143" s="112">
        <f t="shared" si="34"/>
        <v>22</v>
      </c>
      <c r="E143" s="112">
        <f t="shared" si="34"/>
        <v>22</v>
      </c>
      <c r="F143" s="112">
        <f t="shared" si="34"/>
        <v>19</v>
      </c>
      <c r="G143" s="112">
        <f t="shared" si="34"/>
        <v>19</v>
      </c>
      <c r="H143" s="112">
        <f t="shared" si="34"/>
        <v>20</v>
      </c>
      <c r="I143" s="112">
        <f t="shared" si="34"/>
        <v>17</v>
      </c>
      <c r="J143" s="111">
        <f t="shared" si="35"/>
        <v>144</v>
      </c>
    </row>
    <row r="144" spans="2:10" ht="15" customHeight="1">
      <c r="B144" s="114">
        <v>2024</v>
      </c>
      <c r="C144" s="113">
        <f t="shared" si="33"/>
        <v>25</v>
      </c>
      <c r="D144" s="112">
        <f t="shared" si="34"/>
        <v>22</v>
      </c>
      <c r="E144" s="112">
        <f t="shared" si="34"/>
        <v>22</v>
      </c>
      <c r="F144" s="112">
        <f t="shared" si="34"/>
        <v>19</v>
      </c>
      <c r="G144" s="112">
        <f t="shared" si="34"/>
        <v>18</v>
      </c>
      <c r="H144" s="112">
        <f t="shared" si="34"/>
        <v>18</v>
      </c>
      <c r="I144" s="112">
        <f t="shared" si="34"/>
        <v>19</v>
      </c>
      <c r="J144" s="111">
        <f t="shared" si="35"/>
        <v>143</v>
      </c>
    </row>
    <row r="145" spans="2:16" ht="15" customHeight="1">
      <c r="B145" s="114">
        <v>2025</v>
      </c>
      <c r="C145" s="113">
        <f t="shared" si="33"/>
        <v>25</v>
      </c>
      <c r="D145" s="112">
        <f t="shared" si="34"/>
        <v>22</v>
      </c>
      <c r="E145" s="112">
        <f t="shared" si="34"/>
        <v>22</v>
      </c>
      <c r="F145" s="112">
        <f t="shared" si="34"/>
        <v>19</v>
      </c>
      <c r="G145" s="112">
        <f t="shared" si="34"/>
        <v>18</v>
      </c>
      <c r="H145" s="112">
        <f t="shared" si="34"/>
        <v>17</v>
      </c>
      <c r="I145" s="112">
        <f t="shared" si="34"/>
        <v>17</v>
      </c>
      <c r="J145" s="111">
        <f t="shared" ref="J145:J147" si="36">SUM(C145:I145)</f>
        <v>140</v>
      </c>
    </row>
    <row r="146" spans="2:16" ht="15" customHeight="1">
      <c r="B146" s="114">
        <v>2026</v>
      </c>
      <c r="C146" s="113">
        <f t="shared" si="33"/>
        <v>25</v>
      </c>
      <c r="D146" s="112">
        <f t="shared" si="34"/>
        <v>22</v>
      </c>
      <c r="E146" s="112">
        <f t="shared" si="34"/>
        <v>22</v>
      </c>
      <c r="F146" s="112">
        <f t="shared" si="34"/>
        <v>19</v>
      </c>
      <c r="G146" s="112">
        <f t="shared" si="34"/>
        <v>18</v>
      </c>
      <c r="H146" s="112">
        <f t="shared" si="34"/>
        <v>17</v>
      </c>
      <c r="I146" s="112">
        <f t="shared" si="34"/>
        <v>16</v>
      </c>
      <c r="J146" s="111">
        <f t="shared" si="36"/>
        <v>139</v>
      </c>
    </row>
    <row r="147" spans="2:16" ht="15" customHeight="1">
      <c r="B147" s="114">
        <v>2027</v>
      </c>
      <c r="C147" s="113">
        <f t="shared" si="33"/>
        <v>25</v>
      </c>
      <c r="D147" s="112">
        <f t="shared" si="34"/>
        <v>22</v>
      </c>
      <c r="E147" s="112">
        <f t="shared" si="34"/>
        <v>22</v>
      </c>
      <c r="F147" s="112">
        <f t="shared" si="34"/>
        <v>19</v>
      </c>
      <c r="G147" s="112">
        <f t="shared" si="34"/>
        <v>18</v>
      </c>
      <c r="H147" s="112">
        <f t="shared" si="34"/>
        <v>17</v>
      </c>
      <c r="I147" s="112">
        <f t="shared" si="34"/>
        <v>16</v>
      </c>
      <c r="J147" s="111">
        <f t="shared" si="36"/>
        <v>139</v>
      </c>
    </row>
    <row r="148" spans="2:16" ht="15" customHeight="1">
      <c r="B148" s="114">
        <v>2028</v>
      </c>
      <c r="C148" s="113">
        <f t="shared" si="33"/>
        <v>25</v>
      </c>
      <c r="D148" s="112">
        <f t="shared" si="34"/>
        <v>22</v>
      </c>
      <c r="E148" s="112">
        <f t="shared" si="34"/>
        <v>22</v>
      </c>
      <c r="F148" s="112">
        <f t="shared" si="34"/>
        <v>19</v>
      </c>
      <c r="G148" s="112">
        <f t="shared" si="34"/>
        <v>18</v>
      </c>
      <c r="H148" s="112">
        <f t="shared" si="34"/>
        <v>17</v>
      </c>
      <c r="I148" s="112">
        <f t="shared" si="34"/>
        <v>16</v>
      </c>
      <c r="J148" s="111">
        <f t="shared" ref="J148:J152" si="37">SUM(C148:I148)</f>
        <v>139</v>
      </c>
    </row>
    <row r="149" spans="2:16" ht="15" customHeight="1">
      <c r="B149" s="114">
        <v>2029</v>
      </c>
      <c r="C149" s="113">
        <f t="shared" si="33"/>
        <v>25</v>
      </c>
      <c r="D149" s="112">
        <f t="shared" si="34"/>
        <v>22</v>
      </c>
      <c r="E149" s="112">
        <f t="shared" si="34"/>
        <v>22</v>
      </c>
      <c r="F149" s="112">
        <f t="shared" si="34"/>
        <v>19</v>
      </c>
      <c r="G149" s="112">
        <f t="shared" si="34"/>
        <v>18</v>
      </c>
      <c r="H149" s="112">
        <f t="shared" si="34"/>
        <v>17</v>
      </c>
      <c r="I149" s="112">
        <f t="shared" si="34"/>
        <v>16</v>
      </c>
      <c r="J149" s="111">
        <f t="shared" si="37"/>
        <v>139</v>
      </c>
    </row>
    <row r="150" spans="2:16" ht="15" customHeight="1">
      <c r="B150" s="114">
        <v>2030</v>
      </c>
      <c r="C150" s="113">
        <f t="shared" si="33"/>
        <v>25</v>
      </c>
      <c r="D150" s="112">
        <f t="shared" si="34"/>
        <v>22</v>
      </c>
      <c r="E150" s="112">
        <f t="shared" si="34"/>
        <v>22</v>
      </c>
      <c r="F150" s="112">
        <f t="shared" si="34"/>
        <v>19</v>
      </c>
      <c r="G150" s="112">
        <f t="shared" si="34"/>
        <v>18</v>
      </c>
      <c r="H150" s="112">
        <f t="shared" si="34"/>
        <v>17</v>
      </c>
      <c r="I150" s="112">
        <f t="shared" si="34"/>
        <v>16</v>
      </c>
      <c r="J150" s="111">
        <f t="shared" si="37"/>
        <v>139</v>
      </c>
    </row>
    <row r="151" spans="2:16" ht="15" customHeight="1">
      <c r="B151" s="114">
        <v>2031</v>
      </c>
      <c r="C151" s="113">
        <f t="shared" si="33"/>
        <v>25</v>
      </c>
      <c r="D151" s="112">
        <f t="shared" si="34"/>
        <v>22</v>
      </c>
      <c r="E151" s="112">
        <f t="shared" si="34"/>
        <v>22</v>
      </c>
      <c r="F151" s="112">
        <f t="shared" si="34"/>
        <v>19</v>
      </c>
      <c r="G151" s="112">
        <f t="shared" si="34"/>
        <v>18</v>
      </c>
      <c r="H151" s="112">
        <f t="shared" si="34"/>
        <v>17</v>
      </c>
      <c r="I151" s="112">
        <f t="shared" si="34"/>
        <v>16</v>
      </c>
      <c r="J151" s="111">
        <f t="shared" si="37"/>
        <v>139</v>
      </c>
    </row>
    <row r="152" spans="2:16" ht="15" customHeight="1">
      <c r="B152" s="114">
        <v>2032</v>
      </c>
      <c r="C152" s="113">
        <f t="shared" si="33"/>
        <v>25</v>
      </c>
      <c r="D152" s="112">
        <f t="shared" si="34"/>
        <v>22</v>
      </c>
      <c r="E152" s="112">
        <f t="shared" si="34"/>
        <v>22</v>
      </c>
      <c r="F152" s="112">
        <f t="shared" si="34"/>
        <v>19</v>
      </c>
      <c r="G152" s="112">
        <f t="shared" si="34"/>
        <v>18</v>
      </c>
      <c r="H152" s="112">
        <f t="shared" si="34"/>
        <v>17</v>
      </c>
      <c r="I152" s="112">
        <f t="shared" si="34"/>
        <v>16</v>
      </c>
      <c r="J152" s="111">
        <f t="shared" si="37"/>
        <v>139</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159</v>
      </c>
      <c r="D159" s="108">
        <f>J140</f>
        <v>153</v>
      </c>
      <c r="E159" s="108">
        <f>J141</f>
        <v>152</v>
      </c>
      <c r="F159" s="108">
        <f>J142</f>
        <v>149</v>
      </c>
      <c r="G159" s="108">
        <f>J143</f>
        <v>144</v>
      </c>
      <c r="H159" s="108">
        <f>J144</f>
        <v>143</v>
      </c>
      <c r="I159" s="108">
        <f>J145</f>
        <v>140</v>
      </c>
      <c r="J159" s="108">
        <f>J146</f>
        <v>139</v>
      </c>
      <c r="K159" s="108">
        <f>J147</f>
        <v>139</v>
      </c>
      <c r="L159" s="108">
        <f>J148</f>
        <v>139</v>
      </c>
      <c r="M159" s="108">
        <f>J149</f>
        <v>139</v>
      </c>
      <c r="N159" s="108">
        <f>J150</f>
        <v>139</v>
      </c>
      <c r="O159" s="108">
        <f>J151</f>
        <v>139</v>
      </c>
      <c r="P159" s="108">
        <f>J152</f>
        <v>139</v>
      </c>
    </row>
    <row r="160" spans="2:16" ht="15" customHeight="1">
      <c r="B160" s="107" t="s">
        <v>152</v>
      </c>
      <c r="C160" s="106">
        <f>VLOOKUP(C159,Capacity!$A$1:$C$645,2,TRUE)</f>
        <v>7</v>
      </c>
      <c r="D160" s="106">
        <f>VLOOKUP(D159,Capacity!$A$1:$C$645,2,TRUE)</f>
        <v>7</v>
      </c>
      <c r="E160" s="106">
        <f>VLOOKUP(E159,Capacity!$A$1:$C$645,2,TRUE)</f>
        <v>7</v>
      </c>
      <c r="F160" s="106">
        <f>VLOOKUP(F159,Capacity!$A$1:$C$645,2,TRUE)</f>
        <v>7</v>
      </c>
      <c r="G160" s="106">
        <f>VLOOKUP(G159,Capacity!$A$1:$C$645,2,TRUE)</f>
        <v>7</v>
      </c>
      <c r="H160" s="106">
        <f>VLOOKUP(H159,Capacity!$A$1:$C$645,2,TRUE)</f>
        <v>7</v>
      </c>
      <c r="I160" s="106">
        <f>VLOOKUP(I159,Capacity!$A$1:$C$645,2,TRUE)</f>
        <v>6</v>
      </c>
      <c r="J160" s="106">
        <f>VLOOKUP(J159,Capacity!$A$1:$C$645,2,TRUE)</f>
        <v>6</v>
      </c>
      <c r="K160" s="106">
        <f>VLOOKUP(K159,Capacity!$A$1:$C$645,2,TRUE)</f>
        <v>6</v>
      </c>
      <c r="L160" s="106">
        <f>VLOOKUP(L159,Capacity!$A$1:$C$645,2,TRUE)</f>
        <v>6</v>
      </c>
      <c r="M160" s="106">
        <f>VLOOKUP(M159,Capacity!$A$1:$C$645,2,TRUE)</f>
        <v>6</v>
      </c>
      <c r="N160" s="106">
        <f>VLOOKUP(N159,Capacity!$A$1:$C$645,2,TRUE)</f>
        <v>6</v>
      </c>
      <c r="O160" s="106">
        <f>VLOOKUP(O159,Capacity!$A$1:$C$645,2,TRUE)</f>
        <v>6</v>
      </c>
      <c r="P160" s="106">
        <f>VLOOKUP(P159,Capacity!$A$1:$C$645,2,TRUE)</f>
        <v>6</v>
      </c>
    </row>
    <row r="161" spans="2:14" ht="15" customHeight="1">
      <c r="F161" s="14"/>
      <c r="G161"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60</v>
      </c>
      <c r="D169" s="97">
        <f>VLOOKUP($E$3,'Catchment Births'!$A$1:$U$90,11,FALSE)</f>
        <v>58</v>
      </c>
      <c r="E169" s="97">
        <f>VLOOKUP($E$3,'Catchment Births'!$A$1:$U$90,12,FALSE)</f>
        <v>47</v>
      </c>
      <c r="F169" s="97">
        <f>VLOOKUP($E$3,'Catchment Births'!$A$1:$U$90,13,FALSE)</f>
        <v>73</v>
      </c>
      <c r="G169" s="97">
        <f>VLOOKUP($E$3,'Catchment Births'!$A$1:$U$90,14,FALSE)</f>
        <v>52</v>
      </c>
      <c r="H169" s="97">
        <f>VLOOKUP($E$3,'Catchment Births'!$A$1:$U$90,15,FALSE)</f>
        <v>79</v>
      </c>
      <c r="I169" s="97">
        <f>VLOOKUP($E$3,'Catchment Births'!$A$1:$U$90,16,FALSE)</f>
        <v>65</v>
      </c>
      <c r="J169" s="97">
        <f>VLOOKUP($E$3,'Catchment Births'!$A$1:$U$90,17,FALSE)</f>
        <v>76</v>
      </c>
      <c r="K169" s="97">
        <f>VLOOKUP($E$3,'Catchment Births'!$A$1:$U$90,18,FALSE)</f>
        <v>89</v>
      </c>
      <c r="L169" s="97">
        <f>VLOOKUP($E$3,'Catchment Births'!$A$1:$U$90,19,FALSE)</f>
        <v>77</v>
      </c>
      <c r="M169" s="97">
        <f>VLOOKUP($E$3,'Catchment Births'!$A$1:$U$90,20,FALSE)</f>
        <v>71</v>
      </c>
      <c r="N169" s="97">
        <f>VLOOKUP($E$3,'Catchment Births'!$A$1:$U$90,21,FALSE)</f>
        <v>68</v>
      </c>
    </row>
    <row r="170" spans="2:14" ht="58.5" customHeight="1">
      <c r="B170" s="103" t="str">
        <f>"P1 "&amp;A35&amp;" Catchment Population (Actual)"</f>
        <v>P1 ND Catchment Population (Actual)</v>
      </c>
      <c r="C170" s="102" t="e">
        <v>#REF!</v>
      </c>
      <c r="D170" s="102">
        <v>23</v>
      </c>
      <c r="E170" s="102">
        <v>17</v>
      </c>
      <c r="F170" s="102">
        <v>21</v>
      </c>
      <c r="G170" s="102">
        <v>33</v>
      </c>
      <c r="H170" s="102">
        <v>24</v>
      </c>
      <c r="I170" s="102">
        <v>32</v>
      </c>
      <c r="J170" s="308">
        <f>VLOOKUP(E3,'Catchment Projections'!A1:BU92,42,FALSE)</f>
        <v>19</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32</v>
      </c>
      <c r="J172" s="96" t="e">
        <f>#REF!</f>
        <v>#REF!</v>
      </c>
      <c r="K172" s="96">
        <f>D51</f>
        <v>21</v>
      </c>
      <c r="L172" s="96">
        <f>E51</f>
        <v>21</v>
      </c>
      <c r="M172" s="96">
        <f>F51</f>
        <v>24</v>
      </c>
      <c r="N172" s="96">
        <f>G51</f>
        <v>21</v>
      </c>
    </row>
    <row r="173" spans="2:14" ht="12.75">
      <c r="B173" s="62"/>
      <c r="C173" s="62"/>
      <c r="D173" s="62"/>
      <c r="E173" s="62"/>
      <c r="F173" s="62"/>
      <c r="G173" s="62"/>
      <c r="H173" s="62"/>
      <c r="I173" s="62"/>
      <c r="J173" s="62"/>
      <c r="K173" s="62"/>
    </row>
    <row r="174" spans="2:14" ht="15" customHeight="1">
      <c r="B174" s="64" t="str">
        <f>"Table 5: "&amp;E3&amp;" Roll by Stage, 2002-2018"</f>
        <v>Table 5: Abbeyhill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45</v>
      </c>
      <c r="D177" s="93">
        <v>36</v>
      </c>
      <c r="E177" s="93">
        <v>39</v>
      </c>
      <c r="F177" s="93">
        <v>33</v>
      </c>
      <c r="G177" s="93">
        <v>39</v>
      </c>
      <c r="H177" s="93">
        <v>39</v>
      </c>
      <c r="I177" s="93">
        <v>38</v>
      </c>
      <c r="J177" s="92">
        <v>269</v>
      </c>
      <c r="K177" s="62"/>
    </row>
    <row r="178" spans="2:11" ht="15" customHeight="1">
      <c r="B178" s="94">
        <v>2003</v>
      </c>
      <c r="C178" s="93">
        <v>24</v>
      </c>
      <c r="D178" s="93">
        <v>39</v>
      </c>
      <c r="E178" s="93">
        <v>31</v>
      </c>
      <c r="F178" s="93">
        <v>32</v>
      </c>
      <c r="G178" s="93">
        <v>32</v>
      </c>
      <c r="H178" s="93">
        <v>36</v>
      </c>
      <c r="I178" s="93">
        <v>36</v>
      </c>
      <c r="J178" s="92">
        <v>230</v>
      </c>
      <c r="K178" s="62"/>
    </row>
    <row r="179" spans="2:11" customFormat="1" ht="15" customHeight="1">
      <c r="B179" s="94">
        <v>2004</v>
      </c>
      <c r="C179" s="95">
        <v>28</v>
      </c>
      <c r="D179" s="95">
        <v>26</v>
      </c>
      <c r="E179" s="95">
        <v>33</v>
      </c>
      <c r="F179" s="95">
        <v>28</v>
      </c>
      <c r="G179" s="95">
        <v>35</v>
      </c>
      <c r="H179" s="95">
        <v>28</v>
      </c>
      <c r="I179" s="95">
        <v>34</v>
      </c>
      <c r="J179" s="92">
        <v>212</v>
      </c>
      <c r="K179" s="62"/>
    </row>
    <row r="180" spans="2:11" customFormat="1" ht="15" customHeight="1">
      <c r="B180" s="94">
        <v>2005</v>
      </c>
      <c r="C180" s="93">
        <v>25</v>
      </c>
      <c r="D180" s="93">
        <v>27</v>
      </c>
      <c r="E180" s="93">
        <v>26</v>
      </c>
      <c r="F180" s="93">
        <v>31</v>
      </c>
      <c r="G180" s="93">
        <v>29</v>
      </c>
      <c r="H180" s="93">
        <v>32</v>
      </c>
      <c r="I180" s="93">
        <v>24</v>
      </c>
      <c r="J180" s="92">
        <v>194</v>
      </c>
      <c r="K180" s="62"/>
    </row>
    <row r="181" spans="2:11" customFormat="1" ht="15" customHeight="1">
      <c r="B181" s="94">
        <v>2006</v>
      </c>
      <c r="C181" s="93">
        <v>27</v>
      </c>
      <c r="D181" s="93">
        <v>26</v>
      </c>
      <c r="E181" s="93">
        <v>28</v>
      </c>
      <c r="F181" s="93">
        <v>28</v>
      </c>
      <c r="G181" s="93">
        <v>32</v>
      </c>
      <c r="H181" s="93">
        <v>26</v>
      </c>
      <c r="I181" s="93">
        <v>32</v>
      </c>
      <c r="J181" s="92">
        <v>199</v>
      </c>
      <c r="K181" s="62"/>
    </row>
    <row r="182" spans="2:11" customFormat="1" ht="15" customHeight="1">
      <c r="B182" s="94">
        <v>2007</v>
      </c>
      <c r="C182" s="93">
        <v>22</v>
      </c>
      <c r="D182" s="93">
        <v>28</v>
      </c>
      <c r="E182" s="93">
        <v>26</v>
      </c>
      <c r="F182" s="93">
        <v>25</v>
      </c>
      <c r="G182" s="93">
        <v>29</v>
      </c>
      <c r="H182" s="93">
        <v>32</v>
      </c>
      <c r="I182" s="93">
        <v>28</v>
      </c>
      <c r="J182" s="92">
        <v>190</v>
      </c>
      <c r="K182" s="62"/>
    </row>
    <row r="183" spans="2:11" customFormat="1" ht="15" customHeight="1">
      <c r="B183" s="94">
        <v>2008</v>
      </c>
      <c r="C183" s="93">
        <v>21</v>
      </c>
      <c r="D183" s="93">
        <v>17</v>
      </c>
      <c r="E183" s="93">
        <v>28</v>
      </c>
      <c r="F183" s="93">
        <v>27</v>
      </c>
      <c r="G183" s="93">
        <v>21</v>
      </c>
      <c r="H183" s="93">
        <v>27</v>
      </c>
      <c r="I183" s="93">
        <v>31</v>
      </c>
      <c r="J183" s="92">
        <v>172</v>
      </c>
      <c r="K183" s="62"/>
    </row>
    <row r="184" spans="2:11" customFormat="1" ht="15" customHeight="1">
      <c r="B184" s="94">
        <v>2009</v>
      </c>
      <c r="C184" s="93">
        <v>21</v>
      </c>
      <c r="D184" s="93">
        <v>25</v>
      </c>
      <c r="E184" s="93">
        <v>16</v>
      </c>
      <c r="F184" s="93">
        <v>27</v>
      </c>
      <c r="G184" s="93">
        <v>25</v>
      </c>
      <c r="H184" s="93">
        <v>20</v>
      </c>
      <c r="I184" s="93">
        <v>24</v>
      </c>
      <c r="J184" s="94">
        <v>158</v>
      </c>
      <c r="K184" s="62"/>
    </row>
    <row r="185" spans="2:11" customFormat="1" ht="15" customHeight="1">
      <c r="B185" s="94">
        <v>2010</v>
      </c>
      <c r="C185" s="93">
        <v>30</v>
      </c>
      <c r="D185" s="93">
        <v>20</v>
      </c>
      <c r="E185" s="93">
        <v>26</v>
      </c>
      <c r="F185" s="93">
        <v>16</v>
      </c>
      <c r="G185" s="93">
        <v>29</v>
      </c>
      <c r="H185" s="93">
        <v>26</v>
      </c>
      <c r="I185" s="93">
        <v>22</v>
      </c>
      <c r="J185" s="92">
        <v>169</v>
      </c>
      <c r="K185" s="62"/>
    </row>
    <row r="186" spans="2:11" customFormat="1" ht="15" customHeight="1">
      <c r="B186" s="94">
        <v>2011</v>
      </c>
      <c r="C186" s="93">
        <v>18</v>
      </c>
      <c r="D186" s="93">
        <v>28</v>
      </c>
      <c r="E186" s="93">
        <v>19</v>
      </c>
      <c r="F186" s="93">
        <v>26</v>
      </c>
      <c r="G186" s="93">
        <v>15</v>
      </c>
      <c r="H186" s="93">
        <v>28</v>
      </c>
      <c r="I186" s="93">
        <v>24</v>
      </c>
      <c r="J186" s="92">
        <v>158</v>
      </c>
      <c r="K186" s="62"/>
    </row>
    <row r="187" spans="2:11" customFormat="1" ht="15" customHeight="1">
      <c r="B187" s="94">
        <v>2012</v>
      </c>
      <c r="C187" s="93">
        <v>30</v>
      </c>
      <c r="D187" s="93">
        <v>17</v>
      </c>
      <c r="E187" s="93">
        <v>27</v>
      </c>
      <c r="F187" s="93">
        <v>17</v>
      </c>
      <c r="G187" s="93">
        <v>19</v>
      </c>
      <c r="H187" s="93">
        <v>9</v>
      </c>
      <c r="I187" s="93">
        <v>26</v>
      </c>
      <c r="J187" s="92">
        <v>145</v>
      </c>
      <c r="K187" s="62"/>
    </row>
    <row r="188" spans="2:11" customFormat="1" ht="15" customHeight="1">
      <c r="B188" s="94">
        <v>2013</v>
      </c>
      <c r="C188" s="93">
        <v>49</v>
      </c>
      <c r="D188" s="93">
        <v>28</v>
      </c>
      <c r="E188" s="93">
        <v>17</v>
      </c>
      <c r="F188" s="93">
        <v>28</v>
      </c>
      <c r="G188" s="93">
        <v>15</v>
      </c>
      <c r="H188" s="93">
        <v>16</v>
      </c>
      <c r="I188" s="93">
        <v>10</v>
      </c>
      <c r="J188" s="94">
        <v>163</v>
      </c>
      <c r="K188" s="62"/>
    </row>
    <row r="189" spans="2:11" customFormat="1" ht="15" customHeight="1">
      <c r="B189" s="94">
        <v>2014</v>
      </c>
      <c r="C189" s="93">
        <v>30</v>
      </c>
      <c r="D189" s="93">
        <v>44</v>
      </c>
      <c r="E189" s="93">
        <v>27</v>
      </c>
      <c r="F189" s="93">
        <v>17</v>
      </c>
      <c r="G189" s="93">
        <v>29</v>
      </c>
      <c r="H189" s="93">
        <v>16</v>
      </c>
      <c r="I189" s="93">
        <v>16</v>
      </c>
      <c r="J189" s="92">
        <v>179</v>
      </c>
      <c r="K189" s="65"/>
    </row>
    <row r="190" spans="2:11" customFormat="1" ht="15" customHeight="1">
      <c r="B190" s="94">
        <v>2015</v>
      </c>
      <c r="C190" s="93">
        <v>31</v>
      </c>
      <c r="D190" s="93">
        <v>28</v>
      </c>
      <c r="E190" s="93">
        <v>44</v>
      </c>
      <c r="F190" s="93">
        <v>22</v>
      </c>
      <c r="G190" s="93">
        <v>22</v>
      </c>
      <c r="H190" s="93">
        <v>27</v>
      </c>
      <c r="I190" s="93">
        <v>17</v>
      </c>
      <c r="J190" s="92">
        <v>191</v>
      </c>
      <c r="K190" s="65"/>
    </row>
    <row r="191" spans="2:11" ht="15" customHeight="1">
      <c r="B191" s="94">
        <v>2016</v>
      </c>
      <c r="C191" s="93">
        <v>24</v>
      </c>
      <c r="D191" s="93">
        <v>29</v>
      </c>
      <c r="E191" s="93">
        <v>28</v>
      </c>
      <c r="F191" s="93">
        <v>28</v>
      </c>
      <c r="G191" s="93">
        <v>20</v>
      </c>
      <c r="H191" s="93">
        <v>18</v>
      </c>
      <c r="I191" s="93">
        <v>26</v>
      </c>
      <c r="J191" s="92">
        <v>173</v>
      </c>
      <c r="K191" s="65"/>
    </row>
    <row r="192" spans="2:11" ht="15" customHeight="1">
      <c r="B192" s="94">
        <v>2017</v>
      </c>
      <c r="C192" s="93">
        <f>VLOOKUP($E$3,Rolls!A1:FA90,42,FALSE)</f>
        <v>23</v>
      </c>
      <c r="D192" s="93">
        <f>VLOOKUP($E$3,Rolls!A1:FA90,43,FALSE)</f>
        <v>25</v>
      </c>
      <c r="E192" s="93">
        <f>VLOOKUP($E$3,Rolls!A1:FA90,44,FALSE)</f>
        <v>22</v>
      </c>
      <c r="F192" s="93">
        <f>VLOOKUP($E$3,Rolls!A1:FA90,45,FALSE)</f>
        <v>27</v>
      </c>
      <c r="G192" s="93">
        <f>VLOOKUP($E$3,Rolls!A1:FA90,46,FALSE)</f>
        <v>27</v>
      </c>
      <c r="H192" s="93">
        <f>VLOOKUP($E$3,Rolls!A1:FA90,47,FALSE)</f>
        <v>18</v>
      </c>
      <c r="I192" s="93">
        <f>VLOOKUP($E$3,Rolls!A1:FA90,48,FALSE)</f>
        <v>17</v>
      </c>
      <c r="J192" s="92">
        <f>VLOOKUP($E$3,Rolls!A1:FA90,49,FALSE)</f>
        <v>159</v>
      </c>
      <c r="K192" s="65"/>
    </row>
    <row r="193" spans="2:11" ht="15" customHeight="1">
      <c r="B193" s="94">
        <v>2018</v>
      </c>
      <c r="C193" s="93">
        <f>VLOOKUP($E$3,Rolls!A1:FA90,50,FALSE)</f>
        <v>25</v>
      </c>
      <c r="D193" s="93">
        <f>VLOOKUP($E$3,Rolls!A1:FA90,51,FALSE)</f>
        <v>21</v>
      </c>
      <c r="E193" s="93">
        <f>VLOOKUP($E$3,Rolls!A1:FA90,52,FALSE)</f>
        <v>25</v>
      </c>
      <c r="F193" s="93">
        <f>VLOOKUP($E$3,Rolls!A1:FA90,53,FALSE)</f>
        <v>18</v>
      </c>
      <c r="G193" s="93">
        <f>VLOOKUP($E$3,Rolls!A1:FA90,54,FALSE)</f>
        <v>24</v>
      </c>
      <c r="H193" s="93">
        <f>VLOOKUP($E$3,Rolls!A1:FA90,55,FALSE)</f>
        <v>27</v>
      </c>
      <c r="I193" s="93">
        <f>VLOOKUP($E$3,Rolls!A1:FA90,56,FALSE)</f>
        <v>17</v>
      </c>
      <c r="J193" s="92">
        <f>VLOOKUP($E$3,Rolls!A1:FA90,57,FALSE)</f>
        <v>157</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0866141732283472" right="0.70866141732283472" top="0.74803149606299213" bottom="0.74803149606299213" header="0.31496062992125984" footer="0.31496062992125984"/>
  <pageSetup paperSize="9" scale="72" fitToHeight="178" orientation="portrait" r:id="rId1"/>
  <rowBreaks count="1" manualBreakCount="1">
    <brk id="66" min="1" max="9"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10</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Balgreen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420 Pupils (14 classes)</v>
      </c>
      <c r="G12" s="16"/>
      <c r="H12" s="16"/>
    </row>
    <row r="13" spans="2:10" ht="15" customHeight="1">
      <c r="C13" s="16"/>
      <c r="D13" s="16"/>
      <c r="E13" s="16"/>
      <c r="F13" s="16"/>
      <c r="G13" s="16"/>
      <c r="H13" s="16"/>
    </row>
    <row r="14" spans="2:10" ht="15" customHeight="1">
      <c r="B14" s="15" t="str">
        <f>"Figure 1: "&amp;E3&amp;" Roll, 2002-2015"</f>
        <v>Figure 1: Balgreen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Balgreen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202"/>
      <c r="E47" s="202"/>
      <c r="F47" s="202"/>
      <c r="G47" s="202"/>
      <c r="H47" s="202"/>
      <c r="I47" s="203"/>
      <c r="J47" s="203"/>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72</v>
      </c>
      <c r="E49" s="108">
        <f>VLOOKUP($E$3,'Catchment Projections'!$A$1:$BU$90,46,FALSE)</f>
        <v>59</v>
      </c>
      <c r="F49" s="108">
        <f>VLOOKUP($E$3,'Catchment Projections'!$A$1:$BU$90,47,FALSE)</f>
        <v>52</v>
      </c>
      <c r="G49" s="108">
        <f>VLOOKUP($E$3,'Catchment Projections'!$A$1:$BU$90,48,FALSE)</f>
        <v>47</v>
      </c>
      <c r="H49" s="133">
        <f>VLOOKUP($E$3,'Catchment Projections'!$A$1:$BU$90,49,FALSE)</f>
        <v>53</v>
      </c>
      <c r="I49" s="133">
        <f>VLOOKUP($E$3,'Catchment Projections'!$A$1:$BU$90,50,FALSE)</f>
        <v>54</v>
      </c>
      <c r="J49" s="133">
        <f>VLOOKUP($E$3,'Catchment Projections'!$A$1:$BU$90,51,FALSE)</f>
        <v>55</v>
      </c>
      <c r="K49" s="133">
        <f>VLOOKUP($E$3,'Catchment Projections'!$A$1:$BU$90,52,FALSE)</f>
        <v>55</v>
      </c>
      <c r="L49" s="133">
        <f>VLOOKUP($E$3,'Catchment Projections'!$A$1:$BU$90,53,FALSE)</f>
        <v>56</v>
      </c>
      <c r="M49" s="133">
        <f>VLOOKUP($E$3,'Catchment Projections'!$A$1:$BU$90,54,FALSE)</f>
        <v>56</v>
      </c>
      <c r="N49" s="133">
        <f>VLOOKUP($E$3,'Catchment Projections'!$A$1:$BU$90,55,FALSE)</f>
        <v>56</v>
      </c>
      <c r="O49" s="133">
        <f>VLOOKUP($E$3,'Catchment Projections'!$A$1:$BU$90,56,FALSE)</f>
        <v>56</v>
      </c>
      <c r="P49" s="133">
        <f>VLOOKUP($E$3,'Catchment Projections'!$A$1:$BU$90,57,FALSE)</f>
        <v>56</v>
      </c>
      <c r="Q49" s="133">
        <f>VLOOKUP($E$3,'Catchment Projections'!$A$1:$BU$90,58,FALSE)</f>
        <v>56</v>
      </c>
    </row>
    <row r="50" spans="2:17" ht="15" customHeight="1" thickBot="1">
      <c r="B50" s="410" t="s">
        <v>141</v>
      </c>
      <c r="C50" s="411"/>
      <c r="D50" s="286">
        <f>VLOOKUP(E3,'Housing Generation'!$A$3:$DQ$90,10,FALSE)</f>
        <v>0</v>
      </c>
      <c r="E50" s="286">
        <f>VLOOKUP(E3,'Housing Generation'!$A$3:$DQ$90,18,FALSE)</f>
        <v>0</v>
      </c>
      <c r="F50" s="286">
        <f>VLOOKUP(E3,'Housing Generation'!$A$3:$DQ$90,26,FALSE)</f>
        <v>0</v>
      </c>
      <c r="G50" s="243">
        <f>VLOOKUP(E3,'Housing Generation'!$A$3:$DQ$90,34,FALSE)</f>
        <v>0</v>
      </c>
      <c r="H50" s="133">
        <f>VLOOKUP(E3,'Housing Generation'!$A$3:$DQ$90,42,FALSE)</f>
        <v>1</v>
      </c>
      <c r="I50" s="133">
        <f>VLOOKUP(E3,'Housing Generation'!$A$3:$DQ$90,50,FALSE)</f>
        <v>2</v>
      </c>
      <c r="J50" s="133">
        <f>VLOOKUP(E3,'Housing Generation'!$A$3:$CK$90,58,FALSE)</f>
        <v>2</v>
      </c>
      <c r="K50" s="133">
        <f>VLOOKUP(E3,'Housing Generation'!$A$3:$CK$90,66,FALSE)</f>
        <v>4</v>
      </c>
      <c r="L50" s="133">
        <f>VLOOKUP(E3,'Housing Generation'!$A$3:$DQ$90,74,FALSE)</f>
        <v>5</v>
      </c>
      <c r="M50" s="133">
        <f>VLOOKUP(E3,'Housing Generation'!$A$3:$DQ$90,82,FALSE)</f>
        <v>5</v>
      </c>
      <c r="N50" s="133">
        <f>VLOOKUP(E3,'Housing Generation'!$A$3:$DQ$90,90,FALSE)</f>
        <v>6</v>
      </c>
      <c r="O50" s="133">
        <f>VLOOKUP(E3,'Housing Generation'!$A$3:$DQ$90,98,FALSE)</f>
        <v>6</v>
      </c>
      <c r="P50" s="133">
        <f>VLOOKUP(E3,'Housing Generation'!$A$3:$DQ$90,106,FALSE)</f>
        <v>6</v>
      </c>
      <c r="Q50" s="133">
        <f>VLOOKUP(E3,'Housing Generation'!$A$3:$DQ$90,114,FALSE)</f>
        <v>6</v>
      </c>
    </row>
    <row r="51" spans="2:17" ht="15" customHeight="1" thickTop="1">
      <c r="B51" s="421" t="s">
        <v>130</v>
      </c>
      <c r="C51" s="422"/>
      <c r="D51" s="47">
        <f t="shared" ref="D51:Q51" si="0">SUM(D49:D50)</f>
        <v>72</v>
      </c>
      <c r="E51" s="47">
        <f t="shared" si="0"/>
        <v>59</v>
      </c>
      <c r="F51" s="80">
        <f t="shared" si="0"/>
        <v>52</v>
      </c>
      <c r="G51" s="244">
        <f t="shared" si="0"/>
        <v>47</v>
      </c>
      <c r="H51" s="71">
        <f t="shared" si="0"/>
        <v>54</v>
      </c>
      <c r="I51" s="71">
        <f t="shared" si="0"/>
        <v>56</v>
      </c>
      <c r="J51" s="71">
        <f t="shared" si="0"/>
        <v>57</v>
      </c>
      <c r="K51" s="71">
        <f t="shared" si="0"/>
        <v>59</v>
      </c>
      <c r="L51" s="71">
        <f t="shared" si="0"/>
        <v>61</v>
      </c>
      <c r="M51" s="71">
        <f t="shared" si="0"/>
        <v>61</v>
      </c>
      <c r="N51" s="71">
        <f t="shared" si="0"/>
        <v>62</v>
      </c>
      <c r="O51" s="71">
        <f t="shared" si="0"/>
        <v>62</v>
      </c>
      <c r="P51" s="71">
        <f t="shared" si="0"/>
        <v>62</v>
      </c>
      <c r="Q51" s="71">
        <f t="shared" si="0"/>
        <v>62</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73</v>
      </c>
      <c r="D60" s="358">
        <f>VLOOKUP($E$3,'Catchment Projections'!$A$1:$BZ$90,74,FALSE)</f>
        <v>50</v>
      </c>
      <c r="E60" s="303">
        <f>D60/C60</f>
        <v>0.68493150684931503</v>
      </c>
      <c r="G60" s="132">
        <v>2014</v>
      </c>
      <c r="H60" s="395">
        <f>VLOOKUP($G$60,$B$177:$C$215, 2, FALSE)</f>
        <v>57</v>
      </c>
      <c r="I60" s="120">
        <f>H60-D60</f>
        <v>7</v>
      </c>
      <c r="J60" s="121">
        <f>I60/H60</f>
        <v>0.12280701754385964</v>
      </c>
    </row>
    <row r="61" spans="2:17" ht="15" customHeight="1">
      <c r="B61" s="132">
        <v>2015</v>
      </c>
      <c r="C61" s="359">
        <f>VLOOKUP($E$3,'Catchment Projections'!$A$1:$BZ$90,41,FALSE)</f>
        <v>70</v>
      </c>
      <c r="D61" s="358">
        <f>VLOOKUP($E$3,'Catchment Projections'!$A$1:$BZ$90,75,FALSE)</f>
        <v>55</v>
      </c>
      <c r="E61" s="303">
        <f>D61/C61</f>
        <v>0.7857142857142857</v>
      </c>
      <c r="G61" s="132">
        <v>2015</v>
      </c>
      <c r="H61" s="395">
        <f>VLOOKUP($G$61,$B$177:$C$215, 2, FALSE)</f>
        <v>64</v>
      </c>
      <c r="I61" s="120">
        <f>H61-D61</f>
        <v>9</v>
      </c>
      <c r="J61" s="121">
        <f>I61/H61</f>
        <v>0.140625</v>
      </c>
    </row>
    <row r="62" spans="2:17" ht="15" customHeight="1">
      <c r="B62" s="131">
        <v>2016</v>
      </c>
      <c r="C62" s="359">
        <f>VLOOKUP($E$3,'Catchment Projections'!$A$1:$BZ$90,42,FALSE)</f>
        <v>67</v>
      </c>
      <c r="D62" s="358">
        <f>VLOOKUP($E$3,'Catchment Projections'!$A$1:$BZ$90,76,FALSE)</f>
        <v>48</v>
      </c>
      <c r="E62" s="57">
        <f>D62/C62</f>
        <v>0.71641791044776115</v>
      </c>
      <c r="G62" s="131">
        <v>2016</v>
      </c>
      <c r="H62" s="395">
        <f>VLOOKUP($G$62,$B$177:$C$215, 2, FALSE)</f>
        <v>56</v>
      </c>
      <c r="I62" s="120">
        <f>H62-D62</f>
        <v>8</v>
      </c>
      <c r="J62" s="121">
        <f>I62/H62</f>
        <v>0.14285714285714285</v>
      </c>
    </row>
    <row r="63" spans="2:17" ht="15" customHeight="1">
      <c r="B63" s="114">
        <v>2017</v>
      </c>
      <c r="C63" s="359">
        <f>VLOOKUP($E$3,'Catchment Projections'!$A$1:$BZ$90,43,FALSE)</f>
        <v>64</v>
      </c>
      <c r="D63" s="358">
        <f>VLOOKUP($E$3,'Catchment Projections'!$A$1:$BZ$90,77,FALSE)</f>
        <v>49</v>
      </c>
      <c r="E63" s="304">
        <f>D63/C63</f>
        <v>0.765625</v>
      </c>
      <c r="G63" s="114">
        <v>2017</v>
      </c>
      <c r="H63" s="395">
        <f>VLOOKUP($G$63,$B$177:$C$215, 2, FALSE)</f>
        <v>60</v>
      </c>
      <c r="I63" s="120">
        <f>H63-D63</f>
        <v>11</v>
      </c>
      <c r="J63" s="121">
        <f>I63/H63</f>
        <v>0.18333333333333332</v>
      </c>
    </row>
    <row r="64" spans="2:17" ht="15" customHeight="1">
      <c r="B64" s="114">
        <v>2018</v>
      </c>
      <c r="C64" s="359">
        <f>VLOOKUP($E$3,'Catchment Projections'!$A$1:$BZ$90,44,FALSE)</f>
        <v>67</v>
      </c>
      <c r="D64" s="358">
        <f>VLOOKUP($E$3,'Catchment Projections'!$A$1:$BZ$90,78,FALSE)</f>
        <v>56</v>
      </c>
      <c r="E64" s="305">
        <f>D64/C64</f>
        <v>0.83582089552238803</v>
      </c>
      <c r="G64" s="114">
        <v>2018</v>
      </c>
      <c r="H64" s="395">
        <f>VLOOKUP($G$64,$B$177:$C$215, 2, FALSE)</f>
        <v>60</v>
      </c>
      <c r="I64" s="120">
        <f>H64-D64</f>
        <v>4</v>
      </c>
      <c r="J64" s="121">
        <f>I64/H64</f>
        <v>6.6666666666666666E-2</v>
      </c>
    </row>
    <row r="65" spans="2:10" ht="15" customHeight="1">
      <c r="B65" s="412" t="s">
        <v>136</v>
      </c>
      <c r="C65" s="413"/>
      <c r="D65" s="414"/>
      <c r="E65" s="137">
        <f>IF((AVERAGE(E62:E64))="#DIV/0!","n/a",(AVERAGE(E62:E64)))</f>
        <v>0.77262126865671643</v>
      </c>
      <c r="G65" s="415" t="s">
        <v>137</v>
      </c>
      <c r="H65" s="416"/>
      <c r="I65" s="138">
        <f>MEDIAN(I60:I64)</f>
        <v>8</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72</v>
      </c>
      <c r="D70" s="408"/>
      <c r="E70" s="122">
        <f>E65</f>
        <v>0.77262126865671643</v>
      </c>
      <c r="F70" s="120">
        <f t="shared" ref="F70:F83" si="1">C70*$E$65</f>
        <v>55.628731343283583</v>
      </c>
      <c r="G70" s="118">
        <f>IF(F70&lt;26,25,IF(F70&gt;135,140,IF(F70&gt;130,135,IF(F70&gt;125,130,IF(F70&gt;120,125,IF(F70&gt;115,120,IF(F70&gt;110,115,IF(F70&gt;105,110,IF(F70&gt;100,105,IF(F70&gt;99,100,IF(F70&gt;90,99,IF(F70&gt;75,90,IF(F70&gt;72,75,IF(F70&gt;66,72,IF(F70&gt;60,66,IF(F70&gt;50,60,IF(F70&gt;30,50,IF(F70&gt;25,30,0))))))))))))))))))</f>
        <v>60</v>
      </c>
      <c r="H70" s="119">
        <f t="shared" ref="H70:H83" si="2">G70-F70</f>
        <v>4.371268656716417</v>
      </c>
      <c r="I70" s="118" t="str">
        <f>IF(I$65&lt;H70, "NO", "YES")</f>
        <v>YES</v>
      </c>
      <c r="J70" s="117">
        <f t="shared" ref="J70:J83" si="3">IF(I70="YES",G70,(MIN((SUM(F70,$I$65)),G70)))</f>
        <v>60</v>
      </c>
    </row>
    <row r="71" spans="2:10" ht="15" customHeight="1">
      <c r="B71" s="114">
        <v>2020</v>
      </c>
      <c r="C71" s="433">
        <f>E51</f>
        <v>59</v>
      </c>
      <c r="D71" s="408"/>
      <c r="E71" s="121">
        <f>E65</f>
        <v>0.77262126865671643</v>
      </c>
      <c r="F71" s="120">
        <f t="shared" si="1"/>
        <v>45.584654850746269</v>
      </c>
      <c r="G71" s="118">
        <f t="shared" ref="G71:G83" si="4">IF(F71&lt;26,25,IF(F71&gt;135,140,IF(F71&gt;130,135,IF(F71&gt;125,130,IF(F71&gt;120,125,IF(F71&gt;115,120,IF(F71&gt;110,115,IF(F71&gt;105,110,IF(F71&gt;100,105,IF(F71&gt;99,100,IF(F71&gt;90,99,IF(F71&gt;75,90,IF(F71&gt;72,75,IF(F71&gt;66,72,IF(F71&gt;60,66,IF(F71&gt;50,60,IF(F71&gt;30,50,IF(F71&gt;25,30,0))))))))))))))))))</f>
        <v>50</v>
      </c>
      <c r="H71" s="119">
        <f t="shared" si="2"/>
        <v>4.4153451492537314</v>
      </c>
      <c r="I71" s="118" t="str">
        <f t="shared" ref="I71:I83" si="5">IF(I$65&lt;H71, "NO", "YES")</f>
        <v>YES</v>
      </c>
      <c r="J71" s="117">
        <f t="shared" si="3"/>
        <v>50</v>
      </c>
    </row>
    <row r="72" spans="2:10" ht="15" customHeight="1">
      <c r="B72" s="114">
        <v>2021</v>
      </c>
      <c r="C72" s="430">
        <f>F51</f>
        <v>52</v>
      </c>
      <c r="D72" s="431"/>
      <c r="E72" s="121">
        <f>E65</f>
        <v>0.77262126865671643</v>
      </c>
      <c r="F72" s="120">
        <f t="shared" si="1"/>
        <v>40.176305970149258</v>
      </c>
      <c r="G72" s="118">
        <f t="shared" si="4"/>
        <v>50</v>
      </c>
      <c r="H72" s="119">
        <f t="shared" si="2"/>
        <v>9.823694029850742</v>
      </c>
      <c r="I72" s="118" t="str">
        <f t="shared" si="5"/>
        <v>NO</v>
      </c>
      <c r="J72" s="117">
        <f t="shared" si="3"/>
        <v>48.176305970149258</v>
      </c>
    </row>
    <row r="73" spans="2:10" ht="15" customHeight="1">
      <c r="B73" s="114">
        <v>2022</v>
      </c>
      <c r="C73" s="430">
        <f>G51</f>
        <v>47</v>
      </c>
      <c r="D73" s="431"/>
      <c r="E73" s="121">
        <f>E65</f>
        <v>0.77262126865671643</v>
      </c>
      <c r="F73" s="120">
        <f t="shared" si="1"/>
        <v>36.313199626865675</v>
      </c>
      <c r="G73" s="118">
        <f t="shared" si="4"/>
        <v>50</v>
      </c>
      <c r="H73" s="119">
        <f t="shared" si="2"/>
        <v>13.686800373134325</v>
      </c>
      <c r="I73" s="118" t="str">
        <f t="shared" si="5"/>
        <v>NO</v>
      </c>
      <c r="J73" s="117">
        <f t="shared" si="3"/>
        <v>44.313199626865675</v>
      </c>
    </row>
    <row r="74" spans="2:10" ht="15" customHeight="1">
      <c r="B74" s="114">
        <v>2023</v>
      </c>
      <c r="C74" s="430">
        <f>H51</f>
        <v>54</v>
      </c>
      <c r="D74" s="431"/>
      <c r="E74" s="121">
        <f>E65</f>
        <v>0.77262126865671643</v>
      </c>
      <c r="F74" s="120">
        <f t="shared" si="1"/>
        <v>41.721548507462686</v>
      </c>
      <c r="G74" s="118">
        <f t="shared" si="4"/>
        <v>50</v>
      </c>
      <c r="H74" s="119">
        <f t="shared" si="2"/>
        <v>8.2784514925373145</v>
      </c>
      <c r="I74" s="118" t="str">
        <f t="shared" si="5"/>
        <v>NO</v>
      </c>
      <c r="J74" s="117">
        <f t="shared" si="3"/>
        <v>49.721548507462686</v>
      </c>
    </row>
    <row r="75" spans="2:10" ht="15" customHeight="1">
      <c r="B75" s="114">
        <v>2024</v>
      </c>
      <c r="C75" s="430">
        <f>I51</f>
        <v>56</v>
      </c>
      <c r="D75" s="431"/>
      <c r="E75" s="121">
        <f>E65</f>
        <v>0.77262126865671643</v>
      </c>
      <c r="F75" s="120">
        <f t="shared" si="1"/>
        <v>43.26679104477612</v>
      </c>
      <c r="G75" s="118">
        <f t="shared" si="4"/>
        <v>50</v>
      </c>
      <c r="H75" s="119">
        <f t="shared" si="2"/>
        <v>6.7332089552238799</v>
      </c>
      <c r="I75" s="118" t="str">
        <f t="shared" si="5"/>
        <v>YES</v>
      </c>
      <c r="J75" s="117">
        <f t="shared" si="3"/>
        <v>50</v>
      </c>
    </row>
    <row r="76" spans="2:10" ht="15" customHeight="1">
      <c r="B76" s="114">
        <v>2025</v>
      </c>
      <c r="C76" s="430">
        <f>J51</f>
        <v>57</v>
      </c>
      <c r="D76" s="431"/>
      <c r="E76" s="121">
        <f>E65</f>
        <v>0.77262126865671643</v>
      </c>
      <c r="F76" s="120">
        <f t="shared" si="1"/>
        <v>44.039412313432834</v>
      </c>
      <c r="G76" s="118">
        <f t="shared" si="4"/>
        <v>50</v>
      </c>
      <c r="H76" s="119">
        <f t="shared" si="2"/>
        <v>5.9605876865671661</v>
      </c>
      <c r="I76" s="118" t="str">
        <f t="shared" si="5"/>
        <v>YES</v>
      </c>
      <c r="J76" s="117">
        <f t="shared" si="3"/>
        <v>50</v>
      </c>
    </row>
    <row r="77" spans="2:10" ht="15" customHeight="1">
      <c r="B77" s="114">
        <v>2026</v>
      </c>
      <c r="C77" s="430">
        <f>K51</f>
        <v>59</v>
      </c>
      <c r="D77" s="431"/>
      <c r="E77" s="121">
        <f>E65</f>
        <v>0.77262126865671643</v>
      </c>
      <c r="F77" s="120">
        <f t="shared" si="1"/>
        <v>45.584654850746269</v>
      </c>
      <c r="G77" s="118">
        <f t="shared" si="4"/>
        <v>50</v>
      </c>
      <c r="H77" s="119">
        <f t="shared" si="2"/>
        <v>4.4153451492537314</v>
      </c>
      <c r="I77" s="118" t="str">
        <f t="shared" si="5"/>
        <v>YES</v>
      </c>
      <c r="J77" s="117">
        <f t="shared" si="3"/>
        <v>50</v>
      </c>
    </row>
    <row r="78" spans="2:10" ht="15" customHeight="1">
      <c r="B78" s="114">
        <v>2027</v>
      </c>
      <c r="C78" s="430">
        <f>L51</f>
        <v>61</v>
      </c>
      <c r="D78" s="431"/>
      <c r="E78" s="121">
        <f>E65</f>
        <v>0.77262126865671643</v>
      </c>
      <c r="F78" s="120">
        <f t="shared" si="1"/>
        <v>47.129897388059703</v>
      </c>
      <c r="G78" s="118">
        <f t="shared" si="4"/>
        <v>50</v>
      </c>
      <c r="H78" s="119">
        <f t="shared" si="2"/>
        <v>2.8701026119402968</v>
      </c>
      <c r="I78" s="118" t="str">
        <f t="shared" si="5"/>
        <v>YES</v>
      </c>
      <c r="J78" s="117">
        <f t="shared" si="3"/>
        <v>50</v>
      </c>
    </row>
    <row r="79" spans="2:10" ht="15" customHeight="1">
      <c r="B79" s="114">
        <v>2028</v>
      </c>
      <c r="C79" s="430">
        <f>M51</f>
        <v>61</v>
      </c>
      <c r="D79" s="431"/>
      <c r="E79" s="121">
        <f t="shared" ref="E79:E83" si="6">$E$65</f>
        <v>0.77262126865671643</v>
      </c>
      <c r="F79" s="120">
        <f t="shared" si="1"/>
        <v>47.129897388059703</v>
      </c>
      <c r="G79" s="118">
        <f t="shared" si="4"/>
        <v>50</v>
      </c>
      <c r="H79" s="119">
        <f t="shared" si="2"/>
        <v>2.8701026119402968</v>
      </c>
      <c r="I79" s="118" t="str">
        <f t="shared" si="5"/>
        <v>YES</v>
      </c>
      <c r="J79" s="117">
        <f t="shared" si="3"/>
        <v>50</v>
      </c>
    </row>
    <row r="80" spans="2:10" ht="15" customHeight="1">
      <c r="B80" s="114">
        <v>2029</v>
      </c>
      <c r="C80" s="430">
        <f>N51</f>
        <v>62</v>
      </c>
      <c r="D80" s="431"/>
      <c r="E80" s="121">
        <f t="shared" si="6"/>
        <v>0.77262126865671643</v>
      </c>
      <c r="F80" s="120">
        <f t="shared" si="1"/>
        <v>47.902518656716417</v>
      </c>
      <c r="G80" s="118">
        <f t="shared" si="4"/>
        <v>50</v>
      </c>
      <c r="H80" s="119">
        <f t="shared" si="2"/>
        <v>2.097481343283583</v>
      </c>
      <c r="I80" s="118" t="str">
        <f t="shared" si="5"/>
        <v>YES</v>
      </c>
      <c r="J80" s="117">
        <f t="shared" si="3"/>
        <v>50</v>
      </c>
    </row>
    <row r="81" spans="2:10" ht="15" customHeight="1">
      <c r="B81" s="114">
        <v>2030</v>
      </c>
      <c r="C81" s="430">
        <f>O51</f>
        <v>62</v>
      </c>
      <c r="D81" s="431"/>
      <c r="E81" s="121">
        <f t="shared" si="6"/>
        <v>0.77262126865671643</v>
      </c>
      <c r="F81" s="120">
        <f t="shared" si="1"/>
        <v>47.902518656716417</v>
      </c>
      <c r="G81" s="118">
        <f t="shared" si="4"/>
        <v>50</v>
      </c>
      <c r="H81" s="119">
        <f t="shared" si="2"/>
        <v>2.097481343283583</v>
      </c>
      <c r="I81" s="118" t="str">
        <f t="shared" si="5"/>
        <v>YES</v>
      </c>
      <c r="J81" s="117">
        <f t="shared" si="3"/>
        <v>50</v>
      </c>
    </row>
    <row r="82" spans="2:10" ht="15" customHeight="1">
      <c r="B82" s="114">
        <v>2031</v>
      </c>
      <c r="C82" s="430">
        <f>P51</f>
        <v>62</v>
      </c>
      <c r="D82" s="431"/>
      <c r="E82" s="121">
        <f t="shared" si="6"/>
        <v>0.77262126865671643</v>
      </c>
      <c r="F82" s="120">
        <f t="shared" si="1"/>
        <v>47.902518656716417</v>
      </c>
      <c r="G82" s="118">
        <f t="shared" si="4"/>
        <v>50</v>
      </c>
      <c r="H82" s="119">
        <f t="shared" si="2"/>
        <v>2.097481343283583</v>
      </c>
      <c r="I82" s="118" t="str">
        <f t="shared" si="5"/>
        <v>YES</v>
      </c>
      <c r="J82" s="117">
        <f t="shared" si="3"/>
        <v>50</v>
      </c>
    </row>
    <row r="83" spans="2:10" ht="15" customHeight="1">
      <c r="B83" s="114">
        <v>2032</v>
      </c>
      <c r="C83" s="430">
        <f>Q51</f>
        <v>62</v>
      </c>
      <c r="D83" s="431"/>
      <c r="E83" s="121">
        <f t="shared" si="6"/>
        <v>0.77262126865671643</v>
      </c>
      <c r="F83" s="120">
        <f t="shared" si="1"/>
        <v>47.902518656716417</v>
      </c>
      <c r="G83" s="118">
        <f t="shared" si="4"/>
        <v>50</v>
      </c>
      <c r="H83" s="119">
        <f t="shared" si="2"/>
        <v>2.097481343283583</v>
      </c>
      <c r="I83" s="118" t="str">
        <f t="shared" si="5"/>
        <v>YES</v>
      </c>
      <c r="J83" s="117">
        <f t="shared" si="3"/>
        <v>50</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Balgreen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59</v>
      </c>
      <c r="D91" s="112">
        <f t="shared" ref="D91:J91" si="7">D188</f>
        <v>54</v>
      </c>
      <c r="E91" s="112">
        <f t="shared" si="7"/>
        <v>63</v>
      </c>
      <c r="F91" s="112">
        <f t="shared" si="7"/>
        <v>49</v>
      </c>
      <c r="G91" s="112">
        <f t="shared" si="7"/>
        <v>43</v>
      </c>
      <c r="H91" s="112">
        <f t="shared" si="7"/>
        <v>44</v>
      </c>
      <c r="I91" s="112">
        <f t="shared" si="7"/>
        <v>42</v>
      </c>
      <c r="J91" s="213">
        <f t="shared" si="7"/>
        <v>354</v>
      </c>
    </row>
    <row r="92" spans="2:10" ht="15" customHeight="1">
      <c r="B92" s="114">
        <v>2014</v>
      </c>
      <c r="C92" s="112">
        <f>C189</f>
        <v>57</v>
      </c>
      <c r="D92" s="112">
        <f t="shared" ref="D92:J92" si="8">D189</f>
        <v>55</v>
      </c>
      <c r="E92" s="112">
        <f t="shared" si="8"/>
        <v>49</v>
      </c>
      <c r="F92" s="112">
        <f t="shared" si="8"/>
        <v>61</v>
      </c>
      <c r="G92" s="112">
        <f t="shared" si="8"/>
        <v>50</v>
      </c>
      <c r="H92" s="112">
        <f t="shared" si="8"/>
        <v>42</v>
      </c>
      <c r="I92" s="112">
        <f t="shared" si="8"/>
        <v>42</v>
      </c>
      <c r="J92" s="213">
        <f t="shared" si="8"/>
        <v>356</v>
      </c>
    </row>
    <row r="93" spans="2:10" ht="15" customHeight="1">
      <c r="B93" s="114">
        <v>2015</v>
      </c>
      <c r="C93" s="112">
        <f>C190</f>
        <v>64</v>
      </c>
      <c r="D93" s="112">
        <f t="shared" ref="D93:J93" si="9">D190</f>
        <v>58</v>
      </c>
      <c r="E93" s="112">
        <f t="shared" si="9"/>
        <v>51</v>
      </c>
      <c r="F93" s="112">
        <f t="shared" si="9"/>
        <v>44</v>
      </c>
      <c r="G93" s="112">
        <f t="shared" si="9"/>
        <v>58</v>
      </c>
      <c r="H93" s="112">
        <f t="shared" si="9"/>
        <v>45</v>
      </c>
      <c r="I93" s="112">
        <f t="shared" si="9"/>
        <v>36</v>
      </c>
      <c r="J93" s="213">
        <f t="shared" si="9"/>
        <v>356</v>
      </c>
    </row>
    <row r="94" spans="2:10" ht="15" customHeight="1">
      <c r="B94" s="114">
        <v>2016</v>
      </c>
      <c r="C94" s="112">
        <f>C191</f>
        <v>56</v>
      </c>
      <c r="D94" s="112">
        <f t="shared" ref="D94:J94" si="10">D191</f>
        <v>59</v>
      </c>
      <c r="E94" s="112">
        <f t="shared" si="10"/>
        <v>54</v>
      </c>
      <c r="F94" s="112">
        <f t="shared" si="10"/>
        <v>48</v>
      </c>
      <c r="G94" s="112">
        <f t="shared" si="10"/>
        <v>37</v>
      </c>
      <c r="H94" s="112">
        <f t="shared" si="10"/>
        <v>58</v>
      </c>
      <c r="I94" s="112">
        <f t="shared" si="10"/>
        <v>45</v>
      </c>
      <c r="J94" s="213">
        <f t="shared" si="10"/>
        <v>357</v>
      </c>
    </row>
    <row r="95" spans="2:10" ht="15" customHeight="1">
      <c r="B95" s="114">
        <v>2017</v>
      </c>
      <c r="C95" s="112">
        <f>C192</f>
        <v>60</v>
      </c>
      <c r="D95" s="112">
        <f t="shared" ref="D95:J95" si="11">D192</f>
        <v>50</v>
      </c>
      <c r="E95" s="112">
        <f t="shared" si="11"/>
        <v>58</v>
      </c>
      <c r="F95" s="112">
        <f t="shared" si="11"/>
        <v>49</v>
      </c>
      <c r="G95" s="112">
        <f t="shared" si="11"/>
        <v>45</v>
      </c>
      <c r="H95" s="112">
        <f t="shared" si="11"/>
        <v>32</v>
      </c>
      <c r="I95" s="112">
        <f t="shared" si="11"/>
        <v>54</v>
      </c>
      <c r="J95" s="213">
        <f t="shared" si="11"/>
        <v>348</v>
      </c>
    </row>
    <row r="96" spans="2:10" ht="15" customHeight="1">
      <c r="B96" s="307">
        <v>2018</v>
      </c>
      <c r="C96" s="112">
        <f t="shared" ref="C96:J96" si="12">C193</f>
        <v>60</v>
      </c>
      <c r="D96" s="112">
        <f t="shared" si="12"/>
        <v>55</v>
      </c>
      <c r="E96" s="112">
        <f t="shared" si="12"/>
        <v>55</v>
      </c>
      <c r="F96" s="112">
        <f t="shared" si="12"/>
        <v>55</v>
      </c>
      <c r="G96" s="112">
        <f t="shared" si="12"/>
        <v>50</v>
      </c>
      <c r="H96" s="112">
        <f t="shared" si="12"/>
        <v>50</v>
      </c>
      <c r="I96" s="112">
        <f t="shared" si="12"/>
        <v>33</v>
      </c>
      <c r="J96" s="213">
        <f t="shared" si="12"/>
        <v>358</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7.8125E-2</v>
      </c>
      <c r="E98" s="210">
        <f t="shared" ref="E98:I98" si="13">MEDIAN(((D91-E92)/D91),((D92-E93)/D92),((D93-E94)/D93),((D94-E95)/D94),((D95-E96)/D95))</f>
        <v>6.8965517241379309E-2</v>
      </c>
      <c r="F98" s="210">
        <f t="shared" si="13"/>
        <v>5.8823529411764705E-2</v>
      </c>
      <c r="G98" s="210">
        <f t="shared" si="13"/>
        <v>4.9180327868852458E-2</v>
      </c>
      <c r="H98" s="210">
        <f t="shared" si="13"/>
        <v>2.3255813953488372E-2</v>
      </c>
      <c r="I98" s="210">
        <f t="shared" si="13"/>
        <v>4.5454545454545456E-2</v>
      </c>
    </row>
    <row r="99" spans="2:10" ht="15" customHeight="1">
      <c r="B99" s="59"/>
      <c r="C99" s="60"/>
      <c r="D99" s="61"/>
      <c r="E99" s="61"/>
      <c r="F99" s="61"/>
      <c r="G99" s="61"/>
      <c r="H99" s="61"/>
      <c r="I99" s="61"/>
      <c r="J99" s="58"/>
    </row>
    <row r="100" spans="2:10" ht="15" customHeight="1">
      <c r="B100" s="15" t="str">
        <f>"Table 4B: "&amp;E3&amp;" Projected Roll by Stage (incorporating Projected P1 and Drop-Off Rates), 2019-2032"</f>
        <v>Table 4B: Balgreen Primary School Projected Roll by Stage (incorporating Projected P1 and Drop-Off Rates), 2019-2032</v>
      </c>
      <c r="F100" s="14"/>
      <c r="G100" s="14"/>
    </row>
    <row r="101" spans="2:10" ht="15" customHeight="1">
      <c r="F101" s="14"/>
      <c r="G101" s="14"/>
    </row>
    <row r="102" spans="2:10" ht="15" customHeight="1">
      <c r="B102" s="115"/>
      <c r="C102" s="109" t="s">
        <v>1</v>
      </c>
      <c r="D102" s="109" t="s">
        <v>2</v>
      </c>
      <c r="E102" s="109" t="s">
        <v>3</v>
      </c>
      <c r="F102" s="109" t="s">
        <v>4</v>
      </c>
      <c r="G102" s="109" t="s">
        <v>5</v>
      </c>
      <c r="H102" s="109" t="s">
        <v>6</v>
      </c>
      <c r="I102" s="109" t="s">
        <v>7</v>
      </c>
      <c r="J102" s="109" t="s">
        <v>8</v>
      </c>
    </row>
    <row r="103" spans="2:10" ht="15" customHeight="1">
      <c r="B103" s="114">
        <v>2019</v>
      </c>
      <c r="C103" s="113">
        <f t="shared" ref="C103:C116" si="14">J70</f>
        <v>60</v>
      </c>
      <c r="D103" s="324">
        <f>ROUND((C96)-(C96*$D$98),0)</f>
        <v>55</v>
      </c>
      <c r="E103" s="324">
        <f>ROUND((D96)-(D96*$E$98),0)</f>
        <v>51</v>
      </c>
      <c r="F103" s="324">
        <f>ROUND((E96)-(E96*$F$98),0)</f>
        <v>52</v>
      </c>
      <c r="G103" s="324">
        <f>ROUND((F96)-(F96*$G$98),0)</f>
        <v>52</v>
      </c>
      <c r="H103" s="324">
        <f>ROUND((G96)-(G96*$H$98),0)</f>
        <v>49</v>
      </c>
      <c r="I103" s="324">
        <f>ROUND((H96)-(H96*$I$98),0)</f>
        <v>48</v>
      </c>
      <c r="J103" s="111">
        <f t="shared" ref="J103:J116" si="15">SUM(C103:I103)</f>
        <v>367</v>
      </c>
    </row>
    <row r="104" spans="2:10" ht="15" customHeight="1">
      <c r="B104" s="114">
        <v>2020</v>
      </c>
      <c r="C104" s="113">
        <f t="shared" si="14"/>
        <v>50</v>
      </c>
      <c r="D104" s="324">
        <f>ROUND((C103-E50)-(C103*$D$98),0)</f>
        <v>55</v>
      </c>
      <c r="E104" s="112">
        <f t="shared" ref="E104:E116" si="16">ROUND((D103)-(D103*$E$98),0)</f>
        <v>51</v>
      </c>
      <c r="F104" s="112">
        <f t="shared" ref="F104:F116" si="17">ROUND((E103)-(E103*$F$98),0)</f>
        <v>48</v>
      </c>
      <c r="G104" s="112">
        <f t="shared" ref="G104:G116" si="18">ROUND((F103)-(F103*$G$98),0)</f>
        <v>49</v>
      </c>
      <c r="H104" s="112">
        <f t="shared" ref="H104:H116" si="19">ROUND((G103)-(G103*$H$98),0)</f>
        <v>51</v>
      </c>
      <c r="I104" s="112">
        <f t="shared" ref="I104:I116" si="20">ROUND((H103)-(H103*$I$98),0)</f>
        <v>47</v>
      </c>
      <c r="J104" s="111">
        <f t="shared" si="15"/>
        <v>351</v>
      </c>
    </row>
    <row r="105" spans="2:10" ht="15" customHeight="1">
      <c r="B105" s="114">
        <v>2021</v>
      </c>
      <c r="C105" s="113">
        <f t="shared" si="14"/>
        <v>48.176305970149258</v>
      </c>
      <c r="D105" s="324">
        <f>ROUND((C104-F50)-(C104*$D$98),0)</f>
        <v>46</v>
      </c>
      <c r="E105" s="112">
        <f t="shared" si="16"/>
        <v>51</v>
      </c>
      <c r="F105" s="112">
        <f t="shared" si="17"/>
        <v>48</v>
      </c>
      <c r="G105" s="112">
        <f t="shared" si="18"/>
        <v>46</v>
      </c>
      <c r="H105" s="112">
        <f t="shared" si="19"/>
        <v>48</v>
      </c>
      <c r="I105" s="112">
        <f t="shared" si="20"/>
        <v>49</v>
      </c>
      <c r="J105" s="111">
        <f t="shared" si="15"/>
        <v>336.17630597014926</v>
      </c>
    </row>
    <row r="106" spans="2:10" ht="15" customHeight="1">
      <c r="B106" s="114">
        <v>2022</v>
      </c>
      <c r="C106" s="113">
        <f t="shared" si="14"/>
        <v>44.313199626865675</v>
      </c>
      <c r="D106" s="324">
        <f>ROUND((C105-G50)-(C105*$D$98),0)</f>
        <v>44</v>
      </c>
      <c r="E106" s="112">
        <f t="shared" si="16"/>
        <v>43</v>
      </c>
      <c r="F106" s="112">
        <f t="shared" si="17"/>
        <v>48</v>
      </c>
      <c r="G106" s="112">
        <f t="shared" si="18"/>
        <v>46</v>
      </c>
      <c r="H106" s="112">
        <f t="shared" si="19"/>
        <v>45</v>
      </c>
      <c r="I106" s="112">
        <f t="shared" si="20"/>
        <v>46</v>
      </c>
      <c r="J106" s="111">
        <f t="shared" si="15"/>
        <v>316.31319962686564</v>
      </c>
    </row>
    <row r="107" spans="2:10" ht="15" customHeight="1">
      <c r="B107" s="114">
        <v>2023</v>
      </c>
      <c r="C107" s="113">
        <f t="shared" si="14"/>
        <v>49.721548507462686</v>
      </c>
      <c r="D107" s="324">
        <f>ROUND((C106-H50)-(C106*$D$98),0)</f>
        <v>40</v>
      </c>
      <c r="E107" s="112">
        <f t="shared" si="16"/>
        <v>41</v>
      </c>
      <c r="F107" s="112">
        <f t="shared" si="17"/>
        <v>40</v>
      </c>
      <c r="G107" s="112">
        <f t="shared" si="18"/>
        <v>46</v>
      </c>
      <c r="H107" s="112">
        <f t="shared" si="19"/>
        <v>45</v>
      </c>
      <c r="I107" s="112">
        <f t="shared" si="20"/>
        <v>43</v>
      </c>
      <c r="J107" s="111">
        <f t="shared" si="15"/>
        <v>304.72154850746267</v>
      </c>
    </row>
    <row r="108" spans="2:10" ht="15" customHeight="1">
      <c r="B108" s="114">
        <v>2024</v>
      </c>
      <c r="C108" s="113">
        <f t="shared" si="14"/>
        <v>50</v>
      </c>
      <c r="D108" s="324">
        <f>ROUND((C107-I50)-(C107*$D$98),0)</f>
        <v>44</v>
      </c>
      <c r="E108" s="112">
        <f t="shared" si="16"/>
        <v>37</v>
      </c>
      <c r="F108" s="112">
        <f t="shared" si="17"/>
        <v>39</v>
      </c>
      <c r="G108" s="112">
        <f t="shared" si="18"/>
        <v>38</v>
      </c>
      <c r="H108" s="112">
        <f t="shared" si="19"/>
        <v>45</v>
      </c>
      <c r="I108" s="112">
        <f t="shared" si="20"/>
        <v>43</v>
      </c>
      <c r="J108" s="111">
        <f t="shared" si="15"/>
        <v>296</v>
      </c>
    </row>
    <row r="109" spans="2:10" ht="15" customHeight="1">
      <c r="B109" s="114">
        <v>2025</v>
      </c>
      <c r="C109" s="113">
        <f t="shared" si="14"/>
        <v>50</v>
      </c>
      <c r="D109" s="324">
        <f>ROUND((C108-J50)-(C108*$D$98),0)</f>
        <v>44</v>
      </c>
      <c r="E109" s="112">
        <f t="shared" si="16"/>
        <v>41</v>
      </c>
      <c r="F109" s="112">
        <f t="shared" si="17"/>
        <v>35</v>
      </c>
      <c r="G109" s="112">
        <f t="shared" si="18"/>
        <v>37</v>
      </c>
      <c r="H109" s="112">
        <f t="shared" si="19"/>
        <v>37</v>
      </c>
      <c r="I109" s="112">
        <f t="shared" si="20"/>
        <v>43</v>
      </c>
      <c r="J109" s="111">
        <f t="shared" si="15"/>
        <v>287</v>
      </c>
    </row>
    <row r="110" spans="2:10" ht="15" customHeight="1">
      <c r="B110" s="114">
        <v>2026</v>
      </c>
      <c r="C110" s="113">
        <f t="shared" si="14"/>
        <v>50</v>
      </c>
      <c r="D110" s="324">
        <f>ROUND((C109-K50)-(C109*$D$98),0)</f>
        <v>42</v>
      </c>
      <c r="E110" s="112">
        <f t="shared" si="16"/>
        <v>41</v>
      </c>
      <c r="F110" s="112">
        <f t="shared" si="17"/>
        <v>39</v>
      </c>
      <c r="G110" s="112">
        <f t="shared" si="18"/>
        <v>33</v>
      </c>
      <c r="H110" s="112">
        <f t="shared" si="19"/>
        <v>36</v>
      </c>
      <c r="I110" s="112">
        <f t="shared" si="20"/>
        <v>35</v>
      </c>
      <c r="J110" s="111">
        <f t="shared" si="15"/>
        <v>276</v>
      </c>
    </row>
    <row r="111" spans="2:10" ht="15" customHeight="1">
      <c r="B111" s="114">
        <v>2027</v>
      </c>
      <c r="C111" s="113">
        <f t="shared" si="14"/>
        <v>50</v>
      </c>
      <c r="D111" s="324">
        <f>ROUND((C110-L50)-(C110*$D$98),0)</f>
        <v>41</v>
      </c>
      <c r="E111" s="112">
        <f t="shared" si="16"/>
        <v>39</v>
      </c>
      <c r="F111" s="112">
        <f t="shared" si="17"/>
        <v>39</v>
      </c>
      <c r="G111" s="112">
        <f t="shared" si="18"/>
        <v>37</v>
      </c>
      <c r="H111" s="112">
        <f t="shared" si="19"/>
        <v>32</v>
      </c>
      <c r="I111" s="112">
        <f t="shared" si="20"/>
        <v>34</v>
      </c>
      <c r="J111" s="111">
        <f t="shared" si="15"/>
        <v>272</v>
      </c>
    </row>
    <row r="112" spans="2:10" ht="15" customHeight="1">
      <c r="B112" s="114">
        <v>2028</v>
      </c>
      <c r="C112" s="113">
        <f t="shared" si="14"/>
        <v>50</v>
      </c>
      <c r="D112" s="324">
        <f>ROUND((C111-M50)-(C111*$D$98),0)</f>
        <v>41</v>
      </c>
      <c r="E112" s="112">
        <f t="shared" si="16"/>
        <v>38</v>
      </c>
      <c r="F112" s="112">
        <f t="shared" si="17"/>
        <v>37</v>
      </c>
      <c r="G112" s="112">
        <f t="shared" si="18"/>
        <v>37</v>
      </c>
      <c r="H112" s="112">
        <f t="shared" si="19"/>
        <v>36</v>
      </c>
      <c r="I112" s="112">
        <f t="shared" si="20"/>
        <v>31</v>
      </c>
      <c r="J112" s="111">
        <f t="shared" si="15"/>
        <v>270</v>
      </c>
    </row>
    <row r="113" spans="2:10" ht="15" customHeight="1">
      <c r="B113" s="114">
        <v>2029</v>
      </c>
      <c r="C113" s="113">
        <f t="shared" si="14"/>
        <v>50</v>
      </c>
      <c r="D113" s="324">
        <f>ROUND((C112-N50)-(C112*$D$98),0)</f>
        <v>40</v>
      </c>
      <c r="E113" s="112">
        <f t="shared" si="16"/>
        <v>38</v>
      </c>
      <c r="F113" s="112">
        <f t="shared" si="17"/>
        <v>36</v>
      </c>
      <c r="G113" s="112">
        <f t="shared" si="18"/>
        <v>35</v>
      </c>
      <c r="H113" s="112">
        <f t="shared" si="19"/>
        <v>36</v>
      </c>
      <c r="I113" s="112">
        <f t="shared" si="20"/>
        <v>34</v>
      </c>
      <c r="J113" s="111">
        <f t="shared" si="15"/>
        <v>269</v>
      </c>
    </row>
    <row r="114" spans="2:10" ht="15" customHeight="1">
      <c r="B114" s="114">
        <v>2030</v>
      </c>
      <c r="C114" s="113">
        <f t="shared" si="14"/>
        <v>50</v>
      </c>
      <c r="D114" s="324">
        <f>ROUND((C113-O50)-(C113*$D$98),0)</f>
        <v>40</v>
      </c>
      <c r="E114" s="112">
        <f t="shared" si="16"/>
        <v>37</v>
      </c>
      <c r="F114" s="112">
        <f t="shared" si="17"/>
        <v>36</v>
      </c>
      <c r="G114" s="112">
        <f t="shared" si="18"/>
        <v>34</v>
      </c>
      <c r="H114" s="112">
        <f t="shared" si="19"/>
        <v>34</v>
      </c>
      <c r="I114" s="112">
        <f t="shared" si="20"/>
        <v>34</v>
      </c>
      <c r="J114" s="111">
        <f t="shared" si="15"/>
        <v>265</v>
      </c>
    </row>
    <row r="115" spans="2:10" ht="15" customHeight="1">
      <c r="B115" s="114">
        <v>2031</v>
      </c>
      <c r="C115" s="113">
        <f t="shared" si="14"/>
        <v>50</v>
      </c>
      <c r="D115" s="324">
        <f>ROUND((C114-P50)-(C114*$D$98),0)</f>
        <v>40</v>
      </c>
      <c r="E115" s="112">
        <f t="shared" si="16"/>
        <v>37</v>
      </c>
      <c r="F115" s="112">
        <f t="shared" si="17"/>
        <v>35</v>
      </c>
      <c r="G115" s="112">
        <f t="shared" si="18"/>
        <v>34</v>
      </c>
      <c r="H115" s="112">
        <f t="shared" si="19"/>
        <v>33</v>
      </c>
      <c r="I115" s="112">
        <f t="shared" si="20"/>
        <v>32</v>
      </c>
      <c r="J115" s="111">
        <f t="shared" si="15"/>
        <v>261</v>
      </c>
    </row>
    <row r="116" spans="2:10" ht="15" customHeight="1">
      <c r="B116" s="114">
        <v>2032</v>
      </c>
      <c r="C116" s="113">
        <f t="shared" si="14"/>
        <v>50</v>
      </c>
      <c r="D116" s="324">
        <f>ROUND((C115-Q50)-(C115*$D$98),0)</f>
        <v>40</v>
      </c>
      <c r="E116" s="112">
        <f t="shared" si="16"/>
        <v>37</v>
      </c>
      <c r="F116" s="112">
        <f t="shared" si="17"/>
        <v>35</v>
      </c>
      <c r="G116" s="112">
        <f t="shared" si="18"/>
        <v>33</v>
      </c>
      <c r="H116" s="112">
        <f t="shared" si="19"/>
        <v>33</v>
      </c>
      <c r="I116" s="112">
        <f t="shared" si="20"/>
        <v>32</v>
      </c>
      <c r="J116" s="111">
        <f t="shared" si="15"/>
        <v>260</v>
      </c>
    </row>
    <row r="117" spans="2:10" ht="15" customHeight="1">
      <c r="F117" s="14"/>
      <c r="G117" s="14"/>
    </row>
    <row r="118" spans="2:10" ht="15" customHeight="1">
      <c r="B118" s="15" t="str">
        <f>"Table 4C: "&amp;E3&amp;" Projected Pupil Generation from Housing Development, 2019-2032"</f>
        <v>Table 4C: Balgreen Primary School Projected Pupil Generation from Housing Development, 2019-2032</v>
      </c>
      <c r="F118" s="14"/>
      <c r="G118" s="14"/>
    </row>
    <row r="119" spans="2:10" ht="15" customHeight="1">
      <c r="F119" s="14"/>
      <c r="G119" s="14"/>
    </row>
    <row r="120" spans="2:10" ht="15" customHeight="1">
      <c r="B120" s="115"/>
      <c r="C120" s="109" t="s">
        <v>1</v>
      </c>
      <c r="D120" s="109" t="s">
        <v>2</v>
      </c>
      <c r="E120" s="109" t="s">
        <v>3</v>
      </c>
      <c r="F120" s="109" t="s">
        <v>4</v>
      </c>
      <c r="G120" s="109" t="s">
        <v>5</v>
      </c>
      <c r="H120" s="109" t="s">
        <v>6</v>
      </c>
      <c r="I120" s="109" t="s">
        <v>7</v>
      </c>
      <c r="J120" s="109" t="s">
        <v>8</v>
      </c>
    </row>
    <row r="121" spans="2:10" ht="15" customHeight="1">
      <c r="B121" s="114">
        <v>2019</v>
      </c>
      <c r="C121" s="116" t="s">
        <v>97</v>
      </c>
      <c r="D121" s="112">
        <f>VLOOKUP($E$3,'Housing Generation'!$A$3:$BE$90,11,FALSE)</f>
        <v>0</v>
      </c>
      <c r="E121" s="112">
        <f>VLOOKUP($E$3,'Housing Generation'!$A$3:$BE$90,12,FALSE)</f>
        <v>0</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0</v>
      </c>
    </row>
    <row r="122" spans="2:10" ht="15" customHeight="1">
      <c r="B122" s="114">
        <v>2020</v>
      </c>
      <c r="C122" s="116" t="s">
        <v>97</v>
      </c>
      <c r="D122" s="112">
        <f>VLOOKUP($E$3,'Housing Generation'!$A$3:$BE$90,19,FALSE)</f>
        <v>0</v>
      </c>
      <c r="E122" s="112">
        <f>VLOOKUP($E$3,'Housing Generation'!$A$3:$BE$90,20,FALSE)</f>
        <v>0</v>
      </c>
      <c r="F122" s="112">
        <f>VLOOKUP($E$3,'Housing Generation'!$A$3:$BE$90,21,FALSE)</f>
        <v>0</v>
      </c>
      <c r="G122" s="112">
        <f>VLOOKUP($E$3,'Housing Generation'!$A$3:$BE$90,22,FALSE)</f>
        <v>0</v>
      </c>
      <c r="H122" s="112">
        <f>VLOOKUP($E$3,'Housing Generation'!$A$3:$BE$90,23,FALSE)</f>
        <v>0</v>
      </c>
      <c r="I122" s="112">
        <f>VLOOKUP($E$3,'Housing Generation'!$A$3:$BE$90,24,FALSE)</f>
        <v>0</v>
      </c>
      <c r="J122" s="111">
        <f t="shared" si="21"/>
        <v>0</v>
      </c>
    </row>
    <row r="123" spans="2:10" ht="15" customHeight="1">
      <c r="B123" s="114">
        <v>2021</v>
      </c>
      <c r="C123" s="116" t="s">
        <v>97</v>
      </c>
      <c r="D123" s="112">
        <f>VLOOKUP($E$3,'Housing Generation'!$A$3:$BE$90,27,FALSE)</f>
        <v>0</v>
      </c>
      <c r="E123" s="112">
        <f>VLOOKUP($E$3,'Housing Generation'!$A$3:$BE$90,28,FALSE)</f>
        <v>0</v>
      </c>
      <c r="F123" s="112">
        <f>VLOOKUP($E$3,'Housing Generation'!$A$3:$BE$90,29,FALSE)</f>
        <v>0</v>
      </c>
      <c r="G123" s="112">
        <f>VLOOKUP($E$3,'Housing Generation'!$A$3:$BE$90,30,FALSE)</f>
        <v>0</v>
      </c>
      <c r="H123" s="112">
        <f>VLOOKUP($E$3,'Housing Generation'!$A$3:$BE$90,31,FALSE)</f>
        <v>0</v>
      </c>
      <c r="I123" s="112">
        <f>VLOOKUP($E$3,'Housing Generation'!$A$3:$BE$90,32,FALSE)</f>
        <v>0</v>
      </c>
      <c r="J123" s="111">
        <f t="shared" si="21"/>
        <v>0</v>
      </c>
    </row>
    <row r="124" spans="2:10" ht="15" customHeight="1">
      <c r="B124" s="114">
        <v>2022</v>
      </c>
      <c r="C124" s="116" t="s">
        <v>97</v>
      </c>
      <c r="D124" s="112">
        <f>VLOOKUP($E$3,'Housing Generation'!$A$3:$BE$90,35,FALSE)</f>
        <v>0</v>
      </c>
      <c r="E124" s="112">
        <f>VLOOKUP($E$3,'Housing Generation'!$A$3:$BE$90,36,FALSE)</f>
        <v>0</v>
      </c>
      <c r="F124" s="112">
        <f>VLOOKUP($E$3,'Housing Generation'!$A$3:$BE$90,37,FALSE)</f>
        <v>0</v>
      </c>
      <c r="G124" s="112">
        <f>VLOOKUP($E$3,'Housing Generation'!$A$3:$BE$90,38,FALSE)</f>
        <v>0</v>
      </c>
      <c r="H124" s="112">
        <f>VLOOKUP($E$3,'Housing Generation'!$A$3:$BE$90,39,FALSE)</f>
        <v>0</v>
      </c>
      <c r="I124" s="112">
        <f>VLOOKUP($E$3,'Housing Generation'!$A$3:$BE$90,40,FALSE)</f>
        <v>0</v>
      </c>
      <c r="J124" s="111">
        <f t="shared" si="21"/>
        <v>0</v>
      </c>
    </row>
    <row r="125" spans="2:10" ht="15" customHeight="1">
      <c r="B125" s="114">
        <v>2023</v>
      </c>
      <c r="C125" s="116" t="s">
        <v>97</v>
      </c>
      <c r="D125" s="112">
        <f>VLOOKUP($E$3,'Housing Generation'!$A$3:$BE$90,43,FALSE)</f>
        <v>1</v>
      </c>
      <c r="E125" s="112">
        <f>VLOOKUP($E$3,'Housing Generation'!$A$3:$BE$90,44,FALSE)</f>
        <v>1</v>
      </c>
      <c r="F125" s="112">
        <f>VLOOKUP($E$3,'Housing Generation'!$A$3:$BE$90,45,FALSE)</f>
        <v>1</v>
      </c>
      <c r="G125" s="112">
        <f>VLOOKUP($E$3,'Housing Generation'!$A$3:$BE$90,46,FALSE)</f>
        <v>0</v>
      </c>
      <c r="H125" s="112">
        <f>VLOOKUP($E$3,'Housing Generation'!$A$3:$BE$90,47,FALSE)</f>
        <v>0</v>
      </c>
      <c r="I125" s="112">
        <f>VLOOKUP($E$3,'Housing Generation'!$A$3:$BE$90,48,FALSE)</f>
        <v>0</v>
      </c>
      <c r="J125" s="111">
        <f t="shared" si="21"/>
        <v>3</v>
      </c>
    </row>
    <row r="126" spans="2:10" ht="15" customHeight="1">
      <c r="B126" s="114">
        <v>2024</v>
      </c>
      <c r="C126" s="116" t="s">
        <v>97</v>
      </c>
      <c r="D126" s="112">
        <f>VLOOKUP($E$3,'Housing Generation'!$A$3:$BE$90,51,FALSE)</f>
        <v>2</v>
      </c>
      <c r="E126" s="112">
        <f>VLOOKUP($E$3,'Housing Generation'!$A$3:$BE$90,52,FALSE)</f>
        <v>1</v>
      </c>
      <c r="F126" s="112">
        <f>VLOOKUP($E$3,'Housing Generation'!$A$3:$BE$90,53,FALSE)</f>
        <v>1</v>
      </c>
      <c r="G126" s="112">
        <f>VLOOKUP($E$3,'Housing Generation'!$A$3:$BE$90,54,FALSE)</f>
        <v>1</v>
      </c>
      <c r="H126" s="112">
        <f>VLOOKUP($E$3,'Housing Generation'!$A$3:$BE$90,55,FALSE)</f>
        <v>1</v>
      </c>
      <c r="I126" s="112">
        <f>VLOOKUP($E$3,'Housing Generation'!$A$3:$BE$90,56,FALSE)</f>
        <v>1</v>
      </c>
      <c r="J126" s="111">
        <f t="shared" si="21"/>
        <v>7</v>
      </c>
    </row>
    <row r="127" spans="2:10" ht="15" customHeight="1">
      <c r="B127" s="114">
        <v>2025</v>
      </c>
      <c r="C127" s="240" t="s">
        <v>97</v>
      </c>
      <c r="D127" s="112">
        <f>VLOOKUP($E$3,'Housing Generation'!$A$3:$CK$90,59,FALSE)</f>
        <v>2</v>
      </c>
      <c r="E127" s="112">
        <f>VLOOKUP($E$3,'Housing Generation'!$A$3:$CK$90,60,FALSE)</f>
        <v>2</v>
      </c>
      <c r="F127" s="112">
        <f>VLOOKUP($E$3,'Housing Generation'!$A$3:$CK$90,61,FALSE)</f>
        <v>2</v>
      </c>
      <c r="G127" s="112">
        <f>VLOOKUP($E$3,'Housing Generation'!$A$3:$CK$90,62,FALSE)</f>
        <v>2</v>
      </c>
      <c r="H127" s="112">
        <f>VLOOKUP($E$3,'Housing Generation'!$A$3:$CK$90,63,FALSE)</f>
        <v>2</v>
      </c>
      <c r="I127" s="112">
        <f>VLOOKUP($E$3,'Housing Generation'!$A$3:$CK$90,64,FALSE)</f>
        <v>2</v>
      </c>
      <c r="J127" s="111">
        <f t="shared" si="21"/>
        <v>12</v>
      </c>
    </row>
    <row r="128" spans="2:10" ht="15" customHeight="1">
      <c r="B128" s="114">
        <v>2026</v>
      </c>
      <c r="C128" s="240" t="s">
        <v>97</v>
      </c>
      <c r="D128" s="112">
        <f>VLOOKUP($E$3,'Housing Generation'!$A$3:$CK$90,67,FALSE)</f>
        <v>3</v>
      </c>
      <c r="E128" s="112">
        <f>VLOOKUP($E$3,'Housing Generation'!$A$3:$CK$90,68,FALSE)</f>
        <v>3</v>
      </c>
      <c r="F128" s="112">
        <f>VLOOKUP($E$3,'Housing Generation'!$A$3:$CK$90,69,FALSE)</f>
        <v>3</v>
      </c>
      <c r="G128" s="112">
        <f>VLOOKUP($E$3,'Housing Generation'!$A$3:$CK$90,70,FALSE)</f>
        <v>3</v>
      </c>
      <c r="H128" s="112">
        <f>VLOOKUP($E$3,'Housing Generation'!$A$3:$CK$90,71,FALSE)</f>
        <v>3</v>
      </c>
      <c r="I128" s="112">
        <f>VLOOKUP($E$3,'Housing Generation'!$A$3:$CK$90,72,FALSE)</f>
        <v>3</v>
      </c>
      <c r="J128" s="111">
        <f t="shared" si="21"/>
        <v>18</v>
      </c>
    </row>
    <row r="129" spans="2:10" ht="15" customHeight="1">
      <c r="B129" s="114">
        <v>2027</v>
      </c>
      <c r="C129" s="240" t="s">
        <v>97</v>
      </c>
      <c r="D129" s="112">
        <f>VLOOKUP($E$3,'Housing Generation'!$A$3:$CK$90,75,FALSE)</f>
        <v>5</v>
      </c>
      <c r="E129" s="112">
        <f>VLOOKUP($E$3,'Housing Generation'!$A$3:$CK$90,76,FALSE)</f>
        <v>4</v>
      </c>
      <c r="F129" s="112">
        <f>VLOOKUP($E$3,'Housing Generation'!$A$3:$CK$90,77,FALSE)</f>
        <v>4</v>
      </c>
      <c r="G129" s="112">
        <f>VLOOKUP($E$3,'Housing Generation'!$A$3:$CK$90,78,FALSE)</f>
        <v>4</v>
      </c>
      <c r="H129" s="112">
        <f>VLOOKUP($E$3,'Housing Generation'!$A$3:$CK$90,79,FALSE)</f>
        <v>4</v>
      </c>
      <c r="I129" s="112">
        <f>VLOOKUP($E$3,'Housing Generation'!$A$3:$CK$90,80,FALSE)</f>
        <v>4</v>
      </c>
      <c r="J129" s="111">
        <f t="shared" si="21"/>
        <v>25</v>
      </c>
    </row>
    <row r="130" spans="2:10" ht="15" customHeight="1">
      <c r="B130" s="114">
        <v>2028</v>
      </c>
      <c r="C130" s="289" t="s">
        <v>97</v>
      </c>
      <c r="D130" s="112">
        <f>VLOOKUP($E$3,'Housing Generation'!$A$3:$CK$90,83,FALSE)</f>
        <v>5</v>
      </c>
      <c r="E130" s="112">
        <f>VLOOKUP($E$3,'Housing Generation'!$A$3:$CK$90,84,FALSE)</f>
        <v>5</v>
      </c>
      <c r="F130" s="112">
        <f>VLOOKUP($E$3,'Housing Generation'!$A$3:$CK$90,85,FALSE)</f>
        <v>5</v>
      </c>
      <c r="G130" s="112">
        <f>VLOOKUP($E$3,'Housing Generation'!$A$3:$CK$90,86,FALSE)</f>
        <v>5</v>
      </c>
      <c r="H130" s="112">
        <f>VLOOKUP($E$3,'Housing Generation'!$A$3:$CK$90,87,FALSE)</f>
        <v>5</v>
      </c>
      <c r="I130" s="112">
        <f>VLOOKUP($E$3,'Housing Generation'!$A$3:$CK$90,88,FALSE)</f>
        <v>5</v>
      </c>
      <c r="J130" s="111">
        <f t="shared" si="21"/>
        <v>30</v>
      </c>
    </row>
    <row r="131" spans="2:10" ht="15" customHeight="1">
      <c r="B131" s="114">
        <v>2029</v>
      </c>
      <c r="C131" s="289" t="s">
        <v>97</v>
      </c>
      <c r="D131" s="112">
        <f>VLOOKUP($E$3,'Housing Generation'!$A$3:$DQ$90,91,FALSE)</f>
        <v>6</v>
      </c>
      <c r="E131" s="112">
        <f>VLOOKUP($E$3,'Housing Generation'!$A$3:$DQ$90,92,FALSE)</f>
        <v>5</v>
      </c>
      <c r="F131" s="112">
        <f>VLOOKUP($E$3,'Housing Generation'!$A$3:$DQ$90,93,FALSE)</f>
        <v>5</v>
      </c>
      <c r="G131" s="112">
        <f>VLOOKUP($E$3,'Housing Generation'!$A$3:$DQ$90,94,FALSE)</f>
        <v>5</v>
      </c>
      <c r="H131" s="112">
        <f>VLOOKUP($E$3,'Housing Generation'!$A$3:$DQ$90,95,FALSE)</f>
        <v>5</v>
      </c>
      <c r="I131" s="112">
        <f>VLOOKUP($E$3,'Housing Generation'!$A$3:$DQ$90,96,FALSE)</f>
        <v>5</v>
      </c>
      <c r="J131" s="111">
        <f t="shared" si="21"/>
        <v>31</v>
      </c>
    </row>
    <row r="132" spans="2:10" ht="15" customHeight="1">
      <c r="B132" s="114">
        <v>2030</v>
      </c>
      <c r="C132" s="289" t="s">
        <v>97</v>
      </c>
      <c r="D132" s="112">
        <f>VLOOKUP($E$3,'Housing Generation'!$A$3:$DQ$90,99,FALSE)</f>
        <v>6</v>
      </c>
      <c r="E132" s="112">
        <f>VLOOKUP($E$3,'Housing Generation'!$A$3:$DQ$90,100,FALSE)</f>
        <v>5</v>
      </c>
      <c r="F132" s="112">
        <f>VLOOKUP($E$3,'Housing Generation'!$A$3:$DQ$90,101,FALSE)</f>
        <v>5</v>
      </c>
      <c r="G132" s="112">
        <f>VLOOKUP($E$3,'Housing Generation'!$A$3:$DQ$90,102,FALSE)</f>
        <v>5</v>
      </c>
      <c r="H132" s="112">
        <f>VLOOKUP($E$3,'Housing Generation'!$A$3:$DQ$90,103,FALSE)</f>
        <v>5</v>
      </c>
      <c r="I132" s="112">
        <f>VLOOKUP($E$3,'Housing Generation'!$A$3:$DQ$90,104,FALSE)</f>
        <v>5</v>
      </c>
      <c r="J132" s="111">
        <f t="shared" si="21"/>
        <v>31</v>
      </c>
    </row>
    <row r="133" spans="2:10" ht="15" customHeight="1">
      <c r="B133" s="114">
        <v>2031</v>
      </c>
      <c r="C133" s="289" t="s">
        <v>97</v>
      </c>
      <c r="D133" s="112">
        <f>VLOOKUP($E$3,'Housing Generation'!$A$3:$DQ$90,107,FALSE)</f>
        <v>6</v>
      </c>
      <c r="E133" s="112">
        <f>VLOOKUP($E$3,'Housing Generation'!$A$3:$DQ$90,108,FALSE)</f>
        <v>5</v>
      </c>
      <c r="F133" s="112">
        <f>VLOOKUP($E$3,'Housing Generation'!$A$3:$DQ$90,109,FALSE)</f>
        <v>5</v>
      </c>
      <c r="G133" s="112">
        <f>VLOOKUP($E$3,'Housing Generation'!$A$3:$DQ$90,110,FALSE)</f>
        <v>5</v>
      </c>
      <c r="H133" s="112">
        <f>VLOOKUP($E$3,'Housing Generation'!$A$3:$DQ$90,111,FALSE)</f>
        <v>5</v>
      </c>
      <c r="I133" s="112">
        <f>VLOOKUP($E$3,'Housing Generation'!$A$3:$DQ$90,112,FALSE)</f>
        <v>5</v>
      </c>
      <c r="J133" s="111">
        <f t="shared" si="21"/>
        <v>31</v>
      </c>
    </row>
    <row r="134" spans="2:10" ht="15" customHeight="1">
      <c r="B134" s="114">
        <v>2032</v>
      </c>
      <c r="C134" s="289" t="s">
        <v>97</v>
      </c>
      <c r="D134" s="112">
        <f>VLOOKUP($E$3,'Housing Generation'!$A$3:$DQ$90,115,FALSE)</f>
        <v>6</v>
      </c>
      <c r="E134" s="112">
        <f>VLOOKUP($E$3,'Housing Generation'!$A$3:$DQ$90,116,FALSE)</f>
        <v>5</v>
      </c>
      <c r="F134" s="112">
        <f>VLOOKUP($E$3,'Housing Generation'!$A$3:$DQ$90,117,FALSE)</f>
        <v>5</v>
      </c>
      <c r="G134" s="112">
        <f>VLOOKUP($E$3,'Housing Generation'!$A$3:$DQ$90,118,FALSE)</f>
        <v>5</v>
      </c>
      <c r="H134" s="112">
        <f>VLOOKUP($E$3,'Housing Generation'!$A$3:$DQ$90,119,FALSE)</f>
        <v>5</v>
      </c>
      <c r="I134" s="112">
        <f>VLOOKUP($E$3,'Housing Generation'!$A$3:$DQ$90,120,FALSE)</f>
        <v>5</v>
      </c>
      <c r="J134" s="111">
        <f t="shared" si="21"/>
        <v>31</v>
      </c>
    </row>
    <row r="135" spans="2:10" ht="15"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Balgreen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60</v>
      </c>
      <c r="D139" s="112">
        <f t="shared" ref="D139:I152" si="23">D121+D103</f>
        <v>55</v>
      </c>
      <c r="E139" s="112">
        <f t="shared" si="23"/>
        <v>51</v>
      </c>
      <c r="F139" s="112">
        <f t="shared" si="23"/>
        <v>52</v>
      </c>
      <c r="G139" s="112">
        <f t="shared" si="23"/>
        <v>52</v>
      </c>
      <c r="H139" s="112">
        <f t="shared" si="23"/>
        <v>49</v>
      </c>
      <c r="I139" s="112">
        <f t="shared" si="23"/>
        <v>48</v>
      </c>
      <c r="J139" s="111">
        <f t="shared" ref="J139:J147" si="24">SUM(C139:I139)</f>
        <v>367</v>
      </c>
    </row>
    <row r="140" spans="2:10" ht="15" customHeight="1">
      <c r="B140" s="114">
        <v>2020</v>
      </c>
      <c r="C140" s="113">
        <f t="shared" si="22"/>
        <v>50</v>
      </c>
      <c r="D140" s="112">
        <f t="shared" si="23"/>
        <v>55</v>
      </c>
      <c r="E140" s="112">
        <f t="shared" si="23"/>
        <v>51</v>
      </c>
      <c r="F140" s="112">
        <f t="shared" si="23"/>
        <v>48</v>
      </c>
      <c r="G140" s="112">
        <f t="shared" si="23"/>
        <v>49</v>
      </c>
      <c r="H140" s="112">
        <f t="shared" si="23"/>
        <v>51</v>
      </c>
      <c r="I140" s="112">
        <f t="shared" si="23"/>
        <v>47</v>
      </c>
      <c r="J140" s="111">
        <f t="shared" si="24"/>
        <v>351</v>
      </c>
    </row>
    <row r="141" spans="2:10" ht="15" customHeight="1">
      <c r="B141" s="114">
        <v>2021</v>
      </c>
      <c r="C141" s="113">
        <f t="shared" si="22"/>
        <v>48.176305970149258</v>
      </c>
      <c r="D141" s="112">
        <f t="shared" si="23"/>
        <v>46</v>
      </c>
      <c r="E141" s="112">
        <f t="shared" si="23"/>
        <v>51</v>
      </c>
      <c r="F141" s="112">
        <f t="shared" si="23"/>
        <v>48</v>
      </c>
      <c r="G141" s="112">
        <f t="shared" si="23"/>
        <v>46</v>
      </c>
      <c r="H141" s="112">
        <f t="shared" si="23"/>
        <v>48</v>
      </c>
      <c r="I141" s="112">
        <f t="shared" si="23"/>
        <v>49</v>
      </c>
      <c r="J141" s="111">
        <f t="shared" si="24"/>
        <v>336.17630597014926</v>
      </c>
    </row>
    <row r="142" spans="2:10" ht="15" customHeight="1">
      <c r="B142" s="114">
        <v>2022</v>
      </c>
      <c r="C142" s="113">
        <f t="shared" si="22"/>
        <v>44.313199626865675</v>
      </c>
      <c r="D142" s="112">
        <f t="shared" si="23"/>
        <v>44</v>
      </c>
      <c r="E142" s="112">
        <f t="shared" si="23"/>
        <v>43</v>
      </c>
      <c r="F142" s="112">
        <f t="shared" si="23"/>
        <v>48</v>
      </c>
      <c r="G142" s="112">
        <f t="shared" si="23"/>
        <v>46</v>
      </c>
      <c r="H142" s="112">
        <f t="shared" si="23"/>
        <v>45</v>
      </c>
      <c r="I142" s="112">
        <f t="shared" si="23"/>
        <v>46</v>
      </c>
      <c r="J142" s="111">
        <f t="shared" si="24"/>
        <v>316.31319962686564</v>
      </c>
    </row>
    <row r="143" spans="2:10" ht="15" customHeight="1">
      <c r="B143" s="114">
        <v>2023</v>
      </c>
      <c r="C143" s="113">
        <f t="shared" si="22"/>
        <v>49.721548507462686</v>
      </c>
      <c r="D143" s="112">
        <f t="shared" si="23"/>
        <v>41</v>
      </c>
      <c r="E143" s="112">
        <f t="shared" si="23"/>
        <v>42</v>
      </c>
      <c r="F143" s="112">
        <f t="shared" si="23"/>
        <v>41</v>
      </c>
      <c r="G143" s="112">
        <f t="shared" si="23"/>
        <v>46</v>
      </c>
      <c r="H143" s="112">
        <f t="shared" si="23"/>
        <v>45</v>
      </c>
      <c r="I143" s="112">
        <f t="shared" si="23"/>
        <v>43</v>
      </c>
      <c r="J143" s="111">
        <f t="shared" si="24"/>
        <v>307.72154850746267</v>
      </c>
    </row>
    <row r="144" spans="2:10" ht="15" customHeight="1">
      <c r="B144" s="114">
        <v>2024</v>
      </c>
      <c r="C144" s="113">
        <f t="shared" si="22"/>
        <v>50</v>
      </c>
      <c r="D144" s="112">
        <f t="shared" si="23"/>
        <v>46</v>
      </c>
      <c r="E144" s="112">
        <f t="shared" si="23"/>
        <v>38</v>
      </c>
      <c r="F144" s="112">
        <f t="shared" si="23"/>
        <v>40</v>
      </c>
      <c r="G144" s="112">
        <f t="shared" si="23"/>
        <v>39</v>
      </c>
      <c r="H144" s="112">
        <f t="shared" si="23"/>
        <v>46</v>
      </c>
      <c r="I144" s="112">
        <f t="shared" si="23"/>
        <v>44</v>
      </c>
      <c r="J144" s="111">
        <f t="shared" si="24"/>
        <v>303</v>
      </c>
    </row>
    <row r="145" spans="2:16" ht="15" customHeight="1">
      <c r="B145" s="114">
        <v>2025</v>
      </c>
      <c r="C145" s="113">
        <f t="shared" si="22"/>
        <v>50</v>
      </c>
      <c r="D145" s="112">
        <f t="shared" si="23"/>
        <v>46</v>
      </c>
      <c r="E145" s="112">
        <f t="shared" si="23"/>
        <v>43</v>
      </c>
      <c r="F145" s="112">
        <f t="shared" si="23"/>
        <v>37</v>
      </c>
      <c r="G145" s="112">
        <f t="shared" si="23"/>
        <v>39</v>
      </c>
      <c r="H145" s="112">
        <f t="shared" si="23"/>
        <v>39</v>
      </c>
      <c r="I145" s="112">
        <f t="shared" si="23"/>
        <v>45</v>
      </c>
      <c r="J145" s="111">
        <f t="shared" si="24"/>
        <v>299</v>
      </c>
    </row>
    <row r="146" spans="2:16" ht="15" customHeight="1">
      <c r="B146" s="114">
        <v>2026</v>
      </c>
      <c r="C146" s="113">
        <f t="shared" si="22"/>
        <v>50</v>
      </c>
      <c r="D146" s="112">
        <f t="shared" si="23"/>
        <v>45</v>
      </c>
      <c r="E146" s="112">
        <f t="shared" si="23"/>
        <v>44</v>
      </c>
      <c r="F146" s="112">
        <f t="shared" si="23"/>
        <v>42</v>
      </c>
      <c r="G146" s="112">
        <f t="shared" si="23"/>
        <v>36</v>
      </c>
      <c r="H146" s="112">
        <f t="shared" si="23"/>
        <v>39</v>
      </c>
      <c r="I146" s="112">
        <f t="shared" si="23"/>
        <v>38</v>
      </c>
      <c r="J146" s="111">
        <f t="shared" si="24"/>
        <v>294</v>
      </c>
    </row>
    <row r="147" spans="2:16" ht="15" customHeight="1">
      <c r="B147" s="114">
        <v>2027</v>
      </c>
      <c r="C147" s="113">
        <f t="shared" si="22"/>
        <v>50</v>
      </c>
      <c r="D147" s="112">
        <f t="shared" si="23"/>
        <v>46</v>
      </c>
      <c r="E147" s="112">
        <f t="shared" si="23"/>
        <v>43</v>
      </c>
      <c r="F147" s="112">
        <f t="shared" si="23"/>
        <v>43</v>
      </c>
      <c r="G147" s="112">
        <f t="shared" si="23"/>
        <v>41</v>
      </c>
      <c r="H147" s="112">
        <f t="shared" si="23"/>
        <v>36</v>
      </c>
      <c r="I147" s="112">
        <f t="shared" si="23"/>
        <v>38</v>
      </c>
      <c r="J147" s="111">
        <f t="shared" si="24"/>
        <v>297</v>
      </c>
    </row>
    <row r="148" spans="2:16" ht="15" customHeight="1">
      <c r="B148" s="114">
        <v>2028</v>
      </c>
      <c r="C148" s="113">
        <f t="shared" si="22"/>
        <v>50</v>
      </c>
      <c r="D148" s="112">
        <f t="shared" si="23"/>
        <v>46</v>
      </c>
      <c r="E148" s="112">
        <f t="shared" si="23"/>
        <v>43</v>
      </c>
      <c r="F148" s="112">
        <f t="shared" si="23"/>
        <v>42</v>
      </c>
      <c r="G148" s="112">
        <f t="shared" si="23"/>
        <v>42</v>
      </c>
      <c r="H148" s="112">
        <f t="shared" si="23"/>
        <v>41</v>
      </c>
      <c r="I148" s="112">
        <f t="shared" si="23"/>
        <v>36</v>
      </c>
      <c r="J148" s="111">
        <f t="shared" ref="J148:J152" si="25">SUM(C148:I148)</f>
        <v>300</v>
      </c>
    </row>
    <row r="149" spans="2:16" ht="15" customHeight="1">
      <c r="B149" s="114">
        <v>2029</v>
      </c>
      <c r="C149" s="113">
        <f t="shared" si="22"/>
        <v>50</v>
      </c>
      <c r="D149" s="112">
        <f t="shared" si="23"/>
        <v>46</v>
      </c>
      <c r="E149" s="112">
        <f t="shared" si="23"/>
        <v>43</v>
      </c>
      <c r="F149" s="112">
        <f t="shared" si="23"/>
        <v>41</v>
      </c>
      <c r="G149" s="112">
        <f t="shared" si="23"/>
        <v>40</v>
      </c>
      <c r="H149" s="112">
        <f t="shared" si="23"/>
        <v>41</v>
      </c>
      <c r="I149" s="112">
        <f t="shared" si="23"/>
        <v>39</v>
      </c>
      <c r="J149" s="111">
        <f t="shared" si="25"/>
        <v>300</v>
      </c>
    </row>
    <row r="150" spans="2:16" ht="15" customHeight="1">
      <c r="B150" s="114">
        <v>2030</v>
      </c>
      <c r="C150" s="113">
        <f t="shared" si="22"/>
        <v>50</v>
      </c>
      <c r="D150" s="112">
        <f t="shared" si="23"/>
        <v>46</v>
      </c>
      <c r="E150" s="112">
        <f t="shared" si="23"/>
        <v>42</v>
      </c>
      <c r="F150" s="112">
        <f t="shared" si="23"/>
        <v>41</v>
      </c>
      <c r="G150" s="112">
        <f t="shared" si="23"/>
        <v>39</v>
      </c>
      <c r="H150" s="112">
        <f t="shared" si="23"/>
        <v>39</v>
      </c>
      <c r="I150" s="112">
        <f t="shared" si="23"/>
        <v>39</v>
      </c>
      <c r="J150" s="111">
        <f t="shared" si="25"/>
        <v>296</v>
      </c>
    </row>
    <row r="151" spans="2:16" ht="15" customHeight="1">
      <c r="B151" s="114">
        <v>2031</v>
      </c>
      <c r="C151" s="113">
        <f t="shared" si="22"/>
        <v>50</v>
      </c>
      <c r="D151" s="112">
        <f t="shared" si="23"/>
        <v>46</v>
      </c>
      <c r="E151" s="112">
        <f t="shared" si="23"/>
        <v>42</v>
      </c>
      <c r="F151" s="112">
        <f t="shared" si="23"/>
        <v>40</v>
      </c>
      <c r="G151" s="112">
        <f t="shared" si="23"/>
        <v>39</v>
      </c>
      <c r="H151" s="112">
        <f t="shared" si="23"/>
        <v>38</v>
      </c>
      <c r="I151" s="112">
        <f t="shared" si="23"/>
        <v>37</v>
      </c>
      <c r="J151" s="111">
        <f t="shared" si="25"/>
        <v>292</v>
      </c>
    </row>
    <row r="152" spans="2:16" ht="15" customHeight="1">
      <c r="B152" s="114">
        <v>2032</v>
      </c>
      <c r="C152" s="113">
        <f t="shared" si="22"/>
        <v>50</v>
      </c>
      <c r="D152" s="112">
        <f t="shared" si="23"/>
        <v>46</v>
      </c>
      <c r="E152" s="112">
        <f t="shared" si="23"/>
        <v>42</v>
      </c>
      <c r="F152" s="112">
        <f t="shared" si="23"/>
        <v>40</v>
      </c>
      <c r="G152" s="112">
        <f t="shared" si="23"/>
        <v>38</v>
      </c>
      <c r="H152" s="112">
        <f t="shared" si="23"/>
        <v>38</v>
      </c>
      <c r="I152" s="112">
        <f t="shared" si="23"/>
        <v>37</v>
      </c>
      <c r="J152" s="111">
        <f t="shared" si="25"/>
        <v>291</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367</v>
      </c>
      <c r="D159" s="108">
        <f>J140</f>
        <v>351</v>
      </c>
      <c r="E159" s="108">
        <f>J141</f>
        <v>336.17630597014926</v>
      </c>
      <c r="F159" s="108">
        <f>J142</f>
        <v>316.31319962686564</v>
      </c>
      <c r="G159" s="108">
        <f>J143</f>
        <v>307.72154850746267</v>
      </c>
      <c r="H159" s="108">
        <f>J144</f>
        <v>303</v>
      </c>
      <c r="I159" s="108">
        <f>J145</f>
        <v>299</v>
      </c>
      <c r="J159" s="108">
        <f>J146</f>
        <v>294</v>
      </c>
      <c r="K159" s="108">
        <f>J147</f>
        <v>297</v>
      </c>
      <c r="L159" s="108">
        <f>J148</f>
        <v>300</v>
      </c>
      <c r="M159" s="108">
        <f>J149</f>
        <v>300</v>
      </c>
      <c r="N159" s="108">
        <f>J150</f>
        <v>296</v>
      </c>
      <c r="O159" s="108">
        <f>J151</f>
        <v>292</v>
      </c>
      <c r="P159" s="108">
        <f>J152</f>
        <v>291</v>
      </c>
    </row>
    <row r="160" spans="2:16" ht="15" customHeight="1">
      <c r="B160" s="107" t="s">
        <v>152</v>
      </c>
      <c r="C160" s="106">
        <f>VLOOKUP(C159,Capacity!$A$1:$C$645,2,TRUE)</f>
        <v>14</v>
      </c>
      <c r="D160" s="106">
        <f>VLOOKUP(D159,Capacity!$A$1:$C$645,2,TRUE)</f>
        <v>14</v>
      </c>
      <c r="E160" s="106">
        <f>VLOOKUP(E159,Capacity!$A$1:$C$645,2,TRUE)</f>
        <v>14</v>
      </c>
      <c r="F160" s="106">
        <f>VLOOKUP(F159,Capacity!$A$1:$C$645,2,TRUE)</f>
        <v>13</v>
      </c>
      <c r="G160" s="106">
        <f>VLOOKUP(G159,Capacity!$A$1:$C$645,2,TRUE)</f>
        <v>12</v>
      </c>
      <c r="H160" s="106">
        <f>VLOOKUP(H159,Capacity!$A$1:$C$645,2,TRUE)</f>
        <v>12</v>
      </c>
      <c r="I160" s="106">
        <f>VLOOKUP(I159,Capacity!$A$1:$C$645,2,TRUE)</f>
        <v>12</v>
      </c>
      <c r="J160" s="106">
        <f>VLOOKUP(J159,Capacity!$A$1:$C$645,2,TRUE)</f>
        <v>11</v>
      </c>
      <c r="K160" s="106">
        <f>VLOOKUP(K159,Capacity!$A$1:$C$645,2,TRUE)</f>
        <v>12</v>
      </c>
      <c r="L160" s="106">
        <f>VLOOKUP(L159,Capacity!$A$1:$C$645,2,TRUE)</f>
        <v>12</v>
      </c>
      <c r="M160" s="106">
        <f>VLOOKUP(M159,Capacity!$A$1:$C$645,2,TRUE)</f>
        <v>12</v>
      </c>
      <c r="N160" s="106">
        <f>VLOOKUP(N159,Capacity!$A$1:$C$645,2,TRUE)</f>
        <v>12</v>
      </c>
      <c r="O160" s="106">
        <f>VLOOKUP(O159,Capacity!$A$1:$C$645,2,TRUE)</f>
        <v>11</v>
      </c>
      <c r="P160" s="106">
        <f>VLOOKUP(P159,Capacity!$A$1:$C$645,2,TRUE)</f>
        <v>11</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78</v>
      </c>
      <c r="D169" s="97">
        <f>VLOOKUP($E$3,'Catchment Births'!$A$1:$U$90,11,FALSE)</f>
        <v>86</v>
      </c>
      <c r="E169" s="97">
        <f>VLOOKUP($E$3,'Catchment Births'!$A$1:$U$90,12,FALSE)</f>
        <v>99</v>
      </c>
      <c r="F169" s="97">
        <f>VLOOKUP($E$3,'Catchment Births'!$A$1:$U$90,13,FALSE)</f>
        <v>98</v>
      </c>
      <c r="G169" s="97">
        <f>VLOOKUP($E$3,'Catchment Births'!$A$1:$U$90,14,FALSE)</f>
        <v>119</v>
      </c>
      <c r="H169" s="97">
        <f>VLOOKUP($E$3,'Catchment Births'!$A$1:$U$90,15,FALSE)</f>
        <v>109</v>
      </c>
      <c r="I169" s="97">
        <f>VLOOKUP($E$3,'Catchment Births'!$A$1:$U$90,16,FALSE)</f>
        <v>140</v>
      </c>
      <c r="J169" s="97">
        <f>VLOOKUP($E$3,'Catchment Births'!$A$1:$U$90,17,FALSE)</f>
        <v>137</v>
      </c>
      <c r="K169" s="97">
        <f>VLOOKUP($E$3,'Catchment Births'!$A$1:$U$90,18,FALSE)</f>
        <v>156</v>
      </c>
      <c r="L169" s="97">
        <f>VLOOKUP($E$3,'Catchment Births'!$A$1:$U$90,19,FALSE)</f>
        <v>134</v>
      </c>
      <c r="M169" s="97">
        <f>VLOOKUP($E$3,'Catchment Births'!$A$1:$U$90,20,FALSE)</f>
        <v>142</v>
      </c>
      <c r="N169" s="97">
        <f>VLOOKUP($E$3,'Catchment Births'!$A$1:$U$90,21,FALSE)</f>
        <v>117</v>
      </c>
    </row>
    <row r="170" spans="2:14" ht="58.5" customHeight="1">
      <c r="B170" s="103" t="str">
        <f>"P1 "&amp;A35&amp;" Catchment Population (Actual)"</f>
        <v>P1 ND Catchment Population (Actual)</v>
      </c>
      <c r="C170" s="102" t="e">
        <v>#REF!</v>
      </c>
      <c r="D170" s="102">
        <v>60</v>
      </c>
      <c r="E170" s="102">
        <v>53</v>
      </c>
      <c r="F170" s="102">
        <v>60</v>
      </c>
      <c r="G170" s="102">
        <v>58</v>
      </c>
      <c r="H170" s="102">
        <v>73</v>
      </c>
      <c r="I170" s="102">
        <v>70</v>
      </c>
      <c r="J170" s="308">
        <f>VLOOKUP(E3,'Catchment Projections'!A1:BU92,42,FALSE)</f>
        <v>67</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70</v>
      </c>
      <c r="J172" s="96" t="e">
        <f>#REF!</f>
        <v>#REF!</v>
      </c>
      <c r="K172" s="96">
        <f>D51</f>
        <v>72</v>
      </c>
      <c r="L172" s="96">
        <f>E51</f>
        <v>59</v>
      </c>
      <c r="M172" s="96">
        <f>F51</f>
        <v>52</v>
      </c>
      <c r="N172" s="96">
        <f>G51</f>
        <v>47</v>
      </c>
    </row>
    <row r="173" spans="2:14" ht="12.75">
      <c r="B173" s="62"/>
      <c r="C173" s="62"/>
      <c r="D173" s="62"/>
      <c r="E173" s="62"/>
      <c r="F173" s="62"/>
      <c r="G173" s="62"/>
      <c r="H173" s="62"/>
      <c r="I173" s="62"/>
      <c r="J173" s="62"/>
      <c r="K173" s="62"/>
    </row>
    <row r="174" spans="2:14" ht="15" customHeight="1">
      <c r="B174" s="64" t="str">
        <f>"Table 5: "&amp;E3&amp;" Roll by Stage, 2002-2018"</f>
        <v>Table 5: Balgreen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55</v>
      </c>
      <c r="D177" s="93">
        <v>60</v>
      </c>
      <c r="E177" s="93">
        <v>56</v>
      </c>
      <c r="F177" s="93">
        <v>60</v>
      </c>
      <c r="G177" s="93">
        <v>59</v>
      </c>
      <c r="H177" s="93">
        <v>60</v>
      </c>
      <c r="I177" s="93">
        <v>58</v>
      </c>
      <c r="J177" s="92">
        <v>408</v>
      </c>
      <c r="K177" s="62"/>
    </row>
    <row r="178" spans="2:11" ht="15" customHeight="1">
      <c r="B178" s="94">
        <v>2003</v>
      </c>
      <c r="C178" s="93">
        <v>59</v>
      </c>
      <c r="D178" s="93">
        <v>56</v>
      </c>
      <c r="E178" s="93">
        <v>58</v>
      </c>
      <c r="F178" s="93">
        <v>59</v>
      </c>
      <c r="G178" s="93">
        <v>56</v>
      </c>
      <c r="H178" s="93">
        <v>55</v>
      </c>
      <c r="I178" s="93">
        <v>59</v>
      </c>
      <c r="J178" s="92">
        <v>402</v>
      </c>
      <c r="K178" s="62"/>
    </row>
    <row r="179" spans="2:11" customFormat="1" ht="15" customHeight="1">
      <c r="B179" s="94">
        <v>2004</v>
      </c>
      <c r="C179" s="95">
        <v>56</v>
      </c>
      <c r="D179" s="95">
        <v>60</v>
      </c>
      <c r="E179" s="95">
        <v>52</v>
      </c>
      <c r="F179" s="95">
        <v>60</v>
      </c>
      <c r="G179" s="95">
        <v>60</v>
      </c>
      <c r="H179" s="95">
        <v>59</v>
      </c>
      <c r="I179" s="95">
        <v>57</v>
      </c>
      <c r="J179" s="92">
        <v>404</v>
      </c>
      <c r="K179" s="62"/>
    </row>
    <row r="180" spans="2:11" customFormat="1" ht="15" customHeight="1">
      <c r="B180" s="94">
        <v>2005</v>
      </c>
      <c r="C180" s="93">
        <v>50</v>
      </c>
      <c r="D180" s="93">
        <v>59</v>
      </c>
      <c r="E180" s="93">
        <v>60</v>
      </c>
      <c r="F180" s="93">
        <v>50</v>
      </c>
      <c r="G180" s="93">
        <v>59</v>
      </c>
      <c r="H180" s="93">
        <v>60</v>
      </c>
      <c r="I180" s="93">
        <v>60</v>
      </c>
      <c r="J180" s="92">
        <v>398</v>
      </c>
      <c r="K180" s="62"/>
    </row>
    <row r="181" spans="2:11" customFormat="1" ht="15" customHeight="1">
      <c r="B181" s="94">
        <v>2006</v>
      </c>
      <c r="C181" s="93">
        <v>60</v>
      </c>
      <c r="D181" s="93">
        <v>57</v>
      </c>
      <c r="E181" s="93">
        <v>59</v>
      </c>
      <c r="F181" s="93">
        <v>59</v>
      </c>
      <c r="G181" s="93">
        <v>50</v>
      </c>
      <c r="H181" s="93">
        <v>58</v>
      </c>
      <c r="I181" s="93">
        <v>58</v>
      </c>
      <c r="J181" s="92">
        <v>401</v>
      </c>
      <c r="K181" s="62"/>
    </row>
    <row r="182" spans="2:11" customFormat="1" ht="15" customHeight="1">
      <c r="B182" s="94">
        <v>2007</v>
      </c>
      <c r="C182" s="93">
        <v>50</v>
      </c>
      <c r="D182" s="93">
        <v>58</v>
      </c>
      <c r="E182" s="93">
        <v>56</v>
      </c>
      <c r="F182" s="93">
        <v>51</v>
      </c>
      <c r="G182" s="93">
        <v>58</v>
      </c>
      <c r="H182" s="93">
        <v>46</v>
      </c>
      <c r="I182" s="93">
        <v>53</v>
      </c>
      <c r="J182" s="92">
        <v>372</v>
      </c>
      <c r="K182" s="62"/>
    </row>
    <row r="183" spans="2:11" customFormat="1" ht="15" customHeight="1">
      <c r="B183" s="94">
        <v>2008</v>
      </c>
      <c r="C183" s="93">
        <v>48</v>
      </c>
      <c r="D183" s="93">
        <v>49</v>
      </c>
      <c r="E183" s="93">
        <v>57</v>
      </c>
      <c r="F183" s="93">
        <v>50</v>
      </c>
      <c r="G183" s="93">
        <v>49</v>
      </c>
      <c r="H183" s="93">
        <v>57</v>
      </c>
      <c r="I183" s="93">
        <v>44</v>
      </c>
      <c r="J183" s="92">
        <v>354</v>
      </c>
      <c r="K183" s="62"/>
    </row>
    <row r="184" spans="2:11" customFormat="1" ht="15" customHeight="1">
      <c r="B184" s="94">
        <v>2009</v>
      </c>
      <c r="C184" s="93">
        <v>51</v>
      </c>
      <c r="D184" s="93">
        <v>48</v>
      </c>
      <c r="E184" s="93">
        <v>50</v>
      </c>
      <c r="F184" s="93">
        <v>57</v>
      </c>
      <c r="G184" s="93">
        <v>49</v>
      </c>
      <c r="H184" s="93">
        <v>50</v>
      </c>
      <c r="I184" s="93">
        <v>50</v>
      </c>
      <c r="J184" s="94">
        <v>355</v>
      </c>
      <c r="K184" s="62"/>
    </row>
    <row r="185" spans="2:11" customFormat="1" ht="15" customHeight="1">
      <c r="B185" s="94">
        <v>2010</v>
      </c>
      <c r="C185" s="93">
        <v>56</v>
      </c>
      <c r="D185" s="93">
        <v>49</v>
      </c>
      <c r="E185" s="93">
        <v>45</v>
      </c>
      <c r="F185" s="93">
        <v>51</v>
      </c>
      <c r="G185" s="93">
        <v>55</v>
      </c>
      <c r="H185" s="93">
        <v>46</v>
      </c>
      <c r="I185" s="93">
        <v>47</v>
      </c>
      <c r="J185" s="92">
        <v>349</v>
      </c>
      <c r="K185" s="62"/>
    </row>
    <row r="186" spans="2:11" customFormat="1" ht="15" customHeight="1">
      <c r="B186" s="94">
        <v>2011</v>
      </c>
      <c r="C186" s="93">
        <v>59</v>
      </c>
      <c r="D186" s="93">
        <v>53</v>
      </c>
      <c r="E186" s="93">
        <v>48</v>
      </c>
      <c r="F186" s="93">
        <v>44</v>
      </c>
      <c r="G186" s="93">
        <v>49</v>
      </c>
      <c r="H186" s="93">
        <v>53</v>
      </c>
      <c r="I186" s="93">
        <v>42</v>
      </c>
      <c r="J186" s="92">
        <v>348</v>
      </c>
      <c r="K186" s="62"/>
    </row>
    <row r="187" spans="2:11" customFormat="1" ht="15" customHeight="1">
      <c r="B187" s="94">
        <v>2012</v>
      </c>
      <c r="C187" s="93">
        <v>60</v>
      </c>
      <c r="D187" s="93">
        <v>64</v>
      </c>
      <c r="E187" s="93">
        <v>50</v>
      </c>
      <c r="F187" s="93">
        <v>47</v>
      </c>
      <c r="G187" s="93">
        <v>45</v>
      </c>
      <c r="H187" s="93">
        <v>48</v>
      </c>
      <c r="I187" s="93">
        <v>53</v>
      </c>
      <c r="J187" s="92">
        <v>367</v>
      </c>
      <c r="K187" s="62"/>
    </row>
    <row r="188" spans="2:11" customFormat="1" ht="15" customHeight="1">
      <c r="B188" s="94">
        <v>2013</v>
      </c>
      <c r="C188" s="93">
        <v>59</v>
      </c>
      <c r="D188" s="93">
        <v>54</v>
      </c>
      <c r="E188" s="93">
        <v>63</v>
      </c>
      <c r="F188" s="93">
        <v>49</v>
      </c>
      <c r="G188" s="93">
        <v>43</v>
      </c>
      <c r="H188" s="93">
        <v>44</v>
      </c>
      <c r="I188" s="93">
        <v>42</v>
      </c>
      <c r="J188" s="94">
        <v>354</v>
      </c>
      <c r="K188" s="62"/>
    </row>
    <row r="189" spans="2:11" customFormat="1" ht="15" customHeight="1">
      <c r="B189" s="94">
        <v>2014</v>
      </c>
      <c r="C189" s="93">
        <v>57</v>
      </c>
      <c r="D189" s="93">
        <v>55</v>
      </c>
      <c r="E189" s="93">
        <v>49</v>
      </c>
      <c r="F189" s="93">
        <v>61</v>
      </c>
      <c r="G189" s="93">
        <v>50</v>
      </c>
      <c r="H189" s="93">
        <v>42</v>
      </c>
      <c r="I189" s="93">
        <v>42</v>
      </c>
      <c r="J189" s="92">
        <v>356</v>
      </c>
      <c r="K189" s="65"/>
    </row>
    <row r="190" spans="2:11" customFormat="1" ht="15" customHeight="1">
      <c r="B190" s="94">
        <v>2015</v>
      </c>
      <c r="C190" s="93">
        <v>64</v>
      </c>
      <c r="D190" s="93">
        <v>58</v>
      </c>
      <c r="E190" s="93">
        <v>51</v>
      </c>
      <c r="F190" s="93">
        <v>44</v>
      </c>
      <c r="G190" s="93">
        <v>58</v>
      </c>
      <c r="H190" s="93">
        <v>45</v>
      </c>
      <c r="I190" s="93">
        <v>36</v>
      </c>
      <c r="J190" s="92">
        <v>356</v>
      </c>
      <c r="K190" s="65"/>
    </row>
    <row r="191" spans="2:11" customFormat="1" ht="15" customHeight="1">
      <c r="B191" s="94">
        <v>2016</v>
      </c>
      <c r="C191" s="93">
        <v>56</v>
      </c>
      <c r="D191" s="93">
        <v>59</v>
      </c>
      <c r="E191" s="93">
        <v>54</v>
      </c>
      <c r="F191" s="93">
        <v>48</v>
      </c>
      <c r="G191" s="93">
        <v>37</v>
      </c>
      <c r="H191" s="93">
        <v>58</v>
      </c>
      <c r="I191" s="93">
        <v>45</v>
      </c>
      <c r="J191" s="92">
        <v>357</v>
      </c>
      <c r="K191" s="65"/>
    </row>
    <row r="192" spans="2:11" ht="15" customHeight="1">
      <c r="B192" s="94">
        <v>2017</v>
      </c>
      <c r="C192" s="93">
        <f>VLOOKUP($E$3,Rolls!A1:FA90,42,FALSE)</f>
        <v>60</v>
      </c>
      <c r="D192" s="93">
        <f>VLOOKUP($E$3,Rolls!A1:FA90,43,FALSE)</f>
        <v>50</v>
      </c>
      <c r="E192" s="93">
        <f>VLOOKUP($E$3,Rolls!A1:FA90,44,FALSE)</f>
        <v>58</v>
      </c>
      <c r="F192" s="93">
        <f>VLOOKUP($E$3,Rolls!A1:FA90,45,FALSE)</f>
        <v>49</v>
      </c>
      <c r="G192" s="93">
        <f>VLOOKUP($E$3,Rolls!A1:FA90,46,FALSE)</f>
        <v>45</v>
      </c>
      <c r="H192" s="93">
        <f>VLOOKUP($E$3,Rolls!A1:FA90,47,FALSE)</f>
        <v>32</v>
      </c>
      <c r="I192" s="93">
        <f>VLOOKUP($E$3,Rolls!A1:FA90,48,FALSE)</f>
        <v>54</v>
      </c>
      <c r="J192" s="92">
        <f>VLOOKUP($E$3,Rolls!A1:FA90,49,FALSE)</f>
        <v>348</v>
      </c>
      <c r="K192" s="65"/>
    </row>
    <row r="193" spans="2:11" ht="15" customHeight="1">
      <c r="B193" s="94">
        <v>2018</v>
      </c>
      <c r="C193" s="93">
        <f>VLOOKUP($E$3,Rolls!A1:FA90,50,FALSE)</f>
        <v>60</v>
      </c>
      <c r="D193" s="93">
        <f>VLOOKUP($E$3,Rolls!A1:FA90,51,FALSE)</f>
        <v>55</v>
      </c>
      <c r="E193" s="93">
        <f>VLOOKUP($E$3,Rolls!A1:FA90,52,FALSE)</f>
        <v>55</v>
      </c>
      <c r="F193" s="93">
        <f>VLOOKUP($E$3,Rolls!A1:FA90,53,FALSE)</f>
        <v>55</v>
      </c>
      <c r="G193" s="93">
        <f>VLOOKUP($E$3,Rolls!A1:FA90,54,FALSE)</f>
        <v>50</v>
      </c>
      <c r="H193" s="93">
        <f>VLOOKUP($E$3,Rolls!A1:FA90,55,FALSE)</f>
        <v>50</v>
      </c>
      <c r="I193" s="93">
        <f>VLOOKUP($E$3,Rolls!A1:FA90,56,FALSE)</f>
        <v>33</v>
      </c>
      <c r="J193" s="92">
        <f>VLOOKUP($E$3,Rolls!A1:FA90,57,FALSE)</f>
        <v>358</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0866141732283472" right="0.70866141732283472" top="0.74803149606299213" bottom="0.74803149606299213" header="0.31496062992125984" footer="0.31496062992125984"/>
  <pageSetup paperSize="9" scale="61" fitToHeight="2"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A1:Q193"/>
  <sheetViews>
    <sheetView topLeftCell="B48"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11</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Blackhall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504 Pupils (18 classes)</v>
      </c>
      <c r="G12" s="16"/>
      <c r="H12" s="16"/>
    </row>
    <row r="13" spans="2:10" ht="15" customHeight="1">
      <c r="C13" s="16"/>
      <c r="D13" s="16"/>
      <c r="E13" s="16"/>
      <c r="F13" s="16"/>
      <c r="G13" s="16"/>
      <c r="H13" s="16"/>
    </row>
    <row r="14" spans="2:10" ht="15" customHeight="1">
      <c r="B14" s="15" t="str">
        <f>"Figure 1: "&amp;E3&amp;" Roll, 2002-2015"</f>
        <v>Figure 1: Blackhall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Blackhall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56</v>
      </c>
      <c r="E49" s="108">
        <f>VLOOKUP($E$3,'Catchment Projections'!$A$1:$BU$90,46,FALSE)</f>
        <v>57</v>
      </c>
      <c r="F49" s="108">
        <f>VLOOKUP($E$3,'Catchment Projections'!$A$1:$BU$90,47,FALSE)</f>
        <v>40</v>
      </c>
      <c r="G49" s="108">
        <f>VLOOKUP($E$3,'Catchment Projections'!$A$1:$BU$90,48,FALSE)</f>
        <v>55</v>
      </c>
      <c r="H49" s="133">
        <f>VLOOKUP($E$3,'Catchment Projections'!$A$1:$BU$90,49,FALSE)</f>
        <v>51</v>
      </c>
      <c r="I49" s="133">
        <f>VLOOKUP($E$3,'Catchment Projections'!$A$1:$BU$90,50,FALSE)</f>
        <v>52</v>
      </c>
      <c r="J49" s="133">
        <f>VLOOKUP($E$3,'Catchment Projections'!$A$1:$BU$90,51,FALSE)</f>
        <v>53</v>
      </c>
      <c r="K49" s="133">
        <f>VLOOKUP($E$3,'Catchment Projections'!$A$1:$BU$90,52,FALSE)</f>
        <v>53</v>
      </c>
      <c r="L49" s="133">
        <f>VLOOKUP($E$3,'Catchment Projections'!$A$1:$BU$90,53,FALSE)</f>
        <v>53</v>
      </c>
      <c r="M49" s="133">
        <f>VLOOKUP($E$3,'Catchment Projections'!$A$1:$BU$90,54,FALSE)</f>
        <v>54</v>
      </c>
      <c r="N49" s="133">
        <f>VLOOKUP($E$3,'Catchment Projections'!$A$1:$BU$90,55,FALSE)</f>
        <v>54</v>
      </c>
      <c r="O49" s="133">
        <f>VLOOKUP($E$3,'Catchment Projections'!$A$1:$BU$90,56,FALSE)</f>
        <v>54</v>
      </c>
      <c r="P49" s="133">
        <f>VLOOKUP($E$3,'Catchment Projections'!$A$1:$BU$90,57,FALSE)</f>
        <v>54</v>
      </c>
      <c r="Q49" s="133">
        <f>VLOOKUP($E$3,'Catchment Projections'!$A$1:$BU$90,58,FALSE)</f>
        <v>54</v>
      </c>
    </row>
    <row r="50" spans="2:17" ht="15" customHeight="1" thickBot="1">
      <c r="B50" s="410" t="s">
        <v>141</v>
      </c>
      <c r="C50" s="411"/>
      <c r="D50" s="286">
        <f>VLOOKUP(E3,'Housing Generation'!$A$3:$DQ$90,10,FALSE)</f>
        <v>0</v>
      </c>
      <c r="E50" s="286">
        <f>VLOOKUP(E3,'Housing Generation'!$A$3:$DQ$90,18,FALSE)</f>
        <v>0</v>
      </c>
      <c r="F50" s="286">
        <f>VLOOKUP(E3,'Housing Generation'!$A$3:$DQ$90,26,FALSE)</f>
        <v>0</v>
      </c>
      <c r="G50" s="243">
        <f>VLOOKUP(E3,'Housing Generation'!$A$3:$DQ$90,34,FALSE)</f>
        <v>0</v>
      </c>
      <c r="H50" s="133">
        <f>VLOOKUP(E3,'Housing Generation'!$A$3:$DQ$90,42,FALSE)</f>
        <v>0</v>
      </c>
      <c r="I50" s="133">
        <f>VLOOKUP(E3,'Housing Generation'!$A$3:$DQ$90,50,FALSE)</f>
        <v>0</v>
      </c>
      <c r="J50" s="133">
        <f>VLOOKUP(E3,'Housing Generation'!$A$3:$CK$90,58,FALSE)</f>
        <v>0</v>
      </c>
      <c r="K50" s="133">
        <f>VLOOKUP(E3,'Housing Generation'!$A$3:$CK$90,66,FALSE)</f>
        <v>0</v>
      </c>
      <c r="L50" s="133">
        <f>VLOOKUP(E3,'Housing Generation'!$A$3:$DQ$90,74,FALSE)</f>
        <v>0</v>
      </c>
      <c r="M50" s="133">
        <f>VLOOKUP(E3,'Housing Generation'!$A$3:$DQ$90,82,FALSE)</f>
        <v>0</v>
      </c>
      <c r="N50" s="133">
        <f>VLOOKUP(E3,'Housing Generation'!$A$3:$DQ$90,90,FALSE)</f>
        <v>0</v>
      </c>
      <c r="O50" s="133">
        <f>VLOOKUP(E3,'Housing Generation'!$A$3:$DQ$90,98,FALSE)</f>
        <v>0</v>
      </c>
      <c r="P50" s="133">
        <f>VLOOKUP(E3,'Housing Generation'!$A$3:$DQ$90,106,FALSE)</f>
        <v>0</v>
      </c>
      <c r="Q50" s="133">
        <f>VLOOKUP(E3,'Housing Generation'!$A$3:$DQ$90,114,FALSE)</f>
        <v>0</v>
      </c>
    </row>
    <row r="51" spans="2:17" ht="15" customHeight="1" thickTop="1">
      <c r="B51" s="421" t="s">
        <v>130</v>
      </c>
      <c r="C51" s="422"/>
      <c r="D51" s="47">
        <f t="shared" ref="D51:Q51" si="0">SUM(D49:D50)</f>
        <v>56</v>
      </c>
      <c r="E51" s="47">
        <f t="shared" si="0"/>
        <v>57</v>
      </c>
      <c r="F51" s="80">
        <f t="shared" si="0"/>
        <v>40</v>
      </c>
      <c r="G51" s="244">
        <f t="shared" si="0"/>
        <v>55</v>
      </c>
      <c r="H51" s="71">
        <f t="shared" si="0"/>
        <v>51</v>
      </c>
      <c r="I51" s="71">
        <f t="shared" si="0"/>
        <v>52</v>
      </c>
      <c r="J51" s="71">
        <f t="shared" si="0"/>
        <v>53</v>
      </c>
      <c r="K51" s="71">
        <f t="shared" si="0"/>
        <v>53</v>
      </c>
      <c r="L51" s="71">
        <f t="shared" si="0"/>
        <v>53</v>
      </c>
      <c r="M51" s="71">
        <f t="shared" si="0"/>
        <v>54</v>
      </c>
      <c r="N51" s="71">
        <f t="shared" si="0"/>
        <v>54</v>
      </c>
      <c r="O51" s="71">
        <f t="shared" si="0"/>
        <v>54</v>
      </c>
      <c r="P51" s="71">
        <f t="shared" si="0"/>
        <v>54</v>
      </c>
      <c r="Q51" s="71">
        <f t="shared" si="0"/>
        <v>54</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52</v>
      </c>
      <c r="D60" s="358">
        <f>VLOOKUP($E$3,'Catchment Projections'!$A$1:$BZ$90,74,FALSE)</f>
        <v>52</v>
      </c>
      <c r="E60" s="303">
        <f>D60/C60</f>
        <v>1</v>
      </c>
      <c r="G60" s="132">
        <v>2014</v>
      </c>
      <c r="H60" s="395">
        <f>VLOOKUP($G$60,$B$177:$C$215, 2, FALSE)</f>
        <v>58</v>
      </c>
      <c r="I60" s="120">
        <f>H60-D60</f>
        <v>6</v>
      </c>
      <c r="J60" s="121">
        <f>I60/H60</f>
        <v>0.10344827586206896</v>
      </c>
    </row>
    <row r="61" spans="2:17" ht="15" customHeight="1">
      <c r="B61" s="132">
        <v>2015</v>
      </c>
      <c r="C61" s="359">
        <f>VLOOKUP($E$3,'Catchment Projections'!$A$1:$BZ$90,41,FALSE)</f>
        <v>56</v>
      </c>
      <c r="D61" s="358">
        <f>VLOOKUP($E$3,'Catchment Projections'!$A$1:$BZ$90,75,FALSE)</f>
        <v>56</v>
      </c>
      <c r="E61" s="303">
        <f>D61/C61</f>
        <v>1</v>
      </c>
      <c r="G61" s="132">
        <v>2015</v>
      </c>
      <c r="H61" s="395">
        <f>VLOOKUP($G$61,$B$177:$C$215, 2, FALSE)</f>
        <v>59</v>
      </c>
      <c r="I61" s="120">
        <f>H61-D61</f>
        <v>3</v>
      </c>
      <c r="J61" s="121">
        <f>I61/H61</f>
        <v>5.0847457627118647E-2</v>
      </c>
    </row>
    <row r="62" spans="2:17" ht="15" customHeight="1">
      <c r="B62" s="131">
        <v>2016</v>
      </c>
      <c r="C62" s="359">
        <f>VLOOKUP($E$3,'Catchment Projections'!$A$1:$BZ$90,42,FALSE)</f>
        <v>73</v>
      </c>
      <c r="D62" s="358">
        <f>VLOOKUP($E$3,'Catchment Projections'!$A$1:$BZ$90,76,FALSE)</f>
        <v>72</v>
      </c>
      <c r="E62" s="57">
        <f>D62/C62</f>
        <v>0.98630136986301364</v>
      </c>
      <c r="G62" s="131">
        <v>2016</v>
      </c>
      <c r="H62" s="395">
        <f>VLOOKUP($G$62,$B$177:$C$215, 2, FALSE)</f>
        <v>73</v>
      </c>
      <c r="I62" s="120">
        <f>H62-D62</f>
        <v>1</v>
      </c>
      <c r="J62" s="121">
        <f>I62/H62</f>
        <v>1.3698630136986301E-2</v>
      </c>
    </row>
    <row r="63" spans="2:17" ht="15" customHeight="1">
      <c r="B63" s="114">
        <v>2017</v>
      </c>
      <c r="C63" s="359">
        <f>VLOOKUP($E$3,'Catchment Projections'!$A$1:$BZ$90,43,FALSE)</f>
        <v>65</v>
      </c>
      <c r="D63" s="358">
        <f>VLOOKUP($E$3,'Catchment Projections'!$A$1:$BZ$90,77,FALSE)</f>
        <v>64</v>
      </c>
      <c r="E63" s="304">
        <f>D63/C63</f>
        <v>0.98461538461538467</v>
      </c>
      <c r="G63" s="114">
        <v>2017</v>
      </c>
      <c r="H63" s="395">
        <f>VLOOKUP($G$63,$B$177:$C$215, 2, FALSE)</f>
        <v>69</v>
      </c>
      <c r="I63" s="120">
        <f>H63-D63</f>
        <v>5</v>
      </c>
      <c r="J63" s="121">
        <f>I63/H63</f>
        <v>7.2463768115942032E-2</v>
      </c>
    </row>
    <row r="64" spans="2:17" ht="15" customHeight="1">
      <c r="B64" s="114">
        <v>2018</v>
      </c>
      <c r="C64" s="359">
        <f>VLOOKUP($E$3,'Catchment Projections'!$A$1:$BZ$90,44,FALSE)</f>
        <v>67</v>
      </c>
      <c r="D64" s="358">
        <f>VLOOKUP($E$3,'Catchment Projections'!$A$1:$BZ$90,78,FALSE)</f>
        <v>67</v>
      </c>
      <c r="E64" s="305">
        <f>D64/C64</f>
        <v>1</v>
      </c>
      <c r="G64" s="114">
        <v>2018</v>
      </c>
      <c r="H64" s="395">
        <f>VLOOKUP($G$64,$B$177:$C$215, 2, FALSE)</f>
        <v>67</v>
      </c>
      <c r="I64" s="120">
        <f>H64-D64</f>
        <v>0</v>
      </c>
      <c r="J64" s="121">
        <f>I64/H64</f>
        <v>0</v>
      </c>
    </row>
    <row r="65" spans="2:10" ht="15" customHeight="1">
      <c r="B65" s="412" t="s">
        <v>136</v>
      </c>
      <c r="C65" s="413"/>
      <c r="D65" s="414"/>
      <c r="E65" s="137">
        <f>IF((AVERAGE(E62:E64))="#DIV/0!","n/a",(AVERAGE(E62:E64)))</f>
        <v>0.99030558482613273</v>
      </c>
      <c r="G65" s="415" t="s">
        <v>137</v>
      </c>
      <c r="H65" s="416"/>
      <c r="I65" s="138">
        <f>MEDIAN(I60:I64)</f>
        <v>3</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56</v>
      </c>
      <c r="D70" s="408"/>
      <c r="E70" s="122">
        <f>E65</f>
        <v>0.99030558482613273</v>
      </c>
      <c r="F70" s="120">
        <f t="shared" ref="F70:F83" si="1">C70*$E$65</f>
        <v>55.457112750263434</v>
      </c>
      <c r="G70" s="118">
        <f>IF(F70&lt;26,25,IF(F70&gt;135,140,IF(F70&gt;130,135,IF(F70&gt;125,130,IF(F70&gt;120,125,IF(F70&gt;115,120,IF(F70&gt;110,115,IF(F70&gt;105,110,IF(F70&gt;100,105,IF(F70&gt;99,100,IF(F70&gt;90,99,IF(F70&gt;75,90,IF(F70&gt;72,75,IF(F70&gt;66,72,IF(F70&gt;60,66,IF(F70&gt;50,60,IF(F70&gt;30,50,IF(F70&gt;25,30,0))))))))))))))))))</f>
        <v>60</v>
      </c>
      <c r="H70" s="119">
        <f t="shared" ref="H70:H83" si="2">G70-F70</f>
        <v>4.542887249736566</v>
      </c>
      <c r="I70" s="118" t="str">
        <f>IF(I$65&lt;H70, "NO", "YES")</f>
        <v>NO</v>
      </c>
      <c r="J70" s="117">
        <f t="shared" ref="J70:J83" si="3">IF(I70="YES",G70,(MIN((SUM(F70,$I$65)),G70)))</f>
        <v>58.457112750263434</v>
      </c>
    </row>
    <row r="71" spans="2:10" ht="15" customHeight="1">
      <c r="B71" s="114">
        <v>2020</v>
      </c>
      <c r="C71" s="433">
        <f>E51</f>
        <v>57</v>
      </c>
      <c r="D71" s="408"/>
      <c r="E71" s="121">
        <f>E65</f>
        <v>0.99030558482613273</v>
      </c>
      <c r="F71" s="120">
        <f t="shared" si="1"/>
        <v>56.447418335089566</v>
      </c>
      <c r="G71" s="118">
        <f t="shared" ref="G71:G83" si="4">IF(F71&lt;26,25,IF(F71&gt;135,140,IF(F71&gt;130,135,IF(F71&gt;125,130,IF(F71&gt;120,125,IF(F71&gt;115,120,IF(F71&gt;110,115,IF(F71&gt;105,110,IF(F71&gt;100,105,IF(F71&gt;99,100,IF(F71&gt;90,99,IF(F71&gt;75,90,IF(F71&gt;72,75,IF(F71&gt;66,72,IF(F71&gt;60,66,IF(F71&gt;50,60,IF(F71&gt;30,50,IF(F71&gt;25,30,0))))))))))))))))))</f>
        <v>60</v>
      </c>
      <c r="H71" s="119">
        <f t="shared" si="2"/>
        <v>3.5525816649104343</v>
      </c>
      <c r="I71" s="118" t="str">
        <f t="shared" ref="I71:I83" si="5">IF(I$65&lt;H71, "NO", "YES")</f>
        <v>NO</v>
      </c>
      <c r="J71" s="117">
        <f t="shared" si="3"/>
        <v>59.447418335089566</v>
      </c>
    </row>
    <row r="72" spans="2:10" ht="15" customHeight="1">
      <c r="B72" s="114">
        <v>2021</v>
      </c>
      <c r="C72" s="430">
        <f>F51</f>
        <v>40</v>
      </c>
      <c r="D72" s="431"/>
      <c r="E72" s="121">
        <f>E65</f>
        <v>0.99030558482613273</v>
      </c>
      <c r="F72" s="120">
        <f t="shared" si="1"/>
        <v>39.612223393045312</v>
      </c>
      <c r="G72" s="118">
        <f t="shared" si="4"/>
        <v>50</v>
      </c>
      <c r="H72" s="119">
        <f t="shared" si="2"/>
        <v>10.387776606954688</v>
      </c>
      <c r="I72" s="118" t="str">
        <f t="shared" si="5"/>
        <v>NO</v>
      </c>
      <c r="J72" s="117">
        <f t="shared" si="3"/>
        <v>42.612223393045312</v>
      </c>
    </row>
    <row r="73" spans="2:10" ht="15" customHeight="1">
      <c r="B73" s="114">
        <v>2022</v>
      </c>
      <c r="C73" s="430">
        <f>G51</f>
        <v>55</v>
      </c>
      <c r="D73" s="431"/>
      <c r="E73" s="121">
        <f>E65</f>
        <v>0.99030558482613273</v>
      </c>
      <c r="F73" s="120">
        <f t="shared" si="1"/>
        <v>54.466807165437302</v>
      </c>
      <c r="G73" s="118">
        <f t="shared" si="4"/>
        <v>60</v>
      </c>
      <c r="H73" s="119">
        <f t="shared" si="2"/>
        <v>5.5331928345626977</v>
      </c>
      <c r="I73" s="118" t="str">
        <f t="shared" si="5"/>
        <v>NO</v>
      </c>
      <c r="J73" s="117">
        <f t="shared" si="3"/>
        <v>57.466807165437302</v>
      </c>
    </row>
    <row r="74" spans="2:10" ht="15" customHeight="1">
      <c r="B74" s="114">
        <v>2023</v>
      </c>
      <c r="C74" s="430">
        <f>H51</f>
        <v>51</v>
      </c>
      <c r="D74" s="431"/>
      <c r="E74" s="121">
        <f>E65</f>
        <v>0.99030558482613273</v>
      </c>
      <c r="F74" s="120">
        <f t="shared" si="1"/>
        <v>50.505584826132768</v>
      </c>
      <c r="G74" s="118">
        <f t="shared" si="4"/>
        <v>60</v>
      </c>
      <c r="H74" s="119">
        <f t="shared" si="2"/>
        <v>9.4944151738672318</v>
      </c>
      <c r="I74" s="118" t="str">
        <f t="shared" si="5"/>
        <v>NO</v>
      </c>
      <c r="J74" s="117">
        <f t="shared" si="3"/>
        <v>53.505584826132768</v>
      </c>
    </row>
    <row r="75" spans="2:10" ht="15" customHeight="1">
      <c r="B75" s="114">
        <v>2024</v>
      </c>
      <c r="C75" s="430">
        <f>I51</f>
        <v>52</v>
      </c>
      <c r="D75" s="431"/>
      <c r="E75" s="121">
        <f>E65</f>
        <v>0.99030558482613273</v>
      </c>
      <c r="F75" s="120">
        <f t="shared" si="1"/>
        <v>51.4958904109589</v>
      </c>
      <c r="G75" s="118">
        <f t="shared" si="4"/>
        <v>60</v>
      </c>
      <c r="H75" s="119">
        <f t="shared" si="2"/>
        <v>8.5041095890411</v>
      </c>
      <c r="I75" s="118" t="str">
        <f t="shared" si="5"/>
        <v>NO</v>
      </c>
      <c r="J75" s="117">
        <f t="shared" si="3"/>
        <v>54.4958904109589</v>
      </c>
    </row>
    <row r="76" spans="2:10" ht="15" customHeight="1">
      <c r="B76" s="114">
        <v>2025</v>
      </c>
      <c r="C76" s="430">
        <f>J51</f>
        <v>53</v>
      </c>
      <c r="D76" s="431"/>
      <c r="E76" s="121">
        <f>E65</f>
        <v>0.99030558482613273</v>
      </c>
      <c r="F76" s="120">
        <f t="shared" si="1"/>
        <v>52.486195995785032</v>
      </c>
      <c r="G76" s="118">
        <f t="shared" si="4"/>
        <v>60</v>
      </c>
      <c r="H76" s="119">
        <f t="shared" si="2"/>
        <v>7.5138040042149683</v>
      </c>
      <c r="I76" s="118" t="str">
        <f t="shared" si="5"/>
        <v>NO</v>
      </c>
      <c r="J76" s="117">
        <f t="shared" si="3"/>
        <v>55.486195995785032</v>
      </c>
    </row>
    <row r="77" spans="2:10" ht="15" customHeight="1">
      <c r="B77" s="114">
        <v>2026</v>
      </c>
      <c r="C77" s="430">
        <f>K51</f>
        <v>53</v>
      </c>
      <c r="D77" s="431"/>
      <c r="E77" s="121">
        <f>E65</f>
        <v>0.99030558482613273</v>
      </c>
      <c r="F77" s="120">
        <f t="shared" si="1"/>
        <v>52.486195995785032</v>
      </c>
      <c r="G77" s="118">
        <f t="shared" si="4"/>
        <v>60</v>
      </c>
      <c r="H77" s="119">
        <f t="shared" si="2"/>
        <v>7.5138040042149683</v>
      </c>
      <c r="I77" s="118" t="str">
        <f t="shared" si="5"/>
        <v>NO</v>
      </c>
      <c r="J77" s="117">
        <f t="shared" si="3"/>
        <v>55.486195995785032</v>
      </c>
    </row>
    <row r="78" spans="2:10" ht="15" customHeight="1">
      <c r="B78" s="114">
        <v>2027</v>
      </c>
      <c r="C78" s="430">
        <f>L51</f>
        <v>53</v>
      </c>
      <c r="D78" s="431"/>
      <c r="E78" s="121">
        <f>E65</f>
        <v>0.99030558482613273</v>
      </c>
      <c r="F78" s="120">
        <f t="shared" si="1"/>
        <v>52.486195995785032</v>
      </c>
      <c r="G78" s="118">
        <f t="shared" si="4"/>
        <v>60</v>
      </c>
      <c r="H78" s="119">
        <f t="shared" si="2"/>
        <v>7.5138040042149683</v>
      </c>
      <c r="I78" s="118" t="str">
        <f t="shared" si="5"/>
        <v>NO</v>
      </c>
      <c r="J78" s="117">
        <f t="shared" si="3"/>
        <v>55.486195995785032</v>
      </c>
    </row>
    <row r="79" spans="2:10" ht="15" customHeight="1">
      <c r="B79" s="114">
        <v>2028</v>
      </c>
      <c r="C79" s="430">
        <f>M51</f>
        <v>54</v>
      </c>
      <c r="D79" s="431"/>
      <c r="E79" s="121">
        <f t="shared" ref="E79:E83" si="6">$E$65</f>
        <v>0.99030558482613273</v>
      </c>
      <c r="F79" s="120">
        <f t="shared" si="1"/>
        <v>53.476501580611171</v>
      </c>
      <c r="G79" s="118">
        <f t="shared" si="4"/>
        <v>60</v>
      </c>
      <c r="H79" s="119">
        <f t="shared" si="2"/>
        <v>6.5234984193888295</v>
      </c>
      <c r="I79" s="118" t="str">
        <f t="shared" si="5"/>
        <v>NO</v>
      </c>
      <c r="J79" s="117">
        <f t="shared" si="3"/>
        <v>56.476501580611171</v>
      </c>
    </row>
    <row r="80" spans="2:10" ht="15" customHeight="1">
      <c r="B80" s="114">
        <v>2029</v>
      </c>
      <c r="C80" s="430">
        <f>N51</f>
        <v>54</v>
      </c>
      <c r="D80" s="431"/>
      <c r="E80" s="121">
        <f t="shared" si="6"/>
        <v>0.99030558482613273</v>
      </c>
      <c r="F80" s="120">
        <f t="shared" si="1"/>
        <v>53.476501580611171</v>
      </c>
      <c r="G80" s="118">
        <f t="shared" si="4"/>
        <v>60</v>
      </c>
      <c r="H80" s="119">
        <f t="shared" si="2"/>
        <v>6.5234984193888295</v>
      </c>
      <c r="I80" s="118" t="str">
        <f t="shared" si="5"/>
        <v>NO</v>
      </c>
      <c r="J80" s="117">
        <f t="shared" si="3"/>
        <v>56.476501580611171</v>
      </c>
    </row>
    <row r="81" spans="2:10" ht="15" customHeight="1">
      <c r="B81" s="114">
        <v>2030</v>
      </c>
      <c r="C81" s="430">
        <f>O51</f>
        <v>54</v>
      </c>
      <c r="D81" s="431"/>
      <c r="E81" s="121">
        <f t="shared" si="6"/>
        <v>0.99030558482613273</v>
      </c>
      <c r="F81" s="120">
        <f t="shared" si="1"/>
        <v>53.476501580611171</v>
      </c>
      <c r="G81" s="118">
        <f t="shared" si="4"/>
        <v>60</v>
      </c>
      <c r="H81" s="119">
        <f t="shared" si="2"/>
        <v>6.5234984193888295</v>
      </c>
      <c r="I81" s="118" t="str">
        <f t="shared" si="5"/>
        <v>NO</v>
      </c>
      <c r="J81" s="117">
        <f t="shared" si="3"/>
        <v>56.476501580611171</v>
      </c>
    </row>
    <row r="82" spans="2:10" ht="15" customHeight="1">
      <c r="B82" s="114">
        <v>2031</v>
      </c>
      <c r="C82" s="430">
        <f>P51</f>
        <v>54</v>
      </c>
      <c r="D82" s="431"/>
      <c r="E82" s="121">
        <f t="shared" si="6"/>
        <v>0.99030558482613273</v>
      </c>
      <c r="F82" s="120">
        <f t="shared" si="1"/>
        <v>53.476501580611171</v>
      </c>
      <c r="G82" s="118">
        <f t="shared" si="4"/>
        <v>60</v>
      </c>
      <c r="H82" s="119">
        <f t="shared" si="2"/>
        <v>6.5234984193888295</v>
      </c>
      <c r="I82" s="118" t="str">
        <f t="shared" si="5"/>
        <v>NO</v>
      </c>
      <c r="J82" s="117">
        <f t="shared" si="3"/>
        <v>56.476501580611171</v>
      </c>
    </row>
    <row r="83" spans="2:10" ht="15" customHeight="1">
      <c r="B83" s="114">
        <v>2032</v>
      </c>
      <c r="C83" s="430">
        <f>Q51</f>
        <v>54</v>
      </c>
      <c r="D83" s="431"/>
      <c r="E83" s="121">
        <f t="shared" si="6"/>
        <v>0.99030558482613273</v>
      </c>
      <c r="F83" s="120">
        <f t="shared" si="1"/>
        <v>53.476501580611171</v>
      </c>
      <c r="G83" s="118">
        <f t="shared" si="4"/>
        <v>60</v>
      </c>
      <c r="H83" s="119">
        <f t="shared" si="2"/>
        <v>6.5234984193888295</v>
      </c>
      <c r="I83" s="118" t="str">
        <f t="shared" si="5"/>
        <v>NO</v>
      </c>
      <c r="J83" s="117">
        <f t="shared" si="3"/>
        <v>56.476501580611171</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Blackhall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80</v>
      </c>
      <c r="D91" s="112">
        <f t="shared" ref="D91:J91" si="7">D188</f>
        <v>62</v>
      </c>
      <c r="E91" s="112">
        <f t="shared" si="7"/>
        <v>59</v>
      </c>
      <c r="F91" s="112">
        <f t="shared" si="7"/>
        <v>63</v>
      </c>
      <c r="G91" s="112">
        <f t="shared" si="7"/>
        <v>63</v>
      </c>
      <c r="H91" s="112">
        <f t="shared" si="7"/>
        <v>65</v>
      </c>
      <c r="I91" s="112">
        <f t="shared" si="7"/>
        <v>56</v>
      </c>
      <c r="J91" s="213">
        <f t="shared" si="7"/>
        <v>448</v>
      </c>
    </row>
    <row r="92" spans="2:10" ht="15" customHeight="1">
      <c r="B92" s="114">
        <v>2014</v>
      </c>
      <c r="C92" s="112">
        <f>C189</f>
        <v>58</v>
      </c>
      <c r="D92" s="112">
        <f t="shared" ref="D92:J92" si="8">D189</f>
        <v>83</v>
      </c>
      <c r="E92" s="112">
        <f t="shared" si="8"/>
        <v>61</v>
      </c>
      <c r="F92" s="112">
        <f t="shared" si="8"/>
        <v>59</v>
      </c>
      <c r="G92" s="112">
        <f t="shared" si="8"/>
        <v>64</v>
      </c>
      <c r="H92" s="112">
        <f t="shared" si="8"/>
        <v>62</v>
      </c>
      <c r="I92" s="112">
        <f t="shared" si="8"/>
        <v>62</v>
      </c>
      <c r="J92" s="213">
        <f t="shared" si="8"/>
        <v>449</v>
      </c>
    </row>
    <row r="93" spans="2:10" ht="15" customHeight="1">
      <c r="B93" s="114">
        <v>2015</v>
      </c>
      <c r="C93" s="112">
        <f>C190</f>
        <v>59</v>
      </c>
      <c r="D93" s="112">
        <f t="shared" ref="D93:J93" si="9">D190</f>
        <v>58</v>
      </c>
      <c r="E93" s="112">
        <f t="shared" si="9"/>
        <v>84</v>
      </c>
      <c r="F93" s="112">
        <f t="shared" si="9"/>
        <v>60</v>
      </c>
      <c r="G93" s="112">
        <f t="shared" si="9"/>
        <v>61</v>
      </c>
      <c r="H93" s="112">
        <f t="shared" si="9"/>
        <v>62</v>
      </c>
      <c r="I93" s="112">
        <f t="shared" si="9"/>
        <v>59</v>
      </c>
      <c r="J93" s="213">
        <f t="shared" si="9"/>
        <v>443</v>
      </c>
    </row>
    <row r="94" spans="2:10" ht="15" customHeight="1">
      <c r="B94" s="114">
        <v>2016</v>
      </c>
      <c r="C94" s="112">
        <f>C191</f>
        <v>73</v>
      </c>
      <c r="D94" s="112">
        <f t="shared" ref="D94:J94" si="10">D191</f>
        <v>60</v>
      </c>
      <c r="E94" s="112">
        <f t="shared" si="10"/>
        <v>55</v>
      </c>
      <c r="F94" s="112">
        <f t="shared" si="10"/>
        <v>85</v>
      </c>
      <c r="G94" s="112">
        <f t="shared" si="10"/>
        <v>60</v>
      </c>
      <c r="H94" s="112">
        <f t="shared" si="10"/>
        <v>55</v>
      </c>
      <c r="I94" s="112">
        <f t="shared" si="10"/>
        <v>59</v>
      </c>
      <c r="J94" s="213">
        <f t="shared" si="10"/>
        <v>447</v>
      </c>
    </row>
    <row r="95" spans="2:10" ht="15" customHeight="1">
      <c r="B95" s="114">
        <v>2017</v>
      </c>
      <c r="C95" s="112">
        <f>C192</f>
        <v>69</v>
      </c>
      <c r="D95" s="112">
        <f t="shared" ref="D95:J95" si="11">D192</f>
        <v>75</v>
      </c>
      <c r="E95" s="112">
        <f t="shared" si="11"/>
        <v>63</v>
      </c>
      <c r="F95" s="112">
        <f t="shared" si="11"/>
        <v>55</v>
      </c>
      <c r="G95" s="112">
        <f t="shared" si="11"/>
        <v>87</v>
      </c>
      <c r="H95" s="112">
        <f t="shared" si="11"/>
        <v>58</v>
      </c>
      <c r="I95" s="112">
        <f t="shared" si="11"/>
        <v>53</v>
      </c>
      <c r="J95" s="213">
        <f t="shared" si="11"/>
        <v>460</v>
      </c>
    </row>
    <row r="96" spans="2:10" ht="15" customHeight="1">
      <c r="B96" s="307">
        <v>2018</v>
      </c>
      <c r="C96" s="112">
        <f t="shared" ref="C96:J96" si="12">C193</f>
        <v>67</v>
      </c>
      <c r="D96" s="112">
        <f t="shared" si="12"/>
        <v>67</v>
      </c>
      <c r="E96" s="112">
        <f t="shared" si="12"/>
        <v>75</v>
      </c>
      <c r="F96" s="112">
        <f t="shared" si="12"/>
        <v>58</v>
      </c>
      <c r="G96" s="112">
        <f t="shared" si="12"/>
        <v>49</v>
      </c>
      <c r="H96" s="112">
        <f t="shared" si="12"/>
        <v>80</v>
      </c>
      <c r="I96" s="112">
        <f t="shared" si="12"/>
        <v>57</v>
      </c>
      <c r="J96" s="213">
        <f t="shared" si="12"/>
        <v>453</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-1.6949152542372881E-2</v>
      </c>
      <c r="E98" s="210">
        <f t="shared" ref="E98:I98" si="13">MEDIAN(((D91-E92)/D91),((D92-E93)/D92),((D93-E94)/D93),((D94-E95)/D94),((D95-E96)/D95))</f>
        <v>0</v>
      </c>
      <c r="F98" s="210">
        <f t="shared" si="13"/>
        <v>0</v>
      </c>
      <c r="G98" s="210">
        <f t="shared" si="13"/>
        <v>-1.5873015873015872E-2</v>
      </c>
      <c r="H98" s="210">
        <f t="shared" si="13"/>
        <v>3.3333333333333333E-2</v>
      </c>
      <c r="I98" s="210">
        <f t="shared" si="13"/>
        <v>4.6153846153846156E-2</v>
      </c>
    </row>
    <row r="99" spans="2:10" ht="15" customHeight="1">
      <c r="B99" s="59"/>
      <c r="C99" s="60"/>
      <c r="D99" s="61"/>
      <c r="E99" s="61"/>
      <c r="F99" s="61"/>
      <c r="G99" s="61"/>
      <c r="H99" s="61"/>
      <c r="I99" s="61"/>
      <c r="J99" s="58"/>
    </row>
    <row r="100" spans="2:10" ht="15" customHeight="1">
      <c r="B100" s="15" t="str">
        <f>"Table 4B: "&amp;E3&amp;" Projected Roll by Stage (incorporating Projected P1 and Drop-Off Rates), 2019-2032"</f>
        <v>Table 4B: Blackhall Primary School Projected Roll by Stage (incorporating Projected P1 and Drop-Off Rates), 2019-2032</v>
      </c>
      <c r="F100" s="14"/>
      <c r="G100" s="14"/>
    </row>
    <row r="101" spans="2:10" ht="15" customHeight="1">
      <c r="F101" s="14"/>
      <c r="G101" s="14"/>
    </row>
    <row r="102" spans="2:10" ht="15" customHeight="1">
      <c r="B102" s="115"/>
      <c r="C102" s="109" t="s">
        <v>1</v>
      </c>
      <c r="D102" s="109" t="s">
        <v>2</v>
      </c>
      <c r="E102" s="109" t="s">
        <v>3</v>
      </c>
      <c r="F102" s="109" t="s">
        <v>4</v>
      </c>
      <c r="G102" s="109" t="s">
        <v>5</v>
      </c>
      <c r="H102" s="109" t="s">
        <v>6</v>
      </c>
      <c r="I102" s="109" t="s">
        <v>7</v>
      </c>
      <c r="J102" s="109" t="s">
        <v>8</v>
      </c>
    </row>
    <row r="103" spans="2:10" ht="15" customHeight="1">
      <c r="B103" s="114">
        <v>2019</v>
      </c>
      <c r="C103" s="113">
        <f t="shared" ref="C103:C116" si="14">J70</f>
        <v>58.457112750263434</v>
      </c>
      <c r="D103" s="324">
        <f>ROUND((C96)-(C96*$D$98),0)</f>
        <v>68</v>
      </c>
      <c r="E103" s="324">
        <f>ROUND((D96)-(D96*$E$98),0)</f>
        <v>67</v>
      </c>
      <c r="F103" s="324">
        <f>ROUND((E96)-(E96*$F$98),0)</f>
        <v>75</v>
      </c>
      <c r="G103" s="324">
        <f>ROUND((F96)-(F96*$G$98),0)</f>
        <v>59</v>
      </c>
      <c r="H103" s="324">
        <f>ROUND((G96)-(G96*$H$98),0)</f>
        <v>47</v>
      </c>
      <c r="I103" s="324">
        <f>ROUND((H96)-(H96*$I$98),0)</f>
        <v>76</v>
      </c>
      <c r="J103" s="111">
        <f t="shared" ref="J103:J116" si="15">SUM(C103:I103)</f>
        <v>450.45711275026343</v>
      </c>
    </row>
    <row r="104" spans="2:10" ht="15" customHeight="1">
      <c r="B104" s="114">
        <v>2020</v>
      </c>
      <c r="C104" s="113">
        <f t="shared" si="14"/>
        <v>59.447418335089566</v>
      </c>
      <c r="D104" s="324">
        <f>ROUND((C103-E50)-(C103*$D$98),0)</f>
        <v>59</v>
      </c>
      <c r="E104" s="112">
        <f t="shared" ref="E104:E116" si="16">ROUND((D103)-(D103*$E$98),0)</f>
        <v>68</v>
      </c>
      <c r="F104" s="112">
        <f t="shared" ref="F104:F116" si="17">ROUND((E103)-(E103*$F$98),0)</f>
        <v>67</v>
      </c>
      <c r="G104" s="112">
        <f t="shared" ref="G104:G116" si="18">ROUND((F103)-(F103*$G$98),0)</f>
        <v>76</v>
      </c>
      <c r="H104" s="112">
        <f t="shared" ref="H104:H116" si="19">ROUND((G103)-(G103*$H$98),0)</f>
        <v>57</v>
      </c>
      <c r="I104" s="112">
        <f t="shared" ref="I104:I116" si="20">ROUND((H103)-(H103*$I$98),0)</f>
        <v>45</v>
      </c>
      <c r="J104" s="111">
        <f t="shared" si="15"/>
        <v>431.44741833508954</v>
      </c>
    </row>
    <row r="105" spans="2:10" ht="15" customHeight="1">
      <c r="B105" s="114">
        <v>2021</v>
      </c>
      <c r="C105" s="113">
        <f t="shared" si="14"/>
        <v>42.612223393045312</v>
      </c>
      <c r="D105" s="324">
        <f>ROUND((C104-F50)-(C104*$D$98),0)</f>
        <v>60</v>
      </c>
      <c r="E105" s="112">
        <f t="shared" si="16"/>
        <v>59</v>
      </c>
      <c r="F105" s="112">
        <f t="shared" si="17"/>
        <v>68</v>
      </c>
      <c r="G105" s="112">
        <f t="shared" si="18"/>
        <v>68</v>
      </c>
      <c r="H105" s="112">
        <f t="shared" si="19"/>
        <v>73</v>
      </c>
      <c r="I105" s="112">
        <f t="shared" si="20"/>
        <v>54</v>
      </c>
      <c r="J105" s="111">
        <f t="shared" si="15"/>
        <v>424.61222339304533</v>
      </c>
    </row>
    <row r="106" spans="2:10" ht="15" customHeight="1">
      <c r="B106" s="114">
        <v>2022</v>
      </c>
      <c r="C106" s="113">
        <f t="shared" si="14"/>
        <v>57.466807165437302</v>
      </c>
      <c r="D106" s="324">
        <f>ROUND((C105-G50)-(C105*$D$98),0)</f>
        <v>43</v>
      </c>
      <c r="E106" s="112">
        <f t="shared" si="16"/>
        <v>60</v>
      </c>
      <c r="F106" s="112">
        <f t="shared" si="17"/>
        <v>59</v>
      </c>
      <c r="G106" s="112">
        <f t="shared" si="18"/>
        <v>69</v>
      </c>
      <c r="H106" s="112">
        <f t="shared" si="19"/>
        <v>66</v>
      </c>
      <c r="I106" s="112">
        <f t="shared" si="20"/>
        <v>70</v>
      </c>
      <c r="J106" s="111">
        <f t="shared" si="15"/>
        <v>424.46680716543733</v>
      </c>
    </row>
    <row r="107" spans="2:10" ht="15" customHeight="1">
      <c r="B107" s="114">
        <v>2023</v>
      </c>
      <c r="C107" s="113">
        <f t="shared" si="14"/>
        <v>53.505584826132768</v>
      </c>
      <c r="D107" s="324">
        <f>ROUND((C106-H50)-(C106*$D$98),0)</f>
        <v>58</v>
      </c>
      <c r="E107" s="112">
        <f t="shared" si="16"/>
        <v>43</v>
      </c>
      <c r="F107" s="112">
        <f t="shared" si="17"/>
        <v>60</v>
      </c>
      <c r="G107" s="112">
        <f t="shared" si="18"/>
        <v>60</v>
      </c>
      <c r="H107" s="112">
        <f t="shared" si="19"/>
        <v>67</v>
      </c>
      <c r="I107" s="112">
        <f t="shared" si="20"/>
        <v>63</v>
      </c>
      <c r="J107" s="111">
        <f t="shared" si="15"/>
        <v>404.5055848261328</v>
      </c>
    </row>
    <row r="108" spans="2:10" ht="15" customHeight="1">
      <c r="B108" s="114">
        <v>2024</v>
      </c>
      <c r="C108" s="113">
        <f t="shared" si="14"/>
        <v>54.4958904109589</v>
      </c>
      <c r="D108" s="324">
        <f>ROUND((C107-I50)-(C107*$D$98),0)</f>
        <v>54</v>
      </c>
      <c r="E108" s="112">
        <f t="shared" si="16"/>
        <v>58</v>
      </c>
      <c r="F108" s="112">
        <f t="shared" si="17"/>
        <v>43</v>
      </c>
      <c r="G108" s="112">
        <f t="shared" si="18"/>
        <v>61</v>
      </c>
      <c r="H108" s="112">
        <f t="shared" si="19"/>
        <v>58</v>
      </c>
      <c r="I108" s="112">
        <f t="shared" si="20"/>
        <v>64</v>
      </c>
      <c r="J108" s="111">
        <f t="shared" si="15"/>
        <v>392.49589041095891</v>
      </c>
    </row>
    <row r="109" spans="2:10" ht="15" customHeight="1">
      <c r="B109" s="114">
        <v>2025</v>
      </c>
      <c r="C109" s="113">
        <f t="shared" si="14"/>
        <v>55.486195995785032</v>
      </c>
      <c r="D109" s="324">
        <f>ROUND((C108-J50)-(C108*$D$98),0)</f>
        <v>55</v>
      </c>
      <c r="E109" s="112">
        <f t="shared" si="16"/>
        <v>54</v>
      </c>
      <c r="F109" s="112">
        <f t="shared" si="17"/>
        <v>58</v>
      </c>
      <c r="G109" s="112">
        <f t="shared" si="18"/>
        <v>44</v>
      </c>
      <c r="H109" s="112">
        <f t="shared" si="19"/>
        <v>59</v>
      </c>
      <c r="I109" s="112">
        <f t="shared" si="20"/>
        <v>55</v>
      </c>
      <c r="J109" s="111">
        <f t="shared" si="15"/>
        <v>380.48619599578501</v>
      </c>
    </row>
    <row r="110" spans="2:10" ht="15" customHeight="1">
      <c r="B110" s="114">
        <v>2026</v>
      </c>
      <c r="C110" s="113">
        <f t="shared" si="14"/>
        <v>55.486195995785032</v>
      </c>
      <c r="D110" s="324">
        <f>ROUND((C109-K50)-(C109*$D$98),0)</f>
        <v>56</v>
      </c>
      <c r="E110" s="112">
        <f t="shared" si="16"/>
        <v>55</v>
      </c>
      <c r="F110" s="112">
        <f t="shared" si="17"/>
        <v>54</v>
      </c>
      <c r="G110" s="112">
        <f t="shared" si="18"/>
        <v>59</v>
      </c>
      <c r="H110" s="112">
        <f t="shared" si="19"/>
        <v>43</v>
      </c>
      <c r="I110" s="112">
        <f t="shared" si="20"/>
        <v>56</v>
      </c>
      <c r="J110" s="111">
        <f t="shared" si="15"/>
        <v>378.48619599578501</v>
      </c>
    </row>
    <row r="111" spans="2:10" ht="15" customHeight="1">
      <c r="B111" s="114">
        <v>2027</v>
      </c>
      <c r="C111" s="113">
        <f t="shared" si="14"/>
        <v>55.486195995785032</v>
      </c>
      <c r="D111" s="324">
        <f>ROUND((C110-L50)-(C110*$D$98),0)</f>
        <v>56</v>
      </c>
      <c r="E111" s="112">
        <f t="shared" si="16"/>
        <v>56</v>
      </c>
      <c r="F111" s="112">
        <f t="shared" si="17"/>
        <v>55</v>
      </c>
      <c r="G111" s="112">
        <f t="shared" si="18"/>
        <v>55</v>
      </c>
      <c r="H111" s="112">
        <f t="shared" si="19"/>
        <v>57</v>
      </c>
      <c r="I111" s="112">
        <f t="shared" si="20"/>
        <v>41</v>
      </c>
      <c r="J111" s="111">
        <f t="shared" si="15"/>
        <v>375.48619599578501</v>
      </c>
    </row>
    <row r="112" spans="2:10" ht="15" customHeight="1">
      <c r="B112" s="114">
        <v>2028</v>
      </c>
      <c r="C112" s="113">
        <f t="shared" si="14"/>
        <v>56.476501580611171</v>
      </c>
      <c r="D112" s="324">
        <f>ROUND((C111-M50)-(C111*$D$98),0)</f>
        <v>56</v>
      </c>
      <c r="E112" s="112">
        <f t="shared" si="16"/>
        <v>56</v>
      </c>
      <c r="F112" s="112">
        <f t="shared" si="17"/>
        <v>56</v>
      </c>
      <c r="G112" s="112">
        <f t="shared" si="18"/>
        <v>56</v>
      </c>
      <c r="H112" s="112">
        <f t="shared" si="19"/>
        <v>53</v>
      </c>
      <c r="I112" s="112">
        <f t="shared" si="20"/>
        <v>54</v>
      </c>
      <c r="J112" s="111">
        <f t="shared" si="15"/>
        <v>387.47650158061117</v>
      </c>
    </row>
    <row r="113" spans="2:10" ht="15" customHeight="1">
      <c r="B113" s="114">
        <v>2029</v>
      </c>
      <c r="C113" s="113">
        <f t="shared" si="14"/>
        <v>56.476501580611171</v>
      </c>
      <c r="D113" s="324">
        <f>ROUND((C112-N50)-(C112*$D$98),0)</f>
        <v>57</v>
      </c>
      <c r="E113" s="112">
        <f t="shared" si="16"/>
        <v>56</v>
      </c>
      <c r="F113" s="112">
        <f t="shared" si="17"/>
        <v>56</v>
      </c>
      <c r="G113" s="112">
        <f t="shared" si="18"/>
        <v>57</v>
      </c>
      <c r="H113" s="112">
        <f t="shared" si="19"/>
        <v>54</v>
      </c>
      <c r="I113" s="112">
        <f t="shared" si="20"/>
        <v>51</v>
      </c>
      <c r="J113" s="111">
        <f t="shared" si="15"/>
        <v>387.47650158061117</v>
      </c>
    </row>
    <row r="114" spans="2:10" ht="15" customHeight="1">
      <c r="B114" s="114">
        <v>2030</v>
      </c>
      <c r="C114" s="113">
        <f t="shared" si="14"/>
        <v>56.476501580611171</v>
      </c>
      <c r="D114" s="324">
        <f>ROUND((C113-O50)-(C113*$D$98),0)</f>
        <v>57</v>
      </c>
      <c r="E114" s="112">
        <f t="shared" si="16"/>
        <v>57</v>
      </c>
      <c r="F114" s="112">
        <f t="shared" si="17"/>
        <v>56</v>
      </c>
      <c r="G114" s="112">
        <f t="shared" si="18"/>
        <v>57</v>
      </c>
      <c r="H114" s="112">
        <f t="shared" si="19"/>
        <v>55</v>
      </c>
      <c r="I114" s="112">
        <f t="shared" si="20"/>
        <v>52</v>
      </c>
      <c r="J114" s="111">
        <f t="shared" si="15"/>
        <v>390.47650158061117</v>
      </c>
    </row>
    <row r="115" spans="2:10" ht="15" customHeight="1">
      <c r="B115" s="114">
        <v>2031</v>
      </c>
      <c r="C115" s="113">
        <f t="shared" si="14"/>
        <v>56.476501580611171</v>
      </c>
      <c r="D115" s="324">
        <f>ROUND((C114-P50)-(C114*$D$98),0)</f>
        <v>57</v>
      </c>
      <c r="E115" s="112">
        <f t="shared" si="16"/>
        <v>57</v>
      </c>
      <c r="F115" s="112">
        <f t="shared" si="17"/>
        <v>57</v>
      </c>
      <c r="G115" s="112">
        <f t="shared" si="18"/>
        <v>57</v>
      </c>
      <c r="H115" s="112">
        <f t="shared" si="19"/>
        <v>55</v>
      </c>
      <c r="I115" s="112">
        <f t="shared" si="20"/>
        <v>52</v>
      </c>
      <c r="J115" s="111">
        <f t="shared" si="15"/>
        <v>391.47650158061117</v>
      </c>
    </row>
    <row r="116" spans="2:10" ht="15" customHeight="1">
      <c r="B116" s="114">
        <v>2032</v>
      </c>
      <c r="C116" s="113">
        <f t="shared" si="14"/>
        <v>56.476501580611171</v>
      </c>
      <c r="D116" s="324">
        <f>ROUND((C115-Q50)-(C115*$D$98),0)</f>
        <v>57</v>
      </c>
      <c r="E116" s="112">
        <f t="shared" si="16"/>
        <v>57</v>
      </c>
      <c r="F116" s="112">
        <f t="shared" si="17"/>
        <v>57</v>
      </c>
      <c r="G116" s="112">
        <f t="shared" si="18"/>
        <v>58</v>
      </c>
      <c r="H116" s="112">
        <f t="shared" si="19"/>
        <v>55</v>
      </c>
      <c r="I116" s="112">
        <f t="shared" si="20"/>
        <v>52</v>
      </c>
      <c r="J116" s="111">
        <f t="shared" si="15"/>
        <v>392.47650158061117</v>
      </c>
    </row>
    <row r="117" spans="2:10" ht="15" customHeight="1">
      <c r="F117" s="14"/>
      <c r="G117" s="14"/>
    </row>
    <row r="118" spans="2:10" ht="15" customHeight="1">
      <c r="B118" s="15" t="str">
        <f>"Table 4C: "&amp;E3&amp;" Projected Pupil Generation from Housing Development, 2019-2032"</f>
        <v>Table 4C: Blackhall Primary School Projected Pupil Generation from Housing Development, 2019-2032</v>
      </c>
      <c r="F118" s="14"/>
      <c r="G118" s="14"/>
    </row>
    <row r="119" spans="2:10" ht="15" customHeight="1">
      <c r="F119" s="14"/>
      <c r="G119" s="14"/>
    </row>
    <row r="120" spans="2:10" ht="15" customHeight="1">
      <c r="B120" s="115"/>
      <c r="C120" s="109" t="s">
        <v>1</v>
      </c>
      <c r="D120" s="109" t="s">
        <v>2</v>
      </c>
      <c r="E120" s="109" t="s">
        <v>3</v>
      </c>
      <c r="F120" s="109" t="s">
        <v>4</v>
      </c>
      <c r="G120" s="109" t="s">
        <v>5</v>
      </c>
      <c r="H120" s="109" t="s">
        <v>6</v>
      </c>
      <c r="I120" s="109" t="s">
        <v>7</v>
      </c>
      <c r="J120" s="109" t="s">
        <v>8</v>
      </c>
    </row>
    <row r="121" spans="2:10" ht="15" customHeight="1">
      <c r="B121" s="114">
        <v>2019</v>
      </c>
      <c r="C121" s="116" t="s">
        <v>97</v>
      </c>
      <c r="D121" s="112">
        <f>VLOOKUP($E$3,'Housing Generation'!$A$3:$BE$90,11,FALSE)</f>
        <v>0</v>
      </c>
      <c r="E121" s="112">
        <f>VLOOKUP($E$3,'Housing Generation'!$A$3:$BE$90,12,FALSE)</f>
        <v>0</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0</v>
      </c>
    </row>
    <row r="122" spans="2:10" ht="15" customHeight="1">
      <c r="B122" s="114">
        <v>2020</v>
      </c>
      <c r="C122" s="116" t="s">
        <v>97</v>
      </c>
      <c r="D122" s="112">
        <f>VLOOKUP($E$3,'Housing Generation'!$A$3:$BE$90,19,FALSE)</f>
        <v>0</v>
      </c>
      <c r="E122" s="112">
        <f>VLOOKUP($E$3,'Housing Generation'!$A$3:$BE$90,20,FALSE)</f>
        <v>0</v>
      </c>
      <c r="F122" s="112">
        <f>VLOOKUP($E$3,'Housing Generation'!$A$3:$BE$90,21,FALSE)</f>
        <v>0</v>
      </c>
      <c r="G122" s="112">
        <f>VLOOKUP($E$3,'Housing Generation'!$A$3:$BE$90,22,FALSE)</f>
        <v>0</v>
      </c>
      <c r="H122" s="112">
        <f>VLOOKUP($E$3,'Housing Generation'!$A$3:$BE$90,23,FALSE)</f>
        <v>0</v>
      </c>
      <c r="I122" s="112">
        <f>VLOOKUP($E$3,'Housing Generation'!$A$3:$BE$90,24,FALSE)</f>
        <v>0</v>
      </c>
      <c r="J122" s="111">
        <f t="shared" si="21"/>
        <v>0</v>
      </c>
    </row>
    <row r="123" spans="2:10" ht="15" customHeight="1">
      <c r="B123" s="114">
        <v>2021</v>
      </c>
      <c r="C123" s="116" t="s">
        <v>97</v>
      </c>
      <c r="D123" s="112">
        <f>VLOOKUP($E$3,'Housing Generation'!$A$3:$BE$90,27,FALSE)</f>
        <v>0</v>
      </c>
      <c r="E123" s="112">
        <f>VLOOKUP($E$3,'Housing Generation'!$A$3:$BE$90,28,FALSE)</f>
        <v>0</v>
      </c>
      <c r="F123" s="112">
        <f>VLOOKUP($E$3,'Housing Generation'!$A$3:$BE$90,29,FALSE)</f>
        <v>0</v>
      </c>
      <c r="G123" s="112">
        <f>VLOOKUP($E$3,'Housing Generation'!$A$3:$BE$90,30,FALSE)</f>
        <v>0</v>
      </c>
      <c r="H123" s="112">
        <f>VLOOKUP($E$3,'Housing Generation'!$A$3:$BE$90,31,FALSE)</f>
        <v>0</v>
      </c>
      <c r="I123" s="112">
        <f>VLOOKUP($E$3,'Housing Generation'!$A$3:$BE$90,32,FALSE)</f>
        <v>0</v>
      </c>
      <c r="J123" s="111">
        <f t="shared" si="21"/>
        <v>0</v>
      </c>
    </row>
    <row r="124" spans="2:10" ht="15" customHeight="1">
      <c r="B124" s="114">
        <v>2022</v>
      </c>
      <c r="C124" s="116" t="s">
        <v>97</v>
      </c>
      <c r="D124" s="112">
        <f>VLOOKUP($E$3,'Housing Generation'!$A$3:$BE$90,35,FALSE)</f>
        <v>0</v>
      </c>
      <c r="E124" s="112">
        <f>VLOOKUP($E$3,'Housing Generation'!$A$3:$BE$90,36,FALSE)</f>
        <v>0</v>
      </c>
      <c r="F124" s="112">
        <f>VLOOKUP($E$3,'Housing Generation'!$A$3:$BE$90,37,FALSE)</f>
        <v>0</v>
      </c>
      <c r="G124" s="112">
        <f>VLOOKUP($E$3,'Housing Generation'!$A$3:$BE$90,38,FALSE)</f>
        <v>0</v>
      </c>
      <c r="H124" s="112">
        <f>VLOOKUP($E$3,'Housing Generation'!$A$3:$BE$90,39,FALSE)</f>
        <v>0</v>
      </c>
      <c r="I124" s="112">
        <f>VLOOKUP($E$3,'Housing Generation'!$A$3:$BE$90,40,FALSE)</f>
        <v>0</v>
      </c>
      <c r="J124" s="111">
        <f t="shared" si="21"/>
        <v>0</v>
      </c>
    </row>
    <row r="125" spans="2:10" ht="15" customHeight="1">
      <c r="B125" s="114">
        <v>2023</v>
      </c>
      <c r="C125" s="116" t="s">
        <v>97</v>
      </c>
      <c r="D125" s="112">
        <f>VLOOKUP($E$3,'Housing Generation'!$A$3:$BE$90,43,FALSE)</f>
        <v>0</v>
      </c>
      <c r="E125" s="112">
        <f>VLOOKUP($E$3,'Housing Generation'!$A$3:$BE$90,44,FALSE)</f>
        <v>0</v>
      </c>
      <c r="F125" s="112">
        <f>VLOOKUP($E$3,'Housing Generation'!$A$3:$BE$90,45,FALSE)</f>
        <v>0</v>
      </c>
      <c r="G125" s="112">
        <f>VLOOKUP($E$3,'Housing Generation'!$A$3:$BE$90,46,FALSE)</f>
        <v>0</v>
      </c>
      <c r="H125" s="112">
        <f>VLOOKUP($E$3,'Housing Generation'!$A$3:$BE$90,47,FALSE)</f>
        <v>0</v>
      </c>
      <c r="I125" s="112">
        <f>VLOOKUP($E$3,'Housing Generation'!$A$3:$BE$90,48,FALSE)</f>
        <v>0</v>
      </c>
      <c r="J125" s="111">
        <f t="shared" si="21"/>
        <v>0</v>
      </c>
    </row>
    <row r="126" spans="2:10" ht="15" customHeight="1">
      <c r="B126" s="114">
        <v>2024</v>
      </c>
      <c r="C126" s="116" t="s">
        <v>97</v>
      </c>
      <c r="D126" s="112">
        <f>VLOOKUP($E$3,'Housing Generation'!$A$3:$BE$90,51,FALSE)</f>
        <v>0</v>
      </c>
      <c r="E126" s="112">
        <f>VLOOKUP($E$3,'Housing Generation'!$A$3:$BE$90,52,FALSE)</f>
        <v>0</v>
      </c>
      <c r="F126" s="112">
        <f>VLOOKUP($E$3,'Housing Generation'!$A$3:$BE$90,53,FALSE)</f>
        <v>0</v>
      </c>
      <c r="G126" s="112">
        <f>VLOOKUP($E$3,'Housing Generation'!$A$3:$BE$90,54,FALSE)</f>
        <v>0</v>
      </c>
      <c r="H126" s="112">
        <f>VLOOKUP($E$3,'Housing Generation'!$A$3:$BE$90,55,FALSE)</f>
        <v>0</v>
      </c>
      <c r="I126" s="112">
        <f>VLOOKUP($E$3,'Housing Generation'!$A$3:$BE$90,56,FALSE)</f>
        <v>0</v>
      </c>
      <c r="J126" s="111">
        <f t="shared" si="21"/>
        <v>0</v>
      </c>
    </row>
    <row r="127" spans="2:10" ht="15" customHeight="1">
      <c r="B127" s="114">
        <v>2025</v>
      </c>
      <c r="C127" s="240" t="s">
        <v>97</v>
      </c>
      <c r="D127" s="112">
        <f>VLOOKUP($E$3,'Housing Generation'!$A$3:$CK$90,59,FALSE)</f>
        <v>0</v>
      </c>
      <c r="E127" s="112">
        <f>VLOOKUP($E$3,'Housing Generation'!$A$3:$CK$90,60,FALSE)</f>
        <v>0</v>
      </c>
      <c r="F127" s="112">
        <f>VLOOKUP($E$3,'Housing Generation'!$A$3:$CK$90,61,FALSE)</f>
        <v>0</v>
      </c>
      <c r="G127" s="112">
        <f>VLOOKUP($E$3,'Housing Generation'!$A$3:$CK$90,62,FALSE)</f>
        <v>0</v>
      </c>
      <c r="H127" s="112">
        <f>VLOOKUP($E$3,'Housing Generation'!$A$3:$CK$90,63,FALSE)</f>
        <v>0</v>
      </c>
      <c r="I127" s="112">
        <f>VLOOKUP($E$3,'Housing Generation'!$A$3:$CK$90,64,FALSE)</f>
        <v>0</v>
      </c>
      <c r="J127" s="111">
        <f t="shared" si="21"/>
        <v>0</v>
      </c>
    </row>
    <row r="128" spans="2:10" ht="15" customHeight="1">
      <c r="B128" s="114">
        <v>2026</v>
      </c>
      <c r="C128" s="240" t="s">
        <v>97</v>
      </c>
      <c r="D128" s="112">
        <f>VLOOKUP($E$3,'Housing Generation'!$A$3:$CK$90,67,FALSE)</f>
        <v>0</v>
      </c>
      <c r="E128" s="112">
        <f>VLOOKUP($E$3,'Housing Generation'!$A$3:$CK$90,68,FALSE)</f>
        <v>0</v>
      </c>
      <c r="F128" s="112">
        <f>VLOOKUP($E$3,'Housing Generation'!$A$3:$CK$90,69,FALSE)</f>
        <v>0</v>
      </c>
      <c r="G128" s="112">
        <f>VLOOKUP($E$3,'Housing Generation'!$A$3:$CK$90,70,FALSE)</f>
        <v>0</v>
      </c>
      <c r="H128" s="112">
        <f>VLOOKUP($E$3,'Housing Generation'!$A$3:$CK$90,71,FALSE)</f>
        <v>0</v>
      </c>
      <c r="I128" s="112">
        <f>VLOOKUP($E$3,'Housing Generation'!$A$3:$CK$90,72,FALSE)</f>
        <v>0</v>
      </c>
      <c r="J128" s="111">
        <f t="shared" si="21"/>
        <v>0</v>
      </c>
    </row>
    <row r="129" spans="2:10" ht="15" customHeight="1">
      <c r="B129" s="114">
        <v>2027</v>
      </c>
      <c r="C129" s="240" t="s">
        <v>97</v>
      </c>
      <c r="D129" s="112">
        <f>VLOOKUP($E$3,'Housing Generation'!$A$3:$CK$90,75,FALSE)</f>
        <v>0</v>
      </c>
      <c r="E129" s="112">
        <f>VLOOKUP($E$3,'Housing Generation'!$A$3:$CK$90,76,FALSE)</f>
        <v>0</v>
      </c>
      <c r="F129" s="112">
        <f>VLOOKUP($E$3,'Housing Generation'!$A$3:$CK$90,77,FALSE)</f>
        <v>0</v>
      </c>
      <c r="G129" s="112">
        <f>VLOOKUP($E$3,'Housing Generation'!$A$3:$CK$90,78,FALSE)</f>
        <v>0</v>
      </c>
      <c r="H129" s="112">
        <f>VLOOKUP($E$3,'Housing Generation'!$A$3:$CK$90,79,FALSE)</f>
        <v>0</v>
      </c>
      <c r="I129" s="112">
        <f>VLOOKUP($E$3,'Housing Generation'!$A$3:$CK$90,80,FALSE)</f>
        <v>0</v>
      </c>
      <c r="J129" s="111">
        <f t="shared" si="21"/>
        <v>0</v>
      </c>
    </row>
    <row r="130" spans="2:10" ht="15" customHeight="1">
      <c r="B130" s="114">
        <v>2028</v>
      </c>
      <c r="C130" s="289" t="s">
        <v>97</v>
      </c>
      <c r="D130" s="112">
        <f>VLOOKUP($E$3,'Housing Generation'!$A$3:$CK$90,83,FALSE)</f>
        <v>0</v>
      </c>
      <c r="E130" s="112">
        <f>VLOOKUP($E$3,'Housing Generation'!$A$3:$CK$90,84,FALSE)</f>
        <v>0</v>
      </c>
      <c r="F130" s="112">
        <f>VLOOKUP($E$3,'Housing Generation'!$A$3:$CK$90,85,FALSE)</f>
        <v>0</v>
      </c>
      <c r="G130" s="112">
        <f>VLOOKUP($E$3,'Housing Generation'!$A$3:$CK$90,86,FALSE)</f>
        <v>0</v>
      </c>
      <c r="H130" s="112">
        <f>VLOOKUP($E$3,'Housing Generation'!$A$3:$CK$90,87,FALSE)</f>
        <v>0</v>
      </c>
      <c r="I130" s="112">
        <f>VLOOKUP($E$3,'Housing Generation'!$A$3:$CK$90,88,FALSE)</f>
        <v>0</v>
      </c>
      <c r="J130" s="111">
        <f t="shared" si="21"/>
        <v>0</v>
      </c>
    </row>
    <row r="131" spans="2:10" ht="15" customHeight="1">
      <c r="B131" s="114">
        <v>2029</v>
      </c>
      <c r="C131" s="289" t="s">
        <v>97</v>
      </c>
      <c r="D131" s="112">
        <f>VLOOKUP($E$3,'Housing Generation'!$A$3:$DQ$90,91,FALSE)</f>
        <v>0</v>
      </c>
      <c r="E131" s="112">
        <f>VLOOKUP($E$3,'Housing Generation'!$A$3:$DQ$90,92,FALSE)</f>
        <v>0</v>
      </c>
      <c r="F131" s="112">
        <f>VLOOKUP($E$3,'Housing Generation'!$A$3:$DQ$90,93,FALSE)</f>
        <v>0</v>
      </c>
      <c r="G131" s="112">
        <f>VLOOKUP($E$3,'Housing Generation'!$A$3:$DQ$90,94,FALSE)</f>
        <v>0</v>
      </c>
      <c r="H131" s="112">
        <f>VLOOKUP($E$3,'Housing Generation'!$A$3:$DQ$90,95,FALSE)</f>
        <v>0</v>
      </c>
      <c r="I131" s="112">
        <f>VLOOKUP($E$3,'Housing Generation'!$A$3:$DQ$90,96,FALSE)</f>
        <v>0</v>
      </c>
      <c r="J131" s="111">
        <f t="shared" si="21"/>
        <v>0</v>
      </c>
    </row>
    <row r="132" spans="2:10" ht="15" customHeight="1">
      <c r="B132" s="114">
        <v>2030</v>
      </c>
      <c r="C132" s="289" t="s">
        <v>97</v>
      </c>
      <c r="D132" s="112">
        <f>VLOOKUP($E$3,'Housing Generation'!$A$3:$DQ$90,99,FALSE)</f>
        <v>0</v>
      </c>
      <c r="E132" s="112">
        <f>VLOOKUP($E$3,'Housing Generation'!$A$3:$DQ$90,100,FALSE)</f>
        <v>0</v>
      </c>
      <c r="F132" s="112">
        <f>VLOOKUP($E$3,'Housing Generation'!$A$3:$DQ$90,101,FALSE)</f>
        <v>0</v>
      </c>
      <c r="G132" s="112">
        <f>VLOOKUP($E$3,'Housing Generation'!$A$3:$DQ$90,102,FALSE)</f>
        <v>0</v>
      </c>
      <c r="H132" s="112">
        <f>VLOOKUP($E$3,'Housing Generation'!$A$3:$DQ$90,103,FALSE)</f>
        <v>0</v>
      </c>
      <c r="I132" s="112">
        <f>VLOOKUP($E$3,'Housing Generation'!$A$3:$DQ$90,104,FALSE)</f>
        <v>0</v>
      </c>
      <c r="J132" s="111">
        <f t="shared" si="21"/>
        <v>0</v>
      </c>
    </row>
    <row r="133" spans="2:10" ht="15" customHeight="1">
      <c r="B133" s="114">
        <v>2031</v>
      </c>
      <c r="C133" s="289" t="s">
        <v>97</v>
      </c>
      <c r="D133" s="112">
        <f>VLOOKUP($E$3,'Housing Generation'!$A$3:$DQ$90,107,FALSE)</f>
        <v>0</v>
      </c>
      <c r="E133" s="112">
        <f>VLOOKUP($E$3,'Housing Generation'!$A$3:$DQ$90,108,FALSE)</f>
        <v>0</v>
      </c>
      <c r="F133" s="112">
        <f>VLOOKUP($E$3,'Housing Generation'!$A$3:$DQ$90,109,FALSE)</f>
        <v>0</v>
      </c>
      <c r="G133" s="112">
        <f>VLOOKUP($E$3,'Housing Generation'!$A$3:$DQ$90,110,FALSE)</f>
        <v>0</v>
      </c>
      <c r="H133" s="112">
        <f>VLOOKUP($E$3,'Housing Generation'!$A$3:$DQ$90,111,FALSE)</f>
        <v>0</v>
      </c>
      <c r="I133" s="112">
        <f>VLOOKUP($E$3,'Housing Generation'!$A$3:$DQ$90,112,FALSE)</f>
        <v>0</v>
      </c>
      <c r="J133" s="111">
        <f t="shared" si="21"/>
        <v>0</v>
      </c>
    </row>
    <row r="134" spans="2:10" ht="15" customHeight="1">
      <c r="B134" s="114">
        <v>2032</v>
      </c>
      <c r="C134" s="289" t="s">
        <v>97</v>
      </c>
      <c r="D134" s="112">
        <f>VLOOKUP($E$3,'Housing Generation'!$A$3:$DQ$90,115,FALSE)</f>
        <v>0</v>
      </c>
      <c r="E134" s="112">
        <f>VLOOKUP($E$3,'Housing Generation'!$A$3:$DQ$90,116,FALSE)</f>
        <v>0</v>
      </c>
      <c r="F134" s="112">
        <f>VLOOKUP($E$3,'Housing Generation'!$A$3:$DQ$90,117,FALSE)</f>
        <v>0</v>
      </c>
      <c r="G134" s="112">
        <f>VLOOKUP($E$3,'Housing Generation'!$A$3:$DQ$90,118,FALSE)</f>
        <v>0</v>
      </c>
      <c r="H134" s="112">
        <f>VLOOKUP($E$3,'Housing Generation'!$A$3:$DQ$90,119,FALSE)</f>
        <v>0</v>
      </c>
      <c r="I134" s="112">
        <f>VLOOKUP($E$3,'Housing Generation'!$A$3:$DQ$90,120,FALSE)</f>
        <v>0</v>
      </c>
      <c r="J134" s="111">
        <f t="shared" si="21"/>
        <v>0</v>
      </c>
    </row>
    <row r="135" spans="2:10" ht="15"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Blackhall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58.457112750263434</v>
      </c>
      <c r="D139" s="112">
        <f t="shared" ref="D139:I152" si="23">D121+D103</f>
        <v>68</v>
      </c>
      <c r="E139" s="112">
        <f t="shared" si="23"/>
        <v>67</v>
      </c>
      <c r="F139" s="112">
        <f t="shared" si="23"/>
        <v>75</v>
      </c>
      <c r="G139" s="112">
        <f t="shared" si="23"/>
        <v>59</v>
      </c>
      <c r="H139" s="112">
        <f t="shared" si="23"/>
        <v>47</v>
      </c>
      <c r="I139" s="112">
        <f t="shared" si="23"/>
        <v>76</v>
      </c>
      <c r="J139" s="111">
        <f t="shared" ref="J139:J147" si="24">SUM(C139:I139)</f>
        <v>450.45711275026343</v>
      </c>
    </row>
    <row r="140" spans="2:10" ht="15" customHeight="1">
      <c r="B140" s="114">
        <v>2020</v>
      </c>
      <c r="C140" s="113">
        <f t="shared" si="22"/>
        <v>59.447418335089566</v>
      </c>
      <c r="D140" s="112">
        <f t="shared" si="23"/>
        <v>59</v>
      </c>
      <c r="E140" s="112">
        <f t="shared" si="23"/>
        <v>68</v>
      </c>
      <c r="F140" s="112">
        <f t="shared" si="23"/>
        <v>67</v>
      </c>
      <c r="G140" s="112">
        <f t="shared" si="23"/>
        <v>76</v>
      </c>
      <c r="H140" s="112">
        <f t="shared" si="23"/>
        <v>57</v>
      </c>
      <c r="I140" s="112">
        <f t="shared" si="23"/>
        <v>45</v>
      </c>
      <c r="J140" s="111">
        <f t="shared" si="24"/>
        <v>431.44741833508954</v>
      </c>
    </row>
    <row r="141" spans="2:10" ht="15" customHeight="1">
      <c r="B141" s="114">
        <v>2021</v>
      </c>
      <c r="C141" s="113">
        <f t="shared" si="22"/>
        <v>42.612223393045312</v>
      </c>
      <c r="D141" s="112">
        <f t="shared" si="23"/>
        <v>60</v>
      </c>
      <c r="E141" s="112">
        <f t="shared" si="23"/>
        <v>59</v>
      </c>
      <c r="F141" s="112">
        <f t="shared" si="23"/>
        <v>68</v>
      </c>
      <c r="G141" s="112">
        <f t="shared" si="23"/>
        <v>68</v>
      </c>
      <c r="H141" s="112">
        <f t="shared" si="23"/>
        <v>73</v>
      </c>
      <c r="I141" s="112">
        <f t="shared" si="23"/>
        <v>54</v>
      </c>
      <c r="J141" s="111">
        <f t="shared" si="24"/>
        <v>424.61222339304533</v>
      </c>
    </row>
    <row r="142" spans="2:10" ht="15" customHeight="1">
      <c r="B142" s="114">
        <v>2022</v>
      </c>
      <c r="C142" s="113">
        <f t="shared" si="22"/>
        <v>57.466807165437302</v>
      </c>
      <c r="D142" s="112">
        <f t="shared" si="23"/>
        <v>43</v>
      </c>
      <c r="E142" s="112">
        <f t="shared" si="23"/>
        <v>60</v>
      </c>
      <c r="F142" s="112">
        <f t="shared" si="23"/>
        <v>59</v>
      </c>
      <c r="G142" s="112">
        <f t="shared" si="23"/>
        <v>69</v>
      </c>
      <c r="H142" s="112">
        <f t="shared" si="23"/>
        <v>66</v>
      </c>
      <c r="I142" s="112">
        <f t="shared" si="23"/>
        <v>70</v>
      </c>
      <c r="J142" s="111">
        <f t="shared" si="24"/>
        <v>424.46680716543733</v>
      </c>
    </row>
    <row r="143" spans="2:10" ht="15" customHeight="1">
      <c r="B143" s="114">
        <v>2023</v>
      </c>
      <c r="C143" s="113">
        <f t="shared" si="22"/>
        <v>53.505584826132768</v>
      </c>
      <c r="D143" s="112">
        <f t="shared" si="23"/>
        <v>58</v>
      </c>
      <c r="E143" s="112">
        <f t="shared" si="23"/>
        <v>43</v>
      </c>
      <c r="F143" s="112">
        <f t="shared" si="23"/>
        <v>60</v>
      </c>
      <c r="G143" s="112">
        <f t="shared" si="23"/>
        <v>60</v>
      </c>
      <c r="H143" s="112">
        <f t="shared" si="23"/>
        <v>67</v>
      </c>
      <c r="I143" s="112">
        <f t="shared" si="23"/>
        <v>63</v>
      </c>
      <c r="J143" s="111">
        <f t="shared" si="24"/>
        <v>404.5055848261328</v>
      </c>
    </row>
    <row r="144" spans="2:10" ht="15" customHeight="1">
      <c r="B144" s="114">
        <v>2024</v>
      </c>
      <c r="C144" s="113">
        <f t="shared" si="22"/>
        <v>54.4958904109589</v>
      </c>
      <c r="D144" s="112">
        <f t="shared" si="23"/>
        <v>54</v>
      </c>
      <c r="E144" s="112">
        <f t="shared" si="23"/>
        <v>58</v>
      </c>
      <c r="F144" s="112">
        <f t="shared" si="23"/>
        <v>43</v>
      </c>
      <c r="G144" s="112">
        <f t="shared" si="23"/>
        <v>61</v>
      </c>
      <c r="H144" s="112">
        <f t="shared" si="23"/>
        <v>58</v>
      </c>
      <c r="I144" s="112">
        <f t="shared" si="23"/>
        <v>64</v>
      </c>
      <c r="J144" s="111">
        <f t="shared" si="24"/>
        <v>392.49589041095891</v>
      </c>
    </row>
    <row r="145" spans="2:16" ht="15" customHeight="1">
      <c r="B145" s="114">
        <v>2025</v>
      </c>
      <c r="C145" s="113">
        <f t="shared" si="22"/>
        <v>55.486195995785032</v>
      </c>
      <c r="D145" s="112">
        <f t="shared" si="23"/>
        <v>55</v>
      </c>
      <c r="E145" s="112">
        <f t="shared" si="23"/>
        <v>54</v>
      </c>
      <c r="F145" s="112">
        <f t="shared" si="23"/>
        <v>58</v>
      </c>
      <c r="G145" s="112">
        <f t="shared" si="23"/>
        <v>44</v>
      </c>
      <c r="H145" s="112">
        <f t="shared" si="23"/>
        <v>59</v>
      </c>
      <c r="I145" s="112">
        <f t="shared" si="23"/>
        <v>55</v>
      </c>
      <c r="J145" s="111">
        <f t="shared" si="24"/>
        <v>380.48619599578501</v>
      </c>
    </row>
    <row r="146" spans="2:16" ht="15" customHeight="1">
      <c r="B146" s="114">
        <v>2026</v>
      </c>
      <c r="C146" s="113">
        <f t="shared" si="22"/>
        <v>55.486195995785032</v>
      </c>
      <c r="D146" s="112">
        <f t="shared" si="23"/>
        <v>56</v>
      </c>
      <c r="E146" s="112">
        <f t="shared" si="23"/>
        <v>55</v>
      </c>
      <c r="F146" s="112">
        <f t="shared" si="23"/>
        <v>54</v>
      </c>
      <c r="G146" s="112">
        <f t="shared" si="23"/>
        <v>59</v>
      </c>
      <c r="H146" s="112">
        <f t="shared" si="23"/>
        <v>43</v>
      </c>
      <c r="I146" s="112">
        <f t="shared" si="23"/>
        <v>56</v>
      </c>
      <c r="J146" s="111">
        <f t="shared" si="24"/>
        <v>378.48619599578501</v>
      </c>
    </row>
    <row r="147" spans="2:16" ht="15" customHeight="1">
      <c r="B147" s="114">
        <v>2027</v>
      </c>
      <c r="C147" s="113">
        <f t="shared" si="22"/>
        <v>55.486195995785032</v>
      </c>
      <c r="D147" s="112">
        <f t="shared" si="23"/>
        <v>56</v>
      </c>
      <c r="E147" s="112">
        <f t="shared" si="23"/>
        <v>56</v>
      </c>
      <c r="F147" s="112">
        <f t="shared" si="23"/>
        <v>55</v>
      </c>
      <c r="G147" s="112">
        <f t="shared" si="23"/>
        <v>55</v>
      </c>
      <c r="H147" s="112">
        <f t="shared" si="23"/>
        <v>57</v>
      </c>
      <c r="I147" s="112">
        <f t="shared" si="23"/>
        <v>41</v>
      </c>
      <c r="J147" s="111">
        <f t="shared" si="24"/>
        <v>375.48619599578501</v>
      </c>
    </row>
    <row r="148" spans="2:16" ht="15" customHeight="1">
      <c r="B148" s="114">
        <v>2028</v>
      </c>
      <c r="C148" s="113">
        <f t="shared" si="22"/>
        <v>56.476501580611171</v>
      </c>
      <c r="D148" s="112">
        <f t="shared" si="23"/>
        <v>56</v>
      </c>
      <c r="E148" s="112">
        <f t="shared" si="23"/>
        <v>56</v>
      </c>
      <c r="F148" s="112">
        <f t="shared" si="23"/>
        <v>56</v>
      </c>
      <c r="G148" s="112">
        <f t="shared" si="23"/>
        <v>56</v>
      </c>
      <c r="H148" s="112">
        <f t="shared" si="23"/>
        <v>53</v>
      </c>
      <c r="I148" s="112">
        <f t="shared" si="23"/>
        <v>54</v>
      </c>
      <c r="J148" s="111">
        <f t="shared" ref="J148:J152" si="25">SUM(C148:I148)</f>
        <v>387.47650158061117</v>
      </c>
    </row>
    <row r="149" spans="2:16" ht="15" customHeight="1">
      <c r="B149" s="114">
        <v>2029</v>
      </c>
      <c r="C149" s="113">
        <f t="shared" si="22"/>
        <v>56.476501580611171</v>
      </c>
      <c r="D149" s="112">
        <f t="shared" si="23"/>
        <v>57</v>
      </c>
      <c r="E149" s="112">
        <f t="shared" si="23"/>
        <v>56</v>
      </c>
      <c r="F149" s="112">
        <f t="shared" si="23"/>
        <v>56</v>
      </c>
      <c r="G149" s="112">
        <f t="shared" si="23"/>
        <v>57</v>
      </c>
      <c r="H149" s="112">
        <f t="shared" si="23"/>
        <v>54</v>
      </c>
      <c r="I149" s="112">
        <f t="shared" si="23"/>
        <v>51</v>
      </c>
      <c r="J149" s="111">
        <f t="shared" si="25"/>
        <v>387.47650158061117</v>
      </c>
    </row>
    <row r="150" spans="2:16" ht="15" customHeight="1">
      <c r="B150" s="114">
        <v>2030</v>
      </c>
      <c r="C150" s="113">
        <f t="shared" si="22"/>
        <v>56.476501580611171</v>
      </c>
      <c r="D150" s="112">
        <f t="shared" si="23"/>
        <v>57</v>
      </c>
      <c r="E150" s="112">
        <f t="shared" si="23"/>
        <v>57</v>
      </c>
      <c r="F150" s="112">
        <f t="shared" si="23"/>
        <v>56</v>
      </c>
      <c r="G150" s="112">
        <f t="shared" si="23"/>
        <v>57</v>
      </c>
      <c r="H150" s="112">
        <f t="shared" si="23"/>
        <v>55</v>
      </c>
      <c r="I150" s="112">
        <f t="shared" si="23"/>
        <v>52</v>
      </c>
      <c r="J150" s="111">
        <f t="shared" si="25"/>
        <v>390.47650158061117</v>
      </c>
    </row>
    <row r="151" spans="2:16" ht="15" customHeight="1">
      <c r="B151" s="114">
        <v>2031</v>
      </c>
      <c r="C151" s="113">
        <f t="shared" si="22"/>
        <v>56.476501580611171</v>
      </c>
      <c r="D151" s="112">
        <f t="shared" si="23"/>
        <v>57</v>
      </c>
      <c r="E151" s="112">
        <f t="shared" si="23"/>
        <v>57</v>
      </c>
      <c r="F151" s="112">
        <f t="shared" si="23"/>
        <v>57</v>
      </c>
      <c r="G151" s="112">
        <f t="shared" si="23"/>
        <v>57</v>
      </c>
      <c r="H151" s="112">
        <f t="shared" si="23"/>
        <v>55</v>
      </c>
      <c r="I151" s="112">
        <f t="shared" si="23"/>
        <v>52</v>
      </c>
      <c r="J151" s="111">
        <f t="shared" si="25"/>
        <v>391.47650158061117</v>
      </c>
    </row>
    <row r="152" spans="2:16" ht="15" customHeight="1">
      <c r="B152" s="114">
        <v>2032</v>
      </c>
      <c r="C152" s="113">
        <f t="shared" si="22"/>
        <v>56.476501580611171</v>
      </c>
      <c r="D152" s="112">
        <f t="shared" si="23"/>
        <v>57</v>
      </c>
      <c r="E152" s="112">
        <f t="shared" si="23"/>
        <v>57</v>
      </c>
      <c r="F152" s="112">
        <f t="shared" si="23"/>
        <v>57</v>
      </c>
      <c r="G152" s="112">
        <f t="shared" si="23"/>
        <v>58</v>
      </c>
      <c r="H152" s="112">
        <f t="shared" si="23"/>
        <v>55</v>
      </c>
      <c r="I152" s="112">
        <f t="shared" si="23"/>
        <v>52</v>
      </c>
      <c r="J152" s="111">
        <f t="shared" si="25"/>
        <v>392.47650158061117</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450.45711275026343</v>
      </c>
      <c r="D159" s="108">
        <f>J140</f>
        <v>431.44741833508954</v>
      </c>
      <c r="E159" s="108">
        <f>J141</f>
        <v>424.61222339304533</v>
      </c>
      <c r="F159" s="108">
        <f>J142</f>
        <v>424.46680716543733</v>
      </c>
      <c r="G159" s="108">
        <f>J143</f>
        <v>404.5055848261328</v>
      </c>
      <c r="H159" s="108">
        <f>J144</f>
        <v>392.49589041095891</v>
      </c>
      <c r="I159" s="108">
        <f>J145</f>
        <v>380.48619599578501</v>
      </c>
      <c r="J159" s="108">
        <f>J146</f>
        <v>378.48619599578501</v>
      </c>
      <c r="K159" s="108">
        <f>J147</f>
        <v>375.48619599578501</v>
      </c>
      <c r="L159" s="108">
        <f>J148</f>
        <v>387.47650158061117</v>
      </c>
      <c r="M159" s="108">
        <f>J149</f>
        <v>387.47650158061117</v>
      </c>
      <c r="N159" s="108">
        <f>J150</f>
        <v>390.47650158061117</v>
      </c>
      <c r="O159" s="108">
        <f>J151</f>
        <v>391.47650158061117</v>
      </c>
      <c r="P159" s="108">
        <f>J152</f>
        <v>392.47650158061117</v>
      </c>
    </row>
    <row r="160" spans="2:16" ht="15" customHeight="1">
      <c r="B160" s="107" t="s">
        <v>152</v>
      </c>
      <c r="C160" s="106">
        <f>VLOOKUP(C159,Capacity!$A$1:$C$645,2,TRUE)</f>
        <v>16</v>
      </c>
      <c r="D160" s="106">
        <f>VLOOKUP(D159,Capacity!$A$1:$C$645,2,TRUE)</f>
        <v>15</v>
      </c>
      <c r="E160" s="106">
        <f>VLOOKUP(E159,Capacity!$A$1:$C$645,2,TRUE)</f>
        <v>15</v>
      </c>
      <c r="F160" s="106">
        <f>VLOOKUP(F159,Capacity!$A$1:$C$645,2,TRUE)</f>
        <v>15</v>
      </c>
      <c r="G160" s="106">
        <f>VLOOKUP(G159,Capacity!$A$1:$C$645,2,TRUE)</f>
        <v>14</v>
      </c>
      <c r="H160" s="106">
        <f>VLOOKUP(H159,Capacity!$A$1:$C$645,2,TRUE)</f>
        <v>14</v>
      </c>
      <c r="I160" s="106">
        <f>VLOOKUP(I159,Capacity!$A$1:$C$645,2,TRUE)</f>
        <v>14</v>
      </c>
      <c r="J160" s="106">
        <f>VLOOKUP(J159,Capacity!$A$1:$C$645,2,TRUE)</f>
        <v>14</v>
      </c>
      <c r="K160" s="106">
        <f>VLOOKUP(K159,Capacity!$A$1:$C$645,2,TRUE)</f>
        <v>14</v>
      </c>
      <c r="L160" s="106">
        <f>VLOOKUP(L159,Capacity!$A$1:$C$645,2,TRUE)</f>
        <v>14</v>
      </c>
      <c r="M160" s="106">
        <f>VLOOKUP(M159,Capacity!$A$1:$C$645,2,TRUE)</f>
        <v>14</v>
      </c>
      <c r="N160" s="106">
        <f>VLOOKUP(N159,Capacity!$A$1:$C$645,2,TRUE)</f>
        <v>14</v>
      </c>
      <c r="O160" s="106">
        <f>VLOOKUP(O159,Capacity!$A$1:$C$645,2,TRUE)</f>
        <v>14</v>
      </c>
      <c r="P160" s="106">
        <f>VLOOKUP(P159,Capacity!$A$1:$C$645,2,TRUE)</f>
        <v>14</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30</v>
      </c>
      <c r="D169" s="97">
        <f>VLOOKUP($E$3,'Catchment Births'!$A$1:$U$90,11,FALSE)</f>
        <v>41</v>
      </c>
      <c r="E169" s="97">
        <f>VLOOKUP($E$3,'Catchment Births'!$A$1:$U$90,12,FALSE)</f>
        <v>52</v>
      </c>
      <c r="F169" s="97">
        <f>VLOOKUP($E$3,'Catchment Births'!$A$1:$U$90,13,FALSE)</f>
        <v>45</v>
      </c>
      <c r="G169" s="97">
        <f>VLOOKUP($E$3,'Catchment Births'!$A$1:$U$90,14,FALSE)</f>
        <v>62</v>
      </c>
      <c r="H169" s="97">
        <f>VLOOKUP($E$3,'Catchment Births'!$A$1:$U$90,15,FALSE)</f>
        <v>45</v>
      </c>
      <c r="I169" s="97">
        <f>VLOOKUP($E$3,'Catchment Births'!$A$1:$U$90,16,FALSE)</f>
        <v>49</v>
      </c>
      <c r="J169" s="97">
        <f>VLOOKUP($E$3,'Catchment Births'!$A$1:$U$90,17,FALSE)</f>
        <v>50</v>
      </c>
      <c r="K169" s="97">
        <f>VLOOKUP($E$3,'Catchment Births'!$A$1:$U$90,18,FALSE)</f>
        <v>51</v>
      </c>
      <c r="L169" s="97">
        <f>VLOOKUP($E$3,'Catchment Births'!$A$1:$U$90,19,FALSE)</f>
        <v>57</v>
      </c>
      <c r="M169" s="97">
        <f>VLOOKUP($E$3,'Catchment Births'!$A$1:$U$90,20,FALSE)</f>
        <v>45</v>
      </c>
      <c r="N169" s="97">
        <f>VLOOKUP($E$3,'Catchment Births'!$A$1:$U$90,21,FALSE)</f>
        <v>46</v>
      </c>
    </row>
    <row r="170" spans="2:14" ht="58.5" customHeight="1">
      <c r="B170" s="103" t="str">
        <f>"P1 "&amp;A35&amp;" Catchment Population (Actual)"</f>
        <v>P1 ND Catchment Population (Actual)</v>
      </c>
      <c r="C170" s="102" t="e">
        <v>#REF!</v>
      </c>
      <c r="D170" s="102">
        <v>58</v>
      </c>
      <c r="E170" s="102">
        <v>57</v>
      </c>
      <c r="F170" s="102">
        <v>57</v>
      </c>
      <c r="G170" s="102">
        <v>74</v>
      </c>
      <c r="H170" s="102">
        <v>52</v>
      </c>
      <c r="I170" s="102">
        <v>56</v>
      </c>
      <c r="J170" s="308">
        <f>VLOOKUP(E3,'Catchment Projections'!A1:BU92,42,FALSE)</f>
        <v>73</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56</v>
      </c>
      <c r="J172" s="96" t="e">
        <f>#REF!</f>
        <v>#REF!</v>
      </c>
      <c r="K172" s="96">
        <f>D51</f>
        <v>56</v>
      </c>
      <c r="L172" s="96">
        <f>E51</f>
        <v>57</v>
      </c>
      <c r="M172" s="96">
        <f>F51</f>
        <v>40</v>
      </c>
      <c r="N172" s="96">
        <f>G51</f>
        <v>55</v>
      </c>
    </row>
    <row r="173" spans="2:14" ht="12.75">
      <c r="B173" s="62"/>
      <c r="C173" s="62"/>
      <c r="D173" s="62"/>
      <c r="E173" s="62"/>
      <c r="F173" s="62"/>
      <c r="G173" s="62"/>
      <c r="H173" s="62"/>
      <c r="I173" s="62"/>
      <c r="J173" s="62"/>
      <c r="K173" s="62"/>
    </row>
    <row r="174" spans="2:14" ht="15" customHeight="1">
      <c r="B174" s="64" t="str">
        <f>"Table 5: "&amp;E3&amp;" Roll by Stage, 2002-2018"</f>
        <v>Table 5: Blackhall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48</v>
      </c>
      <c r="D177" s="93">
        <v>46</v>
      </c>
      <c r="E177" s="93">
        <v>53</v>
      </c>
      <c r="F177" s="93">
        <v>52</v>
      </c>
      <c r="G177" s="93">
        <v>40</v>
      </c>
      <c r="H177" s="93">
        <v>37</v>
      </c>
      <c r="I177" s="93">
        <v>39</v>
      </c>
      <c r="J177" s="92">
        <v>315</v>
      </c>
      <c r="K177" s="62"/>
    </row>
    <row r="178" spans="2:11" ht="15" customHeight="1">
      <c r="B178" s="94">
        <v>2003</v>
      </c>
      <c r="C178" s="93">
        <v>60</v>
      </c>
      <c r="D178" s="93">
        <v>53</v>
      </c>
      <c r="E178" s="93">
        <v>48</v>
      </c>
      <c r="F178" s="93">
        <v>52</v>
      </c>
      <c r="G178" s="93">
        <v>54</v>
      </c>
      <c r="H178" s="93">
        <v>39</v>
      </c>
      <c r="I178" s="93">
        <v>39</v>
      </c>
      <c r="J178" s="92">
        <v>345</v>
      </c>
      <c r="K178" s="62"/>
    </row>
    <row r="179" spans="2:11" customFormat="1" ht="15" customHeight="1">
      <c r="B179" s="94">
        <v>2004</v>
      </c>
      <c r="C179" s="95">
        <v>59</v>
      </c>
      <c r="D179" s="95">
        <v>60</v>
      </c>
      <c r="E179" s="95">
        <v>54</v>
      </c>
      <c r="F179" s="95">
        <v>47</v>
      </c>
      <c r="G179" s="95">
        <v>51</v>
      </c>
      <c r="H179" s="95">
        <v>43</v>
      </c>
      <c r="I179" s="95">
        <v>37</v>
      </c>
      <c r="J179" s="92">
        <v>351</v>
      </c>
      <c r="K179" s="62"/>
    </row>
    <row r="180" spans="2:11" customFormat="1" ht="15" customHeight="1">
      <c r="B180" s="94">
        <v>2005</v>
      </c>
      <c r="C180" s="93">
        <v>56</v>
      </c>
      <c r="D180" s="93">
        <v>59</v>
      </c>
      <c r="E180" s="93">
        <v>60</v>
      </c>
      <c r="F180" s="93">
        <v>54</v>
      </c>
      <c r="G180" s="93">
        <v>49</v>
      </c>
      <c r="H180" s="93">
        <v>43</v>
      </c>
      <c r="I180" s="93">
        <v>43</v>
      </c>
      <c r="J180" s="92">
        <v>364</v>
      </c>
      <c r="K180" s="62"/>
    </row>
    <row r="181" spans="2:11" customFormat="1" ht="15" customHeight="1">
      <c r="B181" s="94">
        <v>2006</v>
      </c>
      <c r="C181" s="93">
        <v>59</v>
      </c>
      <c r="D181" s="93">
        <v>57</v>
      </c>
      <c r="E181" s="93">
        <v>60</v>
      </c>
      <c r="F181" s="93">
        <v>59</v>
      </c>
      <c r="G181" s="93">
        <v>54</v>
      </c>
      <c r="H181" s="93">
        <v>42</v>
      </c>
      <c r="I181" s="93">
        <v>44</v>
      </c>
      <c r="J181" s="92">
        <v>375</v>
      </c>
      <c r="K181" s="62"/>
    </row>
    <row r="182" spans="2:11" customFormat="1" ht="15" customHeight="1">
      <c r="B182" s="94">
        <v>2007</v>
      </c>
      <c r="C182" s="93">
        <v>56</v>
      </c>
      <c r="D182" s="93">
        <v>60</v>
      </c>
      <c r="E182" s="93">
        <v>58</v>
      </c>
      <c r="F182" s="93">
        <v>58</v>
      </c>
      <c r="G182" s="93">
        <v>59</v>
      </c>
      <c r="H182" s="93">
        <v>47</v>
      </c>
      <c r="I182" s="93">
        <v>39</v>
      </c>
      <c r="J182" s="92">
        <v>377</v>
      </c>
      <c r="K182" s="62"/>
    </row>
    <row r="183" spans="2:11" customFormat="1" ht="15" customHeight="1">
      <c r="B183" s="94">
        <v>2008</v>
      </c>
      <c r="C183" s="93">
        <v>59</v>
      </c>
      <c r="D183" s="93">
        <v>57</v>
      </c>
      <c r="E183" s="93">
        <v>58</v>
      </c>
      <c r="F183" s="93">
        <v>54</v>
      </c>
      <c r="G183" s="93">
        <v>58</v>
      </c>
      <c r="H183" s="93">
        <v>58</v>
      </c>
      <c r="I183" s="93">
        <v>41</v>
      </c>
      <c r="J183" s="92">
        <v>385</v>
      </c>
      <c r="K183" s="62"/>
    </row>
    <row r="184" spans="2:11" customFormat="1" ht="15" customHeight="1">
      <c r="B184" s="94">
        <v>2009</v>
      </c>
      <c r="C184" s="93">
        <v>50</v>
      </c>
      <c r="D184" s="93">
        <v>60</v>
      </c>
      <c r="E184" s="93">
        <v>59</v>
      </c>
      <c r="F184" s="93">
        <v>56</v>
      </c>
      <c r="G184" s="93">
        <v>53</v>
      </c>
      <c r="H184" s="93">
        <v>62</v>
      </c>
      <c r="I184" s="93">
        <v>59</v>
      </c>
      <c r="J184" s="94">
        <v>399</v>
      </c>
      <c r="K184" s="62"/>
    </row>
    <row r="185" spans="2:11" customFormat="1" ht="15" customHeight="1">
      <c r="B185" s="94">
        <v>2010</v>
      </c>
      <c r="C185" s="93">
        <v>60</v>
      </c>
      <c r="D185" s="93">
        <v>56</v>
      </c>
      <c r="E185" s="93">
        <v>60</v>
      </c>
      <c r="F185" s="93">
        <v>64</v>
      </c>
      <c r="G185" s="93">
        <v>57</v>
      </c>
      <c r="H185" s="93">
        <v>45</v>
      </c>
      <c r="I185" s="93">
        <v>61</v>
      </c>
      <c r="J185" s="92">
        <v>403</v>
      </c>
      <c r="K185" s="62"/>
    </row>
    <row r="186" spans="2:11" customFormat="1" ht="15" customHeight="1">
      <c r="B186" s="94">
        <v>2011</v>
      </c>
      <c r="C186" s="93">
        <v>60</v>
      </c>
      <c r="D186" s="93">
        <v>59</v>
      </c>
      <c r="E186" s="93">
        <v>60</v>
      </c>
      <c r="F186" s="93">
        <v>59</v>
      </c>
      <c r="G186" s="93">
        <v>61</v>
      </c>
      <c r="H186" s="93">
        <v>58</v>
      </c>
      <c r="I186" s="93">
        <v>43</v>
      </c>
      <c r="J186" s="92">
        <v>400</v>
      </c>
      <c r="K186" s="62"/>
    </row>
    <row r="187" spans="2:11" customFormat="1" ht="15" customHeight="1">
      <c r="B187" s="94">
        <v>2012</v>
      </c>
      <c r="C187" s="93">
        <v>60</v>
      </c>
      <c r="D187" s="93">
        <v>60</v>
      </c>
      <c r="E187" s="93">
        <v>59</v>
      </c>
      <c r="F187" s="93">
        <v>61</v>
      </c>
      <c r="G187" s="93">
        <v>66</v>
      </c>
      <c r="H187" s="93">
        <v>53</v>
      </c>
      <c r="I187" s="93">
        <v>58</v>
      </c>
      <c r="J187" s="92">
        <v>417</v>
      </c>
      <c r="K187" s="62"/>
    </row>
    <row r="188" spans="2:11" customFormat="1" ht="15" customHeight="1">
      <c r="B188" s="94">
        <v>2013</v>
      </c>
      <c r="C188" s="93">
        <v>80</v>
      </c>
      <c r="D188" s="93">
        <v>62</v>
      </c>
      <c r="E188" s="93">
        <v>59</v>
      </c>
      <c r="F188" s="93">
        <v>63</v>
      </c>
      <c r="G188" s="93">
        <v>63</v>
      </c>
      <c r="H188" s="93">
        <v>65</v>
      </c>
      <c r="I188" s="93">
        <v>56</v>
      </c>
      <c r="J188" s="94">
        <v>448</v>
      </c>
      <c r="K188" s="62"/>
    </row>
    <row r="189" spans="2:11" customFormat="1" ht="15" customHeight="1">
      <c r="B189" s="94">
        <v>2014</v>
      </c>
      <c r="C189" s="93">
        <v>58</v>
      </c>
      <c r="D189" s="93">
        <v>83</v>
      </c>
      <c r="E189" s="93">
        <v>61</v>
      </c>
      <c r="F189" s="93">
        <v>59</v>
      </c>
      <c r="G189" s="93">
        <v>64</v>
      </c>
      <c r="H189" s="93">
        <v>62</v>
      </c>
      <c r="I189" s="93">
        <v>62</v>
      </c>
      <c r="J189" s="92">
        <v>449</v>
      </c>
      <c r="K189" s="65"/>
    </row>
    <row r="190" spans="2:11" customFormat="1" ht="15" customHeight="1">
      <c r="B190" s="94">
        <v>2015</v>
      </c>
      <c r="C190" s="93">
        <v>59</v>
      </c>
      <c r="D190" s="93">
        <v>58</v>
      </c>
      <c r="E190" s="93">
        <v>84</v>
      </c>
      <c r="F190" s="93">
        <v>60</v>
      </c>
      <c r="G190" s="93">
        <v>61</v>
      </c>
      <c r="H190" s="93">
        <v>62</v>
      </c>
      <c r="I190" s="93">
        <v>59</v>
      </c>
      <c r="J190" s="92">
        <v>443</v>
      </c>
      <c r="K190" s="65"/>
    </row>
    <row r="191" spans="2:11" customFormat="1" ht="15" customHeight="1">
      <c r="B191" s="94">
        <v>2016</v>
      </c>
      <c r="C191" s="93">
        <v>73</v>
      </c>
      <c r="D191" s="93">
        <v>60</v>
      </c>
      <c r="E191" s="93">
        <v>55</v>
      </c>
      <c r="F191" s="93">
        <v>85</v>
      </c>
      <c r="G191" s="93">
        <v>60</v>
      </c>
      <c r="H191" s="93">
        <v>55</v>
      </c>
      <c r="I191" s="93">
        <v>59</v>
      </c>
      <c r="J191" s="92">
        <v>447</v>
      </c>
      <c r="K191" s="65"/>
    </row>
    <row r="192" spans="2:11" ht="15" customHeight="1">
      <c r="B192" s="94">
        <v>2017</v>
      </c>
      <c r="C192" s="93">
        <f>VLOOKUP($E$3,Rolls!A1:FA90,42,FALSE)</f>
        <v>69</v>
      </c>
      <c r="D192" s="93">
        <f>VLOOKUP($E$3,Rolls!A1:FA90,43,FALSE)</f>
        <v>75</v>
      </c>
      <c r="E192" s="93">
        <f>VLOOKUP($E$3,Rolls!A1:FA90,44,FALSE)</f>
        <v>63</v>
      </c>
      <c r="F192" s="93">
        <f>VLOOKUP($E$3,Rolls!A1:FA90,45,FALSE)</f>
        <v>55</v>
      </c>
      <c r="G192" s="93">
        <f>VLOOKUP($E$3,Rolls!A1:FA90,46,FALSE)</f>
        <v>87</v>
      </c>
      <c r="H192" s="93">
        <f>VLOOKUP($E$3,Rolls!A1:FA90,47,FALSE)</f>
        <v>58</v>
      </c>
      <c r="I192" s="93">
        <f>VLOOKUP($E$3,Rolls!A1:FA90,48,FALSE)</f>
        <v>53</v>
      </c>
      <c r="J192" s="92">
        <f>VLOOKUP($E$3,Rolls!A1:FA90,49,FALSE)</f>
        <v>460</v>
      </c>
      <c r="K192" s="65"/>
    </row>
    <row r="193" spans="2:11" ht="15" customHeight="1">
      <c r="B193" s="94">
        <v>2018</v>
      </c>
      <c r="C193" s="93">
        <f>VLOOKUP($E$3,Rolls!A1:FA90,50,FALSE)</f>
        <v>67</v>
      </c>
      <c r="D193" s="93">
        <f>VLOOKUP($E$3,Rolls!A1:FA90,51,FALSE)</f>
        <v>67</v>
      </c>
      <c r="E193" s="93">
        <f>VLOOKUP($E$3,Rolls!A1:FA90,52,FALSE)</f>
        <v>75</v>
      </c>
      <c r="F193" s="93">
        <f>VLOOKUP($E$3,Rolls!A1:FA90,53,FALSE)</f>
        <v>58</v>
      </c>
      <c r="G193" s="93">
        <f>VLOOKUP($E$3,Rolls!A1:FA90,54,FALSE)</f>
        <v>49</v>
      </c>
      <c r="H193" s="93">
        <f>VLOOKUP($E$3,Rolls!A1:FA90,55,FALSE)</f>
        <v>80</v>
      </c>
      <c r="I193" s="93">
        <f>VLOOKUP($E$3,Rolls!A1:FA90,56,FALSE)</f>
        <v>57</v>
      </c>
      <c r="J193" s="92">
        <f>VLOOKUP($E$3,Rolls!A1:FA90,57,FALSE)</f>
        <v>453</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0866141732283472" right="0.70866141732283472" top="0.74803149606299213" bottom="0.74803149606299213" header="0.31496062992125984" footer="0.31496062992125984"/>
  <pageSetup paperSize="9" scale="61" fitToHeight="2" orientation="portrait" r:id="rId1"/>
  <rowBreaks count="1" manualBreakCount="1">
    <brk id="66" min="1" max="9"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12</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Bonaly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462 Pupils (16 classes)</v>
      </c>
      <c r="G12" s="16"/>
      <c r="H12" s="16"/>
    </row>
    <row r="13" spans="2:10" ht="15" customHeight="1">
      <c r="C13" s="16"/>
      <c r="D13" s="16"/>
      <c r="E13" s="16"/>
      <c r="F13" s="16"/>
      <c r="G13" s="16"/>
      <c r="H13" s="16"/>
    </row>
    <row r="14" spans="2:10" ht="15" customHeight="1">
      <c r="B14" s="15" t="str">
        <f>"Figure 1: "&amp;E3&amp;" Roll, 2002-2015"</f>
        <v>Figure 1: Bonaly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Bonaly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59</v>
      </c>
      <c r="E49" s="108">
        <f>VLOOKUP($E$3,'Catchment Projections'!$A$1:$BU$90,46,FALSE)</f>
        <v>63</v>
      </c>
      <c r="F49" s="108">
        <f>VLOOKUP($E$3,'Catchment Projections'!$A$1:$BU$90,47,FALSE)</f>
        <v>72</v>
      </c>
      <c r="G49" s="108">
        <f>VLOOKUP($E$3,'Catchment Projections'!$A$1:$BU$90,48,FALSE)</f>
        <v>51</v>
      </c>
      <c r="H49" s="133">
        <f>VLOOKUP($E$3,'Catchment Projections'!$A$1:$BU$90,49,FALSE)</f>
        <v>63</v>
      </c>
      <c r="I49" s="133">
        <f>VLOOKUP($E$3,'Catchment Projections'!$A$1:$BU$90,50,FALSE)</f>
        <v>64</v>
      </c>
      <c r="J49" s="133">
        <f>VLOOKUP($E$3,'Catchment Projections'!$A$1:$BU$90,51,FALSE)</f>
        <v>64</v>
      </c>
      <c r="K49" s="133">
        <f>VLOOKUP($E$3,'Catchment Projections'!$A$1:$BU$90,52,FALSE)</f>
        <v>65</v>
      </c>
      <c r="L49" s="133">
        <f>VLOOKUP($E$3,'Catchment Projections'!$A$1:$BU$90,53,FALSE)</f>
        <v>65</v>
      </c>
      <c r="M49" s="133">
        <f>VLOOKUP($E$3,'Catchment Projections'!$A$1:$BU$90,54,FALSE)</f>
        <v>66</v>
      </c>
      <c r="N49" s="133">
        <f>VLOOKUP($E$3,'Catchment Projections'!$A$1:$BU$90,55,FALSE)</f>
        <v>66</v>
      </c>
      <c r="O49" s="133">
        <f>VLOOKUP($E$3,'Catchment Projections'!$A$1:$BU$90,56,FALSE)</f>
        <v>66</v>
      </c>
      <c r="P49" s="133">
        <f>VLOOKUP($E$3,'Catchment Projections'!$A$1:$BU$90,57,FALSE)</f>
        <v>66</v>
      </c>
      <c r="Q49" s="133">
        <f>VLOOKUP($E$3,'Catchment Projections'!$A$1:$BU$90,58,FALSE)</f>
        <v>66</v>
      </c>
    </row>
    <row r="50" spans="2:17" ht="15" customHeight="1" thickBot="1">
      <c r="B50" s="410" t="s">
        <v>141</v>
      </c>
      <c r="C50" s="411"/>
      <c r="D50" s="286">
        <f>VLOOKUP(E3,'Housing Generation'!$A$3:$DQ$90,10,FALSE)</f>
        <v>1</v>
      </c>
      <c r="E50" s="286">
        <f>VLOOKUP(E3,'Housing Generation'!$A$3:$DQ$90,18,FALSE)</f>
        <v>1</v>
      </c>
      <c r="F50" s="286">
        <f>VLOOKUP(E3,'Housing Generation'!$A$3:$DQ$90,26,FALSE)</f>
        <v>1</v>
      </c>
      <c r="G50" s="243">
        <f>VLOOKUP(E3,'Housing Generation'!$A$3:$DQ$90,34,FALSE)</f>
        <v>1</v>
      </c>
      <c r="H50" s="133">
        <f>VLOOKUP(E3,'Housing Generation'!$A$3:$DQ$90,42,FALSE)</f>
        <v>1</v>
      </c>
      <c r="I50" s="133">
        <f>VLOOKUP(E3,'Housing Generation'!$A$3:$DQ$90,50,FALSE)</f>
        <v>1</v>
      </c>
      <c r="J50" s="133">
        <f>VLOOKUP(E3,'Housing Generation'!$A$3:$CK$90,58,FALSE)</f>
        <v>1</v>
      </c>
      <c r="K50" s="133">
        <f>VLOOKUP(E3,'Housing Generation'!$A$3:$CK$90,66,FALSE)</f>
        <v>1</v>
      </c>
      <c r="L50" s="133">
        <f>VLOOKUP(E3,'Housing Generation'!$A$3:$DQ$90,74,FALSE)</f>
        <v>1</v>
      </c>
      <c r="M50" s="133">
        <f>VLOOKUP(E3,'Housing Generation'!$A$3:$DQ$90,82,FALSE)</f>
        <v>1</v>
      </c>
      <c r="N50" s="133">
        <f>VLOOKUP(E3,'Housing Generation'!$A$3:$DQ$90,90,FALSE)</f>
        <v>1</v>
      </c>
      <c r="O50" s="133">
        <f>VLOOKUP(E3,'Housing Generation'!$A$3:$DQ$90,98,FALSE)</f>
        <v>1</v>
      </c>
      <c r="P50" s="133">
        <f>VLOOKUP(E3,'Housing Generation'!$A$3:$DQ$90,106,FALSE)</f>
        <v>1</v>
      </c>
      <c r="Q50" s="133">
        <f>VLOOKUP(E3,'Housing Generation'!$A$3:$DQ$90,114,FALSE)</f>
        <v>1</v>
      </c>
    </row>
    <row r="51" spans="2:17" ht="15" customHeight="1" thickTop="1">
      <c r="B51" s="421" t="s">
        <v>130</v>
      </c>
      <c r="C51" s="422"/>
      <c r="D51" s="47">
        <f t="shared" ref="D51:Q51" si="0">SUM(D49:D50)</f>
        <v>60</v>
      </c>
      <c r="E51" s="47">
        <f t="shared" si="0"/>
        <v>64</v>
      </c>
      <c r="F51" s="80">
        <f t="shared" si="0"/>
        <v>73</v>
      </c>
      <c r="G51" s="244">
        <f t="shared" si="0"/>
        <v>52</v>
      </c>
      <c r="H51" s="71">
        <f t="shared" si="0"/>
        <v>64</v>
      </c>
      <c r="I51" s="71">
        <f t="shared" si="0"/>
        <v>65</v>
      </c>
      <c r="J51" s="71">
        <f t="shared" si="0"/>
        <v>65</v>
      </c>
      <c r="K51" s="71">
        <f t="shared" si="0"/>
        <v>66</v>
      </c>
      <c r="L51" s="71">
        <f t="shared" si="0"/>
        <v>66</v>
      </c>
      <c r="M51" s="71">
        <f t="shared" si="0"/>
        <v>67</v>
      </c>
      <c r="N51" s="71">
        <f t="shared" si="0"/>
        <v>67</v>
      </c>
      <c r="O51" s="71">
        <f t="shared" si="0"/>
        <v>67</v>
      </c>
      <c r="P51" s="71">
        <f t="shared" si="0"/>
        <v>67</v>
      </c>
      <c r="Q51" s="71">
        <f t="shared" si="0"/>
        <v>67</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54</v>
      </c>
      <c r="D60" s="358">
        <f>VLOOKUP($E$3,'Catchment Projections'!$A$1:$BZ$90,74,FALSE)</f>
        <v>54</v>
      </c>
      <c r="E60" s="303">
        <f>D60/C60</f>
        <v>1</v>
      </c>
      <c r="G60" s="132">
        <v>2014</v>
      </c>
      <c r="H60" s="395">
        <f>VLOOKUP($G$60,$B$177:$C$215, 2, FALSE)</f>
        <v>60</v>
      </c>
      <c r="I60" s="120">
        <f>H60-D60</f>
        <v>6</v>
      </c>
      <c r="J60" s="121">
        <f>I60/H60</f>
        <v>0.1</v>
      </c>
    </row>
    <row r="61" spans="2:17" ht="15" customHeight="1">
      <c r="B61" s="132">
        <v>2015</v>
      </c>
      <c r="C61" s="359">
        <f>VLOOKUP($E$3,'Catchment Projections'!$A$1:$BZ$90,41,FALSE)</f>
        <v>56</v>
      </c>
      <c r="D61" s="358">
        <f>VLOOKUP($E$3,'Catchment Projections'!$A$1:$BZ$90,75,FALSE)</f>
        <v>55</v>
      </c>
      <c r="E61" s="303">
        <f>D61/C61</f>
        <v>0.9821428571428571</v>
      </c>
      <c r="G61" s="132">
        <v>2015</v>
      </c>
      <c r="H61" s="395">
        <f>VLOOKUP($G$61,$B$177:$C$215, 2, FALSE)</f>
        <v>57</v>
      </c>
      <c r="I61" s="120">
        <f>H61-D61</f>
        <v>2</v>
      </c>
      <c r="J61" s="121">
        <f>I61/H61</f>
        <v>3.5087719298245612E-2</v>
      </c>
    </row>
    <row r="62" spans="2:17" ht="15" customHeight="1">
      <c r="B62" s="131">
        <v>2016</v>
      </c>
      <c r="C62" s="359">
        <f>VLOOKUP($E$3,'Catchment Projections'!$A$1:$BZ$90,42,FALSE)</f>
        <v>64</v>
      </c>
      <c r="D62" s="358">
        <f>VLOOKUP($E$3,'Catchment Projections'!$A$1:$BZ$90,76,FALSE)</f>
        <v>62</v>
      </c>
      <c r="E62" s="57">
        <f>D62/C62</f>
        <v>0.96875</v>
      </c>
      <c r="G62" s="131">
        <v>2016</v>
      </c>
      <c r="H62" s="395">
        <f>VLOOKUP($G$62,$B$177:$C$215, 2, FALSE)</f>
        <v>70</v>
      </c>
      <c r="I62" s="120">
        <f>H62-D62</f>
        <v>8</v>
      </c>
      <c r="J62" s="121">
        <f>I62/H62</f>
        <v>0.11428571428571428</v>
      </c>
    </row>
    <row r="63" spans="2:17" ht="15" customHeight="1">
      <c r="B63" s="114">
        <v>2017</v>
      </c>
      <c r="C63" s="359">
        <f>VLOOKUP($E$3,'Catchment Projections'!$A$1:$BZ$90,43,FALSE)</f>
        <v>65</v>
      </c>
      <c r="D63" s="358">
        <f>VLOOKUP($E$3,'Catchment Projections'!$A$1:$BZ$90,77,FALSE)</f>
        <v>63</v>
      </c>
      <c r="E63" s="304">
        <f>D63/C63</f>
        <v>0.96923076923076923</v>
      </c>
      <c r="G63" s="114">
        <v>2017</v>
      </c>
      <c r="H63" s="395">
        <f>VLOOKUP($G$63,$B$177:$C$215, 2, FALSE)</f>
        <v>66</v>
      </c>
      <c r="I63" s="120">
        <f>H63-D63</f>
        <v>3</v>
      </c>
      <c r="J63" s="121">
        <f>I63/H63</f>
        <v>4.5454545454545456E-2</v>
      </c>
    </row>
    <row r="64" spans="2:17" ht="15" customHeight="1">
      <c r="B64" s="114">
        <v>2018</v>
      </c>
      <c r="C64" s="359">
        <f>VLOOKUP($E$3,'Catchment Projections'!$A$1:$BZ$90,44,FALSE)</f>
        <v>77</v>
      </c>
      <c r="D64" s="358">
        <f>VLOOKUP($E$3,'Catchment Projections'!$A$1:$BZ$90,78,FALSE)</f>
        <v>74</v>
      </c>
      <c r="E64" s="305">
        <f>D64/C64</f>
        <v>0.96103896103896103</v>
      </c>
      <c r="G64" s="114">
        <v>2018</v>
      </c>
      <c r="H64" s="395">
        <f>VLOOKUP($G$64,$B$177:$C$215, 2, FALSE)</f>
        <v>75</v>
      </c>
      <c r="I64" s="120">
        <f>H64-D64</f>
        <v>1</v>
      </c>
      <c r="J64" s="121">
        <f>I64/H64</f>
        <v>1.3333333333333334E-2</v>
      </c>
    </row>
    <row r="65" spans="2:10" ht="15" customHeight="1">
      <c r="B65" s="412" t="s">
        <v>136</v>
      </c>
      <c r="C65" s="413"/>
      <c r="D65" s="414"/>
      <c r="E65" s="137">
        <f>IF((AVERAGE(E62:E64))="#DIV/0!","n/a",(AVERAGE(E62:E64)))</f>
        <v>0.96633991008991016</v>
      </c>
      <c r="G65" s="415" t="s">
        <v>137</v>
      </c>
      <c r="H65" s="416"/>
      <c r="I65" s="138">
        <f>MEDIAN(I60:I64)</f>
        <v>3</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60</v>
      </c>
      <c r="D70" s="408"/>
      <c r="E70" s="122">
        <f>E65</f>
        <v>0.96633991008991016</v>
      </c>
      <c r="F70" s="120">
        <f t="shared" ref="F70:F83" si="1">C70*$E$65</f>
        <v>57.980394605394608</v>
      </c>
      <c r="G70" s="118">
        <f>IF(F70&lt;26,25,IF(F70&gt;135,140,IF(F70&gt;130,135,IF(F70&gt;125,130,IF(F70&gt;120,125,IF(F70&gt;115,120,IF(F70&gt;110,115,IF(F70&gt;105,110,IF(F70&gt;100,105,IF(F70&gt;99,100,IF(F70&gt;90,99,IF(F70&gt;75,90,IF(F70&gt;72,75,IF(F70&gt;66,72,IF(F70&gt;60,66,IF(F70&gt;50,60,IF(F70&gt;30,50,IF(F70&gt;25,30,0))))))))))))))))))</f>
        <v>60</v>
      </c>
      <c r="H70" s="119">
        <f t="shared" ref="H70:H83" si="2">G70-F70</f>
        <v>2.0196053946053922</v>
      </c>
      <c r="I70" s="118" t="str">
        <f>IF(I$65&lt;H70, "NO", "YES")</f>
        <v>YES</v>
      </c>
      <c r="J70" s="117">
        <f t="shared" ref="J70:J83" si="3">IF(I70="YES",G70,(MIN((SUM(F70,$I$65)),G70)))</f>
        <v>60</v>
      </c>
    </row>
    <row r="71" spans="2:10" ht="15" customHeight="1">
      <c r="B71" s="114">
        <v>2020</v>
      </c>
      <c r="C71" s="433">
        <f>E51</f>
        <v>64</v>
      </c>
      <c r="D71" s="408"/>
      <c r="E71" s="121">
        <f>E65</f>
        <v>0.96633991008991016</v>
      </c>
      <c r="F71" s="120">
        <f t="shared" si="1"/>
        <v>61.84575424575425</v>
      </c>
      <c r="G71" s="118">
        <f t="shared" ref="G71:G83" si="4">IF(F71&lt;26,25,IF(F71&gt;135,140,IF(F71&gt;130,135,IF(F71&gt;125,130,IF(F71&gt;120,125,IF(F71&gt;115,120,IF(F71&gt;110,115,IF(F71&gt;105,110,IF(F71&gt;100,105,IF(F71&gt;99,100,IF(F71&gt;90,99,IF(F71&gt;75,90,IF(F71&gt;72,75,IF(F71&gt;66,72,IF(F71&gt;60,66,IF(F71&gt;50,60,IF(F71&gt;30,50,IF(F71&gt;25,30,0))))))))))))))))))</f>
        <v>66</v>
      </c>
      <c r="H71" s="119">
        <f t="shared" si="2"/>
        <v>4.1542457542457498</v>
      </c>
      <c r="I71" s="118" t="str">
        <f t="shared" ref="I71:I83" si="5">IF(I$65&lt;H71, "NO", "YES")</f>
        <v>NO</v>
      </c>
      <c r="J71" s="117">
        <f t="shared" si="3"/>
        <v>64.84575424575425</v>
      </c>
    </row>
    <row r="72" spans="2:10" ht="15" customHeight="1">
      <c r="B72" s="114">
        <v>2021</v>
      </c>
      <c r="C72" s="430">
        <f>F51</f>
        <v>73</v>
      </c>
      <c r="D72" s="431"/>
      <c r="E72" s="121">
        <f>E65</f>
        <v>0.96633991008991016</v>
      </c>
      <c r="F72" s="120">
        <f t="shared" si="1"/>
        <v>70.542813436563435</v>
      </c>
      <c r="G72" s="118">
        <f t="shared" si="4"/>
        <v>72</v>
      </c>
      <c r="H72" s="119">
        <f t="shared" si="2"/>
        <v>1.4571865634365651</v>
      </c>
      <c r="I72" s="118" t="str">
        <f t="shared" si="5"/>
        <v>YES</v>
      </c>
      <c r="J72" s="117">
        <f t="shared" si="3"/>
        <v>72</v>
      </c>
    </row>
    <row r="73" spans="2:10" ht="15" customHeight="1">
      <c r="B73" s="114">
        <v>2022</v>
      </c>
      <c r="C73" s="430">
        <f>G51</f>
        <v>52</v>
      </c>
      <c r="D73" s="431"/>
      <c r="E73" s="121">
        <f>E65</f>
        <v>0.96633991008991016</v>
      </c>
      <c r="F73" s="120">
        <f t="shared" si="1"/>
        <v>50.24967532467533</v>
      </c>
      <c r="G73" s="118">
        <f t="shared" si="4"/>
        <v>60</v>
      </c>
      <c r="H73" s="119">
        <f t="shared" si="2"/>
        <v>9.75032467532467</v>
      </c>
      <c r="I73" s="118" t="str">
        <f t="shared" si="5"/>
        <v>NO</v>
      </c>
      <c r="J73" s="117">
        <f t="shared" si="3"/>
        <v>53.24967532467533</v>
      </c>
    </row>
    <row r="74" spans="2:10" ht="15" customHeight="1">
      <c r="B74" s="114">
        <v>2023</v>
      </c>
      <c r="C74" s="430">
        <f>H51</f>
        <v>64</v>
      </c>
      <c r="D74" s="431"/>
      <c r="E74" s="121">
        <f>E65</f>
        <v>0.96633991008991016</v>
      </c>
      <c r="F74" s="120">
        <f t="shared" si="1"/>
        <v>61.84575424575425</v>
      </c>
      <c r="G74" s="118">
        <f t="shared" si="4"/>
        <v>66</v>
      </c>
      <c r="H74" s="119">
        <f t="shared" si="2"/>
        <v>4.1542457542457498</v>
      </c>
      <c r="I74" s="118" t="str">
        <f t="shared" si="5"/>
        <v>NO</v>
      </c>
      <c r="J74" s="117">
        <f t="shared" si="3"/>
        <v>64.84575424575425</v>
      </c>
    </row>
    <row r="75" spans="2:10" ht="15" customHeight="1">
      <c r="B75" s="114">
        <v>2024</v>
      </c>
      <c r="C75" s="430">
        <f>I51</f>
        <v>65</v>
      </c>
      <c r="D75" s="431"/>
      <c r="E75" s="121">
        <f>E65</f>
        <v>0.96633991008991016</v>
      </c>
      <c r="F75" s="120">
        <f t="shared" si="1"/>
        <v>62.812094155844157</v>
      </c>
      <c r="G75" s="118">
        <f t="shared" si="4"/>
        <v>66</v>
      </c>
      <c r="H75" s="119">
        <f t="shared" si="2"/>
        <v>3.1879058441558428</v>
      </c>
      <c r="I75" s="118" t="str">
        <f t="shared" si="5"/>
        <v>NO</v>
      </c>
      <c r="J75" s="117">
        <f t="shared" si="3"/>
        <v>65.812094155844164</v>
      </c>
    </row>
    <row r="76" spans="2:10" ht="15" customHeight="1">
      <c r="B76" s="114">
        <v>2025</v>
      </c>
      <c r="C76" s="430">
        <f>J51</f>
        <v>65</v>
      </c>
      <c r="D76" s="431"/>
      <c r="E76" s="121">
        <f>E65</f>
        <v>0.96633991008991016</v>
      </c>
      <c r="F76" s="120">
        <f t="shared" si="1"/>
        <v>62.812094155844157</v>
      </c>
      <c r="G76" s="118">
        <f t="shared" si="4"/>
        <v>66</v>
      </c>
      <c r="H76" s="119">
        <f t="shared" si="2"/>
        <v>3.1879058441558428</v>
      </c>
      <c r="I76" s="118" t="str">
        <f t="shared" si="5"/>
        <v>NO</v>
      </c>
      <c r="J76" s="117">
        <f t="shared" si="3"/>
        <v>65.812094155844164</v>
      </c>
    </row>
    <row r="77" spans="2:10" ht="15" customHeight="1">
      <c r="B77" s="114">
        <v>2026</v>
      </c>
      <c r="C77" s="430">
        <f>K51</f>
        <v>66</v>
      </c>
      <c r="D77" s="431"/>
      <c r="E77" s="121">
        <f>E65</f>
        <v>0.96633991008991016</v>
      </c>
      <c r="F77" s="120">
        <f t="shared" si="1"/>
        <v>63.778434065934071</v>
      </c>
      <c r="G77" s="118">
        <f t="shared" si="4"/>
        <v>66</v>
      </c>
      <c r="H77" s="119">
        <f t="shared" si="2"/>
        <v>2.2215659340659286</v>
      </c>
      <c r="I77" s="118" t="str">
        <f t="shared" si="5"/>
        <v>YES</v>
      </c>
      <c r="J77" s="117">
        <f t="shared" si="3"/>
        <v>66</v>
      </c>
    </row>
    <row r="78" spans="2:10" ht="15" customHeight="1">
      <c r="B78" s="114">
        <v>2027</v>
      </c>
      <c r="C78" s="430">
        <f>L51</f>
        <v>66</v>
      </c>
      <c r="D78" s="431"/>
      <c r="E78" s="121">
        <f>E65</f>
        <v>0.96633991008991016</v>
      </c>
      <c r="F78" s="120">
        <f t="shared" si="1"/>
        <v>63.778434065934071</v>
      </c>
      <c r="G78" s="118">
        <f t="shared" si="4"/>
        <v>66</v>
      </c>
      <c r="H78" s="119">
        <f t="shared" si="2"/>
        <v>2.2215659340659286</v>
      </c>
      <c r="I78" s="118" t="str">
        <f t="shared" si="5"/>
        <v>YES</v>
      </c>
      <c r="J78" s="117">
        <f t="shared" si="3"/>
        <v>66</v>
      </c>
    </row>
    <row r="79" spans="2:10" ht="15" customHeight="1">
      <c r="B79" s="114">
        <v>2028</v>
      </c>
      <c r="C79" s="430">
        <f>M51</f>
        <v>67</v>
      </c>
      <c r="D79" s="431"/>
      <c r="E79" s="121">
        <f t="shared" ref="E79:E83" si="6">$E$65</f>
        <v>0.96633991008991016</v>
      </c>
      <c r="F79" s="120">
        <f t="shared" si="1"/>
        <v>64.744773976023978</v>
      </c>
      <c r="G79" s="118">
        <f t="shared" si="4"/>
        <v>66</v>
      </c>
      <c r="H79" s="119">
        <f t="shared" si="2"/>
        <v>1.2552260239760216</v>
      </c>
      <c r="I79" s="118" t="str">
        <f t="shared" si="5"/>
        <v>YES</v>
      </c>
      <c r="J79" s="117">
        <f t="shared" si="3"/>
        <v>66</v>
      </c>
    </row>
    <row r="80" spans="2:10" ht="15" customHeight="1">
      <c r="B80" s="114">
        <v>2029</v>
      </c>
      <c r="C80" s="430">
        <f>N51</f>
        <v>67</v>
      </c>
      <c r="D80" s="431"/>
      <c r="E80" s="121">
        <f t="shared" si="6"/>
        <v>0.96633991008991016</v>
      </c>
      <c r="F80" s="120">
        <f t="shared" si="1"/>
        <v>64.744773976023978</v>
      </c>
      <c r="G80" s="118">
        <f t="shared" si="4"/>
        <v>66</v>
      </c>
      <c r="H80" s="119">
        <f t="shared" si="2"/>
        <v>1.2552260239760216</v>
      </c>
      <c r="I80" s="118" t="str">
        <f t="shared" si="5"/>
        <v>YES</v>
      </c>
      <c r="J80" s="117">
        <f t="shared" si="3"/>
        <v>66</v>
      </c>
    </row>
    <row r="81" spans="2:10" ht="15" customHeight="1">
      <c r="B81" s="114">
        <v>2030</v>
      </c>
      <c r="C81" s="430">
        <f>O51</f>
        <v>67</v>
      </c>
      <c r="D81" s="431"/>
      <c r="E81" s="121">
        <f t="shared" si="6"/>
        <v>0.96633991008991016</v>
      </c>
      <c r="F81" s="120">
        <f t="shared" si="1"/>
        <v>64.744773976023978</v>
      </c>
      <c r="G81" s="118">
        <f t="shared" si="4"/>
        <v>66</v>
      </c>
      <c r="H81" s="119">
        <f t="shared" si="2"/>
        <v>1.2552260239760216</v>
      </c>
      <c r="I81" s="118" t="str">
        <f t="shared" si="5"/>
        <v>YES</v>
      </c>
      <c r="J81" s="117">
        <f t="shared" si="3"/>
        <v>66</v>
      </c>
    </row>
    <row r="82" spans="2:10" ht="15" customHeight="1">
      <c r="B82" s="114">
        <v>2031</v>
      </c>
      <c r="C82" s="430">
        <f>P51</f>
        <v>67</v>
      </c>
      <c r="D82" s="431"/>
      <c r="E82" s="121">
        <f t="shared" si="6"/>
        <v>0.96633991008991016</v>
      </c>
      <c r="F82" s="120">
        <f t="shared" si="1"/>
        <v>64.744773976023978</v>
      </c>
      <c r="G82" s="118">
        <f t="shared" si="4"/>
        <v>66</v>
      </c>
      <c r="H82" s="119">
        <f t="shared" si="2"/>
        <v>1.2552260239760216</v>
      </c>
      <c r="I82" s="118" t="str">
        <f t="shared" si="5"/>
        <v>YES</v>
      </c>
      <c r="J82" s="117">
        <f t="shared" si="3"/>
        <v>66</v>
      </c>
    </row>
    <row r="83" spans="2:10" ht="15" customHeight="1">
      <c r="B83" s="114">
        <v>2032</v>
      </c>
      <c r="C83" s="430">
        <f>Q51</f>
        <v>67</v>
      </c>
      <c r="D83" s="431"/>
      <c r="E83" s="121">
        <f t="shared" si="6"/>
        <v>0.96633991008991016</v>
      </c>
      <c r="F83" s="120">
        <f t="shared" si="1"/>
        <v>64.744773976023978</v>
      </c>
      <c r="G83" s="118">
        <f t="shared" si="4"/>
        <v>66</v>
      </c>
      <c r="H83" s="119">
        <f t="shared" si="2"/>
        <v>1.2552260239760216</v>
      </c>
      <c r="I83" s="118" t="str">
        <f t="shared" si="5"/>
        <v>YES</v>
      </c>
      <c r="J83" s="117">
        <f t="shared" si="3"/>
        <v>66</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Bonaly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59</v>
      </c>
      <c r="D91" s="112">
        <f t="shared" ref="D91:J91" si="7">D188</f>
        <v>60</v>
      </c>
      <c r="E91" s="112">
        <f t="shared" si="7"/>
        <v>60</v>
      </c>
      <c r="F91" s="112">
        <f t="shared" si="7"/>
        <v>63</v>
      </c>
      <c r="G91" s="112">
        <f t="shared" si="7"/>
        <v>48</v>
      </c>
      <c r="H91" s="112">
        <f t="shared" si="7"/>
        <v>57</v>
      </c>
      <c r="I91" s="112">
        <f t="shared" si="7"/>
        <v>48</v>
      </c>
      <c r="J91" s="213">
        <f t="shared" si="7"/>
        <v>395</v>
      </c>
    </row>
    <row r="92" spans="2:10" ht="15" customHeight="1">
      <c r="B92" s="114">
        <v>2014</v>
      </c>
      <c r="C92" s="112">
        <f>C189</f>
        <v>60</v>
      </c>
      <c r="D92" s="112">
        <f t="shared" ref="D92:J92" si="8">D189</f>
        <v>60</v>
      </c>
      <c r="E92" s="112">
        <f t="shared" si="8"/>
        <v>60</v>
      </c>
      <c r="F92" s="112">
        <f t="shared" si="8"/>
        <v>62</v>
      </c>
      <c r="G92" s="112">
        <f t="shared" si="8"/>
        <v>64</v>
      </c>
      <c r="H92" s="112">
        <f t="shared" si="8"/>
        <v>43</v>
      </c>
      <c r="I92" s="112">
        <f t="shared" si="8"/>
        <v>49</v>
      </c>
      <c r="J92" s="213">
        <f t="shared" si="8"/>
        <v>398</v>
      </c>
    </row>
    <row r="93" spans="2:10" ht="15" customHeight="1">
      <c r="B93" s="114">
        <v>2015</v>
      </c>
      <c r="C93" s="112">
        <f>C190</f>
        <v>57</v>
      </c>
      <c r="D93" s="112">
        <f t="shared" ref="D93:J93" si="9">D190</f>
        <v>60</v>
      </c>
      <c r="E93" s="112">
        <f t="shared" si="9"/>
        <v>60</v>
      </c>
      <c r="F93" s="112">
        <f t="shared" si="9"/>
        <v>62</v>
      </c>
      <c r="G93" s="112">
        <f t="shared" si="9"/>
        <v>63</v>
      </c>
      <c r="H93" s="112">
        <f t="shared" si="9"/>
        <v>60</v>
      </c>
      <c r="I93" s="112">
        <f t="shared" si="9"/>
        <v>35</v>
      </c>
      <c r="J93" s="213">
        <f t="shared" si="9"/>
        <v>397</v>
      </c>
    </row>
    <row r="94" spans="2:10" ht="15" customHeight="1">
      <c r="B94" s="114">
        <v>2016</v>
      </c>
      <c r="C94" s="112">
        <f>C191</f>
        <v>70</v>
      </c>
      <c r="D94" s="112">
        <f t="shared" ref="D94:J94" si="10">D191</f>
        <v>60</v>
      </c>
      <c r="E94" s="112">
        <f t="shared" si="10"/>
        <v>60</v>
      </c>
      <c r="F94" s="112">
        <f t="shared" si="10"/>
        <v>63</v>
      </c>
      <c r="G94" s="112">
        <f t="shared" si="10"/>
        <v>64</v>
      </c>
      <c r="H94" s="112">
        <f t="shared" si="10"/>
        <v>58</v>
      </c>
      <c r="I94" s="112">
        <f t="shared" si="10"/>
        <v>49</v>
      </c>
      <c r="J94" s="213">
        <f t="shared" si="10"/>
        <v>424</v>
      </c>
    </row>
    <row r="95" spans="2:10" ht="15" customHeight="1">
      <c r="B95" s="114">
        <v>2017</v>
      </c>
      <c r="C95" s="112">
        <f>C192</f>
        <v>66</v>
      </c>
      <c r="D95" s="112">
        <f t="shared" ref="D95:J95" si="11">D192</f>
        <v>68</v>
      </c>
      <c r="E95" s="112">
        <f t="shared" si="11"/>
        <v>60</v>
      </c>
      <c r="F95" s="112">
        <f t="shared" si="11"/>
        <v>63</v>
      </c>
      <c r="G95" s="112">
        <f t="shared" si="11"/>
        <v>64</v>
      </c>
      <c r="H95" s="112">
        <f t="shared" si="11"/>
        <v>55</v>
      </c>
      <c r="I95" s="112">
        <f t="shared" si="11"/>
        <v>47</v>
      </c>
      <c r="J95" s="213">
        <f t="shared" si="11"/>
        <v>423</v>
      </c>
    </row>
    <row r="96" spans="2:10" ht="15" customHeight="1">
      <c r="B96" s="307">
        <v>2018</v>
      </c>
      <c r="C96" s="112">
        <f t="shared" ref="C96:J96" si="12">C193</f>
        <v>75</v>
      </c>
      <c r="D96" s="112">
        <f t="shared" si="12"/>
        <v>67</v>
      </c>
      <c r="E96" s="112">
        <f t="shared" si="12"/>
        <v>65</v>
      </c>
      <c r="F96" s="112">
        <f t="shared" si="12"/>
        <v>60</v>
      </c>
      <c r="G96" s="112">
        <f t="shared" si="12"/>
        <v>62</v>
      </c>
      <c r="H96" s="112">
        <f t="shared" si="12"/>
        <v>61</v>
      </c>
      <c r="I96" s="112">
        <f t="shared" si="12"/>
        <v>51</v>
      </c>
      <c r="J96" s="213">
        <f t="shared" si="12"/>
        <v>441</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-1.5151515151515152E-2</v>
      </c>
      <c r="E98" s="210">
        <f t="shared" ref="E98:I98" si="13">MEDIAN(((D91-E92)/D91),((D92-E93)/D92),((D93-E94)/D93),((D94-E95)/D94),((D95-E96)/D95))</f>
        <v>0</v>
      </c>
      <c r="F98" s="210">
        <f t="shared" si="13"/>
        <v>-3.3333333333333333E-2</v>
      </c>
      <c r="G98" s="210">
        <f t="shared" si="13"/>
        <v>-1.5873015873015872E-2</v>
      </c>
      <c r="H98" s="210">
        <f t="shared" si="13"/>
        <v>7.9365079365079361E-2</v>
      </c>
      <c r="I98" s="210">
        <f t="shared" si="13"/>
        <v>0.18333333333333332</v>
      </c>
    </row>
    <row r="99" spans="2:10" ht="15" customHeight="1">
      <c r="B99" s="59"/>
      <c r="C99" s="60"/>
      <c r="D99" s="61"/>
      <c r="E99" s="61"/>
      <c r="F99" s="61"/>
      <c r="G99" s="61"/>
      <c r="H99" s="61"/>
      <c r="I99" s="61"/>
      <c r="J99" s="58"/>
    </row>
    <row r="100" spans="2:10" ht="15" customHeight="1">
      <c r="B100" s="15" t="str">
        <f>"Table 4B: "&amp;E3&amp;" Projected Roll by Stage (incorporating Projected P1 and Drop-Off Rates), 2019-2032"</f>
        <v>Table 4B: Bonaly Primary School Projected Roll by Stage (incorporating Projected P1 and Drop-Off Rates), 2019-2032</v>
      </c>
      <c r="F100" s="14"/>
      <c r="G100" s="14"/>
    </row>
    <row r="101" spans="2:10" ht="15" customHeight="1">
      <c r="F101" s="14"/>
      <c r="G101" s="14"/>
    </row>
    <row r="102" spans="2:10" ht="15" customHeight="1">
      <c r="B102" s="115"/>
      <c r="C102" s="109" t="s">
        <v>1</v>
      </c>
      <c r="D102" s="109" t="s">
        <v>2</v>
      </c>
      <c r="E102" s="109" t="s">
        <v>3</v>
      </c>
      <c r="F102" s="109" t="s">
        <v>4</v>
      </c>
      <c r="G102" s="109" t="s">
        <v>5</v>
      </c>
      <c r="H102" s="109" t="s">
        <v>6</v>
      </c>
      <c r="I102" s="109" t="s">
        <v>7</v>
      </c>
      <c r="J102" s="109" t="s">
        <v>8</v>
      </c>
    </row>
    <row r="103" spans="2:10" ht="15" customHeight="1">
      <c r="B103" s="114">
        <v>2019</v>
      </c>
      <c r="C103" s="113">
        <f t="shared" ref="C103:C116" si="14">J70</f>
        <v>60</v>
      </c>
      <c r="D103" s="324">
        <f>ROUND((C96)-(C96*$D$98),0)</f>
        <v>76</v>
      </c>
      <c r="E103" s="324">
        <f>ROUND((D96)-(D96*$E$98),0)</f>
        <v>67</v>
      </c>
      <c r="F103" s="324">
        <f>ROUND((E96)-(E96*$F$98),0)</f>
        <v>67</v>
      </c>
      <c r="G103" s="324">
        <f>ROUND((F96)-(F96*$G$98),0)</f>
        <v>61</v>
      </c>
      <c r="H103" s="324">
        <f>ROUND((G96)-(G96*$H$98),0)</f>
        <v>57</v>
      </c>
      <c r="I103" s="324">
        <f>ROUND((H96)-(H96*$I$98),0)</f>
        <v>50</v>
      </c>
      <c r="J103" s="111">
        <f t="shared" ref="J103:J116" si="15">SUM(C103:I103)</f>
        <v>438</v>
      </c>
    </row>
    <row r="104" spans="2:10" ht="15" customHeight="1">
      <c r="B104" s="114">
        <v>2020</v>
      </c>
      <c r="C104" s="113">
        <f t="shared" si="14"/>
        <v>64.84575424575425</v>
      </c>
      <c r="D104" s="324">
        <f>ROUND((C103-E50)-(C103*$D$98),0)</f>
        <v>60</v>
      </c>
      <c r="E104" s="112">
        <f t="shared" ref="E104:E116" si="16">ROUND((D103)-(D103*$E$98),0)</f>
        <v>76</v>
      </c>
      <c r="F104" s="112">
        <f t="shared" ref="F104:F116" si="17">ROUND((E103)-(E103*$F$98),0)</f>
        <v>69</v>
      </c>
      <c r="G104" s="112">
        <f t="shared" ref="G104:G116" si="18">ROUND((F103)-(F103*$G$98),0)</f>
        <v>68</v>
      </c>
      <c r="H104" s="112">
        <f t="shared" ref="H104:H116" si="19">ROUND((G103)-(G103*$H$98),0)</f>
        <v>56</v>
      </c>
      <c r="I104" s="112">
        <f t="shared" ref="I104:I116" si="20">ROUND((H103)-(H103*$I$98),0)</f>
        <v>47</v>
      </c>
      <c r="J104" s="111">
        <f t="shared" si="15"/>
        <v>440.84575424575428</v>
      </c>
    </row>
    <row r="105" spans="2:10" ht="15" customHeight="1">
      <c r="B105" s="114">
        <v>2021</v>
      </c>
      <c r="C105" s="113">
        <f t="shared" si="14"/>
        <v>72</v>
      </c>
      <c r="D105" s="324">
        <f>ROUND((C104-F50)-(C104*$D$98),0)</f>
        <v>65</v>
      </c>
      <c r="E105" s="112">
        <f t="shared" si="16"/>
        <v>60</v>
      </c>
      <c r="F105" s="112">
        <f t="shared" si="17"/>
        <v>79</v>
      </c>
      <c r="G105" s="112">
        <f t="shared" si="18"/>
        <v>70</v>
      </c>
      <c r="H105" s="112">
        <f t="shared" si="19"/>
        <v>63</v>
      </c>
      <c r="I105" s="112">
        <f t="shared" si="20"/>
        <v>46</v>
      </c>
      <c r="J105" s="111">
        <f t="shared" si="15"/>
        <v>455</v>
      </c>
    </row>
    <row r="106" spans="2:10" ht="15" customHeight="1">
      <c r="B106" s="114">
        <v>2022</v>
      </c>
      <c r="C106" s="113">
        <f t="shared" si="14"/>
        <v>53.24967532467533</v>
      </c>
      <c r="D106" s="324">
        <f>ROUND((C105-G50)-(C105*$D$98),0)</f>
        <v>72</v>
      </c>
      <c r="E106" s="112">
        <f t="shared" si="16"/>
        <v>65</v>
      </c>
      <c r="F106" s="112">
        <f t="shared" si="17"/>
        <v>62</v>
      </c>
      <c r="G106" s="112">
        <f t="shared" si="18"/>
        <v>80</v>
      </c>
      <c r="H106" s="112">
        <f t="shared" si="19"/>
        <v>64</v>
      </c>
      <c r="I106" s="112">
        <f t="shared" si="20"/>
        <v>51</v>
      </c>
      <c r="J106" s="111">
        <f t="shared" si="15"/>
        <v>447.24967532467531</v>
      </c>
    </row>
    <row r="107" spans="2:10" ht="15" customHeight="1">
      <c r="B107" s="114">
        <v>2023</v>
      </c>
      <c r="C107" s="113">
        <f t="shared" si="14"/>
        <v>64.84575424575425</v>
      </c>
      <c r="D107" s="324">
        <f>ROUND((C106-H50)-(C106*$D$98),0)</f>
        <v>53</v>
      </c>
      <c r="E107" s="112">
        <f t="shared" si="16"/>
        <v>72</v>
      </c>
      <c r="F107" s="112">
        <f t="shared" si="17"/>
        <v>67</v>
      </c>
      <c r="G107" s="112">
        <f t="shared" si="18"/>
        <v>63</v>
      </c>
      <c r="H107" s="112">
        <f t="shared" si="19"/>
        <v>74</v>
      </c>
      <c r="I107" s="112">
        <f t="shared" si="20"/>
        <v>52</v>
      </c>
      <c r="J107" s="111">
        <f t="shared" si="15"/>
        <v>445.84575424575428</v>
      </c>
    </row>
    <row r="108" spans="2:10" ht="15" customHeight="1">
      <c r="B108" s="114">
        <v>2024</v>
      </c>
      <c r="C108" s="113">
        <f t="shared" si="14"/>
        <v>65.812094155844164</v>
      </c>
      <c r="D108" s="324">
        <f>ROUND((C107-I50)-(C107*$D$98),0)</f>
        <v>65</v>
      </c>
      <c r="E108" s="112">
        <f t="shared" si="16"/>
        <v>53</v>
      </c>
      <c r="F108" s="112">
        <f t="shared" si="17"/>
        <v>74</v>
      </c>
      <c r="G108" s="112">
        <f t="shared" si="18"/>
        <v>68</v>
      </c>
      <c r="H108" s="112">
        <f t="shared" si="19"/>
        <v>58</v>
      </c>
      <c r="I108" s="112">
        <f t="shared" si="20"/>
        <v>60</v>
      </c>
      <c r="J108" s="111">
        <f t="shared" si="15"/>
        <v>443.81209415584419</v>
      </c>
    </row>
    <row r="109" spans="2:10" ht="15" customHeight="1">
      <c r="B109" s="114">
        <v>2025</v>
      </c>
      <c r="C109" s="113">
        <f t="shared" si="14"/>
        <v>65.812094155844164</v>
      </c>
      <c r="D109" s="324">
        <f>ROUND((C108-J50)-(C108*$D$98),0)</f>
        <v>66</v>
      </c>
      <c r="E109" s="112">
        <f t="shared" si="16"/>
        <v>65</v>
      </c>
      <c r="F109" s="112">
        <f t="shared" si="17"/>
        <v>55</v>
      </c>
      <c r="G109" s="112">
        <f t="shared" si="18"/>
        <v>75</v>
      </c>
      <c r="H109" s="112">
        <f t="shared" si="19"/>
        <v>63</v>
      </c>
      <c r="I109" s="112">
        <f t="shared" si="20"/>
        <v>47</v>
      </c>
      <c r="J109" s="111">
        <f t="shared" si="15"/>
        <v>436.81209415584419</v>
      </c>
    </row>
    <row r="110" spans="2:10" ht="15" customHeight="1">
      <c r="B110" s="114">
        <v>2026</v>
      </c>
      <c r="C110" s="113">
        <f t="shared" si="14"/>
        <v>66</v>
      </c>
      <c r="D110" s="324">
        <f>ROUND((C109-K50)-(C109*$D$98),0)</f>
        <v>66</v>
      </c>
      <c r="E110" s="112">
        <f t="shared" si="16"/>
        <v>66</v>
      </c>
      <c r="F110" s="112">
        <f t="shared" si="17"/>
        <v>67</v>
      </c>
      <c r="G110" s="112">
        <f t="shared" si="18"/>
        <v>56</v>
      </c>
      <c r="H110" s="112">
        <f t="shared" si="19"/>
        <v>69</v>
      </c>
      <c r="I110" s="112">
        <f t="shared" si="20"/>
        <v>51</v>
      </c>
      <c r="J110" s="111">
        <f t="shared" si="15"/>
        <v>441</v>
      </c>
    </row>
    <row r="111" spans="2:10" ht="15" customHeight="1">
      <c r="B111" s="114">
        <v>2027</v>
      </c>
      <c r="C111" s="113">
        <f t="shared" si="14"/>
        <v>66</v>
      </c>
      <c r="D111" s="324">
        <f>ROUND((C110-L50)-(C110*$D$98),0)</f>
        <v>66</v>
      </c>
      <c r="E111" s="112">
        <f t="shared" si="16"/>
        <v>66</v>
      </c>
      <c r="F111" s="112">
        <f t="shared" si="17"/>
        <v>68</v>
      </c>
      <c r="G111" s="112">
        <f t="shared" si="18"/>
        <v>68</v>
      </c>
      <c r="H111" s="112">
        <f t="shared" si="19"/>
        <v>52</v>
      </c>
      <c r="I111" s="112">
        <f t="shared" si="20"/>
        <v>56</v>
      </c>
      <c r="J111" s="111">
        <f t="shared" si="15"/>
        <v>442</v>
      </c>
    </row>
    <row r="112" spans="2:10" ht="15" customHeight="1">
      <c r="B112" s="114">
        <v>2028</v>
      </c>
      <c r="C112" s="113">
        <f t="shared" si="14"/>
        <v>66</v>
      </c>
      <c r="D112" s="324">
        <f>ROUND((C111-M50)-(C111*$D$98),0)</f>
        <v>66</v>
      </c>
      <c r="E112" s="112">
        <f t="shared" si="16"/>
        <v>66</v>
      </c>
      <c r="F112" s="112">
        <f t="shared" si="17"/>
        <v>68</v>
      </c>
      <c r="G112" s="112">
        <f t="shared" si="18"/>
        <v>69</v>
      </c>
      <c r="H112" s="112">
        <f t="shared" si="19"/>
        <v>63</v>
      </c>
      <c r="I112" s="112">
        <f t="shared" si="20"/>
        <v>42</v>
      </c>
      <c r="J112" s="111">
        <f t="shared" si="15"/>
        <v>440</v>
      </c>
    </row>
    <row r="113" spans="2:10" ht="15" customHeight="1">
      <c r="B113" s="114">
        <v>2029</v>
      </c>
      <c r="C113" s="113">
        <f t="shared" si="14"/>
        <v>66</v>
      </c>
      <c r="D113" s="324">
        <f>ROUND((C112-N50)-(C112*$D$98),0)</f>
        <v>66</v>
      </c>
      <c r="E113" s="112">
        <f t="shared" si="16"/>
        <v>66</v>
      </c>
      <c r="F113" s="112">
        <f t="shared" si="17"/>
        <v>68</v>
      </c>
      <c r="G113" s="112">
        <f t="shared" si="18"/>
        <v>69</v>
      </c>
      <c r="H113" s="112">
        <f t="shared" si="19"/>
        <v>64</v>
      </c>
      <c r="I113" s="112">
        <f t="shared" si="20"/>
        <v>51</v>
      </c>
      <c r="J113" s="111">
        <f t="shared" si="15"/>
        <v>450</v>
      </c>
    </row>
    <row r="114" spans="2:10" ht="15" customHeight="1">
      <c r="B114" s="114">
        <v>2030</v>
      </c>
      <c r="C114" s="113">
        <f t="shared" si="14"/>
        <v>66</v>
      </c>
      <c r="D114" s="324">
        <f>ROUND((C113-O50)-(C113*$D$98),0)</f>
        <v>66</v>
      </c>
      <c r="E114" s="112">
        <f t="shared" si="16"/>
        <v>66</v>
      </c>
      <c r="F114" s="112">
        <f t="shared" si="17"/>
        <v>68</v>
      </c>
      <c r="G114" s="112">
        <f t="shared" si="18"/>
        <v>69</v>
      </c>
      <c r="H114" s="112">
        <f t="shared" si="19"/>
        <v>64</v>
      </c>
      <c r="I114" s="112">
        <f t="shared" si="20"/>
        <v>52</v>
      </c>
      <c r="J114" s="111">
        <f t="shared" si="15"/>
        <v>451</v>
      </c>
    </row>
    <row r="115" spans="2:10" ht="15" customHeight="1">
      <c r="B115" s="114">
        <v>2031</v>
      </c>
      <c r="C115" s="113">
        <f t="shared" si="14"/>
        <v>66</v>
      </c>
      <c r="D115" s="324">
        <f>ROUND((C114-P50)-(C114*$D$98),0)</f>
        <v>66</v>
      </c>
      <c r="E115" s="112">
        <f t="shared" si="16"/>
        <v>66</v>
      </c>
      <c r="F115" s="112">
        <f t="shared" si="17"/>
        <v>68</v>
      </c>
      <c r="G115" s="112">
        <f t="shared" si="18"/>
        <v>69</v>
      </c>
      <c r="H115" s="112">
        <f t="shared" si="19"/>
        <v>64</v>
      </c>
      <c r="I115" s="112">
        <f t="shared" si="20"/>
        <v>52</v>
      </c>
      <c r="J115" s="111">
        <f t="shared" si="15"/>
        <v>451</v>
      </c>
    </row>
    <row r="116" spans="2:10" ht="15" customHeight="1">
      <c r="B116" s="114">
        <v>2032</v>
      </c>
      <c r="C116" s="113">
        <f t="shared" si="14"/>
        <v>66</v>
      </c>
      <c r="D116" s="324">
        <f>ROUND((C115-Q50)-(C115*$D$98),0)</f>
        <v>66</v>
      </c>
      <c r="E116" s="112">
        <f t="shared" si="16"/>
        <v>66</v>
      </c>
      <c r="F116" s="112">
        <f t="shared" si="17"/>
        <v>68</v>
      </c>
      <c r="G116" s="112">
        <f t="shared" si="18"/>
        <v>69</v>
      </c>
      <c r="H116" s="112">
        <f t="shared" si="19"/>
        <v>64</v>
      </c>
      <c r="I116" s="112">
        <f t="shared" si="20"/>
        <v>52</v>
      </c>
      <c r="J116" s="111">
        <f t="shared" si="15"/>
        <v>451</v>
      </c>
    </row>
    <row r="117" spans="2:10" ht="15" customHeight="1">
      <c r="F117" s="14"/>
      <c r="G117" s="14"/>
    </row>
    <row r="118" spans="2:10" ht="15" customHeight="1">
      <c r="B118" s="15" t="str">
        <f>"Table 4C: "&amp;E3&amp;" Projected Pupil Generation from Housing Development, 2019-2032"</f>
        <v>Table 4C: Bonaly Primary School Projected Pupil Generation from Housing Development, 2019-2032</v>
      </c>
      <c r="F118" s="14"/>
      <c r="G118" s="14"/>
    </row>
    <row r="119" spans="2:10" ht="15" customHeight="1">
      <c r="F119" s="14"/>
      <c r="G119" s="14"/>
    </row>
    <row r="120" spans="2:10" ht="15" customHeight="1">
      <c r="B120" s="115"/>
      <c r="C120" s="109" t="s">
        <v>1</v>
      </c>
      <c r="D120" s="109" t="s">
        <v>2</v>
      </c>
      <c r="E120" s="109" t="s">
        <v>3</v>
      </c>
      <c r="F120" s="109" t="s">
        <v>4</v>
      </c>
      <c r="G120" s="109" t="s">
        <v>5</v>
      </c>
      <c r="H120" s="109" t="s">
        <v>6</v>
      </c>
      <c r="I120" s="109" t="s">
        <v>7</v>
      </c>
      <c r="J120" s="109" t="s">
        <v>8</v>
      </c>
    </row>
    <row r="121" spans="2:10" ht="15" customHeight="1">
      <c r="B121" s="114">
        <v>2019</v>
      </c>
      <c r="C121" s="116" t="s">
        <v>97</v>
      </c>
      <c r="D121" s="112">
        <f>VLOOKUP($E$3,'Housing Generation'!$A$3:$BE$90,11,FALSE)</f>
        <v>1</v>
      </c>
      <c r="E121" s="112">
        <f>VLOOKUP($E$3,'Housing Generation'!$A$3:$BE$90,12,FALSE)</f>
        <v>0</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1</v>
      </c>
    </row>
    <row r="122" spans="2:10" ht="15" customHeight="1">
      <c r="B122" s="114">
        <v>2020</v>
      </c>
      <c r="C122" s="116" t="s">
        <v>97</v>
      </c>
      <c r="D122" s="112">
        <f>VLOOKUP($E$3,'Housing Generation'!$A$3:$BE$90,19,FALSE)</f>
        <v>1</v>
      </c>
      <c r="E122" s="112">
        <f>VLOOKUP($E$3,'Housing Generation'!$A$3:$BE$90,20,FALSE)</f>
        <v>0</v>
      </c>
      <c r="F122" s="112">
        <f>VLOOKUP($E$3,'Housing Generation'!$A$3:$BE$90,21,FALSE)</f>
        <v>0</v>
      </c>
      <c r="G122" s="112">
        <f>VLOOKUP($E$3,'Housing Generation'!$A$3:$BE$90,22,FALSE)</f>
        <v>0</v>
      </c>
      <c r="H122" s="112">
        <f>VLOOKUP($E$3,'Housing Generation'!$A$3:$BE$90,23,FALSE)</f>
        <v>0</v>
      </c>
      <c r="I122" s="112">
        <f>VLOOKUP($E$3,'Housing Generation'!$A$3:$BE$90,24,FALSE)</f>
        <v>0</v>
      </c>
      <c r="J122" s="111">
        <f t="shared" si="21"/>
        <v>1</v>
      </c>
    </row>
    <row r="123" spans="2:10" ht="15" customHeight="1">
      <c r="B123" s="114">
        <v>2021</v>
      </c>
      <c r="C123" s="116" t="s">
        <v>97</v>
      </c>
      <c r="D123" s="112">
        <f>VLOOKUP($E$3,'Housing Generation'!$A$3:$BE$90,27,FALSE)</f>
        <v>1</v>
      </c>
      <c r="E123" s="112">
        <f>VLOOKUP($E$3,'Housing Generation'!$A$3:$BE$90,28,FALSE)</f>
        <v>0</v>
      </c>
      <c r="F123" s="112">
        <f>VLOOKUP($E$3,'Housing Generation'!$A$3:$BE$90,29,FALSE)</f>
        <v>0</v>
      </c>
      <c r="G123" s="112">
        <f>VLOOKUP($E$3,'Housing Generation'!$A$3:$BE$90,30,FALSE)</f>
        <v>0</v>
      </c>
      <c r="H123" s="112">
        <f>VLOOKUP($E$3,'Housing Generation'!$A$3:$BE$90,31,FALSE)</f>
        <v>0</v>
      </c>
      <c r="I123" s="112">
        <f>VLOOKUP($E$3,'Housing Generation'!$A$3:$BE$90,32,FALSE)</f>
        <v>0</v>
      </c>
      <c r="J123" s="111">
        <f t="shared" si="21"/>
        <v>1</v>
      </c>
    </row>
    <row r="124" spans="2:10" ht="15" customHeight="1">
      <c r="B124" s="114">
        <v>2022</v>
      </c>
      <c r="C124" s="116" t="s">
        <v>97</v>
      </c>
      <c r="D124" s="112">
        <f>VLOOKUP($E$3,'Housing Generation'!$A$3:$BE$90,35,FALSE)</f>
        <v>1</v>
      </c>
      <c r="E124" s="112">
        <f>VLOOKUP($E$3,'Housing Generation'!$A$3:$BE$90,36,FALSE)</f>
        <v>0</v>
      </c>
      <c r="F124" s="112">
        <f>VLOOKUP($E$3,'Housing Generation'!$A$3:$BE$90,37,FALSE)</f>
        <v>0</v>
      </c>
      <c r="G124" s="112">
        <f>VLOOKUP($E$3,'Housing Generation'!$A$3:$BE$90,38,FALSE)</f>
        <v>0</v>
      </c>
      <c r="H124" s="112">
        <f>VLOOKUP($E$3,'Housing Generation'!$A$3:$BE$90,39,FALSE)</f>
        <v>0</v>
      </c>
      <c r="I124" s="112">
        <f>VLOOKUP($E$3,'Housing Generation'!$A$3:$BE$90,40,FALSE)</f>
        <v>0</v>
      </c>
      <c r="J124" s="111">
        <f t="shared" si="21"/>
        <v>1</v>
      </c>
    </row>
    <row r="125" spans="2:10" ht="15" customHeight="1">
      <c r="B125" s="114">
        <v>2023</v>
      </c>
      <c r="C125" s="116" t="s">
        <v>97</v>
      </c>
      <c r="D125" s="112">
        <f>VLOOKUP($E$3,'Housing Generation'!$A$3:$BE$90,43,FALSE)</f>
        <v>1</v>
      </c>
      <c r="E125" s="112">
        <f>VLOOKUP($E$3,'Housing Generation'!$A$3:$BE$90,44,FALSE)</f>
        <v>0</v>
      </c>
      <c r="F125" s="112">
        <f>VLOOKUP($E$3,'Housing Generation'!$A$3:$BE$90,45,FALSE)</f>
        <v>0</v>
      </c>
      <c r="G125" s="112">
        <f>VLOOKUP($E$3,'Housing Generation'!$A$3:$BE$90,46,FALSE)</f>
        <v>0</v>
      </c>
      <c r="H125" s="112">
        <f>VLOOKUP($E$3,'Housing Generation'!$A$3:$BE$90,47,FALSE)</f>
        <v>0</v>
      </c>
      <c r="I125" s="112">
        <f>VLOOKUP($E$3,'Housing Generation'!$A$3:$BE$90,48,FALSE)</f>
        <v>0</v>
      </c>
      <c r="J125" s="111">
        <f t="shared" si="21"/>
        <v>1</v>
      </c>
    </row>
    <row r="126" spans="2:10" ht="15" customHeight="1">
      <c r="B126" s="114">
        <v>2024</v>
      </c>
      <c r="C126" s="116" t="s">
        <v>97</v>
      </c>
      <c r="D126" s="112">
        <f>VLOOKUP($E$3,'Housing Generation'!$A$3:$BE$90,51,FALSE)</f>
        <v>1</v>
      </c>
      <c r="E126" s="112">
        <f>VLOOKUP($E$3,'Housing Generation'!$A$3:$BE$90,52,FALSE)</f>
        <v>0</v>
      </c>
      <c r="F126" s="112">
        <f>VLOOKUP($E$3,'Housing Generation'!$A$3:$BE$90,53,FALSE)</f>
        <v>0</v>
      </c>
      <c r="G126" s="112">
        <f>VLOOKUP($E$3,'Housing Generation'!$A$3:$BE$90,54,FALSE)</f>
        <v>0</v>
      </c>
      <c r="H126" s="112">
        <f>VLOOKUP($E$3,'Housing Generation'!$A$3:$BE$90,55,FALSE)</f>
        <v>0</v>
      </c>
      <c r="I126" s="112">
        <f>VLOOKUP($E$3,'Housing Generation'!$A$3:$BE$90,56,FALSE)</f>
        <v>0</v>
      </c>
      <c r="J126" s="111">
        <f t="shared" si="21"/>
        <v>1</v>
      </c>
    </row>
    <row r="127" spans="2:10" ht="15" customHeight="1">
      <c r="B127" s="114">
        <v>2025</v>
      </c>
      <c r="C127" s="240" t="s">
        <v>97</v>
      </c>
      <c r="D127" s="112">
        <f>VLOOKUP($E$3,'Housing Generation'!$A$3:$CK$90,59,FALSE)</f>
        <v>1</v>
      </c>
      <c r="E127" s="112">
        <f>VLOOKUP($E$3,'Housing Generation'!$A$3:$CK$90,60,FALSE)</f>
        <v>0</v>
      </c>
      <c r="F127" s="112">
        <f>VLOOKUP($E$3,'Housing Generation'!$A$3:$CK$90,61,FALSE)</f>
        <v>0</v>
      </c>
      <c r="G127" s="112">
        <f>VLOOKUP($E$3,'Housing Generation'!$A$3:$CK$90,62,FALSE)</f>
        <v>0</v>
      </c>
      <c r="H127" s="112">
        <f>VLOOKUP($E$3,'Housing Generation'!$A$3:$CK$90,63,FALSE)</f>
        <v>0</v>
      </c>
      <c r="I127" s="112">
        <f>VLOOKUP($E$3,'Housing Generation'!$A$3:$CK$90,64,FALSE)</f>
        <v>0</v>
      </c>
      <c r="J127" s="111">
        <f t="shared" si="21"/>
        <v>1</v>
      </c>
    </row>
    <row r="128" spans="2:10" ht="15" customHeight="1">
      <c r="B128" s="114">
        <v>2026</v>
      </c>
      <c r="C128" s="240" t="s">
        <v>97</v>
      </c>
      <c r="D128" s="112">
        <f>VLOOKUP($E$3,'Housing Generation'!$A$3:$CK$90,67,FALSE)</f>
        <v>1</v>
      </c>
      <c r="E128" s="112">
        <f>VLOOKUP($E$3,'Housing Generation'!$A$3:$CK$90,68,FALSE)</f>
        <v>0</v>
      </c>
      <c r="F128" s="112">
        <f>VLOOKUP($E$3,'Housing Generation'!$A$3:$CK$90,69,FALSE)</f>
        <v>0</v>
      </c>
      <c r="G128" s="112">
        <f>VLOOKUP($E$3,'Housing Generation'!$A$3:$CK$90,70,FALSE)</f>
        <v>0</v>
      </c>
      <c r="H128" s="112">
        <f>VLOOKUP($E$3,'Housing Generation'!$A$3:$CK$90,71,FALSE)</f>
        <v>0</v>
      </c>
      <c r="I128" s="112">
        <f>VLOOKUP($E$3,'Housing Generation'!$A$3:$CK$90,72,FALSE)</f>
        <v>0</v>
      </c>
      <c r="J128" s="111">
        <f t="shared" si="21"/>
        <v>1</v>
      </c>
    </row>
    <row r="129" spans="2:10" ht="15" customHeight="1">
      <c r="B129" s="114">
        <v>2027</v>
      </c>
      <c r="C129" s="240" t="s">
        <v>97</v>
      </c>
      <c r="D129" s="112">
        <f>VLOOKUP($E$3,'Housing Generation'!$A$3:$CK$90,75,FALSE)</f>
        <v>1</v>
      </c>
      <c r="E129" s="112">
        <f>VLOOKUP($E$3,'Housing Generation'!$A$3:$CK$90,76,FALSE)</f>
        <v>0</v>
      </c>
      <c r="F129" s="112">
        <f>VLOOKUP($E$3,'Housing Generation'!$A$3:$CK$90,77,FALSE)</f>
        <v>0</v>
      </c>
      <c r="G129" s="112">
        <f>VLOOKUP($E$3,'Housing Generation'!$A$3:$CK$90,78,FALSE)</f>
        <v>0</v>
      </c>
      <c r="H129" s="112">
        <f>VLOOKUP($E$3,'Housing Generation'!$A$3:$CK$90,79,FALSE)</f>
        <v>0</v>
      </c>
      <c r="I129" s="112">
        <f>VLOOKUP($E$3,'Housing Generation'!$A$3:$CK$90,80,FALSE)</f>
        <v>0</v>
      </c>
      <c r="J129" s="111">
        <f t="shared" si="21"/>
        <v>1</v>
      </c>
    </row>
    <row r="130" spans="2:10" ht="15" customHeight="1">
      <c r="B130" s="114">
        <v>2028</v>
      </c>
      <c r="C130" s="289" t="s">
        <v>97</v>
      </c>
      <c r="D130" s="112">
        <f>VLOOKUP($E$3,'Housing Generation'!$A$3:$CK$90,83,FALSE)</f>
        <v>1</v>
      </c>
      <c r="E130" s="112">
        <f>VLOOKUP($E$3,'Housing Generation'!$A$3:$CK$90,84,FALSE)</f>
        <v>0</v>
      </c>
      <c r="F130" s="112">
        <f>VLOOKUP($E$3,'Housing Generation'!$A$3:$CK$90,85,FALSE)</f>
        <v>0</v>
      </c>
      <c r="G130" s="112">
        <f>VLOOKUP($E$3,'Housing Generation'!$A$3:$CK$90,86,FALSE)</f>
        <v>0</v>
      </c>
      <c r="H130" s="112">
        <f>VLOOKUP($E$3,'Housing Generation'!$A$3:$CK$90,87,FALSE)</f>
        <v>0</v>
      </c>
      <c r="I130" s="112">
        <f>VLOOKUP($E$3,'Housing Generation'!$A$3:$CK$90,88,FALSE)</f>
        <v>0</v>
      </c>
      <c r="J130" s="111">
        <f t="shared" si="21"/>
        <v>1</v>
      </c>
    </row>
    <row r="131" spans="2:10" ht="15" customHeight="1">
      <c r="B131" s="114">
        <v>2029</v>
      </c>
      <c r="C131" s="289" t="s">
        <v>97</v>
      </c>
      <c r="D131" s="112">
        <f>VLOOKUP($E$3,'Housing Generation'!$A$3:$DQ$90,91,FALSE)</f>
        <v>1</v>
      </c>
      <c r="E131" s="112">
        <f>VLOOKUP($E$3,'Housing Generation'!$A$3:$DQ$90,92,FALSE)</f>
        <v>0</v>
      </c>
      <c r="F131" s="112">
        <f>VLOOKUP($E$3,'Housing Generation'!$A$3:$DQ$90,93,FALSE)</f>
        <v>0</v>
      </c>
      <c r="G131" s="112">
        <f>VLOOKUP($E$3,'Housing Generation'!$A$3:$DQ$90,94,FALSE)</f>
        <v>0</v>
      </c>
      <c r="H131" s="112">
        <f>VLOOKUP($E$3,'Housing Generation'!$A$3:$DQ$90,95,FALSE)</f>
        <v>0</v>
      </c>
      <c r="I131" s="112">
        <f>VLOOKUP($E$3,'Housing Generation'!$A$3:$DQ$90,96,FALSE)</f>
        <v>0</v>
      </c>
      <c r="J131" s="111">
        <f t="shared" si="21"/>
        <v>1</v>
      </c>
    </row>
    <row r="132" spans="2:10" ht="15" customHeight="1">
      <c r="B132" s="114">
        <v>2030</v>
      </c>
      <c r="C132" s="289" t="s">
        <v>97</v>
      </c>
      <c r="D132" s="112">
        <f>VLOOKUP($E$3,'Housing Generation'!$A$3:$DQ$90,99,FALSE)</f>
        <v>1</v>
      </c>
      <c r="E132" s="112">
        <f>VLOOKUP($E$3,'Housing Generation'!$A$3:$DQ$90,100,FALSE)</f>
        <v>0</v>
      </c>
      <c r="F132" s="112">
        <f>VLOOKUP($E$3,'Housing Generation'!$A$3:$DQ$90,101,FALSE)</f>
        <v>0</v>
      </c>
      <c r="G132" s="112">
        <f>VLOOKUP($E$3,'Housing Generation'!$A$3:$DQ$90,102,FALSE)</f>
        <v>0</v>
      </c>
      <c r="H132" s="112">
        <f>VLOOKUP($E$3,'Housing Generation'!$A$3:$DQ$90,103,FALSE)</f>
        <v>0</v>
      </c>
      <c r="I132" s="112">
        <f>VLOOKUP($E$3,'Housing Generation'!$A$3:$DQ$90,104,FALSE)</f>
        <v>0</v>
      </c>
      <c r="J132" s="111">
        <f t="shared" si="21"/>
        <v>1</v>
      </c>
    </row>
    <row r="133" spans="2:10" ht="15" customHeight="1">
      <c r="B133" s="114">
        <v>2031</v>
      </c>
      <c r="C133" s="289" t="s">
        <v>97</v>
      </c>
      <c r="D133" s="112">
        <f>VLOOKUP($E$3,'Housing Generation'!$A$3:$DQ$90,107,FALSE)</f>
        <v>1</v>
      </c>
      <c r="E133" s="112">
        <f>VLOOKUP($E$3,'Housing Generation'!$A$3:$DQ$90,108,FALSE)</f>
        <v>0</v>
      </c>
      <c r="F133" s="112">
        <f>VLOOKUP($E$3,'Housing Generation'!$A$3:$DQ$90,109,FALSE)</f>
        <v>0</v>
      </c>
      <c r="G133" s="112">
        <f>VLOOKUP($E$3,'Housing Generation'!$A$3:$DQ$90,110,FALSE)</f>
        <v>0</v>
      </c>
      <c r="H133" s="112">
        <f>VLOOKUP($E$3,'Housing Generation'!$A$3:$DQ$90,111,FALSE)</f>
        <v>0</v>
      </c>
      <c r="I133" s="112">
        <f>VLOOKUP($E$3,'Housing Generation'!$A$3:$DQ$90,112,FALSE)</f>
        <v>0</v>
      </c>
      <c r="J133" s="111">
        <f t="shared" si="21"/>
        <v>1</v>
      </c>
    </row>
    <row r="134" spans="2:10" ht="15" customHeight="1">
      <c r="B134" s="114">
        <v>2032</v>
      </c>
      <c r="C134" s="289" t="s">
        <v>97</v>
      </c>
      <c r="D134" s="112">
        <f>VLOOKUP($E$3,'Housing Generation'!$A$3:$DQ$90,115,FALSE)</f>
        <v>1</v>
      </c>
      <c r="E134" s="112">
        <f>VLOOKUP($E$3,'Housing Generation'!$A$3:$DQ$90,116,FALSE)</f>
        <v>0</v>
      </c>
      <c r="F134" s="112">
        <f>VLOOKUP($E$3,'Housing Generation'!$A$3:$DQ$90,117,FALSE)</f>
        <v>0</v>
      </c>
      <c r="G134" s="112">
        <f>VLOOKUP($E$3,'Housing Generation'!$A$3:$DQ$90,118,FALSE)</f>
        <v>0</v>
      </c>
      <c r="H134" s="112">
        <f>VLOOKUP($E$3,'Housing Generation'!$A$3:$DQ$90,119,FALSE)</f>
        <v>0</v>
      </c>
      <c r="I134" s="112">
        <f>VLOOKUP($E$3,'Housing Generation'!$A$3:$DQ$90,120,FALSE)</f>
        <v>0</v>
      </c>
      <c r="J134" s="111">
        <f t="shared" si="21"/>
        <v>1</v>
      </c>
    </row>
    <row r="135" spans="2:10" ht="15"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Bonaly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60</v>
      </c>
      <c r="D139" s="112">
        <f t="shared" ref="D139:I152" si="23">D121+D103</f>
        <v>77</v>
      </c>
      <c r="E139" s="112">
        <f t="shared" si="23"/>
        <v>67</v>
      </c>
      <c r="F139" s="112">
        <f t="shared" si="23"/>
        <v>67</v>
      </c>
      <c r="G139" s="112">
        <f t="shared" si="23"/>
        <v>61</v>
      </c>
      <c r="H139" s="112">
        <f t="shared" si="23"/>
        <v>57</v>
      </c>
      <c r="I139" s="112">
        <f t="shared" si="23"/>
        <v>50</v>
      </c>
      <c r="J139" s="111">
        <f t="shared" ref="J139:J147" si="24">SUM(C139:I139)</f>
        <v>439</v>
      </c>
    </row>
    <row r="140" spans="2:10" ht="15" customHeight="1">
      <c r="B140" s="114">
        <v>2020</v>
      </c>
      <c r="C140" s="113">
        <f t="shared" si="22"/>
        <v>64.84575424575425</v>
      </c>
      <c r="D140" s="112">
        <f t="shared" si="23"/>
        <v>61</v>
      </c>
      <c r="E140" s="112">
        <f t="shared" si="23"/>
        <v>76</v>
      </c>
      <c r="F140" s="112">
        <f t="shared" si="23"/>
        <v>69</v>
      </c>
      <c r="G140" s="112">
        <f t="shared" si="23"/>
        <v>68</v>
      </c>
      <c r="H140" s="112">
        <f t="shared" si="23"/>
        <v>56</v>
      </c>
      <c r="I140" s="112">
        <f t="shared" si="23"/>
        <v>47</v>
      </c>
      <c r="J140" s="111">
        <f t="shared" si="24"/>
        <v>441.84575424575428</v>
      </c>
    </row>
    <row r="141" spans="2:10" ht="15" customHeight="1">
      <c r="B141" s="114">
        <v>2021</v>
      </c>
      <c r="C141" s="113">
        <f t="shared" si="22"/>
        <v>72</v>
      </c>
      <c r="D141" s="112">
        <f t="shared" si="23"/>
        <v>66</v>
      </c>
      <c r="E141" s="112">
        <f t="shared" si="23"/>
        <v>60</v>
      </c>
      <c r="F141" s="112">
        <f t="shared" si="23"/>
        <v>79</v>
      </c>
      <c r="G141" s="112">
        <f t="shared" si="23"/>
        <v>70</v>
      </c>
      <c r="H141" s="112">
        <f t="shared" si="23"/>
        <v>63</v>
      </c>
      <c r="I141" s="112">
        <f t="shared" si="23"/>
        <v>46</v>
      </c>
      <c r="J141" s="111">
        <f t="shared" si="24"/>
        <v>456</v>
      </c>
    </row>
    <row r="142" spans="2:10" ht="15" customHeight="1">
      <c r="B142" s="114">
        <v>2022</v>
      </c>
      <c r="C142" s="113">
        <f t="shared" si="22"/>
        <v>53.24967532467533</v>
      </c>
      <c r="D142" s="112">
        <f t="shared" si="23"/>
        <v>73</v>
      </c>
      <c r="E142" s="112">
        <f t="shared" si="23"/>
        <v>65</v>
      </c>
      <c r="F142" s="112">
        <f t="shared" si="23"/>
        <v>62</v>
      </c>
      <c r="G142" s="112">
        <f t="shared" si="23"/>
        <v>80</v>
      </c>
      <c r="H142" s="112">
        <f t="shared" si="23"/>
        <v>64</v>
      </c>
      <c r="I142" s="112">
        <f t="shared" si="23"/>
        <v>51</v>
      </c>
      <c r="J142" s="111">
        <f t="shared" si="24"/>
        <v>448.24967532467531</v>
      </c>
    </row>
    <row r="143" spans="2:10" ht="15" customHeight="1">
      <c r="B143" s="114">
        <v>2023</v>
      </c>
      <c r="C143" s="113">
        <f t="shared" si="22"/>
        <v>64.84575424575425</v>
      </c>
      <c r="D143" s="112">
        <f t="shared" si="23"/>
        <v>54</v>
      </c>
      <c r="E143" s="112">
        <f t="shared" si="23"/>
        <v>72</v>
      </c>
      <c r="F143" s="112">
        <f t="shared" si="23"/>
        <v>67</v>
      </c>
      <c r="G143" s="112">
        <f t="shared" si="23"/>
        <v>63</v>
      </c>
      <c r="H143" s="112">
        <f t="shared" si="23"/>
        <v>74</v>
      </c>
      <c r="I143" s="112">
        <f t="shared" si="23"/>
        <v>52</v>
      </c>
      <c r="J143" s="111">
        <f t="shared" si="24"/>
        <v>446.84575424575428</v>
      </c>
    </row>
    <row r="144" spans="2:10" ht="15" customHeight="1">
      <c r="B144" s="114">
        <v>2024</v>
      </c>
      <c r="C144" s="113">
        <f t="shared" si="22"/>
        <v>65.812094155844164</v>
      </c>
      <c r="D144" s="112">
        <f t="shared" si="23"/>
        <v>66</v>
      </c>
      <c r="E144" s="112">
        <f t="shared" si="23"/>
        <v>53</v>
      </c>
      <c r="F144" s="112">
        <f t="shared" si="23"/>
        <v>74</v>
      </c>
      <c r="G144" s="112">
        <f t="shared" si="23"/>
        <v>68</v>
      </c>
      <c r="H144" s="112">
        <f t="shared" si="23"/>
        <v>58</v>
      </c>
      <c r="I144" s="112">
        <f t="shared" si="23"/>
        <v>60</v>
      </c>
      <c r="J144" s="111">
        <f t="shared" si="24"/>
        <v>444.81209415584419</v>
      </c>
    </row>
    <row r="145" spans="2:16" ht="15" customHeight="1">
      <c r="B145" s="114">
        <v>2025</v>
      </c>
      <c r="C145" s="113">
        <f t="shared" si="22"/>
        <v>65.812094155844164</v>
      </c>
      <c r="D145" s="112">
        <f t="shared" si="23"/>
        <v>67</v>
      </c>
      <c r="E145" s="112">
        <f t="shared" si="23"/>
        <v>65</v>
      </c>
      <c r="F145" s="112">
        <f t="shared" si="23"/>
        <v>55</v>
      </c>
      <c r="G145" s="112">
        <f t="shared" si="23"/>
        <v>75</v>
      </c>
      <c r="H145" s="112">
        <f t="shared" si="23"/>
        <v>63</v>
      </c>
      <c r="I145" s="112">
        <f t="shared" si="23"/>
        <v>47</v>
      </c>
      <c r="J145" s="111">
        <f t="shared" si="24"/>
        <v>437.81209415584419</v>
      </c>
    </row>
    <row r="146" spans="2:16" ht="15" customHeight="1">
      <c r="B146" s="114">
        <v>2026</v>
      </c>
      <c r="C146" s="113">
        <f t="shared" si="22"/>
        <v>66</v>
      </c>
      <c r="D146" s="112">
        <f t="shared" si="23"/>
        <v>67</v>
      </c>
      <c r="E146" s="112">
        <f t="shared" si="23"/>
        <v>66</v>
      </c>
      <c r="F146" s="112">
        <f t="shared" si="23"/>
        <v>67</v>
      </c>
      <c r="G146" s="112">
        <f t="shared" si="23"/>
        <v>56</v>
      </c>
      <c r="H146" s="112">
        <f t="shared" si="23"/>
        <v>69</v>
      </c>
      <c r="I146" s="112">
        <f t="shared" si="23"/>
        <v>51</v>
      </c>
      <c r="J146" s="111">
        <f t="shared" si="24"/>
        <v>442</v>
      </c>
    </row>
    <row r="147" spans="2:16" ht="15" customHeight="1">
      <c r="B147" s="114">
        <v>2027</v>
      </c>
      <c r="C147" s="113">
        <f t="shared" si="22"/>
        <v>66</v>
      </c>
      <c r="D147" s="112">
        <f t="shared" si="23"/>
        <v>67</v>
      </c>
      <c r="E147" s="112">
        <f t="shared" si="23"/>
        <v>66</v>
      </c>
      <c r="F147" s="112">
        <f t="shared" si="23"/>
        <v>68</v>
      </c>
      <c r="G147" s="112">
        <f t="shared" si="23"/>
        <v>68</v>
      </c>
      <c r="H147" s="112">
        <f t="shared" si="23"/>
        <v>52</v>
      </c>
      <c r="I147" s="112">
        <f t="shared" si="23"/>
        <v>56</v>
      </c>
      <c r="J147" s="111">
        <f t="shared" si="24"/>
        <v>443</v>
      </c>
    </row>
    <row r="148" spans="2:16" ht="15" customHeight="1">
      <c r="B148" s="114">
        <v>2028</v>
      </c>
      <c r="C148" s="113">
        <f t="shared" si="22"/>
        <v>66</v>
      </c>
      <c r="D148" s="112">
        <f t="shared" si="23"/>
        <v>67</v>
      </c>
      <c r="E148" s="112">
        <f t="shared" si="23"/>
        <v>66</v>
      </c>
      <c r="F148" s="112">
        <f t="shared" si="23"/>
        <v>68</v>
      </c>
      <c r="G148" s="112">
        <f t="shared" si="23"/>
        <v>69</v>
      </c>
      <c r="H148" s="112">
        <f t="shared" si="23"/>
        <v>63</v>
      </c>
      <c r="I148" s="112">
        <f t="shared" si="23"/>
        <v>42</v>
      </c>
      <c r="J148" s="111">
        <f t="shared" ref="J148:J152" si="25">SUM(C148:I148)</f>
        <v>441</v>
      </c>
    </row>
    <row r="149" spans="2:16" ht="15" customHeight="1">
      <c r="B149" s="114">
        <v>2029</v>
      </c>
      <c r="C149" s="113">
        <f t="shared" si="22"/>
        <v>66</v>
      </c>
      <c r="D149" s="112">
        <f t="shared" si="23"/>
        <v>67</v>
      </c>
      <c r="E149" s="112">
        <f t="shared" si="23"/>
        <v>66</v>
      </c>
      <c r="F149" s="112">
        <f t="shared" si="23"/>
        <v>68</v>
      </c>
      <c r="G149" s="112">
        <f t="shared" si="23"/>
        <v>69</v>
      </c>
      <c r="H149" s="112">
        <f t="shared" si="23"/>
        <v>64</v>
      </c>
      <c r="I149" s="112">
        <f t="shared" si="23"/>
        <v>51</v>
      </c>
      <c r="J149" s="111">
        <f t="shared" si="25"/>
        <v>451</v>
      </c>
    </row>
    <row r="150" spans="2:16" ht="15" customHeight="1">
      <c r="B150" s="114">
        <v>2030</v>
      </c>
      <c r="C150" s="113">
        <f t="shared" si="22"/>
        <v>66</v>
      </c>
      <c r="D150" s="112">
        <f t="shared" si="23"/>
        <v>67</v>
      </c>
      <c r="E150" s="112">
        <f t="shared" si="23"/>
        <v>66</v>
      </c>
      <c r="F150" s="112">
        <f t="shared" si="23"/>
        <v>68</v>
      </c>
      <c r="G150" s="112">
        <f t="shared" si="23"/>
        <v>69</v>
      </c>
      <c r="H150" s="112">
        <f t="shared" si="23"/>
        <v>64</v>
      </c>
      <c r="I150" s="112">
        <f t="shared" si="23"/>
        <v>52</v>
      </c>
      <c r="J150" s="111">
        <f t="shared" si="25"/>
        <v>452</v>
      </c>
    </row>
    <row r="151" spans="2:16" ht="15" customHeight="1">
      <c r="B151" s="114">
        <v>2031</v>
      </c>
      <c r="C151" s="113">
        <f t="shared" si="22"/>
        <v>66</v>
      </c>
      <c r="D151" s="112">
        <f t="shared" si="23"/>
        <v>67</v>
      </c>
      <c r="E151" s="112">
        <f t="shared" si="23"/>
        <v>66</v>
      </c>
      <c r="F151" s="112">
        <f t="shared" si="23"/>
        <v>68</v>
      </c>
      <c r="G151" s="112">
        <f t="shared" si="23"/>
        <v>69</v>
      </c>
      <c r="H151" s="112">
        <f t="shared" si="23"/>
        <v>64</v>
      </c>
      <c r="I151" s="112">
        <f t="shared" si="23"/>
        <v>52</v>
      </c>
      <c r="J151" s="111">
        <f t="shared" si="25"/>
        <v>452</v>
      </c>
    </row>
    <row r="152" spans="2:16" ht="15" customHeight="1">
      <c r="B152" s="114">
        <v>2032</v>
      </c>
      <c r="C152" s="113">
        <f t="shared" si="22"/>
        <v>66</v>
      </c>
      <c r="D152" s="112">
        <f t="shared" si="23"/>
        <v>67</v>
      </c>
      <c r="E152" s="112">
        <f t="shared" si="23"/>
        <v>66</v>
      </c>
      <c r="F152" s="112">
        <f t="shared" si="23"/>
        <v>68</v>
      </c>
      <c r="G152" s="112">
        <f t="shared" si="23"/>
        <v>69</v>
      </c>
      <c r="H152" s="112">
        <f t="shared" si="23"/>
        <v>64</v>
      </c>
      <c r="I152" s="112">
        <f t="shared" si="23"/>
        <v>52</v>
      </c>
      <c r="J152" s="111">
        <f t="shared" si="25"/>
        <v>452</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439</v>
      </c>
      <c r="D159" s="108">
        <f>J140</f>
        <v>441.84575424575428</v>
      </c>
      <c r="E159" s="108">
        <f>J141</f>
        <v>456</v>
      </c>
      <c r="F159" s="108">
        <f>J142</f>
        <v>448.24967532467531</v>
      </c>
      <c r="G159" s="108">
        <f>J143</f>
        <v>446.84575424575428</v>
      </c>
      <c r="H159" s="108">
        <f>J144</f>
        <v>444.81209415584419</v>
      </c>
      <c r="I159" s="108">
        <f>J145</f>
        <v>437.81209415584419</v>
      </c>
      <c r="J159" s="108">
        <f>J146</f>
        <v>442</v>
      </c>
      <c r="K159" s="108">
        <f>J147</f>
        <v>443</v>
      </c>
      <c r="L159" s="108">
        <f>J148</f>
        <v>441</v>
      </c>
      <c r="M159" s="108">
        <f>J149</f>
        <v>451</v>
      </c>
      <c r="N159" s="108">
        <f>J150</f>
        <v>452</v>
      </c>
      <c r="O159" s="108">
        <f>J151</f>
        <v>452</v>
      </c>
      <c r="P159" s="108">
        <f>J152</f>
        <v>452</v>
      </c>
    </row>
    <row r="160" spans="2:16" ht="15" customHeight="1">
      <c r="B160" s="107" t="s">
        <v>152</v>
      </c>
      <c r="C160" s="106">
        <f>VLOOKUP(C159,Capacity!$A$1:$C$645,2,TRUE)</f>
        <v>16</v>
      </c>
      <c r="D160" s="106">
        <f>VLOOKUP(D159,Capacity!$A$1:$C$645,2,TRUE)</f>
        <v>16</v>
      </c>
      <c r="E160" s="106">
        <f>VLOOKUP(E159,Capacity!$A$1:$C$645,2,TRUE)</f>
        <v>16</v>
      </c>
      <c r="F160" s="106">
        <f>VLOOKUP(F159,Capacity!$A$1:$C$645,2,TRUE)</f>
        <v>16</v>
      </c>
      <c r="G160" s="106">
        <f>VLOOKUP(G159,Capacity!$A$1:$C$645,2,TRUE)</f>
        <v>16</v>
      </c>
      <c r="H160" s="106">
        <f>VLOOKUP(H159,Capacity!$A$1:$C$645,2,TRUE)</f>
        <v>16</v>
      </c>
      <c r="I160" s="106">
        <f>VLOOKUP(I159,Capacity!$A$1:$C$645,2,TRUE)</f>
        <v>16</v>
      </c>
      <c r="J160" s="106">
        <f>VLOOKUP(J159,Capacity!$A$1:$C$645,2,TRUE)</f>
        <v>16</v>
      </c>
      <c r="K160" s="106">
        <f>VLOOKUP(K159,Capacity!$A$1:$C$645,2,TRUE)</f>
        <v>16</v>
      </c>
      <c r="L160" s="106">
        <f>VLOOKUP(L159,Capacity!$A$1:$C$645,2,TRUE)</f>
        <v>16</v>
      </c>
      <c r="M160" s="106">
        <f>VLOOKUP(M159,Capacity!$A$1:$C$645,2,TRUE)</f>
        <v>16</v>
      </c>
      <c r="N160" s="106">
        <f>VLOOKUP(N159,Capacity!$A$1:$C$645,2,TRUE)</f>
        <v>16</v>
      </c>
      <c r="O160" s="106">
        <f>VLOOKUP(O159,Capacity!$A$1:$C$645,2,TRUE)</f>
        <v>16</v>
      </c>
      <c r="P160" s="106">
        <f>VLOOKUP(P159,Capacity!$A$1:$C$645,2,TRUE)</f>
        <v>16</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53</v>
      </c>
      <c r="D169" s="97">
        <f>VLOOKUP($E$3,'Catchment Births'!$A$1:$U$90,11,FALSE)</f>
        <v>44</v>
      </c>
      <c r="E169" s="97">
        <f>VLOOKUP($E$3,'Catchment Births'!$A$1:$U$90,12,FALSE)</f>
        <v>57</v>
      </c>
      <c r="F169" s="97">
        <f>VLOOKUP($E$3,'Catchment Births'!$A$1:$U$90,13,FALSE)</f>
        <v>46</v>
      </c>
      <c r="G169" s="97">
        <f>VLOOKUP($E$3,'Catchment Births'!$A$1:$U$90,14,FALSE)</f>
        <v>44</v>
      </c>
      <c r="H169" s="97">
        <f>VLOOKUP($E$3,'Catchment Births'!$A$1:$U$90,15,FALSE)</f>
        <v>44</v>
      </c>
      <c r="I169" s="97">
        <f>VLOOKUP($E$3,'Catchment Births'!$A$1:$U$90,16,FALSE)</f>
        <v>40</v>
      </c>
      <c r="J169" s="97">
        <f>VLOOKUP($E$3,'Catchment Births'!$A$1:$U$90,17,FALSE)</f>
        <v>50</v>
      </c>
      <c r="K169" s="97">
        <f>VLOOKUP($E$3,'Catchment Births'!$A$1:$U$90,18,FALSE)</f>
        <v>45</v>
      </c>
      <c r="L169" s="97">
        <f>VLOOKUP($E$3,'Catchment Births'!$A$1:$U$90,19,FALSE)</f>
        <v>50</v>
      </c>
      <c r="M169" s="97">
        <f>VLOOKUP($E$3,'Catchment Births'!$A$1:$U$90,20,FALSE)</f>
        <v>43</v>
      </c>
      <c r="N169" s="97">
        <f>VLOOKUP($E$3,'Catchment Births'!$A$1:$U$90,21,FALSE)</f>
        <v>46</v>
      </c>
    </row>
    <row r="170" spans="2:14" ht="58.5" customHeight="1">
      <c r="B170" s="103" t="str">
        <f>"P1 "&amp;A35&amp;" Catchment Population (Actual)"</f>
        <v>P1 ND Catchment Population (Actual)</v>
      </c>
      <c r="C170" s="102" t="e">
        <v>#REF!</v>
      </c>
      <c r="D170" s="102">
        <v>64</v>
      </c>
      <c r="E170" s="102">
        <v>60</v>
      </c>
      <c r="F170" s="102">
        <v>53</v>
      </c>
      <c r="G170" s="102">
        <v>52</v>
      </c>
      <c r="H170" s="102">
        <v>54</v>
      </c>
      <c r="I170" s="102">
        <v>56</v>
      </c>
      <c r="J170" s="308">
        <f>VLOOKUP(E3,'Catchment Projections'!A1:BU92,42,FALSE)</f>
        <v>64</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56</v>
      </c>
      <c r="J172" s="96" t="e">
        <f>#REF!</f>
        <v>#REF!</v>
      </c>
      <c r="K172" s="96">
        <f>D51</f>
        <v>60</v>
      </c>
      <c r="L172" s="96">
        <f>E51</f>
        <v>64</v>
      </c>
      <c r="M172" s="96">
        <f>F51</f>
        <v>73</v>
      </c>
      <c r="N172" s="96">
        <f>G51</f>
        <v>52</v>
      </c>
    </row>
    <row r="173" spans="2:14" ht="12.75">
      <c r="B173" s="62"/>
      <c r="C173" s="62"/>
      <c r="D173" s="62"/>
      <c r="E173" s="62"/>
      <c r="F173" s="62"/>
      <c r="G173" s="62"/>
      <c r="H173" s="62"/>
      <c r="I173" s="62"/>
      <c r="J173" s="62"/>
      <c r="K173" s="62"/>
    </row>
    <row r="174" spans="2:14" ht="15" customHeight="1">
      <c r="B174" s="64" t="str">
        <f>"Table 5: "&amp;E3&amp;" Roll by Stage, 2002-2018"</f>
        <v>Table 5: Bonaly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60</v>
      </c>
      <c r="D177" s="93">
        <v>66</v>
      </c>
      <c r="E177" s="93">
        <v>54</v>
      </c>
      <c r="F177" s="93">
        <v>77</v>
      </c>
      <c r="G177" s="93">
        <v>56</v>
      </c>
      <c r="H177" s="93">
        <v>52</v>
      </c>
      <c r="I177" s="93">
        <v>38</v>
      </c>
      <c r="J177" s="92">
        <v>403</v>
      </c>
      <c r="K177" s="62"/>
    </row>
    <row r="178" spans="2:11" ht="15" customHeight="1">
      <c r="B178" s="94">
        <v>2003</v>
      </c>
      <c r="C178" s="93">
        <v>60</v>
      </c>
      <c r="D178" s="93">
        <v>60</v>
      </c>
      <c r="E178" s="93">
        <v>70</v>
      </c>
      <c r="F178" s="93">
        <v>59</v>
      </c>
      <c r="G178" s="93">
        <v>72</v>
      </c>
      <c r="H178" s="93">
        <v>53</v>
      </c>
      <c r="I178" s="93">
        <v>47</v>
      </c>
      <c r="J178" s="92">
        <v>421</v>
      </c>
      <c r="K178" s="62"/>
    </row>
    <row r="179" spans="2:11" customFormat="1" ht="15" customHeight="1">
      <c r="B179" s="94">
        <v>2004</v>
      </c>
      <c r="C179" s="95">
        <v>60</v>
      </c>
      <c r="D179" s="95">
        <v>60</v>
      </c>
      <c r="E179" s="95">
        <v>58</v>
      </c>
      <c r="F179" s="95">
        <v>66</v>
      </c>
      <c r="G179" s="95">
        <v>59</v>
      </c>
      <c r="H179" s="95">
        <v>71</v>
      </c>
      <c r="I179" s="95">
        <v>45</v>
      </c>
      <c r="J179" s="92">
        <v>419</v>
      </c>
      <c r="K179" s="62"/>
    </row>
    <row r="180" spans="2:11" customFormat="1" ht="15" customHeight="1">
      <c r="B180" s="94">
        <v>2005</v>
      </c>
      <c r="C180" s="93">
        <v>60</v>
      </c>
      <c r="D180" s="93">
        <v>60</v>
      </c>
      <c r="E180" s="93">
        <v>60</v>
      </c>
      <c r="F180" s="93">
        <v>55</v>
      </c>
      <c r="G180" s="93">
        <v>64</v>
      </c>
      <c r="H180" s="93">
        <v>54</v>
      </c>
      <c r="I180" s="93">
        <v>56</v>
      </c>
      <c r="J180" s="92">
        <v>409</v>
      </c>
      <c r="K180" s="62"/>
    </row>
    <row r="181" spans="2:11" customFormat="1" ht="15" customHeight="1">
      <c r="B181" s="94">
        <v>2006</v>
      </c>
      <c r="C181" s="93">
        <v>61</v>
      </c>
      <c r="D181" s="93">
        <v>58</v>
      </c>
      <c r="E181" s="93">
        <v>59</v>
      </c>
      <c r="F181" s="93">
        <v>59</v>
      </c>
      <c r="G181" s="93">
        <v>55</v>
      </c>
      <c r="H181" s="93">
        <v>61</v>
      </c>
      <c r="I181" s="93">
        <v>50</v>
      </c>
      <c r="J181" s="92">
        <v>403</v>
      </c>
      <c r="K181" s="62"/>
    </row>
    <row r="182" spans="2:11" customFormat="1" ht="15" customHeight="1">
      <c r="B182" s="94">
        <v>2007</v>
      </c>
      <c r="C182" s="93">
        <v>60</v>
      </c>
      <c r="D182" s="93">
        <v>61</v>
      </c>
      <c r="E182" s="93">
        <v>57</v>
      </c>
      <c r="F182" s="93">
        <v>60</v>
      </c>
      <c r="G182" s="93">
        <v>57</v>
      </c>
      <c r="H182" s="93">
        <v>57</v>
      </c>
      <c r="I182" s="93">
        <v>53</v>
      </c>
      <c r="J182" s="92">
        <v>405</v>
      </c>
      <c r="K182" s="62"/>
    </row>
    <row r="183" spans="2:11" customFormat="1" ht="15" customHeight="1">
      <c r="B183" s="94">
        <v>2008</v>
      </c>
      <c r="C183" s="93">
        <v>50</v>
      </c>
      <c r="D183" s="93">
        <v>60</v>
      </c>
      <c r="E183" s="93">
        <v>61</v>
      </c>
      <c r="F183" s="93">
        <v>55</v>
      </c>
      <c r="G183" s="93">
        <v>61</v>
      </c>
      <c r="H183" s="93">
        <v>54</v>
      </c>
      <c r="I183" s="93">
        <v>48</v>
      </c>
      <c r="J183" s="92">
        <v>389</v>
      </c>
      <c r="K183" s="62"/>
    </row>
    <row r="184" spans="2:11" customFormat="1" ht="15" customHeight="1">
      <c r="B184" s="94">
        <v>2009</v>
      </c>
      <c r="C184" s="93">
        <v>49</v>
      </c>
      <c r="D184" s="93">
        <v>52</v>
      </c>
      <c r="E184" s="93">
        <v>60</v>
      </c>
      <c r="F184" s="93">
        <v>64</v>
      </c>
      <c r="G184" s="93">
        <v>49</v>
      </c>
      <c r="H184" s="93">
        <v>53</v>
      </c>
      <c r="I184" s="93">
        <v>47</v>
      </c>
      <c r="J184" s="94">
        <v>374</v>
      </c>
      <c r="K184" s="62"/>
    </row>
    <row r="185" spans="2:11" customFormat="1" ht="15" customHeight="1">
      <c r="B185" s="94">
        <v>2010</v>
      </c>
      <c r="C185" s="93">
        <v>65</v>
      </c>
      <c r="D185" s="93">
        <v>50</v>
      </c>
      <c r="E185" s="93">
        <v>54</v>
      </c>
      <c r="F185" s="93">
        <v>62</v>
      </c>
      <c r="G185" s="93">
        <v>63</v>
      </c>
      <c r="H185" s="93">
        <v>44</v>
      </c>
      <c r="I185" s="93">
        <v>42</v>
      </c>
      <c r="J185" s="92">
        <v>380</v>
      </c>
      <c r="K185" s="62"/>
    </row>
    <row r="186" spans="2:11" customFormat="1" ht="15" customHeight="1">
      <c r="B186" s="94">
        <v>2011</v>
      </c>
      <c r="C186" s="93">
        <v>61</v>
      </c>
      <c r="D186" s="93">
        <v>65</v>
      </c>
      <c r="E186" s="93">
        <v>48</v>
      </c>
      <c r="F186" s="93">
        <v>55</v>
      </c>
      <c r="G186" s="93">
        <v>61</v>
      </c>
      <c r="H186" s="93">
        <v>59</v>
      </c>
      <c r="I186" s="93">
        <v>41</v>
      </c>
      <c r="J186" s="92">
        <v>390</v>
      </c>
      <c r="K186" s="62"/>
    </row>
    <row r="187" spans="2:11" customFormat="1" ht="15" customHeight="1">
      <c r="B187" s="94">
        <v>2012</v>
      </c>
      <c r="C187" s="93">
        <v>58</v>
      </c>
      <c r="D187" s="93">
        <v>61</v>
      </c>
      <c r="E187" s="93">
        <v>63</v>
      </c>
      <c r="F187" s="93">
        <v>49</v>
      </c>
      <c r="G187" s="93">
        <v>57</v>
      </c>
      <c r="H187" s="93">
        <v>52</v>
      </c>
      <c r="I187" s="93">
        <v>53</v>
      </c>
      <c r="J187" s="92">
        <v>393</v>
      </c>
      <c r="K187" s="62"/>
    </row>
    <row r="188" spans="2:11" customFormat="1" ht="15" customHeight="1">
      <c r="B188" s="94">
        <v>2013</v>
      </c>
      <c r="C188" s="93">
        <v>59</v>
      </c>
      <c r="D188" s="93">
        <v>60</v>
      </c>
      <c r="E188" s="93">
        <v>60</v>
      </c>
      <c r="F188" s="93">
        <v>63</v>
      </c>
      <c r="G188" s="93">
        <v>48</v>
      </c>
      <c r="H188" s="93">
        <v>57</v>
      </c>
      <c r="I188" s="93">
        <v>48</v>
      </c>
      <c r="J188" s="94">
        <v>395</v>
      </c>
      <c r="K188" s="62"/>
    </row>
    <row r="189" spans="2:11" customFormat="1" ht="15" customHeight="1">
      <c r="B189" s="94">
        <v>2014</v>
      </c>
      <c r="C189" s="93">
        <v>60</v>
      </c>
      <c r="D189" s="93">
        <v>60</v>
      </c>
      <c r="E189" s="93">
        <v>60</v>
      </c>
      <c r="F189" s="93">
        <v>62</v>
      </c>
      <c r="G189" s="93">
        <v>64</v>
      </c>
      <c r="H189" s="93">
        <v>43</v>
      </c>
      <c r="I189" s="93">
        <v>49</v>
      </c>
      <c r="J189" s="92">
        <v>398</v>
      </c>
      <c r="K189" s="65"/>
    </row>
    <row r="190" spans="2:11" customFormat="1" ht="15" customHeight="1">
      <c r="B190" s="94">
        <v>2015</v>
      </c>
      <c r="C190" s="93">
        <v>57</v>
      </c>
      <c r="D190" s="93">
        <v>60</v>
      </c>
      <c r="E190" s="93">
        <v>60</v>
      </c>
      <c r="F190" s="93">
        <v>62</v>
      </c>
      <c r="G190" s="93">
        <v>63</v>
      </c>
      <c r="H190" s="93">
        <v>60</v>
      </c>
      <c r="I190" s="93">
        <v>35</v>
      </c>
      <c r="J190" s="92">
        <v>397</v>
      </c>
      <c r="K190" s="65"/>
    </row>
    <row r="191" spans="2:11" customFormat="1" ht="15" customHeight="1">
      <c r="B191" s="94">
        <v>2016</v>
      </c>
      <c r="C191" s="93">
        <v>70</v>
      </c>
      <c r="D191" s="93">
        <v>60</v>
      </c>
      <c r="E191" s="93">
        <v>60</v>
      </c>
      <c r="F191" s="93">
        <v>63</v>
      </c>
      <c r="G191" s="93">
        <v>64</v>
      </c>
      <c r="H191" s="93">
        <v>58</v>
      </c>
      <c r="I191" s="93">
        <v>49</v>
      </c>
      <c r="J191" s="92">
        <v>424</v>
      </c>
      <c r="K191" s="65"/>
    </row>
    <row r="192" spans="2:11" ht="15" customHeight="1">
      <c r="B192" s="94">
        <v>2017</v>
      </c>
      <c r="C192" s="93">
        <f>VLOOKUP($E$3,Rolls!A1:FA90,42,FALSE)</f>
        <v>66</v>
      </c>
      <c r="D192" s="93">
        <f>VLOOKUP($E$3,Rolls!A1:FA90,43,FALSE)</f>
        <v>68</v>
      </c>
      <c r="E192" s="93">
        <f>VLOOKUP($E$3,Rolls!A1:FA90,44,FALSE)</f>
        <v>60</v>
      </c>
      <c r="F192" s="93">
        <f>VLOOKUP($E$3,Rolls!A1:FA90,45,FALSE)</f>
        <v>63</v>
      </c>
      <c r="G192" s="93">
        <f>VLOOKUP($E$3,Rolls!A1:FA90,46,FALSE)</f>
        <v>64</v>
      </c>
      <c r="H192" s="93">
        <f>VLOOKUP($E$3,Rolls!A1:FA90,47,FALSE)</f>
        <v>55</v>
      </c>
      <c r="I192" s="93">
        <f>VLOOKUP($E$3,Rolls!A1:FA90,48,FALSE)</f>
        <v>47</v>
      </c>
      <c r="J192" s="92">
        <f>VLOOKUP($E$3,Rolls!A1:FA90,49,FALSE)</f>
        <v>423</v>
      </c>
      <c r="K192" s="65"/>
    </row>
    <row r="193" spans="2:11" ht="15" customHeight="1">
      <c r="B193" s="94">
        <v>2018</v>
      </c>
      <c r="C193" s="93">
        <f>VLOOKUP($E$3,Rolls!A1:FA90,50,FALSE)</f>
        <v>75</v>
      </c>
      <c r="D193" s="93">
        <f>VLOOKUP($E$3,Rolls!A1:FA90,51,FALSE)</f>
        <v>67</v>
      </c>
      <c r="E193" s="93">
        <f>VLOOKUP($E$3,Rolls!A1:FA90,52,FALSE)</f>
        <v>65</v>
      </c>
      <c r="F193" s="93">
        <f>VLOOKUP($E$3,Rolls!A1:FA90,53,FALSE)</f>
        <v>60</v>
      </c>
      <c r="G193" s="93">
        <f>VLOOKUP($E$3,Rolls!A1:FA90,54,FALSE)</f>
        <v>62</v>
      </c>
      <c r="H193" s="93">
        <f>VLOOKUP($E$3,Rolls!A1:FA90,55,FALSE)</f>
        <v>61</v>
      </c>
      <c r="I193" s="93">
        <f>VLOOKUP($E$3,Rolls!A1:FA90,56,FALSE)</f>
        <v>51</v>
      </c>
      <c r="J193" s="92">
        <f>VLOOKUP($E$3,Rolls!A1:FA90,57,FALSE)</f>
        <v>441</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0866141732283472" right="0.70866141732283472" top="0.74803149606299213" bottom="0.74803149606299213" header="0.31496062992125984" footer="0.31496062992125984"/>
  <pageSetup paperSize="9" scale="61" fitToHeight="2"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13</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Broomhouse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259 Pupils (10 classes)</v>
      </c>
      <c r="G12" s="16"/>
      <c r="H12" s="16"/>
    </row>
    <row r="13" spans="2:10" ht="15" customHeight="1">
      <c r="C13" s="16"/>
      <c r="D13" s="16"/>
      <c r="E13" s="16"/>
      <c r="F13" s="16"/>
      <c r="G13" s="16"/>
      <c r="H13" s="16"/>
    </row>
    <row r="14" spans="2:10" ht="15" customHeight="1">
      <c r="B14" s="15" t="str">
        <f>"Figure 1: "&amp;E3&amp;" Roll, 2002-2015"</f>
        <v>Figure 1: Broomhouse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Broomhouse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27</v>
      </c>
      <c r="E49" s="108">
        <f>VLOOKUP($E$3,'Catchment Projections'!$A$1:$BU$90,46,FALSE)</f>
        <v>23</v>
      </c>
      <c r="F49" s="108">
        <f>VLOOKUP($E$3,'Catchment Projections'!$A$1:$BU$90,47,FALSE)</f>
        <v>35</v>
      </c>
      <c r="G49" s="108">
        <f>VLOOKUP($E$3,'Catchment Projections'!$A$1:$BU$90,48,FALSE)</f>
        <v>28</v>
      </c>
      <c r="H49" s="133">
        <f>VLOOKUP($E$3,'Catchment Projections'!$A$1:$BU$90,49,FALSE)</f>
        <v>29</v>
      </c>
      <c r="I49" s="133">
        <f>VLOOKUP($E$3,'Catchment Projections'!$A$1:$BU$90,50,FALSE)</f>
        <v>30</v>
      </c>
      <c r="J49" s="133">
        <f>VLOOKUP($E$3,'Catchment Projections'!$A$1:$BU$90,51,FALSE)</f>
        <v>30</v>
      </c>
      <c r="K49" s="133">
        <f>VLOOKUP($E$3,'Catchment Projections'!$A$1:$BU$90,52,FALSE)</f>
        <v>30</v>
      </c>
      <c r="L49" s="133">
        <f>VLOOKUP($E$3,'Catchment Projections'!$A$1:$BU$90,53,FALSE)</f>
        <v>30</v>
      </c>
      <c r="M49" s="133">
        <f>VLOOKUP($E$3,'Catchment Projections'!$A$1:$BU$90,54,FALSE)</f>
        <v>30</v>
      </c>
      <c r="N49" s="133">
        <f>VLOOKUP($E$3,'Catchment Projections'!$A$1:$BU$90,55,FALSE)</f>
        <v>30</v>
      </c>
      <c r="O49" s="133">
        <f>VLOOKUP($E$3,'Catchment Projections'!$A$1:$BU$90,56,FALSE)</f>
        <v>30</v>
      </c>
      <c r="P49" s="133">
        <f>VLOOKUP($E$3,'Catchment Projections'!$A$1:$BU$90,57,FALSE)</f>
        <v>30</v>
      </c>
      <c r="Q49" s="133">
        <f>VLOOKUP($E$3,'Catchment Projections'!$A$1:$BU$90,58,FALSE)</f>
        <v>30</v>
      </c>
    </row>
    <row r="50" spans="2:17" ht="15" customHeight="1" thickBot="1">
      <c r="B50" s="410" t="s">
        <v>141</v>
      </c>
      <c r="C50" s="411"/>
      <c r="D50" s="286">
        <f>VLOOKUP(E3,'Housing Generation'!$A$3:$DQ$90,10,FALSE)</f>
        <v>3</v>
      </c>
      <c r="E50" s="286">
        <f>VLOOKUP(E3,'Housing Generation'!$A$3:$DQ$90,18,FALSE)</f>
        <v>6</v>
      </c>
      <c r="F50" s="286">
        <f>VLOOKUP(E3,'Housing Generation'!$A$3:$DQ$90,26,FALSE)</f>
        <v>6</v>
      </c>
      <c r="G50" s="243">
        <f>VLOOKUP(E3,'Housing Generation'!$A$3:$DQ$90,34,FALSE)</f>
        <v>6</v>
      </c>
      <c r="H50" s="133">
        <f>VLOOKUP(E3,'Housing Generation'!$A$3:$DQ$90,42,FALSE)</f>
        <v>6</v>
      </c>
      <c r="I50" s="133">
        <f>VLOOKUP(E3,'Housing Generation'!$A$3:$DQ$90,50,FALSE)</f>
        <v>6</v>
      </c>
      <c r="J50" s="133">
        <f>VLOOKUP(E3,'Housing Generation'!$A$3:$CK$90,58,FALSE)</f>
        <v>6</v>
      </c>
      <c r="K50" s="133">
        <f>VLOOKUP(E3,'Housing Generation'!$A$3:$CK$90,66,FALSE)</f>
        <v>6</v>
      </c>
      <c r="L50" s="133">
        <f>VLOOKUP(E3,'Housing Generation'!$A$3:$DQ$90,74,FALSE)</f>
        <v>6</v>
      </c>
      <c r="M50" s="133">
        <f>VLOOKUP(E3,'Housing Generation'!$A$3:$DQ$90,82,FALSE)</f>
        <v>6</v>
      </c>
      <c r="N50" s="133">
        <f>VLOOKUP(E3,'Housing Generation'!$A$3:$DQ$90,90,FALSE)</f>
        <v>6</v>
      </c>
      <c r="O50" s="133">
        <f>VLOOKUP(E3,'Housing Generation'!$A$3:$DQ$90,98,FALSE)</f>
        <v>6</v>
      </c>
      <c r="P50" s="133">
        <f>VLOOKUP(E3,'Housing Generation'!$A$3:$DQ$90,106,FALSE)</f>
        <v>6</v>
      </c>
      <c r="Q50" s="133">
        <f>VLOOKUP(E3,'Housing Generation'!$A$3:$DQ$90,114,FALSE)</f>
        <v>6</v>
      </c>
    </row>
    <row r="51" spans="2:17" ht="15" customHeight="1" thickTop="1">
      <c r="B51" s="421" t="s">
        <v>130</v>
      </c>
      <c r="C51" s="422"/>
      <c r="D51" s="47">
        <f t="shared" ref="D51:Q51" si="0">SUM(D49:D50)</f>
        <v>30</v>
      </c>
      <c r="E51" s="47">
        <f t="shared" si="0"/>
        <v>29</v>
      </c>
      <c r="F51" s="80">
        <f t="shared" si="0"/>
        <v>41</v>
      </c>
      <c r="G51" s="244">
        <f t="shared" si="0"/>
        <v>34</v>
      </c>
      <c r="H51" s="71">
        <f t="shared" si="0"/>
        <v>35</v>
      </c>
      <c r="I51" s="71">
        <f t="shared" si="0"/>
        <v>36</v>
      </c>
      <c r="J51" s="71">
        <f t="shared" si="0"/>
        <v>36</v>
      </c>
      <c r="K51" s="71">
        <f t="shared" si="0"/>
        <v>36</v>
      </c>
      <c r="L51" s="71">
        <f t="shared" si="0"/>
        <v>36</v>
      </c>
      <c r="M51" s="71">
        <f t="shared" si="0"/>
        <v>36</v>
      </c>
      <c r="N51" s="71">
        <f t="shared" si="0"/>
        <v>36</v>
      </c>
      <c r="O51" s="71">
        <f t="shared" si="0"/>
        <v>36</v>
      </c>
      <c r="P51" s="71">
        <f t="shared" si="0"/>
        <v>36</v>
      </c>
      <c r="Q51" s="71">
        <f t="shared" si="0"/>
        <v>36</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33</v>
      </c>
      <c r="D60" s="358">
        <f>VLOOKUP($E$3,'Catchment Projections'!$A$1:$BZ$90,74,FALSE)</f>
        <v>24</v>
      </c>
      <c r="E60" s="303">
        <f>D60/C60</f>
        <v>0.72727272727272729</v>
      </c>
      <c r="G60" s="132">
        <v>2014</v>
      </c>
      <c r="H60" s="395">
        <f>VLOOKUP($G$60,$B$177:$C$215, 2, FALSE)</f>
        <v>40</v>
      </c>
      <c r="I60" s="120">
        <f>H60-D60</f>
        <v>16</v>
      </c>
      <c r="J60" s="121">
        <f>I60/H60</f>
        <v>0.4</v>
      </c>
    </row>
    <row r="61" spans="2:17" ht="15" customHeight="1">
      <c r="B61" s="132">
        <v>2015</v>
      </c>
      <c r="C61" s="359">
        <f>VLOOKUP($E$3,'Catchment Projections'!$A$1:$BZ$90,41,FALSE)</f>
        <v>41</v>
      </c>
      <c r="D61" s="358">
        <f>VLOOKUP($E$3,'Catchment Projections'!$A$1:$BZ$90,75,FALSE)</f>
        <v>30</v>
      </c>
      <c r="E61" s="303">
        <f>D61/C61</f>
        <v>0.73170731707317072</v>
      </c>
      <c r="G61" s="132">
        <v>2015</v>
      </c>
      <c r="H61" s="395">
        <f>VLOOKUP($G$61,$B$177:$C$215, 2, FALSE)</f>
        <v>40</v>
      </c>
      <c r="I61" s="120">
        <f>H61-D61</f>
        <v>10</v>
      </c>
      <c r="J61" s="121">
        <f>I61/H61</f>
        <v>0.25</v>
      </c>
    </row>
    <row r="62" spans="2:17" ht="15" customHeight="1">
      <c r="B62" s="131">
        <v>2016</v>
      </c>
      <c r="C62" s="359">
        <f>VLOOKUP($E$3,'Catchment Projections'!$A$1:$BZ$90,42,FALSE)</f>
        <v>34</v>
      </c>
      <c r="D62" s="358">
        <f>VLOOKUP($E$3,'Catchment Projections'!$A$1:$BZ$90,76,FALSE)</f>
        <v>24</v>
      </c>
      <c r="E62" s="57">
        <f>D62/C62</f>
        <v>0.70588235294117652</v>
      </c>
      <c r="G62" s="131">
        <v>2016</v>
      </c>
      <c r="H62" s="395">
        <f>VLOOKUP($G$62,$B$177:$C$215, 2, FALSE)</f>
        <v>30</v>
      </c>
      <c r="I62" s="120">
        <f>H62-D62</f>
        <v>6</v>
      </c>
      <c r="J62" s="121">
        <f>I62/H62</f>
        <v>0.2</v>
      </c>
    </row>
    <row r="63" spans="2:17" ht="15" customHeight="1">
      <c r="B63" s="114">
        <v>2017</v>
      </c>
      <c r="C63" s="359">
        <f>VLOOKUP($E$3,'Catchment Projections'!$A$1:$BZ$90,43,FALSE)</f>
        <v>31</v>
      </c>
      <c r="D63" s="358">
        <f>VLOOKUP($E$3,'Catchment Projections'!$A$1:$BZ$90,77,FALSE)</f>
        <v>25</v>
      </c>
      <c r="E63" s="304">
        <f>D63/C63</f>
        <v>0.80645161290322576</v>
      </c>
      <c r="G63" s="114">
        <v>2017</v>
      </c>
      <c r="H63" s="395">
        <f>VLOOKUP($G$63,$B$177:$C$215, 2, FALSE)</f>
        <v>26</v>
      </c>
      <c r="I63" s="120">
        <f>H63-D63</f>
        <v>1</v>
      </c>
      <c r="J63" s="121">
        <f>I63/H63</f>
        <v>3.8461538461538464E-2</v>
      </c>
    </row>
    <row r="64" spans="2:17" ht="15" customHeight="1">
      <c r="B64" s="114">
        <v>2018</v>
      </c>
      <c r="C64" s="359">
        <f>VLOOKUP($E$3,'Catchment Projections'!$A$1:$BZ$90,44,FALSE)</f>
        <v>25</v>
      </c>
      <c r="D64" s="358">
        <f>VLOOKUP($E$3,'Catchment Projections'!$A$1:$BZ$90,78,FALSE)</f>
        <v>19</v>
      </c>
      <c r="E64" s="305">
        <f>D64/C64</f>
        <v>0.76</v>
      </c>
      <c r="G64" s="114">
        <v>2018</v>
      </c>
      <c r="H64" s="395">
        <f>VLOOKUP($G$64,$B$177:$C$215, 2, FALSE)</f>
        <v>27</v>
      </c>
      <c r="I64" s="120">
        <f>H64-D64</f>
        <v>8</v>
      </c>
      <c r="J64" s="121">
        <f>I64/H64</f>
        <v>0.29629629629629628</v>
      </c>
    </row>
    <row r="65" spans="2:10" ht="15" customHeight="1">
      <c r="B65" s="412" t="s">
        <v>136</v>
      </c>
      <c r="C65" s="413"/>
      <c r="D65" s="414"/>
      <c r="E65" s="137">
        <f>IF((AVERAGE(E62:E64))="#DIV/0!","n/a",(AVERAGE(E62:E64)))</f>
        <v>0.75744465528146743</v>
      </c>
      <c r="G65" s="415" t="s">
        <v>137</v>
      </c>
      <c r="H65" s="416"/>
      <c r="I65" s="138">
        <f>MEDIAN(I60:I64)</f>
        <v>8</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30</v>
      </c>
      <c r="D70" s="408"/>
      <c r="E70" s="122">
        <f>E65</f>
        <v>0.75744465528146743</v>
      </c>
      <c r="F70" s="120">
        <f t="shared" ref="F70:F83" si="1">C70*$E$65</f>
        <v>22.723339658444022</v>
      </c>
      <c r="G70" s="118">
        <f>IF(F70&lt;26,25,IF(F70&gt;135,140,IF(F70&gt;130,135,IF(F70&gt;125,130,IF(F70&gt;120,125,IF(F70&gt;115,120,IF(F70&gt;110,115,IF(F70&gt;105,110,IF(F70&gt;100,105,IF(F70&gt;99,100,IF(F70&gt;90,99,IF(F70&gt;75,90,IF(F70&gt;72,75,IF(F70&gt;66,72,IF(F70&gt;60,66,IF(F70&gt;50,60,IF(F70&gt;30,50,IF(F70&gt;25,30,0))))))))))))))))))</f>
        <v>25</v>
      </c>
      <c r="H70" s="119">
        <f t="shared" ref="H70:H83" si="2">G70-F70</f>
        <v>2.2766603415559779</v>
      </c>
      <c r="I70" s="118" t="str">
        <f>IF(I$65&lt;H70, "NO", "YES")</f>
        <v>YES</v>
      </c>
      <c r="J70" s="117">
        <f t="shared" ref="J70:J83" si="3">IF(I70="YES",G70,(MIN((SUM(F70,$I$65)),G70)))</f>
        <v>25</v>
      </c>
    </row>
    <row r="71" spans="2:10" ht="15" customHeight="1">
      <c r="B71" s="114">
        <v>2020</v>
      </c>
      <c r="C71" s="433">
        <f>E51</f>
        <v>29</v>
      </c>
      <c r="D71" s="408"/>
      <c r="E71" s="121">
        <f>E65</f>
        <v>0.75744465528146743</v>
      </c>
      <c r="F71" s="120">
        <f t="shared" si="1"/>
        <v>21.965895003162554</v>
      </c>
      <c r="G71" s="118">
        <f t="shared" ref="G71:G83" si="4">IF(F71&lt;26,25,IF(F71&gt;135,140,IF(F71&gt;130,135,IF(F71&gt;125,130,IF(F71&gt;120,125,IF(F71&gt;115,120,IF(F71&gt;110,115,IF(F71&gt;105,110,IF(F71&gt;100,105,IF(F71&gt;99,100,IF(F71&gt;90,99,IF(F71&gt;75,90,IF(F71&gt;72,75,IF(F71&gt;66,72,IF(F71&gt;60,66,IF(F71&gt;50,60,IF(F71&gt;30,50,IF(F71&gt;25,30,0))))))))))))))))))</f>
        <v>25</v>
      </c>
      <c r="H71" s="119">
        <f t="shared" si="2"/>
        <v>3.0341049968374456</v>
      </c>
      <c r="I71" s="118" t="str">
        <f t="shared" ref="I71:I83" si="5">IF(I$65&lt;H71, "NO", "YES")</f>
        <v>YES</v>
      </c>
      <c r="J71" s="117">
        <f t="shared" si="3"/>
        <v>25</v>
      </c>
    </row>
    <row r="72" spans="2:10" ht="15" customHeight="1">
      <c r="B72" s="114">
        <v>2021</v>
      </c>
      <c r="C72" s="430">
        <f>F51</f>
        <v>41</v>
      </c>
      <c r="D72" s="431"/>
      <c r="E72" s="121">
        <f>E65</f>
        <v>0.75744465528146743</v>
      </c>
      <c r="F72" s="120">
        <f t="shared" si="1"/>
        <v>31.055230866540164</v>
      </c>
      <c r="G72" s="118">
        <f t="shared" si="4"/>
        <v>50</v>
      </c>
      <c r="H72" s="119">
        <f t="shared" si="2"/>
        <v>18.944769133459836</v>
      </c>
      <c r="I72" s="118" t="str">
        <f t="shared" si="5"/>
        <v>NO</v>
      </c>
      <c r="J72" s="117">
        <f t="shared" si="3"/>
        <v>39.055230866540164</v>
      </c>
    </row>
    <row r="73" spans="2:10" ht="15" customHeight="1">
      <c r="B73" s="114">
        <v>2022</v>
      </c>
      <c r="C73" s="430">
        <f>G51</f>
        <v>34</v>
      </c>
      <c r="D73" s="431"/>
      <c r="E73" s="121">
        <f>E65</f>
        <v>0.75744465528146743</v>
      </c>
      <c r="F73" s="120">
        <f t="shared" si="1"/>
        <v>25.753118279569893</v>
      </c>
      <c r="G73" s="118">
        <f t="shared" si="4"/>
        <v>25</v>
      </c>
      <c r="H73" s="119">
        <f t="shared" si="2"/>
        <v>-0.75311827956989319</v>
      </c>
      <c r="I73" s="118" t="str">
        <f t="shared" si="5"/>
        <v>YES</v>
      </c>
      <c r="J73" s="117">
        <f t="shared" si="3"/>
        <v>25</v>
      </c>
    </row>
    <row r="74" spans="2:10" ht="15" customHeight="1">
      <c r="B74" s="114">
        <v>2023</v>
      </c>
      <c r="C74" s="430">
        <f>H51</f>
        <v>35</v>
      </c>
      <c r="D74" s="431"/>
      <c r="E74" s="121">
        <f>E65</f>
        <v>0.75744465528146743</v>
      </c>
      <c r="F74" s="120">
        <f t="shared" si="1"/>
        <v>26.510562934851361</v>
      </c>
      <c r="G74" s="118">
        <f t="shared" si="4"/>
        <v>30</v>
      </c>
      <c r="H74" s="119">
        <f t="shared" si="2"/>
        <v>3.489437065148639</v>
      </c>
      <c r="I74" s="118" t="str">
        <f t="shared" si="5"/>
        <v>YES</v>
      </c>
      <c r="J74" s="117">
        <f t="shared" si="3"/>
        <v>30</v>
      </c>
    </row>
    <row r="75" spans="2:10" ht="15" customHeight="1">
      <c r="B75" s="114">
        <v>2024</v>
      </c>
      <c r="C75" s="430">
        <f>I51</f>
        <v>36</v>
      </c>
      <c r="D75" s="431"/>
      <c r="E75" s="121">
        <f>E65</f>
        <v>0.75744465528146743</v>
      </c>
      <c r="F75" s="120">
        <f t="shared" si="1"/>
        <v>27.268007590132829</v>
      </c>
      <c r="G75" s="118">
        <f t="shared" si="4"/>
        <v>30</v>
      </c>
      <c r="H75" s="119">
        <f t="shared" si="2"/>
        <v>2.7319924098671713</v>
      </c>
      <c r="I75" s="118" t="str">
        <f t="shared" si="5"/>
        <v>YES</v>
      </c>
      <c r="J75" s="117">
        <f t="shared" si="3"/>
        <v>30</v>
      </c>
    </row>
    <row r="76" spans="2:10" ht="15" customHeight="1">
      <c r="B76" s="114">
        <v>2025</v>
      </c>
      <c r="C76" s="430">
        <f>J51</f>
        <v>36</v>
      </c>
      <c r="D76" s="431"/>
      <c r="E76" s="121">
        <f>E65</f>
        <v>0.75744465528146743</v>
      </c>
      <c r="F76" s="120">
        <f t="shared" si="1"/>
        <v>27.268007590132829</v>
      </c>
      <c r="G76" s="118">
        <f t="shared" si="4"/>
        <v>30</v>
      </c>
      <c r="H76" s="119">
        <f t="shared" si="2"/>
        <v>2.7319924098671713</v>
      </c>
      <c r="I76" s="118" t="str">
        <f t="shared" si="5"/>
        <v>YES</v>
      </c>
      <c r="J76" s="117">
        <f t="shared" si="3"/>
        <v>30</v>
      </c>
    </row>
    <row r="77" spans="2:10" ht="15" customHeight="1">
      <c r="B77" s="114">
        <v>2026</v>
      </c>
      <c r="C77" s="430">
        <f>K51</f>
        <v>36</v>
      </c>
      <c r="D77" s="431"/>
      <c r="E77" s="121">
        <f>E65</f>
        <v>0.75744465528146743</v>
      </c>
      <c r="F77" s="120">
        <f t="shared" si="1"/>
        <v>27.268007590132829</v>
      </c>
      <c r="G77" s="118">
        <f t="shared" si="4"/>
        <v>30</v>
      </c>
      <c r="H77" s="119">
        <f t="shared" si="2"/>
        <v>2.7319924098671713</v>
      </c>
      <c r="I77" s="118" t="str">
        <f t="shared" si="5"/>
        <v>YES</v>
      </c>
      <c r="J77" s="117">
        <f t="shared" si="3"/>
        <v>30</v>
      </c>
    </row>
    <row r="78" spans="2:10" ht="15" customHeight="1">
      <c r="B78" s="114">
        <v>2027</v>
      </c>
      <c r="C78" s="430">
        <f>L51</f>
        <v>36</v>
      </c>
      <c r="D78" s="431"/>
      <c r="E78" s="121">
        <f>E65</f>
        <v>0.75744465528146743</v>
      </c>
      <c r="F78" s="120">
        <f t="shared" si="1"/>
        <v>27.268007590132829</v>
      </c>
      <c r="G78" s="118">
        <f t="shared" si="4"/>
        <v>30</v>
      </c>
      <c r="H78" s="119">
        <f t="shared" si="2"/>
        <v>2.7319924098671713</v>
      </c>
      <c r="I78" s="118" t="str">
        <f t="shared" si="5"/>
        <v>YES</v>
      </c>
      <c r="J78" s="117">
        <f t="shared" si="3"/>
        <v>30</v>
      </c>
    </row>
    <row r="79" spans="2:10" ht="15" customHeight="1">
      <c r="B79" s="114">
        <v>2028</v>
      </c>
      <c r="C79" s="430">
        <f>M51</f>
        <v>36</v>
      </c>
      <c r="D79" s="431"/>
      <c r="E79" s="121">
        <f t="shared" ref="E79:E83" si="6">$E$65</f>
        <v>0.75744465528146743</v>
      </c>
      <c r="F79" s="120">
        <f t="shared" si="1"/>
        <v>27.268007590132829</v>
      </c>
      <c r="G79" s="118">
        <f t="shared" si="4"/>
        <v>30</v>
      </c>
      <c r="H79" s="119">
        <f t="shared" si="2"/>
        <v>2.7319924098671713</v>
      </c>
      <c r="I79" s="118" t="str">
        <f t="shared" si="5"/>
        <v>YES</v>
      </c>
      <c r="J79" s="117">
        <f t="shared" si="3"/>
        <v>30</v>
      </c>
    </row>
    <row r="80" spans="2:10" ht="15" customHeight="1">
      <c r="B80" s="114">
        <v>2029</v>
      </c>
      <c r="C80" s="430">
        <f>N51</f>
        <v>36</v>
      </c>
      <c r="D80" s="431"/>
      <c r="E80" s="121">
        <f t="shared" si="6"/>
        <v>0.75744465528146743</v>
      </c>
      <c r="F80" s="120">
        <f t="shared" si="1"/>
        <v>27.268007590132829</v>
      </c>
      <c r="G80" s="118">
        <f t="shared" si="4"/>
        <v>30</v>
      </c>
      <c r="H80" s="119">
        <f t="shared" si="2"/>
        <v>2.7319924098671713</v>
      </c>
      <c r="I80" s="118" t="str">
        <f t="shared" si="5"/>
        <v>YES</v>
      </c>
      <c r="J80" s="117">
        <f t="shared" si="3"/>
        <v>30</v>
      </c>
    </row>
    <row r="81" spans="2:10" ht="15" customHeight="1">
      <c r="B81" s="114">
        <v>2030</v>
      </c>
      <c r="C81" s="430">
        <f>O51</f>
        <v>36</v>
      </c>
      <c r="D81" s="431"/>
      <c r="E81" s="121">
        <f t="shared" si="6"/>
        <v>0.75744465528146743</v>
      </c>
      <c r="F81" s="120">
        <f t="shared" si="1"/>
        <v>27.268007590132829</v>
      </c>
      <c r="G81" s="118">
        <f t="shared" si="4"/>
        <v>30</v>
      </c>
      <c r="H81" s="119">
        <f t="shared" si="2"/>
        <v>2.7319924098671713</v>
      </c>
      <c r="I81" s="118" t="str">
        <f t="shared" si="5"/>
        <v>YES</v>
      </c>
      <c r="J81" s="117">
        <f t="shared" si="3"/>
        <v>30</v>
      </c>
    </row>
    <row r="82" spans="2:10" ht="15" customHeight="1">
      <c r="B82" s="114">
        <v>2031</v>
      </c>
      <c r="C82" s="430">
        <f>P51</f>
        <v>36</v>
      </c>
      <c r="D82" s="431"/>
      <c r="E82" s="121">
        <f t="shared" si="6"/>
        <v>0.75744465528146743</v>
      </c>
      <c r="F82" s="120">
        <f t="shared" si="1"/>
        <v>27.268007590132829</v>
      </c>
      <c r="G82" s="118">
        <f t="shared" si="4"/>
        <v>30</v>
      </c>
      <c r="H82" s="119">
        <f t="shared" si="2"/>
        <v>2.7319924098671713</v>
      </c>
      <c r="I82" s="118" t="str">
        <f t="shared" si="5"/>
        <v>YES</v>
      </c>
      <c r="J82" s="117">
        <f t="shared" si="3"/>
        <v>30</v>
      </c>
    </row>
    <row r="83" spans="2:10" ht="15" customHeight="1">
      <c r="B83" s="114">
        <v>2032</v>
      </c>
      <c r="C83" s="430">
        <f>Q51</f>
        <v>36</v>
      </c>
      <c r="D83" s="431"/>
      <c r="E83" s="121">
        <f t="shared" si="6"/>
        <v>0.75744465528146743</v>
      </c>
      <c r="F83" s="120">
        <f t="shared" si="1"/>
        <v>27.268007590132829</v>
      </c>
      <c r="G83" s="118">
        <f t="shared" si="4"/>
        <v>30</v>
      </c>
      <c r="H83" s="119">
        <f t="shared" si="2"/>
        <v>2.7319924098671713</v>
      </c>
      <c r="I83" s="118" t="str">
        <f t="shared" si="5"/>
        <v>YES</v>
      </c>
      <c r="J83" s="117">
        <f t="shared" si="3"/>
        <v>30</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Broomhouse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34</v>
      </c>
      <c r="D91" s="112">
        <f t="shared" ref="D91:J91" si="7">D188</f>
        <v>30</v>
      </c>
      <c r="E91" s="112">
        <f t="shared" si="7"/>
        <v>23</v>
      </c>
      <c r="F91" s="112">
        <f t="shared" si="7"/>
        <v>28</v>
      </c>
      <c r="G91" s="112">
        <f t="shared" si="7"/>
        <v>12</v>
      </c>
      <c r="H91" s="112">
        <f t="shared" si="7"/>
        <v>24</v>
      </c>
      <c r="I91" s="112">
        <f t="shared" si="7"/>
        <v>17</v>
      </c>
      <c r="J91" s="213">
        <f t="shared" si="7"/>
        <v>168</v>
      </c>
    </row>
    <row r="92" spans="2:10" ht="15" customHeight="1">
      <c r="B92" s="114">
        <v>2014</v>
      </c>
      <c r="C92" s="112">
        <f>C189</f>
        <v>40</v>
      </c>
      <c r="D92" s="112">
        <f t="shared" ref="D92:J92" si="8">D189</f>
        <v>30</v>
      </c>
      <c r="E92" s="112">
        <f t="shared" si="8"/>
        <v>30</v>
      </c>
      <c r="F92" s="112">
        <f t="shared" si="8"/>
        <v>23</v>
      </c>
      <c r="G92" s="112">
        <f t="shared" si="8"/>
        <v>26</v>
      </c>
      <c r="H92" s="112">
        <f t="shared" si="8"/>
        <v>14</v>
      </c>
      <c r="I92" s="112">
        <f t="shared" si="8"/>
        <v>23</v>
      </c>
      <c r="J92" s="213">
        <f t="shared" si="8"/>
        <v>186</v>
      </c>
    </row>
    <row r="93" spans="2:10" ht="15" customHeight="1">
      <c r="B93" s="114">
        <v>2015</v>
      </c>
      <c r="C93" s="112">
        <f>C190</f>
        <v>40</v>
      </c>
      <c r="D93" s="112">
        <f t="shared" ref="D93:J93" si="9">D190</f>
        <v>39</v>
      </c>
      <c r="E93" s="112">
        <f t="shared" si="9"/>
        <v>32</v>
      </c>
      <c r="F93" s="112">
        <f t="shared" si="9"/>
        <v>28</v>
      </c>
      <c r="G93" s="112">
        <f t="shared" si="9"/>
        <v>28</v>
      </c>
      <c r="H93" s="112">
        <f t="shared" si="9"/>
        <v>27</v>
      </c>
      <c r="I93" s="112">
        <f t="shared" si="9"/>
        <v>12</v>
      </c>
      <c r="J93" s="213">
        <f t="shared" si="9"/>
        <v>206</v>
      </c>
    </row>
    <row r="94" spans="2:10" ht="15" customHeight="1">
      <c r="B94" s="114">
        <v>2016</v>
      </c>
      <c r="C94" s="112">
        <f>C191</f>
        <v>30</v>
      </c>
      <c r="D94" s="112">
        <f t="shared" ref="D94:J94" si="10">D191</f>
        <v>40</v>
      </c>
      <c r="E94" s="112">
        <f t="shared" si="10"/>
        <v>38</v>
      </c>
      <c r="F94" s="112">
        <f t="shared" si="10"/>
        <v>34</v>
      </c>
      <c r="G94" s="112">
        <f t="shared" si="10"/>
        <v>29</v>
      </c>
      <c r="H94" s="112">
        <f t="shared" si="10"/>
        <v>28</v>
      </c>
      <c r="I94" s="112">
        <f t="shared" si="10"/>
        <v>25</v>
      </c>
      <c r="J94" s="213">
        <f t="shared" si="10"/>
        <v>224</v>
      </c>
    </row>
    <row r="95" spans="2:10" ht="15" customHeight="1">
      <c r="B95" s="114">
        <v>2017</v>
      </c>
      <c r="C95" s="112">
        <f>C192</f>
        <v>26</v>
      </c>
      <c r="D95" s="112">
        <f t="shared" ref="D95:J95" si="11">D192</f>
        <v>25</v>
      </c>
      <c r="E95" s="112">
        <f t="shared" si="11"/>
        <v>37</v>
      </c>
      <c r="F95" s="112">
        <f t="shared" si="11"/>
        <v>41</v>
      </c>
      <c r="G95" s="112">
        <f t="shared" si="11"/>
        <v>31</v>
      </c>
      <c r="H95" s="112">
        <f t="shared" si="11"/>
        <v>29</v>
      </c>
      <c r="I95" s="112">
        <f t="shared" si="11"/>
        <v>26</v>
      </c>
      <c r="J95" s="213">
        <f t="shared" si="11"/>
        <v>215</v>
      </c>
    </row>
    <row r="96" spans="2:10" ht="15" customHeight="1">
      <c r="B96" s="307">
        <v>2018</v>
      </c>
      <c r="C96" s="112">
        <f t="shared" ref="C96:J96" si="12">C193</f>
        <v>27</v>
      </c>
      <c r="D96" s="112">
        <f t="shared" si="12"/>
        <v>27</v>
      </c>
      <c r="E96" s="112">
        <f t="shared" si="12"/>
        <v>25</v>
      </c>
      <c r="F96" s="112">
        <f t="shared" si="12"/>
        <v>37</v>
      </c>
      <c r="G96" s="112">
        <f t="shared" si="12"/>
        <v>41</v>
      </c>
      <c r="H96" s="112">
        <f t="shared" si="12"/>
        <v>31</v>
      </c>
      <c r="I96" s="112">
        <f t="shared" si="12"/>
        <v>27</v>
      </c>
      <c r="J96" s="213">
        <f t="shared" si="12"/>
        <v>215</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2.5000000000000001E-2</v>
      </c>
      <c r="E98" s="210">
        <f t="shared" ref="E98:I98" si="13">MEDIAN(((D91-E92)/D91),((D92-E93)/D92),((D93-E94)/D93),((D94-E95)/D94),((D95-E96)/D95))</f>
        <v>0</v>
      </c>
      <c r="F98" s="210">
        <f t="shared" si="13"/>
        <v>0</v>
      </c>
      <c r="G98" s="210">
        <f t="shared" si="13"/>
        <v>0</v>
      </c>
      <c r="H98" s="210">
        <f t="shared" si="13"/>
        <v>0</v>
      </c>
      <c r="I98" s="210">
        <f t="shared" si="13"/>
        <v>7.1428571428571425E-2</v>
      </c>
    </row>
    <row r="99" spans="2:10" ht="15" customHeight="1">
      <c r="B99" s="59"/>
      <c r="C99" s="60"/>
      <c r="D99" s="61"/>
      <c r="E99" s="61"/>
      <c r="F99" s="61"/>
      <c r="G99" s="61"/>
      <c r="H99" s="61"/>
      <c r="I99" s="61"/>
      <c r="J99" s="58"/>
    </row>
    <row r="100" spans="2:10" ht="15" customHeight="1">
      <c r="B100" s="15" t="str">
        <f>"Table 4B: "&amp;E3&amp;" Projected Roll by Stage (incorporating Projected P1 and Drop-Off Rates), 2019-2032"</f>
        <v>Table 4B: Broomhouse Primary School Projected Roll by Stage (incorporating Projected P1 and Drop-Off Rates), 2019-2032</v>
      </c>
      <c r="F100" s="14"/>
      <c r="G100" s="14"/>
    </row>
    <row r="101" spans="2:10" ht="15" customHeight="1">
      <c r="F101" s="14"/>
      <c r="G101" s="14"/>
    </row>
    <row r="102" spans="2:10" ht="15" customHeight="1">
      <c r="B102" s="115"/>
      <c r="C102" s="109" t="s">
        <v>1</v>
      </c>
      <c r="D102" s="109" t="s">
        <v>2</v>
      </c>
      <c r="E102" s="109" t="s">
        <v>3</v>
      </c>
      <c r="F102" s="109" t="s">
        <v>4</v>
      </c>
      <c r="G102" s="109" t="s">
        <v>5</v>
      </c>
      <c r="H102" s="109" t="s">
        <v>6</v>
      </c>
      <c r="I102" s="109" t="s">
        <v>7</v>
      </c>
      <c r="J102" s="109" t="s">
        <v>8</v>
      </c>
    </row>
    <row r="103" spans="2:10" ht="15" customHeight="1">
      <c r="B103" s="114">
        <v>2019</v>
      </c>
      <c r="C103" s="113">
        <f t="shared" ref="C103:C116" si="14">J70</f>
        <v>25</v>
      </c>
      <c r="D103" s="324">
        <f>ROUND((C96)-(C96*$D$98),0)</f>
        <v>26</v>
      </c>
      <c r="E103" s="324">
        <f>ROUND((D96)-(D96*$E$98),0)</f>
        <v>27</v>
      </c>
      <c r="F103" s="324">
        <f>ROUND((E96)-(E96*$F$98),0)</f>
        <v>25</v>
      </c>
      <c r="G103" s="324">
        <f>ROUND((F96)-(F96*$G$98),0)</f>
        <v>37</v>
      </c>
      <c r="H103" s="324">
        <f>ROUND((G96)-(G96*$H$98),0)</f>
        <v>41</v>
      </c>
      <c r="I103" s="324">
        <f>ROUND((H96)-(H96*$I$98),0)</f>
        <v>29</v>
      </c>
      <c r="J103" s="111">
        <f t="shared" ref="J103:J116" si="15">SUM(C103:I103)</f>
        <v>210</v>
      </c>
    </row>
    <row r="104" spans="2:10" ht="15" customHeight="1">
      <c r="B104" s="114">
        <v>2020</v>
      </c>
      <c r="C104" s="113">
        <f t="shared" si="14"/>
        <v>25</v>
      </c>
      <c r="D104" s="324">
        <f>ROUND((C103-E50)-(C103*$D$98),0)</f>
        <v>18</v>
      </c>
      <c r="E104" s="112">
        <f t="shared" ref="E104:E116" si="16">ROUND((D103)-(D103*$E$98),0)</f>
        <v>26</v>
      </c>
      <c r="F104" s="112">
        <f t="shared" ref="F104:F116" si="17">ROUND((E103)-(E103*$F$98),0)</f>
        <v>27</v>
      </c>
      <c r="G104" s="112">
        <f t="shared" ref="G104:G116" si="18">ROUND((F103)-(F103*$G$98),0)</f>
        <v>25</v>
      </c>
      <c r="H104" s="112">
        <f t="shared" ref="H104:H116" si="19">ROUND((G103)-(G103*$H$98),0)</f>
        <v>37</v>
      </c>
      <c r="I104" s="112">
        <f t="shared" ref="I104:I116" si="20">ROUND((H103)-(H103*$I$98),0)</f>
        <v>38</v>
      </c>
      <c r="J104" s="111">
        <f t="shared" si="15"/>
        <v>196</v>
      </c>
    </row>
    <row r="105" spans="2:10" ht="15" customHeight="1">
      <c r="B105" s="114">
        <v>2021</v>
      </c>
      <c r="C105" s="113">
        <f t="shared" si="14"/>
        <v>39.055230866540164</v>
      </c>
      <c r="D105" s="324">
        <f>ROUND((C104-F50)-(C104*$D$98),0)</f>
        <v>18</v>
      </c>
      <c r="E105" s="112">
        <f t="shared" si="16"/>
        <v>18</v>
      </c>
      <c r="F105" s="112">
        <f t="shared" si="17"/>
        <v>26</v>
      </c>
      <c r="G105" s="112">
        <f t="shared" si="18"/>
        <v>27</v>
      </c>
      <c r="H105" s="112">
        <f t="shared" si="19"/>
        <v>25</v>
      </c>
      <c r="I105" s="112">
        <f t="shared" si="20"/>
        <v>34</v>
      </c>
      <c r="J105" s="111">
        <f t="shared" si="15"/>
        <v>187.05523086654017</v>
      </c>
    </row>
    <row r="106" spans="2:10" ht="15" customHeight="1">
      <c r="B106" s="114">
        <v>2022</v>
      </c>
      <c r="C106" s="113">
        <f t="shared" si="14"/>
        <v>25</v>
      </c>
      <c r="D106" s="324">
        <f>ROUND((C105-G50)-(C105*$D$98),0)</f>
        <v>32</v>
      </c>
      <c r="E106" s="112">
        <f t="shared" si="16"/>
        <v>18</v>
      </c>
      <c r="F106" s="112">
        <f t="shared" si="17"/>
        <v>18</v>
      </c>
      <c r="G106" s="112">
        <f t="shared" si="18"/>
        <v>26</v>
      </c>
      <c r="H106" s="112">
        <f t="shared" si="19"/>
        <v>27</v>
      </c>
      <c r="I106" s="112">
        <f t="shared" si="20"/>
        <v>23</v>
      </c>
      <c r="J106" s="111">
        <f t="shared" si="15"/>
        <v>169</v>
      </c>
    </row>
    <row r="107" spans="2:10" ht="15" customHeight="1">
      <c r="B107" s="114">
        <v>2023</v>
      </c>
      <c r="C107" s="113">
        <f t="shared" si="14"/>
        <v>30</v>
      </c>
      <c r="D107" s="324">
        <f>ROUND((C106-H50)-(C106*$D$98),0)</f>
        <v>18</v>
      </c>
      <c r="E107" s="112">
        <f t="shared" si="16"/>
        <v>32</v>
      </c>
      <c r="F107" s="112">
        <f t="shared" si="17"/>
        <v>18</v>
      </c>
      <c r="G107" s="112">
        <f t="shared" si="18"/>
        <v>18</v>
      </c>
      <c r="H107" s="112">
        <f t="shared" si="19"/>
        <v>26</v>
      </c>
      <c r="I107" s="112">
        <f t="shared" si="20"/>
        <v>25</v>
      </c>
      <c r="J107" s="111">
        <f t="shared" si="15"/>
        <v>167</v>
      </c>
    </row>
    <row r="108" spans="2:10" ht="15" customHeight="1">
      <c r="B108" s="114">
        <v>2024</v>
      </c>
      <c r="C108" s="113">
        <f t="shared" si="14"/>
        <v>30</v>
      </c>
      <c r="D108" s="324">
        <f>ROUND((C107-I50)-(C107*$D$98),0)</f>
        <v>23</v>
      </c>
      <c r="E108" s="112">
        <f t="shared" si="16"/>
        <v>18</v>
      </c>
      <c r="F108" s="112">
        <f t="shared" si="17"/>
        <v>32</v>
      </c>
      <c r="G108" s="112">
        <f t="shared" si="18"/>
        <v>18</v>
      </c>
      <c r="H108" s="112">
        <f t="shared" si="19"/>
        <v>18</v>
      </c>
      <c r="I108" s="112">
        <f t="shared" si="20"/>
        <v>24</v>
      </c>
      <c r="J108" s="111">
        <f t="shared" si="15"/>
        <v>163</v>
      </c>
    </row>
    <row r="109" spans="2:10" ht="15" customHeight="1">
      <c r="B109" s="114">
        <v>2025</v>
      </c>
      <c r="C109" s="113">
        <f t="shared" si="14"/>
        <v>30</v>
      </c>
      <c r="D109" s="324">
        <f>ROUND((C108-J50)-(C108*$D$98),0)</f>
        <v>23</v>
      </c>
      <c r="E109" s="112">
        <f t="shared" si="16"/>
        <v>23</v>
      </c>
      <c r="F109" s="112">
        <f t="shared" si="17"/>
        <v>18</v>
      </c>
      <c r="G109" s="112">
        <f t="shared" si="18"/>
        <v>32</v>
      </c>
      <c r="H109" s="112">
        <f t="shared" si="19"/>
        <v>18</v>
      </c>
      <c r="I109" s="112">
        <f t="shared" si="20"/>
        <v>17</v>
      </c>
      <c r="J109" s="111">
        <f t="shared" si="15"/>
        <v>161</v>
      </c>
    </row>
    <row r="110" spans="2:10" ht="15" customHeight="1">
      <c r="B110" s="114">
        <v>2026</v>
      </c>
      <c r="C110" s="113">
        <f t="shared" si="14"/>
        <v>30</v>
      </c>
      <c r="D110" s="324">
        <f>ROUND((C109-K50)-(C109*$D$98),0)</f>
        <v>23</v>
      </c>
      <c r="E110" s="112">
        <f t="shared" si="16"/>
        <v>23</v>
      </c>
      <c r="F110" s="112">
        <f t="shared" si="17"/>
        <v>23</v>
      </c>
      <c r="G110" s="112">
        <f t="shared" si="18"/>
        <v>18</v>
      </c>
      <c r="H110" s="112">
        <f t="shared" si="19"/>
        <v>32</v>
      </c>
      <c r="I110" s="112">
        <f t="shared" si="20"/>
        <v>17</v>
      </c>
      <c r="J110" s="111">
        <f t="shared" si="15"/>
        <v>166</v>
      </c>
    </row>
    <row r="111" spans="2:10" ht="15" customHeight="1">
      <c r="B111" s="114">
        <v>2027</v>
      </c>
      <c r="C111" s="113">
        <f t="shared" si="14"/>
        <v>30</v>
      </c>
      <c r="D111" s="324">
        <f>ROUND((C110-L50)-(C110*$D$98),0)</f>
        <v>23</v>
      </c>
      <c r="E111" s="112">
        <f t="shared" si="16"/>
        <v>23</v>
      </c>
      <c r="F111" s="112">
        <f t="shared" si="17"/>
        <v>23</v>
      </c>
      <c r="G111" s="112">
        <f t="shared" si="18"/>
        <v>23</v>
      </c>
      <c r="H111" s="112">
        <f t="shared" si="19"/>
        <v>18</v>
      </c>
      <c r="I111" s="112">
        <f t="shared" si="20"/>
        <v>30</v>
      </c>
      <c r="J111" s="111">
        <f t="shared" si="15"/>
        <v>170</v>
      </c>
    </row>
    <row r="112" spans="2:10" ht="15" customHeight="1">
      <c r="B112" s="114">
        <v>2028</v>
      </c>
      <c r="C112" s="113">
        <f t="shared" si="14"/>
        <v>30</v>
      </c>
      <c r="D112" s="324">
        <f>ROUND((C111-M50)-(C111*$D$98),0)</f>
        <v>23</v>
      </c>
      <c r="E112" s="112">
        <f t="shared" si="16"/>
        <v>23</v>
      </c>
      <c r="F112" s="112">
        <f t="shared" si="17"/>
        <v>23</v>
      </c>
      <c r="G112" s="112">
        <f t="shared" si="18"/>
        <v>23</v>
      </c>
      <c r="H112" s="112">
        <f t="shared" si="19"/>
        <v>23</v>
      </c>
      <c r="I112" s="112">
        <f t="shared" si="20"/>
        <v>17</v>
      </c>
      <c r="J112" s="111">
        <f t="shared" si="15"/>
        <v>162</v>
      </c>
    </row>
    <row r="113" spans="2:10" ht="15" customHeight="1">
      <c r="B113" s="114">
        <v>2029</v>
      </c>
      <c r="C113" s="113">
        <f t="shared" si="14"/>
        <v>30</v>
      </c>
      <c r="D113" s="324">
        <f>ROUND((C112-N50)-(C112*$D$98),0)</f>
        <v>23</v>
      </c>
      <c r="E113" s="112">
        <f t="shared" si="16"/>
        <v>23</v>
      </c>
      <c r="F113" s="112">
        <f t="shared" si="17"/>
        <v>23</v>
      </c>
      <c r="G113" s="112">
        <f t="shared" si="18"/>
        <v>23</v>
      </c>
      <c r="H113" s="112">
        <f t="shared" si="19"/>
        <v>23</v>
      </c>
      <c r="I113" s="112">
        <f t="shared" si="20"/>
        <v>21</v>
      </c>
      <c r="J113" s="111">
        <f t="shared" si="15"/>
        <v>166</v>
      </c>
    </row>
    <row r="114" spans="2:10" ht="15" customHeight="1">
      <c r="B114" s="114">
        <v>2030</v>
      </c>
      <c r="C114" s="113">
        <f t="shared" si="14"/>
        <v>30</v>
      </c>
      <c r="D114" s="324">
        <f>ROUND((C113-O50)-(C113*$D$98),0)</f>
        <v>23</v>
      </c>
      <c r="E114" s="112">
        <f t="shared" si="16"/>
        <v>23</v>
      </c>
      <c r="F114" s="112">
        <f t="shared" si="17"/>
        <v>23</v>
      </c>
      <c r="G114" s="112">
        <f t="shared" si="18"/>
        <v>23</v>
      </c>
      <c r="H114" s="112">
        <f t="shared" si="19"/>
        <v>23</v>
      </c>
      <c r="I114" s="112">
        <f t="shared" si="20"/>
        <v>21</v>
      </c>
      <c r="J114" s="111">
        <f t="shared" si="15"/>
        <v>166</v>
      </c>
    </row>
    <row r="115" spans="2:10" ht="15" customHeight="1">
      <c r="B115" s="114">
        <v>2031</v>
      </c>
      <c r="C115" s="113">
        <f t="shared" si="14"/>
        <v>30</v>
      </c>
      <c r="D115" s="324">
        <f>ROUND((C114-P50)-(C114*$D$98),0)</f>
        <v>23</v>
      </c>
      <c r="E115" s="112">
        <f t="shared" si="16"/>
        <v>23</v>
      </c>
      <c r="F115" s="112">
        <f t="shared" si="17"/>
        <v>23</v>
      </c>
      <c r="G115" s="112">
        <f t="shared" si="18"/>
        <v>23</v>
      </c>
      <c r="H115" s="112">
        <f t="shared" si="19"/>
        <v>23</v>
      </c>
      <c r="I115" s="112">
        <f t="shared" si="20"/>
        <v>21</v>
      </c>
      <c r="J115" s="111">
        <f t="shared" si="15"/>
        <v>166</v>
      </c>
    </row>
    <row r="116" spans="2:10" ht="15" customHeight="1">
      <c r="B116" s="114">
        <v>2032</v>
      </c>
      <c r="C116" s="113">
        <f t="shared" si="14"/>
        <v>30</v>
      </c>
      <c r="D116" s="324">
        <f>ROUND((C115-Q50)-(C115*$D$98),0)</f>
        <v>23</v>
      </c>
      <c r="E116" s="112">
        <f t="shared" si="16"/>
        <v>23</v>
      </c>
      <c r="F116" s="112">
        <f t="shared" si="17"/>
        <v>23</v>
      </c>
      <c r="G116" s="112">
        <f t="shared" si="18"/>
        <v>23</v>
      </c>
      <c r="H116" s="112">
        <f t="shared" si="19"/>
        <v>23</v>
      </c>
      <c r="I116" s="112">
        <f t="shared" si="20"/>
        <v>21</v>
      </c>
      <c r="J116" s="111">
        <f t="shared" si="15"/>
        <v>166</v>
      </c>
    </row>
    <row r="117" spans="2:10" ht="15" customHeight="1">
      <c r="F117" s="14"/>
      <c r="G117" s="14"/>
    </row>
    <row r="118" spans="2:10" ht="15" customHeight="1">
      <c r="B118" s="15" t="str">
        <f>"Table 4C: "&amp;E3&amp;" Projected Pupil Generation from Housing Development, 2019-2032"</f>
        <v>Table 4C: Broomhouse Primary School Projected Pupil Generation from Housing Development, 2019-2032</v>
      </c>
      <c r="F118" s="14"/>
      <c r="G118" s="14"/>
    </row>
    <row r="119" spans="2:10" ht="15" customHeight="1">
      <c r="F119" s="14"/>
      <c r="G119" s="14"/>
    </row>
    <row r="120" spans="2:10" ht="15" customHeight="1">
      <c r="B120" s="115"/>
      <c r="C120" s="109" t="s">
        <v>1</v>
      </c>
      <c r="D120" s="109" t="s">
        <v>2</v>
      </c>
      <c r="E120" s="109" t="s">
        <v>3</v>
      </c>
      <c r="F120" s="109" t="s">
        <v>4</v>
      </c>
      <c r="G120" s="109" t="s">
        <v>5</v>
      </c>
      <c r="H120" s="109" t="s">
        <v>6</v>
      </c>
      <c r="I120" s="109" t="s">
        <v>7</v>
      </c>
      <c r="J120" s="109" t="s">
        <v>8</v>
      </c>
    </row>
    <row r="121" spans="2:10" ht="15" customHeight="1">
      <c r="B121" s="114">
        <v>2019</v>
      </c>
      <c r="C121" s="116" t="s">
        <v>97</v>
      </c>
      <c r="D121" s="112">
        <f>VLOOKUP($E$3,'Housing Generation'!$A$3:$BE$90,11,FALSE)</f>
        <v>3</v>
      </c>
      <c r="E121" s="112">
        <f>VLOOKUP($E$3,'Housing Generation'!$A$3:$BE$90,12,FALSE)</f>
        <v>3</v>
      </c>
      <c r="F121" s="112">
        <f>VLOOKUP($E$3,'Housing Generation'!$A$3:$BE$90,13,FALSE)</f>
        <v>2</v>
      </c>
      <c r="G121" s="112">
        <f>VLOOKUP($E$3,'Housing Generation'!$A$3:$BE$90,14,FALSE)</f>
        <v>2</v>
      </c>
      <c r="H121" s="112">
        <f>VLOOKUP($E$3,'Housing Generation'!$A$3:$BE$90,15,FALSE)</f>
        <v>2</v>
      </c>
      <c r="I121" s="112">
        <f>VLOOKUP($E$3,'Housing Generation'!$A$3:$BE$90,16,FALSE)</f>
        <v>2</v>
      </c>
      <c r="J121" s="111">
        <f t="shared" ref="J121:J134" si="21">SUM(D121:I121)</f>
        <v>14</v>
      </c>
    </row>
    <row r="122" spans="2:10" ht="15" customHeight="1">
      <c r="B122" s="114">
        <v>2020</v>
      </c>
      <c r="C122" s="116" t="s">
        <v>97</v>
      </c>
      <c r="D122" s="112">
        <f>VLOOKUP($E$3,'Housing Generation'!$A$3:$BE$90,19,FALSE)</f>
        <v>6</v>
      </c>
      <c r="E122" s="112">
        <f>VLOOKUP($E$3,'Housing Generation'!$A$3:$BE$90,20,FALSE)</f>
        <v>6</v>
      </c>
      <c r="F122" s="112">
        <f>VLOOKUP($E$3,'Housing Generation'!$A$3:$BE$90,21,FALSE)</f>
        <v>6</v>
      </c>
      <c r="G122" s="112">
        <f>VLOOKUP($E$3,'Housing Generation'!$A$3:$BE$90,22,FALSE)</f>
        <v>6</v>
      </c>
      <c r="H122" s="112">
        <f>VLOOKUP($E$3,'Housing Generation'!$A$3:$BE$90,23,FALSE)</f>
        <v>6</v>
      </c>
      <c r="I122" s="112">
        <f>VLOOKUP($E$3,'Housing Generation'!$A$3:$BE$90,24,FALSE)</f>
        <v>5</v>
      </c>
      <c r="J122" s="111">
        <f t="shared" si="21"/>
        <v>35</v>
      </c>
    </row>
    <row r="123" spans="2:10" ht="15" customHeight="1">
      <c r="B123" s="114">
        <v>2021</v>
      </c>
      <c r="C123" s="116" t="s">
        <v>97</v>
      </c>
      <c r="D123" s="112">
        <f>VLOOKUP($E$3,'Housing Generation'!$A$3:$BE$90,27,FALSE)</f>
        <v>6</v>
      </c>
      <c r="E123" s="112">
        <f>VLOOKUP($E$3,'Housing Generation'!$A$3:$BE$90,28,FALSE)</f>
        <v>6</v>
      </c>
      <c r="F123" s="112">
        <f>VLOOKUP($E$3,'Housing Generation'!$A$3:$BE$90,29,FALSE)</f>
        <v>6</v>
      </c>
      <c r="G123" s="112">
        <f>VLOOKUP($E$3,'Housing Generation'!$A$3:$BE$90,30,FALSE)</f>
        <v>6</v>
      </c>
      <c r="H123" s="112">
        <f>VLOOKUP($E$3,'Housing Generation'!$A$3:$BE$90,31,FALSE)</f>
        <v>6</v>
      </c>
      <c r="I123" s="112">
        <f>VLOOKUP($E$3,'Housing Generation'!$A$3:$BE$90,32,FALSE)</f>
        <v>5</v>
      </c>
      <c r="J123" s="111">
        <f t="shared" si="21"/>
        <v>35</v>
      </c>
    </row>
    <row r="124" spans="2:10" ht="15" customHeight="1">
      <c r="B124" s="114">
        <v>2022</v>
      </c>
      <c r="C124" s="116" t="s">
        <v>97</v>
      </c>
      <c r="D124" s="112">
        <f>VLOOKUP($E$3,'Housing Generation'!$A$3:$BE$90,35,FALSE)</f>
        <v>6</v>
      </c>
      <c r="E124" s="112">
        <f>VLOOKUP($E$3,'Housing Generation'!$A$3:$BE$90,36,FALSE)</f>
        <v>6</v>
      </c>
      <c r="F124" s="112">
        <f>VLOOKUP($E$3,'Housing Generation'!$A$3:$BE$90,37,FALSE)</f>
        <v>6</v>
      </c>
      <c r="G124" s="112">
        <f>VLOOKUP($E$3,'Housing Generation'!$A$3:$BE$90,38,FALSE)</f>
        <v>6</v>
      </c>
      <c r="H124" s="112">
        <f>VLOOKUP($E$3,'Housing Generation'!$A$3:$BE$90,39,FALSE)</f>
        <v>6</v>
      </c>
      <c r="I124" s="112">
        <f>VLOOKUP($E$3,'Housing Generation'!$A$3:$BE$90,40,FALSE)</f>
        <v>5</v>
      </c>
      <c r="J124" s="111">
        <f t="shared" si="21"/>
        <v>35</v>
      </c>
    </row>
    <row r="125" spans="2:10" ht="15" customHeight="1">
      <c r="B125" s="114">
        <v>2023</v>
      </c>
      <c r="C125" s="116" t="s">
        <v>97</v>
      </c>
      <c r="D125" s="112">
        <f>VLOOKUP($E$3,'Housing Generation'!$A$3:$BE$90,43,FALSE)</f>
        <v>6</v>
      </c>
      <c r="E125" s="112">
        <f>VLOOKUP($E$3,'Housing Generation'!$A$3:$BE$90,44,FALSE)</f>
        <v>6</v>
      </c>
      <c r="F125" s="112">
        <f>VLOOKUP($E$3,'Housing Generation'!$A$3:$BE$90,45,FALSE)</f>
        <v>6</v>
      </c>
      <c r="G125" s="112">
        <f>VLOOKUP($E$3,'Housing Generation'!$A$3:$BE$90,46,FALSE)</f>
        <v>6</v>
      </c>
      <c r="H125" s="112">
        <f>VLOOKUP($E$3,'Housing Generation'!$A$3:$BE$90,47,FALSE)</f>
        <v>6</v>
      </c>
      <c r="I125" s="112">
        <f>VLOOKUP($E$3,'Housing Generation'!$A$3:$BE$90,48,FALSE)</f>
        <v>5</v>
      </c>
      <c r="J125" s="111">
        <f t="shared" si="21"/>
        <v>35</v>
      </c>
    </row>
    <row r="126" spans="2:10" ht="15" customHeight="1">
      <c r="B126" s="114">
        <v>2024</v>
      </c>
      <c r="C126" s="116" t="s">
        <v>97</v>
      </c>
      <c r="D126" s="112">
        <f>VLOOKUP($E$3,'Housing Generation'!$A$3:$BE$90,51,FALSE)</f>
        <v>6</v>
      </c>
      <c r="E126" s="112">
        <f>VLOOKUP($E$3,'Housing Generation'!$A$3:$BE$90,52,FALSE)</f>
        <v>6</v>
      </c>
      <c r="F126" s="112">
        <f>VLOOKUP($E$3,'Housing Generation'!$A$3:$BE$90,53,FALSE)</f>
        <v>6</v>
      </c>
      <c r="G126" s="112">
        <f>VLOOKUP($E$3,'Housing Generation'!$A$3:$BE$90,54,FALSE)</f>
        <v>6</v>
      </c>
      <c r="H126" s="112">
        <f>VLOOKUP($E$3,'Housing Generation'!$A$3:$BE$90,55,FALSE)</f>
        <v>6</v>
      </c>
      <c r="I126" s="112">
        <f>VLOOKUP($E$3,'Housing Generation'!$A$3:$BE$90,56,FALSE)</f>
        <v>5</v>
      </c>
      <c r="J126" s="111">
        <f t="shared" si="21"/>
        <v>35</v>
      </c>
    </row>
    <row r="127" spans="2:10" ht="15" customHeight="1">
      <c r="B127" s="114">
        <v>2025</v>
      </c>
      <c r="C127" s="240" t="s">
        <v>97</v>
      </c>
      <c r="D127" s="112">
        <f>VLOOKUP($E$3,'Housing Generation'!$A$3:$CK$90,59,FALSE)</f>
        <v>6</v>
      </c>
      <c r="E127" s="112">
        <f>VLOOKUP($E$3,'Housing Generation'!$A$3:$CK$90,60,FALSE)</f>
        <v>6</v>
      </c>
      <c r="F127" s="112">
        <f>VLOOKUP($E$3,'Housing Generation'!$A$3:$CK$90,61,FALSE)</f>
        <v>6</v>
      </c>
      <c r="G127" s="112">
        <f>VLOOKUP($E$3,'Housing Generation'!$A$3:$CK$90,62,FALSE)</f>
        <v>6</v>
      </c>
      <c r="H127" s="112">
        <f>VLOOKUP($E$3,'Housing Generation'!$A$3:$CK$90,63,FALSE)</f>
        <v>6</v>
      </c>
      <c r="I127" s="112">
        <f>VLOOKUP($E$3,'Housing Generation'!$A$3:$CK$90,64,FALSE)</f>
        <v>5</v>
      </c>
      <c r="J127" s="111">
        <f t="shared" si="21"/>
        <v>35</v>
      </c>
    </row>
    <row r="128" spans="2:10" ht="15" customHeight="1">
      <c r="B128" s="114">
        <v>2026</v>
      </c>
      <c r="C128" s="240" t="s">
        <v>97</v>
      </c>
      <c r="D128" s="112">
        <f>VLOOKUP($E$3,'Housing Generation'!$A$3:$CK$90,67,FALSE)</f>
        <v>6</v>
      </c>
      <c r="E128" s="112">
        <f>VLOOKUP($E$3,'Housing Generation'!$A$3:$CK$90,68,FALSE)</f>
        <v>6</v>
      </c>
      <c r="F128" s="112">
        <f>VLOOKUP($E$3,'Housing Generation'!$A$3:$CK$90,69,FALSE)</f>
        <v>6</v>
      </c>
      <c r="G128" s="112">
        <f>VLOOKUP($E$3,'Housing Generation'!$A$3:$CK$90,70,FALSE)</f>
        <v>6</v>
      </c>
      <c r="H128" s="112">
        <f>VLOOKUP($E$3,'Housing Generation'!$A$3:$CK$90,71,FALSE)</f>
        <v>6</v>
      </c>
      <c r="I128" s="112">
        <f>VLOOKUP($E$3,'Housing Generation'!$A$3:$CK$90,72,FALSE)</f>
        <v>5</v>
      </c>
      <c r="J128" s="111">
        <f t="shared" si="21"/>
        <v>35</v>
      </c>
    </row>
    <row r="129" spans="2:10" ht="15" customHeight="1">
      <c r="B129" s="114">
        <v>2027</v>
      </c>
      <c r="C129" s="240" t="s">
        <v>97</v>
      </c>
      <c r="D129" s="112">
        <f>VLOOKUP($E$3,'Housing Generation'!$A$3:$CK$90,75,FALSE)</f>
        <v>6</v>
      </c>
      <c r="E129" s="112">
        <f>VLOOKUP($E$3,'Housing Generation'!$A$3:$CK$90,76,FALSE)</f>
        <v>6</v>
      </c>
      <c r="F129" s="112">
        <f>VLOOKUP($E$3,'Housing Generation'!$A$3:$CK$90,77,FALSE)</f>
        <v>6</v>
      </c>
      <c r="G129" s="112">
        <f>VLOOKUP($E$3,'Housing Generation'!$A$3:$CK$90,78,FALSE)</f>
        <v>6</v>
      </c>
      <c r="H129" s="112">
        <f>VLOOKUP($E$3,'Housing Generation'!$A$3:$CK$90,79,FALSE)</f>
        <v>6</v>
      </c>
      <c r="I129" s="112">
        <f>VLOOKUP($E$3,'Housing Generation'!$A$3:$CK$90,80,FALSE)</f>
        <v>5</v>
      </c>
      <c r="J129" s="111">
        <f t="shared" si="21"/>
        <v>35</v>
      </c>
    </row>
    <row r="130" spans="2:10" ht="15" customHeight="1">
      <c r="B130" s="114">
        <v>2028</v>
      </c>
      <c r="C130" s="289" t="s">
        <v>97</v>
      </c>
      <c r="D130" s="112">
        <f>VLOOKUP($E$3,'Housing Generation'!$A$3:$CK$90,83,FALSE)</f>
        <v>6</v>
      </c>
      <c r="E130" s="112">
        <f>VLOOKUP($E$3,'Housing Generation'!$A$3:$CK$90,84,FALSE)</f>
        <v>6</v>
      </c>
      <c r="F130" s="112">
        <f>VLOOKUP($E$3,'Housing Generation'!$A$3:$CK$90,85,FALSE)</f>
        <v>6</v>
      </c>
      <c r="G130" s="112">
        <f>VLOOKUP($E$3,'Housing Generation'!$A$3:$CK$90,86,FALSE)</f>
        <v>6</v>
      </c>
      <c r="H130" s="112">
        <f>VLOOKUP($E$3,'Housing Generation'!$A$3:$CK$90,87,FALSE)</f>
        <v>6</v>
      </c>
      <c r="I130" s="112">
        <f>VLOOKUP($E$3,'Housing Generation'!$A$3:$CK$90,88,FALSE)</f>
        <v>5</v>
      </c>
      <c r="J130" s="111">
        <f t="shared" si="21"/>
        <v>35</v>
      </c>
    </row>
    <row r="131" spans="2:10" ht="15" customHeight="1">
      <c r="B131" s="114">
        <v>2029</v>
      </c>
      <c r="C131" s="289" t="s">
        <v>97</v>
      </c>
      <c r="D131" s="112">
        <f>VLOOKUP($E$3,'Housing Generation'!$A$3:$DQ$90,91,FALSE)</f>
        <v>6</v>
      </c>
      <c r="E131" s="112">
        <f>VLOOKUP($E$3,'Housing Generation'!$A$3:$DQ$90,92,FALSE)</f>
        <v>6</v>
      </c>
      <c r="F131" s="112">
        <f>VLOOKUP($E$3,'Housing Generation'!$A$3:$DQ$90,93,FALSE)</f>
        <v>6</v>
      </c>
      <c r="G131" s="112">
        <f>VLOOKUP($E$3,'Housing Generation'!$A$3:$DQ$90,94,FALSE)</f>
        <v>6</v>
      </c>
      <c r="H131" s="112">
        <f>VLOOKUP($E$3,'Housing Generation'!$A$3:$DQ$90,95,FALSE)</f>
        <v>6</v>
      </c>
      <c r="I131" s="112">
        <f>VLOOKUP($E$3,'Housing Generation'!$A$3:$DQ$90,96,FALSE)</f>
        <v>5</v>
      </c>
      <c r="J131" s="111">
        <f t="shared" si="21"/>
        <v>35</v>
      </c>
    </row>
    <row r="132" spans="2:10" ht="15" customHeight="1">
      <c r="B132" s="114">
        <v>2030</v>
      </c>
      <c r="C132" s="289" t="s">
        <v>97</v>
      </c>
      <c r="D132" s="112">
        <f>VLOOKUP($E$3,'Housing Generation'!$A$3:$DQ$90,99,FALSE)</f>
        <v>6</v>
      </c>
      <c r="E132" s="112">
        <f>VLOOKUP($E$3,'Housing Generation'!$A$3:$DQ$90,100,FALSE)</f>
        <v>6</v>
      </c>
      <c r="F132" s="112">
        <f>VLOOKUP($E$3,'Housing Generation'!$A$3:$DQ$90,101,FALSE)</f>
        <v>6</v>
      </c>
      <c r="G132" s="112">
        <f>VLOOKUP($E$3,'Housing Generation'!$A$3:$DQ$90,102,FALSE)</f>
        <v>6</v>
      </c>
      <c r="H132" s="112">
        <f>VLOOKUP($E$3,'Housing Generation'!$A$3:$DQ$90,103,FALSE)</f>
        <v>6</v>
      </c>
      <c r="I132" s="112">
        <f>VLOOKUP($E$3,'Housing Generation'!$A$3:$DQ$90,104,FALSE)</f>
        <v>5</v>
      </c>
      <c r="J132" s="111">
        <f t="shared" si="21"/>
        <v>35</v>
      </c>
    </row>
    <row r="133" spans="2:10" ht="15" customHeight="1">
      <c r="B133" s="114">
        <v>2031</v>
      </c>
      <c r="C133" s="289" t="s">
        <v>97</v>
      </c>
      <c r="D133" s="112">
        <f>VLOOKUP($E$3,'Housing Generation'!$A$3:$DQ$90,107,FALSE)</f>
        <v>6</v>
      </c>
      <c r="E133" s="112">
        <f>VLOOKUP($E$3,'Housing Generation'!$A$3:$DQ$90,108,FALSE)</f>
        <v>6</v>
      </c>
      <c r="F133" s="112">
        <f>VLOOKUP($E$3,'Housing Generation'!$A$3:$DQ$90,109,FALSE)</f>
        <v>6</v>
      </c>
      <c r="G133" s="112">
        <f>VLOOKUP($E$3,'Housing Generation'!$A$3:$DQ$90,110,FALSE)</f>
        <v>6</v>
      </c>
      <c r="H133" s="112">
        <f>VLOOKUP($E$3,'Housing Generation'!$A$3:$DQ$90,111,FALSE)</f>
        <v>6</v>
      </c>
      <c r="I133" s="112">
        <f>VLOOKUP($E$3,'Housing Generation'!$A$3:$DQ$90,112,FALSE)</f>
        <v>5</v>
      </c>
      <c r="J133" s="111">
        <f t="shared" si="21"/>
        <v>35</v>
      </c>
    </row>
    <row r="134" spans="2:10" ht="15" customHeight="1">
      <c r="B134" s="114">
        <v>2032</v>
      </c>
      <c r="C134" s="289" t="s">
        <v>97</v>
      </c>
      <c r="D134" s="112">
        <f>VLOOKUP($E$3,'Housing Generation'!$A$3:$DQ$90,115,FALSE)</f>
        <v>6</v>
      </c>
      <c r="E134" s="112">
        <f>VLOOKUP($E$3,'Housing Generation'!$A$3:$DQ$90,116,FALSE)</f>
        <v>6</v>
      </c>
      <c r="F134" s="112">
        <f>VLOOKUP($E$3,'Housing Generation'!$A$3:$DQ$90,117,FALSE)</f>
        <v>6</v>
      </c>
      <c r="G134" s="112">
        <f>VLOOKUP($E$3,'Housing Generation'!$A$3:$DQ$90,118,FALSE)</f>
        <v>6</v>
      </c>
      <c r="H134" s="112">
        <f>VLOOKUP($E$3,'Housing Generation'!$A$3:$DQ$90,119,FALSE)</f>
        <v>6</v>
      </c>
      <c r="I134" s="112">
        <f>VLOOKUP($E$3,'Housing Generation'!$A$3:$DQ$90,120,FALSE)</f>
        <v>5</v>
      </c>
      <c r="J134" s="111">
        <f t="shared" si="21"/>
        <v>35</v>
      </c>
    </row>
    <row r="135" spans="2:10" ht="15"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Broomhouse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25</v>
      </c>
      <c r="D139" s="112">
        <f t="shared" ref="D139:I152" si="23">D121+D103</f>
        <v>29</v>
      </c>
      <c r="E139" s="112">
        <f t="shared" si="23"/>
        <v>30</v>
      </c>
      <c r="F139" s="112">
        <f t="shared" si="23"/>
        <v>27</v>
      </c>
      <c r="G139" s="112">
        <f t="shared" si="23"/>
        <v>39</v>
      </c>
      <c r="H139" s="112">
        <f t="shared" si="23"/>
        <v>43</v>
      </c>
      <c r="I139" s="112">
        <f t="shared" si="23"/>
        <v>31</v>
      </c>
      <c r="J139" s="111">
        <f t="shared" ref="J139:J147" si="24">SUM(C139:I139)</f>
        <v>224</v>
      </c>
    </row>
    <row r="140" spans="2:10" ht="15" customHeight="1">
      <c r="B140" s="114">
        <v>2020</v>
      </c>
      <c r="C140" s="113">
        <f t="shared" si="22"/>
        <v>25</v>
      </c>
      <c r="D140" s="112">
        <f t="shared" si="23"/>
        <v>24</v>
      </c>
      <c r="E140" s="112">
        <f t="shared" si="23"/>
        <v>32</v>
      </c>
      <c r="F140" s="112">
        <f t="shared" si="23"/>
        <v>33</v>
      </c>
      <c r="G140" s="112">
        <f t="shared" si="23"/>
        <v>31</v>
      </c>
      <c r="H140" s="112">
        <f t="shared" si="23"/>
        <v>43</v>
      </c>
      <c r="I140" s="112">
        <f t="shared" si="23"/>
        <v>43</v>
      </c>
      <c r="J140" s="111">
        <f t="shared" si="24"/>
        <v>231</v>
      </c>
    </row>
    <row r="141" spans="2:10" ht="15" customHeight="1">
      <c r="B141" s="114">
        <v>2021</v>
      </c>
      <c r="C141" s="113">
        <f t="shared" si="22"/>
        <v>39.055230866540164</v>
      </c>
      <c r="D141" s="112">
        <f t="shared" si="23"/>
        <v>24</v>
      </c>
      <c r="E141" s="112">
        <f t="shared" si="23"/>
        <v>24</v>
      </c>
      <c r="F141" s="112">
        <f t="shared" si="23"/>
        <v>32</v>
      </c>
      <c r="G141" s="112">
        <f t="shared" si="23"/>
        <v>33</v>
      </c>
      <c r="H141" s="112">
        <f t="shared" si="23"/>
        <v>31</v>
      </c>
      <c r="I141" s="112">
        <f t="shared" si="23"/>
        <v>39</v>
      </c>
      <c r="J141" s="111">
        <f t="shared" si="24"/>
        <v>222.05523086654017</v>
      </c>
    </row>
    <row r="142" spans="2:10" ht="15" customHeight="1">
      <c r="B142" s="114">
        <v>2022</v>
      </c>
      <c r="C142" s="113">
        <f t="shared" si="22"/>
        <v>25</v>
      </c>
      <c r="D142" s="112">
        <f t="shared" si="23"/>
        <v>38</v>
      </c>
      <c r="E142" s="112">
        <f t="shared" si="23"/>
        <v>24</v>
      </c>
      <c r="F142" s="112">
        <f t="shared" si="23"/>
        <v>24</v>
      </c>
      <c r="G142" s="112">
        <f t="shared" si="23"/>
        <v>32</v>
      </c>
      <c r="H142" s="112">
        <f t="shared" si="23"/>
        <v>33</v>
      </c>
      <c r="I142" s="112">
        <f t="shared" si="23"/>
        <v>28</v>
      </c>
      <c r="J142" s="111">
        <f t="shared" si="24"/>
        <v>204</v>
      </c>
    </row>
    <row r="143" spans="2:10" ht="15" customHeight="1">
      <c r="B143" s="114">
        <v>2023</v>
      </c>
      <c r="C143" s="113">
        <f t="shared" si="22"/>
        <v>30</v>
      </c>
      <c r="D143" s="112">
        <f t="shared" si="23"/>
        <v>24</v>
      </c>
      <c r="E143" s="112">
        <f t="shared" si="23"/>
        <v>38</v>
      </c>
      <c r="F143" s="112">
        <f t="shared" si="23"/>
        <v>24</v>
      </c>
      <c r="G143" s="112">
        <f t="shared" si="23"/>
        <v>24</v>
      </c>
      <c r="H143" s="112">
        <f t="shared" si="23"/>
        <v>32</v>
      </c>
      <c r="I143" s="112">
        <f t="shared" si="23"/>
        <v>30</v>
      </c>
      <c r="J143" s="111">
        <f t="shared" si="24"/>
        <v>202</v>
      </c>
    </row>
    <row r="144" spans="2:10" ht="15" customHeight="1">
      <c r="B144" s="114">
        <v>2024</v>
      </c>
      <c r="C144" s="113">
        <f t="shared" si="22"/>
        <v>30</v>
      </c>
      <c r="D144" s="112">
        <f t="shared" si="23"/>
        <v>29</v>
      </c>
      <c r="E144" s="112">
        <f t="shared" si="23"/>
        <v>24</v>
      </c>
      <c r="F144" s="112">
        <f t="shared" si="23"/>
        <v>38</v>
      </c>
      <c r="G144" s="112">
        <f t="shared" si="23"/>
        <v>24</v>
      </c>
      <c r="H144" s="112">
        <f t="shared" si="23"/>
        <v>24</v>
      </c>
      <c r="I144" s="112">
        <f t="shared" si="23"/>
        <v>29</v>
      </c>
      <c r="J144" s="111">
        <f t="shared" si="24"/>
        <v>198</v>
      </c>
    </row>
    <row r="145" spans="2:16" ht="15" customHeight="1">
      <c r="B145" s="114">
        <v>2025</v>
      </c>
      <c r="C145" s="113">
        <f t="shared" si="22"/>
        <v>30</v>
      </c>
      <c r="D145" s="112">
        <f t="shared" si="23"/>
        <v>29</v>
      </c>
      <c r="E145" s="112">
        <f t="shared" si="23"/>
        <v>29</v>
      </c>
      <c r="F145" s="112">
        <f t="shared" si="23"/>
        <v>24</v>
      </c>
      <c r="G145" s="112">
        <f t="shared" si="23"/>
        <v>38</v>
      </c>
      <c r="H145" s="112">
        <f t="shared" si="23"/>
        <v>24</v>
      </c>
      <c r="I145" s="112">
        <f t="shared" si="23"/>
        <v>22</v>
      </c>
      <c r="J145" s="111">
        <f t="shared" si="24"/>
        <v>196</v>
      </c>
    </row>
    <row r="146" spans="2:16" ht="15" customHeight="1">
      <c r="B146" s="114">
        <v>2026</v>
      </c>
      <c r="C146" s="113">
        <f t="shared" si="22"/>
        <v>30</v>
      </c>
      <c r="D146" s="112">
        <f t="shared" si="23"/>
        <v>29</v>
      </c>
      <c r="E146" s="112">
        <f t="shared" si="23"/>
        <v>29</v>
      </c>
      <c r="F146" s="112">
        <f t="shared" si="23"/>
        <v>29</v>
      </c>
      <c r="G146" s="112">
        <f t="shared" si="23"/>
        <v>24</v>
      </c>
      <c r="H146" s="112">
        <f t="shared" si="23"/>
        <v>38</v>
      </c>
      <c r="I146" s="112">
        <f t="shared" si="23"/>
        <v>22</v>
      </c>
      <c r="J146" s="111">
        <f t="shared" si="24"/>
        <v>201</v>
      </c>
    </row>
    <row r="147" spans="2:16" ht="15" customHeight="1">
      <c r="B147" s="114">
        <v>2027</v>
      </c>
      <c r="C147" s="113">
        <f t="shared" si="22"/>
        <v>30</v>
      </c>
      <c r="D147" s="112">
        <f t="shared" si="23"/>
        <v>29</v>
      </c>
      <c r="E147" s="112">
        <f t="shared" si="23"/>
        <v>29</v>
      </c>
      <c r="F147" s="112">
        <f t="shared" si="23"/>
        <v>29</v>
      </c>
      <c r="G147" s="112">
        <f t="shared" si="23"/>
        <v>29</v>
      </c>
      <c r="H147" s="112">
        <f t="shared" si="23"/>
        <v>24</v>
      </c>
      <c r="I147" s="112">
        <f t="shared" si="23"/>
        <v>35</v>
      </c>
      <c r="J147" s="111">
        <f t="shared" si="24"/>
        <v>205</v>
      </c>
    </row>
    <row r="148" spans="2:16" ht="15" customHeight="1">
      <c r="B148" s="114">
        <v>2028</v>
      </c>
      <c r="C148" s="113">
        <f t="shared" si="22"/>
        <v>30</v>
      </c>
      <c r="D148" s="112">
        <f t="shared" si="23"/>
        <v>29</v>
      </c>
      <c r="E148" s="112">
        <f t="shared" si="23"/>
        <v>29</v>
      </c>
      <c r="F148" s="112">
        <f t="shared" si="23"/>
        <v>29</v>
      </c>
      <c r="G148" s="112">
        <f t="shared" si="23"/>
        <v>29</v>
      </c>
      <c r="H148" s="112">
        <f t="shared" si="23"/>
        <v>29</v>
      </c>
      <c r="I148" s="112">
        <f t="shared" si="23"/>
        <v>22</v>
      </c>
      <c r="J148" s="111">
        <f t="shared" ref="J148:J152" si="25">SUM(C148:I148)</f>
        <v>197</v>
      </c>
    </row>
    <row r="149" spans="2:16" ht="15" customHeight="1">
      <c r="B149" s="114">
        <v>2029</v>
      </c>
      <c r="C149" s="113">
        <f t="shared" si="22"/>
        <v>30</v>
      </c>
      <c r="D149" s="112">
        <f t="shared" si="23"/>
        <v>29</v>
      </c>
      <c r="E149" s="112">
        <f t="shared" si="23"/>
        <v>29</v>
      </c>
      <c r="F149" s="112">
        <f t="shared" si="23"/>
        <v>29</v>
      </c>
      <c r="G149" s="112">
        <f t="shared" si="23"/>
        <v>29</v>
      </c>
      <c r="H149" s="112">
        <f t="shared" si="23"/>
        <v>29</v>
      </c>
      <c r="I149" s="112">
        <f t="shared" si="23"/>
        <v>26</v>
      </c>
      <c r="J149" s="111">
        <f t="shared" si="25"/>
        <v>201</v>
      </c>
    </row>
    <row r="150" spans="2:16" ht="15" customHeight="1">
      <c r="B150" s="114">
        <v>2030</v>
      </c>
      <c r="C150" s="113">
        <f t="shared" si="22"/>
        <v>30</v>
      </c>
      <c r="D150" s="112">
        <f t="shared" si="23"/>
        <v>29</v>
      </c>
      <c r="E150" s="112">
        <f t="shared" si="23"/>
        <v>29</v>
      </c>
      <c r="F150" s="112">
        <f t="shared" si="23"/>
        <v>29</v>
      </c>
      <c r="G150" s="112">
        <f t="shared" si="23"/>
        <v>29</v>
      </c>
      <c r="H150" s="112">
        <f t="shared" si="23"/>
        <v>29</v>
      </c>
      <c r="I150" s="112">
        <f t="shared" si="23"/>
        <v>26</v>
      </c>
      <c r="J150" s="111">
        <f t="shared" si="25"/>
        <v>201</v>
      </c>
    </row>
    <row r="151" spans="2:16" ht="15" customHeight="1">
      <c r="B151" s="114">
        <v>2031</v>
      </c>
      <c r="C151" s="113">
        <f t="shared" si="22"/>
        <v>30</v>
      </c>
      <c r="D151" s="112">
        <f t="shared" si="23"/>
        <v>29</v>
      </c>
      <c r="E151" s="112">
        <f t="shared" si="23"/>
        <v>29</v>
      </c>
      <c r="F151" s="112">
        <f t="shared" si="23"/>
        <v>29</v>
      </c>
      <c r="G151" s="112">
        <f t="shared" si="23"/>
        <v>29</v>
      </c>
      <c r="H151" s="112">
        <f t="shared" si="23"/>
        <v>29</v>
      </c>
      <c r="I151" s="112">
        <f t="shared" si="23"/>
        <v>26</v>
      </c>
      <c r="J151" s="111">
        <f t="shared" si="25"/>
        <v>201</v>
      </c>
    </row>
    <row r="152" spans="2:16" ht="15" customHeight="1">
      <c r="B152" s="114">
        <v>2032</v>
      </c>
      <c r="C152" s="113">
        <f t="shared" si="22"/>
        <v>30</v>
      </c>
      <c r="D152" s="112">
        <f t="shared" si="23"/>
        <v>29</v>
      </c>
      <c r="E152" s="112">
        <f t="shared" si="23"/>
        <v>29</v>
      </c>
      <c r="F152" s="112">
        <f t="shared" si="23"/>
        <v>29</v>
      </c>
      <c r="G152" s="112">
        <f t="shared" si="23"/>
        <v>29</v>
      </c>
      <c r="H152" s="112">
        <f t="shared" si="23"/>
        <v>29</v>
      </c>
      <c r="I152" s="112">
        <f t="shared" si="23"/>
        <v>26</v>
      </c>
      <c r="J152" s="111">
        <f t="shared" si="25"/>
        <v>201</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224</v>
      </c>
      <c r="D159" s="108">
        <f>J140</f>
        <v>231</v>
      </c>
      <c r="E159" s="108">
        <f>J141</f>
        <v>222.05523086654017</v>
      </c>
      <c r="F159" s="108">
        <f>J142</f>
        <v>204</v>
      </c>
      <c r="G159" s="108">
        <f>J143</f>
        <v>202</v>
      </c>
      <c r="H159" s="108">
        <f>J144</f>
        <v>198</v>
      </c>
      <c r="I159" s="108">
        <f>J145</f>
        <v>196</v>
      </c>
      <c r="J159" s="108">
        <f>J146</f>
        <v>201</v>
      </c>
      <c r="K159" s="108">
        <f>J147</f>
        <v>205</v>
      </c>
      <c r="L159" s="108">
        <f>J148</f>
        <v>197</v>
      </c>
      <c r="M159" s="108">
        <f>J149</f>
        <v>201</v>
      </c>
      <c r="N159" s="108">
        <f>J150</f>
        <v>201</v>
      </c>
      <c r="O159" s="108">
        <f>J151</f>
        <v>201</v>
      </c>
      <c r="P159" s="108">
        <f>J152</f>
        <v>201</v>
      </c>
    </row>
    <row r="160" spans="2:16" ht="15" customHeight="1">
      <c r="B160" s="107" t="s">
        <v>152</v>
      </c>
      <c r="C160" s="106">
        <f>VLOOKUP(C159,Capacity!$A$1:$C$645,2,TRUE)</f>
        <v>9</v>
      </c>
      <c r="D160" s="106">
        <f>VLOOKUP(D159,Capacity!$A$1:$C$645,2,TRUE)</f>
        <v>9</v>
      </c>
      <c r="E160" s="106">
        <f>VLOOKUP(E159,Capacity!$A$1:$C$645,2,TRUE)</f>
        <v>9</v>
      </c>
      <c r="F160" s="106">
        <f>VLOOKUP(F159,Capacity!$A$1:$C$645,2,TRUE)</f>
        <v>7</v>
      </c>
      <c r="G160" s="106">
        <f>VLOOKUP(G159,Capacity!$A$1:$C$645,2,TRUE)</f>
        <v>7</v>
      </c>
      <c r="H160" s="106">
        <f>VLOOKUP(H159,Capacity!$A$1:$C$645,2,TRUE)</f>
        <v>7</v>
      </c>
      <c r="I160" s="106">
        <f>VLOOKUP(I159,Capacity!$A$1:$C$645,2,TRUE)</f>
        <v>7</v>
      </c>
      <c r="J160" s="106">
        <f>VLOOKUP(J159,Capacity!$A$1:$C$645,2,TRUE)</f>
        <v>7</v>
      </c>
      <c r="K160" s="106">
        <f>VLOOKUP(K159,Capacity!$A$1:$C$645,2,TRUE)</f>
        <v>7</v>
      </c>
      <c r="L160" s="106">
        <f>VLOOKUP(L159,Capacity!$A$1:$C$645,2,TRUE)</f>
        <v>7</v>
      </c>
      <c r="M160" s="106">
        <f>VLOOKUP(M159,Capacity!$A$1:$C$645,2,TRUE)</f>
        <v>7</v>
      </c>
      <c r="N160" s="106">
        <f>VLOOKUP(N159,Capacity!$A$1:$C$645,2,TRUE)</f>
        <v>7</v>
      </c>
      <c r="O160" s="106">
        <f>VLOOKUP(O159,Capacity!$A$1:$C$645,2,TRUE)</f>
        <v>7</v>
      </c>
      <c r="P160" s="106">
        <f>VLOOKUP(P159,Capacity!$A$1:$C$645,2,TRUE)</f>
        <v>7</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52</v>
      </c>
      <c r="D169" s="97">
        <f>VLOOKUP($E$3,'Catchment Births'!$A$1:$U$90,11,FALSE)</f>
        <v>61</v>
      </c>
      <c r="E169" s="97">
        <f>VLOOKUP($E$3,'Catchment Births'!$A$1:$U$90,12,FALSE)</f>
        <v>56</v>
      </c>
      <c r="F169" s="97">
        <f>VLOOKUP($E$3,'Catchment Births'!$A$1:$U$90,13,FALSE)</f>
        <v>59</v>
      </c>
      <c r="G169" s="97">
        <f>VLOOKUP($E$3,'Catchment Births'!$A$1:$U$90,14,FALSE)</f>
        <v>56</v>
      </c>
      <c r="H169" s="97">
        <f>VLOOKUP($E$3,'Catchment Births'!$A$1:$U$90,15,FALSE)</f>
        <v>58</v>
      </c>
      <c r="I169" s="97">
        <f>VLOOKUP($E$3,'Catchment Births'!$A$1:$U$90,16,FALSE)</f>
        <v>57</v>
      </c>
      <c r="J169" s="97">
        <f>VLOOKUP($E$3,'Catchment Births'!$A$1:$U$90,17,FALSE)</f>
        <v>42</v>
      </c>
      <c r="K169" s="97">
        <f>VLOOKUP($E$3,'Catchment Births'!$A$1:$U$90,18,FALSE)</f>
        <v>37</v>
      </c>
      <c r="L169" s="97">
        <f>VLOOKUP($E$3,'Catchment Births'!$A$1:$U$90,19,FALSE)</f>
        <v>32</v>
      </c>
      <c r="M169" s="97">
        <f>VLOOKUP($E$3,'Catchment Births'!$A$1:$U$90,20,FALSE)</f>
        <v>37</v>
      </c>
      <c r="N169" s="97">
        <f>VLOOKUP($E$3,'Catchment Births'!$A$1:$U$90,21,FALSE)</f>
        <v>31</v>
      </c>
    </row>
    <row r="170" spans="2:14" ht="58.5" customHeight="1">
      <c r="B170" s="103" t="str">
        <f>"P1 "&amp;A35&amp;" Catchment Population (Actual)"</f>
        <v>P1 ND Catchment Population (Actual)</v>
      </c>
      <c r="C170" s="102" t="e">
        <v>#REF!</v>
      </c>
      <c r="D170" s="102">
        <v>44</v>
      </c>
      <c r="E170" s="102">
        <v>30</v>
      </c>
      <c r="F170" s="102">
        <v>31</v>
      </c>
      <c r="G170" s="102">
        <v>33</v>
      </c>
      <c r="H170" s="102">
        <v>33</v>
      </c>
      <c r="I170" s="102">
        <v>41</v>
      </c>
      <c r="J170" s="308">
        <f>VLOOKUP(E3,'Catchment Projections'!A1:BU92,42,FALSE)</f>
        <v>34</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41</v>
      </c>
      <c r="J172" s="96" t="e">
        <f>#REF!</f>
        <v>#REF!</v>
      </c>
      <c r="K172" s="96">
        <f>D51</f>
        <v>30</v>
      </c>
      <c r="L172" s="96">
        <f>E51</f>
        <v>29</v>
      </c>
      <c r="M172" s="96">
        <f>F51</f>
        <v>41</v>
      </c>
      <c r="N172" s="96">
        <f>G51</f>
        <v>34</v>
      </c>
    </row>
    <row r="173" spans="2:14" ht="12.75">
      <c r="B173" s="62"/>
      <c r="C173" s="62"/>
      <c r="D173" s="62"/>
      <c r="E173" s="62"/>
      <c r="F173" s="62"/>
      <c r="G173" s="62"/>
      <c r="H173" s="62"/>
      <c r="I173" s="62"/>
      <c r="J173" s="62"/>
      <c r="K173" s="62"/>
    </row>
    <row r="174" spans="2:14" ht="15" customHeight="1">
      <c r="B174" s="64" t="str">
        <f>"Table 5: "&amp;E3&amp;" Roll by Stage, 2002-2018"</f>
        <v>Table 5: Broomhouse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18</v>
      </c>
      <c r="D177" s="93">
        <v>29</v>
      </c>
      <c r="E177" s="93">
        <v>25</v>
      </c>
      <c r="F177" s="93">
        <v>40</v>
      </c>
      <c r="G177" s="93">
        <v>16</v>
      </c>
      <c r="H177" s="93">
        <v>19</v>
      </c>
      <c r="I177" s="93">
        <v>18</v>
      </c>
      <c r="J177" s="92">
        <v>165</v>
      </c>
      <c r="K177" s="62"/>
    </row>
    <row r="178" spans="2:11" ht="15" customHeight="1">
      <c r="B178" s="94">
        <v>2003</v>
      </c>
      <c r="C178" s="93">
        <v>18</v>
      </c>
      <c r="D178" s="93">
        <v>23</v>
      </c>
      <c r="E178" s="93">
        <v>28</v>
      </c>
      <c r="F178" s="93">
        <v>23</v>
      </c>
      <c r="G178" s="93">
        <v>30</v>
      </c>
      <c r="H178" s="93">
        <v>22</v>
      </c>
      <c r="I178" s="93">
        <v>17</v>
      </c>
      <c r="J178" s="92">
        <v>161</v>
      </c>
      <c r="K178" s="62"/>
    </row>
    <row r="179" spans="2:11" customFormat="1" ht="15" customHeight="1">
      <c r="B179" s="94">
        <v>2004</v>
      </c>
      <c r="C179" s="95">
        <v>25</v>
      </c>
      <c r="D179" s="95">
        <v>15</v>
      </c>
      <c r="E179" s="95">
        <v>17</v>
      </c>
      <c r="F179" s="95">
        <v>23</v>
      </c>
      <c r="G179" s="95">
        <v>23</v>
      </c>
      <c r="H179" s="95">
        <v>26</v>
      </c>
      <c r="I179" s="95">
        <v>20</v>
      </c>
      <c r="J179" s="92">
        <v>149</v>
      </c>
      <c r="K179" s="62"/>
    </row>
    <row r="180" spans="2:11" customFormat="1" ht="15" customHeight="1">
      <c r="B180" s="94">
        <v>2005</v>
      </c>
      <c r="C180" s="93">
        <v>26</v>
      </c>
      <c r="D180" s="93">
        <v>21</v>
      </c>
      <c r="E180" s="93">
        <v>14</v>
      </c>
      <c r="F180" s="93">
        <v>15</v>
      </c>
      <c r="G180" s="93">
        <v>22</v>
      </c>
      <c r="H180" s="93">
        <v>20</v>
      </c>
      <c r="I180" s="93">
        <v>24</v>
      </c>
      <c r="J180" s="92">
        <v>142</v>
      </c>
      <c r="K180" s="62"/>
    </row>
    <row r="181" spans="2:11" customFormat="1" ht="15" customHeight="1">
      <c r="B181" s="94">
        <v>2006</v>
      </c>
      <c r="C181" s="93">
        <v>29</v>
      </c>
      <c r="D181" s="93">
        <v>34</v>
      </c>
      <c r="E181" s="93">
        <v>26</v>
      </c>
      <c r="F181" s="93">
        <v>17</v>
      </c>
      <c r="G181" s="93">
        <v>13</v>
      </c>
      <c r="H181" s="93">
        <v>24</v>
      </c>
      <c r="I181" s="93">
        <v>26</v>
      </c>
      <c r="J181" s="92">
        <v>169</v>
      </c>
      <c r="K181" s="62"/>
    </row>
    <row r="182" spans="2:11" customFormat="1" ht="15" customHeight="1">
      <c r="B182" s="94">
        <v>2007</v>
      </c>
      <c r="C182" s="93">
        <v>21</v>
      </c>
      <c r="D182" s="93">
        <v>27</v>
      </c>
      <c r="E182" s="93">
        <v>29</v>
      </c>
      <c r="F182" s="93">
        <v>25</v>
      </c>
      <c r="G182" s="93">
        <v>19</v>
      </c>
      <c r="H182" s="93">
        <v>15</v>
      </c>
      <c r="I182" s="93">
        <v>21</v>
      </c>
      <c r="J182" s="92">
        <v>157</v>
      </c>
      <c r="K182" s="62"/>
    </row>
    <row r="183" spans="2:11" customFormat="1" ht="15" customHeight="1">
      <c r="B183" s="94">
        <v>2008</v>
      </c>
      <c r="C183" s="93">
        <v>28</v>
      </c>
      <c r="D183" s="93">
        <v>25</v>
      </c>
      <c r="E183" s="93">
        <v>21</v>
      </c>
      <c r="F183" s="93">
        <v>27</v>
      </c>
      <c r="G183" s="93">
        <v>25</v>
      </c>
      <c r="H183" s="93">
        <v>19</v>
      </c>
      <c r="I183" s="93">
        <v>10</v>
      </c>
      <c r="J183" s="92">
        <v>155</v>
      </c>
      <c r="K183" s="62"/>
    </row>
    <row r="184" spans="2:11" customFormat="1" ht="15" customHeight="1">
      <c r="B184" s="94">
        <v>2009</v>
      </c>
      <c r="C184" s="93">
        <v>16</v>
      </c>
      <c r="D184" s="93">
        <v>22</v>
      </c>
      <c r="E184" s="93">
        <v>22</v>
      </c>
      <c r="F184" s="93">
        <v>21</v>
      </c>
      <c r="G184" s="93">
        <v>22</v>
      </c>
      <c r="H184" s="93">
        <v>24</v>
      </c>
      <c r="I184" s="93">
        <v>16</v>
      </c>
      <c r="J184" s="94">
        <v>143</v>
      </c>
      <c r="K184" s="62"/>
    </row>
    <row r="185" spans="2:11" customFormat="1" ht="15" customHeight="1">
      <c r="B185" s="94">
        <v>2010</v>
      </c>
      <c r="C185" s="93">
        <v>33</v>
      </c>
      <c r="D185" s="93">
        <v>15</v>
      </c>
      <c r="E185" s="93">
        <v>24</v>
      </c>
      <c r="F185" s="93">
        <v>20</v>
      </c>
      <c r="G185" s="93">
        <v>21</v>
      </c>
      <c r="H185" s="93">
        <v>24</v>
      </c>
      <c r="I185" s="93">
        <v>22</v>
      </c>
      <c r="J185" s="92">
        <v>159</v>
      </c>
      <c r="K185" s="62"/>
    </row>
    <row r="186" spans="2:11" customFormat="1" ht="15" customHeight="1">
      <c r="B186" s="94">
        <v>2011</v>
      </c>
      <c r="C186" s="93">
        <v>23</v>
      </c>
      <c r="D186" s="93">
        <v>28</v>
      </c>
      <c r="E186" s="93">
        <v>11</v>
      </c>
      <c r="F186" s="93">
        <v>23</v>
      </c>
      <c r="G186" s="93">
        <v>18</v>
      </c>
      <c r="H186" s="93">
        <v>22</v>
      </c>
      <c r="I186" s="93">
        <v>23</v>
      </c>
      <c r="J186" s="92">
        <v>148</v>
      </c>
      <c r="K186" s="62"/>
    </row>
    <row r="187" spans="2:11" customFormat="1" ht="15" customHeight="1">
      <c r="B187" s="94">
        <v>2012</v>
      </c>
      <c r="C187" s="93">
        <v>28</v>
      </c>
      <c r="D187" s="93">
        <v>23</v>
      </c>
      <c r="E187" s="93">
        <v>29</v>
      </c>
      <c r="F187" s="93">
        <v>11</v>
      </c>
      <c r="G187" s="93">
        <v>23</v>
      </c>
      <c r="H187" s="93">
        <v>18</v>
      </c>
      <c r="I187" s="93">
        <v>19</v>
      </c>
      <c r="J187" s="92">
        <v>151</v>
      </c>
      <c r="K187" s="62"/>
    </row>
    <row r="188" spans="2:11" customFormat="1" ht="15" customHeight="1">
      <c r="B188" s="94">
        <v>2013</v>
      </c>
      <c r="C188" s="93">
        <v>34</v>
      </c>
      <c r="D188" s="93">
        <v>30</v>
      </c>
      <c r="E188" s="93">
        <v>23</v>
      </c>
      <c r="F188" s="93">
        <v>28</v>
      </c>
      <c r="G188" s="93">
        <v>12</v>
      </c>
      <c r="H188" s="93">
        <v>24</v>
      </c>
      <c r="I188" s="93">
        <v>17</v>
      </c>
      <c r="J188" s="94">
        <v>168</v>
      </c>
      <c r="K188" s="62"/>
    </row>
    <row r="189" spans="2:11" customFormat="1" ht="15" customHeight="1">
      <c r="B189" s="94">
        <v>2014</v>
      </c>
      <c r="C189" s="93">
        <v>40</v>
      </c>
      <c r="D189" s="93">
        <v>30</v>
      </c>
      <c r="E189" s="93">
        <v>30</v>
      </c>
      <c r="F189" s="93">
        <v>23</v>
      </c>
      <c r="G189" s="93">
        <v>26</v>
      </c>
      <c r="H189" s="93">
        <v>14</v>
      </c>
      <c r="I189" s="93">
        <v>23</v>
      </c>
      <c r="J189" s="92">
        <v>186</v>
      </c>
      <c r="K189" s="65"/>
    </row>
    <row r="190" spans="2:11" customFormat="1" ht="15" customHeight="1">
      <c r="B190" s="94">
        <v>2015</v>
      </c>
      <c r="C190" s="93">
        <v>40</v>
      </c>
      <c r="D190" s="93">
        <v>39</v>
      </c>
      <c r="E190" s="93">
        <v>32</v>
      </c>
      <c r="F190" s="93">
        <v>28</v>
      </c>
      <c r="G190" s="93">
        <v>28</v>
      </c>
      <c r="H190" s="93">
        <v>27</v>
      </c>
      <c r="I190" s="93">
        <v>12</v>
      </c>
      <c r="J190" s="92">
        <v>206</v>
      </c>
      <c r="K190" s="65"/>
    </row>
    <row r="191" spans="2:11" customFormat="1" ht="15" customHeight="1">
      <c r="B191" s="94">
        <v>2016</v>
      </c>
      <c r="C191" s="93">
        <v>30</v>
      </c>
      <c r="D191" s="93">
        <v>40</v>
      </c>
      <c r="E191" s="93">
        <v>38</v>
      </c>
      <c r="F191" s="93">
        <v>34</v>
      </c>
      <c r="G191" s="93">
        <v>29</v>
      </c>
      <c r="H191" s="93">
        <v>28</v>
      </c>
      <c r="I191" s="93">
        <v>25</v>
      </c>
      <c r="J191" s="92">
        <v>224</v>
      </c>
      <c r="K191" s="65"/>
    </row>
    <row r="192" spans="2:11" ht="15" customHeight="1">
      <c r="B192" s="94">
        <v>2017</v>
      </c>
      <c r="C192" s="93">
        <f>VLOOKUP($E$3,Rolls!A1:FA90,42,FALSE)</f>
        <v>26</v>
      </c>
      <c r="D192" s="93">
        <f>VLOOKUP($E$3,Rolls!A1:FA90,43,FALSE)</f>
        <v>25</v>
      </c>
      <c r="E192" s="93">
        <f>VLOOKUP($E$3,Rolls!A1:FA90,44,FALSE)</f>
        <v>37</v>
      </c>
      <c r="F192" s="93">
        <f>VLOOKUP($E$3,Rolls!A1:FA90,45,FALSE)</f>
        <v>41</v>
      </c>
      <c r="G192" s="93">
        <f>VLOOKUP($E$3,Rolls!A1:FA90,46,FALSE)</f>
        <v>31</v>
      </c>
      <c r="H192" s="93">
        <f>VLOOKUP($E$3,Rolls!A1:FA90,47,FALSE)</f>
        <v>29</v>
      </c>
      <c r="I192" s="93">
        <f>VLOOKUP($E$3,Rolls!A1:FA90,48,FALSE)</f>
        <v>26</v>
      </c>
      <c r="J192" s="92">
        <f>VLOOKUP($E$3,Rolls!A1:FA90,49,FALSE)</f>
        <v>215</v>
      </c>
      <c r="K192" s="65"/>
    </row>
    <row r="193" spans="2:11" ht="15" customHeight="1">
      <c r="B193" s="94">
        <v>2018</v>
      </c>
      <c r="C193" s="93">
        <f>VLOOKUP($E$3,Rolls!A1:FA90,50,FALSE)</f>
        <v>27</v>
      </c>
      <c r="D193" s="93">
        <f>VLOOKUP($E$3,Rolls!A1:FA90,51,FALSE)</f>
        <v>27</v>
      </c>
      <c r="E193" s="93">
        <f>VLOOKUP($E$3,Rolls!A1:FA90,52,FALSE)</f>
        <v>25</v>
      </c>
      <c r="F193" s="93">
        <f>VLOOKUP($E$3,Rolls!A1:FA90,53,FALSE)</f>
        <v>37</v>
      </c>
      <c r="G193" s="93">
        <f>VLOOKUP($E$3,Rolls!A1:FA90,54,FALSE)</f>
        <v>41</v>
      </c>
      <c r="H193" s="93">
        <f>VLOOKUP($E$3,Rolls!A1:FA90,55,FALSE)</f>
        <v>31</v>
      </c>
      <c r="I193" s="93">
        <f>VLOOKUP($E$3,Rolls!A1:FA90,56,FALSE)</f>
        <v>27</v>
      </c>
      <c r="J193" s="92">
        <f>VLOOKUP($E$3,Rolls!A1:FA90,57,FALSE)</f>
        <v>215</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14</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Broughton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462 Pupils (16 classes)</v>
      </c>
      <c r="G12" s="16"/>
      <c r="H12" s="16"/>
    </row>
    <row r="13" spans="2:10" ht="15" customHeight="1">
      <c r="C13" s="16"/>
      <c r="D13" s="16"/>
      <c r="E13" s="16"/>
      <c r="F13" s="16"/>
      <c r="G13" s="16"/>
      <c r="H13" s="16"/>
    </row>
    <row r="14" spans="2:10" ht="15" customHeight="1">
      <c r="B14" s="15" t="str">
        <f>"Figure 1: "&amp;E3&amp;" Roll, 2002-2015"</f>
        <v>Figure 1: Broughton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Broughton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61</v>
      </c>
      <c r="E49" s="108">
        <f>VLOOKUP($E$3,'Catchment Projections'!$A$1:$BU$90,46,FALSE)</f>
        <v>66</v>
      </c>
      <c r="F49" s="108">
        <f>VLOOKUP($E$3,'Catchment Projections'!$A$1:$BU$90,47,FALSE)</f>
        <v>59</v>
      </c>
      <c r="G49" s="108">
        <f>VLOOKUP($E$3,'Catchment Projections'!$A$1:$BU$90,48,FALSE)</f>
        <v>65</v>
      </c>
      <c r="H49" s="133">
        <f>VLOOKUP($E$3,'Catchment Projections'!$A$1:$BU$90,49,FALSE)</f>
        <v>64</v>
      </c>
      <c r="I49" s="133">
        <f>VLOOKUP($E$3,'Catchment Projections'!$A$1:$BU$90,50,FALSE)</f>
        <v>65</v>
      </c>
      <c r="J49" s="133">
        <f>VLOOKUP($E$3,'Catchment Projections'!$A$1:$BU$90,51,FALSE)</f>
        <v>66</v>
      </c>
      <c r="K49" s="133">
        <f>VLOOKUP($E$3,'Catchment Projections'!$A$1:$BU$90,52,FALSE)</f>
        <v>66</v>
      </c>
      <c r="L49" s="133">
        <f>VLOOKUP($E$3,'Catchment Projections'!$A$1:$BU$90,53,FALSE)</f>
        <v>67</v>
      </c>
      <c r="M49" s="133">
        <f>VLOOKUP($E$3,'Catchment Projections'!$A$1:$BU$90,54,FALSE)</f>
        <v>67</v>
      </c>
      <c r="N49" s="133">
        <f>VLOOKUP($E$3,'Catchment Projections'!$A$1:$BU$90,55,FALSE)</f>
        <v>67</v>
      </c>
      <c r="O49" s="133">
        <f>VLOOKUP($E$3,'Catchment Projections'!$A$1:$BU$90,56,FALSE)</f>
        <v>68</v>
      </c>
      <c r="P49" s="133">
        <f>VLOOKUP($E$3,'Catchment Projections'!$A$1:$BU$90,57,FALSE)</f>
        <v>68</v>
      </c>
      <c r="Q49" s="133">
        <f>VLOOKUP($E$3,'Catchment Projections'!$A$1:$BU$90,58,FALSE)</f>
        <v>68</v>
      </c>
    </row>
    <row r="50" spans="2:17" ht="15" customHeight="1" thickBot="1">
      <c r="B50" s="410" t="s">
        <v>141</v>
      </c>
      <c r="C50" s="411"/>
      <c r="D50" s="286">
        <f>VLOOKUP(E3,'Housing Generation'!$A$3:$DQ$90,10,FALSE)</f>
        <v>3</v>
      </c>
      <c r="E50" s="286">
        <f>VLOOKUP(E3,'Housing Generation'!$A$3:$DQ$90,18,FALSE)</f>
        <v>4</v>
      </c>
      <c r="F50" s="286">
        <f>VLOOKUP(E3,'Housing Generation'!$A$3:$DQ$90,26,FALSE)</f>
        <v>6</v>
      </c>
      <c r="G50" s="243">
        <f>VLOOKUP(E3,'Housing Generation'!$A$3:$DQ$90,34,FALSE)</f>
        <v>9</v>
      </c>
      <c r="H50" s="133">
        <f>VLOOKUP(E3,'Housing Generation'!$A$3:$DQ$90,42,FALSE)</f>
        <v>10</v>
      </c>
      <c r="I50" s="133">
        <f>VLOOKUP(E3,'Housing Generation'!$A$3:$DQ$90,50,FALSE)</f>
        <v>11</v>
      </c>
      <c r="J50" s="133">
        <f>VLOOKUP(E3,'Housing Generation'!$A$3:$CK$90,58,FALSE)</f>
        <v>11</v>
      </c>
      <c r="K50" s="133">
        <f>VLOOKUP(E3,'Housing Generation'!$A$3:$CK$90,66,FALSE)</f>
        <v>11</v>
      </c>
      <c r="L50" s="133">
        <f>VLOOKUP(E3,'Housing Generation'!$A$3:$DQ$90,74,FALSE)</f>
        <v>12</v>
      </c>
      <c r="M50" s="133">
        <f>VLOOKUP(E3,'Housing Generation'!$A$3:$DQ$90,82,FALSE)</f>
        <v>12</v>
      </c>
      <c r="N50" s="133">
        <f>VLOOKUP(E3,'Housing Generation'!$A$3:$DQ$90,90,FALSE)</f>
        <v>12</v>
      </c>
      <c r="O50" s="133">
        <f>VLOOKUP(E3,'Housing Generation'!$A$3:$DQ$90,98,FALSE)</f>
        <v>12</v>
      </c>
      <c r="P50" s="133">
        <f>VLOOKUP(E3,'Housing Generation'!$A$3:$DQ$90,106,FALSE)</f>
        <v>12</v>
      </c>
      <c r="Q50" s="133">
        <f>VLOOKUP(E3,'Housing Generation'!$A$3:$DQ$90,114,FALSE)</f>
        <v>12</v>
      </c>
    </row>
    <row r="51" spans="2:17" ht="15" customHeight="1" thickTop="1">
      <c r="B51" s="421" t="s">
        <v>130</v>
      </c>
      <c r="C51" s="422"/>
      <c r="D51" s="47">
        <f t="shared" ref="D51:Q51" si="0">SUM(D49:D50)</f>
        <v>64</v>
      </c>
      <c r="E51" s="47">
        <f t="shared" si="0"/>
        <v>70</v>
      </c>
      <c r="F51" s="80">
        <f t="shared" si="0"/>
        <v>65</v>
      </c>
      <c r="G51" s="244">
        <f t="shared" si="0"/>
        <v>74</v>
      </c>
      <c r="H51" s="71">
        <f t="shared" si="0"/>
        <v>74</v>
      </c>
      <c r="I51" s="71">
        <f t="shared" si="0"/>
        <v>76</v>
      </c>
      <c r="J51" s="71">
        <f t="shared" si="0"/>
        <v>77</v>
      </c>
      <c r="K51" s="71">
        <f t="shared" si="0"/>
        <v>77</v>
      </c>
      <c r="L51" s="71">
        <f t="shared" si="0"/>
        <v>79</v>
      </c>
      <c r="M51" s="71">
        <f t="shared" si="0"/>
        <v>79</v>
      </c>
      <c r="N51" s="71">
        <f t="shared" si="0"/>
        <v>79</v>
      </c>
      <c r="O51" s="71">
        <f t="shared" si="0"/>
        <v>80</v>
      </c>
      <c r="P51" s="71">
        <f t="shared" si="0"/>
        <v>80</v>
      </c>
      <c r="Q51" s="71">
        <f t="shared" si="0"/>
        <v>80</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75</v>
      </c>
      <c r="D60" s="358">
        <f>VLOOKUP($E$3,'Catchment Projections'!$A$1:$BZ$90,74,FALSE)</f>
        <v>59</v>
      </c>
      <c r="E60" s="303">
        <f>D60/C60</f>
        <v>0.78666666666666663</v>
      </c>
      <c r="G60" s="132">
        <v>2014</v>
      </c>
      <c r="H60" s="395">
        <f>VLOOKUP($G$60,$B$177:$C$215, 2, FALSE)</f>
        <v>63</v>
      </c>
      <c r="I60" s="120">
        <f>H60-D60</f>
        <v>4</v>
      </c>
      <c r="J60" s="121">
        <f>I60/H60</f>
        <v>6.3492063492063489E-2</v>
      </c>
    </row>
    <row r="61" spans="2:17" ht="15" customHeight="1">
      <c r="B61" s="132">
        <v>2015</v>
      </c>
      <c r="C61" s="359">
        <f>VLOOKUP($E$3,'Catchment Projections'!$A$1:$BZ$90,41,FALSE)</f>
        <v>54</v>
      </c>
      <c r="D61" s="358">
        <f>VLOOKUP($E$3,'Catchment Projections'!$A$1:$BZ$90,75,FALSE)</f>
        <v>42</v>
      </c>
      <c r="E61" s="303">
        <f>D61/C61</f>
        <v>0.77777777777777779</v>
      </c>
      <c r="G61" s="132">
        <v>2015</v>
      </c>
      <c r="H61" s="395">
        <f>VLOOKUP($G$61,$B$177:$C$215, 2, FALSE)</f>
        <v>49</v>
      </c>
      <c r="I61" s="120">
        <f>H61-D61</f>
        <v>7</v>
      </c>
      <c r="J61" s="121">
        <f>I61/H61</f>
        <v>0.14285714285714285</v>
      </c>
    </row>
    <row r="62" spans="2:17" ht="15" customHeight="1">
      <c r="B62" s="131">
        <v>2016</v>
      </c>
      <c r="C62" s="359">
        <f>VLOOKUP($E$3,'Catchment Projections'!$A$1:$BZ$90,42,FALSE)</f>
        <v>65</v>
      </c>
      <c r="D62" s="358">
        <f>VLOOKUP($E$3,'Catchment Projections'!$A$1:$BZ$90,76,FALSE)</f>
        <v>57</v>
      </c>
      <c r="E62" s="57">
        <f>D62/C62</f>
        <v>0.87692307692307692</v>
      </c>
      <c r="G62" s="131">
        <v>2016</v>
      </c>
      <c r="H62" s="395">
        <f>VLOOKUP($G$62,$B$177:$C$215, 2, FALSE)</f>
        <v>58</v>
      </c>
      <c r="I62" s="120">
        <f>H62-D62</f>
        <v>1</v>
      </c>
      <c r="J62" s="121">
        <f>I62/H62</f>
        <v>1.7241379310344827E-2</v>
      </c>
    </row>
    <row r="63" spans="2:17" ht="15" customHeight="1">
      <c r="B63" s="114">
        <v>2017</v>
      </c>
      <c r="C63" s="359">
        <f>VLOOKUP($E$3,'Catchment Projections'!$A$1:$BZ$90,43,FALSE)</f>
        <v>62</v>
      </c>
      <c r="D63" s="358">
        <f>VLOOKUP($E$3,'Catchment Projections'!$A$1:$BZ$90,77,FALSE)</f>
        <v>50</v>
      </c>
      <c r="E63" s="304">
        <f>D63/C63</f>
        <v>0.80645161290322576</v>
      </c>
      <c r="G63" s="114">
        <v>2017</v>
      </c>
      <c r="H63" s="395">
        <f>VLOOKUP($G$63,$B$177:$C$215, 2, FALSE)</f>
        <v>63</v>
      </c>
      <c r="I63" s="120">
        <f>H63-D63</f>
        <v>13</v>
      </c>
      <c r="J63" s="121">
        <f>I63/H63</f>
        <v>0.20634920634920634</v>
      </c>
    </row>
    <row r="64" spans="2:17" ht="15" customHeight="1">
      <c r="B64" s="114">
        <v>2018</v>
      </c>
      <c r="C64" s="359">
        <f>VLOOKUP($E$3,'Catchment Projections'!$A$1:$BZ$90,44,FALSE)</f>
        <v>58</v>
      </c>
      <c r="D64" s="358">
        <f>VLOOKUP($E$3,'Catchment Projections'!$A$1:$BZ$90,78,FALSE)</f>
        <v>46</v>
      </c>
      <c r="E64" s="305">
        <f>D64/C64</f>
        <v>0.7931034482758621</v>
      </c>
      <c r="G64" s="114">
        <v>2018</v>
      </c>
      <c r="H64" s="395">
        <f>VLOOKUP($G$64,$B$177:$C$215, 2, FALSE)</f>
        <v>57</v>
      </c>
      <c r="I64" s="120">
        <f>H64-D64</f>
        <v>11</v>
      </c>
      <c r="J64" s="121">
        <f>I64/H64</f>
        <v>0.19298245614035087</v>
      </c>
    </row>
    <row r="65" spans="2:10" ht="15" customHeight="1">
      <c r="B65" s="412" t="s">
        <v>136</v>
      </c>
      <c r="C65" s="413"/>
      <c r="D65" s="414"/>
      <c r="E65" s="137">
        <f>IF((AVERAGE(E62:E64))="#DIV/0!","n/a",(AVERAGE(E62:E64)))</f>
        <v>0.82549271270072155</v>
      </c>
      <c r="G65" s="415" t="s">
        <v>137</v>
      </c>
      <c r="H65" s="416"/>
      <c r="I65" s="138">
        <f>MEDIAN(I60:I64)</f>
        <v>7</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64</v>
      </c>
      <c r="D70" s="408"/>
      <c r="E70" s="122">
        <f>E65</f>
        <v>0.82549271270072155</v>
      </c>
      <c r="F70" s="120">
        <f t="shared" ref="F70:F83" si="1">C70*$E$65</f>
        <v>52.831533612846179</v>
      </c>
      <c r="G70" s="118">
        <f>IF(F70&lt;26,25,IF(F70&gt;135,140,IF(F70&gt;130,135,IF(F70&gt;125,130,IF(F70&gt;120,125,IF(F70&gt;115,120,IF(F70&gt;110,115,IF(F70&gt;105,110,IF(F70&gt;100,105,IF(F70&gt;99,100,IF(F70&gt;90,99,IF(F70&gt;75,90,IF(F70&gt;72,75,IF(F70&gt;66,72,IF(F70&gt;60,66,IF(F70&gt;50,60,IF(F70&gt;30,50,IF(F70&gt;25,30,0))))))))))))))))))</f>
        <v>60</v>
      </c>
      <c r="H70" s="119">
        <f t="shared" ref="H70:H83" si="2">G70-F70</f>
        <v>7.1684663871538206</v>
      </c>
      <c r="I70" s="118" t="str">
        <f>IF(I$65&lt;H70, "NO", "YES")</f>
        <v>NO</v>
      </c>
      <c r="J70" s="117">
        <f t="shared" ref="J70:J83" si="3">IF(I70="YES",G70,(MIN((SUM(F70,$I$65)),G70)))</f>
        <v>59.831533612846179</v>
      </c>
    </row>
    <row r="71" spans="2:10" ht="15" customHeight="1">
      <c r="B71" s="114">
        <v>2020</v>
      </c>
      <c r="C71" s="433">
        <f>E51</f>
        <v>70</v>
      </c>
      <c r="D71" s="408"/>
      <c r="E71" s="121">
        <f>E65</f>
        <v>0.82549271270072155</v>
      </c>
      <c r="F71" s="120">
        <f t="shared" si="1"/>
        <v>57.784489889050512</v>
      </c>
      <c r="G71" s="118">
        <f t="shared" ref="G71:G83" si="4">IF(F71&lt;26,25,IF(F71&gt;135,140,IF(F71&gt;130,135,IF(F71&gt;125,130,IF(F71&gt;120,125,IF(F71&gt;115,120,IF(F71&gt;110,115,IF(F71&gt;105,110,IF(F71&gt;100,105,IF(F71&gt;99,100,IF(F71&gt;90,99,IF(F71&gt;75,90,IF(F71&gt;72,75,IF(F71&gt;66,72,IF(F71&gt;60,66,IF(F71&gt;50,60,IF(F71&gt;30,50,IF(F71&gt;25,30,0))))))))))))))))))</f>
        <v>60</v>
      </c>
      <c r="H71" s="119">
        <f t="shared" si="2"/>
        <v>2.2155101109494879</v>
      </c>
      <c r="I71" s="118" t="str">
        <f t="shared" ref="I71:I83" si="5">IF(I$65&lt;H71, "NO", "YES")</f>
        <v>YES</v>
      </c>
      <c r="J71" s="117">
        <f t="shared" si="3"/>
        <v>60</v>
      </c>
    </row>
    <row r="72" spans="2:10" ht="15" customHeight="1">
      <c r="B72" s="114">
        <v>2021</v>
      </c>
      <c r="C72" s="430">
        <f>F51</f>
        <v>65</v>
      </c>
      <c r="D72" s="431"/>
      <c r="E72" s="121">
        <f>E65</f>
        <v>0.82549271270072155</v>
      </c>
      <c r="F72" s="120">
        <f t="shared" si="1"/>
        <v>53.657026325546902</v>
      </c>
      <c r="G72" s="118">
        <f t="shared" si="4"/>
        <v>60</v>
      </c>
      <c r="H72" s="119">
        <f t="shared" si="2"/>
        <v>6.3429736744530985</v>
      </c>
      <c r="I72" s="118" t="str">
        <f t="shared" si="5"/>
        <v>YES</v>
      </c>
      <c r="J72" s="117">
        <f t="shared" si="3"/>
        <v>60</v>
      </c>
    </row>
    <row r="73" spans="2:10" ht="15" customHeight="1">
      <c r="B73" s="114">
        <v>2022</v>
      </c>
      <c r="C73" s="430">
        <f>G51</f>
        <v>74</v>
      </c>
      <c r="D73" s="431"/>
      <c r="E73" s="121">
        <f>E65</f>
        <v>0.82549271270072155</v>
      </c>
      <c r="F73" s="120">
        <f t="shared" si="1"/>
        <v>61.086460739853393</v>
      </c>
      <c r="G73" s="118">
        <f t="shared" si="4"/>
        <v>66</v>
      </c>
      <c r="H73" s="119">
        <f t="shared" si="2"/>
        <v>4.9135392601466066</v>
      </c>
      <c r="I73" s="118" t="str">
        <f t="shared" si="5"/>
        <v>YES</v>
      </c>
      <c r="J73" s="117">
        <f t="shared" si="3"/>
        <v>66</v>
      </c>
    </row>
    <row r="74" spans="2:10" ht="15" customHeight="1">
      <c r="B74" s="114">
        <v>2023</v>
      </c>
      <c r="C74" s="430">
        <f>H51</f>
        <v>74</v>
      </c>
      <c r="D74" s="431"/>
      <c r="E74" s="121">
        <f>E65</f>
        <v>0.82549271270072155</v>
      </c>
      <c r="F74" s="120">
        <f t="shared" si="1"/>
        <v>61.086460739853393</v>
      </c>
      <c r="G74" s="118">
        <f t="shared" si="4"/>
        <v>66</v>
      </c>
      <c r="H74" s="119">
        <f t="shared" si="2"/>
        <v>4.9135392601466066</v>
      </c>
      <c r="I74" s="118" t="str">
        <f t="shared" si="5"/>
        <v>YES</v>
      </c>
      <c r="J74" s="117">
        <f t="shared" si="3"/>
        <v>66</v>
      </c>
    </row>
    <row r="75" spans="2:10" ht="15" customHeight="1">
      <c r="B75" s="114">
        <v>2024</v>
      </c>
      <c r="C75" s="430">
        <f>I51</f>
        <v>76</v>
      </c>
      <c r="D75" s="431"/>
      <c r="E75" s="121">
        <f>E65</f>
        <v>0.82549271270072155</v>
      </c>
      <c r="F75" s="120">
        <f t="shared" si="1"/>
        <v>62.737446165254838</v>
      </c>
      <c r="G75" s="118">
        <f t="shared" si="4"/>
        <v>66</v>
      </c>
      <c r="H75" s="119">
        <f t="shared" si="2"/>
        <v>3.2625538347451624</v>
      </c>
      <c r="I75" s="118" t="str">
        <f t="shared" si="5"/>
        <v>YES</v>
      </c>
      <c r="J75" s="117">
        <f t="shared" si="3"/>
        <v>66</v>
      </c>
    </row>
    <row r="76" spans="2:10" ht="15" customHeight="1">
      <c r="B76" s="114">
        <v>2025</v>
      </c>
      <c r="C76" s="430">
        <f>J51</f>
        <v>77</v>
      </c>
      <c r="D76" s="431"/>
      <c r="E76" s="121">
        <f>E65</f>
        <v>0.82549271270072155</v>
      </c>
      <c r="F76" s="120">
        <f t="shared" si="1"/>
        <v>63.56293887795556</v>
      </c>
      <c r="G76" s="118">
        <f t="shared" si="4"/>
        <v>66</v>
      </c>
      <c r="H76" s="119">
        <f t="shared" si="2"/>
        <v>2.4370611220444403</v>
      </c>
      <c r="I76" s="118" t="str">
        <f t="shared" si="5"/>
        <v>YES</v>
      </c>
      <c r="J76" s="117">
        <f t="shared" si="3"/>
        <v>66</v>
      </c>
    </row>
    <row r="77" spans="2:10" ht="15" customHeight="1">
      <c r="B77" s="114">
        <v>2026</v>
      </c>
      <c r="C77" s="430">
        <f>K51</f>
        <v>77</v>
      </c>
      <c r="D77" s="431"/>
      <c r="E77" s="121">
        <f>E65</f>
        <v>0.82549271270072155</v>
      </c>
      <c r="F77" s="120">
        <f t="shared" si="1"/>
        <v>63.56293887795556</v>
      </c>
      <c r="G77" s="118">
        <f t="shared" si="4"/>
        <v>66</v>
      </c>
      <c r="H77" s="119">
        <f t="shared" si="2"/>
        <v>2.4370611220444403</v>
      </c>
      <c r="I77" s="118" t="str">
        <f t="shared" si="5"/>
        <v>YES</v>
      </c>
      <c r="J77" s="117">
        <f t="shared" si="3"/>
        <v>66</v>
      </c>
    </row>
    <row r="78" spans="2:10" ht="15" customHeight="1">
      <c r="B78" s="114">
        <v>2027</v>
      </c>
      <c r="C78" s="430">
        <f>L51</f>
        <v>79</v>
      </c>
      <c r="D78" s="431"/>
      <c r="E78" s="121">
        <f>E65</f>
        <v>0.82549271270072155</v>
      </c>
      <c r="F78" s="120">
        <f t="shared" si="1"/>
        <v>65.213924303357004</v>
      </c>
      <c r="G78" s="118">
        <f t="shared" si="4"/>
        <v>66</v>
      </c>
      <c r="H78" s="119">
        <f t="shared" si="2"/>
        <v>0.78607569664299604</v>
      </c>
      <c r="I78" s="118" t="str">
        <f t="shared" si="5"/>
        <v>YES</v>
      </c>
      <c r="J78" s="117">
        <f t="shared" si="3"/>
        <v>66</v>
      </c>
    </row>
    <row r="79" spans="2:10" ht="15" customHeight="1">
      <c r="B79" s="114">
        <v>2028</v>
      </c>
      <c r="C79" s="430">
        <f>M51</f>
        <v>79</v>
      </c>
      <c r="D79" s="431"/>
      <c r="E79" s="121">
        <f t="shared" ref="E79:E83" si="6">$E$65</f>
        <v>0.82549271270072155</v>
      </c>
      <c r="F79" s="120">
        <f t="shared" si="1"/>
        <v>65.213924303357004</v>
      </c>
      <c r="G79" s="118">
        <f t="shared" si="4"/>
        <v>66</v>
      </c>
      <c r="H79" s="119">
        <f t="shared" si="2"/>
        <v>0.78607569664299604</v>
      </c>
      <c r="I79" s="118" t="str">
        <f t="shared" si="5"/>
        <v>YES</v>
      </c>
      <c r="J79" s="117">
        <f t="shared" si="3"/>
        <v>66</v>
      </c>
    </row>
    <row r="80" spans="2:10" ht="15" customHeight="1">
      <c r="B80" s="114">
        <v>2029</v>
      </c>
      <c r="C80" s="430">
        <f>N51</f>
        <v>79</v>
      </c>
      <c r="D80" s="431"/>
      <c r="E80" s="121">
        <f t="shared" si="6"/>
        <v>0.82549271270072155</v>
      </c>
      <c r="F80" s="120">
        <f t="shared" si="1"/>
        <v>65.213924303357004</v>
      </c>
      <c r="G80" s="118">
        <f t="shared" si="4"/>
        <v>66</v>
      </c>
      <c r="H80" s="119">
        <f t="shared" si="2"/>
        <v>0.78607569664299604</v>
      </c>
      <c r="I80" s="118" t="str">
        <f t="shared" si="5"/>
        <v>YES</v>
      </c>
      <c r="J80" s="117">
        <f t="shared" si="3"/>
        <v>66</v>
      </c>
    </row>
    <row r="81" spans="2:10" ht="15" customHeight="1">
      <c r="B81" s="114">
        <v>2030</v>
      </c>
      <c r="C81" s="430">
        <f>O51</f>
        <v>80</v>
      </c>
      <c r="D81" s="431"/>
      <c r="E81" s="121">
        <f t="shared" si="6"/>
        <v>0.82549271270072155</v>
      </c>
      <c r="F81" s="120">
        <f t="shared" si="1"/>
        <v>66.039417016057726</v>
      </c>
      <c r="G81" s="118">
        <f t="shared" si="4"/>
        <v>72</v>
      </c>
      <c r="H81" s="119">
        <f t="shared" si="2"/>
        <v>5.9605829839422739</v>
      </c>
      <c r="I81" s="118" t="str">
        <f t="shared" si="5"/>
        <v>YES</v>
      </c>
      <c r="J81" s="117">
        <f t="shared" si="3"/>
        <v>72</v>
      </c>
    </row>
    <row r="82" spans="2:10" ht="15" customHeight="1">
      <c r="B82" s="114">
        <v>2031</v>
      </c>
      <c r="C82" s="430">
        <f>P51</f>
        <v>80</v>
      </c>
      <c r="D82" s="431"/>
      <c r="E82" s="121">
        <f t="shared" si="6"/>
        <v>0.82549271270072155</v>
      </c>
      <c r="F82" s="120">
        <f t="shared" si="1"/>
        <v>66.039417016057726</v>
      </c>
      <c r="G82" s="118">
        <f t="shared" si="4"/>
        <v>72</v>
      </c>
      <c r="H82" s="119">
        <f t="shared" si="2"/>
        <v>5.9605829839422739</v>
      </c>
      <c r="I82" s="118" t="str">
        <f t="shared" si="5"/>
        <v>YES</v>
      </c>
      <c r="J82" s="117">
        <f t="shared" si="3"/>
        <v>72</v>
      </c>
    </row>
    <row r="83" spans="2:10" ht="15" customHeight="1">
      <c r="B83" s="114">
        <v>2032</v>
      </c>
      <c r="C83" s="430">
        <f>Q51</f>
        <v>80</v>
      </c>
      <c r="D83" s="431"/>
      <c r="E83" s="121">
        <f t="shared" si="6"/>
        <v>0.82549271270072155</v>
      </c>
      <c r="F83" s="120">
        <f t="shared" si="1"/>
        <v>66.039417016057726</v>
      </c>
      <c r="G83" s="118">
        <f t="shared" si="4"/>
        <v>72</v>
      </c>
      <c r="H83" s="119">
        <f t="shared" si="2"/>
        <v>5.9605829839422739</v>
      </c>
      <c r="I83" s="118" t="str">
        <f t="shared" si="5"/>
        <v>YES</v>
      </c>
      <c r="J83" s="117">
        <f t="shared" si="3"/>
        <v>72</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Broughton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69</v>
      </c>
      <c r="D91" s="112">
        <f t="shared" ref="D91:J91" si="7">D188</f>
        <v>60</v>
      </c>
      <c r="E91" s="112">
        <f t="shared" si="7"/>
        <v>66</v>
      </c>
      <c r="F91" s="112">
        <f t="shared" si="7"/>
        <v>39</v>
      </c>
      <c r="G91" s="112">
        <f t="shared" si="7"/>
        <v>54</v>
      </c>
      <c r="H91" s="112">
        <f t="shared" si="7"/>
        <v>45</v>
      </c>
      <c r="I91" s="112">
        <f t="shared" si="7"/>
        <v>51</v>
      </c>
      <c r="J91" s="213">
        <f t="shared" si="7"/>
        <v>384</v>
      </c>
    </row>
    <row r="92" spans="2:10" ht="15" customHeight="1">
      <c r="B92" s="114">
        <v>2014</v>
      </c>
      <c r="C92" s="112">
        <f>C189</f>
        <v>63</v>
      </c>
      <c r="D92" s="112">
        <f t="shared" ref="D92:J92" si="8">D189</f>
        <v>67</v>
      </c>
      <c r="E92" s="112">
        <f t="shared" si="8"/>
        <v>56</v>
      </c>
      <c r="F92" s="112">
        <f t="shared" si="8"/>
        <v>58</v>
      </c>
      <c r="G92" s="112">
        <f t="shared" si="8"/>
        <v>36</v>
      </c>
      <c r="H92" s="112">
        <f t="shared" si="8"/>
        <v>45</v>
      </c>
      <c r="I92" s="112">
        <f t="shared" si="8"/>
        <v>37</v>
      </c>
      <c r="J92" s="213">
        <f t="shared" si="8"/>
        <v>362</v>
      </c>
    </row>
    <row r="93" spans="2:10" ht="15" customHeight="1">
      <c r="B93" s="114">
        <v>2015</v>
      </c>
      <c r="C93" s="112">
        <f>C190</f>
        <v>49</v>
      </c>
      <c r="D93" s="112">
        <f t="shared" ref="D93:J93" si="9">D190</f>
        <v>60</v>
      </c>
      <c r="E93" s="112">
        <f t="shared" si="9"/>
        <v>61</v>
      </c>
      <c r="F93" s="112">
        <f t="shared" si="9"/>
        <v>50</v>
      </c>
      <c r="G93" s="112">
        <f t="shared" si="9"/>
        <v>53</v>
      </c>
      <c r="H93" s="112">
        <f t="shared" si="9"/>
        <v>37</v>
      </c>
      <c r="I93" s="112">
        <f t="shared" si="9"/>
        <v>45</v>
      </c>
      <c r="J93" s="213">
        <f t="shared" si="9"/>
        <v>355</v>
      </c>
    </row>
    <row r="94" spans="2:10" ht="15" customHeight="1">
      <c r="B94" s="114">
        <v>2016</v>
      </c>
      <c r="C94" s="112">
        <f>C191</f>
        <v>58</v>
      </c>
      <c r="D94" s="112">
        <f t="shared" ref="D94:J94" si="10">D191</f>
        <v>50</v>
      </c>
      <c r="E94" s="112">
        <f t="shared" si="10"/>
        <v>63</v>
      </c>
      <c r="F94" s="112">
        <f t="shared" si="10"/>
        <v>59</v>
      </c>
      <c r="G94" s="112">
        <f t="shared" si="10"/>
        <v>52</v>
      </c>
      <c r="H94" s="112">
        <f t="shared" si="10"/>
        <v>50</v>
      </c>
      <c r="I94" s="112">
        <f t="shared" si="10"/>
        <v>37</v>
      </c>
      <c r="J94" s="213">
        <f t="shared" si="10"/>
        <v>369</v>
      </c>
    </row>
    <row r="95" spans="2:10" ht="15" customHeight="1">
      <c r="B95" s="114">
        <v>2017</v>
      </c>
      <c r="C95" s="112">
        <f>C192</f>
        <v>63</v>
      </c>
      <c r="D95" s="112">
        <f t="shared" ref="D95:J95" si="11">D192</f>
        <v>52</v>
      </c>
      <c r="E95" s="112">
        <f t="shared" si="11"/>
        <v>50</v>
      </c>
      <c r="F95" s="112">
        <f t="shared" si="11"/>
        <v>60</v>
      </c>
      <c r="G95" s="112">
        <f t="shared" si="11"/>
        <v>66</v>
      </c>
      <c r="H95" s="112">
        <f t="shared" si="11"/>
        <v>55</v>
      </c>
      <c r="I95" s="112">
        <f t="shared" si="11"/>
        <v>46</v>
      </c>
      <c r="J95" s="213">
        <f t="shared" si="11"/>
        <v>392</v>
      </c>
    </row>
    <row r="96" spans="2:10" ht="15" customHeight="1">
      <c r="B96" s="307">
        <v>2018</v>
      </c>
      <c r="C96" s="112">
        <f t="shared" ref="C96:J96" si="12">C193</f>
        <v>57</v>
      </c>
      <c r="D96" s="112">
        <f t="shared" si="12"/>
        <v>57</v>
      </c>
      <c r="E96" s="112">
        <f t="shared" si="12"/>
        <v>49</v>
      </c>
      <c r="F96" s="112">
        <f t="shared" si="12"/>
        <v>52</v>
      </c>
      <c r="G96" s="112">
        <f t="shared" si="12"/>
        <v>62</v>
      </c>
      <c r="H96" s="112">
        <f t="shared" si="12"/>
        <v>65</v>
      </c>
      <c r="I96" s="112">
        <f t="shared" si="12"/>
        <v>50</v>
      </c>
      <c r="J96" s="213">
        <f t="shared" si="12"/>
        <v>392</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4.7619047619047616E-2</v>
      </c>
      <c r="E98" s="210">
        <f t="shared" ref="E98:I98" si="13">MEDIAN(((D91-E92)/D91),((D92-E93)/D92),((D93-E94)/D93),((D94-E95)/D94),((D95-E96)/D95))</f>
        <v>5.7692307692307696E-2</v>
      </c>
      <c r="F98" s="210">
        <f t="shared" si="13"/>
        <v>4.7619047619047616E-2</v>
      </c>
      <c r="G98" s="210">
        <f t="shared" si="13"/>
        <v>-3.3333333333333333E-2</v>
      </c>
      <c r="H98" s="210">
        <f t="shared" si="13"/>
        <v>1.5151515151515152E-2</v>
      </c>
      <c r="I98" s="210">
        <f t="shared" si="13"/>
        <v>0.08</v>
      </c>
    </row>
    <row r="99" spans="2:10" ht="15" customHeight="1">
      <c r="B99" s="59"/>
      <c r="C99" s="60"/>
      <c r="D99" s="61"/>
      <c r="E99" s="61"/>
      <c r="F99" s="61"/>
      <c r="G99" s="61"/>
      <c r="H99" s="61"/>
      <c r="I99" s="61"/>
      <c r="J99" s="58"/>
    </row>
    <row r="100" spans="2:10" ht="15" customHeight="1">
      <c r="B100" s="15" t="str">
        <f>"Table 4B: "&amp;E3&amp;" Projected Roll by Stage (incorporating Projected P1 and Drop-Off Rates), 2019-2032"</f>
        <v>Table 4B: Broughton Primary School Projected Roll by Stage (incorporating Projected P1 and Drop-Off Rates), 2019-2032</v>
      </c>
      <c r="F100" s="14"/>
      <c r="G100" s="14"/>
    </row>
    <row r="101" spans="2:10" ht="15" customHeight="1">
      <c r="F101" s="14"/>
      <c r="G101" s="14"/>
    </row>
    <row r="102" spans="2:10" ht="15" customHeight="1">
      <c r="B102" s="115"/>
      <c r="C102" s="109" t="s">
        <v>1</v>
      </c>
      <c r="D102" s="109" t="s">
        <v>2</v>
      </c>
      <c r="E102" s="109" t="s">
        <v>3</v>
      </c>
      <c r="F102" s="109" t="s">
        <v>4</v>
      </c>
      <c r="G102" s="109" t="s">
        <v>5</v>
      </c>
      <c r="H102" s="109" t="s">
        <v>6</v>
      </c>
      <c r="I102" s="109" t="s">
        <v>7</v>
      </c>
      <c r="J102" s="109" t="s">
        <v>8</v>
      </c>
    </row>
    <row r="103" spans="2:10" ht="15" customHeight="1">
      <c r="B103" s="114">
        <v>2019</v>
      </c>
      <c r="C103" s="113">
        <f t="shared" ref="C103:C116" si="14">J70</f>
        <v>59.831533612846179</v>
      </c>
      <c r="D103" s="324">
        <f>ROUND((C96)-(C96*$D$98),0)</f>
        <v>54</v>
      </c>
      <c r="E103" s="324">
        <f>ROUND((D96)-(D96*$E$98),0)</f>
        <v>54</v>
      </c>
      <c r="F103" s="324">
        <f>ROUND((E96)-(E96*$F$98),0)</f>
        <v>47</v>
      </c>
      <c r="G103" s="324">
        <f>ROUND((F96)-(F96*$G$98),0)</f>
        <v>54</v>
      </c>
      <c r="H103" s="324">
        <f>ROUND((G96)-(G96*$H$98),0)</f>
        <v>61</v>
      </c>
      <c r="I103" s="324">
        <f>ROUND((H96)-(H96*$I$98),0)</f>
        <v>60</v>
      </c>
      <c r="J103" s="111">
        <f t="shared" ref="J103:J116" si="15">SUM(C103:I103)</f>
        <v>389.83153361284621</v>
      </c>
    </row>
    <row r="104" spans="2:10" ht="15" customHeight="1">
      <c r="B104" s="114">
        <v>2020</v>
      </c>
      <c r="C104" s="113">
        <f t="shared" si="14"/>
        <v>60</v>
      </c>
      <c r="D104" s="324">
        <f>ROUND((C103-E50)-(C103*$D$98),0)</f>
        <v>53</v>
      </c>
      <c r="E104" s="112">
        <f t="shared" ref="E104:E116" si="16">ROUND((D103)-(D103*$E$98),0)</f>
        <v>51</v>
      </c>
      <c r="F104" s="112">
        <f t="shared" ref="F104:F116" si="17">ROUND((E103)-(E103*$F$98),0)</f>
        <v>51</v>
      </c>
      <c r="G104" s="112">
        <f t="shared" ref="G104:G116" si="18">ROUND((F103)-(F103*$G$98),0)</f>
        <v>49</v>
      </c>
      <c r="H104" s="112">
        <f t="shared" ref="H104:H116" si="19">ROUND((G103)-(G103*$H$98),0)</f>
        <v>53</v>
      </c>
      <c r="I104" s="112">
        <f t="shared" ref="I104:I116" si="20">ROUND((H103)-(H103*$I$98),0)</f>
        <v>56</v>
      </c>
      <c r="J104" s="111">
        <f t="shared" si="15"/>
        <v>373</v>
      </c>
    </row>
    <row r="105" spans="2:10" ht="15" customHeight="1">
      <c r="B105" s="114">
        <v>2021</v>
      </c>
      <c r="C105" s="113">
        <f t="shared" si="14"/>
        <v>60</v>
      </c>
      <c r="D105" s="324">
        <f>ROUND((C104-F50)-(C104*$D$98),0)</f>
        <v>51</v>
      </c>
      <c r="E105" s="112">
        <f t="shared" si="16"/>
        <v>50</v>
      </c>
      <c r="F105" s="112">
        <f t="shared" si="17"/>
        <v>49</v>
      </c>
      <c r="G105" s="112">
        <f t="shared" si="18"/>
        <v>53</v>
      </c>
      <c r="H105" s="112">
        <f t="shared" si="19"/>
        <v>48</v>
      </c>
      <c r="I105" s="112">
        <f t="shared" si="20"/>
        <v>49</v>
      </c>
      <c r="J105" s="111">
        <f t="shared" si="15"/>
        <v>360</v>
      </c>
    </row>
    <row r="106" spans="2:10" ht="15" customHeight="1">
      <c r="B106" s="114">
        <v>2022</v>
      </c>
      <c r="C106" s="113">
        <f t="shared" si="14"/>
        <v>66</v>
      </c>
      <c r="D106" s="324">
        <f>ROUND((C105-G50)-(C105*$D$98),0)</f>
        <v>48</v>
      </c>
      <c r="E106" s="112">
        <f t="shared" si="16"/>
        <v>48</v>
      </c>
      <c r="F106" s="112">
        <f t="shared" si="17"/>
        <v>48</v>
      </c>
      <c r="G106" s="112">
        <f t="shared" si="18"/>
        <v>51</v>
      </c>
      <c r="H106" s="112">
        <f t="shared" si="19"/>
        <v>52</v>
      </c>
      <c r="I106" s="112">
        <f t="shared" si="20"/>
        <v>44</v>
      </c>
      <c r="J106" s="111">
        <f t="shared" si="15"/>
        <v>357</v>
      </c>
    </row>
    <row r="107" spans="2:10" ht="15" customHeight="1">
      <c r="B107" s="114">
        <v>2023</v>
      </c>
      <c r="C107" s="113">
        <f t="shared" si="14"/>
        <v>66</v>
      </c>
      <c r="D107" s="324">
        <f>ROUND((C106-H50)-(C106*$D$98),0)</f>
        <v>53</v>
      </c>
      <c r="E107" s="112">
        <f t="shared" si="16"/>
        <v>45</v>
      </c>
      <c r="F107" s="112">
        <f t="shared" si="17"/>
        <v>46</v>
      </c>
      <c r="G107" s="112">
        <f t="shared" si="18"/>
        <v>50</v>
      </c>
      <c r="H107" s="112">
        <f t="shared" si="19"/>
        <v>50</v>
      </c>
      <c r="I107" s="112">
        <f t="shared" si="20"/>
        <v>48</v>
      </c>
      <c r="J107" s="111">
        <f t="shared" si="15"/>
        <v>358</v>
      </c>
    </row>
    <row r="108" spans="2:10" ht="15" customHeight="1">
      <c r="B108" s="114">
        <v>2024</v>
      </c>
      <c r="C108" s="113">
        <f t="shared" si="14"/>
        <v>66</v>
      </c>
      <c r="D108" s="324">
        <f>ROUND((C107-I50)-(C107*$D$98),0)</f>
        <v>52</v>
      </c>
      <c r="E108" s="112">
        <f t="shared" si="16"/>
        <v>50</v>
      </c>
      <c r="F108" s="112">
        <f t="shared" si="17"/>
        <v>43</v>
      </c>
      <c r="G108" s="112">
        <f t="shared" si="18"/>
        <v>48</v>
      </c>
      <c r="H108" s="112">
        <f t="shared" si="19"/>
        <v>49</v>
      </c>
      <c r="I108" s="112">
        <f t="shared" si="20"/>
        <v>46</v>
      </c>
      <c r="J108" s="111">
        <f t="shared" si="15"/>
        <v>354</v>
      </c>
    </row>
    <row r="109" spans="2:10" ht="15" customHeight="1">
      <c r="B109" s="114">
        <v>2025</v>
      </c>
      <c r="C109" s="113">
        <f t="shared" si="14"/>
        <v>66</v>
      </c>
      <c r="D109" s="324">
        <f>ROUND((C108-J50)-(C108*$D$98),0)</f>
        <v>52</v>
      </c>
      <c r="E109" s="112">
        <f t="shared" si="16"/>
        <v>49</v>
      </c>
      <c r="F109" s="112">
        <f t="shared" si="17"/>
        <v>48</v>
      </c>
      <c r="G109" s="112">
        <f t="shared" si="18"/>
        <v>44</v>
      </c>
      <c r="H109" s="112">
        <f t="shared" si="19"/>
        <v>47</v>
      </c>
      <c r="I109" s="112">
        <f t="shared" si="20"/>
        <v>45</v>
      </c>
      <c r="J109" s="111">
        <f t="shared" si="15"/>
        <v>351</v>
      </c>
    </row>
    <row r="110" spans="2:10" ht="15" customHeight="1">
      <c r="B110" s="114">
        <v>2026</v>
      </c>
      <c r="C110" s="113">
        <f t="shared" si="14"/>
        <v>66</v>
      </c>
      <c r="D110" s="324">
        <f>ROUND((C109-K50)-(C109*$D$98),0)</f>
        <v>52</v>
      </c>
      <c r="E110" s="112">
        <f t="shared" si="16"/>
        <v>49</v>
      </c>
      <c r="F110" s="112">
        <f t="shared" si="17"/>
        <v>47</v>
      </c>
      <c r="G110" s="112">
        <f t="shared" si="18"/>
        <v>50</v>
      </c>
      <c r="H110" s="112">
        <f t="shared" si="19"/>
        <v>43</v>
      </c>
      <c r="I110" s="112">
        <f t="shared" si="20"/>
        <v>43</v>
      </c>
      <c r="J110" s="111">
        <f t="shared" si="15"/>
        <v>350</v>
      </c>
    </row>
    <row r="111" spans="2:10" ht="15" customHeight="1">
      <c r="B111" s="114">
        <v>2027</v>
      </c>
      <c r="C111" s="113">
        <f t="shared" si="14"/>
        <v>66</v>
      </c>
      <c r="D111" s="324">
        <f>ROUND((C110-L50)-(C110*$D$98),0)</f>
        <v>51</v>
      </c>
      <c r="E111" s="112">
        <f t="shared" si="16"/>
        <v>49</v>
      </c>
      <c r="F111" s="112">
        <f t="shared" si="17"/>
        <v>47</v>
      </c>
      <c r="G111" s="112">
        <f t="shared" si="18"/>
        <v>49</v>
      </c>
      <c r="H111" s="112">
        <f t="shared" si="19"/>
        <v>49</v>
      </c>
      <c r="I111" s="112">
        <f t="shared" si="20"/>
        <v>40</v>
      </c>
      <c r="J111" s="111">
        <f t="shared" si="15"/>
        <v>351</v>
      </c>
    </row>
    <row r="112" spans="2:10" ht="15" customHeight="1">
      <c r="B112" s="114">
        <v>2028</v>
      </c>
      <c r="C112" s="113">
        <f t="shared" si="14"/>
        <v>66</v>
      </c>
      <c r="D112" s="324">
        <f>ROUND((C111-M50)-(C111*$D$98),0)</f>
        <v>51</v>
      </c>
      <c r="E112" s="112">
        <f t="shared" si="16"/>
        <v>48</v>
      </c>
      <c r="F112" s="112">
        <f t="shared" si="17"/>
        <v>47</v>
      </c>
      <c r="G112" s="112">
        <f t="shared" si="18"/>
        <v>49</v>
      </c>
      <c r="H112" s="112">
        <f t="shared" si="19"/>
        <v>48</v>
      </c>
      <c r="I112" s="112">
        <f t="shared" si="20"/>
        <v>45</v>
      </c>
      <c r="J112" s="111">
        <f t="shared" si="15"/>
        <v>354</v>
      </c>
    </row>
    <row r="113" spans="2:10" ht="15" customHeight="1">
      <c r="B113" s="114">
        <v>2029</v>
      </c>
      <c r="C113" s="113">
        <f t="shared" si="14"/>
        <v>66</v>
      </c>
      <c r="D113" s="324">
        <f>ROUND((C112-N50)-(C112*$D$98),0)</f>
        <v>51</v>
      </c>
      <c r="E113" s="112">
        <f t="shared" si="16"/>
        <v>48</v>
      </c>
      <c r="F113" s="112">
        <f t="shared" si="17"/>
        <v>46</v>
      </c>
      <c r="G113" s="112">
        <f t="shared" si="18"/>
        <v>49</v>
      </c>
      <c r="H113" s="112">
        <f t="shared" si="19"/>
        <v>48</v>
      </c>
      <c r="I113" s="112">
        <f t="shared" si="20"/>
        <v>44</v>
      </c>
      <c r="J113" s="111">
        <f t="shared" si="15"/>
        <v>352</v>
      </c>
    </row>
    <row r="114" spans="2:10" ht="15" customHeight="1">
      <c r="B114" s="114">
        <v>2030</v>
      </c>
      <c r="C114" s="113">
        <f t="shared" si="14"/>
        <v>72</v>
      </c>
      <c r="D114" s="324">
        <f>ROUND((C113-O50)-(C113*$D$98),0)</f>
        <v>51</v>
      </c>
      <c r="E114" s="112">
        <f t="shared" si="16"/>
        <v>48</v>
      </c>
      <c r="F114" s="112">
        <f t="shared" si="17"/>
        <v>46</v>
      </c>
      <c r="G114" s="112">
        <f t="shared" si="18"/>
        <v>48</v>
      </c>
      <c r="H114" s="112">
        <f t="shared" si="19"/>
        <v>48</v>
      </c>
      <c r="I114" s="112">
        <f t="shared" si="20"/>
        <v>44</v>
      </c>
      <c r="J114" s="111">
        <f t="shared" si="15"/>
        <v>357</v>
      </c>
    </row>
    <row r="115" spans="2:10" ht="15" customHeight="1">
      <c r="B115" s="114">
        <v>2031</v>
      </c>
      <c r="C115" s="113">
        <f t="shared" si="14"/>
        <v>72</v>
      </c>
      <c r="D115" s="324">
        <f>ROUND((C114-P50)-(C114*$D$98),0)</f>
        <v>57</v>
      </c>
      <c r="E115" s="112">
        <f t="shared" si="16"/>
        <v>48</v>
      </c>
      <c r="F115" s="112">
        <f t="shared" si="17"/>
        <v>46</v>
      </c>
      <c r="G115" s="112">
        <f t="shared" si="18"/>
        <v>48</v>
      </c>
      <c r="H115" s="112">
        <f t="shared" si="19"/>
        <v>47</v>
      </c>
      <c r="I115" s="112">
        <f t="shared" si="20"/>
        <v>44</v>
      </c>
      <c r="J115" s="111">
        <f t="shared" si="15"/>
        <v>362</v>
      </c>
    </row>
    <row r="116" spans="2:10" ht="15" customHeight="1">
      <c r="B116" s="114">
        <v>2032</v>
      </c>
      <c r="C116" s="113">
        <f t="shared" si="14"/>
        <v>72</v>
      </c>
      <c r="D116" s="324">
        <f>ROUND((C115-Q50)-(C115*$D$98),0)</f>
        <v>57</v>
      </c>
      <c r="E116" s="112">
        <f t="shared" si="16"/>
        <v>54</v>
      </c>
      <c r="F116" s="112">
        <f t="shared" si="17"/>
        <v>46</v>
      </c>
      <c r="G116" s="112">
        <f t="shared" si="18"/>
        <v>48</v>
      </c>
      <c r="H116" s="112">
        <f t="shared" si="19"/>
        <v>47</v>
      </c>
      <c r="I116" s="112">
        <f t="shared" si="20"/>
        <v>43</v>
      </c>
      <c r="J116" s="111">
        <f t="shared" si="15"/>
        <v>367</v>
      </c>
    </row>
    <row r="117" spans="2:10" ht="15" customHeight="1">
      <c r="F117" s="14"/>
      <c r="G117" s="14"/>
    </row>
    <row r="118" spans="2:10" ht="15" customHeight="1">
      <c r="B118" s="15" t="str">
        <f>"Table 4C: "&amp;E3&amp;" Projected Pupil Generation from Housing Development, 2019-2032"</f>
        <v>Table 4C: Broughton Primary School Projected Pupil Generation from Housing Development, 2019-2032</v>
      </c>
      <c r="F118" s="14"/>
      <c r="G118" s="14"/>
    </row>
    <row r="119" spans="2:10" ht="15" customHeight="1">
      <c r="F119" s="14"/>
      <c r="G119" s="14"/>
    </row>
    <row r="120" spans="2:10" ht="15" customHeight="1">
      <c r="B120" s="115"/>
      <c r="C120" s="109" t="s">
        <v>1</v>
      </c>
      <c r="D120" s="109" t="s">
        <v>2</v>
      </c>
      <c r="E120" s="109" t="s">
        <v>3</v>
      </c>
      <c r="F120" s="109" t="s">
        <v>4</v>
      </c>
      <c r="G120" s="109" t="s">
        <v>5</v>
      </c>
      <c r="H120" s="109" t="s">
        <v>6</v>
      </c>
      <c r="I120" s="109" t="s">
        <v>7</v>
      </c>
      <c r="J120" s="109" t="s">
        <v>8</v>
      </c>
    </row>
    <row r="121" spans="2:10" ht="15" customHeight="1">
      <c r="B121" s="114">
        <v>2019</v>
      </c>
      <c r="C121" s="116" t="s">
        <v>97</v>
      </c>
      <c r="D121" s="112">
        <f>VLOOKUP($E$3,'Housing Generation'!$A$3:$BE$90,11,FALSE)</f>
        <v>3</v>
      </c>
      <c r="E121" s="112">
        <f>VLOOKUP($E$3,'Housing Generation'!$A$3:$BE$90,12,FALSE)</f>
        <v>2</v>
      </c>
      <c r="F121" s="112">
        <f>VLOOKUP($E$3,'Housing Generation'!$A$3:$BE$90,13,FALSE)</f>
        <v>2</v>
      </c>
      <c r="G121" s="112">
        <f>VLOOKUP($E$3,'Housing Generation'!$A$3:$BE$90,14,FALSE)</f>
        <v>2</v>
      </c>
      <c r="H121" s="112">
        <f>VLOOKUP($E$3,'Housing Generation'!$A$3:$BE$90,15,FALSE)</f>
        <v>2</v>
      </c>
      <c r="I121" s="112">
        <f>VLOOKUP($E$3,'Housing Generation'!$A$3:$BE$90,16,FALSE)</f>
        <v>2</v>
      </c>
      <c r="J121" s="111">
        <f t="shared" ref="J121:J134" si="21">SUM(D121:I121)</f>
        <v>13</v>
      </c>
    </row>
    <row r="122" spans="2:10" ht="15" customHeight="1">
      <c r="B122" s="114">
        <v>2020</v>
      </c>
      <c r="C122" s="116" t="s">
        <v>97</v>
      </c>
      <c r="D122" s="112">
        <f>VLOOKUP($E$3,'Housing Generation'!$A$3:$BE$90,19,FALSE)</f>
        <v>4</v>
      </c>
      <c r="E122" s="112">
        <f>VLOOKUP($E$3,'Housing Generation'!$A$3:$BE$90,20,FALSE)</f>
        <v>4</v>
      </c>
      <c r="F122" s="112">
        <f>VLOOKUP($E$3,'Housing Generation'!$A$3:$BE$90,21,FALSE)</f>
        <v>4</v>
      </c>
      <c r="G122" s="112">
        <f>VLOOKUP($E$3,'Housing Generation'!$A$3:$BE$90,22,FALSE)</f>
        <v>4</v>
      </c>
      <c r="H122" s="112">
        <f>VLOOKUP($E$3,'Housing Generation'!$A$3:$BE$90,23,FALSE)</f>
        <v>3</v>
      </c>
      <c r="I122" s="112">
        <f>VLOOKUP($E$3,'Housing Generation'!$A$3:$BE$90,24,FALSE)</f>
        <v>3</v>
      </c>
      <c r="J122" s="111">
        <f t="shared" si="21"/>
        <v>22</v>
      </c>
    </row>
    <row r="123" spans="2:10" ht="15" customHeight="1">
      <c r="B123" s="114">
        <v>2021</v>
      </c>
      <c r="C123" s="116" t="s">
        <v>97</v>
      </c>
      <c r="D123" s="112">
        <f>VLOOKUP($E$3,'Housing Generation'!$A$3:$BE$90,27,FALSE)</f>
        <v>6</v>
      </c>
      <c r="E123" s="112">
        <f>VLOOKUP($E$3,'Housing Generation'!$A$3:$BE$90,28,FALSE)</f>
        <v>6</v>
      </c>
      <c r="F123" s="112">
        <f>VLOOKUP($E$3,'Housing Generation'!$A$3:$BE$90,29,FALSE)</f>
        <v>6</v>
      </c>
      <c r="G123" s="112">
        <f>VLOOKUP($E$3,'Housing Generation'!$A$3:$BE$90,30,FALSE)</f>
        <v>6</v>
      </c>
      <c r="H123" s="112">
        <f>VLOOKUP($E$3,'Housing Generation'!$A$3:$BE$90,31,FALSE)</f>
        <v>6</v>
      </c>
      <c r="I123" s="112">
        <f>VLOOKUP($E$3,'Housing Generation'!$A$3:$BE$90,32,FALSE)</f>
        <v>6</v>
      </c>
      <c r="J123" s="111">
        <f t="shared" si="21"/>
        <v>36</v>
      </c>
    </row>
    <row r="124" spans="2:10" ht="15" customHeight="1">
      <c r="B124" s="114">
        <v>2022</v>
      </c>
      <c r="C124" s="116" t="s">
        <v>97</v>
      </c>
      <c r="D124" s="112">
        <f>VLOOKUP($E$3,'Housing Generation'!$A$3:$BE$90,35,FALSE)</f>
        <v>8</v>
      </c>
      <c r="E124" s="112">
        <f>VLOOKUP($E$3,'Housing Generation'!$A$3:$BE$90,36,FALSE)</f>
        <v>8</v>
      </c>
      <c r="F124" s="112">
        <f>VLOOKUP($E$3,'Housing Generation'!$A$3:$BE$90,37,FALSE)</f>
        <v>8</v>
      </c>
      <c r="G124" s="112">
        <f>VLOOKUP($E$3,'Housing Generation'!$A$3:$BE$90,38,FALSE)</f>
        <v>8</v>
      </c>
      <c r="H124" s="112">
        <f>VLOOKUP($E$3,'Housing Generation'!$A$3:$BE$90,39,FALSE)</f>
        <v>8</v>
      </c>
      <c r="I124" s="112">
        <f>VLOOKUP($E$3,'Housing Generation'!$A$3:$BE$90,40,FALSE)</f>
        <v>8</v>
      </c>
      <c r="J124" s="111">
        <f t="shared" si="21"/>
        <v>48</v>
      </c>
    </row>
    <row r="125" spans="2:10" ht="15" customHeight="1">
      <c r="B125" s="114">
        <v>2023</v>
      </c>
      <c r="C125" s="116" t="s">
        <v>97</v>
      </c>
      <c r="D125" s="112">
        <f>VLOOKUP($E$3,'Housing Generation'!$A$3:$BE$90,43,FALSE)</f>
        <v>9</v>
      </c>
      <c r="E125" s="112">
        <f>VLOOKUP($E$3,'Housing Generation'!$A$3:$BE$90,44,FALSE)</f>
        <v>9</v>
      </c>
      <c r="F125" s="112">
        <f>VLOOKUP($E$3,'Housing Generation'!$A$3:$BE$90,45,FALSE)</f>
        <v>9</v>
      </c>
      <c r="G125" s="112">
        <f>VLOOKUP($E$3,'Housing Generation'!$A$3:$BE$90,46,FALSE)</f>
        <v>9</v>
      </c>
      <c r="H125" s="112">
        <f>VLOOKUP($E$3,'Housing Generation'!$A$3:$BE$90,47,FALSE)</f>
        <v>9</v>
      </c>
      <c r="I125" s="112">
        <f>VLOOKUP($E$3,'Housing Generation'!$A$3:$BE$90,48,FALSE)</f>
        <v>9</v>
      </c>
      <c r="J125" s="111">
        <f t="shared" si="21"/>
        <v>54</v>
      </c>
    </row>
    <row r="126" spans="2:10" ht="15" customHeight="1">
      <c r="B126" s="114">
        <v>2024</v>
      </c>
      <c r="C126" s="116" t="s">
        <v>97</v>
      </c>
      <c r="D126" s="112">
        <f>VLOOKUP($E$3,'Housing Generation'!$A$3:$BE$90,51,FALSE)</f>
        <v>10</v>
      </c>
      <c r="E126" s="112">
        <f>VLOOKUP($E$3,'Housing Generation'!$A$3:$BE$90,52,FALSE)</f>
        <v>10</v>
      </c>
      <c r="F126" s="112">
        <f>VLOOKUP($E$3,'Housing Generation'!$A$3:$BE$90,53,FALSE)</f>
        <v>10</v>
      </c>
      <c r="G126" s="112">
        <f>VLOOKUP($E$3,'Housing Generation'!$A$3:$BE$90,54,FALSE)</f>
        <v>10</v>
      </c>
      <c r="H126" s="112">
        <f>VLOOKUP($E$3,'Housing Generation'!$A$3:$BE$90,55,FALSE)</f>
        <v>10</v>
      </c>
      <c r="I126" s="112">
        <f>VLOOKUP($E$3,'Housing Generation'!$A$3:$BE$90,56,FALSE)</f>
        <v>10</v>
      </c>
      <c r="J126" s="111">
        <f t="shared" si="21"/>
        <v>60</v>
      </c>
    </row>
    <row r="127" spans="2:10" ht="15" customHeight="1">
      <c r="B127" s="114">
        <v>2025</v>
      </c>
      <c r="C127" s="240" t="s">
        <v>97</v>
      </c>
      <c r="D127" s="112">
        <f>VLOOKUP($E$3,'Housing Generation'!$A$3:$CK$90,59,FALSE)</f>
        <v>11</v>
      </c>
      <c r="E127" s="112">
        <f>VLOOKUP($E$3,'Housing Generation'!$A$3:$CK$90,60,FALSE)</f>
        <v>11</v>
      </c>
      <c r="F127" s="112">
        <f>VLOOKUP($E$3,'Housing Generation'!$A$3:$CK$90,61,FALSE)</f>
        <v>11</v>
      </c>
      <c r="G127" s="112">
        <f>VLOOKUP($E$3,'Housing Generation'!$A$3:$CK$90,62,FALSE)</f>
        <v>11</v>
      </c>
      <c r="H127" s="112">
        <f>VLOOKUP($E$3,'Housing Generation'!$A$3:$CK$90,63,FALSE)</f>
        <v>10</v>
      </c>
      <c r="I127" s="112">
        <f>VLOOKUP($E$3,'Housing Generation'!$A$3:$CK$90,64,FALSE)</f>
        <v>10</v>
      </c>
      <c r="J127" s="111">
        <f t="shared" si="21"/>
        <v>64</v>
      </c>
    </row>
    <row r="128" spans="2:10" ht="15" customHeight="1">
      <c r="B128" s="114">
        <v>2026</v>
      </c>
      <c r="C128" s="240" t="s">
        <v>97</v>
      </c>
      <c r="D128" s="112">
        <f>VLOOKUP($E$3,'Housing Generation'!$A$3:$CK$90,67,FALSE)</f>
        <v>11</v>
      </c>
      <c r="E128" s="112">
        <f>VLOOKUP($E$3,'Housing Generation'!$A$3:$CK$90,68,FALSE)</f>
        <v>11</v>
      </c>
      <c r="F128" s="112">
        <f>VLOOKUP($E$3,'Housing Generation'!$A$3:$CK$90,69,FALSE)</f>
        <v>11</v>
      </c>
      <c r="G128" s="112">
        <f>VLOOKUP($E$3,'Housing Generation'!$A$3:$CK$90,70,FALSE)</f>
        <v>11</v>
      </c>
      <c r="H128" s="112">
        <f>VLOOKUP($E$3,'Housing Generation'!$A$3:$CK$90,71,FALSE)</f>
        <v>11</v>
      </c>
      <c r="I128" s="112">
        <f>VLOOKUP($E$3,'Housing Generation'!$A$3:$CK$90,72,FALSE)</f>
        <v>11</v>
      </c>
      <c r="J128" s="111">
        <f t="shared" si="21"/>
        <v>66</v>
      </c>
    </row>
    <row r="129" spans="2:10" ht="15" customHeight="1">
      <c r="B129" s="114">
        <v>2027</v>
      </c>
      <c r="C129" s="240" t="s">
        <v>97</v>
      </c>
      <c r="D129" s="112">
        <f>VLOOKUP($E$3,'Housing Generation'!$A$3:$CK$90,75,FALSE)</f>
        <v>12</v>
      </c>
      <c r="E129" s="112">
        <f>VLOOKUP($E$3,'Housing Generation'!$A$3:$CK$90,76,FALSE)</f>
        <v>11</v>
      </c>
      <c r="F129" s="112">
        <f>VLOOKUP($E$3,'Housing Generation'!$A$3:$CK$90,77,FALSE)</f>
        <v>11</v>
      </c>
      <c r="G129" s="112">
        <f>VLOOKUP($E$3,'Housing Generation'!$A$3:$CK$90,78,FALSE)</f>
        <v>11</v>
      </c>
      <c r="H129" s="112">
        <f>VLOOKUP($E$3,'Housing Generation'!$A$3:$CK$90,79,FALSE)</f>
        <v>11</v>
      </c>
      <c r="I129" s="112">
        <f>VLOOKUP($E$3,'Housing Generation'!$A$3:$CK$90,80,FALSE)</f>
        <v>11</v>
      </c>
      <c r="J129" s="111">
        <f t="shared" si="21"/>
        <v>67</v>
      </c>
    </row>
    <row r="130" spans="2:10" ht="15" customHeight="1">
      <c r="B130" s="114">
        <v>2028</v>
      </c>
      <c r="C130" s="289" t="s">
        <v>97</v>
      </c>
      <c r="D130" s="112">
        <f>VLOOKUP($E$3,'Housing Generation'!$A$3:$CK$90,83,FALSE)</f>
        <v>12</v>
      </c>
      <c r="E130" s="112">
        <f>VLOOKUP($E$3,'Housing Generation'!$A$3:$CK$90,84,FALSE)</f>
        <v>11</v>
      </c>
      <c r="F130" s="112">
        <f>VLOOKUP($E$3,'Housing Generation'!$A$3:$CK$90,85,FALSE)</f>
        <v>11</v>
      </c>
      <c r="G130" s="112">
        <f>VLOOKUP($E$3,'Housing Generation'!$A$3:$CK$90,86,FALSE)</f>
        <v>11</v>
      </c>
      <c r="H130" s="112">
        <f>VLOOKUP($E$3,'Housing Generation'!$A$3:$CK$90,87,FALSE)</f>
        <v>11</v>
      </c>
      <c r="I130" s="112">
        <f>VLOOKUP($E$3,'Housing Generation'!$A$3:$CK$90,88,FALSE)</f>
        <v>11</v>
      </c>
      <c r="J130" s="111">
        <f t="shared" si="21"/>
        <v>67</v>
      </c>
    </row>
    <row r="131" spans="2:10" ht="15" customHeight="1">
      <c r="B131" s="114">
        <v>2029</v>
      </c>
      <c r="C131" s="289" t="s">
        <v>97</v>
      </c>
      <c r="D131" s="112">
        <f>VLOOKUP($E$3,'Housing Generation'!$A$3:$DQ$90,91,FALSE)</f>
        <v>12</v>
      </c>
      <c r="E131" s="112">
        <f>VLOOKUP($E$3,'Housing Generation'!$A$3:$DQ$90,92,FALSE)</f>
        <v>11</v>
      </c>
      <c r="F131" s="112">
        <f>VLOOKUP($E$3,'Housing Generation'!$A$3:$DQ$90,93,FALSE)</f>
        <v>11</v>
      </c>
      <c r="G131" s="112">
        <f>VLOOKUP($E$3,'Housing Generation'!$A$3:$DQ$90,94,FALSE)</f>
        <v>11</v>
      </c>
      <c r="H131" s="112">
        <f>VLOOKUP($E$3,'Housing Generation'!$A$3:$DQ$90,95,FALSE)</f>
        <v>11</v>
      </c>
      <c r="I131" s="112">
        <f>VLOOKUP($E$3,'Housing Generation'!$A$3:$DQ$90,96,FALSE)</f>
        <v>11</v>
      </c>
      <c r="J131" s="111">
        <f t="shared" si="21"/>
        <v>67</v>
      </c>
    </row>
    <row r="132" spans="2:10" ht="15" customHeight="1">
      <c r="B132" s="114">
        <v>2030</v>
      </c>
      <c r="C132" s="289" t="s">
        <v>97</v>
      </c>
      <c r="D132" s="112">
        <f>VLOOKUP($E$3,'Housing Generation'!$A$3:$DQ$90,99,FALSE)</f>
        <v>12</v>
      </c>
      <c r="E132" s="112">
        <f>VLOOKUP($E$3,'Housing Generation'!$A$3:$DQ$90,100,FALSE)</f>
        <v>11</v>
      </c>
      <c r="F132" s="112">
        <f>VLOOKUP($E$3,'Housing Generation'!$A$3:$DQ$90,101,FALSE)</f>
        <v>11</v>
      </c>
      <c r="G132" s="112">
        <f>VLOOKUP($E$3,'Housing Generation'!$A$3:$DQ$90,102,FALSE)</f>
        <v>11</v>
      </c>
      <c r="H132" s="112">
        <f>VLOOKUP($E$3,'Housing Generation'!$A$3:$DQ$90,103,FALSE)</f>
        <v>11</v>
      </c>
      <c r="I132" s="112">
        <f>VLOOKUP($E$3,'Housing Generation'!$A$3:$DQ$90,104,FALSE)</f>
        <v>11</v>
      </c>
      <c r="J132" s="111">
        <f t="shared" si="21"/>
        <v>67</v>
      </c>
    </row>
    <row r="133" spans="2:10" ht="15" customHeight="1">
      <c r="B133" s="114">
        <v>2031</v>
      </c>
      <c r="C133" s="289" t="s">
        <v>97</v>
      </c>
      <c r="D133" s="112">
        <f>VLOOKUP($E$3,'Housing Generation'!$A$3:$DQ$90,107,FALSE)</f>
        <v>12</v>
      </c>
      <c r="E133" s="112">
        <f>VLOOKUP($E$3,'Housing Generation'!$A$3:$DQ$90,108,FALSE)</f>
        <v>11</v>
      </c>
      <c r="F133" s="112">
        <f>VLOOKUP($E$3,'Housing Generation'!$A$3:$DQ$90,109,FALSE)</f>
        <v>11</v>
      </c>
      <c r="G133" s="112">
        <f>VLOOKUP($E$3,'Housing Generation'!$A$3:$DQ$90,110,FALSE)</f>
        <v>11</v>
      </c>
      <c r="H133" s="112">
        <f>VLOOKUP($E$3,'Housing Generation'!$A$3:$DQ$90,111,FALSE)</f>
        <v>11</v>
      </c>
      <c r="I133" s="112">
        <f>VLOOKUP($E$3,'Housing Generation'!$A$3:$DQ$90,112,FALSE)</f>
        <v>11</v>
      </c>
      <c r="J133" s="111">
        <f t="shared" si="21"/>
        <v>67</v>
      </c>
    </row>
    <row r="134" spans="2:10" ht="15" customHeight="1">
      <c r="B134" s="114">
        <v>2032</v>
      </c>
      <c r="C134" s="289" t="s">
        <v>97</v>
      </c>
      <c r="D134" s="112">
        <f>VLOOKUP($E$3,'Housing Generation'!$A$3:$DQ$90,115,FALSE)</f>
        <v>12</v>
      </c>
      <c r="E134" s="112">
        <f>VLOOKUP($E$3,'Housing Generation'!$A$3:$DQ$90,116,FALSE)</f>
        <v>11</v>
      </c>
      <c r="F134" s="112">
        <f>VLOOKUP($E$3,'Housing Generation'!$A$3:$DQ$90,117,FALSE)</f>
        <v>11</v>
      </c>
      <c r="G134" s="112">
        <f>VLOOKUP($E$3,'Housing Generation'!$A$3:$DQ$90,118,FALSE)</f>
        <v>11</v>
      </c>
      <c r="H134" s="112">
        <f>VLOOKUP($E$3,'Housing Generation'!$A$3:$DQ$90,119,FALSE)</f>
        <v>11</v>
      </c>
      <c r="I134" s="112">
        <f>VLOOKUP($E$3,'Housing Generation'!$A$3:$DQ$90,120,FALSE)</f>
        <v>11</v>
      </c>
      <c r="J134" s="111">
        <f t="shared" si="21"/>
        <v>67</v>
      </c>
    </row>
    <row r="135" spans="2:10" ht="15"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Broughton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326">
        <f t="shared" ref="C139:C152" si="22">C103</f>
        <v>59.831533612846179</v>
      </c>
      <c r="D139" s="327">
        <f t="shared" ref="D139:I152" si="23">D121+D103</f>
        <v>57</v>
      </c>
      <c r="E139" s="327">
        <f t="shared" si="23"/>
        <v>56</v>
      </c>
      <c r="F139" s="327">
        <f t="shared" si="23"/>
        <v>49</v>
      </c>
      <c r="G139" s="327">
        <f t="shared" si="23"/>
        <v>56</v>
      </c>
      <c r="H139" s="327">
        <f t="shared" si="23"/>
        <v>63</v>
      </c>
      <c r="I139" s="327">
        <f t="shared" si="23"/>
        <v>62</v>
      </c>
      <c r="J139" s="111">
        <f t="shared" ref="J139:J147" si="24">SUM(C139:I139)</f>
        <v>402.83153361284621</v>
      </c>
    </row>
    <row r="140" spans="2:10" ht="15" customHeight="1">
      <c r="B140" s="114">
        <v>2020</v>
      </c>
      <c r="C140" s="113">
        <f t="shared" si="22"/>
        <v>60</v>
      </c>
      <c r="D140" s="112">
        <f t="shared" si="23"/>
        <v>57</v>
      </c>
      <c r="E140" s="112">
        <f t="shared" si="23"/>
        <v>55</v>
      </c>
      <c r="F140" s="112">
        <f t="shared" si="23"/>
        <v>55</v>
      </c>
      <c r="G140" s="112">
        <f t="shared" si="23"/>
        <v>53</v>
      </c>
      <c r="H140" s="112">
        <f t="shared" si="23"/>
        <v>56</v>
      </c>
      <c r="I140" s="112">
        <f t="shared" si="23"/>
        <v>59</v>
      </c>
      <c r="J140" s="111">
        <f t="shared" si="24"/>
        <v>395</v>
      </c>
    </row>
    <row r="141" spans="2:10" ht="15" customHeight="1">
      <c r="B141" s="114">
        <v>2021</v>
      </c>
      <c r="C141" s="113">
        <f t="shared" si="22"/>
        <v>60</v>
      </c>
      <c r="D141" s="112">
        <f t="shared" si="23"/>
        <v>57</v>
      </c>
      <c r="E141" s="112">
        <f t="shared" si="23"/>
        <v>56</v>
      </c>
      <c r="F141" s="112">
        <f t="shared" si="23"/>
        <v>55</v>
      </c>
      <c r="G141" s="112">
        <f t="shared" si="23"/>
        <v>59</v>
      </c>
      <c r="H141" s="112">
        <f t="shared" si="23"/>
        <v>54</v>
      </c>
      <c r="I141" s="112">
        <f t="shared" si="23"/>
        <v>55</v>
      </c>
      <c r="J141" s="111">
        <f t="shared" si="24"/>
        <v>396</v>
      </c>
    </row>
    <row r="142" spans="2:10" ht="15" customHeight="1">
      <c r="B142" s="114">
        <v>2022</v>
      </c>
      <c r="C142" s="113">
        <f t="shared" si="22"/>
        <v>66</v>
      </c>
      <c r="D142" s="112">
        <f t="shared" si="23"/>
        <v>56</v>
      </c>
      <c r="E142" s="112">
        <f t="shared" si="23"/>
        <v>56</v>
      </c>
      <c r="F142" s="112">
        <f t="shared" si="23"/>
        <v>56</v>
      </c>
      <c r="G142" s="112">
        <f t="shared" si="23"/>
        <v>59</v>
      </c>
      <c r="H142" s="112">
        <f t="shared" si="23"/>
        <v>60</v>
      </c>
      <c r="I142" s="112">
        <f t="shared" si="23"/>
        <v>52</v>
      </c>
      <c r="J142" s="111">
        <f t="shared" si="24"/>
        <v>405</v>
      </c>
    </row>
    <row r="143" spans="2:10" ht="15" customHeight="1">
      <c r="B143" s="114">
        <v>2023</v>
      </c>
      <c r="C143" s="113">
        <f t="shared" si="22"/>
        <v>66</v>
      </c>
      <c r="D143" s="112">
        <f t="shared" si="23"/>
        <v>62</v>
      </c>
      <c r="E143" s="112">
        <f t="shared" si="23"/>
        <v>54</v>
      </c>
      <c r="F143" s="112">
        <f t="shared" si="23"/>
        <v>55</v>
      </c>
      <c r="G143" s="112">
        <f t="shared" si="23"/>
        <v>59</v>
      </c>
      <c r="H143" s="112">
        <f t="shared" si="23"/>
        <v>59</v>
      </c>
      <c r="I143" s="112">
        <f t="shared" si="23"/>
        <v>57</v>
      </c>
      <c r="J143" s="111">
        <f t="shared" si="24"/>
        <v>412</v>
      </c>
    </row>
    <row r="144" spans="2:10" ht="15" customHeight="1">
      <c r="B144" s="114">
        <v>2024</v>
      </c>
      <c r="C144" s="113">
        <f t="shared" si="22"/>
        <v>66</v>
      </c>
      <c r="D144" s="112">
        <f t="shared" si="23"/>
        <v>62</v>
      </c>
      <c r="E144" s="112">
        <f t="shared" si="23"/>
        <v>60</v>
      </c>
      <c r="F144" s="112">
        <f t="shared" si="23"/>
        <v>53</v>
      </c>
      <c r="G144" s="112">
        <f t="shared" si="23"/>
        <v>58</v>
      </c>
      <c r="H144" s="112">
        <f t="shared" si="23"/>
        <v>59</v>
      </c>
      <c r="I144" s="112">
        <f t="shared" si="23"/>
        <v>56</v>
      </c>
      <c r="J144" s="111">
        <f t="shared" si="24"/>
        <v>414</v>
      </c>
    </row>
    <row r="145" spans="2:16" ht="15" customHeight="1">
      <c r="B145" s="114">
        <v>2025</v>
      </c>
      <c r="C145" s="113">
        <f t="shared" si="22"/>
        <v>66</v>
      </c>
      <c r="D145" s="112">
        <f t="shared" si="23"/>
        <v>63</v>
      </c>
      <c r="E145" s="112">
        <f t="shared" si="23"/>
        <v>60</v>
      </c>
      <c r="F145" s="112">
        <f t="shared" si="23"/>
        <v>59</v>
      </c>
      <c r="G145" s="112">
        <f t="shared" si="23"/>
        <v>55</v>
      </c>
      <c r="H145" s="112">
        <f t="shared" si="23"/>
        <v>57</v>
      </c>
      <c r="I145" s="112">
        <f t="shared" si="23"/>
        <v>55</v>
      </c>
      <c r="J145" s="111">
        <f t="shared" si="24"/>
        <v>415</v>
      </c>
    </row>
    <row r="146" spans="2:16" ht="15" customHeight="1">
      <c r="B146" s="114">
        <v>2026</v>
      </c>
      <c r="C146" s="113">
        <f t="shared" si="22"/>
        <v>66</v>
      </c>
      <c r="D146" s="112">
        <f t="shared" si="23"/>
        <v>63</v>
      </c>
      <c r="E146" s="112">
        <f t="shared" si="23"/>
        <v>60</v>
      </c>
      <c r="F146" s="112">
        <f t="shared" si="23"/>
        <v>58</v>
      </c>
      <c r="G146" s="112">
        <f t="shared" si="23"/>
        <v>61</v>
      </c>
      <c r="H146" s="112">
        <f t="shared" si="23"/>
        <v>54</v>
      </c>
      <c r="I146" s="112">
        <f t="shared" si="23"/>
        <v>54</v>
      </c>
      <c r="J146" s="111">
        <f t="shared" si="24"/>
        <v>416</v>
      </c>
    </row>
    <row r="147" spans="2:16" ht="15" customHeight="1">
      <c r="B147" s="114">
        <v>2027</v>
      </c>
      <c r="C147" s="113">
        <f t="shared" si="22"/>
        <v>66</v>
      </c>
      <c r="D147" s="112">
        <f t="shared" si="23"/>
        <v>63</v>
      </c>
      <c r="E147" s="112">
        <f t="shared" si="23"/>
        <v>60</v>
      </c>
      <c r="F147" s="112">
        <f t="shared" si="23"/>
        <v>58</v>
      </c>
      <c r="G147" s="112">
        <f t="shared" si="23"/>
        <v>60</v>
      </c>
      <c r="H147" s="112">
        <f t="shared" si="23"/>
        <v>60</v>
      </c>
      <c r="I147" s="112">
        <f t="shared" si="23"/>
        <v>51</v>
      </c>
      <c r="J147" s="111">
        <f t="shared" si="24"/>
        <v>418</v>
      </c>
    </row>
    <row r="148" spans="2:16" ht="15" customHeight="1">
      <c r="B148" s="114">
        <v>2028</v>
      </c>
      <c r="C148" s="113">
        <f t="shared" si="22"/>
        <v>66</v>
      </c>
      <c r="D148" s="112">
        <f t="shared" si="23"/>
        <v>63</v>
      </c>
      <c r="E148" s="112">
        <f t="shared" si="23"/>
        <v>59</v>
      </c>
      <c r="F148" s="112">
        <f t="shared" si="23"/>
        <v>58</v>
      </c>
      <c r="G148" s="112">
        <f t="shared" si="23"/>
        <v>60</v>
      </c>
      <c r="H148" s="112">
        <f t="shared" si="23"/>
        <v>59</v>
      </c>
      <c r="I148" s="112">
        <f t="shared" si="23"/>
        <v>56</v>
      </c>
      <c r="J148" s="111">
        <f t="shared" ref="J148:J152" si="25">SUM(C148:I148)</f>
        <v>421</v>
      </c>
    </row>
    <row r="149" spans="2:16" ht="15" customHeight="1">
      <c r="B149" s="114">
        <v>2029</v>
      </c>
      <c r="C149" s="113">
        <f t="shared" si="22"/>
        <v>66</v>
      </c>
      <c r="D149" s="112">
        <f t="shared" si="23"/>
        <v>63</v>
      </c>
      <c r="E149" s="112">
        <f t="shared" si="23"/>
        <v>59</v>
      </c>
      <c r="F149" s="112">
        <f t="shared" si="23"/>
        <v>57</v>
      </c>
      <c r="G149" s="112">
        <f t="shared" si="23"/>
        <v>60</v>
      </c>
      <c r="H149" s="112">
        <f t="shared" si="23"/>
        <v>59</v>
      </c>
      <c r="I149" s="112">
        <f t="shared" si="23"/>
        <v>55</v>
      </c>
      <c r="J149" s="111">
        <f t="shared" si="25"/>
        <v>419</v>
      </c>
    </row>
    <row r="150" spans="2:16" ht="15" customHeight="1">
      <c r="B150" s="114">
        <v>2030</v>
      </c>
      <c r="C150" s="113">
        <f t="shared" si="22"/>
        <v>72</v>
      </c>
      <c r="D150" s="112">
        <f t="shared" si="23"/>
        <v>63</v>
      </c>
      <c r="E150" s="112">
        <f t="shared" si="23"/>
        <v>59</v>
      </c>
      <c r="F150" s="112">
        <f t="shared" si="23"/>
        <v>57</v>
      </c>
      <c r="G150" s="112">
        <f t="shared" si="23"/>
        <v>59</v>
      </c>
      <c r="H150" s="112">
        <f t="shared" si="23"/>
        <v>59</v>
      </c>
      <c r="I150" s="112">
        <f t="shared" si="23"/>
        <v>55</v>
      </c>
      <c r="J150" s="111">
        <f t="shared" si="25"/>
        <v>424</v>
      </c>
    </row>
    <row r="151" spans="2:16" ht="15" customHeight="1">
      <c r="B151" s="114">
        <v>2031</v>
      </c>
      <c r="C151" s="113">
        <f t="shared" si="22"/>
        <v>72</v>
      </c>
      <c r="D151" s="112">
        <f t="shared" si="23"/>
        <v>69</v>
      </c>
      <c r="E151" s="112">
        <f t="shared" si="23"/>
        <v>59</v>
      </c>
      <c r="F151" s="112">
        <f t="shared" si="23"/>
        <v>57</v>
      </c>
      <c r="G151" s="112">
        <f t="shared" si="23"/>
        <v>59</v>
      </c>
      <c r="H151" s="112">
        <f t="shared" si="23"/>
        <v>58</v>
      </c>
      <c r="I151" s="112">
        <f t="shared" si="23"/>
        <v>55</v>
      </c>
      <c r="J151" s="111">
        <f t="shared" si="25"/>
        <v>429</v>
      </c>
    </row>
    <row r="152" spans="2:16" ht="15" customHeight="1">
      <c r="B152" s="114">
        <v>2032</v>
      </c>
      <c r="C152" s="113">
        <f t="shared" si="22"/>
        <v>72</v>
      </c>
      <c r="D152" s="112">
        <f t="shared" si="23"/>
        <v>69</v>
      </c>
      <c r="E152" s="112">
        <f t="shared" si="23"/>
        <v>65</v>
      </c>
      <c r="F152" s="112">
        <f t="shared" si="23"/>
        <v>57</v>
      </c>
      <c r="G152" s="112">
        <f t="shared" si="23"/>
        <v>59</v>
      </c>
      <c r="H152" s="112">
        <f t="shared" si="23"/>
        <v>58</v>
      </c>
      <c r="I152" s="112">
        <f t="shared" si="23"/>
        <v>54</v>
      </c>
      <c r="J152" s="111">
        <f t="shared" si="25"/>
        <v>434</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402.83153361284621</v>
      </c>
      <c r="D159" s="108">
        <f>J140</f>
        <v>395</v>
      </c>
      <c r="E159" s="108">
        <f>J141</f>
        <v>396</v>
      </c>
      <c r="F159" s="108">
        <f>J142</f>
        <v>405</v>
      </c>
      <c r="G159" s="108">
        <f>J143</f>
        <v>412</v>
      </c>
      <c r="H159" s="108">
        <f>J144</f>
        <v>414</v>
      </c>
      <c r="I159" s="108">
        <f>J145</f>
        <v>415</v>
      </c>
      <c r="J159" s="108">
        <f>J146</f>
        <v>416</v>
      </c>
      <c r="K159" s="108">
        <f>J147</f>
        <v>418</v>
      </c>
      <c r="L159" s="108">
        <f>J148</f>
        <v>421</v>
      </c>
      <c r="M159" s="108">
        <f>J149</f>
        <v>419</v>
      </c>
      <c r="N159" s="108">
        <f>J150</f>
        <v>424</v>
      </c>
      <c r="O159" s="108">
        <f>J151</f>
        <v>429</v>
      </c>
      <c r="P159" s="108">
        <f>J152</f>
        <v>434</v>
      </c>
    </row>
    <row r="160" spans="2:16" ht="15" customHeight="1">
      <c r="B160" s="107" t="s">
        <v>152</v>
      </c>
      <c r="C160" s="106">
        <f>VLOOKUP(C159,Capacity!$A$1:$C$645,2,TRUE)</f>
        <v>14</v>
      </c>
      <c r="D160" s="106">
        <f>VLOOKUP(D159,Capacity!$A$1:$C$645,2,TRUE)</f>
        <v>14</v>
      </c>
      <c r="E160" s="106">
        <f>VLOOKUP(E159,Capacity!$A$1:$C$645,2,TRUE)</f>
        <v>14</v>
      </c>
      <c r="F160" s="106">
        <f>VLOOKUP(F159,Capacity!$A$1:$C$645,2,TRUE)</f>
        <v>14</v>
      </c>
      <c r="G160" s="106">
        <f>VLOOKUP(G159,Capacity!$A$1:$C$645,2,TRUE)</f>
        <v>14</v>
      </c>
      <c r="H160" s="106">
        <f>VLOOKUP(H159,Capacity!$A$1:$C$645,2,TRUE)</f>
        <v>14</v>
      </c>
      <c r="I160" s="106">
        <f>VLOOKUP(I159,Capacity!$A$1:$C$645,2,TRUE)</f>
        <v>14</v>
      </c>
      <c r="J160" s="106">
        <f>VLOOKUP(J159,Capacity!$A$1:$C$645,2,TRUE)</f>
        <v>14</v>
      </c>
      <c r="K160" s="106">
        <f>VLOOKUP(K159,Capacity!$A$1:$C$645,2,TRUE)</f>
        <v>14</v>
      </c>
      <c r="L160" s="106">
        <f>VLOOKUP(L159,Capacity!$A$1:$C$645,2,TRUE)</f>
        <v>15</v>
      </c>
      <c r="M160" s="106">
        <f>VLOOKUP(M159,Capacity!$A$1:$C$645,2,TRUE)</f>
        <v>14</v>
      </c>
      <c r="N160" s="106">
        <f>VLOOKUP(N159,Capacity!$A$1:$C$645,2,TRUE)</f>
        <v>15</v>
      </c>
      <c r="O160" s="106">
        <f>VLOOKUP(O159,Capacity!$A$1:$C$645,2,TRUE)</f>
        <v>15</v>
      </c>
      <c r="P160" s="106">
        <f>VLOOKUP(P159,Capacity!$A$1:$C$645,2,TRUE)</f>
        <v>15</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155</v>
      </c>
      <c r="D169" s="97">
        <f>VLOOKUP($E$3,'Catchment Births'!$A$1:$U$90,11,FALSE)</f>
        <v>169</v>
      </c>
      <c r="E169" s="97">
        <f>VLOOKUP($E$3,'Catchment Births'!$A$1:$U$90,12,FALSE)</f>
        <v>188</v>
      </c>
      <c r="F169" s="97">
        <f>VLOOKUP($E$3,'Catchment Births'!$A$1:$U$90,13,FALSE)</f>
        <v>168</v>
      </c>
      <c r="G169" s="97">
        <f>VLOOKUP($E$3,'Catchment Births'!$A$1:$U$90,14,FALSE)</f>
        <v>182</v>
      </c>
      <c r="H169" s="97">
        <f>VLOOKUP($E$3,'Catchment Births'!$A$1:$U$90,15,FALSE)</f>
        <v>211</v>
      </c>
      <c r="I169" s="97">
        <f>VLOOKUP($E$3,'Catchment Births'!$A$1:$U$90,16,FALSE)</f>
        <v>213</v>
      </c>
      <c r="J169" s="97">
        <f>VLOOKUP($E$3,'Catchment Births'!$A$1:$U$90,17,FALSE)</f>
        <v>212</v>
      </c>
      <c r="K169" s="97">
        <f>VLOOKUP($E$3,'Catchment Births'!$A$1:$U$90,18,FALSE)</f>
        <v>223</v>
      </c>
      <c r="L169" s="97">
        <f>VLOOKUP($E$3,'Catchment Births'!$A$1:$U$90,19,FALSE)</f>
        <v>198</v>
      </c>
      <c r="M169" s="97">
        <f>VLOOKUP($E$3,'Catchment Births'!$A$1:$U$90,20,FALSE)</f>
        <v>197</v>
      </c>
      <c r="N169" s="97">
        <f>VLOOKUP($E$3,'Catchment Births'!$A$1:$U$90,21,FALSE)</f>
        <v>213</v>
      </c>
    </row>
    <row r="170" spans="2:14" ht="58.5" customHeight="1">
      <c r="B170" s="103" t="str">
        <f>"P1 "&amp;A35&amp;" Catchment Population (Actual)"</f>
        <v>P1 ND Catchment Population (Actual)</v>
      </c>
      <c r="C170" s="102" t="e">
        <v>#REF!</v>
      </c>
      <c r="D170" s="102">
        <v>47</v>
      </c>
      <c r="E170" s="102">
        <v>53</v>
      </c>
      <c r="F170" s="102">
        <v>54</v>
      </c>
      <c r="G170" s="102">
        <v>75</v>
      </c>
      <c r="H170" s="102">
        <v>75</v>
      </c>
      <c r="I170" s="102">
        <v>54</v>
      </c>
      <c r="J170" s="308">
        <f>VLOOKUP(E3,'Catchment Projections'!A1:BU92,42,FALSE)</f>
        <v>65</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54</v>
      </c>
      <c r="J172" s="96" t="e">
        <f>#REF!</f>
        <v>#REF!</v>
      </c>
      <c r="K172" s="96">
        <f>D51</f>
        <v>64</v>
      </c>
      <c r="L172" s="96">
        <f>E51</f>
        <v>70</v>
      </c>
      <c r="M172" s="96">
        <f>F51</f>
        <v>65</v>
      </c>
      <c r="N172" s="96">
        <f>G51</f>
        <v>74</v>
      </c>
    </row>
    <row r="173" spans="2:14" ht="12.75">
      <c r="B173" s="62"/>
      <c r="C173" s="62"/>
      <c r="D173" s="62"/>
      <c r="E173" s="62"/>
      <c r="F173" s="62"/>
      <c r="G173" s="62"/>
      <c r="H173" s="62"/>
      <c r="I173" s="62"/>
      <c r="J173" s="62"/>
      <c r="K173" s="62"/>
    </row>
    <row r="174" spans="2:14" ht="15" customHeight="1">
      <c r="B174" s="64" t="str">
        <f>"Table 5: "&amp;E3&amp;" Roll by Stage, 2002-2018"</f>
        <v>Table 5: Broughton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44</v>
      </c>
      <c r="D177" s="93">
        <v>49</v>
      </c>
      <c r="E177" s="93">
        <v>38</v>
      </c>
      <c r="F177" s="93">
        <v>52</v>
      </c>
      <c r="G177" s="93">
        <v>47</v>
      </c>
      <c r="H177" s="93">
        <v>46</v>
      </c>
      <c r="I177" s="93">
        <v>34</v>
      </c>
      <c r="J177" s="92">
        <v>310</v>
      </c>
      <c r="K177" s="62"/>
    </row>
    <row r="178" spans="2:11" ht="15" customHeight="1">
      <c r="B178" s="94">
        <v>2003</v>
      </c>
      <c r="C178" s="93">
        <v>45</v>
      </c>
      <c r="D178" s="93">
        <v>44</v>
      </c>
      <c r="E178" s="93">
        <v>49</v>
      </c>
      <c r="F178" s="93">
        <v>42</v>
      </c>
      <c r="G178" s="93">
        <v>50</v>
      </c>
      <c r="H178" s="93">
        <v>51</v>
      </c>
      <c r="I178" s="93">
        <v>44</v>
      </c>
      <c r="J178" s="92">
        <v>325</v>
      </c>
      <c r="K178" s="62"/>
    </row>
    <row r="179" spans="2:11" customFormat="1" ht="15" customHeight="1">
      <c r="B179" s="94">
        <v>2004</v>
      </c>
      <c r="C179" s="95">
        <v>48</v>
      </c>
      <c r="D179" s="95">
        <v>45</v>
      </c>
      <c r="E179" s="95">
        <v>45</v>
      </c>
      <c r="F179" s="95">
        <v>50</v>
      </c>
      <c r="G179" s="95">
        <v>40</v>
      </c>
      <c r="H179" s="95">
        <v>48</v>
      </c>
      <c r="I179" s="95">
        <v>50</v>
      </c>
      <c r="J179" s="92">
        <v>326</v>
      </c>
      <c r="K179" s="62"/>
    </row>
    <row r="180" spans="2:11" customFormat="1" ht="15" customHeight="1">
      <c r="B180" s="94">
        <v>2005</v>
      </c>
      <c r="C180" s="93">
        <v>39</v>
      </c>
      <c r="D180" s="93">
        <v>51</v>
      </c>
      <c r="E180" s="93">
        <v>43</v>
      </c>
      <c r="F180" s="93">
        <v>46</v>
      </c>
      <c r="G180" s="93">
        <v>46</v>
      </c>
      <c r="H180" s="93">
        <v>37</v>
      </c>
      <c r="I180" s="93">
        <v>48</v>
      </c>
      <c r="J180" s="92">
        <v>310</v>
      </c>
      <c r="K180" s="62"/>
    </row>
    <row r="181" spans="2:11" customFormat="1" ht="15" customHeight="1">
      <c r="B181" s="94">
        <v>2006</v>
      </c>
      <c r="C181" s="93">
        <v>39</v>
      </c>
      <c r="D181" s="93">
        <v>40</v>
      </c>
      <c r="E181" s="93">
        <v>52</v>
      </c>
      <c r="F181" s="93">
        <v>38</v>
      </c>
      <c r="G181" s="93">
        <v>46</v>
      </c>
      <c r="H181" s="93">
        <v>46</v>
      </c>
      <c r="I181" s="93">
        <v>35</v>
      </c>
      <c r="J181" s="92">
        <v>296</v>
      </c>
      <c r="K181" s="62"/>
    </row>
    <row r="182" spans="2:11" customFormat="1" ht="15" customHeight="1">
      <c r="B182" s="94">
        <v>2007</v>
      </c>
      <c r="C182" s="93">
        <v>52</v>
      </c>
      <c r="D182" s="93">
        <v>37</v>
      </c>
      <c r="E182" s="93">
        <v>41</v>
      </c>
      <c r="F182" s="93">
        <v>54</v>
      </c>
      <c r="G182" s="93">
        <v>40</v>
      </c>
      <c r="H182" s="93">
        <v>44</v>
      </c>
      <c r="I182" s="93">
        <v>46</v>
      </c>
      <c r="J182" s="92">
        <v>314</v>
      </c>
      <c r="K182" s="62"/>
    </row>
    <row r="183" spans="2:11" customFormat="1" ht="15" customHeight="1">
      <c r="B183" s="94">
        <v>2008</v>
      </c>
      <c r="C183" s="93">
        <v>49</v>
      </c>
      <c r="D183" s="93">
        <v>53</v>
      </c>
      <c r="E183" s="93">
        <v>38</v>
      </c>
      <c r="F183" s="93">
        <v>42</v>
      </c>
      <c r="G183" s="93">
        <v>59</v>
      </c>
      <c r="H183" s="93">
        <v>46</v>
      </c>
      <c r="I183" s="93">
        <v>43</v>
      </c>
      <c r="J183" s="92">
        <v>330</v>
      </c>
      <c r="K183" s="62"/>
    </row>
    <row r="184" spans="2:11" customFormat="1" ht="15" customHeight="1">
      <c r="B184" s="94">
        <v>2009</v>
      </c>
      <c r="C184" s="93">
        <v>57</v>
      </c>
      <c r="D184" s="93">
        <v>47</v>
      </c>
      <c r="E184" s="93">
        <v>51</v>
      </c>
      <c r="F184" s="93">
        <v>40</v>
      </c>
      <c r="G184" s="93">
        <v>40</v>
      </c>
      <c r="H184" s="93">
        <v>55</v>
      </c>
      <c r="I184" s="93">
        <v>45</v>
      </c>
      <c r="J184" s="94">
        <v>335</v>
      </c>
      <c r="K184" s="62"/>
    </row>
    <row r="185" spans="2:11" customFormat="1" ht="15" customHeight="1">
      <c r="B185" s="94">
        <v>2010</v>
      </c>
      <c r="C185" s="93">
        <v>40</v>
      </c>
      <c r="D185" s="93">
        <v>61</v>
      </c>
      <c r="E185" s="93">
        <v>44</v>
      </c>
      <c r="F185" s="93">
        <v>50</v>
      </c>
      <c r="G185" s="93">
        <v>37</v>
      </c>
      <c r="H185" s="93">
        <v>40</v>
      </c>
      <c r="I185" s="93">
        <v>58</v>
      </c>
      <c r="J185" s="92">
        <v>330</v>
      </c>
      <c r="K185" s="62"/>
    </row>
    <row r="186" spans="2:11" customFormat="1" ht="15" customHeight="1">
      <c r="B186" s="94">
        <v>2011</v>
      </c>
      <c r="C186" s="93">
        <v>61</v>
      </c>
      <c r="D186" s="93">
        <v>42</v>
      </c>
      <c r="E186" s="93">
        <v>58</v>
      </c>
      <c r="F186" s="93">
        <v>45</v>
      </c>
      <c r="G186" s="93">
        <v>47</v>
      </c>
      <c r="H186" s="93">
        <v>35</v>
      </c>
      <c r="I186" s="93">
        <v>36</v>
      </c>
      <c r="J186" s="92">
        <v>324</v>
      </c>
      <c r="K186" s="62"/>
    </row>
    <row r="187" spans="2:11" customFormat="1" ht="15" customHeight="1">
      <c r="B187" s="94">
        <v>2012</v>
      </c>
      <c r="C187" s="93">
        <v>59</v>
      </c>
      <c r="D187" s="93">
        <v>60</v>
      </c>
      <c r="E187" s="93">
        <v>42</v>
      </c>
      <c r="F187" s="93">
        <v>58</v>
      </c>
      <c r="G187" s="93">
        <v>47</v>
      </c>
      <c r="H187" s="93">
        <v>50</v>
      </c>
      <c r="I187" s="93">
        <v>30</v>
      </c>
      <c r="J187" s="92">
        <v>346</v>
      </c>
      <c r="K187" s="62"/>
    </row>
    <row r="188" spans="2:11" customFormat="1" ht="15" customHeight="1">
      <c r="B188" s="94">
        <v>2013</v>
      </c>
      <c r="C188" s="93">
        <v>69</v>
      </c>
      <c r="D188" s="93">
        <v>60</v>
      </c>
      <c r="E188" s="93">
        <v>66</v>
      </c>
      <c r="F188" s="93">
        <v>39</v>
      </c>
      <c r="G188" s="93">
        <v>54</v>
      </c>
      <c r="H188" s="93">
        <v>45</v>
      </c>
      <c r="I188" s="93">
        <v>51</v>
      </c>
      <c r="J188" s="94">
        <v>384</v>
      </c>
      <c r="K188" s="62"/>
    </row>
    <row r="189" spans="2:11" customFormat="1" ht="15" customHeight="1">
      <c r="B189" s="94">
        <v>2014</v>
      </c>
      <c r="C189" s="93">
        <v>63</v>
      </c>
      <c r="D189" s="93">
        <v>67</v>
      </c>
      <c r="E189" s="93">
        <v>56</v>
      </c>
      <c r="F189" s="93">
        <v>58</v>
      </c>
      <c r="G189" s="93">
        <v>36</v>
      </c>
      <c r="H189" s="93">
        <v>45</v>
      </c>
      <c r="I189" s="93">
        <v>37</v>
      </c>
      <c r="J189" s="92">
        <v>362</v>
      </c>
      <c r="K189" s="65"/>
    </row>
    <row r="190" spans="2:11" customFormat="1" ht="15" customHeight="1">
      <c r="B190" s="94">
        <v>2015</v>
      </c>
      <c r="C190" s="93">
        <v>49</v>
      </c>
      <c r="D190" s="93">
        <v>60</v>
      </c>
      <c r="E190" s="93">
        <v>61</v>
      </c>
      <c r="F190" s="93">
        <v>50</v>
      </c>
      <c r="G190" s="93">
        <v>53</v>
      </c>
      <c r="H190" s="93">
        <v>37</v>
      </c>
      <c r="I190" s="93">
        <v>45</v>
      </c>
      <c r="J190" s="92">
        <v>355</v>
      </c>
      <c r="K190" s="65"/>
    </row>
    <row r="191" spans="2:11" customFormat="1" ht="15" customHeight="1">
      <c r="B191" s="94">
        <v>2016</v>
      </c>
      <c r="C191" s="93">
        <v>58</v>
      </c>
      <c r="D191" s="93">
        <v>50</v>
      </c>
      <c r="E191" s="93">
        <v>63</v>
      </c>
      <c r="F191" s="93">
        <v>59</v>
      </c>
      <c r="G191" s="93">
        <v>52</v>
      </c>
      <c r="H191" s="93">
        <v>50</v>
      </c>
      <c r="I191" s="93">
        <v>37</v>
      </c>
      <c r="J191" s="92">
        <v>369</v>
      </c>
      <c r="K191" s="65"/>
    </row>
    <row r="192" spans="2:11" ht="15" customHeight="1">
      <c r="B192" s="94">
        <v>2017</v>
      </c>
      <c r="C192" s="93">
        <f>VLOOKUP($E$3,Rolls!A1:FA90,42,FALSE)</f>
        <v>63</v>
      </c>
      <c r="D192" s="93">
        <f>VLOOKUP($E$3,Rolls!A1:FA90,43,FALSE)</f>
        <v>52</v>
      </c>
      <c r="E192" s="93">
        <f>VLOOKUP($E$3,Rolls!A1:FA90,44,FALSE)</f>
        <v>50</v>
      </c>
      <c r="F192" s="93">
        <f>VLOOKUP($E$3,Rolls!A1:FA90,45,FALSE)</f>
        <v>60</v>
      </c>
      <c r="G192" s="93">
        <f>VLOOKUP($E$3,Rolls!A1:FA90,46,FALSE)</f>
        <v>66</v>
      </c>
      <c r="H192" s="93">
        <f>VLOOKUP($E$3,Rolls!A1:FA90,47,FALSE)</f>
        <v>55</v>
      </c>
      <c r="I192" s="93">
        <f>VLOOKUP($E$3,Rolls!A1:FA90,48,FALSE)</f>
        <v>46</v>
      </c>
      <c r="J192" s="92">
        <f>VLOOKUP($E$3,Rolls!A1:FA90,49,FALSE)</f>
        <v>392</v>
      </c>
      <c r="K192" s="65"/>
    </row>
    <row r="193" spans="2:11" ht="15" customHeight="1">
      <c r="B193" s="94">
        <v>2018</v>
      </c>
      <c r="C193" s="93">
        <f>VLOOKUP($E$3,Rolls!A1:FA90,50,FALSE)</f>
        <v>57</v>
      </c>
      <c r="D193" s="93">
        <f>VLOOKUP($E$3,Rolls!A1:FA90,51,FALSE)</f>
        <v>57</v>
      </c>
      <c r="E193" s="93">
        <f>VLOOKUP($E$3,Rolls!A1:FA90,52,FALSE)</f>
        <v>49</v>
      </c>
      <c r="F193" s="93">
        <f>VLOOKUP($E$3,Rolls!A1:FA90,53,FALSE)</f>
        <v>52</v>
      </c>
      <c r="G193" s="93">
        <f>VLOOKUP($E$3,Rolls!A1:FA90,54,FALSE)</f>
        <v>62</v>
      </c>
      <c r="H193" s="93">
        <f>VLOOKUP($E$3,Rolls!A1:FA90,55,FALSE)</f>
        <v>65</v>
      </c>
      <c r="I193" s="93">
        <f>VLOOKUP($E$3,Rolls!A1:FA90,56,FALSE)</f>
        <v>50</v>
      </c>
      <c r="J193" s="92">
        <f>VLOOKUP($E$3,Rolls!A1:FA90,57,FALSE)</f>
        <v>392</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15</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Brunstane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420 Pupils (14 classes)</v>
      </c>
      <c r="G12" s="16"/>
      <c r="H12" s="16"/>
    </row>
    <row r="13" spans="2:10" ht="15" customHeight="1">
      <c r="C13" s="16"/>
      <c r="D13" s="16"/>
      <c r="E13" s="16"/>
      <c r="F13" s="16"/>
      <c r="G13" s="16"/>
      <c r="H13" s="16"/>
    </row>
    <row r="14" spans="2:10" ht="15" customHeight="1">
      <c r="B14" s="15" t="str">
        <f>"Figure 1: "&amp;E3&amp;" Roll, 2002-2015"</f>
        <v>Figure 1: Brunstane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Brunstane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37</v>
      </c>
      <c r="E49" s="108">
        <f>VLOOKUP($E$3,'Catchment Projections'!$A$1:$BU$90,46,FALSE)</f>
        <v>58</v>
      </c>
      <c r="F49" s="108">
        <f>VLOOKUP($E$3,'Catchment Projections'!$A$1:$BU$90,47,FALSE)</f>
        <v>49</v>
      </c>
      <c r="G49" s="108">
        <f>VLOOKUP($E$3,'Catchment Projections'!$A$1:$BU$90,48,FALSE)</f>
        <v>43</v>
      </c>
      <c r="H49" s="133">
        <f>VLOOKUP($E$3,'Catchment Projections'!$A$1:$BU$90,49,FALSE)</f>
        <v>51</v>
      </c>
      <c r="I49" s="133">
        <f>VLOOKUP($E$3,'Catchment Projections'!$A$1:$BU$90,50,FALSE)</f>
        <v>51</v>
      </c>
      <c r="J49" s="133">
        <f>VLOOKUP($E$3,'Catchment Projections'!$A$1:$BU$90,51,FALSE)</f>
        <v>52</v>
      </c>
      <c r="K49" s="133">
        <f>VLOOKUP($E$3,'Catchment Projections'!$A$1:$BU$90,52,FALSE)</f>
        <v>53</v>
      </c>
      <c r="L49" s="133">
        <f>VLOOKUP($E$3,'Catchment Projections'!$A$1:$BU$90,53,FALSE)</f>
        <v>53</v>
      </c>
      <c r="M49" s="133">
        <f>VLOOKUP($E$3,'Catchment Projections'!$A$1:$BU$90,54,FALSE)</f>
        <v>53</v>
      </c>
      <c r="N49" s="133">
        <f>VLOOKUP($E$3,'Catchment Projections'!$A$1:$BU$90,55,FALSE)</f>
        <v>53</v>
      </c>
      <c r="O49" s="133">
        <f>VLOOKUP($E$3,'Catchment Projections'!$A$1:$BU$90,56,FALSE)</f>
        <v>53</v>
      </c>
      <c r="P49" s="133">
        <f>VLOOKUP($E$3,'Catchment Projections'!$A$1:$BU$90,57,FALSE)</f>
        <v>53</v>
      </c>
      <c r="Q49" s="133">
        <f>VLOOKUP($E$3,'Catchment Projections'!$A$1:$BU$90,58,FALSE)</f>
        <v>53</v>
      </c>
    </row>
    <row r="50" spans="2:17" ht="15" customHeight="1" thickBot="1">
      <c r="B50" s="410" t="s">
        <v>141</v>
      </c>
      <c r="C50" s="411"/>
      <c r="D50" s="286">
        <f>VLOOKUP(E3,'Housing Generation'!$A$3:$DQ$90,10,FALSE)</f>
        <v>0</v>
      </c>
      <c r="E50" s="286">
        <f>VLOOKUP(E3,'Housing Generation'!$A$3:$DQ$90,18,FALSE)</f>
        <v>0</v>
      </c>
      <c r="F50" s="286">
        <f>VLOOKUP(E3,'Housing Generation'!$A$3:$DQ$90,26,FALSE)</f>
        <v>1</v>
      </c>
      <c r="G50" s="243">
        <f>VLOOKUP(E3,'Housing Generation'!$A$3:$DQ$90,34,FALSE)</f>
        <v>2</v>
      </c>
      <c r="H50" s="133">
        <f>VLOOKUP(E3,'Housing Generation'!$A$3:$DQ$90,42,FALSE)</f>
        <v>2</v>
      </c>
      <c r="I50" s="133">
        <f>VLOOKUP(E3,'Housing Generation'!$A$3:$DQ$90,50,FALSE)</f>
        <v>3</v>
      </c>
      <c r="J50" s="133">
        <f>VLOOKUP(E3,'Housing Generation'!$A$3:$CK$90,58,FALSE)</f>
        <v>3</v>
      </c>
      <c r="K50" s="133">
        <f>VLOOKUP(E3,'Housing Generation'!$A$3:$CK$90,66,FALSE)</f>
        <v>3</v>
      </c>
      <c r="L50" s="133">
        <f>VLOOKUP(E3,'Housing Generation'!$A$3:$DQ$90,74,FALSE)</f>
        <v>4</v>
      </c>
      <c r="M50" s="133">
        <f>VLOOKUP(E3,'Housing Generation'!$A$3:$DQ$90,82,FALSE)</f>
        <v>4</v>
      </c>
      <c r="N50" s="133">
        <f>VLOOKUP(E3,'Housing Generation'!$A$3:$DQ$90,90,FALSE)</f>
        <v>4</v>
      </c>
      <c r="O50" s="133">
        <f>VLOOKUP(E3,'Housing Generation'!$A$3:$DQ$90,98,FALSE)</f>
        <v>4</v>
      </c>
      <c r="P50" s="133">
        <f>VLOOKUP(E3,'Housing Generation'!$A$3:$DQ$90,106,FALSE)</f>
        <v>4</v>
      </c>
      <c r="Q50" s="133">
        <f>VLOOKUP(E3,'Housing Generation'!$A$3:$DQ$90,114,FALSE)</f>
        <v>4</v>
      </c>
    </row>
    <row r="51" spans="2:17" ht="15" customHeight="1" thickTop="1">
      <c r="B51" s="421" t="s">
        <v>130</v>
      </c>
      <c r="C51" s="422"/>
      <c r="D51" s="47">
        <f t="shared" ref="D51:Q51" si="0">SUM(D49:D50)</f>
        <v>37</v>
      </c>
      <c r="E51" s="47">
        <f t="shared" si="0"/>
        <v>58</v>
      </c>
      <c r="F51" s="80">
        <f t="shared" si="0"/>
        <v>50</v>
      </c>
      <c r="G51" s="244">
        <f t="shared" si="0"/>
        <v>45</v>
      </c>
      <c r="H51" s="71">
        <f t="shared" si="0"/>
        <v>53</v>
      </c>
      <c r="I51" s="71">
        <f t="shared" si="0"/>
        <v>54</v>
      </c>
      <c r="J51" s="71">
        <f t="shared" si="0"/>
        <v>55</v>
      </c>
      <c r="K51" s="71">
        <f t="shared" si="0"/>
        <v>56</v>
      </c>
      <c r="L51" s="71">
        <f t="shared" si="0"/>
        <v>57</v>
      </c>
      <c r="M51" s="71">
        <f t="shared" si="0"/>
        <v>57</v>
      </c>
      <c r="N51" s="71">
        <f t="shared" si="0"/>
        <v>57</v>
      </c>
      <c r="O51" s="71">
        <f t="shared" si="0"/>
        <v>57</v>
      </c>
      <c r="P51" s="71">
        <f t="shared" si="0"/>
        <v>57</v>
      </c>
      <c r="Q51" s="71">
        <f t="shared" si="0"/>
        <v>57</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33</v>
      </c>
      <c r="D60" s="358">
        <f>VLOOKUP($E$3,'Catchment Projections'!$A$1:$BZ$90,74,FALSE)</f>
        <v>16</v>
      </c>
      <c r="E60" s="303">
        <f>D60/C60</f>
        <v>0.48484848484848486</v>
      </c>
      <c r="G60" s="132">
        <v>2014</v>
      </c>
      <c r="H60" s="395">
        <f>VLOOKUP($G$60,$B$177:$C$215, 2, FALSE)</f>
        <v>31</v>
      </c>
      <c r="I60" s="120">
        <f>H60-D60</f>
        <v>15</v>
      </c>
      <c r="J60" s="121">
        <f>I60/H60</f>
        <v>0.4838709677419355</v>
      </c>
    </row>
    <row r="61" spans="2:17" ht="15" customHeight="1">
      <c r="B61" s="132">
        <v>2015</v>
      </c>
      <c r="C61" s="359">
        <f>VLOOKUP($E$3,'Catchment Projections'!$A$1:$BZ$90,41,FALSE)</f>
        <v>32</v>
      </c>
      <c r="D61" s="358">
        <f>VLOOKUP($E$3,'Catchment Projections'!$A$1:$BZ$90,75,FALSE)</f>
        <v>21</v>
      </c>
      <c r="E61" s="303">
        <f>D61/C61</f>
        <v>0.65625</v>
      </c>
      <c r="G61" s="132">
        <v>2015</v>
      </c>
      <c r="H61" s="395">
        <f>VLOOKUP($G$61,$B$177:$C$215, 2, FALSE)</f>
        <v>24</v>
      </c>
      <c r="I61" s="120">
        <f>H61-D61</f>
        <v>3</v>
      </c>
      <c r="J61" s="121">
        <f>I61/H61</f>
        <v>0.125</v>
      </c>
    </row>
    <row r="62" spans="2:17" ht="15" customHeight="1">
      <c r="B62" s="131">
        <v>2016</v>
      </c>
      <c r="C62" s="359">
        <f>VLOOKUP($E$3,'Catchment Projections'!$A$1:$BZ$90,42,FALSE)</f>
        <v>51</v>
      </c>
      <c r="D62" s="358">
        <f>VLOOKUP($E$3,'Catchment Projections'!$A$1:$BZ$90,76,FALSE)</f>
        <v>29</v>
      </c>
      <c r="E62" s="57">
        <f>D62/C62</f>
        <v>0.56862745098039214</v>
      </c>
      <c r="G62" s="131">
        <v>2016</v>
      </c>
      <c r="H62" s="395">
        <f>VLOOKUP($G$62,$B$177:$C$215, 2, FALSE)</f>
        <v>37</v>
      </c>
      <c r="I62" s="120">
        <f>H62-D62</f>
        <v>8</v>
      </c>
      <c r="J62" s="121">
        <f>I62/H62</f>
        <v>0.21621621621621623</v>
      </c>
    </row>
    <row r="63" spans="2:17" ht="15" customHeight="1">
      <c r="B63" s="114">
        <v>2017</v>
      </c>
      <c r="C63" s="359">
        <f>VLOOKUP($E$3,'Catchment Projections'!$A$1:$BZ$90,43,FALSE)</f>
        <v>41</v>
      </c>
      <c r="D63" s="358">
        <f>VLOOKUP($E$3,'Catchment Projections'!$A$1:$BZ$90,77,FALSE)</f>
        <v>30</v>
      </c>
      <c r="E63" s="304">
        <f>D63/C63</f>
        <v>0.73170731707317072</v>
      </c>
      <c r="G63" s="114">
        <v>2017</v>
      </c>
      <c r="H63" s="395">
        <f>VLOOKUP($G$63,$B$177:$C$215, 2, FALSE)</f>
        <v>38</v>
      </c>
      <c r="I63" s="120">
        <f>H63-D63</f>
        <v>8</v>
      </c>
      <c r="J63" s="121">
        <f>I63/H63</f>
        <v>0.21052631578947367</v>
      </c>
    </row>
    <row r="64" spans="2:17" ht="15" customHeight="1">
      <c r="B64" s="114">
        <v>2018</v>
      </c>
      <c r="C64" s="359">
        <f>VLOOKUP($E$3,'Catchment Projections'!$A$1:$BZ$90,44,FALSE)</f>
        <v>34</v>
      </c>
      <c r="D64" s="358">
        <f>VLOOKUP($E$3,'Catchment Projections'!$A$1:$BZ$90,78,FALSE)</f>
        <v>21</v>
      </c>
      <c r="E64" s="305">
        <f>D64/C64</f>
        <v>0.61764705882352944</v>
      </c>
      <c r="G64" s="114">
        <v>2018</v>
      </c>
      <c r="H64" s="395">
        <f>VLOOKUP($G$64,$B$177:$C$215, 2, FALSE)</f>
        <v>24</v>
      </c>
      <c r="I64" s="120">
        <f>H64-D64</f>
        <v>3</v>
      </c>
      <c r="J64" s="121">
        <f>I64/H64</f>
        <v>0.125</v>
      </c>
    </row>
    <row r="65" spans="2:10" ht="15" customHeight="1">
      <c r="B65" s="412" t="s">
        <v>136</v>
      </c>
      <c r="C65" s="413"/>
      <c r="D65" s="414"/>
      <c r="E65" s="137">
        <f>IF((AVERAGE(E62:E64))="#DIV/0!","n/a",(AVERAGE(E62:E64)))</f>
        <v>0.63932727562569747</v>
      </c>
      <c r="G65" s="415" t="s">
        <v>137</v>
      </c>
      <c r="H65" s="416"/>
      <c r="I65" s="138">
        <f>MEDIAN(I60:I64)</f>
        <v>8</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37</v>
      </c>
      <c r="D70" s="408"/>
      <c r="E70" s="122">
        <f>E65</f>
        <v>0.63932727562569747</v>
      </c>
      <c r="F70" s="120">
        <f t="shared" ref="F70:F83" si="1">C70*$E$65</f>
        <v>23.655109198150807</v>
      </c>
      <c r="G70" s="118">
        <f>IF(F70&lt;26,25,IF(F70&gt;135,140,IF(F70&gt;130,135,IF(F70&gt;125,130,IF(F70&gt;120,125,IF(F70&gt;115,120,IF(F70&gt;110,115,IF(F70&gt;105,110,IF(F70&gt;100,105,IF(F70&gt;99,100,IF(F70&gt;90,99,IF(F70&gt;75,90,IF(F70&gt;72,75,IF(F70&gt;66,72,IF(F70&gt;60,66,IF(F70&gt;50,60,IF(F70&gt;30,50,IF(F70&gt;25,30,0))))))))))))))))))</f>
        <v>25</v>
      </c>
      <c r="H70" s="119">
        <f t="shared" ref="H70:H83" si="2">G70-F70</f>
        <v>1.3448908018491927</v>
      </c>
      <c r="I70" s="118" t="str">
        <f>IF(I$65&lt;H70, "NO", "YES")</f>
        <v>YES</v>
      </c>
      <c r="J70" s="117">
        <f t="shared" ref="J70:J83" si="3">IF(I70="YES",G70,(MIN((SUM(F70,$I$65)),G70)))</f>
        <v>25</v>
      </c>
    </row>
    <row r="71" spans="2:10" ht="15" customHeight="1">
      <c r="B71" s="114">
        <v>2020</v>
      </c>
      <c r="C71" s="433">
        <f>E51</f>
        <v>58</v>
      </c>
      <c r="D71" s="408"/>
      <c r="E71" s="121">
        <f>E65</f>
        <v>0.63932727562569747</v>
      </c>
      <c r="F71" s="120">
        <f t="shared" si="1"/>
        <v>37.080981986290453</v>
      </c>
      <c r="G71" s="118">
        <f t="shared" ref="G71:G83" si="4">IF(F71&lt;26,25,IF(F71&gt;135,140,IF(F71&gt;130,135,IF(F71&gt;125,130,IF(F71&gt;120,125,IF(F71&gt;115,120,IF(F71&gt;110,115,IF(F71&gt;105,110,IF(F71&gt;100,105,IF(F71&gt;99,100,IF(F71&gt;90,99,IF(F71&gt;75,90,IF(F71&gt;72,75,IF(F71&gt;66,72,IF(F71&gt;60,66,IF(F71&gt;50,60,IF(F71&gt;30,50,IF(F71&gt;25,30,0))))))))))))))))))</f>
        <v>50</v>
      </c>
      <c r="H71" s="119">
        <f t="shared" si="2"/>
        <v>12.919018013709547</v>
      </c>
      <c r="I71" s="118" t="str">
        <f t="shared" ref="I71:I83" si="5">IF(I$65&lt;H71, "NO", "YES")</f>
        <v>NO</v>
      </c>
      <c r="J71" s="117">
        <f t="shared" si="3"/>
        <v>45.080981986290453</v>
      </c>
    </row>
    <row r="72" spans="2:10" ht="15" customHeight="1">
      <c r="B72" s="114">
        <v>2021</v>
      </c>
      <c r="C72" s="430">
        <f>F51</f>
        <v>50</v>
      </c>
      <c r="D72" s="431"/>
      <c r="E72" s="121">
        <f>E65</f>
        <v>0.63932727562569747</v>
      </c>
      <c r="F72" s="120">
        <f t="shared" si="1"/>
        <v>31.966363781284873</v>
      </c>
      <c r="G72" s="118">
        <f t="shared" si="4"/>
        <v>50</v>
      </c>
      <c r="H72" s="119">
        <f t="shared" si="2"/>
        <v>18.033636218715127</v>
      </c>
      <c r="I72" s="118" t="str">
        <f t="shared" si="5"/>
        <v>NO</v>
      </c>
      <c r="J72" s="117">
        <f t="shared" si="3"/>
        <v>39.966363781284869</v>
      </c>
    </row>
    <row r="73" spans="2:10" ht="15" customHeight="1">
      <c r="B73" s="114">
        <v>2022</v>
      </c>
      <c r="C73" s="430">
        <f>G51</f>
        <v>45</v>
      </c>
      <c r="D73" s="431"/>
      <c r="E73" s="121">
        <f>E65</f>
        <v>0.63932727562569747</v>
      </c>
      <c r="F73" s="120">
        <f t="shared" si="1"/>
        <v>28.769727403156384</v>
      </c>
      <c r="G73" s="118">
        <f t="shared" si="4"/>
        <v>30</v>
      </c>
      <c r="H73" s="119">
        <f t="shared" si="2"/>
        <v>1.2302725968436157</v>
      </c>
      <c r="I73" s="118" t="str">
        <f t="shared" si="5"/>
        <v>YES</v>
      </c>
      <c r="J73" s="117">
        <f t="shared" si="3"/>
        <v>30</v>
      </c>
    </row>
    <row r="74" spans="2:10" ht="15" customHeight="1">
      <c r="B74" s="114">
        <v>2023</v>
      </c>
      <c r="C74" s="430">
        <f>H51</f>
        <v>53</v>
      </c>
      <c r="D74" s="431"/>
      <c r="E74" s="121">
        <f>E65</f>
        <v>0.63932727562569747</v>
      </c>
      <c r="F74" s="120">
        <f t="shared" si="1"/>
        <v>33.884345608161965</v>
      </c>
      <c r="G74" s="118">
        <f t="shared" si="4"/>
        <v>50</v>
      </c>
      <c r="H74" s="119">
        <f t="shared" si="2"/>
        <v>16.115654391838035</v>
      </c>
      <c r="I74" s="118" t="str">
        <f t="shared" si="5"/>
        <v>NO</v>
      </c>
      <c r="J74" s="117">
        <f t="shared" si="3"/>
        <v>41.884345608161965</v>
      </c>
    </row>
    <row r="75" spans="2:10" ht="15" customHeight="1">
      <c r="B75" s="114">
        <v>2024</v>
      </c>
      <c r="C75" s="430">
        <f>I51</f>
        <v>54</v>
      </c>
      <c r="D75" s="431"/>
      <c r="E75" s="121">
        <f>E65</f>
        <v>0.63932727562569747</v>
      </c>
      <c r="F75" s="120">
        <f t="shared" si="1"/>
        <v>34.523672883787661</v>
      </c>
      <c r="G75" s="118">
        <f t="shared" si="4"/>
        <v>50</v>
      </c>
      <c r="H75" s="119">
        <f t="shared" si="2"/>
        <v>15.476327116212339</v>
      </c>
      <c r="I75" s="118" t="str">
        <f t="shared" si="5"/>
        <v>NO</v>
      </c>
      <c r="J75" s="117">
        <f t="shared" si="3"/>
        <v>42.523672883787661</v>
      </c>
    </row>
    <row r="76" spans="2:10" ht="15" customHeight="1">
      <c r="B76" s="114">
        <v>2025</v>
      </c>
      <c r="C76" s="430">
        <f>J51</f>
        <v>55</v>
      </c>
      <c r="D76" s="431"/>
      <c r="E76" s="121">
        <f>E65</f>
        <v>0.63932727562569747</v>
      </c>
      <c r="F76" s="120">
        <f t="shared" si="1"/>
        <v>35.163000159413357</v>
      </c>
      <c r="G76" s="118">
        <f t="shared" si="4"/>
        <v>50</v>
      </c>
      <c r="H76" s="119">
        <f t="shared" si="2"/>
        <v>14.836999840586643</v>
      </c>
      <c r="I76" s="118" t="str">
        <f t="shared" si="5"/>
        <v>NO</v>
      </c>
      <c r="J76" s="117">
        <f t="shared" si="3"/>
        <v>43.163000159413357</v>
      </c>
    </row>
    <row r="77" spans="2:10" ht="15" customHeight="1">
      <c r="B77" s="114">
        <v>2026</v>
      </c>
      <c r="C77" s="430">
        <f>K51</f>
        <v>56</v>
      </c>
      <c r="D77" s="431"/>
      <c r="E77" s="121">
        <f>E65</f>
        <v>0.63932727562569747</v>
      </c>
      <c r="F77" s="120">
        <f t="shared" si="1"/>
        <v>35.802327435039061</v>
      </c>
      <c r="G77" s="118">
        <f t="shared" si="4"/>
        <v>50</v>
      </c>
      <c r="H77" s="119">
        <f t="shared" si="2"/>
        <v>14.197672564960939</v>
      </c>
      <c r="I77" s="118" t="str">
        <f t="shared" si="5"/>
        <v>NO</v>
      </c>
      <c r="J77" s="117">
        <f t="shared" si="3"/>
        <v>43.802327435039061</v>
      </c>
    </row>
    <row r="78" spans="2:10" ht="15" customHeight="1">
      <c r="B78" s="114">
        <v>2027</v>
      </c>
      <c r="C78" s="430">
        <f>L51</f>
        <v>57</v>
      </c>
      <c r="D78" s="431"/>
      <c r="E78" s="121">
        <f>E65</f>
        <v>0.63932727562569747</v>
      </c>
      <c r="F78" s="120">
        <f t="shared" si="1"/>
        <v>36.441654710664757</v>
      </c>
      <c r="G78" s="118">
        <f t="shared" si="4"/>
        <v>50</v>
      </c>
      <c r="H78" s="119">
        <f t="shared" si="2"/>
        <v>13.558345289335243</v>
      </c>
      <c r="I78" s="118" t="str">
        <f t="shared" si="5"/>
        <v>NO</v>
      </c>
      <c r="J78" s="117">
        <f t="shared" si="3"/>
        <v>44.441654710664757</v>
      </c>
    </row>
    <row r="79" spans="2:10" ht="15" customHeight="1">
      <c r="B79" s="114">
        <v>2028</v>
      </c>
      <c r="C79" s="430">
        <f>M51</f>
        <v>57</v>
      </c>
      <c r="D79" s="431"/>
      <c r="E79" s="121">
        <f t="shared" ref="E79:E83" si="6">$E$65</f>
        <v>0.63932727562569747</v>
      </c>
      <c r="F79" s="120">
        <f t="shared" si="1"/>
        <v>36.441654710664757</v>
      </c>
      <c r="G79" s="118">
        <f t="shared" si="4"/>
        <v>50</v>
      </c>
      <c r="H79" s="119">
        <f t="shared" si="2"/>
        <v>13.558345289335243</v>
      </c>
      <c r="I79" s="118" t="str">
        <f t="shared" si="5"/>
        <v>NO</v>
      </c>
      <c r="J79" s="117">
        <f t="shared" si="3"/>
        <v>44.441654710664757</v>
      </c>
    </row>
    <row r="80" spans="2:10" ht="15" customHeight="1">
      <c r="B80" s="114">
        <v>2029</v>
      </c>
      <c r="C80" s="430">
        <f>N51</f>
        <v>57</v>
      </c>
      <c r="D80" s="431"/>
      <c r="E80" s="121">
        <f t="shared" si="6"/>
        <v>0.63932727562569747</v>
      </c>
      <c r="F80" s="120">
        <f t="shared" si="1"/>
        <v>36.441654710664757</v>
      </c>
      <c r="G80" s="118">
        <f t="shared" si="4"/>
        <v>50</v>
      </c>
      <c r="H80" s="119">
        <f t="shared" si="2"/>
        <v>13.558345289335243</v>
      </c>
      <c r="I80" s="118" t="str">
        <f t="shared" si="5"/>
        <v>NO</v>
      </c>
      <c r="J80" s="117">
        <f t="shared" si="3"/>
        <v>44.441654710664757</v>
      </c>
    </row>
    <row r="81" spans="2:10" ht="15" customHeight="1">
      <c r="B81" s="114">
        <v>2030</v>
      </c>
      <c r="C81" s="430">
        <f>O51</f>
        <v>57</v>
      </c>
      <c r="D81" s="431"/>
      <c r="E81" s="121">
        <f t="shared" si="6"/>
        <v>0.63932727562569747</v>
      </c>
      <c r="F81" s="120">
        <f t="shared" si="1"/>
        <v>36.441654710664757</v>
      </c>
      <c r="G81" s="118">
        <f t="shared" si="4"/>
        <v>50</v>
      </c>
      <c r="H81" s="119">
        <f t="shared" si="2"/>
        <v>13.558345289335243</v>
      </c>
      <c r="I81" s="118" t="str">
        <f t="shared" si="5"/>
        <v>NO</v>
      </c>
      <c r="J81" s="117">
        <f t="shared" si="3"/>
        <v>44.441654710664757</v>
      </c>
    </row>
    <row r="82" spans="2:10" ht="15" customHeight="1">
      <c r="B82" s="114">
        <v>2031</v>
      </c>
      <c r="C82" s="430">
        <f>P51</f>
        <v>57</v>
      </c>
      <c r="D82" s="431"/>
      <c r="E82" s="121">
        <f t="shared" si="6"/>
        <v>0.63932727562569747</v>
      </c>
      <c r="F82" s="120">
        <f t="shared" si="1"/>
        <v>36.441654710664757</v>
      </c>
      <c r="G82" s="118">
        <f t="shared" si="4"/>
        <v>50</v>
      </c>
      <c r="H82" s="119">
        <f t="shared" si="2"/>
        <v>13.558345289335243</v>
      </c>
      <c r="I82" s="118" t="str">
        <f t="shared" si="5"/>
        <v>NO</v>
      </c>
      <c r="J82" s="117">
        <f t="shared" si="3"/>
        <v>44.441654710664757</v>
      </c>
    </row>
    <row r="83" spans="2:10" ht="15" customHeight="1">
      <c r="B83" s="114">
        <v>2032</v>
      </c>
      <c r="C83" s="430">
        <f>Q51</f>
        <v>57</v>
      </c>
      <c r="D83" s="431"/>
      <c r="E83" s="121">
        <f t="shared" si="6"/>
        <v>0.63932727562569747</v>
      </c>
      <c r="F83" s="120">
        <f t="shared" si="1"/>
        <v>36.441654710664757</v>
      </c>
      <c r="G83" s="118">
        <f t="shared" si="4"/>
        <v>50</v>
      </c>
      <c r="H83" s="119">
        <f t="shared" si="2"/>
        <v>13.558345289335243</v>
      </c>
      <c r="I83" s="118" t="str">
        <f t="shared" si="5"/>
        <v>NO</v>
      </c>
      <c r="J83" s="117">
        <f t="shared" si="3"/>
        <v>44.441654710664757</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Brunstane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38</v>
      </c>
      <c r="D91" s="112">
        <f t="shared" ref="D91:J91" si="7">D188</f>
        <v>31</v>
      </c>
      <c r="E91" s="112">
        <f t="shared" si="7"/>
        <v>23</v>
      </c>
      <c r="F91" s="112">
        <f t="shared" si="7"/>
        <v>18</v>
      </c>
      <c r="G91" s="112">
        <f t="shared" si="7"/>
        <v>26</v>
      </c>
      <c r="H91" s="112">
        <f t="shared" si="7"/>
        <v>25</v>
      </c>
      <c r="I91" s="112">
        <f t="shared" si="7"/>
        <v>25</v>
      </c>
      <c r="J91" s="213">
        <f t="shared" si="7"/>
        <v>186</v>
      </c>
    </row>
    <row r="92" spans="2:10" ht="15" customHeight="1">
      <c r="B92" s="114">
        <v>2014</v>
      </c>
      <c r="C92" s="112">
        <f>C189</f>
        <v>31</v>
      </c>
      <c r="D92" s="112">
        <f t="shared" ref="D92:J92" si="8">D189</f>
        <v>33</v>
      </c>
      <c r="E92" s="112">
        <f t="shared" si="8"/>
        <v>34</v>
      </c>
      <c r="F92" s="112">
        <f t="shared" si="8"/>
        <v>23</v>
      </c>
      <c r="G92" s="112">
        <f t="shared" si="8"/>
        <v>17</v>
      </c>
      <c r="H92" s="112">
        <f t="shared" si="8"/>
        <v>22</v>
      </c>
      <c r="I92" s="112">
        <f t="shared" si="8"/>
        <v>19</v>
      </c>
      <c r="J92" s="213">
        <f t="shared" si="8"/>
        <v>179</v>
      </c>
    </row>
    <row r="93" spans="2:10" ht="15" customHeight="1">
      <c r="B93" s="114">
        <v>2015</v>
      </c>
      <c r="C93" s="112">
        <f>C190</f>
        <v>24</v>
      </c>
      <c r="D93" s="112">
        <f t="shared" ref="D93:J93" si="9">D190</f>
        <v>32</v>
      </c>
      <c r="E93" s="112">
        <f t="shared" si="9"/>
        <v>31</v>
      </c>
      <c r="F93" s="112">
        <f t="shared" si="9"/>
        <v>28</v>
      </c>
      <c r="G93" s="112">
        <f t="shared" si="9"/>
        <v>21</v>
      </c>
      <c r="H93" s="112">
        <f t="shared" si="9"/>
        <v>16</v>
      </c>
      <c r="I93" s="112">
        <f t="shared" si="9"/>
        <v>23</v>
      </c>
      <c r="J93" s="213">
        <f t="shared" si="9"/>
        <v>175</v>
      </c>
    </row>
    <row r="94" spans="2:10" ht="15" customHeight="1">
      <c r="B94" s="114">
        <v>2016</v>
      </c>
      <c r="C94" s="112">
        <f>C191</f>
        <v>37</v>
      </c>
      <c r="D94" s="112">
        <f t="shared" ref="D94:J94" si="10">D191</f>
        <v>25</v>
      </c>
      <c r="E94" s="112">
        <f t="shared" si="10"/>
        <v>32</v>
      </c>
      <c r="F94" s="112">
        <f t="shared" si="10"/>
        <v>32</v>
      </c>
      <c r="G94" s="112">
        <f t="shared" si="10"/>
        <v>33</v>
      </c>
      <c r="H94" s="112">
        <f t="shared" si="10"/>
        <v>22</v>
      </c>
      <c r="I94" s="112">
        <f t="shared" si="10"/>
        <v>17</v>
      </c>
      <c r="J94" s="213">
        <f t="shared" si="10"/>
        <v>198</v>
      </c>
    </row>
    <row r="95" spans="2:10" ht="15" customHeight="1">
      <c r="B95" s="114">
        <v>2017</v>
      </c>
      <c r="C95" s="112">
        <f>C192</f>
        <v>38</v>
      </c>
      <c r="D95" s="112">
        <f t="shared" ref="D95:J95" si="11">D192</f>
        <v>37</v>
      </c>
      <c r="E95" s="112">
        <f t="shared" si="11"/>
        <v>25</v>
      </c>
      <c r="F95" s="112">
        <f t="shared" si="11"/>
        <v>31</v>
      </c>
      <c r="G95" s="112">
        <f t="shared" si="11"/>
        <v>32</v>
      </c>
      <c r="H95" s="112">
        <f t="shared" si="11"/>
        <v>30</v>
      </c>
      <c r="I95" s="112">
        <f t="shared" si="11"/>
        <v>21</v>
      </c>
      <c r="J95" s="213">
        <f t="shared" si="11"/>
        <v>214</v>
      </c>
    </row>
    <row r="96" spans="2:10" ht="15" customHeight="1">
      <c r="B96" s="307">
        <v>2018</v>
      </c>
      <c r="C96" s="112">
        <f t="shared" ref="C96:J96" si="12">C193</f>
        <v>24</v>
      </c>
      <c r="D96" s="112">
        <f t="shared" si="12"/>
        <v>37</v>
      </c>
      <c r="E96" s="112">
        <f t="shared" si="12"/>
        <v>33</v>
      </c>
      <c r="F96" s="112">
        <f t="shared" si="12"/>
        <v>25</v>
      </c>
      <c r="G96" s="112">
        <f t="shared" si="12"/>
        <v>31</v>
      </c>
      <c r="H96" s="112">
        <f t="shared" si="12"/>
        <v>31</v>
      </c>
      <c r="I96" s="112">
        <f t="shared" si="12"/>
        <v>33</v>
      </c>
      <c r="J96" s="213">
        <f t="shared" si="12"/>
        <v>214</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0</v>
      </c>
      <c r="E98" s="210">
        <f t="shared" ref="E98:I98" si="13">MEDIAN(((D91-E92)/D91),((D92-E93)/D92),((D93-E94)/D93),((D94-E95)/D94),((D95-E96)/D95))</f>
        <v>0</v>
      </c>
      <c r="F98" s="210">
        <f t="shared" si="13"/>
        <v>0</v>
      </c>
      <c r="G98" s="210">
        <f t="shared" si="13"/>
        <v>0</v>
      </c>
      <c r="H98" s="210">
        <f t="shared" si="13"/>
        <v>5.8823529411764705E-2</v>
      </c>
      <c r="I98" s="210">
        <f t="shared" si="13"/>
        <v>-4.5454545454545456E-2</v>
      </c>
    </row>
    <row r="99" spans="2:10" ht="15" customHeight="1">
      <c r="B99" s="59"/>
      <c r="C99" s="60"/>
      <c r="D99" s="61"/>
      <c r="E99" s="61"/>
      <c r="F99" s="61"/>
      <c r="G99" s="61"/>
      <c r="H99" s="61"/>
      <c r="I99" s="61"/>
      <c r="J99" s="58"/>
    </row>
    <row r="100" spans="2:10" ht="15" customHeight="1">
      <c r="B100" s="15" t="str">
        <f>"Table 4B: "&amp;E3&amp;" Projected Roll by Stage (incorporating Projected P1 and Drop-Off Rates), 2019-2032"</f>
        <v>Table 4B: Brunstane Primary School Projected Roll by Stage (incorporating Projected P1 and Drop-Off Rates), 2019-2032</v>
      </c>
      <c r="F100" s="14"/>
      <c r="G100" s="14"/>
    </row>
    <row r="101" spans="2:10" ht="15" customHeight="1">
      <c r="F101" s="14"/>
      <c r="G101" s="14"/>
    </row>
    <row r="102" spans="2:10" ht="15" customHeight="1">
      <c r="B102" s="115"/>
      <c r="C102" s="109" t="s">
        <v>1</v>
      </c>
      <c r="D102" s="109" t="s">
        <v>2</v>
      </c>
      <c r="E102" s="109" t="s">
        <v>3</v>
      </c>
      <c r="F102" s="109" t="s">
        <v>4</v>
      </c>
      <c r="G102" s="109" t="s">
        <v>5</v>
      </c>
      <c r="H102" s="109" t="s">
        <v>6</v>
      </c>
      <c r="I102" s="109" t="s">
        <v>7</v>
      </c>
      <c r="J102" s="109" t="s">
        <v>8</v>
      </c>
    </row>
    <row r="103" spans="2:10" ht="15" customHeight="1">
      <c r="B103" s="114">
        <v>2019</v>
      </c>
      <c r="C103" s="113">
        <f t="shared" ref="C103:C116" si="14">J70</f>
        <v>25</v>
      </c>
      <c r="D103" s="324">
        <f>ROUND((C96)-(C96*$D$98),0)</f>
        <v>24</v>
      </c>
      <c r="E103" s="324">
        <f>ROUND((D96)-(D96*$E$98),0)</f>
        <v>37</v>
      </c>
      <c r="F103" s="324">
        <f>ROUND((E96)-(E96*$F$98),0)</f>
        <v>33</v>
      </c>
      <c r="G103" s="324">
        <f>ROUND((F96)-(F96*$G$98),0)</f>
        <v>25</v>
      </c>
      <c r="H103" s="324">
        <f>ROUND((G96)-(G96*$H$98),0)</f>
        <v>29</v>
      </c>
      <c r="I103" s="324">
        <f>ROUND((H96)-(H96*$I$98),0)</f>
        <v>32</v>
      </c>
      <c r="J103" s="111">
        <f t="shared" ref="J103:J116" si="15">SUM(C103:I103)</f>
        <v>205</v>
      </c>
    </row>
    <row r="104" spans="2:10" ht="15" customHeight="1">
      <c r="B104" s="114">
        <v>2020</v>
      </c>
      <c r="C104" s="113">
        <f t="shared" si="14"/>
        <v>45.080981986290453</v>
      </c>
      <c r="D104" s="324">
        <f>ROUND((C103-E50)-(C103*$D$98),0)</f>
        <v>25</v>
      </c>
      <c r="E104" s="112">
        <f t="shared" ref="E104:E116" si="16">ROUND((D103)-(D103*$E$98),0)</f>
        <v>24</v>
      </c>
      <c r="F104" s="112">
        <f t="shared" ref="F104:F116" si="17">ROUND((E103)-(E103*$F$98),0)</f>
        <v>37</v>
      </c>
      <c r="G104" s="112">
        <f t="shared" ref="G104:G116" si="18">ROUND((F103)-(F103*$G$98),0)</f>
        <v>33</v>
      </c>
      <c r="H104" s="112">
        <f t="shared" ref="H104:H116" si="19">ROUND((G103)-(G103*$H$98),0)</f>
        <v>24</v>
      </c>
      <c r="I104" s="112">
        <f t="shared" ref="I104:I116" si="20">ROUND((H103)-(H103*$I$98),0)</f>
        <v>30</v>
      </c>
      <c r="J104" s="111">
        <f t="shared" si="15"/>
        <v>218.08098198629045</v>
      </c>
    </row>
    <row r="105" spans="2:10" ht="15" customHeight="1">
      <c r="B105" s="114">
        <v>2021</v>
      </c>
      <c r="C105" s="113">
        <f t="shared" si="14"/>
        <v>39.966363781284869</v>
      </c>
      <c r="D105" s="324">
        <f>ROUND((C104-F50)-(C104*$D$98),0)</f>
        <v>44</v>
      </c>
      <c r="E105" s="112">
        <f t="shared" si="16"/>
        <v>25</v>
      </c>
      <c r="F105" s="112">
        <f t="shared" si="17"/>
        <v>24</v>
      </c>
      <c r="G105" s="112">
        <f t="shared" si="18"/>
        <v>37</v>
      </c>
      <c r="H105" s="112">
        <f t="shared" si="19"/>
        <v>31</v>
      </c>
      <c r="I105" s="112">
        <f t="shared" si="20"/>
        <v>25</v>
      </c>
      <c r="J105" s="111">
        <f t="shared" si="15"/>
        <v>225.96636378128488</v>
      </c>
    </row>
    <row r="106" spans="2:10" ht="15" customHeight="1">
      <c r="B106" s="114">
        <v>2022</v>
      </c>
      <c r="C106" s="113">
        <f t="shared" si="14"/>
        <v>30</v>
      </c>
      <c r="D106" s="324">
        <f>ROUND((C105-G50)-(C105*$D$98),0)</f>
        <v>38</v>
      </c>
      <c r="E106" s="112">
        <f t="shared" si="16"/>
        <v>44</v>
      </c>
      <c r="F106" s="112">
        <f t="shared" si="17"/>
        <v>25</v>
      </c>
      <c r="G106" s="112">
        <f t="shared" si="18"/>
        <v>24</v>
      </c>
      <c r="H106" s="112">
        <f t="shared" si="19"/>
        <v>35</v>
      </c>
      <c r="I106" s="112">
        <f t="shared" si="20"/>
        <v>32</v>
      </c>
      <c r="J106" s="111">
        <f t="shared" si="15"/>
        <v>228</v>
      </c>
    </row>
    <row r="107" spans="2:10" ht="15" customHeight="1">
      <c r="B107" s="114">
        <v>2023</v>
      </c>
      <c r="C107" s="113">
        <f t="shared" si="14"/>
        <v>41.884345608161965</v>
      </c>
      <c r="D107" s="324">
        <f>ROUND((C106-H50)-(C106*$D$98),0)</f>
        <v>28</v>
      </c>
      <c r="E107" s="112">
        <f t="shared" si="16"/>
        <v>38</v>
      </c>
      <c r="F107" s="112">
        <f t="shared" si="17"/>
        <v>44</v>
      </c>
      <c r="G107" s="112">
        <f t="shared" si="18"/>
        <v>25</v>
      </c>
      <c r="H107" s="112">
        <f t="shared" si="19"/>
        <v>23</v>
      </c>
      <c r="I107" s="112">
        <f t="shared" si="20"/>
        <v>37</v>
      </c>
      <c r="J107" s="111">
        <f t="shared" si="15"/>
        <v>236.88434560816196</v>
      </c>
    </row>
    <row r="108" spans="2:10" ht="15" customHeight="1">
      <c r="B108" s="114">
        <v>2024</v>
      </c>
      <c r="C108" s="113">
        <f t="shared" si="14"/>
        <v>42.523672883787661</v>
      </c>
      <c r="D108" s="324">
        <f>ROUND((C107-I50)-(C107*$D$98),0)</f>
        <v>39</v>
      </c>
      <c r="E108" s="112">
        <f t="shared" si="16"/>
        <v>28</v>
      </c>
      <c r="F108" s="112">
        <f t="shared" si="17"/>
        <v>38</v>
      </c>
      <c r="G108" s="112">
        <f t="shared" si="18"/>
        <v>44</v>
      </c>
      <c r="H108" s="112">
        <f t="shared" si="19"/>
        <v>24</v>
      </c>
      <c r="I108" s="112">
        <f t="shared" si="20"/>
        <v>24</v>
      </c>
      <c r="J108" s="111">
        <f t="shared" si="15"/>
        <v>239.52367288378767</v>
      </c>
    </row>
    <row r="109" spans="2:10" ht="15" customHeight="1">
      <c r="B109" s="114">
        <v>2025</v>
      </c>
      <c r="C109" s="113">
        <f t="shared" si="14"/>
        <v>43.163000159413357</v>
      </c>
      <c r="D109" s="324">
        <f>ROUND((C108-J50)-(C108*$D$98),0)</f>
        <v>40</v>
      </c>
      <c r="E109" s="112">
        <f t="shared" si="16"/>
        <v>39</v>
      </c>
      <c r="F109" s="112">
        <f t="shared" si="17"/>
        <v>28</v>
      </c>
      <c r="G109" s="112">
        <f t="shared" si="18"/>
        <v>38</v>
      </c>
      <c r="H109" s="112">
        <f t="shared" si="19"/>
        <v>41</v>
      </c>
      <c r="I109" s="112">
        <f t="shared" si="20"/>
        <v>25</v>
      </c>
      <c r="J109" s="111">
        <f t="shared" si="15"/>
        <v>254.16300015941334</v>
      </c>
    </row>
    <row r="110" spans="2:10" ht="15" customHeight="1">
      <c r="B110" s="114">
        <v>2026</v>
      </c>
      <c r="C110" s="113">
        <f t="shared" si="14"/>
        <v>43.802327435039061</v>
      </c>
      <c r="D110" s="324">
        <f>ROUND((C109-K50)-(C109*$D$98),0)</f>
        <v>40</v>
      </c>
      <c r="E110" s="112">
        <f t="shared" si="16"/>
        <v>40</v>
      </c>
      <c r="F110" s="112">
        <f t="shared" si="17"/>
        <v>39</v>
      </c>
      <c r="G110" s="112">
        <f t="shared" si="18"/>
        <v>28</v>
      </c>
      <c r="H110" s="112">
        <f t="shared" si="19"/>
        <v>36</v>
      </c>
      <c r="I110" s="112">
        <f t="shared" si="20"/>
        <v>43</v>
      </c>
      <c r="J110" s="111">
        <f t="shared" si="15"/>
        <v>269.80232743503905</v>
      </c>
    </row>
    <row r="111" spans="2:10" ht="15" customHeight="1">
      <c r="B111" s="114">
        <v>2027</v>
      </c>
      <c r="C111" s="113">
        <f t="shared" si="14"/>
        <v>44.441654710664757</v>
      </c>
      <c r="D111" s="324">
        <f>ROUND((C110-L50)-(C110*$D$98),0)</f>
        <v>40</v>
      </c>
      <c r="E111" s="112">
        <f t="shared" si="16"/>
        <v>40</v>
      </c>
      <c r="F111" s="112">
        <f t="shared" si="17"/>
        <v>40</v>
      </c>
      <c r="G111" s="112">
        <f t="shared" si="18"/>
        <v>39</v>
      </c>
      <c r="H111" s="112">
        <f t="shared" si="19"/>
        <v>26</v>
      </c>
      <c r="I111" s="112">
        <f t="shared" si="20"/>
        <v>38</v>
      </c>
      <c r="J111" s="111">
        <f t="shared" si="15"/>
        <v>267.44165471066475</v>
      </c>
    </row>
    <row r="112" spans="2:10" ht="15" customHeight="1">
      <c r="B112" s="114">
        <v>2028</v>
      </c>
      <c r="C112" s="113">
        <f t="shared" si="14"/>
        <v>44.441654710664757</v>
      </c>
      <c r="D112" s="324">
        <f>ROUND((C111-M50)-(C111*$D$98),0)</f>
        <v>40</v>
      </c>
      <c r="E112" s="112">
        <f t="shared" si="16"/>
        <v>40</v>
      </c>
      <c r="F112" s="112">
        <f t="shared" si="17"/>
        <v>40</v>
      </c>
      <c r="G112" s="112">
        <f t="shared" si="18"/>
        <v>40</v>
      </c>
      <c r="H112" s="112">
        <f t="shared" si="19"/>
        <v>37</v>
      </c>
      <c r="I112" s="112">
        <f t="shared" si="20"/>
        <v>27</v>
      </c>
      <c r="J112" s="111">
        <f t="shared" si="15"/>
        <v>268.44165471066475</v>
      </c>
    </row>
    <row r="113" spans="2:10" ht="15" customHeight="1">
      <c r="B113" s="114">
        <v>2029</v>
      </c>
      <c r="C113" s="113">
        <f t="shared" si="14"/>
        <v>44.441654710664757</v>
      </c>
      <c r="D113" s="324">
        <f>ROUND((C112-N50)-(C112*$D$98),0)</f>
        <v>40</v>
      </c>
      <c r="E113" s="112">
        <f t="shared" si="16"/>
        <v>40</v>
      </c>
      <c r="F113" s="112">
        <f t="shared" si="17"/>
        <v>40</v>
      </c>
      <c r="G113" s="112">
        <f t="shared" si="18"/>
        <v>40</v>
      </c>
      <c r="H113" s="112">
        <f t="shared" si="19"/>
        <v>38</v>
      </c>
      <c r="I113" s="112">
        <f t="shared" si="20"/>
        <v>39</v>
      </c>
      <c r="J113" s="111">
        <f t="shared" si="15"/>
        <v>281.44165471066475</v>
      </c>
    </row>
    <row r="114" spans="2:10" ht="15" customHeight="1">
      <c r="B114" s="114">
        <v>2030</v>
      </c>
      <c r="C114" s="113">
        <f t="shared" si="14"/>
        <v>44.441654710664757</v>
      </c>
      <c r="D114" s="324">
        <f>ROUND((C113-O50)-(C113*$D$98),0)</f>
        <v>40</v>
      </c>
      <c r="E114" s="112">
        <f t="shared" si="16"/>
        <v>40</v>
      </c>
      <c r="F114" s="112">
        <f t="shared" si="17"/>
        <v>40</v>
      </c>
      <c r="G114" s="112">
        <f t="shared" si="18"/>
        <v>40</v>
      </c>
      <c r="H114" s="112">
        <f t="shared" si="19"/>
        <v>38</v>
      </c>
      <c r="I114" s="112">
        <f t="shared" si="20"/>
        <v>40</v>
      </c>
      <c r="J114" s="111">
        <f t="shared" si="15"/>
        <v>282.44165471066475</v>
      </c>
    </row>
    <row r="115" spans="2:10" ht="15" customHeight="1">
      <c r="B115" s="114">
        <v>2031</v>
      </c>
      <c r="C115" s="113">
        <f t="shared" si="14"/>
        <v>44.441654710664757</v>
      </c>
      <c r="D115" s="324">
        <f>ROUND((C114-P50)-(C114*$D$98),0)</f>
        <v>40</v>
      </c>
      <c r="E115" s="112">
        <f t="shared" si="16"/>
        <v>40</v>
      </c>
      <c r="F115" s="112">
        <f t="shared" si="17"/>
        <v>40</v>
      </c>
      <c r="G115" s="112">
        <f t="shared" si="18"/>
        <v>40</v>
      </c>
      <c r="H115" s="112">
        <f t="shared" si="19"/>
        <v>38</v>
      </c>
      <c r="I115" s="112">
        <f t="shared" si="20"/>
        <v>40</v>
      </c>
      <c r="J115" s="111">
        <f t="shared" si="15"/>
        <v>282.44165471066475</v>
      </c>
    </row>
    <row r="116" spans="2:10" ht="15" customHeight="1">
      <c r="B116" s="114">
        <v>2032</v>
      </c>
      <c r="C116" s="113">
        <f t="shared" si="14"/>
        <v>44.441654710664757</v>
      </c>
      <c r="D116" s="324">
        <f>ROUND((C115-Q50)-(C115*$D$98),0)</f>
        <v>40</v>
      </c>
      <c r="E116" s="112">
        <f t="shared" si="16"/>
        <v>40</v>
      </c>
      <c r="F116" s="112">
        <f t="shared" si="17"/>
        <v>40</v>
      </c>
      <c r="G116" s="112">
        <f t="shared" si="18"/>
        <v>40</v>
      </c>
      <c r="H116" s="112">
        <f t="shared" si="19"/>
        <v>38</v>
      </c>
      <c r="I116" s="112">
        <f t="shared" si="20"/>
        <v>40</v>
      </c>
      <c r="J116" s="111">
        <f t="shared" si="15"/>
        <v>282.44165471066475</v>
      </c>
    </row>
    <row r="117" spans="2:10" ht="15" customHeight="1">
      <c r="F117" s="14"/>
      <c r="G117" s="14"/>
    </row>
    <row r="118" spans="2:10" ht="15" customHeight="1">
      <c r="B118" s="15" t="str">
        <f>"Table 4C: "&amp;E3&amp;" Projected Pupil Generation from Housing Development, 2019-2032"</f>
        <v>Table 4C: Brunstane Primary School Projected Pupil Generation from Housing Development, 2019-2032</v>
      </c>
      <c r="F118" s="14"/>
      <c r="G118" s="14"/>
    </row>
    <row r="119" spans="2:10" ht="15" customHeight="1">
      <c r="F119" s="14"/>
      <c r="G119" s="14"/>
    </row>
    <row r="120" spans="2:10" ht="15" customHeight="1">
      <c r="B120" s="115"/>
      <c r="C120" s="109" t="s">
        <v>1</v>
      </c>
      <c r="D120" s="109" t="s">
        <v>2</v>
      </c>
      <c r="E120" s="109" t="s">
        <v>3</v>
      </c>
      <c r="F120" s="109" t="s">
        <v>4</v>
      </c>
      <c r="G120" s="109" t="s">
        <v>5</v>
      </c>
      <c r="H120" s="109" t="s">
        <v>6</v>
      </c>
      <c r="I120" s="109" t="s">
        <v>7</v>
      </c>
      <c r="J120" s="109" t="s">
        <v>8</v>
      </c>
    </row>
    <row r="121" spans="2:10" ht="15" customHeight="1">
      <c r="B121" s="114">
        <v>2019</v>
      </c>
      <c r="C121" s="116" t="s">
        <v>97</v>
      </c>
      <c r="D121" s="112">
        <f>VLOOKUP($E$3,'Housing Generation'!$A$3:$BE$90,11,FALSE)</f>
        <v>0</v>
      </c>
      <c r="E121" s="112">
        <f>VLOOKUP($E$3,'Housing Generation'!$A$3:$BE$90,12,FALSE)</f>
        <v>0</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0</v>
      </c>
    </row>
    <row r="122" spans="2:10" ht="15" customHeight="1">
      <c r="B122" s="114">
        <v>2020</v>
      </c>
      <c r="C122" s="116" t="s">
        <v>97</v>
      </c>
      <c r="D122" s="112">
        <f>VLOOKUP($E$3,'Housing Generation'!$A$3:$BE$90,19,FALSE)</f>
        <v>0</v>
      </c>
      <c r="E122" s="112">
        <f>VLOOKUP($E$3,'Housing Generation'!$A$3:$BE$90,20,FALSE)</f>
        <v>0</v>
      </c>
      <c r="F122" s="112">
        <f>VLOOKUP($E$3,'Housing Generation'!$A$3:$BE$90,21,FALSE)</f>
        <v>0</v>
      </c>
      <c r="G122" s="112">
        <f>VLOOKUP($E$3,'Housing Generation'!$A$3:$BE$90,22,FALSE)</f>
        <v>0</v>
      </c>
      <c r="H122" s="112">
        <f>VLOOKUP($E$3,'Housing Generation'!$A$3:$BE$90,23,FALSE)</f>
        <v>0</v>
      </c>
      <c r="I122" s="112">
        <f>VLOOKUP($E$3,'Housing Generation'!$A$3:$BE$90,24,FALSE)</f>
        <v>0</v>
      </c>
      <c r="J122" s="111">
        <f t="shared" si="21"/>
        <v>0</v>
      </c>
    </row>
    <row r="123" spans="2:10" ht="15" customHeight="1">
      <c r="B123" s="114">
        <v>2021</v>
      </c>
      <c r="C123" s="116" t="s">
        <v>97</v>
      </c>
      <c r="D123" s="112">
        <f>VLOOKUP($E$3,'Housing Generation'!$A$3:$BE$90,27,FALSE)</f>
        <v>1</v>
      </c>
      <c r="E123" s="112">
        <f>VLOOKUP($E$3,'Housing Generation'!$A$3:$BE$90,28,FALSE)</f>
        <v>1</v>
      </c>
      <c r="F123" s="112">
        <f>VLOOKUP($E$3,'Housing Generation'!$A$3:$BE$90,29,FALSE)</f>
        <v>1</v>
      </c>
      <c r="G123" s="112">
        <f>VLOOKUP($E$3,'Housing Generation'!$A$3:$BE$90,30,FALSE)</f>
        <v>1</v>
      </c>
      <c r="H123" s="112">
        <f>VLOOKUP($E$3,'Housing Generation'!$A$3:$BE$90,31,FALSE)</f>
        <v>0</v>
      </c>
      <c r="I123" s="112">
        <f>VLOOKUP($E$3,'Housing Generation'!$A$3:$BE$90,32,FALSE)</f>
        <v>0</v>
      </c>
      <c r="J123" s="111">
        <f t="shared" si="21"/>
        <v>4</v>
      </c>
    </row>
    <row r="124" spans="2:10" ht="15" customHeight="1">
      <c r="B124" s="114">
        <v>2022</v>
      </c>
      <c r="C124" s="116" t="s">
        <v>97</v>
      </c>
      <c r="D124" s="112">
        <f>VLOOKUP($E$3,'Housing Generation'!$A$3:$BE$90,35,FALSE)</f>
        <v>1</v>
      </c>
      <c r="E124" s="112">
        <f>VLOOKUP($E$3,'Housing Generation'!$A$3:$BE$90,36,FALSE)</f>
        <v>1</v>
      </c>
      <c r="F124" s="112">
        <f>VLOOKUP($E$3,'Housing Generation'!$A$3:$BE$90,37,FALSE)</f>
        <v>1</v>
      </c>
      <c r="G124" s="112">
        <f>VLOOKUP($E$3,'Housing Generation'!$A$3:$BE$90,38,FALSE)</f>
        <v>1</v>
      </c>
      <c r="H124" s="112">
        <f>VLOOKUP($E$3,'Housing Generation'!$A$3:$BE$90,39,FALSE)</f>
        <v>1</v>
      </c>
      <c r="I124" s="112">
        <f>VLOOKUP($E$3,'Housing Generation'!$A$3:$BE$90,40,FALSE)</f>
        <v>1</v>
      </c>
      <c r="J124" s="111">
        <f t="shared" si="21"/>
        <v>6</v>
      </c>
    </row>
    <row r="125" spans="2:10" ht="15" customHeight="1">
      <c r="B125" s="114">
        <v>2023</v>
      </c>
      <c r="C125" s="116" t="s">
        <v>97</v>
      </c>
      <c r="D125" s="112">
        <f>VLOOKUP($E$3,'Housing Generation'!$A$3:$BE$90,43,FALSE)</f>
        <v>2</v>
      </c>
      <c r="E125" s="112">
        <f>VLOOKUP($E$3,'Housing Generation'!$A$3:$BE$90,44,FALSE)</f>
        <v>2</v>
      </c>
      <c r="F125" s="112">
        <f>VLOOKUP($E$3,'Housing Generation'!$A$3:$BE$90,45,FALSE)</f>
        <v>2</v>
      </c>
      <c r="G125" s="112">
        <f>VLOOKUP($E$3,'Housing Generation'!$A$3:$BE$90,46,FALSE)</f>
        <v>1</v>
      </c>
      <c r="H125" s="112">
        <f>VLOOKUP($E$3,'Housing Generation'!$A$3:$BE$90,47,FALSE)</f>
        <v>1</v>
      </c>
      <c r="I125" s="112">
        <f>VLOOKUP($E$3,'Housing Generation'!$A$3:$BE$90,48,FALSE)</f>
        <v>1</v>
      </c>
      <c r="J125" s="111">
        <f t="shared" si="21"/>
        <v>9</v>
      </c>
    </row>
    <row r="126" spans="2:10" ht="15" customHeight="1">
      <c r="B126" s="114">
        <v>2024</v>
      </c>
      <c r="C126" s="116" t="s">
        <v>97</v>
      </c>
      <c r="D126" s="112">
        <f>VLOOKUP($E$3,'Housing Generation'!$A$3:$BE$90,51,FALSE)</f>
        <v>2</v>
      </c>
      <c r="E126" s="112">
        <f>VLOOKUP($E$3,'Housing Generation'!$A$3:$BE$90,52,FALSE)</f>
        <v>2</v>
      </c>
      <c r="F126" s="112">
        <f>VLOOKUP($E$3,'Housing Generation'!$A$3:$BE$90,53,FALSE)</f>
        <v>2</v>
      </c>
      <c r="G126" s="112">
        <f>VLOOKUP($E$3,'Housing Generation'!$A$3:$BE$90,54,FALSE)</f>
        <v>2</v>
      </c>
      <c r="H126" s="112">
        <f>VLOOKUP($E$3,'Housing Generation'!$A$3:$BE$90,55,FALSE)</f>
        <v>2</v>
      </c>
      <c r="I126" s="112">
        <f>VLOOKUP($E$3,'Housing Generation'!$A$3:$BE$90,56,FALSE)</f>
        <v>2</v>
      </c>
      <c r="J126" s="111">
        <f t="shared" si="21"/>
        <v>12</v>
      </c>
    </row>
    <row r="127" spans="2:10" ht="15" customHeight="1">
      <c r="B127" s="114">
        <v>2025</v>
      </c>
      <c r="C127" s="240" t="s">
        <v>97</v>
      </c>
      <c r="D127" s="112">
        <f>VLOOKUP($E$3,'Housing Generation'!$A$3:$CK$90,59,FALSE)</f>
        <v>3</v>
      </c>
      <c r="E127" s="112">
        <f>VLOOKUP($E$3,'Housing Generation'!$A$3:$CK$90,60,FALSE)</f>
        <v>3</v>
      </c>
      <c r="F127" s="112">
        <f>VLOOKUP($E$3,'Housing Generation'!$A$3:$CK$90,61,FALSE)</f>
        <v>3</v>
      </c>
      <c r="G127" s="112">
        <f>VLOOKUP($E$3,'Housing Generation'!$A$3:$CK$90,62,FALSE)</f>
        <v>2</v>
      </c>
      <c r="H127" s="112">
        <f>VLOOKUP($E$3,'Housing Generation'!$A$3:$CK$90,63,FALSE)</f>
        <v>2</v>
      </c>
      <c r="I127" s="112">
        <f>VLOOKUP($E$3,'Housing Generation'!$A$3:$CK$90,64,FALSE)</f>
        <v>2</v>
      </c>
      <c r="J127" s="111">
        <f t="shared" si="21"/>
        <v>15</v>
      </c>
    </row>
    <row r="128" spans="2:10" ht="15" customHeight="1">
      <c r="B128" s="114">
        <v>2026</v>
      </c>
      <c r="C128" s="240" t="s">
        <v>97</v>
      </c>
      <c r="D128" s="112">
        <f>VLOOKUP($E$3,'Housing Generation'!$A$3:$CK$90,67,FALSE)</f>
        <v>3</v>
      </c>
      <c r="E128" s="112">
        <f>VLOOKUP($E$3,'Housing Generation'!$A$3:$CK$90,68,FALSE)</f>
        <v>3</v>
      </c>
      <c r="F128" s="112">
        <f>VLOOKUP($E$3,'Housing Generation'!$A$3:$CK$90,69,FALSE)</f>
        <v>3</v>
      </c>
      <c r="G128" s="112">
        <f>VLOOKUP($E$3,'Housing Generation'!$A$3:$CK$90,70,FALSE)</f>
        <v>3</v>
      </c>
      <c r="H128" s="112">
        <f>VLOOKUP($E$3,'Housing Generation'!$A$3:$CK$90,71,FALSE)</f>
        <v>3</v>
      </c>
      <c r="I128" s="112">
        <f>VLOOKUP($E$3,'Housing Generation'!$A$3:$CK$90,72,FALSE)</f>
        <v>3</v>
      </c>
      <c r="J128" s="111">
        <f t="shared" si="21"/>
        <v>18</v>
      </c>
    </row>
    <row r="129" spans="2:10" ht="15" customHeight="1">
      <c r="B129" s="114">
        <v>2027</v>
      </c>
      <c r="C129" s="240" t="s">
        <v>97</v>
      </c>
      <c r="D129" s="112">
        <f>VLOOKUP($E$3,'Housing Generation'!$A$3:$CK$90,75,FALSE)</f>
        <v>3</v>
      </c>
      <c r="E129" s="112">
        <f>VLOOKUP($E$3,'Housing Generation'!$A$3:$CK$90,76,FALSE)</f>
        <v>3</v>
      </c>
      <c r="F129" s="112">
        <f>VLOOKUP($E$3,'Housing Generation'!$A$3:$CK$90,77,FALSE)</f>
        <v>3</v>
      </c>
      <c r="G129" s="112">
        <f>VLOOKUP($E$3,'Housing Generation'!$A$3:$CK$90,78,FALSE)</f>
        <v>3</v>
      </c>
      <c r="H129" s="112">
        <f>VLOOKUP($E$3,'Housing Generation'!$A$3:$CK$90,79,FALSE)</f>
        <v>3</v>
      </c>
      <c r="I129" s="112">
        <f>VLOOKUP($E$3,'Housing Generation'!$A$3:$CK$90,80,FALSE)</f>
        <v>3</v>
      </c>
      <c r="J129" s="111">
        <f t="shared" si="21"/>
        <v>18</v>
      </c>
    </row>
    <row r="130" spans="2:10" ht="15" customHeight="1">
      <c r="B130" s="114">
        <v>2028</v>
      </c>
      <c r="C130" s="289" t="s">
        <v>97</v>
      </c>
      <c r="D130" s="112">
        <f>VLOOKUP($E$3,'Housing Generation'!$A$3:$CK$90,83,FALSE)</f>
        <v>3</v>
      </c>
      <c r="E130" s="112">
        <f>VLOOKUP($E$3,'Housing Generation'!$A$3:$CK$90,84,FALSE)</f>
        <v>3</v>
      </c>
      <c r="F130" s="112">
        <f>VLOOKUP($E$3,'Housing Generation'!$A$3:$CK$90,85,FALSE)</f>
        <v>3</v>
      </c>
      <c r="G130" s="112">
        <f>VLOOKUP($E$3,'Housing Generation'!$A$3:$CK$90,86,FALSE)</f>
        <v>3</v>
      </c>
      <c r="H130" s="112">
        <f>VLOOKUP($E$3,'Housing Generation'!$A$3:$CK$90,87,FALSE)</f>
        <v>3</v>
      </c>
      <c r="I130" s="112">
        <f>VLOOKUP($E$3,'Housing Generation'!$A$3:$CK$90,88,FALSE)</f>
        <v>3</v>
      </c>
      <c r="J130" s="111">
        <f t="shared" si="21"/>
        <v>18</v>
      </c>
    </row>
    <row r="131" spans="2:10" ht="15" customHeight="1">
      <c r="B131" s="114">
        <v>2029</v>
      </c>
      <c r="C131" s="289" t="s">
        <v>97</v>
      </c>
      <c r="D131" s="112">
        <f>VLOOKUP($E$3,'Housing Generation'!$A$3:$DQ$90,91,FALSE)</f>
        <v>3</v>
      </c>
      <c r="E131" s="112">
        <f>VLOOKUP($E$3,'Housing Generation'!$A$3:$DQ$90,92,FALSE)</f>
        <v>3</v>
      </c>
      <c r="F131" s="112">
        <f>VLOOKUP($E$3,'Housing Generation'!$A$3:$DQ$90,93,FALSE)</f>
        <v>3</v>
      </c>
      <c r="G131" s="112">
        <f>VLOOKUP($E$3,'Housing Generation'!$A$3:$DQ$90,94,FALSE)</f>
        <v>3</v>
      </c>
      <c r="H131" s="112">
        <f>VLOOKUP($E$3,'Housing Generation'!$A$3:$DQ$90,95,FALSE)</f>
        <v>3</v>
      </c>
      <c r="I131" s="112">
        <f>VLOOKUP($E$3,'Housing Generation'!$A$3:$DQ$90,96,FALSE)</f>
        <v>3</v>
      </c>
      <c r="J131" s="111">
        <f t="shared" si="21"/>
        <v>18</v>
      </c>
    </row>
    <row r="132" spans="2:10" ht="15" customHeight="1">
      <c r="B132" s="114">
        <v>2030</v>
      </c>
      <c r="C132" s="289" t="s">
        <v>97</v>
      </c>
      <c r="D132" s="112">
        <f>VLOOKUP($E$3,'Housing Generation'!$A$3:$DQ$90,99,FALSE)</f>
        <v>3</v>
      </c>
      <c r="E132" s="112">
        <f>VLOOKUP($E$3,'Housing Generation'!$A$3:$DQ$90,100,FALSE)</f>
        <v>3</v>
      </c>
      <c r="F132" s="112">
        <f>VLOOKUP($E$3,'Housing Generation'!$A$3:$DQ$90,101,FALSE)</f>
        <v>3</v>
      </c>
      <c r="G132" s="112">
        <f>VLOOKUP($E$3,'Housing Generation'!$A$3:$DQ$90,102,FALSE)</f>
        <v>3</v>
      </c>
      <c r="H132" s="112">
        <f>VLOOKUP($E$3,'Housing Generation'!$A$3:$DQ$90,103,FALSE)</f>
        <v>3</v>
      </c>
      <c r="I132" s="112">
        <f>VLOOKUP($E$3,'Housing Generation'!$A$3:$DQ$90,104,FALSE)</f>
        <v>3</v>
      </c>
      <c r="J132" s="111">
        <f t="shared" si="21"/>
        <v>18</v>
      </c>
    </row>
    <row r="133" spans="2:10" ht="15" customHeight="1">
      <c r="B133" s="114">
        <v>2031</v>
      </c>
      <c r="C133" s="289" t="s">
        <v>97</v>
      </c>
      <c r="D133" s="112">
        <f>VLOOKUP($E$3,'Housing Generation'!$A$3:$DQ$90,107,FALSE)</f>
        <v>3</v>
      </c>
      <c r="E133" s="112">
        <f>VLOOKUP($E$3,'Housing Generation'!$A$3:$DQ$90,108,FALSE)</f>
        <v>3</v>
      </c>
      <c r="F133" s="112">
        <f>VLOOKUP($E$3,'Housing Generation'!$A$3:$DQ$90,109,FALSE)</f>
        <v>3</v>
      </c>
      <c r="G133" s="112">
        <f>VLOOKUP($E$3,'Housing Generation'!$A$3:$DQ$90,110,FALSE)</f>
        <v>3</v>
      </c>
      <c r="H133" s="112">
        <f>VLOOKUP($E$3,'Housing Generation'!$A$3:$DQ$90,111,FALSE)</f>
        <v>3</v>
      </c>
      <c r="I133" s="112">
        <f>VLOOKUP($E$3,'Housing Generation'!$A$3:$DQ$90,112,FALSE)</f>
        <v>3</v>
      </c>
      <c r="J133" s="111">
        <f t="shared" si="21"/>
        <v>18</v>
      </c>
    </row>
    <row r="134" spans="2:10" ht="15" customHeight="1">
      <c r="B134" s="114">
        <v>2032</v>
      </c>
      <c r="C134" s="289" t="s">
        <v>97</v>
      </c>
      <c r="D134" s="112">
        <f>VLOOKUP($E$3,'Housing Generation'!$A$3:$DQ$90,115,FALSE)</f>
        <v>3</v>
      </c>
      <c r="E134" s="112">
        <f>VLOOKUP($E$3,'Housing Generation'!$A$3:$DQ$90,116,FALSE)</f>
        <v>3</v>
      </c>
      <c r="F134" s="112">
        <f>VLOOKUP($E$3,'Housing Generation'!$A$3:$DQ$90,117,FALSE)</f>
        <v>3</v>
      </c>
      <c r="G134" s="112">
        <f>VLOOKUP($E$3,'Housing Generation'!$A$3:$DQ$90,118,FALSE)</f>
        <v>3</v>
      </c>
      <c r="H134" s="112">
        <f>VLOOKUP($E$3,'Housing Generation'!$A$3:$DQ$90,119,FALSE)</f>
        <v>3</v>
      </c>
      <c r="I134" s="112">
        <f>VLOOKUP($E$3,'Housing Generation'!$A$3:$DQ$90,120,FALSE)</f>
        <v>3</v>
      </c>
      <c r="J134" s="111">
        <f t="shared" si="21"/>
        <v>18</v>
      </c>
    </row>
    <row r="135" spans="2:10" ht="15"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Brunstane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25</v>
      </c>
      <c r="D139" s="112">
        <f t="shared" ref="D139:I152" si="23">D121+D103</f>
        <v>24</v>
      </c>
      <c r="E139" s="112">
        <f t="shared" si="23"/>
        <v>37</v>
      </c>
      <c r="F139" s="112">
        <f t="shared" si="23"/>
        <v>33</v>
      </c>
      <c r="G139" s="112">
        <f t="shared" si="23"/>
        <v>25</v>
      </c>
      <c r="H139" s="112">
        <f t="shared" si="23"/>
        <v>29</v>
      </c>
      <c r="I139" s="112">
        <f t="shared" si="23"/>
        <v>32</v>
      </c>
      <c r="J139" s="111">
        <f t="shared" ref="J139:J147" si="24">SUM(C139:I139)</f>
        <v>205</v>
      </c>
    </row>
    <row r="140" spans="2:10" ht="15" customHeight="1">
      <c r="B140" s="114">
        <v>2020</v>
      </c>
      <c r="C140" s="113">
        <f t="shared" si="22"/>
        <v>45.080981986290453</v>
      </c>
      <c r="D140" s="112">
        <f t="shared" si="23"/>
        <v>25</v>
      </c>
      <c r="E140" s="112">
        <f t="shared" si="23"/>
        <v>24</v>
      </c>
      <c r="F140" s="112">
        <f t="shared" si="23"/>
        <v>37</v>
      </c>
      <c r="G140" s="112">
        <f t="shared" si="23"/>
        <v>33</v>
      </c>
      <c r="H140" s="112">
        <f t="shared" si="23"/>
        <v>24</v>
      </c>
      <c r="I140" s="112">
        <f t="shared" si="23"/>
        <v>30</v>
      </c>
      <c r="J140" s="111">
        <f t="shared" si="24"/>
        <v>218.08098198629045</v>
      </c>
    </row>
    <row r="141" spans="2:10" ht="15" customHeight="1">
      <c r="B141" s="114">
        <v>2021</v>
      </c>
      <c r="C141" s="113">
        <f t="shared" si="22"/>
        <v>39.966363781284869</v>
      </c>
      <c r="D141" s="112">
        <f t="shared" si="23"/>
        <v>45</v>
      </c>
      <c r="E141" s="112">
        <f t="shared" si="23"/>
        <v>26</v>
      </c>
      <c r="F141" s="112">
        <f t="shared" si="23"/>
        <v>25</v>
      </c>
      <c r="G141" s="112">
        <f t="shared" si="23"/>
        <v>38</v>
      </c>
      <c r="H141" s="112">
        <f t="shared" si="23"/>
        <v>31</v>
      </c>
      <c r="I141" s="112">
        <f t="shared" si="23"/>
        <v>25</v>
      </c>
      <c r="J141" s="111">
        <f t="shared" si="24"/>
        <v>229.96636378128488</v>
      </c>
    </row>
    <row r="142" spans="2:10" ht="15" customHeight="1">
      <c r="B142" s="114">
        <v>2022</v>
      </c>
      <c r="C142" s="113">
        <f t="shared" si="22"/>
        <v>30</v>
      </c>
      <c r="D142" s="112">
        <f t="shared" si="23"/>
        <v>39</v>
      </c>
      <c r="E142" s="112">
        <f t="shared" si="23"/>
        <v>45</v>
      </c>
      <c r="F142" s="112">
        <f t="shared" si="23"/>
        <v>26</v>
      </c>
      <c r="G142" s="112">
        <f t="shared" si="23"/>
        <v>25</v>
      </c>
      <c r="H142" s="112">
        <f t="shared" si="23"/>
        <v>36</v>
      </c>
      <c r="I142" s="112">
        <f t="shared" si="23"/>
        <v>33</v>
      </c>
      <c r="J142" s="111">
        <f t="shared" si="24"/>
        <v>234</v>
      </c>
    </row>
    <row r="143" spans="2:10" ht="15" customHeight="1">
      <c r="B143" s="114">
        <v>2023</v>
      </c>
      <c r="C143" s="113">
        <f t="shared" si="22"/>
        <v>41.884345608161965</v>
      </c>
      <c r="D143" s="112">
        <f t="shared" si="23"/>
        <v>30</v>
      </c>
      <c r="E143" s="112">
        <f t="shared" si="23"/>
        <v>40</v>
      </c>
      <c r="F143" s="112">
        <f t="shared" si="23"/>
        <v>46</v>
      </c>
      <c r="G143" s="112">
        <f t="shared" si="23"/>
        <v>26</v>
      </c>
      <c r="H143" s="112">
        <f t="shared" si="23"/>
        <v>24</v>
      </c>
      <c r="I143" s="112">
        <f t="shared" si="23"/>
        <v>38</v>
      </c>
      <c r="J143" s="111">
        <f t="shared" si="24"/>
        <v>245.88434560816196</v>
      </c>
    </row>
    <row r="144" spans="2:10" ht="15" customHeight="1">
      <c r="B144" s="114">
        <v>2024</v>
      </c>
      <c r="C144" s="113">
        <f t="shared" si="22"/>
        <v>42.523672883787661</v>
      </c>
      <c r="D144" s="112">
        <f t="shared" si="23"/>
        <v>41</v>
      </c>
      <c r="E144" s="112">
        <f t="shared" si="23"/>
        <v>30</v>
      </c>
      <c r="F144" s="112">
        <f t="shared" si="23"/>
        <v>40</v>
      </c>
      <c r="G144" s="112">
        <f t="shared" si="23"/>
        <v>46</v>
      </c>
      <c r="H144" s="112">
        <f t="shared" si="23"/>
        <v>26</v>
      </c>
      <c r="I144" s="112">
        <f t="shared" si="23"/>
        <v>26</v>
      </c>
      <c r="J144" s="111">
        <f t="shared" si="24"/>
        <v>251.52367288378767</v>
      </c>
    </row>
    <row r="145" spans="2:16" ht="15" customHeight="1">
      <c r="B145" s="114">
        <v>2025</v>
      </c>
      <c r="C145" s="113">
        <f t="shared" si="22"/>
        <v>43.163000159413357</v>
      </c>
      <c r="D145" s="112">
        <f t="shared" si="23"/>
        <v>43</v>
      </c>
      <c r="E145" s="112">
        <f t="shared" si="23"/>
        <v>42</v>
      </c>
      <c r="F145" s="112">
        <f t="shared" si="23"/>
        <v>31</v>
      </c>
      <c r="G145" s="112">
        <f t="shared" si="23"/>
        <v>40</v>
      </c>
      <c r="H145" s="112">
        <f t="shared" si="23"/>
        <v>43</v>
      </c>
      <c r="I145" s="112">
        <f t="shared" si="23"/>
        <v>27</v>
      </c>
      <c r="J145" s="111">
        <f t="shared" si="24"/>
        <v>269.16300015941334</v>
      </c>
    </row>
    <row r="146" spans="2:16" ht="15" customHeight="1">
      <c r="B146" s="114">
        <v>2026</v>
      </c>
      <c r="C146" s="113">
        <f t="shared" si="22"/>
        <v>43.802327435039061</v>
      </c>
      <c r="D146" s="112">
        <f t="shared" si="23"/>
        <v>43</v>
      </c>
      <c r="E146" s="112">
        <f t="shared" si="23"/>
        <v>43</v>
      </c>
      <c r="F146" s="112">
        <f t="shared" si="23"/>
        <v>42</v>
      </c>
      <c r="G146" s="112">
        <f t="shared" si="23"/>
        <v>31</v>
      </c>
      <c r="H146" s="112">
        <f t="shared" si="23"/>
        <v>39</v>
      </c>
      <c r="I146" s="112">
        <f t="shared" si="23"/>
        <v>46</v>
      </c>
      <c r="J146" s="111">
        <f t="shared" si="24"/>
        <v>287.80232743503905</v>
      </c>
    </row>
    <row r="147" spans="2:16" ht="15" customHeight="1">
      <c r="B147" s="114">
        <v>2027</v>
      </c>
      <c r="C147" s="113">
        <f t="shared" si="22"/>
        <v>44.441654710664757</v>
      </c>
      <c r="D147" s="112">
        <f t="shared" si="23"/>
        <v>43</v>
      </c>
      <c r="E147" s="112">
        <f t="shared" si="23"/>
        <v>43</v>
      </c>
      <c r="F147" s="112">
        <f t="shared" si="23"/>
        <v>43</v>
      </c>
      <c r="G147" s="112">
        <f t="shared" si="23"/>
        <v>42</v>
      </c>
      <c r="H147" s="112">
        <f t="shared" si="23"/>
        <v>29</v>
      </c>
      <c r="I147" s="112">
        <f t="shared" si="23"/>
        <v>41</v>
      </c>
      <c r="J147" s="111">
        <f t="shared" si="24"/>
        <v>285.44165471066475</v>
      </c>
    </row>
    <row r="148" spans="2:16" ht="15" customHeight="1">
      <c r="B148" s="114">
        <v>2028</v>
      </c>
      <c r="C148" s="113">
        <f t="shared" si="22"/>
        <v>44.441654710664757</v>
      </c>
      <c r="D148" s="112">
        <f t="shared" si="23"/>
        <v>43</v>
      </c>
      <c r="E148" s="112">
        <f t="shared" si="23"/>
        <v>43</v>
      </c>
      <c r="F148" s="112">
        <f t="shared" si="23"/>
        <v>43</v>
      </c>
      <c r="G148" s="112">
        <f t="shared" si="23"/>
        <v>43</v>
      </c>
      <c r="H148" s="112">
        <f t="shared" si="23"/>
        <v>40</v>
      </c>
      <c r="I148" s="112">
        <f t="shared" si="23"/>
        <v>30</v>
      </c>
      <c r="J148" s="111">
        <f t="shared" ref="J148:J152" si="25">SUM(C148:I148)</f>
        <v>286.44165471066475</v>
      </c>
    </row>
    <row r="149" spans="2:16" ht="15" customHeight="1">
      <c r="B149" s="114">
        <v>2029</v>
      </c>
      <c r="C149" s="113">
        <f t="shared" si="22"/>
        <v>44.441654710664757</v>
      </c>
      <c r="D149" s="112">
        <f t="shared" si="23"/>
        <v>43</v>
      </c>
      <c r="E149" s="112">
        <f t="shared" si="23"/>
        <v>43</v>
      </c>
      <c r="F149" s="112">
        <f t="shared" si="23"/>
        <v>43</v>
      </c>
      <c r="G149" s="112">
        <f t="shared" si="23"/>
        <v>43</v>
      </c>
      <c r="H149" s="112">
        <f t="shared" si="23"/>
        <v>41</v>
      </c>
      <c r="I149" s="112">
        <f t="shared" si="23"/>
        <v>42</v>
      </c>
      <c r="J149" s="111">
        <f t="shared" si="25"/>
        <v>299.44165471066475</v>
      </c>
    </row>
    <row r="150" spans="2:16" ht="15" customHeight="1">
      <c r="B150" s="114">
        <v>2030</v>
      </c>
      <c r="C150" s="113">
        <f t="shared" si="22"/>
        <v>44.441654710664757</v>
      </c>
      <c r="D150" s="112">
        <f t="shared" si="23"/>
        <v>43</v>
      </c>
      <c r="E150" s="112">
        <f t="shared" si="23"/>
        <v>43</v>
      </c>
      <c r="F150" s="112">
        <f t="shared" si="23"/>
        <v>43</v>
      </c>
      <c r="G150" s="112">
        <f t="shared" si="23"/>
        <v>43</v>
      </c>
      <c r="H150" s="112">
        <f t="shared" si="23"/>
        <v>41</v>
      </c>
      <c r="I150" s="112">
        <f t="shared" si="23"/>
        <v>43</v>
      </c>
      <c r="J150" s="111">
        <f t="shared" si="25"/>
        <v>300.44165471066475</v>
      </c>
    </row>
    <row r="151" spans="2:16" ht="15" customHeight="1">
      <c r="B151" s="114">
        <v>2031</v>
      </c>
      <c r="C151" s="113">
        <f t="shared" si="22"/>
        <v>44.441654710664757</v>
      </c>
      <c r="D151" s="112">
        <f t="shared" si="23"/>
        <v>43</v>
      </c>
      <c r="E151" s="112">
        <f t="shared" si="23"/>
        <v>43</v>
      </c>
      <c r="F151" s="112">
        <f t="shared" si="23"/>
        <v>43</v>
      </c>
      <c r="G151" s="112">
        <f t="shared" si="23"/>
        <v>43</v>
      </c>
      <c r="H151" s="112">
        <f t="shared" si="23"/>
        <v>41</v>
      </c>
      <c r="I151" s="112">
        <f t="shared" si="23"/>
        <v>43</v>
      </c>
      <c r="J151" s="111">
        <f t="shared" si="25"/>
        <v>300.44165471066475</v>
      </c>
    </row>
    <row r="152" spans="2:16" ht="15" customHeight="1">
      <c r="B152" s="114">
        <v>2032</v>
      </c>
      <c r="C152" s="113">
        <f t="shared" si="22"/>
        <v>44.441654710664757</v>
      </c>
      <c r="D152" s="112">
        <f t="shared" si="23"/>
        <v>43</v>
      </c>
      <c r="E152" s="112">
        <f t="shared" si="23"/>
        <v>43</v>
      </c>
      <c r="F152" s="112">
        <f t="shared" si="23"/>
        <v>43</v>
      </c>
      <c r="G152" s="112">
        <f t="shared" si="23"/>
        <v>43</v>
      </c>
      <c r="H152" s="112">
        <f t="shared" si="23"/>
        <v>41</v>
      </c>
      <c r="I152" s="112">
        <f t="shared" si="23"/>
        <v>43</v>
      </c>
      <c r="J152" s="111">
        <f t="shared" si="25"/>
        <v>300.44165471066475</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205</v>
      </c>
      <c r="D159" s="108">
        <f>J140</f>
        <v>218.08098198629045</v>
      </c>
      <c r="E159" s="108">
        <f>J141</f>
        <v>229.96636378128488</v>
      </c>
      <c r="F159" s="108">
        <f>J142</f>
        <v>234</v>
      </c>
      <c r="G159" s="108">
        <f>J143</f>
        <v>245.88434560816196</v>
      </c>
      <c r="H159" s="108">
        <f>J144</f>
        <v>251.52367288378767</v>
      </c>
      <c r="I159" s="108">
        <f>J145</f>
        <v>269.16300015941334</v>
      </c>
      <c r="J159" s="108">
        <f>J146</f>
        <v>287.80232743503905</v>
      </c>
      <c r="K159" s="108">
        <f>J147</f>
        <v>285.44165471066475</v>
      </c>
      <c r="L159" s="108">
        <f>J148</f>
        <v>286.44165471066475</v>
      </c>
      <c r="M159" s="108">
        <f>J149</f>
        <v>299.44165471066475</v>
      </c>
      <c r="N159" s="108">
        <f>J150</f>
        <v>300.44165471066475</v>
      </c>
      <c r="O159" s="108">
        <f>J151</f>
        <v>300.44165471066475</v>
      </c>
      <c r="P159" s="108">
        <f>J152</f>
        <v>300.44165471066475</v>
      </c>
    </row>
    <row r="160" spans="2:16" ht="15" customHeight="1">
      <c r="B160" s="107" t="s">
        <v>152</v>
      </c>
      <c r="C160" s="106">
        <f>VLOOKUP(C159,Capacity!$A$1:$C$645,2,TRUE)</f>
        <v>7</v>
      </c>
      <c r="D160" s="106">
        <f>VLOOKUP(D159,Capacity!$A$1:$C$645,2,TRUE)</f>
        <v>9</v>
      </c>
      <c r="E160" s="106">
        <f>VLOOKUP(E159,Capacity!$A$1:$C$645,2,TRUE)</f>
        <v>9</v>
      </c>
      <c r="F160" s="106">
        <f>VLOOKUP(F159,Capacity!$A$1:$C$645,2,TRUE)</f>
        <v>10</v>
      </c>
      <c r="G160" s="106">
        <f>VLOOKUP(G159,Capacity!$A$1:$C$645,2,TRUE)</f>
        <v>10</v>
      </c>
      <c r="H160" s="106">
        <f>VLOOKUP(H159,Capacity!$A$1:$C$645,2,TRUE)</f>
        <v>10</v>
      </c>
      <c r="I160" s="106">
        <f>VLOOKUP(I159,Capacity!$A$1:$C$645,2,TRUE)</f>
        <v>11</v>
      </c>
      <c r="J160" s="106">
        <f>VLOOKUP(J159,Capacity!$A$1:$C$645,2,TRUE)</f>
        <v>11</v>
      </c>
      <c r="K160" s="106">
        <f>VLOOKUP(K159,Capacity!$A$1:$C$645,2,TRUE)</f>
        <v>11</v>
      </c>
      <c r="L160" s="106">
        <f>VLOOKUP(L159,Capacity!$A$1:$C$645,2,TRUE)</f>
        <v>11</v>
      </c>
      <c r="M160" s="106">
        <f>VLOOKUP(M159,Capacity!$A$1:$C$645,2,TRUE)</f>
        <v>12</v>
      </c>
      <c r="N160" s="106">
        <f>VLOOKUP(N159,Capacity!$A$1:$C$645,2,TRUE)</f>
        <v>12</v>
      </c>
      <c r="O160" s="106">
        <f>VLOOKUP(O159,Capacity!$A$1:$C$645,2,TRUE)</f>
        <v>12</v>
      </c>
      <c r="P160" s="106">
        <f>VLOOKUP(P159,Capacity!$A$1:$C$645,2,TRUE)</f>
        <v>12</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46</v>
      </c>
      <c r="D169" s="97">
        <f>VLOOKUP($E$3,'Catchment Births'!$A$1:$U$90,11,FALSE)</f>
        <v>57</v>
      </c>
      <c r="E169" s="97">
        <f>VLOOKUP($E$3,'Catchment Births'!$A$1:$U$90,12,FALSE)</f>
        <v>53</v>
      </c>
      <c r="F169" s="97">
        <f>VLOOKUP($E$3,'Catchment Births'!$A$1:$U$90,13,FALSE)</f>
        <v>68</v>
      </c>
      <c r="G169" s="97">
        <f>VLOOKUP($E$3,'Catchment Births'!$A$1:$U$90,14,FALSE)</f>
        <v>59</v>
      </c>
      <c r="H169" s="97">
        <f>VLOOKUP($E$3,'Catchment Births'!$A$1:$U$90,15,FALSE)</f>
        <v>50</v>
      </c>
      <c r="I169" s="97">
        <f>VLOOKUP($E$3,'Catchment Births'!$A$1:$U$90,16,FALSE)</f>
        <v>49</v>
      </c>
      <c r="J169" s="97">
        <f>VLOOKUP($E$3,'Catchment Births'!$A$1:$U$90,17,FALSE)</f>
        <v>60</v>
      </c>
      <c r="K169" s="97">
        <f>VLOOKUP($E$3,'Catchment Births'!$A$1:$U$90,18,FALSE)</f>
        <v>62</v>
      </c>
      <c r="L169" s="97">
        <f>VLOOKUP($E$3,'Catchment Births'!$A$1:$U$90,19,FALSE)</f>
        <v>52</v>
      </c>
      <c r="M169" s="97">
        <f>VLOOKUP($E$3,'Catchment Births'!$A$1:$U$90,20,FALSE)</f>
        <v>55</v>
      </c>
      <c r="N169" s="97">
        <f>VLOOKUP($E$3,'Catchment Births'!$A$1:$U$90,21,FALSE)</f>
        <v>85</v>
      </c>
    </row>
    <row r="170" spans="2:14" ht="58.5" customHeight="1">
      <c r="B170" s="103" t="str">
        <f>"P1 "&amp;A35&amp;" Catchment Population (Actual)"</f>
        <v>P1 ND Catchment Population (Actual)</v>
      </c>
      <c r="C170" s="102" t="e">
        <v>#REF!</v>
      </c>
      <c r="D170" s="102">
        <v>39</v>
      </c>
      <c r="E170" s="102">
        <v>28</v>
      </c>
      <c r="F170" s="102">
        <v>29</v>
      </c>
      <c r="G170" s="102">
        <v>39</v>
      </c>
      <c r="H170" s="102">
        <v>33</v>
      </c>
      <c r="I170" s="102">
        <v>32</v>
      </c>
      <c r="J170" s="308">
        <f>VLOOKUP(E3,'Catchment Projections'!A1:BU92,42,FALSE)</f>
        <v>51</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32</v>
      </c>
      <c r="J172" s="96" t="e">
        <f>#REF!</f>
        <v>#REF!</v>
      </c>
      <c r="K172" s="96">
        <f>D51</f>
        <v>37</v>
      </c>
      <c r="L172" s="96">
        <f>E51</f>
        <v>58</v>
      </c>
      <c r="M172" s="96">
        <f>F51</f>
        <v>50</v>
      </c>
      <c r="N172" s="96">
        <f>G51</f>
        <v>45</v>
      </c>
    </row>
    <row r="173" spans="2:14" ht="12.75">
      <c r="B173" s="62"/>
      <c r="C173" s="62"/>
      <c r="D173" s="62"/>
      <c r="E173" s="62"/>
      <c r="F173" s="62"/>
      <c r="G173" s="62"/>
      <c r="H173" s="62"/>
      <c r="I173" s="62"/>
      <c r="J173" s="62"/>
      <c r="K173" s="62"/>
    </row>
    <row r="174" spans="2:14" ht="15" customHeight="1">
      <c r="B174" s="64" t="str">
        <f>"Table 5: "&amp;E3&amp;" Roll by Stage, 2002-2018"</f>
        <v>Table 5: Brunstane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27</v>
      </c>
      <c r="D177" s="93">
        <v>31</v>
      </c>
      <c r="E177" s="93">
        <v>30</v>
      </c>
      <c r="F177" s="93">
        <v>36</v>
      </c>
      <c r="G177" s="93">
        <v>29</v>
      </c>
      <c r="H177" s="93">
        <v>32</v>
      </c>
      <c r="I177" s="93">
        <v>37</v>
      </c>
      <c r="J177" s="92">
        <v>222</v>
      </c>
      <c r="K177" s="62"/>
    </row>
    <row r="178" spans="2:11" ht="15" customHeight="1">
      <c r="B178" s="94">
        <v>2003</v>
      </c>
      <c r="C178" s="93">
        <v>24</v>
      </c>
      <c r="D178" s="93">
        <v>24</v>
      </c>
      <c r="E178" s="93">
        <v>29</v>
      </c>
      <c r="F178" s="93">
        <v>27</v>
      </c>
      <c r="G178" s="93">
        <v>38</v>
      </c>
      <c r="H178" s="93">
        <v>29</v>
      </c>
      <c r="I178" s="93">
        <v>29</v>
      </c>
      <c r="J178" s="92">
        <v>200</v>
      </c>
      <c r="K178" s="62"/>
    </row>
    <row r="179" spans="2:11" customFormat="1" ht="15" customHeight="1">
      <c r="B179" s="94">
        <v>2004</v>
      </c>
      <c r="C179" s="95">
        <v>28</v>
      </c>
      <c r="D179" s="95">
        <v>23</v>
      </c>
      <c r="E179" s="95">
        <v>26</v>
      </c>
      <c r="F179" s="95">
        <v>26</v>
      </c>
      <c r="G179" s="95">
        <v>31</v>
      </c>
      <c r="H179" s="95">
        <v>36</v>
      </c>
      <c r="I179" s="95">
        <v>29</v>
      </c>
      <c r="J179" s="92">
        <v>199</v>
      </c>
      <c r="K179" s="62"/>
    </row>
    <row r="180" spans="2:11" customFormat="1" ht="15" customHeight="1">
      <c r="B180" s="94">
        <v>2005</v>
      </c>
      <c r="C180" s="93">
        <v>23</v>
      </c>
      <c r="D180" s="93">
        <v>28</v>
      </c>
      <c r="E180" s="93">
        <v>22</v>
      </c>
      <c r="F180" s="93">
        <v>24</v>
      </c>
      <c r="G180" s="93">
        <v>22</v>
      </c>
      <c r="H180" s="93">
        <v>30</v>
      </c>
      <c r="I180" s="93">
        <v>34</v>
      </c>
      <c r="J180" s="92">
        <v>183</v>
      </c>
      <c r="K180" s="62"/>
    </row>
    <row r="181" spans="2:11" customFormat="1" ht="15" customHeight="1">
      <c r="B181" s="94">
        <v>2006</v>
      </c>
      <c r="C181" s="93">
        <v>28</v>
      </c>
      <c r="D181" s="93">
        <v>19</v>
      </c>
      <c r="E181" s="93">
        <v>25</v>
      </c>
      <c r="F181" s="93">
        <v>23</v>
      </c>
      <c r="G181" s="93">
        <v>24</v>
      </c>
      <c r="H181" s="93">
        <v>24</v>
      </c>
      <c r="I181" s="93">
        <v>28</v>
      </c>
      <c r="J181" s="92">
        <v>171</v>
      </c>
      <c r="K181" s="62"/>
    </row>
    <row r="182" spans="2:11" customFormat="1" ht="15" customHeight="1">
      <c r="B182" s="94">
        <v>2007</v>
      </c>
      <c r="C182" s="93">
        <v>23</v>
      </c>
      <c r="D182" s="93">
        <v>30</v>
      </c>
      <c r="E182" s="93">
        <v>23</v>
      </c>
      <c r="F182" s="93">
        <v>28</v>
      </c>
      <c r="G182" s="93">
        <v>25</v>
      </c>
      <c r="H182" s="93">
        <v>25</v>
      </c>
      <c r="I182" s="93">
        <v>27</v>
      </c>
      <c r="J182" s="92">
        <v>181</v>
      </c>
      <c r="K182" s="62"/>
    </row>
    <row r="183" spans="2:11" customFormat="1" ht="15" customHeight="1">
      <c r="B183" s="94">
        <v>2008</v>
      </c>
      <c r="C183" s="93">
        <v>19</v>
      </c>
      <c r="D183" s="93">
        <v>22</v>
      </c>
      <c r="E183" s="93">
        <v>31</v>
      </c>
      <c r="F183" s="93">
        <v>24</v>
      </c>
      <c r="G183" s="93">
        <v>27</v>
      </c>
      <c r="H183" s="93">
        <v>24</v>
      </c>
      <c r="I183" s="93">
        <v>27</v>
      </c>
      <c r="J183" s="92">
        <v>174</v>
      </c>
      <c r="K183" s="62"/>
    </row>
    <row r="184" spans="2:11" customFormat="1" ht="15" customHeight="1">
      <c r="B184" s="94">
        <v>2009</v>
      </c>
      <c r="C184" s="93">
        <v>36</v>
      </c>
      <c r="D184" s="93">
        <v>18</v>
      </c>
      <c r="E184" s="93">
        <v>24</v>
      </c>
      <c r="F184" s="93">
        <v>40</v>
      </c>
      <c r="G184" s="93">
        <v>24</v>
      </c>
      <c r="H184" s="93">
        <v>31</v>
      </c>
      <c r="I184" s="93">
        <v>28</v>
      </c>
      <c r="J184" s="94">
        <v>201</v>
      </c>
      <c r="K184" s="62"/>
    </row>
    <row r="185" spans="2:11" customFormat="1" ht="15" customHeight="1">
      <c r="B185" s="94">
        <v>2010</v>
      </c>
      <c r="C185" s="93">
        <v>28</v>
      </c>
      <c r="D185" s="93">
        <v>30</v>
      </c>
      <c r="E185" s="93">
        <v>17</v>
      </c>
      <c r="F185" s="93">
        <v>21</v>
      </c>
      <c r="G185" s="93">
        <v>36</v>
      </c>
      <c r="H185" s="93">
        <v>20</v>
      </c>
      <c r="I185" s="93">
        <v>28</v>
      </c>
      <c r="J185" s="92">
        <v>180</v>
      </c>
      <c r="K185" s="62"/>
    </row>
    <row r="186" spans="2:11" customFormat="1" ht="15" customHeight="1">
      <c r="B186" s="94">
        <v>2011</v>
      </c>
      <c r="C186" s="93">
        <v>22</v>
      </c>
      <c r="D186" s="93">
        <v>22</v>
      </c>
      <c r="E186" s="93">
        <v>30</v>
      </c>
      <c r="F186" s="93">
        <v>22</v>
      </c>
      <c r="G186" s="93">
        <v>22</v>
      </c>
      <c r="H186" s="93">
        <v>34</v>
      </c>
      <c r="I186" s="93">
        <v>20</v>
      </c>
      <c r="J186" s="92">
        <v>172</v>
      </c>
      <c r="K186" s="62"/>
    </row>
    <row r="187" spans="2:11" customFormat="1" ht="15" customHeight="1">
      <c r="B187" s="94">
        <v>2012</v>
      </c>
      <c r="C187" s="93">
        <v>33</v>
      </c>
      <c r="D187" s="93">
        <v>20</v>
      </c>
      <c r="E187" s="93">
        <v>17</v>
      </c>
      <c r="F187" s="93">
        <v>31</v>
      </c>
      <c r="G187" s="93">
        <v>19</v>
      </c>
      <c r="H187" s="93">
        <v>23</v>
      </c>
      <c r="I187" s="93">
        <v>29</v>
      </c>
      <c r="J187" s="92">
        <v>172</v>
      </c>
      <c r="K187" s="62"/>
    </row>
    <row r="188" spans="2:11" customFormat="1" ht="15" customHeight="1">
      <c r="B188" s="94">
        <v>2013</v>
      </c>
      <c r="C188" s="93">
        <v>38</v>
      </c>
      <c r="D188" s="93">
        <v>31</v>
      </c>
      <c r="E188" s="93">
        <v>23</v>
      </c>
      <c r="F188" s="93">
        <v>18</v>
      </c>
      <c r="G188" s="93">
        <v>26</v>
      </c>
      <c r="H188" s="93">
        <v>25</v>
      </c>
      <c r="I188" s="93">
        <v>25</v>
      </c>
      <c r="J188" s="94">
        <v>186</v>
      </c>
      <c r="K188" s="62"/>
    </row>
    <row r="189" spans="2:11" customFormat="1" ht="15" customHeight="1">
      <c r="B189" s="94">
        <v>2014</v>
      </c>
      <c r="C189" s="93">
        <v>31</v>
      </c>
      <c r="D189" s="93">
        <v>33</v>
      </c>
      <c r="E189" s="93">
        <v>34</v>
      </c>
      <c r="F189" s="93">
        <v>23</v>
      </c>
      <c r="G189" s="93">
        <v>17</v>
      </c>
      <c r="H189" s="93">
        <v>22</v>
      </c>
      <c r="I189" s="93">
        <v>19</v>
      </c>
      <c r="J189" s="92">
        <v>179</v>
      </c>
      <c r="K189" s="65"/>
    </row>
    <row r="190" spans="2:11" customFormat="1" ht="15" customHeight="1">
      <c r="B190" s="94">
        <v>2015</v>
      </c>
      <c r="C190" s="93">
        <v>24</v>
      </c>
      <c r="D190" s="93">
        <v>32</v>
      </c>
      <c r="E190" s="93">
        <v>31</v>
      </c>
      <c r="F190" s="93">
        <v>28</v>
      </c>
      <c r="G190" s="93">
        <v>21</v>
      </c>
      <c r="H190" s="93">
        <v>16</v>
      </c>
      <c r="I190" s="93">
        <v>23</v>
      </c>
      <c r="J190" s="92">
        <v>175</v>
      </c>
      <c r="K190" s="65"/>
    </row>
    <row r="191" spans="2:11" customFormat="1" ht="15" customHeight="1">
      <c r="B191" s="94">
        <v>2016</v>
      </c>
      <c r="C191" s="93">
        <v>37</v>
      </c>
      <c r="D191" s="93">
        <v>25</v>
      </c>
      <c r="E191" s="93">
        <v>32</v>
      </c>
      <c r="F191" s="93">
        <v>32</v>
      </c>
      <c r="G191" s="93">
        <v>33</v>
      </c>
      <c r="H191" s="93">
        <v>22</v>
      </c>
      <c r="I191" s="93">
        <v>17</v>
      </c>
      <c r="J191" s="92">
        <v>198</v>
      </c>
      <c r="K191" s="65"/>
    </row>
    <row r="192" spans="2:11" ht="15" customHeight="1">
      <c r="B192" s="94">
        <v>2017</v>
      </c>
      <c r="C192" s="93">
        <f>VLOOKUP($E$3,Rolls!A1:FA90,42,FALSE)</f>
        <v>38</v>
      </c>
      <c r="D192" s="93">
        <f>VLOOKUP($E$3,Rolls!A1:FA90,43,FALSE)</f>
        <v>37</v>
      </c>
      <c r="E192" s="93">
        <f>VLOOKUP($E$3,Rolls!A1:FA90,44,FALSE)</f>
        <v>25</v>
      </c>
      <c r="F192" s="93">
        <f>VLOOKUP($E$3,Rolls!A1:FA90,45,FALSE)</f>
        <v>31</v>
      </c>
      <c r="G192" s="93">
        <f>VLOOKUP($E$3,Rolls!A1:FA90,46,FALSE)</f>
        <v>32</v>
      </c>
      <c r="H192" s="93">
        <f>VLOOKUP($E$3,Rolls!A1:FA90,47,FALSE)</f>
        <v>30</v>
      </c>
      <c r="I192" s="93">
        <f>VLOOKUP($E$3,Rolls!A1:FA90,48,FALSE)</f>
        <v>21</v>
      </c>
      <c r="J192" s="92">
        <f>VLOOKUP($E$3,Rolls!A1:FA90,49,FALSE)</f>
        <v>214</v>
      </c>
      <c r="K192" s="65"/>
    </row>
    <row r="193" spans="2:11" ht="15" customHeight="1">
      <c r="B193" s="94">
        <v>2018</v>
      </c>
      <c r="C193" s="93">
        <f>VLOOKUP($E$3,Rolls!A1:FA90,50,FALSE)</f>
        <v>24</v>
      </c>
      <c r="D193" s="93">
        <f>VLOOKUP($E$3,Rolls!A1:FA90,51,FALSE)</f>
        <v>37</v>
      </c>
      <c r="E193" s="93">
        <f>VLOOKUP($E$3,Rolls!A1:FA90,52,FALSE)</f>
        <v>33</v>
      </c>
      <c r="F193" s="93">
        <f>VLOOKUP($E$3,Rolls!A1:FA90,53,FALSE)</f>
        <v>25</v>
      </c>
      <c r="G193" s="93">
        <f>VLOOKUP($E$3,Rolls!A1:FA90,54,FALSE)</f>
        <v>31</v>
      </c>
      <c r="H193" s="93">
        <f>VLOOKUP($E$3,Rolls!A1:FA90,55,FALSE)</f>
        <v>31</v>
      </c>
      <c r="I193" s="93">
        <f>VLOOKUP($E$3,Rolls!A1:FA90,56,FALSE)</f>
        <v>33</v>
      </c>
      <c r="J193" s="92">
        <f>VLOOKUP($E$3,Rolls!A1:FA90,57,FALSE)</f>
        <v>214</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Q193"/>
  <sheetViews>
    <sheetView view="pageBreakPreview" topLeftCell="B39" zoomScaleNormal="100" zoomScaleSheetLayoutView="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16</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Bruntsfield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630 Pupils (21 classes)</v>
      </c>
      <c r="G12" s="16"/>
      <c r="H12" s="16"/>
    </row>
    <row r="13" spans="2:10" ht="15" customHeight="1">
      <c r="C13" s="16"/>
      <c r="D13" s="16"/>
      <c r="E13" s="16"/>
      <c r="F13" s="16"/>
      <c r="G13" s="16"/>
      <c r="H13" s="16"/>
    </row>
    <row r="14" spans="2:10" ht="15" customHeight="1">
      <c r="B14" s="15" t="str">
        <f>"Figure 1: "&amp;E3&amp;" Roll, 2002-2015"</f>
        <v>Figure 1: Bruntsfield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Bruntsfield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86</v>
      </c>
      <c r="E49" s="108">
        <f>VLOOKUP($E$3,'Catchment Projections'!$A$1:$BU$90,46,FALSE)</f>
        <v>71</v>
      </c>
      <c r="F49" s="108">
        <f>VLOOKUP($E$3,'Catchment Projections'!$A$1:$BU$90,47,FALSE)</f>
        <v>73</v>
      </c>
      <c r="G49" s="108">
        <f>VLOOKUP($E$3,'Catchment Projections'!$A$1:$BU$90,48,FALSE)</f>
        <v>86</v>
      </c>
      <c r="H49" s="133">
        <f>VLOOKUP($E$3,'Catchment Projections'!$A$1:$BU$90,49,FALSE)</f>
        <v>77</v>
      </c>
      <c r="I49" s="133">
        <f>VLOOKUP($E$3,'Catchment Projections'!$A$1:$BU$90,50,FALSE)</f>
        <v>79</v>
      </c>
      <c r="J49" s="133">
        <f>VLOOKUP($E$3,'Catchment Projections'!$A$1:$BU$90,51,FALSE)</f>
        <v>80</v>
      </c>
      <c r="K49" s="133">
        <f>VLOOKUP($E$3,'Catchment Projections'!$A$1:$BU$90,52,FALSE)</f>
        <v>80</v>
      </c>
      <c r="L49" s="133">
        <f>VLOOKUP($E$3,'Catchment Projections'!$A$1:$BU$90,53,FALSE)</f>
        <v>81</v>
      </c>
      <c r="M49" s="133">
        <f>VLOOKUP($E$3,'Catchment Projections'!$A$1:$BU$90,54,FALSE)</f>
        <v>82</v>
      </c>
      <c r="N49" s="133">
        <f>VLOOKUP($E$3,'Catchment Projections'!$A$1:$BU$90,55,FALSE)</f>
        <v>82</v>
      </c>
      <c r="O49" s="133">
        <f>VLOOKUP($E$3,'Catchment Projections'!$A$1:$BU$90,56,FALSE)</f>
        <v>82</v>
      </c>
      <c r="P49" s="133">
        <f>VLOOKUP($E$3,'Catchment Projections'!$A$1:$BU$90,57,FALSE)</f>
        <v>82</v>
      </c>
      <c r="Q49" s="133">
        <f>VLOOKUP($E$3,'Catchment Projections'!$A$1:$BU$90,58,FALSE)</f>
        <v>82</v>
      </c>
    </row>
    <row r="50" spans="2:17" ht="15" customHeight="1" thickBot="1">
      <c r="B50" s="410" t="s">
        <v>141</v>
      </c>
      <c r="C50" s="411"/>
      <c r="D50" s="286">
        <f>VLOOKUP(E3,'Housing Generation'!$A$3:$DQ$90,10,FALSE)</f>
        <v>0</v>
      </c>
      <c r="E50" s="286">
        <f>VLOOKUP(E3,'Housing Generation'!$A$3:$DQ$90,18,FALSE)</f>
        <v>0</v>
      </c>
      <c r="F50" s="286">
        <f>VLOOKUP(E3,'Housing Generation'!$A$3:$DQ$90,26,FALSE)</f>
        <v>0</v>
      </c>
      <c r="G50" s="243">
        <f>VLOOKUP(E3,'Housing Generation'!$A$3:$DQ$90,34,FALSE)</f>
        <v>0</v>
      </c>
      <c r="H50" s="133">
        <f>VLOOKUP(E3,'Housing Generation'!$A$3:$DQ$90,42,FALSE)</f>
        <v>0</v>
      </c>
      <c r="I50" s="133">
        <f>VLOOKUP(E3,'Housing Generation'!$A$3:$DQ$90,50,FALSE)</f>
        <v>1</v>
      </c>
      <c r="J50" s="133">
        <f>VLOOKUP(E3,'Housing Generation'!$A$3:$CK$90,58,FALSE)</f>
        <v>1</v>
      </c>
      <c r="K50" s="133">
        <f>VLOOKUP(E3,'Housing Generation'!$A$3:$CK$90,66,FALSE)</f>
        <v>1</v>
      </c>
      <c r="L50" s="133">
        <f>VLOOKUP(E3,'Housing Generation'!$A$3:$DQ$90,74,FALSE)</f>
        <v>1</v>
      </c>
      <c r="M50" s="133">
        <f>VLOOKUP(E3,'Housing Generation'!$A$3:$DQ$90,82,FALSE)</f>
        <v>1</v>
      </c>
      <c r="N50" s="133">
        <f>VLOOKUP(E3,'Housing Generation'!$A$3:$DQ$90,90,FALSE)</f>
        <v>1</v>
      </c>
      <c r="O50" s="133">
        <f>VLOOKUP(E3,'Housing Generation'!$A$3:$DQ$90,98,FALSE)</f>
        <v>1</v>
      </c>
      <c r="P50" s="133">
        <f>VLOOKUP(E3,'Housing Generation'!$A$3:$DQ$90,106,FALSE)</f>
        <v>1</v>
      </c>
      <c r="Q50" s="133">
        <f>VLOOKUP(E3,'Housing Generation'!$A$3:$DQ$90,114,FALSE)</f>
        <v>1</v>
      </c>
    </row>
    <row r="51" spans="2:17" ht="15" customHeight="1" thickTop="1">
      <c r="B51" s="421" t="s">
        <v>130</v>
      </c>
      <c r="C51" s="422"/>
      <c r="D51" s="47">
        <f t="shared" ref="D51:Q51" si="0">SUM(D49:D50)</f>
        <v>86</v>
      </c>
      <c r="E51" s="47">
        <f t="shared" si="0"/>
        <v>71</v>
      </c>
      <c r="F51" s="80">
        <f t="shared" si="0"/>
        <v>73</v>
      </c>
      <c r="G51" s="244">
        <f t="shared" si="0"/>
        <v>86</v>
      </c>
      <c r="H51" s="71">
        <f t="shared" si="0"/>
        <v>77</v>
      </c>
      <c r="I51" s="71">
        <f t="shared" si="0"/>
        <v>80</v>
      </c>
      <c r="J51" s="71">
        <f t="shared" si="0"/>
        <v>81</v>
      </c>
      <c r="K51" s="71">
        <f t="shared" si="0"/>
        <v>81</v>
      </c>
      <c r="L51" s="71">
        <f t="shared" si="0"/>
        <v>82</v>
      </c>
      <c r="M51" s="71">
        <f t="shared" si="0"/>
        <v>83</v>
      </c>
      <c r="N51" s="71">
        <f t="shared" si="0"/>
        <v>83</v>
      </c>
      <c r="O51" s="71">
        <f t="shared" si="0"/>
        <v>83</v>
      </c>
      <c r="P51" s="71">
        <f t="shared" si="0"/>
        <v>83</v>
      </c>
      <c r="Q51" s="71">
        <f t="shared" si="0"/>
        <v>83</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90</v>
      </c>
      <c r="D60" s="358">
        <f>VLOOKUP($E$3,'Catchment Projections'!$A$1:$BZ$90,74,FALSE)</f>
        <v>82</v>
      </c>
      <c r="E60" s="303">
        <f>D60/C60</f>
        <v>0.91111111111111109</v>
      </c>
      <c r="G60" s="132">
        <v>2014</v>
      </c>
      <c r="H60" s="395">
        <f>VLOOKUP($G$60,$B$177:$C$215, 2, FALSE)</f>
        <v>83</v>
      </c>
      <c r="I60" s="120">
        <f>H60-D60</f>
        <v>1</v>
      </c>
      <c r="J60" s="121">
        <f>I60/H60</f>
        <v>1.2048192771084338E-2</v>
      </c>
    </row>
    <row r="61" spans="2:17" ht="15" customHeight="1">
      <c r="B61" s="132">
        <v>2015</v>
      </c>
      <c r="C61" s="359">
        <f>VLOOKUP($E$3,'Catchment Projections'!$A$1:$BZ$90,41,FALSE)</f>
        <v>67</v>
      </c>
      <c r="D61" s="358">
        <f>VLOOKUP($E$3,'Catchment Projections'!$A$1:$BZ$90,75,FALSE)</f>
        <v>61</v>
      </c>
      <c r="E61" s="303">
        <f>D61/C61</f>
        <v>0.91044776119402981</v>
      </c>
      <c r="G61" s="132">
        <v>2015</v>
      </c>
      <c r="H61" s="395">
        <f>VLOOKUP($G$61,$B$177:$C$215, 2, FALSE)</f>
        <v>71</v>
      </c>
      <c r="I61" s="120">
        <f>H61-D61</f>
        <v>10</v>
      </c>
      <c r="J61" s="121">
        <f>I61/H61</f>
        <v>0.14084507042253522</v>
      </c>
    </row>
    <row r="62" spans="2:17" ht="15" customHeight="1">
      <c r="B62" s="131">
        <v>2016</v>
      </c>
      <c r="C62" s="359">
        <f>VLOOKUP($E$3,'Catchment Projections'!$A$1:$BZ$90,42,FALSE)</f>
        <v>90</v>
      </c>
      <c r="D62" s="358">
        <f>VLOOKUP($E$3,'Catchment Projections'!$A$1:$BZ$90,76,FALSE)</f>
        <v>81</v>
      </c>
      <c r="E62" s="57">
        <f>D62/C62</f>
        <v>0.9</v>
      </c>
      <c r="G62" s="131">
        <v>2016</v>
      </c>
      <c r="H62" s="395">
        <f>VLOOKUP($G$62,$B$177:$C$215, 2, FALSE)</f>
        <v>84</v>
      </c>
      <c r="I62" s="120">
        <f>H62-D62</f>
        <v>3</v>
      </c>
      <c r="J62" s="121">
        <f>I62/H62</f>
        <v>3.5714285714285712E-2</v>
      </c>
    </row>
    <row r="63" spans="2:17" ht="15" customHeight="1">
      <c r="B63" s="114">
        <v>2017</v>
      </c>
      <c r="C63" s="359">
        <f>VLOOKUP($E$3,'Catchment Projections'!$A$1:$BZ$90,43,FALSE)</f>
        <v>82</v>
      </c>
      <c r="D63" s="358">
        <f>VLOOKUP($E$3,'Catchment Projections'!$A$1:$BZ$90,77,FALSE)</f>
        <v>79</v>
      </c>
      <c r="E63" s="304">
        <f>D63/C63</f>
        <v>0.96341463414634143</v>
      </c>
      <c r="G63" s="114">
        <v>2017</v>
      </c>
      <c r="H63" s="395">
        <f>VLOOKUP($G$63,$B$177:$C$215, 2, FALSE)</f>
        <v>85</v>
      </c>
      <c r="I63" s="120">
        <f>H63-D63</f>
        <v>6</v>
      </c>
      <c r="J63" s="121">
        <f>I63/H63</f>
        <v>7.0588235294117646E-2</v>
      </c>
    </row>
    <row r="64" spans="2:17" ht="15" customHeight="1">
      <c r="B64" s="114">
        <v>2018</v>
      </c>
      <c r="C64" s="359">
        <f>VLOOKUP($E$3,'Catchment Projections'!$A$1:$BZ$90,44,FALSE)</f>
        <v>69</v>
      </c>
      <c r="D64" s="358">
        <f>VLOOKUP($E$3,'Catchment Projections'!$A$1:$BZ$90,78,FALSE)</f>
        <v>62</v>
      </c>
      <c r="E64" s="305">
        <f>D64/C64</f>
        <v>0.89855072463768115</v>
      </c>
      <c r="G64" s="114">
        <v>2018</v>
      </c>
      <c r="H64" s="395">
        <f>VLOOKUP($G$64,$B$177:$C$215, 2, FALSE)</f>
        <v>72</v>
      </c>
      <c r="I64" s="120">
        <f>H64-D64</f>
        <v>10</v>
      </c>
      <c r="J64" s="121">
        <f>I64/H64</f>
        <v>0.1388888888888889</v>
      </c>
    </row>
    <row r="65" spans="2:10" ht="15" customHeight="1">
      <c r="B65" s="412" t="s">
        <v>136</v>
      </c>
      <c r="C65" s="413"/>
      <c r="D65" s="414"/>
      <c r="E65" s="137">
        <f>IF((AVERAGE(E62:E64))="#DIV/0!","n/a",(AVERAGE(E62:E64)))</f>
        <v>0.92065511959467417</v>
      </c>
      <c r="G65" s="415" t="s">
        <v>137</v>
      </c>
      <c r="H65" s="416"/>
      <c r="I65" s="138">
        <f>MEDIAN(I60:I64)</f>
        <v>6</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86</v>
      </c>
      <c r="D70" s="408"/>
      <c r="E70" s="122">
        <f>E65</f>
        <v>0.92065511959467417</v>
      </c>
      <c r="F70" s="120">
        <f t="shared" ref="F70:F83" si="1">C70*$E$65</f>
        <v>79.176340285141976</v>
      </c>
      <c r="G70" s="118">
        <f>IF(F70&lt;26,25,IF(F70&gt;135,140,IF(F70&gt;130,135,IF(F70&gt;125,130,IF(F70&gt;120,125,IF(F70&gt;115,120,IF(F70&gt;110,115,IF(F70&gt;105,110,IF(F70&gt;100,105,IF(F70&gt;99,100,IF(F70&gt;90,99,IF(F70&gt;75,90,IF(F70&gt;72,75,IF(F70&gt;66,72,IF(F70&gt;60,66,IF(F70&gt;50,60,IF(F70&gt;30,50,IF(F70&gt;25,30,0))))))))))))))))))</f>
        <v>90</v>
      </c>
      <c r="H70" s="119">
        <f t="shared" ref="H70:H83" si="2">G70-F70</f>
        <v>10.823659714858024</v>
      </c>
      <c r="I70" s="118" t="str">
        <f>IF(I$65&lt;H70, "NO", "YES")</f>
        <v>NO</v>
      </c>
      <c r="J70" s="117">
        <f t="shared" ref="J70:J83" si="3">IF(I70="YES",G70,(MIN((SUM(F70,$I$65)),G70)))</f>
        <v>85.176340285141976</v>
      </c>
    </row>
    <row r="71" spans="2:10" ht="15" customHeight="1">
      <c r="B71" s="114">
        <v>2020</v>
      </c>
      <c r="C71" s="433">
        <f>E51</f>
        <v>71</v>
      </c>
      <c r="D71" s="408"/>
      <c r="E71" s="121">
        <f>E65</f>
        <v>0.92065511959467417</v>
      </c>
      <c r="F71" s="120">
        <f t="shared" si="1"/>
        <v>65.366513491221866</v>
      </c>
      <c r="G71" s="118">
        <f t="shared" ref="G71:G83" si="4">IF(F71&lt;26,25,IF(F71&gt;135,140,IF(F71&gt;130,135,IF(F71&gt;125,130,IF(F71&gt;120,125,IF(F71&gt;115,120,IF(F71&gt;110,115,IF(F71&gt;105,110,IF(F71&gt;100,105,IF(F71&gt;99,100,IF(F71&gt;90,99,IF(F71&gt;75,90,IF(F71&gt;72,75,IF(F71&gt;66,72,IF(F71&gt;60,66,IF(F71&gt;50,60,IF(F71&gt;30,50,IF(F71&gt;25,30,0))))))))))))))))))</f>
        <v>66</v>
      </c>
      <c r="H71" s="119">
        <f t="shared" si="2"/>
        <v>0.63348650877813384</v>
      </c>
      <c r="I71" s="118" t="str">
        <f t="shared" ref="I71:I83" si="5">IF(I$65&lt;H71, "NO", "YES")</f>
        <v>YES</v>
      </c>
      <c r="J71" s="117">
        <f t="shared" si="3"/>
        <v>66</v>
      </c>
    </row>
    <row r="72" spans="2:10" ht="15" customHeight="1">
      <c r="B72" s="114">
        <v>2021</v>
      </c>
      <c r="C72" s="430">
        <f>F51</f>
        <v>73</v>
      </c>
      <c r="D72" s="431"/>
      <c r="E72" s="121">
        <f>E65</f>
        <v>0.92065511959467417</v>
      </c>
      <c r="F72" s="120">
        <f t="shared" si="1"/>
        <v>67.207823730411221</v>
      </c>
      <c r="G72" s="118">
        <f t="shared" si="4"/>
        <v>72</v>
      </c>
      <c r="H72" s="119">
        <f t="shared" si="2"/>
        <v>4.7921762695887793</v>
      </c>
      <c r="I72" s="118" t="str">
        <f t="shared" si="5"/>
        <v>YES</v>
      </c>
      <c r="J72" s="117">
        <f t="shared" si="3"/>
        <v>72</v>
      </c>
    </row>
    <row r="73" spans="2:10" ht="15" customHeight="1">
      <c r="B73" s="114">
        <v>2022</v>
      </c>
      <c r="C73" s="430">
        <f>G51</f>
        <v>86</v>
      </c>
      <c r="D73" s="431"/>
      <c r="E73" s="121">
        <f>E65</f>
        <v>0.92065511959467417</v>
      </c>
      <c r="F73" s="120">
        <f t="shared" si="1"/>
        <v>79.176340285141976</v>
      </c>
      <c r="G73" s="118">
        <f t="shared" si="4"/>
        <v>90</v>
      </c>
      <c r="H73" s="119">
        <f t="shared" si="2"/>
        <v>10.823659714858024</v>
      </c>
      <c r="I73" s="118" t="str">
        <f t="shared" si="5"/>
        <v>NO</v>
      </c>
      <c r="J73" s="117">
        <f t="shared" si="3"/>
        <v>85.176340285141976</v>
      </c>
    </row>
    <row r="74" spans="2:10" ht="15" customHeight="1">
      <c r="B74" s="114">
        <v>2023</v>
      </c>
      <c r="C74" s="430">
        <f>H51</f>
        <v>77</v>
      </c>
      <c r="D74" s="431"/>
      <c r="E74" s="121">
        <f>E65</f>
        <v>0.92065511959467417</v>
      </c>
      <c r="F74" s="120">
        <f t="shared" si="1"/>
        <v>70.890444208789916</v>
      </c>
      <c r="G74" s="118">
        <f t="shared" si="4"/>
        <v>72</v>
      </c>
      <c r="H74" s="119">
        <f t="shared" si="2"/>
        <v>1.1095557912100844</v>
      </c>
      <c r="I74" s="118" t="str">
        <f t="shared" si="5"/>
        <v>YES</v>
      </c>
      <c r="J74" s="117">
        <f t="shared" si="3"/>
        <v>72</v>
      </c>
    </row>
    <row r="75" spans="2:10" ht="15" customHeight="1">
      <c r="B75" s="114">
        <v>2024</v>
      </c>
      <c r="C75" s="430">
        <f>I51</f>
        <v>80</v>
      </c>
      <c r="D75" s="431"/>
      <c r="E75" s="121">
        <f>E65</f>
        <v>0.92065511959467417</v>
      </c>
      <c r="F75" s="120">
        <f t="shared" si="1"/>
        <v>73.652409567573926</v>
      </c>
      <c r="G75" s="118">
        <f t="shared" si="4"/>
        <v>75</v>
      </c>
      <c r="H75" s="119">
        <f t="shared" si="2"/>
        <v>1.3475904324260739</v>
      </c>
      <c r="I75" s="118" t="str">
        <f t="shared" si="5"/>
        <v>YES</v>
      </c>
      <c r="J75" s="117">
        <f t="shared" si="3"/>
        <v>75</v>
      </c>
    </row>
    <row r="76" spans="2:10" ht="15" customHeight="1">
      <c r="B76" s="114">
        <v>2025</v>
      </c>
      <c r="C76" s="430">
        <f>J51</f>
        <v>81</v>
      </c>
      <c r="D76" s="431"/>
      <c r="E76" s="121">
        <f>E65</f>
        <v>0.92065511959467417</v>
      </c>
      <c r="F76" s="120">
        <f t="shared" si="1"/>
        <v>74.57306468716861</v>
      </c>
      <c r="G76" s="118">
        <f t="shared" si="4"/>
        <v>75</v>
      </c>
      <c r="H76" s="119">
        <f t="shared" si="2"/>
        <v>0.42693531283138952</v>
      </c>
      <c r="I76" s="118" t="str">
        <f t="shared" si="5"/>
        <v>YES</v>
      </c>
      <c r="J76" s="117">
        <f t="shared" si="3"/>
        <v>75</v>
      </c>
    </row>
    <row r="77" spans="2:10" ht="15" customHeight="1">
      <c r="B77" s="114">
        <v>2026</v>
      </c>
      <c r="C77" s="430">
        <f>K51</f>
        <v>81</v>
      </c>
      <c r="D77" s="431"/>
      <c r="E77" s="121">
        <f>E65</f>
        <v>0.92065511959467417</v>
      </c>
      <c r="F77" s="120">
        <f t="shared" si="1"/>
        <v>74.57306468716861</v>
      </c>
      <c r="G77" s="118">
        <f t="shared" si="4"/>
        <v>75</v>
      </c>
      <c r="H77" s="119">
        <f t="shared" si="2"/>
        <v>0.42693531283138952</v>
      </c>
      <c r="I77" s="118" t="str">
        <f t="shared" si="5"/>
        <v>YES</v>
      </c>
      <c r="J77" s="117">
        <f t="shared" si="3"/>
        <v>75</v>
      </c>
    </row>
    <row r="78" spans="2:10" ht="15" customHeight="1">
      <c r="B78" s="114">
        <v>2027</v>
      </c>
      <c r="C78" s="430">
        <f>L51</f>
        <v>82</v>
      </c>
      <c r="D78" s="431"/>
      <c r="E78" s="121">
        <f>E65</f>
        <v>0.92065511959467417</v>
      </c>
      <c r="F78" s="120">
        <f t="shared" si="1"/>
        <v>75.493719806763281</v>
      </c>
      <c r="G78" s="118">
        <f t="shared" si="4"/>
        <v>90</v>
      </c>
      <c r="H78" s="119">
        <f t="shared" si="2"/>
        <v>14.506280193236719</v>
      </c>
      <c r="I78" s="118" t="str">
        <f t="shared" si="5"/>
        <v>NO</v>
      </c>
      <c r="J78" s="117">
        <f t="shared" si="3"/>
        <v>81.493719806763281</v>
      </c>
    </row>
    <row r="79" spans="2:10" ht="15" customHeight="1">
      <c r="B79" s="114">
        <v>2028</v>
      </c>
      <c r="C79" s="430">
        <f>M51</f>
        <v>83</v>
      </c>
      <c r="D79" s="431"/>
      <c r="E79" s="121">
        <f t="shared" ref="E79:E83" si="6">$E$65</f>
        <v>0.92065511959467417</v>
      </c>
      <c r="F79" s="120">
        <f t="shared" si="1"/>
        <v>76.414374926357951</v>
      </c>
      <c r="G79" s="118">
        <f t="shared" si="4"/>
        <v>90</v>
      </c>
      <c r="H79" s="119">
        <f t="shared" si="2"/>
        <v>13.585625073642049</v>
      </c>
      <c r="I79" s="118" t="str">
        <f t="shared" si="5"/>
        <v>NO</v>
      </c>
      <c r="J79" s="117">
        <f t="shared" si="3"/>
        <v>82.414374926357951</v>
      </c>
    </row>
    <row r="80" spans="2:10" ht="15" customHeight="1">
      <c r="B80" s="114">
        <v>2029</v>
      </c>
      <c r="C80" s="430">
        <f>N51</f>
        <v>83</v>
      </c>
      <c r="D80" s="431"/>
      <c r="E80" s="121">
        <f t="shared" si="6"/>
        <v>0.92065511959467417</v>
      </c>
      <c r="F80" s="120">
        <f t="shared" si="1"/>
        <v>76.414374926357951</v>
      </c>
      <c r="G80" s="118">
        <f t="shared" si="4"/>
        <v>90</v>
      </c>
      <c r="H80" s="119">
        <f t="shared" si="2"/>
        <v>13.585625073642049</v>
      </c>
      <c r="I80" s="118" t="str">
        <f t="shared" si="5"/>
        <v>NO</v>
      </c>
      <c r="J80" s="117">
        <f t="shared" si="3"/>
        <v>82.414374926357951</v>
      </c>
    </row>
    <row r="81" spans="2:10" ht="15" customHeight="1">
      <c r="B81" s="114">
        <v>2030</v>
      </c>
      <c r="C81" s="430">
        <f>O51</f>
        <v>83</v>
      </c>
      <c r="D81" s="431"/>
      <c r="E81" s="121">
        <f t="shared" si="6"/>
        <v>0.92065511959467417</v>
      </c>
      <c r="F81" s="120">
        <f t="shared" si="1"/>
        <v>76.414374926357951</v>
      </c>
      <c r="G81" s="118">
        <f t="shared" si="4"/>
        <v>90</v>
      </c>
      <c r="H81" s="119">
        <f t="shared" si="2"/>
        <v>13.585625073642049</v>
      </c>
      <c r="I81" s="118" t="str">
        <f t="shared" si="5"/>
        <v>NO</v>
      </c>
      <c r="J81" s="117">
        <f t="shared" si="3"/>
        <v>82.414374926357951</v>
      </c>
    </row>
    <row r="82" spans="2:10" ht="15" customHeight="1">
      <c r="B82" s="114">
        <v>2031</v>
      </c>
      <c r="C82" s="430">
        <f>P51</f>
        <v>83</v>
      </c>
      <c r="D82" s="431"/>
      <c r="E82" s="121">
        <f t="shared" si="6"/>
        <v>0.92065511959467417</v>
      </c>
      <c r="F82" s="120">
        <f t="shared" si="1"/>
        <v>76.414374926357951</v>
      </c>
      <c r="G82" s="118">
        <f t="shared" si="4"/>
        <v>90</v>
      </c>
      <c r="H82" s="119">
        <f t="shared" si="2"/>
        <v>13.585625073642049</v>
      </c>
      <c r="I82" s="118" t="str">
        <f t="shared" si="5"/>
        <v>NO</v>
      </c>
      <c r="J82" s="117">
        <f t="shared" si="3"/>
        <v>82.414374926357951</v>
      </c>
    </row>
    <row r="83" spans="2:10" ht="15" customHeight="1">
      <c r="B83" s="114">
        <v>2032</v>
      </c>
      <c r="C83" s="430">
        <f>Q51</f>
        <v>83</v>
      </c>
      <c r="D83" s="431"/>
      <c r="E83" s="121">
        <f t="shared" si="6"/>
        <v>0.92065511959467417</v>
      </c>
      <c r="F83" s="120">
        <f t="shared" si="1"/>
        <v>76.414374926357951</v>
      </c>
      <c r="G83" s="118">
        <f t="shared" si="4"/>
        <v>90</v>
      </c>
      <c r="H83" s="119">
        <f t="shared" si="2"/>
        <v>13.585625073642049</v>
      </c>
      <c r="I83" s="118" t="str">
        <f t="shared" si="5"/>
        <v>NO</v>
      </c>
      <c r="J83" s="117">
        <f t="shared" si="3"/>
        <v>82.414374926357951</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Bruntsfield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74</v>
      </c>
      <c r="D91" s="112">
        <f t="shared" ref="D91:J91" si="7">D188</f>
        <v>90</v>
      </c>
      <c r="E91" s="112">
        <f t="shared" si="7"/>
        <v>90</v>
      </c>
      <c r="F91" s="112">
        <f t="shared" si="7"/>
        <v>62</v>
      </c>
      <c r="G91" s="112">
        <f t="shared" si="7"/>
        <v>73</v>
      </c>
      <c r="H91" s="112">
        <f t="shared" si="7"/>
        <v>78</v>
      </c>
      <c r="I91" s="112">
        <f t="shared" si="7"/>
        <v>55</v>
      </c>
      <c r="J91" s="213">
        <f t="shared" si="7"/>
        <v>522</v>
      </c>
    </row>
    <row r="92" spans="2:10" ht="15" customHeight="1">
      <c r="B92" s="114">
        <v>2014</v>
      </c>
      <c r="C92" s="112">
        <f>C189</f>
        <v>83</v>
      </c>
      <c r="D92" s="112">
        <f t="shared" ref="D92:J92" si="8">D189</f>
        <v>75</v>
      </c>
      <c r="E92" s="112">
        <f t="shared" si="8"/>
        <v>90</v>
      </c>
      <c r="F92" s="112">
        <f t="shared" si="8"/>
        <v>95</v>
      </c>
      <c r="G92" s="112">
        <f t="shared" si="8"/>
        <v>64</v>
      </c>
      <c r="H92" s="112">
        <f t="shared" si="8"/>
        <v>72</v>
      </c>
      <c r="I92" s="112">
        <f t="shared" si="8"/>
        <v>77</v>
      </c>
      <c r="J92" s="213">
        <f t="shared" si="8"/>
        <v>556</v>
      </c>
    </row>
    <row r="93" spans="2:10" ht="15" customHeight="1">
      <c r="B93" s="114">
        <v>2015</v>
      </c>
      <c r="C93" s="112">
        <f>C190</f>
        <v>71</v>
      </c>
      <c r="D93" s="112">
        <f t="shared" ref="D93:J93" si="9">D190</f>
        <v>82</v>
      </c>
      <c r="E93" s="112">
        <f t="shared" si="9"/>
        <v>74</v>
      </c>
      <c r="F93" s="112">
        <f t="shared" si="9"/>
        <v>93</v>
      </c>
      <c r="G93" s="112">
        <f t="shared" si="9"/>
        <v>98</v>
      </c>
      <c r="H93" s="112">
        <f t="shared" si="9"/>
        <v>66</v>
      </c>
      <c r="I93" s="112">
        <f t="shared" si="9"/>
        <v>70</v>
      </c>
      <c r="J93" s="213">
        <f t="shared" si="9"/>
        <v>554</v>
      </c>
    </row>
    <row r="94" spans="2:10" ht="15" customHeight="1">
      <c r="B94" s="114">
        <v>2016</v>
      </c>
      <c r="C94" s="112">
        <f>C191</f>
        <v>84</v>
      </c>
      <c r="D94" s="112">
        <f t="shared" ref="D94:J94" si="10">D191</f>
        <v>74</v>
      </c>
      <c r="E94" s="112">
        <f t="shared" si="10"/>
        <v>90</v>
      </c>
      <c r="F94" s="112">
        <f t="shared" si="10"/>
        <v>83</v>
      </c>
      <c r="G94" s="112">
        <f t="shared" si="10"/>
        <v>94</v>
      </c>
      <c r="H94" s="112">
        <f t="shared" si="10"/>
        <v>99</v>
      </c>
      <c r="I94" s="112">
        <f t="shared" si="10"/>
        <v>65</v>
      </c>
      <c r="J94" s="213">
        <f t="shared" si="10"/>
        <v>589</v>
      </c>
    </row>
    <row r="95" spans="2:10" ht="15" customHeight="1">
      <c r="B95" s="114">
        <v>2017</v>
      </c>
      <c r="C95" s="112">
        <f>C192</f>
        <v>85</v>
      </c>
      <c r="D95" s="112">
        <f t="shared" ref="D95:J95" si="11">D192</f>
        <v>83</v>
      </c>
      <c r="E95" s="112">
        <f t="shared" si="11"/>
        <v>80</v>
      </c>
      <c r="F95" s="112">
        <f t="shared" si="11"/>
        <v>95</v>
      </c>
      <c r="G95" s="112">
        <f t="shared" si="11"/>
        <v>86</v>
      </c>
      <c r="H95" s="112">
        <f t="shared" si="11"/>
        <v>97</v>
      </c>
      <c r="I95" s="112">
        <f t="shared" si="11"/>
        <v>96</v>
      </c>
      <c r="J95" s="213">
        <f t="shared" si="11"/>
        <v>622</v>
      </c>
    </row>
    <row r="96" spans="2:10" ht="15" customHeight="1">
      <c r="B96" s="307">
        <v>2018</v>
      </c>
      <c r="C96" s="112">
        <f t="shared" ref="C96:J96" si="12">C193</f>
        <v>72</v>
      </c>
      <c r="D96" s="112">
        <f t="shared" si="12"/>
        <v>77</v>
      </c>
      <c r="E96" s="112">
        <f t="shared" si="12"/>
        <v>83</v>
      </c>
      <c r="F96" s="112">
        <f t="shared" si="12"/>
        <v>87</v>
      </c>
      <c r="G96" s="112">
        <f t="shared" si="12"/>
        <v>97</v>
      </c>
      <c r="H96" s="112">
        <f t="shared" si="12"/>
        <v>90</v>
      </c>
      <c r="I96" s="112">
        <f t="shared" si="12"/>
        <v>99</v>
      </c>
      <c r="J96" s="213">
        <f t="shared" si="12"/>
        <v>605</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1.1904761904761904E-2</v>
      </c>
      <c r="E98" s="210">
        <f t="shared" ref="E98:I98" si="13">MEDIAN(((D91-E92)/D91),((D92-E93)/D92),((D93-E94)/D93),((D94-E95)/D94),((D95-E96)/D95))</f>
        <v>0</v>
      </c>
      <c r="F98" s="210">
        <f t="shared" si="13"/>
        <v>-5.5555555555555552E-2</v>
      </c>
      <c r="G98" s="210">
        <f t="shared" si="13"/>
        <v>-3.1578947368421054E-2</v>
      </c>
      <c r="H98" s="210">
        <f t="shared" si="13"/>
        <v>-3.125E-2</v>
      </c>
      <c r="I98" s="210">
        <f t="shared" si="13"/>
        <v>1.5151515151515152E-2</v>
      </c>
    </row>
    <row r="99" spans="2:10" ht="15" customHeight="1">
      <c r="B99" s="59"/>
      <c r="C99" s="60"/>
      <c r="D99" s="61"/>
      <c r="E99" s="61"/>
      <c r="F99" s="61"/>
      <c r="G99" s="61"/>
      <c r="H99" s="61"/>
      <c r="I99" s="61"/>
      <c r="J99" s="58"/>
    </row>
    <row r="100" spans="2:10" ht="15" customHeight="1">
      <c r="B100" s="15" t="str">
        <f>"Table 4B: "&amp;E3&amp;" Projected Roll by Stage (incorporating Projected P1 and Drop-Off Rates), 2019-2032"</f>
        <v>Table 4B: Bruntsfield Primary School Projected Roll by Stage (incorporating Projected P1 and Drop-Off Rates), 2019-2032</v>
      </c>
      <c r="F100" s="14"/>
      <c r="G100" s="14"/>
    </row>
    <row r="101" spans="2:10" ht="15" customHeight="1">
      <c r="F101" s="14"/>
      <c r="G101" s="14"/>
    </row>
    <row r="102" spans="2:10" ht="15" customHeight="1">
      <c r="B102" s="115"/>
      <c r="C102" s="109" t="s">
        <v>1</v>
      </c>
      <c r="D102" s="109" t="s">
        <v>2</v>
      </c>
      <c r="E102" s="109" t="s">
        <v>3</v>
      </c>
      <c r="F102" s="109" t="s">
        <v>4</v>
      </c>
      <c r="G102" s="109" t="s">
        <v>5</v>
      </c>
      <c r="H102" s="109" t="s">
        <v>6</v>
      </c>
      <c r="I102" s="109" t="s">
        <v>7</v>
      </c>
      <c r="J102" s="109" t="s">
        <v>8</v>
      </c>
    </row>
    <row r="103" spans="2:10" ht="15" customHeight="1">
      <c r="B103" s="114">
        <v>2019</v>
      </c>
      <c r="C103" s="113">
        <f t="shared" ref="C103:C116" si="14">J70</f>
        <v>85.176340285141976</v>
      </c>
      <c r="D103" s="324">
        <f>ROUND((C96)-(C96*$D$98),0)</f>
        <v>71</v>
      </c>
      <c r="E103" s="324">
        <f>ROUND((D96)-(D96*$E$98),0)</f>
        <v>77</v>
      </c>
      <c r="F103" s="324">
        <f>ROUND((E96)-(E96*$F$98),0)</f>
        <v>88</v>
      </c>
      <c r="G103" s="324">
        <f>ROUND((F96)-(F96*$G$98),0)</f>
        <v>90</v>
      </c>
      <c r="H103" s="324">
        <f>ROUND((G96)-(G96*$H$98),0)</f>
        <v>100</v>
      </c>
      <c r="I103" s="324">
        <f>ROUND((H96)-(H96*$I$98),0)</f>
        <v>89</v>
      </c>
      <c r="J103" s="111">
        <f t="shared" ref="J103:J116" si="15">SUM(C103:I103)</f>
        <v>600.17634028514203</v>
      </c>
    </row>
    <row r="104" spans="2:10" ht="15" customHeight="1">
      <c r="B104" s="114">
        <v>2020</v>
      </c>
      <c r="C104" s="113">
        <f t="shared" si="14"/>
        <v>66</v>
      </c>
      <c r="D104" s="324">
        <f>ROUND((C103-E50)-(C103*$D$98),0)</f>
        <v>84</v>
      </c>
      <c r="E104" s="112">
        <f t="shared" ref="E104:E116" si="16">ROUND((D103)-(D103*$E$98),0)</f>
        <v>71</v>
      </c>
      <c r="F104" s="112">
        <f t="shared" ref="F104:F116" si="17">ROUND((E103)-(E103*$F$98),0)</f>
        <v>81</v>
      </c>
      <c r="G104" s="112">
        <f t="shared" ref="G104:G116" si="18">ROUND((F103)-(F103*$G$98),0)</f>
        <v>91</v>
      </c>
      <c r="H104" s="112">
        <f t="shared" ref="H104:H116" si="19">ROUND((G103)-(G103*$H$98),0)</f>
        <v>93</v>
      </c>
      <c r="I104" s="112">
        <f t="shared" ref="I104:I116" si="20">ROUND((H103)-(H103*$I$98),0)</f>
        <v>98</v>
      </c>
      <c r="J104" s="111">
        <f t="shared" si="15"/>
        <v>584</v>
      </c>
    </row>
    <row r="105" spans="2:10" ht="15" customHeight="1">
      <c r="B105" s="114">
        <v>2021</v>
      </c>
      <c r="C105" s="113">
        <f t="shared" si="14"/>
        <v>72</v>
      </c>
      <c r="D105" s="324">
        <f>ROUND((C104-F50)-(C104*$D$98),0)</f>
        <v>65</v>
      </c>
      <c r="E105" s="112">
        <f t="shared" si="16"/>
        <v>84</v>
      </c>
      <c r="F105" s="112">
        <f t="shared" si="17"/>
        <v>75</v>
      </c>
      <c r="G105" s="112">
        <f t="shared" si="18"/>
        <v>84</v>
      </c>
      <c r="H105" s="112">
        <f t="shared" si="19"/>
        <v>94</v>
      </c>
      <c r="I105" s="112">
        <f t="shared" si="20"/>
        <v>92</v>
      </c>
      <c r="J105" s="111">
        <f t="shared" si="15"/>
        <v>566</v>
      </c>
    </row>
    <row r="106" spans="2:10" ht="15" customHeight="1">
      <c r="B106" s="114">
        <v>2022</v>
      </c>
      <c r="C106" s="113">
        <f t="shared" si="14"/>
        <v>85.176340285141976</v>
      </c>
      <c r="D106" s="324">
        <f>ROUND((C105-G50)-(C105*$D$98),0)</f>
        <v>71</v>
      </c>
      <c r="E106" s="112">
        <f t="shared" si="16"/>
        <v>65</v>
      </c>
      <c r="F106" s="112">
        <f t="shared" si="17"/>
        <v>89</v>
      </c>
      <c r="G106" s="112">
        <f t="shared" si="18"/>
        <v>77</v>
      </c>
      <c r="H106" s="112">
        <f t="shared" si="19"/>
        <v>87</v>
      </c>
      <c r="I106" s="112">
        <f t="shared" si="20"/>
        <v>93</v>
      </c>
      <c r="J106" s="111">
        <f t="shared" si="15"/>
        <v>567.17634028514203</v>
      </c>
    </row>
    <row r="107" spans="2:10" ht="15" customHeight="1">
      <c r="B107" s="114">
        <v>2023</v>
      </c>
      <c r="C107" s="113">
        <f t="shared" si="14"/>
        <v>72</v>
      </c>
      <c r="D107" s="324">
        <f>ROUND((C106-H50)-(C106*$D$98),0)</f>
        <v>84</v>
      </c>
      <c r="E107" s="112">
        <f t="shared" si="16"/>
        <v>71</v>
      </c>
      <c r="F107" s="112">
        <f t="shared" si="17"/>
        <v>69</v>
      </c>
      <c r="G107" s="112">
        <f t="shared" si="18"/>
        <v>92</v>
      </c>
      <c r="H107" s="112">
        <f t="shared" si="19"/>
        <v>79</v>
      </c>
      <c r="I107" s="112">
        <f t="shared" si="20"/>
        <v>86</v>
      </c>
      <c r="J107" s="111">
        <f t="shared" si="15"/>
        <v>553</v>
      </c>
    </row>
    <row r="108" spans="2:10" ht="15" customHeight="1">
      <c r="B108" s="114">
        <v>2024</v>
      </c>
      <c r="C108" s="113">
        <f t="shared" si="14"/>
        <v>75</v>
      </c>
      <c r="D108" s="324">
        <f>ROUND((C107-I50)-(C107*$D$98),0)</f>
        <v>70</v>
      </c>
      <c r="E108" s="112">
        <f t="shared" si="16"/>
        <v>84</v>
      </c>
      <c r="F108" s="112">
        <f t="shared" si="17"/>
        <v>75</v>
      </c>
      <c r="G108" s="112">
        <f t="shared" si="18"/>
        <v>71</v>
      </c>
      <c r="H108" s="112">
        <f t="shared" si="19"/>
        <v>95</v>
      </c>
      <c r="I108" s="112">
        <f t="shared" si="20"/>
        <v>78</v>
      </c>
      <c r="J108" s="111">
        <f t="shared" si="15"/>
        <v>548</v>
      </c>
    </row>
    <row r="109" spans="2:10" ht="15" customHeight="1">
      <c r="B109" s="114">
        <v>2025</v>
      </c>
      <c r="C109" s="113">
        <f t="shared" si="14"/>
        <v>75</v>
      </c>
      <c r="D109" s="324">
        <f>ROUND((C108-J50)-(C108*$D$98),0)</f>
        <v>73</v>
      </c>
      <c r="E109" s="112">
        <f t="shared" si="16"/>
        <v>70</v>
      </c>
      <c r="F109" s="112">
        <f t="shared" si="17"/>
        <v>89</v>
      </c>
      <c r="G109" s="112">
        <f t="shared" si="18"/>
        <v>77</v>
      </c>
      <c r="H109" s="112">
        <f t="shared" si="19"/>
        <v>73</v>
      </c>
      <c r="I109" s="112">
        <f t="shared" si="20"/>
        <v>94</v>
      </c>
      <c r="J109" s="111">
        <f t="shared" si="15"/>
        <v>551</v>
      </c>
    </row>
    <row r="110" spans="2:10" ht="15" customHeight="1">
      <c r="B110" s="114">
        <v>2026</v>
      </c>
      <c r="C110" s="113">
        <f t="shared" si="14"/>
        <v>75</v>
      </c>
      <c r="D110" s="324">
        <f>ROUND((C109-K50)-(C109*$D$98),0)</f>
        <v>73</v>
      </c>
      <c r="E110" s="112">
        <f t="shared" si="16"/>
        <v>73</v>
      </c>
      <c r="F110" s="112">
        <f t="shared" si="17"/>
        <v>74</v>
      </c>
      <c r="G110" s="112">
        <f t="shared" si="18"/>
        <v>92</v>
      </c>
      <c r="H110" s="112">
        <f t="shared" si="19"/>
        <v>79</v>
      </c>
      <c r="I110" s="112">
        <f t="shared" si="20"/>
        <v>72</v>
      </c>
      <c r="J110" s="111">
        <f t="shared" si="15"/>
        <v>538</v>
      </c>
    </row>
    <row r="111" spans="2:10" ht="15" customHeight="1">
      <c r="B111" s="114">
        <v>2027</v>
      </c>
      <c r="C111" s="113">
        <f t="shared" si="14"/>
        <v>81.493719806763281</v>
      </c>
      <c r="D111" s="324">
        <f>ROUND((C110-L50)-(C110*$D$98),0)</f>
        <v>73</v>
      </c>
      <c r="E111" s="112">
        <f t="shared" si="16"/>
        <v>73</v>
      </c>
      <c r="F111" s="112">
        <f t="shared" si="17"/>
        <v>77</v>
      </c>
      <c r="G111" s="112">
        <f t="shared" si="18"/>
        <v>76</v>
      </c>
      <c r="H111" s="112">
        <f t="shared" si="19"/>
        <v>95</v>
      </c>
      <c r="I111" s="112">
        <f t="shared" si="20"/>
        <v>78</v>
      </c>
      <c r="J111" s="111">
        <f t="shared" si="15"/>
        <v>553.49371980676324</v>
      </c>
    </row>
    <row r="112" spans="2:10" ht="15" customHeight="1">
      <c r="B112" s="114">
        <v>2028</v>
      </c>
      <c r="C112" s="113">
        <f t="shared" si="14"/>
        <v>82.414374926357951</v>
      </c>
      <c r="D112" s="324">
        <f>ROUND((C111-M50)-(C111*$D$98),0)</f>
        <v>80</v>
      </c>
      <c r="E112" s="112">
        <f t="shared" si="16"/>
        <v>73</v>
      </c>
      <c r="F112" s="112">
        <f t="shared" si="17"/>
        <v>77</v>
      </c>
      <c r="G112" s="112">
        <f t="shared" si="18"/>
        <v>79</v>
      </c>
      <c r="H112" s="112">
        <f t="shared" si="19"/>
        <v>78</v>
      </c>
      <c r="I112" s="112">
        <f t="shared" si="20"/>
        <v>94</v>
      </c>
      <c r="J112" s="111">
        <f t="shared" si="15"/>
        <v>563.41437492635794</v>
      </c>
    </row>
    <row r="113" spans="2:10" ht="15" customHeight="1">
      <c r="B113" s="114">
        <v>2029</v>
      </c>
      <c r="C113" s="113">
        <f t="shared" si="14"/>
        <v>82.414374926357951</v>
      </c>
      <c r="D113" s="324">
        <f>ROUND((C112-N50)-(C112*$D$98),0)</f>
        <v>80</v>
      </c>
      <c r="E113" s="112">
        <f t="shared" si="16"/>
        <v>80</v>
      </c>
      <c r="F113" s="112">
        <f t="shared" si="17"/>
        <v>77</v>
      </c>
      <c r="G113" s="112">
        <f t="shared" si="18"/>
        <v>79</v>
      </c>
      <c r="H113" s="112">
        <f t="shared" si="19"/>
        <v>81</v>
      </c>
      <c r="I113" s="112">
        <f t="shared" si="20"/>
        <v>77</v>
      </c>
      <c r="J113" s="111">
        <f t="shared" si="15"/>
        <v>556.41437492635794</v>
      </c>
    </row>
    <row r="114" spans="2:10" ht="15" customHeight="1">
      <c r="B114" s="114">
        <v>2030</v>
      </c>
      <c r="C114" s="113">
        <f t="shared" si="14"/>
        <v>82.414374926357951</v>
      </c>
      <c r="D114" s="324">
        <f>ROUND((C113-O50)-(C113*$D$98),0)</f>
        <v>80</v>
      </c>
      <c r="E114" s="112">
        <f t="shared" si="16"/>
        <v>80</v>
      </c>
      <c r="F114" s="112">
        <f t="shared" si="17"/>
        <v>84</v>
      </c>
      <c r="G114" s="112">
        <f t="shared" si="18"/>
        <v>79</v>
      </c>
      <c r="H114" s="112">
        <f t="shared" si="19"/>
        <v>81</v>
      </c>
      <c r="I114" s="112">
        <f t="shared" si="20"/>
        <v>80</v>
      </c>
      <c r="J114" s="111">
        <f t="shared" si="15"/>
        <v>566.41437492635794</v>
      </c>
    </row>
    <row r="115" spans="2:10" ht="15" customHeight="1">
      <c r="B115" s="114">
        <v>2031</v>
      </c>
      <c r="C115" s="113">
        <f t="shared" si="14"/>
        <v>82.414374926357951</v>
      </c>
      <c r="D115" s="324">
        <f>ROUND((C114-P50)-(C114*$D$98),0)</f>
        <v>80</v>
      </c>
      <c r="E115" s="112">
        <f t="shared" si="16"/>
        <v>80</v>
      </c>
      <c r="F115" s="112">
        <f t="shared" si="17"/>
        <v>84</v>
      </c>
      <c r="G115" s="112">
        <f t="shared" si="18"/>
        <v>87</v>
      </c>
      <c r="H115" s="112">
        <f t="shared" si="19"/>
        <v>81</v>
      </c>
      <c r="I115" s="112">
        <f t="shared" si="20"/>
        <v>80</v>
      </c>
      <c r="J115" s="111">
        <f t="shared" si="15"/>
        <v>574.41437492635794</v>
      </c>
    </row>
    <row r="116" spans="2:10" ht="15" customHeight="1">
      <c r="B116" s="114">
        <v>2032</v>
      </c>
      <c r="C116" s="113">
        <f t="shared" si="14"/>
        <v>82.414374926357951</v>
      </c>
      <c r="D116" s="324">
        <f>ROUND((C115-Q50)-(C115*$D$98),0)</f>
        <v>80</v>
      </c>
      <c r="E116" s="112">
        <f t="shared" si="16"/>
        <v>80</v>
      </c>
      <c r="F116" s="112">
        <f t="shared" si="17"/>
        <v>84</v>
      </c>
      <c r="G116" s="112">
        <f t="shared" si="18"/>
        <v>87</v>
      </c>
      <c r="H116" s="112">
        <f t="shared" si="19"/>
        <v>90</v>
      </c>
      <c r="I116" s="112">
        <f t="shared" si="20"/>
        <v>80</v>
      </c>
      <c r="J116" s="111">
        <f t="shared" si="15"/>
        <v>583.41437492635794</v>
      </c>
    </row>
    <row r="117" spans="2:10" ht="15" customHeight="1">
      <c r="F117" s="14"/>
      <c r="G117" s="14"/>
    </row>
    <row r="118" spans="2:10" ht="15" customHeight="1">
      <c r="B118" s="15" t="str">
        <f>"Table 4C: "&amp;E3&amp;" Projected Pupil Generation from Housing Development, 2019-2032"</f>
        <v>Table 4C: Bruntsfield Primary School Projected Pupil Generation from Housing Development, 2019-2032</v>
      </c>
      <c r="F118" s="14"/>
      <c r="G118" s="14"/>
    </row>
    <row r="119" spans="2:10" ht="15" customHeight="1">
      <c r="F119" s="14"/>
      <c r="G119" s="14"/>
    </row>
    <row r="120" spans="2:10" ht="15" customHeight="1">
      <c r="B120" s="115"/>
      <c r="C120" s="109" t="s">
        <v>1</v>
      </c>
      <c r="D120" s="109" t="s">
        <v>2</v>
      </c>
      <c r="E120" s="109" t="s">
        <v>3</v>
      </c>
      <c r="F120" s="109" t="s">
        <v>4</v>
      </c>
      <c r="G120" s="109" t="s">
        <v>5</v>
      </c>
      <c r="H120" s="109" t="s">
        <v>6</v>
      </c>
      <c r="I120" s="109" t="s">
        <v>7</v>
      </c>
      <c r="J120" s="109" t="s">
        <v>8</v>
      </c>
    </row>
    <row r="121" spans="2:10" ht="15" customHeight="1">
      <c r="B121" s="114">
        <v>2019</v>
      </c>
      <c r="C121" s="116" t="s">
        <v>97</v>
      </c>
      <c r="D121" s="112">
        <f>VLOOKUP($E$3,'Housing Generation'!$A$3:$BE$90,11,FALSE)</f>
        <v>0</v>
      </c>
      <c r="E121" s="112">
        <f>VLOOKUP($E$3,'Housing Generation'!$A$3:$BE$90,12,FALSE)</f>
        <v>0</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0</v>
      </c>
    </row>
    <row r="122" spans="2:10" ht="15" customHeight="1">
      <c r="B122" s="114">
        <v>2020</v>
      </c>
      <c r="C122" s="116" t="s">
        <v>97</v>
      </c>
      <c r="D122" s="112">
        <f>VLOOKUP($E$3,'Housing Generation'!$A$3:$BE$90,19,FALSE)</f>
        <v>0</v>
      </c>
      <c r="E122" s="112">
        <f>VLOOKUP($E$3,'Housing Generation'!$A$3:$BE$90,20,FALSE)</f>
        <v>0</v>
      </c>
      <c r="F122" s="112">
        <f>VLOOKUP($E$3,'Housing Generation'!$A$3:$BE$90,21,FALSE)</f>
        <v>0</v>
      </c>
      <c r="G122" s="112">
        <f>VLOOKUP($E$3,'Housing Generation'!$A$3:$BE$90,22,FALSE)</f>
        <v>0</v>
      </c>
      <c r="H122" s="112">
        <f>VLOOKUP($E$3,'Housing Generation'!$A$3:$BE$90,23,FALSE)</f>
        <v>0</v>
      </c>
      <c r="I122" s="112">
        <f>VLOOKUP($E$3,'Housing Generation'!$A$3:$BE$90,24,FALSE)</f>
        <v>0</v>
      </c>
      <c r="J122" s="111">
        <f t="shared" si="21"/>
        <v>0</v>
      </c>
    </row>
    <row r="123" spans="2:10" ht="15" customHeight="1">
      <c r="B123" s="114">
        <v>2021</v>
      </c>
      <c r="C123" s="116" t="s">
        <v>97</v>
      </c>
      <c r="D123" s="112">
        <f>VLOOKUP($E$3,'Housing Generation'!$A$3:$BE$90,27,FALSE)</f>
        <v>0</v>
      </c>
      <c r="E123" s="112">
        <f>VLOOKUP($E$3,'Housing Generation'!$A$3:$BE$90,28,FALSE)</f>
        <v>0</v>
      </c>
      <c r="F123" s="112">
        <f>VLOOKUP($E$3,'Housing Generation'!$A$3:$BE$90,29,FALSE)</f>
        <v>0</v>
      </c>
      <c r="G123" s="112">
        <f>VLOOKUP($E$3,'Housing Generation'!$A$3:$BE$90,30,FALSE)</f>
        <v>0</v>
      </c>
      <c r="H123" s="112">
        <f>VLOOKUP($E$3,'Housing Generation'!$A$3:$BE$90,31,FALSE)</f>
        <v>0</v>
      </c>
      <c r="I123" s="112">
        <f>VLOOKUP($E$3,'Housing Generation'!$A$3:$BE$90,32,FALSE)</f>
        <v>0</v>
      </c>
      <c r="J123" s="111">
        <f t="shared" si="21"/>
        <v>0</v>
      </c>
    </row>
    <row r="124" spans="2:10" ht="15" customHeight="1">
      <c r="B124" s="114">
        <v>2022</v>
      </c>
      <c r="C124" s="116" t="s">
        <v>97</v>
      </c>
      <c r="D124" s="112">
        <f>VLOOKUP($E$3,'Housing Generation'!$A$3:$BE$90,35,FALSE)</f>
        <v>0</v>
      </c>
      <c r="E124" s="112">
        <f>VLOOKUP($E$3,'Housing Generation'!$A$3:$BE$90,36,FALSE)</f>
        <v>0</v>
      </c>
      <c r="F124" s="112">
        <f>VLOOKUP($E$3,'Housing Generation'!$A$3:$BE$90,37,FALSE)</f>
        <v>0</v>
      </c>
      <c r="G124" s="112">
        <f>VLOOKUP($E$3,'Housing Generation'!$A$3:$BE$90,38,FALSE)</f>
        <v>0</v>
      </c>
      <c r="H124" s="112">
        <f>VLOOKUP($E$3,'Housing Generation'!$A$3:$BE$90,39,FALSE)</f>
        <v>0</v>
      </c>
      <c r="I124" s="112">
        <f>VLOOKUP($E$3,'Housing Generation'!$A$3:$BE$90,40,FALSE)</f>
        <v>0</v>
      </c>
      <c r="J124" s="111">
        <f t="shared" si="21"/>
        <v>0</v>
      </c>
    </row>
    <row r="125" spans="2:10" ht="15" customHeight="1">
      <c r="B125" s="114">
        <v>2023</v>
      </c>
      <c r="C125" s="116" t="s">
        <v>97</v>
      </c>
      <c r="D125" s="112">
        <f>VLOOKUP($E$3,'Housing Generation'!$A$3:$BE$90,43,FALSE)</f>
        <v>0</v>
      </c>
      <c r="E125" s="112">
        <f>VLOOKUP($E$3,'Housing Generation'!$A$3:$BE$90,44,FALSE)</f>
        <v>0</v>
      </c>
      <c r="F125" s="112">
        <f>VLOOKUP($E$3,'Housing Generation'!$A$3:$BE$90,45,FALSE)</f>
        <v>0</v>
      </c>
      <c r="G125" s="112">
        <f>VLOOKUP($E$3,'Housing Generation'!$A$3:$BE$90,46,FALSE)</f>
        <v>0</v>
      </c>
      <c r="H125" s="112">
        <f>VLOOKUP($E$3,'Housing Generation'!$A$3:$BE$90,47,FALSE)</f>
        <v>0</v>
      </c>
      <c r="I125" s="112">
        <f>VLOOKUP($E$3,'Housing Generation'!$A$3:$BE$90,48,FALSE)</f>
        <v>0</v>
      </c>
      <c r="J125" s="111">
        <f t="shared" si="21"/>
        <v>0</v>
      </c>
    </row>
    <row r="126" spans="2:10" ht="15" customHeight="1">
      <c r="B126" s="114">
        <v>2024</v>
      </c>
      <c r="C126" s="116" t="s">
        <v>97</v>
      </c>
      <c r="D126" s="112">
        <f>VLOOKUP($E$3,'Housing Generation'!$A$3:$BE$90,51,FALSE)</f>
        <v>1</v>
      </c>
      <c r="E126" s="112">
        <f>VLOOKUP($E$3,'Housing Generation'!$A$3:$BE$90,52,FALSE)</f>
        <v>1</v>
      </c>
      <c r="F126" s="112">
        <f>VLOOKUP($E$3,'Housing Generation'!$A$3:$BE$90,53,FALSE)</f>
        <v>1</v>
      </c>
      <c r="G126" s="112">
        <f>VLOOKUP($E$3,'Housing Generation'!$A$3:$BE$90,54,FALSE)</f>
        <v>1</v>
      </c>
      <c r="H126" s="112">
        <f>VLOOKUP($E$3,'Housing Generation'!$A$3:$BE$90,55,FALSE)</f>
        <v>1</v>
      </c>
      <c r="I126" s="112">
        <f>VLOOKUP($E$3,'Housing Generation'!$A$3:$BE$90,56,FALSE)</f>
        <v>1</v>
      </c>
      <c r="J126" s="111">
        <f t="shared" si="21"/>
        <v>6</v>
      </c>
    </row>
    <row r="127" spans="2:10" ht="15" customHeight="1">
      <c r="B127" s="114">
        <v>2025</v>
      </c>
      <c r="C127" s="240" t="s">
        <v>97</v>
      </c>
      <c r="D127" s="112">
        <f>VLOOKUP($E$3,'Housing Generation'!$A$3:$CK$90,59,FALSE)</f>
        <v>1</v>
      </c>
      <c r="E127" s="112">
        <f>VLOOKUP($E$3,'Housing Generation'!$A$3:$CK$90,60,FALSE)</f>
        <v>1</v>
      </c>
      <c r="F127" s="112">
        <f>VLOOKUP($E$3,'Housing Generation'!$A$3:$CK$90,61,FALSE)</f>
        <v>1</v>
      </c>
      <c r="G127" s="112">
        <f>VLOOKUP($E$3,'Housing Generation'!$A$3:$CK$90,62,FALSE)</f>
        <v>1</v>
      </c>
      <c r="H127" s="112">
        <f>VLOOKUP($E$3,'Housing Generation'!$A$3:$CK$90,63,FALSE)</f>
        <v>1</v>
      </c>
      <c r="I127" s="112">
        <f>VLOOKUP($E$3,'Housing Generation'!$A$3:$CK$90,64,FALSE)</f>
        <v>1</v>
      </c>
      <c r="J127" s="111">
        <f t="shared" si="21"/>
        <v>6</v>
      </c>
    </row>
    <row r="128" spans="2:10" ht="15" customHeight="1">
      <c r="B128" s="114">
        <v>2026</v>
      </c>
      <c r="C128" s="240" t="s">
        <v>97</v>
      </c>
      <c r="D128" s="112">
        <f>VLOOKUP($E$3,'Housing Generation'!$A$3:$CK$90,67,FALSE)</f>
        <v>1</v>
      </c>
      <c r="E128" s="112">
        <f>VLOOKUP($E$3,'Housing Generation'!$A$3:$CK$90,68,FALSE)</f>
        <v>1</v>
      </c>
      <c r="F128" s="112">
        <f>VLOOKUP($E$3,'Housing Generation'!$A$3:$CK$90,69,FALSE)</f>
        <v>1</v>
      </c>
      <c r="G128" s="112">
        <f>VLOOKUP($E$3,'Housing Generation'!$A$3:$CK$90,70,FALSE)</f>
        <v>1</v>
      </c>
      <c r="H128" s="112">
        <f>VLOOKUP($E$3,'Housing Generation'!$A$3:$CK$90,71,FALSE)</f>
        <v>1</v>
      </c>
      <c r="I128" s="112">
        <f>VLOOKUP($E$3,'Housing Generation'!$A$3:$CK$90,72,FALSE)</f>
        <v>1</v>
      </c>
      <c r="J128" s="111">
        <f t="shared" si="21"/>
        <v>6</v>
      </c>
    </row>
    <row r="129" spans="2:10" ht="15" customHeight="1">
      <c r="B129" s="114">
        <v>2027</v>
      </c>
      <c r="C129" s="240" t="s">
        <v>97</v>
      </c>
      <c r="D129" s="112">
        <f>VLOOKUP($E$3,'Housing Generation'!$A$3:$CK$90,75,FALSE)</f>
        <v>1</v>
      </c>
      <c r="E129" s="112">
        <f>VLOOKUP($E$3,'Housing Generation'!$A$3:$CK$90,76,FALSE)</f>
        <v>1</v>
      </c>
      <c r="F129" s="112">
        <f>VLOOKUP($E$3,'Housing Generation'!$A$3:$CK$90,77,FALSE)</f>
        <v>1</v>
      </c>
      <c r="G129" s="112">
        <f>VLOOKUP($E$3,'Housing Generation'!$A$3:$CK$90,78,FALSE)</f>
        <v>1</v>
      </c>
      <c r="H129" s="112">
        <f>VLOOKUP($E$3,'Housing Generation'!$A$3:$CK$90,79,FALSE)</f>
        <v>1</v>
      </c>
      <c r="I129" s="112">
        <f>VLOOKUP($E$3,'Housing Generation'!$A$3:$CK$90,80,FALSE)</f>
        <v>1</v>
      </c>
      <c r="J129" s="111">
        <f t="shared" si="21"/>
        <v>6</v>
      </c>
    </row>
    <row r="130" spans="2:10" ht="15" customHeight="1">
      <c r="B130" s="114">
        <v>2028</v>
      </c>
      <c r="C130" s="289" t="s">
        <v>97</v>
      </c>
      <c r="D130" s="112">
        <f>VLOOKUP($E$3,'Housing Generation'!$A$3:$CK$90,83,FALSE)</f>
        <v>1</v>
      </c>
      <c r="E130" s="112">
        <f>VLOOKUP($E$3,'Housing Generation'!$A$3:$CK$90,84,FALSE)</f>
        <v>1</v>
      </c>
      <c r="F130" s="112">
        <f>VLOOKUP($E$3,'Housing Generation'!$A$3:$CK$90,85,FALSE)</f>
        <v>1</v>
      </c>
      <c r="G130" s="112">
        <f>VLOOKUP($E$3,'Housing Generation'!$A$3:$CK$90,86,FALSE)</f>
        <v>1</v>
      </c>
      <c r="H130" s="112">
        <f>VLOOKUP($E$3,'Housing Generation'!$A$3:$CK$90,87,FALSE)</f>
        <v>1</v>
      </c>
      <c r="I130" s="112">
        <f>VLOOKUP($E$3,'Housing Generation'!$A$3:$CK$90,88,FALSE)</f>
        <v>1</v>
      </c>
      <c r="J130" s="111">
        <f t="shared" si="21"/>
        <v>6</v>
      </c>
    </row>
    <row r="131" spans="2:10" ht="15" customHeight="1">
      <c r="B131" s="114">
        <v>2029</v>
      </c>
      <c r="C131" s="289" t="s">
        <v>97</v>
      </c>
      <c r="D131" s="112">
        <f>VLOOKUP($E$3,'Housing Generation'!$A$3:$DQ$90,91,FALSE)</f>
        <v>1</v>
      </c>
      <c r="E131" s="112">
        <f>VLOOKUP($E$3,'Housing Generation'!$A$3:$DQ$90,92,FALSE)</f>
        <v>1</v>
      </c>
      <c r="F131" s="112">
        <f>VLOOKUP($E$3,'Housing Generation'!$A$3:$DQ$90,93,FALSE)</f>
        <v>1</v>
      </c>
      <c r="G131" s="112">
        <f>VLOOKUP($E$3,'Housing Generation'!$A$3:$DQ$90,94,FALSE)</f>
        <v>1</v>
      </c>
      <c r="H131" s="112">
        <f>VLOOKUP($E$3,'Housing Generation'!$A$3:$DQ$90,95,FALSE)</f>
        <v>1</v>
      </c>
      <c r="I131" s="112">
        <f>VLOOKUP($E$3,'Housing Generation'!$A$3:$DQ$90,96,FALSE)</f>
        <v>1</v>
      </c>
      <c r="J131" s="111">
        <f t="shared" si="21"/>
        <v>6</v>
      </c>
    </row>
    <row r="132" spans="2:10" ht="15" customHeight="1">
      <c r="B132" s="114">
        <v>2030</v>
      </c>
      <c r="C132" s="289" t="s">
        <v>97</v>
      </c>
      <c r="D132" s="112">
        <f>VLOOKUP($E$3,'Housing Generation'!$A$3:$DQ$90,99,FALSE)</f>
        <v>1</v>
      </c>
      <c r="E132" s="112">
        <f>VLOOKUP($E$3,'Housing Generation'!$A$3:$DQ$90,100,FALSE)</f>
        <v>1</v>
      </c>
      <c r="F132" s="112">
        <f>VLOOKUP($E$3,'Housing Generation'!$A$3:$DQ$90,101,FALSE)</f>
        <v>1</v>
      </c>
      <c r="G132" s="112">
        <f>VLOOKUP($E$3,'Housing Generation'!$A$3:$DQ$90,102,FALSE)</f>
        <v>1</v>
      </c>
      <c r="H132" s="112">
        <f>VLOOKUP($E$3,'Housing Generation'!$A$3:$DQ$90,103,FALSE)</f>
        <v>1</v>
      </c>
      <c r="I132" s="112">
        <f>VLOOKUP($E$3,'Housing Generation'!$A$3:$DQ$90,104,FALSE)</f>
        <v>1</v>
      </c>
      <c r="J132" s="111">
        <f t="shared" si="21"/>
        <v>6</v>
      </c>
    </row>
    <row r="133" spans="2:10" ht="15" customHeight="1">
      <c r="B133" s="114">
        <v>2031</v>
      </c>
      <c r="C133" s="289" t="s">
        <v>97</v>
      </c>
      <c r="D133" s="112">
        <f>VLOOKUP($E$3,'Housing Generation'!$A$3:$DQ$90,107,FALSE)</f>
        <v>1</v>
      </c>
      <c r="E133" s="112">
        <f>VLOOKUP($E$3,'Housing Generation'!$A$3:$DQ$90,108,FALSE)</f>
        <v>1</v>
      </c>
      <c r="F133" s="112">
        <f>VLOOKUP($E$3,'Housing Generation'!$A$3:$DQ$90,109,FALSE)</f>
        <v>1</v>
      </c>
      <c r="G133" s="112">
        <f>VLOOKUP($E$3,'Housing Generation'!$A$3:$DQ$90,110,FALSE)</f>
        <v>1</v>
      </c>
      <c r="H133" s="112">
        <f>VLOOKUP($E$3,'Housing Generation'!$A$3:$DQ$90,111,FALSE)</f>
        <v>1</v>
      </c>
      <c r="I133" s="112">
        <f>VLOOKUP($E$3,'Housing Generation'!$A$3:$DQ$90,112,FALSE)</f>
        <v>1</v>
      </c>
      <c r="J133" s="111">
        <f t="shared" si="21"/>
        <v>6</v>
      </c>
    </row>
    <row r="134" spans="2:10" ht="15" customHeight="1">
      <c r="B134" s="114">
        <v>2032</v>
      </c>
      <c r="C134" s="289" t="s">
        <v>97</v>
      </c>
      <c r="D134" s="112">
        <f>VLOOKUP($E$3,'Housing Generation'!$A$3:$DQ$90,115,FALSE)</f>
        <v>1</v>
      </c>
      <c r="E134" s="112">
        <f>VLOOKUP($E$3,'Housing Generation'!$A$3:$DQ$90,116,FALSE)</f>
        <v>1</v>
      </c>
      <c r="F134" s="112">
        <f>VLOOKUP($E$3,'Housing Generation'!$A$3:$DQ$90,117,FALSE)</f>
        <v>1</v>
      </c>
      <c r="G134" s="112">
        <f>VLOOKUP($E$3,'Housing Generation'!$A$3:$DQ$90,118,FALSE)</f>
        <v>1</v>
      </c>
      <c r="H134" s="112">
        <f>VLOOKUP($E$3,'Housing Generation'!$A$3:$DQ$90,119,FALSE)</f>
        <v>1</v>
      </c>
      <c r="I134" s="112">
        <f>VLOOKUP($E$3,'Housing Generation'!$A$3:$DQ$90,120,FALSE)</f>
        <v>1</v>
      </c>
      <c r="J134" s="111">
        <f t="shared" si="21"/>
        <v>6</v>
      </c>
    </row>
    <row r="135" spans="2:10" ht="15"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Bruntsfield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85.176340285141976</v>
      </c>
      <c r="D139" s="112">
        <f t="shared" ref="D139:I152" si="23">D121+D103</f>
        <v>71</v>
      </c>
      <c r="E139" s="112">
        <f t="shared" si="23"/>
        <v>77</v>
      </c>
      <c r="F139" s="112">
        <f t="shared" si="23"/>
        <v>88</v>
      </c>
      <c r="G139" s="112">
        <f t="shared" si="23"/>
        <v>90</v>
      </c>
      <c r="H139" s="112">
        <f t="shared" si="23"/>
        <v>100</v>
      </c>
      <c r="I139" s="112">
        <f t="shared" si="23"/>
        <v>89</v>
      </c>
      <c r="J139" s="111">
        <f t="shared" ref="J139:J147" si="24">SUM(C139:I139)</f>
        <v>600.17634028514203</v>
      </c>
    </row>
    <row r="140" spans="2:10" ht="15" customHeight="1">
      <c r="B140" s="114">
        <v>2020</v>
      </c>
      <c r="C140" s="113">
        <f t="shared" si="22"/>
        <v>66</v>
      </c>
      <c r="D140" s="112">
        <f t="shared" si="23"/>
        <v>84</v>
      </c>
      <c r="E140" s="112">
        <f t="shared" si="23"/>
        <v>71</v>
      </c>
      <c r="F140" s="112">
        <f t="shared" si="23"/>
        <v>81</v>
      </c>
      <c r="G140" s="112">
        <f t="shared" si="23"/>
        <v>91</v>
      </c>
      <c r="H140" s="112">
        <f t="shared" si="23"/>
        <v>93</v>
      </c>
      <c r="I140" s="112">
        <f t="shared" si="23"/>
        <v>98</v>
      </c>
      <c r="J140" s="111">
        <f t="shared" si="24"/>
        <v>584</v>
      </c>
    </row>
    <row r="141" spans="2:10" ht="15" customHeight="1">
      <c r="B141" s="114">
        <v>2021</v>
      </c>
      <c r="C141" s="113">
        <f t="shared" si="22"/>
        <v>72</v>
      </c>
      <c r="D141" s="112">
        <f t="shared" si="23"/>
        <v>65</v>
      </c>
      <c r="E141" s="112">
        <f t="shared" si="23"/>
        <v>84</v>
      </c>
      <c r="F141" s="112">
        <f t="shared" si="23"/>
        <v>75</v>
      </c>
      <c r="G141" s="112">
        <f t="shared" si="23"/>
        <v>84</v>
      </c>
      <c r="H141" s="112">
        <f t="shared" si="23"/>
        <v>94</v>
      </c>
      <c r="I141" s="112">
        <f t="shared" si="23"/>
        <v>92</v>
      </c>
      <c r="J141" s="111">
        <f t="shared" si="24"/>
        <v>566</v>
      </c>
    </row>
    <row r="142" spans="2:10" ht="15" customHeight="1">
      <c r="B142" s="114">
        <v>2022</v>
      </c>
      <c r="C142" s="113">
        <f t="shared" si="22"/>
        <v>85.176340285141976</v>
      </c>
      <c r="D142" s="112">
        <f t="shared" si="23"/>
        <v>71</v>
      </c>
      <c r="E142" s="112">
        <f t="shared" si="23"/>
        <v>65</v>
      </c>
      <c r="F142" s="112">
        <f t="shared" si="23"/>
        <v>89</v>
      </c>
      <c r="G142" s="112">
        <f t="shared" si="23"/>
        <v>77</v>
      </c>
      <c r="H142" s="112">
        <f t="shared" si="23"/>
        <v>87</v>
      </c>
      <c r="I142" s="112">
        <f t="shared" si="23"/>
        <v>93</v>
      </c>
      <c r="J142" s="111">
        <f t="shared" si="24"/>
        <v>567.17634028514203</v>
      </c>
    </row>
    <row r="143" spans="2:10" ht="15" customHeight="1">
      <c r="B143" s="114">
        <v>2023</v>
      </c>
      <c r="C143" s="113">
        <f t="shared" si="22"/>
        <v>72</v>
      </c>
      <c r="D143" s="112">
        <f t="shared" si="23"/>
        <v>84</v>
      </c>
      <c r="E143" s="112">
        <f t="shared" si="23"/>
        <v>71</v>
      </c>
      <c r="F143" s="112">
        <f t="shared" si="23"/>
        <v>69</v>
      </c>
      <c r="G143" s="112">
        <f t="shared" si="23"/>
        <v>92</v>
      </c>
      <c r="H143" s="112">
        <f t="shared" si="23"/>
        <v>79</v>
      </c>
      <c r="I143" s="112">
        <f t="shared" si="23"/>
        <v>86</v>
      </c>
      <c r="J143" s="111">
        <f t="shared" si="24"/>
        <v>553</v>
      </c>
    </row>
    <row r="144" spans="2:10" ht="15" customHeight="1">
      <c r="B144" s="114">
        <v>2024</v>
      </c>
      <c r="C144" s="113">
        <f t="shared" si="22"/>
        <v>75</v>
      </c>
      <c r="D144" s="112">
        <f t="shared" si="23"/>
        <v>71</v>
      </c>
      <c r="E144" s="112">
        <f t="shared" si="23"/>
        <v>85</v>
      </c>
      <c r="F144" s="112">
        <f t="shared" si="23"/>
        <v>76</v>
      </c>
      <c r="G144" s="112">
        <f t="shared" si="23"/>
        <v>72</v>
      </c>
      <c r="H144" s="112">
        <f t="shared" si="23"/>
        <v>96</v>
      </c>
      <c r="I144" s="112">
        <f t="shared" si="23"/>
        <v>79</v>
      </c>
      <c r="J144" s="111">
        <f t="shared" si="24"/>
        <v>554</v>
      </c>
    </row>
    <row r="145" spans="2:16" ht="15" customHeight="1">
      <c r="B145" s="114">
        <v>2025</v>
      </c>
      <c r="C145" s="113">
        <f t="shared" si="22"/>
        <v>75</v>
      </c>
      <c r="D145" s="112">
        <f t="shared" si="23"/>
        <v>74</v>
      </c>
      <c r="E145" s="112">
        <f t="shared" si="23"/>
        <v>71</v>
      </c>
      <c r="F145" s="112">
        <f t="shared" si="23"/>
        <v>90</v>
      </c>
      <c r="G145" s="112">
        <f t="shared" si="23"/>
        <v>78</v>
      </c>
      <c r="H145" s="112">
        <f t="shared" si="23"/>
        <v>74</v>
      </c>
      <c r="I145" s="112">
        <f t="shared" si="23"/>
        <v>95</v>
      </c>
      <c r="J145" s="111">
        <f t="shared" si="24"/>
        <v>557</v>
      </c>
    </row>
    <row r="146" spans="2:16" ht="15" customHeight="1">
      <c r="B146" s="114">
        <v>2026</v>
      </c>
      <c r="C146" s="113">
        <f t="shared" si="22"/>
        <v>75</v>
      </c>
      <c r="D146" s="112">
        <f t="shared" si="23"/>
        <v>74</v>
      </c>
      <c r="E146" s="112">
        <f t="shared" si="23"/>
        <v>74</v>
      </c>
      <c r="F146" s="112">
        <f t="shared" si="23"/>
        <v>75</v>
      </c>
      <c r="G146" s="112">
        <f t="shared" si="23"/>
        <v>93</v>
      </c>
      <c r="H146" s="112">
        <f t="shared" si="23"/>
        <v>80</v>
      </c>
      <c r="I146" s="112">
        <f t="shared" si="23"/>
        <v>73</v>
      </c>
      <c r="J146" s="111">
        <f t="shared" si="24"/>
        <v>544</v>
      </c>
    </row>
    <row r="147" spans="2:16" ht="15" customHeight="1">
      <c r="B147" s="114">
        <v>2027</v>
      </c>
      <c r="C147" s="113">
        <f t="shared" si="22"/>
        <v>81.493719806763281</v>
      </c>
      <c r="D147" s="112">
        <f t="shared" si="23"/>
        <v>74</v>
      </c>
      <c r="E147" s="112">
        <f t="shared" si="23"/>
        <v>74</v>
      </c>
      <c r="F147" s="112">
        <f t="shared" si="23"/>
        <v>78</v>
      </c>
      <c r="G147" s="112">
        <f t="shared" si="23"/>
        <v>77</v>
      </c>
      <c r="H147" s="112">
        <f t="shared" si="23"/>
        <v>96</v>
      </c>
      <c r="I147" s="112">
        <f t="shared" si="23"/>
        <v>79</v>
      </c>
      <c r="J147" s="111">
        <f t="shared" si="24"/>
        <v>559.49371980676324</v>
      </c>
    </row>
    <row r="148" spans="2:16" ht="15" customHeight="1">
      <c r="B148" s="114">
        <v>2028</v>
      </c>
      <c r="C148" s="113">
        <f t="shared" si="22"/>
        <v>82.414374926357951</v>
      </c>
      <c r="D148" s="112">
        <f t="shared" si="23"/>
        <v>81</v>
      </c>
      <c r="E148" s="112">
        <f t="shared" si="23"/>
        <v>74</v>
      </c>
      <c r="F148" s="112">
        <f t="shared" si="23"/>
        <v>78</v>
      </c>
      <c r="G148" s="112">
        <f t="shared" si="23"/>
        <v>80</v>
      </c>
      <c r="H148" s="112">
        <f t="shared" si="23"/>
        <v>79</v>
      </c>
      <c r="I148" s="112">
        <f t="shared" si="23"/>
        <v>95</v>
      </c>
      <c r="J148" s="111">
        <f t="shared" ref="J148:J152" si="25">SUM(C148:I148)</f>
        <v>569.41437492635794</v>
      </c>
    </row>
    <row r="149" spans="2:16" ht="15" customHeight="1">
      <c r="B149" s="114">
        <v>2029</v>
      </c>
      <c r="C149" s="113">
        <f t="shared" si="22"/>
        <v>82.414374926357951</v>
      </c>
      <c r="D149" s="112">
        <f t="shared" si="23"/>
        <v>81</v>
      </c>
      <c r="E149" s="112">
        <f t="shared" si="23"/>
        <v>81</v>
      </c>
      <c r="F149" s="112">
        <f t="shared" si="23"/>
        <v>78</v>
      </c>
      <c r="G149" s="112">
        <f t="shared" si="23"/>
        <v>80</v>
      </c>
      <c r="H149" s="112">
        <f t="shared" si="23"/>
        <v>82</v>
      </c>
      <c r="I149" s="112">
        <f t="shared" si="23"/>
        <v>78</v>
      </c>
      <c r="J149" s="111">
        <f t="shared" si="25"/>
        <v>562.41437492635794</v>
      </c>
    </row>
    <row r="150" spans="2:16" ht="15" customHeight="1">
      <c r="B150" s="114">
        <v>2030</v>
      </c>
      <c r="C150" s="113">
        <f t="shared" si="22"/>
        <v>82.414374926357951</v>
      </c>
      <c r="D150" s="112">
        <f t="shared" si="23"/>
        <v>81</v>
      </c>
      <c r="E150" s="112">
        <f t="shared" si="23"/>
        <v>81</v>
      </c>
      <c r="F150" s="112">
        <f t="shared" si="23"/>
        <v>85</v>
      </c>
      <c r="G150" s="112">
        <f t="shared" si="23"/>
        <v>80</v>
      </c>
      <c r="H150" s="112">
        <f t="shared" si="23"/>
        <v>82</v>
      </c>
      <c r="I150" s="112">
        <f t="shared" si="23"/>
        <v>81</v>
      </c>
      <c r="J150" s="111">
        <f t="shared" si="25"/>
        <v>572.41437492635794</v>
      </c>
    </row>
    <row r="151" spans="2:16" ht="15" customHeight="1">
      <c r="B151" s="114">
        <v>2031</v>
      </c>
      <c r="C151" s="113">
        <f t="shared" si="22"/>
        <v>82.414374926357951</v>
      </c>
      <c r="D151" s="112">
        <f t="shared" si="23"/>
        <v>81</v>
      </c>
      <c r="E151" s="112">
        <f t="shared" si="23"/>
        <v>81</v>
      </c>
      <c r="F151" s="112">
        <f t="shared" si="23"/>
        <v>85</v>
      </c>
      <c r="G151" s="112">
        <f t="shared" si="23"/>
        <v>88</v>
      </c>
      <c r="H151" s="112">
        <f t="shared" si="23"/>
        <v>82</v>
      </c>
      <c r="I151" s="112">
        <f t="shared" si="23"/>
        <v>81</v>
      </c>
      <c r="J151" s="111">
        <f t="shared" si="25"/>
        <v>580.41437492635794</v>
      </c>
    </row>
    <row r="152" spans="2:16" ht="15" customHeight="1">
      <c r="B152" s="114">
        <v>2032</v>
      </c>
      <c r="C152" s="113">
        <f t="shared" si="22"/>
        <v>82.414374926357951</v>
      </c>
      <c r="D152" s="112">
        <f t="shared" si="23"/>
        <v>81</v>
      </c>
      <c r="E152" s="112">
        <f t="shared" si="23"/>
        <v>81</v>
      </c>
      <c r="F152" s="112">
        <f t="shared" si="23"/>
        <v>85</v>
      </c>
      <c r="G152" s="112">
        <f t="shared" si="23"/>
        <v>88</v>
      </c>
      <c r="H152" s="112">
        <f t="shared" si="23"/>
        <v>91</v>
      </c>
      <c r="I152" s="112">
        <f t="shared" si="23"/>
        <v>81</v>
      </c>
      <c r="J152" s="111">
        <f t="shared" si="25"/>
        <v>589.41437492635794</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600.17634028514203</v>
      </c>
      <c r="D159" s="108">
        <f>J140</f>
        <v>584</v>
      </c>
      <c r="E159" s="108">
        <f>J141</f>
        <v>566</v>
      </c>
      <c r="F159" s="108">
        <f>J142</f>
        <v>567.17634028514203</v>
      </c>
      <c r="G159" s="108">
        <f>J143</f>
        <v>553</v>
      </c>
      <c r="H159" s="108">
        <f>J144</f>
        <v>554</v>
      </c>
      <c r="I159" s="108">
        <f>J145</f>
        <v>557</v>
      </c>
      <c r="J159" s="108">
        <f>J146</f>
        <v>544</v>
      </c>
      <c r="K159" s="108">
        <f>J147</f>
        <v>559.49371980676324</v>
      </c>
      <c r="L159" s="108">
        <f>J148</f>
        <v>569.41437492635794</v>
      </c>
      <c r="M159" s="108">
        <f>J149</f>
        <v>562.41437492635794</v>
      </c>
      <c r="N159" s="108">
        <f>J150</f>
        <v>572.41437492635794</v>
      </c>
      <c r="O159" s="108">
        <f>J151</f>
        <v>580.41437492635794</v>
      </c>
      <c r="P159" s="108">
        <f>J152</f>
        <v>589.41437492635794</v>
      </c>
    </row>
    <row r="160" spans="2:16" ht="15" customHeight="1">
      <c r="B160" s="107" t="s">
        <v>152</v>
      </c>
      <c r="C160" s="106">
        <f>VLOOKUP(C159,Capacity!$A$1:$C$645,2,TRUE)</f>
        <v>21</v>
      </c>
      <c r="D160" s="106">
        <f>VLOOKUP(D159,Capacity!$A$1:$C$645,2,TRUE)</f>
        <v>21</v>
      </c>
      <c r="E160" s="106">
        <f>VLOOKUP(E159,Capacity!$A$1:$C$645,2,TRUE)</f>
        <v>21</v>
      </c>
      <c r="F160" s="106">
        <f>VLOOKUP(F159,Capacity!$A$1:$C$645,2,TRUE)</f>
        <v>21</v>
      </c>
      <c r="G160" s="106">
        <f>VLOOKUP(G159,Capacity!$A$1:$C$645,2,TRUE)</f>
        <v>20</v>
      </c>
      <c r="H160" s="106">
        <f>VLOOKUP(H159,Capacity!$A$1:$C$645,2,TRUE)</f>
        <v>20</v>
      </c>
      <c r="I160" s="106">
        <f>VLOOKUP(I159,Capacity!$A$1:$C$645,2,TRUE)</f>
        <v>20</v>
      </c>
      <c r="J160" s="106">
        <f>VLOOKUP(J159,Capacity!$A$1:$C$645,2,TRUE)</f>
        <v>19</v>
      </c>
      <c r="K160" s="106">
        <f>VLOOKUP(K159,Capacity!$A$1:$C$645,2,TRUE)</f>
        <v>20</v>
      </c>
      <c r="L160" s="106">
        <f>VLOOKUP(L159,Capacity!$A$1:$C$645,2,TRUE)</f>
        <v>21</v>
      </c>
      <c r="M160" s="106">
        <f>VLOOKUP(M159,Capacity!$A$1:$C$645,2,TRUE)</f>
        <v>21</v>
      </c>
      <c r="N160" s="106">
        <f>VLOOKUP(N159,Capacity!$A$1:$C$645,2,TRUE)</f>
        <v>21</v>
      </c>
      <c r="O160" s="106">
        <f>VLOOKUP(O159,Capacity!$A$1:$C$645,2,TRUE)</f>
        <v>21</v>
      </c>
      <c r="P160" s="106">
        <f>VLOOKUP(P159,Capacity!$A$1:$C$645,2,TRUE)</f>
        <v>21</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138</v>
      </c>
      <c r="D169" s="97">
        <f>VLOOKUP($E$3,'Catchment Births'!$A$1:$U$90,11,FALSE)</f>
        <v>129</v>
      </c>
      <c r="E169" s="97">
        <f>VLOOKUP($E$3,'Catchment Births'!$A$1:$U$90,12,FALSE)</f>
        <v>144</v>
      </c>
      <c r="F169" s="97">
        <f>VLOOKUP($E$3,'Catchment Births'!$A$1:$U$90,13,FALSE)</f>
        <v>136</v>
      </c>
      <c r="G169" s="97">
        <f>VLOOKUP($E$3,'Catchment Births'!$A$1:$U$90,14,FALSE)</f>
        <v>143</v>
      </c>
      <c r="H169" s="97">
        <f>VLOOKUP($E$3,'Catchment Births'!$A$1:$U$90,15,FALSE)</f>
        <v>152</v>
      </c>
      <c r="I169" s="97">
        <f>VLOOKUP($E$3,'Catchment Births'!$A$1:$U$90,16,FALSE)</f>
        <v>119</v>
      </c>
      <c r="J169" s="97">
        <f>VLOOKUP($E$3,'Catchment Births'!$A$1:$U$90,17,FALSE)</f>
        <v>157</v>
      </c>
      <c r="K169" s="97">
        <f>VLOOKUP($E$3,'Catchment Births'!$A$1:$U$90,18,FALSE)</f>
        <v>137</v>
      </c>
      <c r="L169" s="97">
        <f>VLOOKUP($E$3,'Catchment Births'!$A$1:$U$90,19,FALSE)</f>
        <v>135</v>
      </c>
      <c r="M169" s="97">
        <f>VLOOKUP($E$3,'Catchment Births'!$A$1:$U$90,20,FALSE)</f>
        <v>149</v>
      </c>
      <c r="N169" s="97">
        <f>VLOOKUP($E$3,'Catchment Births'!$A$1:$U$90,21,FALSE)</f>
        <v>122</v>
      </c>
    </row>
    <row r="170" spans="2:14" ht="58.5" customHeight="1">
      <c r="B170" s="103" t="str">
        <f>"P1 "&amp;A35&amp;" Catchment Population (Actual)"</f>
        <v>P1 ND Catchment Population (Actual)</v>
      </c>
      <c r="C170" s="102" t="e">
        <v>#REF!</v>
      </c>
      <c r="D170" s="102">
        <v>55</v>
      </c>
      <c r="E170" s="102">
        <v>76</v>
      </c>
      <c r="F170" s="102">
        <v>98</v>
      </c>
      <c r="G170" s="102">
        <v>76</v>
      </c>
      <c r="H170" s="102">
        <v>90</v>
      </c>
      <c r="I170" s="102">
        <v>67</v>
      </c>
      <c r="J170" s="308">
        <f>VLOOKUP(E3,'Catchment Projections'!A1:BU92,42,FALSE)</f>
        <v>90</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67</v>
      </c>
      <c r="J172" s="96" t="e">
        <f>#REF!</f>
        <v>#REF!</v>
      </c>
      <c r="K172" s="96">
        <f>D51</f>
        <v>86</v>
      </c>
      <c r="L172" s="96">
        <f>E51</f>
        <v>71</v>
      </c>
      <c r="M172" s="96">
        <f>F51</f>
        <v>73</v>
      </c>
      <c r="N172" s="96">
        <f>G51</f>
        <v>86</v>
      </c>
    </row>
    <row r="173" spans="2:14" ht="12.75">
      <c r="B173" s="62"/>
      <c r="C173" s="62"/>
      <c r="D173" s="62"/>
      <c r="E173" s="62"/>
      <c r="F173" s="62"/>
      <c r="G173" s="62"/>
      <c r="H173" s="62"/>
      <c r="I173" s="62"/>
      <c r="J173" s="62"/>
      <c r="K173" s="62"/>
    </row>
    <row r="174" spans="2:14" ht="15" customHeight="1">
      <c r="B174" s="64" t="str">
        <f>"Table 5: "&amp;E3&amp;" Roll by Stage, 2002-2018"</f>
        <v>Table 5: Bruntsfield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57</v>
      </c>
      <c r="D177" s="93">
        <v>73</v>
      </c>
      <c r="E177" s="93">
        <v>76</v>
      </c>
      <c r="F177" s="93">
        <v>71</v>
      </c>
      <c r="G177" s="93">
        <v>66</v>
      </c>
      <c r="H177" s="93">
        <v>66</v>
      </c>
      <c r="I177" s="93">
        <v>90</v>
      </c>
      <c r="J177" s="92">
        <v>499</v>
      </c>
      <c r="K177" s="62"/>
    </row>
    <row r="178" spans="2:11" ht="15" customHeight="1">
      <c r="B178" s="94">
        <v>2003</v>
      </c>
      <c r="C178" s="93">
        <v>52</v>
      </c>
      <c r="D178" s="93">
        <v>58</v>
      </c>
      <c r="E178" s="93">
        <v>70</v>
      </c>
      <c r="F178" s="93">
        <v>80</v>
      </c>
      <c r="G178" s="93">
        <v>75</v>
      </c>
      <c r="H178" s="93">
        <v>65</v>
      </c>
      <c r="I178" s="93">
        <v>66</v>
      </c>
      <c r="J178" s="92">
        <v>466</v>
      </c>
      <c r="K178" s="62"/>
    </row>
    <row r="179" spans="2:11" customFormat="1" ht="15" customHeight="1">
      <c r="B179" s="94">
        <v>2004</v>
      </c>
      <c r="C179" s="95">
        <v>57</v>
      </c>
      <c r="D179" s="95">
        <v>58</v>
      </c>
      <c r="E179" s="95">
        <v>59</v>
      </c>
      <c r="F179" s="95">
        <v>69</v>
      </c>
      <c r="G179" s="95">
        <v>75</v>
      </c>
      <c r="H179" s="95">
        <v>83</v>
      </c>
      <c r="I179" s="95">
        <v>63</v>
      </c>
      <c r="J179" s="92">
        <v>464</v>
      </c>
      <c r="K179" s="62"/>
    </row>
    <row r="180" spans="2:11" customFormat="1" ht="15" customHeight="1">
      <c r="B180" s="94">
        <v>2005</v>
      </c>
      <c r="C180" s="93">
        <v>56</v>
      </c>
      <c r="D180" s="93">
        <v>60</v>
      </c>
      <c r="E180" s="93">
        <v>58</v>
      </c>
      <c r="F180" s="93">
        <v>63</v>
      </c>
      <c r="G180" s="93">
        <v>64</v>
      </c>
      <c r="H180" s="93">
        <v>76</v>
      </c>
      <c r="I180" s="93">
        <v>79</v>
      </c>
      <c r="J180" s="92">
        <v>456</v>
      </c>
      <c r="K180" s="62"/>
    </row>
    <row r="181" spans="2:11" customFormat="1" ht="15" customHeight="1">
      <c r="B181" s="94">
        <v>2006</v>
      </c>
      <c r="C181" s="93">
        <v>57</v>
      </c>
      <c r="D181" s="93">
        <v>56</v>
      </c>
      <c r="E181" s="93">
        <v>58</v>
      </c>
      <c r="F181" s="93">
        <v>61</v>
      </c>
      <c r="G181" s="93">
        <v>60</v>
      </c>
      <c r="H181" s="93">
        <v>66</v>
      </c>
      <c r="I181" s="93">
        <v>80</v>
      </c>
      <c r="J181" s="92">
        <v>438</v>
      </c>
      <c r="K181" s="62"/>
    </row>
    <row r="182" spans="2:11" customFormat="1" ht="15" customHeight="1">
      <c r="B182" s="94">
        <v>2007</v>
      </c>
      <c r="C182" s="93">
        <v>55</v>
      </c>
      <c r="D182" s="93">
        <v>57</v>
      </c>
      <c r="E182" s="93">
        <v>58</v>
      </c>
      <c r="F182" s="93">
        <v>52</v>
      </c>
      <c r="G182" s="93">
        <v>61</v>
      </c>
      <c r="H182" s="93">
        <v>61</v>
      </c>
      <c r="I182" s="93">
        <v>61</v>
      </c>
      <c r="J182" s="92">
        <v>405</v>
      </c>
      <c r="K182" s="62"/>
    </row>
    <row r="183" spans="2:11" customFormat="1" ht="15" customHeight="1">
      <c r="B183" s="94">
        <v>2008</v>
      </c>
      <c r="C183" s="93">
        <v>75</v>
      </c>
      <c r="D183" s="93">
        <v>52</v>
      </c>
      <c r="E183" s="93">
        <v>56</v>
      </c>
      <c r="F183" s="93">
        <v>60</v>
      </c>
      <c r="G183" s="93">
        <v>56</v>
      </c>
      <c r="H183" s="93">
        <v>62</v>
      </c>
      <c r="I183" s="93">
        <v>63</v>
      </c>
      <c r="J183" s="92">
        <v>424</v>
      </c>
      <c r="K183" s="62"/>
    </row>
    <row r="184" spans="2:11" customFormat="1" ht="15" customHeight="1">
      <c r="B184" s="94">
        <v>2009</v>
      </c>
      <c r="C184" s="93">
        <v>66</v>
      </c>
      <c r="D184" s="93">
        <v>75</v>
      </c>
      <c r="E184" s="93">
        <v>51</v>
      </c>
      <c r="F184" s="93">
        <v>59</v>
      </c>
      <c r="G184" s="93">
        <v>61</v>
      </c>
      <c r="H184" s="93">
        <v>61</v>
      </c>
      <c r="I184" s="93">
        <v>64</v>
      </c>
      <c r="J184" s="94">
        <v>437</v>
      </c>
      <c r="K184" s="62"/>
    </row>
    <row r="185" spans="2:11" customFormat="1" ht="15" customHeight="1">
      <c r="B185" s="94">
        <v>2010</v>
      </c>
      <c r="C185" s="93">
        <v>60</v>
      </c>
      <c r="D185" s="93">
        <v>69</v>
      </c>
      <c r="E185" s="93">
        <v>74</v>
      </c>
      <c r="F185" s="93">
        <v>55</v>
      </c>
      <c r="G185" s="93">
        <v>60</v>
      </c>
      <c r="H185" s="93">
        <v>54</v>
      </c>
      <c r="I185" s="93">
        <v>59</v>
      </c>
      <c r="J185" s="92">
        <v>431</v>
      </c>
      <c r="K185" s="62"/>
    </row>
    <row r="186" spans="2:11" customFormat="1" ht="15" customHeight="1">
      <c r="B186" s="94">
        <v>2011</v>
      </c>
      <c r="C186" s="93">
        <v>76</v>
      </c>
      <c r="D186" s="93">
        <v>58</v>
      </c>
      <c r="E186" s="93">
        <v>68</v>
      </c>
      <c r="F186" s="93">
        <v>78</v>
      </c>
      <c r="G186" s="93">
        <v>53</v>
      </c>
      <c r="H186" s="93">
        <v>60</v>
      </c>
      <c r="I186" s="93">
        <v>57</v>
      </c>
      <c r="J186" s="92">
        <v>450</v>
      </c>
      <c r="K186" s="62"/>
    </row>
    <row r="187" spans="2:11" customFormat="1" ht="15" customHeight="1">
      <c r="B187" s="94">
        <v>2012</v>
      </c>
      <c r="C187" s="93">
        <v>91</v>
      </c>
      <c r="D187" s="93">
        <v>86</v>
      </c>
      <c r="E187" s="93">
        <v>59</v>
      </c>
      <c r="F187" s="93">
        <v>65</v>
      </c>
      <c r="G187" s="93">
        <v>77</v>
      </c>
      <c r="H187" s="93">
        <v>52</v>
      </c>
      <c r="I187" s="93">
        <v>59</v>
      </c>
      <c r="J187" s="92">
        <v>489</v>
      </c>
      <c r="K187" s="62"/>
    </row>
    <row r="188" spans="2:11" customFormat="1" ht="15" customHeight="1">
      <c r="B188" s="94">
        <v>2013</v>
      </c>
      <c r="C188" s="93">
        <v>74</v>
      </c>
      <c r="D188" s="93">
        <v>90</v>
      </c>
      <c r="E188" s="93">
        <v>90</v>
      </c>
      <c r="F188" s="93">
        <v>62</v>
      </c>
      <c r="G188" s="93">
        <v>73</v>
      </c>
      <c r="H188" s="93">
        <v>78</v>
      </c>
      <c r="I188" s="93">
        <v>55</v>
      </c>
      <c r="J188" s="94">
        <v>522</v>
      </c>
      <c r="K188" s="62"/>
    </row>
    <row r="189" spans="2:11" customFormat="1" ht="15" customHeight="1">
      <c r="B189" s="94">
        <v>2014</v>
      </c>
      <c r="C189" s="93">
        <v>83</v>
      </c>
      <c r="D189" s="93">
        <v>75</v>
      </c>
      <c r="E189" s="93">
        <v>90</v>
      </c>
      <c r="F189" s="93">
        <v>95</v>
      </c>
      <c r="G189" s="93">
        <v>64</v>
      </c>
      <c r="H189" s="93">
        <v>72</v>
      </c>
      <c r="I189" s="93">
        <v>77</v>
      </c>
      <c r="J189" s="92">
        <v>556</v>
      </c>
      <c r="K189" s="65"/>
    </row>
    <row r="190" spans="2:11" customFormat="1" ht="15" customHeight="1">
      <c r="B190" s="94">
        <v>2015</v>
      </c>
      <c r="C190" s="93">
        <v>71</v>
      </c>
      <c r="D190" s="93">
        <v>82</v>
      </c>
      <c r="E190" s="93">
        <v>74</v>
      </c>
      <c r="F190" s="93">
        <v>93</v>
      </c>
      <c r="G190" s="93">
        <v>98</v>
      </c>
      <c r="H190" s="93">
        <v>66</v>
      </c>
      <c r="I190" s="93">
        <v>70</v>
      </c>
      <c r="J190" s="92">
        <v>554</v>
      </c>
      <c r="K190" s="65"/>
    </row>
    <row r="191" spans="2:11" customFormat="1" ht="15" customHeight="1">
      <c r="B191" s="94">
        <v>2016</v>
      </c>
      <c r="C191" s="93">
        <v>84</v>
      </c>
      <c r="D191" s="93">
        <v>74</v>
      </c>
      <c r="E191" s="93">
        <v>90</v>
      </c>
      <c r="F191" s="93">
        <v>83</v>
      </c>
      <c r="G191" s="93">
        <v>94</v>
      </c>
      <c r="H191" s="93">
        <v>99</v>
      </c>
      <c r="I191" s="93">
        <v>65</v>
      </c>
      <c r="J191" s="92">
        <v>589</v>
      </c>
      <c r="K191" s="65"/>
    </row>
    <row r="192" spans="2:11" ht="15" customHeight="1">
      <c r="B192" s="94">
        <v>2017</v>
      </c>
      <c r="C192" s="93">
        <f>VLOOKUP($E$3,Rolls!A1:FA90,42,FALSE)</f>
        <v>85</v>
      </c>
      <c r="D192" s="93">
        <f>VLOOKUP($E$3,Rolls!A1:FA90,43,FALSE)</f>
        <v>83</v>
      </c>
      <c r="E192" s="93">
        <f>VLOOKUP($E$3,Rolls!A1:FA90,44,FALSE)</f>
        <v>80</v>
      </c>
      <c r="F192" s="93">
        <f>VLOOKUP($E$3,Rolls!A1:FA90,45,FALSE)</f>
        <v>95</v>
      </c>
      <c r="G192" s="93">
        <f>VLOOKUP($E$3,Rolls!A1:FA90,46,FALSE)</f>
        <v>86</v>
      </c>
      <c r="H192" s="93">
        <f>VLOOKUP($E$3,Rolls!A1:FA90,47,FALSE)</f>
        <v>97</v>
      </c>
      <c r="I192" s="93">
        <f>VLOOKUP($E$3,Rolls!A1:FA90,48,FALSE)</f>
        <v>96</v>
      </c>
      <c r="J192" s="92">
        <f>VLOOKUP($E$3,Rolls!A1:FA90,49,FALSE)</f>
        <v>622</v>
      </c>
      <c r="K192" s="65"/>
    </row>
    <row r="193" spans="2:11" ht="15" customHeight="1">
      <c r="B193" s="94">
        <v>2018</v>
      </c>
      <c r="C193" s="93">
        <f>VLOOKUP($E$3,Rolls!A1:FA90,50,FALSE)</f>
        <v>72</v>
      </c>
      <c r="D193" s="93">
        <f>VLOOKUP($E$3,Rolls!A1:FA90,51,FALSE)</f>
        <v>77</v>
      </c>
      <c r="E193" s="93">
        <f>VLOOKUP($E$3,Rolls!A1:FA90,52,FALSE)</f>
        <v>83</v>
      </c>
      <c r="F193" s="93">
        <f>VLOOKUP($E$3,Rolls!A1:FA90,53,FALSE)</f>
        <v>87</v>
      </c>
      <c r="G193" s="93">
        <f>VLOOKUP($E$3,Rolls!A1:FA90,54,FALSE)</f>
        <v>97</v>
      </c>
      <c r="H193" s="93">
        <f>VLOOKUP($E$3,Rolls!A1:FA90,55,FALSE)</f>
        <v>90</v>
      </c>
      <c r="I193" s="93">
        <f>VLOOKUP($E$3,Rolls!A1:FA90,56,FALSE)</f>
        <v>99</v>
      </c>
      <c r="J193" s="92">
        <f>VLOOKUP($E$3,Rolls!A1:FA90,57,FALSE)</f>
        <v>605</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0866141732283472" right="0.70866141732283472" top="0.74803149606299213" bottom="0.74803149606299213" header="0.31496062992125984" footer="0.31496062992125984"/>
  <pageSetup paperSize="9" scale="68" fitToHeight="2" orientation="portrait" r:id="rId1"/>
  <rowBreaks count="1" manualBreakCount="1">
    <brk id="66" min="1" max="10"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17</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Buckstone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462 Pupils (16 classes)</v>
      </c>
      <c r="G12" s="16"/>
      <c r="H12" s="16"/>
    </row>
    <row r="13" spans="2:10" ht="15" customHeight="1">
      <c r="C13" s="16"/>
      <c r="D13" s="16"/>
      <c r="E13" s="16"/>
      <c r="F13" s="16"/>
      <c r="G13" s="16"/>
      <c r="H13" s="16"/>
    </row>
    <row r="14" spans="2:10" ht="15" customHeight="1">
      <c r="B14" s="15" t="str">
        <f>"Figure 1: "&amp;E3&amp;" Roll, 2002-2015"</f>
        <v>Figure 1: Buckstone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Buckstone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58</v>
      </c>
      <c r="E49" s="108">
        <f>VLOOKUP($E$3,'Catchment Projections'!$A$1:$BU$90,46,FALSE)</f>
        <v>112</v>
      </c>
      <c r="F49" s="108">
        <f>VLOOKUP($E$3,'Catchment Projections'!$A$1:$BU$90,47,FALSE)</f>
        <v>44</v>
      </c>
      <c r="G49" s="108">
        <f>VLOOKUP($E$3,'Catchment Projections'!$A$1:$BU$90,48,FALSE)</f>
        <v>54</v>
      </c>
      <c r="H49" s="133">
        <f>VLOOKUP($E$3,'Catchment Projections'!$A$1:$BU$90,49,FALSE)</f>
        <v>54</v>
      </c>
      <c r="I49" s="133">
        <f>VLOOKUP($E$3,'Catchment Projections'!$A$1:$BU$90,50,FALSE)</f>
        <v>55</v>
      </c>
      <c r="J49" s="133">
        <f>VLOOKUP($E$3,'Catchment Projections'!$A$1:$BU$90,51,FALSE)</f>
        <v>56</v>
      </c>
      <c r="K49" s="133">
        <f>VLOOKUP($E$3,'Catchment Projections'!$A$1:$BU$90,52,FALSE)</f>
        <v>56</v>
      </c>
      <c r="L49" s="133">
        <f>VLOOKUP($E$3,'Catchment Projections'!$A$1:$BU$90,53,FALSE)</f>
        <v>57</v>
      </c>
      <c r="M49" s="133">
        <f>VLOOKUP($E$3,'Catchment Projections'!$A$1:$BU$90,54,FALSE)</f>
        <v>57</v>
      </c>
      <c r="N49" s="133">
        <f>VLOOKUP($E$3,'Catchment Projections'!$A$1:$BU$90,55,FALSE)</f>
        <v>57</v>
      </c>
      <c r="O49" s="133">
        <f>VLOOKUP($E$3,'Catchment Projections'!$A$1:$BU$90,56,FALSE)</f>
        <v>57</v>
      </c>
      <c r="P49" s="133">
        <f>VLOOKUP($E$3,'Catchment Projections'!$A$1:$BU$90,57,FALSE)</f>
        <v>57</v>
      </c>
      <c r="Q49" s="133">
        <f>VLOOKUP($E$3,'Catchment Projections'!$A$1:$BU$90,58,FALSE)</f>
        <v>57</v>
      </c>
    </row>
    <row r="50" spans="2:17" ht="15" customHeight="1" thickBot="1">
      <c r="B50" s="410" t="s">
        <v>141</v>
      </c>
      <c r="C50" s="411"/>
      <c r="D50" s="286">
        <f>VLOOKUP(E3,'Housing Generation'!$A$3:$DQ$90,10,FALSE)</f>
        <v>0</v>
      </c>
      <c r="E50" s="286">
        <f>VLOOKUP(E3,'Housing Generation'!$A$3:$DQ$90,18,FALSE)</f>
        <v>0</v>
      </c>
      <c r="F50" s="286">
        <f>VLOOKUP(E3,'Housing Generation'!$A$3:$DQ$90,26,FALSE)</f>
        <v>0</v>
      </c>
      <c r="G50" s="243">
        <f>VLOOKUP(E3,'Housing Generation'!$A$3:$DQ$90,34,FALSE)</f>
        <v>0</v>
      </c>
      <c r="H50" s="133">
        <f>VLOOKUP(E3,'Housing Generation'!$A$3:$DQ$90,42,FALSE)</f>
        <v>0</v>
      </c>
      <c r="I50" s="133">
        <f>VLOOKUP(E3,'Housing Generation'!$A$3:$DQ$90,50,FALSE)</f>
        <v>0</v>
      </c>
      <c r="J50" s="133">
        <f>VLOOKUP(E3,'Housing Generation'!$A$3:$CK$90,58,FALSE)</f>
        <v>0</v>
      </c>
      <c r="K50" s="133">
        <f>VLOOKUP(E3,'Housing Generation'!$A$3:$CK$90,66,FALSE)</f>
        <v>0</v>
      </c>
      <c r="L50" s="133">
        <f>VLOOKUP(E3,'Housing Generation'!$A$3:$DQ$90,74,FALSE)</f>
        <v>0</v>
      </c>
      <c r="M50" s="133">
        <f>VLOOKUP(E3,'Housing Generation'!$A$3:$DQ$90,82,FALSE)</f>
        <v>0</v>
      </c>
      <c r="N50" s="133">
        <f>VLOOKUP(E3,'Housing Generation'!$A$3:$DQ$90,90,FALSE)</f>
        <v>0</v>
      </c>
      <c r="O50" s="133">
        <f>VLOOKUP(E3,'Housing Generation'!$A$3:$DQ$90,98,FALSE)</f>
        <v>0</v>
      </c>
      <c r="P50" s="133">
        <f>VLOOKUP(E3,'Housing Generation'!$A$3:$DQ$90,106,FALSE)</f>
        <v>0</v>
      </c>
      <c r="Q50" s="133">
        <f>VLOOKUP(E3,'Housing Generation'!$A$3:$DQ$90,114,FALSE)</f>
        <v>0</v>
      </c>
    </row>
    <row r="51" spans="2:17" ht="15" customHeight="1" thickTop="1">
      <c r="B51" s="421" t="s">
        <v>130</v>
      </c>
      <c r="C51" s="422"/>
      <c r="D51" s="47">
        <f t="shared" ref="D51:Q51" si="0">SUM(D49:D50)</f>
        <v>58</v>
      </c>
      <c r="E51" s="47">
        <f t="shared" si="0"/>
        <v>112</v>
      </c>
      <c r="F51" s="80">
        <f t="shared" si="0"/>
        <v>44</v>
      </c>
      <c r="G51" s="244">
        <f t="shared" si="0"/>
        <v>54</v>
      </c>
      <c r="H51" s="71">
        <f t="shared" si="0"/>
        <v>54</v>
      </c>
      <c r="I51" s="71">
        <f t="shared" si="0"/>
        <v>55</v>
      </c>
      <c r="J51" s="71">
        <f t="shared" si="0"/>
        <v>56</v>
      </c>
      <c r="K51" s="71">
        <f t="shared" si="0"/>
        <v>56</v>
      </c>
      <c r="L51" s="71">
        <f t="shared" si="0"/>
        <v>57</v>
      </c>
      <c r="M51" s="71">
        <f t="shared" si="0"/>
        <v>57</v>
      </c>
      <c r="N51" s="71">
        <f t="shared" si="0"/>
        <v>57</v>
      </c>
      <c r="O51" s="71">
        <f t="shared" si="0"/>
        <v>57</v>
      </c>
      <c r="P51" s="71">
        <f t="shared" si="0"/>
        <v>57</v>
      </c>
      <c r="Q51" s="71">
        <f t="shared" si="0"/>
        <v>57</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39</v>
      </c>
      <c r="D60" s="358">
        <f>VLOOKUP($E$3,'Catchment Projections'!$A$1:$BZ$90,74,FALSE)</f>
        <v>39</v>
      </c>
      <c r="E60" s="303">
        <f>D60/C60</f>
        <v>1</v>
      </c>
      <c r="G60" s="132">
        <v>2014</v>
      </c>
      <c r="H60" s="395">
        <f>VLOOKUP($G$60,$B$177:$C$215, 2, FALSE)</f>
        <v>48</v>
      </c>
      <c r="I60" s="120">
        <f>H60-D60</f>
        <v>9</v>
      </c>
      <c r="J60" s="121">
        <f>I60/H60</f>
        <v>0.1875</v>
      </c>
    </row>
    <row r="61" spans="2:17" ht="15" customHeight="1">
      <c r="B61" s="132">
        <v>2015</v>
      </c>
      <c r="C61" s="359">
        <f>VLOOKUP($E$3,'Catchment Projections'!$A$1:$BZ$90,41,FALSE)</f>
        <v>62</v>
      </c>
      <c r="D61" s="358">
        <f>VLOOKUP($E$3,'Catchment Projections'!$A$1:$BZ$90,75,FALSE)</f>
        <v>62</v>
      </c>
      <c r="E61" s="303">
        <f>D61/C61</f>
        <v>1</v>
      </c>
      <c r="G61" s="132">
        <v>2015</v>
      </c>
      <c r="H61" s="395">
        <f>VLOOKUP($G$61,$B$177:$C$215, 2, FALSE)</f>
        <v>66</v>
      </c>
      <c r="I61" s="120">
        <f>H61-D61</f>
        <v>4</v>
      </c>
      <c r="J61" s="121">
        <f>I61/H61</f>
        <v>6.0606060606060608E-2</v>
      </c>
    </row>
    <row r="62" spans="2:17" ht="15" customHeight="1">
      <c r="B62" s="131">
        <v>2016</v>
      </c>
      <c r="C62" s="359">
        <f>VLOOKUP($E$3,'Catchment Projections'!$A$1:$BZ$90,42,FALSE)</f>
        <v>44</v>
      </c>
      <c r="D62" s="358">
        <f>VLOOKUP($E$3,'Catchment Projections'!$A$1:$BZ$90,76,FALSE)</f>
        <v>43</v>
      </c>
      <c r="E62" s="57">
        <f>D62/C62</f>
        <v>0.97727272727272729</v>
      </c>
      <c r="G62" s="131">
        <v>2016</v>
      </c>
      <c r="H62" s="395">
        <f>VLOOKUP($G$62,$B$177:$C$215, 2, FALSE)</f>
        <v>56</v>
      </c>
      <c r="I62" s="120">
        <f>H62-D62</f>
        <v>13</v>
      </c>
      <c r="J62" s="121">
        <f>I62/H62</f>
        <v>0.23214285714285715</v>
      </c>
    </row>
    <row r="63" spans="2:17" ht="15" customHeight="1">
      <c r="B63" s="114">
        <v>2017</v>
      </c>
      <c r="C63" s="359">
        <f>VLOOKUP($E$3,'Catchment Projections'!$A$1:$BZ$90,43,FALSE)</f>
        <v>53</v>
      </c>
      <c r="D63" s="358">
        <f>VLOOKUP($E$3,'Catchment Projections'!$A$1:$BZ$90,77,FALSE)</f>
        <v>52</v>
      </c>
      <c r="E63" s="304">
        <f>D63/C63</f>
        <v>0.98113207547169812</v>
      </c>
      <c r="G63" s="114">
        <v>2017</v>
      </c>
      <c r="H63" s="395">
        <f>VLOOKUP($G$63,$B$177:$C$215, 2, FALSE)</f>
        <v>53</v>
      </c>
      <c r="I63" s="120">
        <f>H63-D63</f>
        <v>1</v>
      </c>
      <c r="J63" s="121">
        <f>I63/H63</f>
        <v>1.8867924528301886E-2</v>
      </c>
    </row>
    <row r="64" spans="2:17" ht="15" customHeight="1">
      <c r="B64" s="114">
        <v>2018</v>
      </c>
      <c r="C64" s="359">
        <f>VLOOKUP($E$3,'Catchment Projections'!$A$1:$BZ$90,44,FALSE)</f>
        <v>59</v>
      </c>
      <c r="D64" s="358">
        <f>VLOOKUP($E$3,'Catchment Projections'!$A$1:$BZ$90,78,FALSE)</f>
        <v>59</v>
      </c>
      <c r="E64" s="305">
        <f>D64/C64</f>
        <v>1</v>
      </c>
      <c r="G64" s="114">
        <v>2018</v>
      </c>
      <c r="H64" s="395">
        <f>VLOOKUP($G$64,$B$177:$C$215, 2, FALSE)</f>
        <v>63</v>
      </c>
      <c r="I64" s="120">
        <f>H64-D64</f>
        <v>4</v>
      </c>
      <c r="J64" s="121">
        <f>I64/H64</f>
        <v>6.3492063492063489E-2</v>
      </c>
    </row>
    <row r="65" spans="2:10" ht="15" customHeight="1">
      <c r="B65" s="412" t="s">
        <v>136</v>
      </c>
      <c r="C65" s="413"/>
      <c r="D65" s="414"/>
      <c r="E65" s="137">
        <f>IF((AVERAGE(E62:E64))="#DIV/0!","n/a",(AVERAGE(E62:E64)))</f>
        <v>0.9861349342481418</v>
      </c>
      <c r="G65" s="415" t="s">
        <v>137</v>
      </c>
      <c r="H65" s="416"/>
      <c r="I65" s="138">
        <f>MEDIAN(I60:I64)</f>
        <v>4</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58</v>
      </c>
      <c r="D70" s="408"/>
      <c r="E70" s="122">
        <f>E65</f>
        <v>0.9861349342481418</v>
      </c>
      <c r="F70" s="120">
        <f t="shared" ref="F70:F83" si="1">C70*$E$65</f>
        <v>57.195826186392225</v>
      </c>
      <c r="G70" s="118">
        <f>IF(F70&lt;26,25,IF(F70&gt;135,140,IF(F70&gt;130,135,IF(F70&gt;125,130,IF(F70&gt;120,125,IF(F70&gt;115,120,IF(F70&gt;110,115,IF(F70&gt;105,110,IF(F70&gt;100,105,IF(F70&gt;99,100,IF(F70&gt;90,99,IF(F70&gt;75,90,IF(F70&gt;72,75,IF(F70&gt;66,72,IF(F70&gt;60,66,IF(F70&gt;50,60,IF(F70&gt;30,50,IF(F70&gt;25,30,0))))))))))))))))))</f>
        <v>60</v>
      </c>
      <c r="H70" s="119">
        <f t="shared" ref="H70:H83" si="2">G70-F70</f>
        <v>2.8041738136077754</v>
      </c>
      <c r="I70" s="118" t="str">
        <f>IF(I$65&lt;H70, "NO", "YES")</f>
        <v>YES</v>
      </c>
      <c r="J70" s="117">
        <f t="shared" ref="J70:J83" si="3">IF(I70="YES",G70,(MIN((SUM(F70,$I$65)),G70)))</f>
        <v>60</v>
      </c>
    </row>
    <row r="71" spans="2:10" ht="15" customHeight="1">
      <c r="B71" s="114">
        <v>2020</v>
      </c>
      <c r="C71" s="433">
        <f>E51</f>
        <v>112</v>
      </c>
      <c r="D71" s="408"/>
      <c r="E71" s="121">
        <f>E65</f>
        <v>0.9861349342481418</v>
      </c>
      <c r="F71" s="120">
        <f t="shared" si="1"/>
        <v>110.44711263579188</v>
      </c>
      <c r="G71" s="118">
        <f t="shared" ref="G71:G83" si="4">IF(F71&lt;26,25,IF(F71&gt;135,140,IF(F71&gt;130,135,IF(F71&gt;125,130,IF(F71&gt;120,125,IF(F71&gt;115,120,IF(F71&gt;110,115,IF(F71&gt;105,110,IF(F71&gt;100,105,IF(F71&gt;99,100,IF(F71&gt;90,99,IF(F71&gt;75,90,IF(F71&gt;72,75,IF(F71&gt;66,72,IF(F71&gt;60,66,IF(F71&gt;50,60,IF(F71&gt;30,50,IF(F71&gt;25,30,0))))))))))))))))))</f>
        <v>115</v>
      </c>
      <c r="H71" s="119">
        <f t="shared" si="2"/>
        <v>4.552887364208118</v>
      </c>
      <c r="I71" s="118" t="str">
        <f t="shared" ref="I71:I83" si="5">IF(I$65&lt;H71, "NO", "YES")</f>
        <v>NO</v>
      </c>
      <c r="J71" s="117">
        <f t="shared" si="3"/>
        <v>114.44711263579188</v>
      </c>
    </row>
    <row r="72" spans="2:10" ht="15" customHeight="1">
      <c r="B72" s="114">
        <v>2021</v>
      </c>
      <c r="C72" s="430">
        <f>F51</f>
        <v>44</v>
      </c>
      <c r="D72" s="431"/>
      <c r="E72" s="121">
        <f>E65</f>
        <v>0.9861349342481418</v>
      </c>
      <c r="F72" s="120">
        <f t="shared" si="1"/>
        <v>43.389937106918239</v>
      </c>
      <c r="G72" s="118">
        <f t="shared" si="4"/>
        <v>50</v>
      </c>
      <c r="H72" s="119">
        <f t="shared" si="2"/>
        <v>6.6100628930817606</v>
      </c>
      <c r="I72" s="118" t="str">
        <f t="shared" si="5"/>
        <v>NO</v>
      </c>
      <c r="J72" s="117">
        <f t="shared" si="3"/>
        <v>47.389937106918239</v>
      </c>
    </row>
    <row r="73" spans="2:10" ht="15" customHeight="1">
      <c r="B73" s="114">
        <v>2022</v>
      </c>
      <c r="C73" s="430">
        <f>G51</f>
        <v>54</v>
      </c>
      <c r="D73" s="431"/>
      <c r="E73" s="121">
        <f>E65</f>
        <v>0.9861349342481418</v>
      </c>
      <c r="F73" s="120">
        <f t="shared" si="1"/>
        <v>53.251286449399657</v>
      </c>
      <c r="G73" s="118">
        <f t="shared" si="4"/>
        <v>60</v>
      </c>
      <c r="H73" s="119">
        <f t="shared" si="2"/>
        <v>6.7487135506003426</v>
      </c>
      <c r="I73" s="118" t="str">
        <f t="shared" si="5"/>
        <v>NO</v>
      </c>
      <c r="J73" s="117">
        <f t="shared" si="3"/>
        <v>57.251286449399657</v>
      </c>
    </row>
    <row r="74" spans="2:10" ht="15" customHeight="1">
      <c r="B74" s="114">
        <v>2023</v>
      </c>
      <c r="C74" s="430">
        <f>H51</f>
        <v>54</v>
      </c>
      <c r="D74" s="431"/>
      <c r="E74" s="121">
        <f>E65</f>
        <v>0.9861349342481418</v>
      </c>
      <c r="F74" s="120">
        <f t="shared" si="1"/>
        <v>53.251286449399657</v>
      </c>
      <c r="G74" s="118">
        <f t="shared" si="4"/>
        <v>60</v>
      </c>
      <c r="H74" s="119">
        <f t="shared" si="2"/>
        <v>6.7487135506003426</v>
      </c>
      <c r="I74" s="118" t="str">
        <f t="shared" si="5"/>
        <v>NO</v>
      </c>
      <c r="J74" s="117">
        <f t="shared" si="3"/>
        <v>57.251286449399657</v>
      </c>
    </row>
    <row r="75" spans="2:10" ht="15" customHeight="1">
      <c r="B75" s="114">
        <v>2024</v>
      </c>
      <c r="C75" s="430">
        <f>I51</f>
        <v>55</v>
      </c>
      <c r="D75" s="431"/>
      <c r="E75" s="121">
        <f>E65</f>
        <v>0.9861349342481418</v>
      </c>
      <c r="F75" s="120">
        <f t="shared" si="1"/>
        <v>54.237421383647799</v>
      </c>
      <c r="G75" s="118">
        <f t="shared" si="4"/>
        <v>60</v>
      </c>
      <c r="H75" s="119">
        <f t="shared" si="2"/>
        <v>5.7625786163522008</v>
      </c>
      <c r="I75" s="118" t="str">
        <f t="shared" si="5"/>
        <v>NO</v>
      </c>
      <c r="J75" s="117">
        <f t="shared" si="3"/>
        <v>58.237421383647799</v>
      </c>
    </row>
    <row r="76" spans="2:10" ht="15" customHeight="1">
      <c r="B76" s="114">
        <v>2025</v>
      </c>
      <c r="C76" s="430">
        <f>J51</f>
        <v>56</v>
      </c>
      <c r="D76" s="431"/>
      <c r="E76" s="121">
        <f>E65</f>
        <v>0.9861349342481418</v>
      </c>
      <c r="F76" s="120">
        <f t="shared" si="1"/>
        <v>55.223556317895941</v>
      </c>
      <c r="G76" s="118">
        <f t="shared" si="4"/>
        <v>60</v>
      </c>
      <c r="H76" s="119">
        <f t="shared" si="2"/>
        <v>4.776443682104059</v>
      </c>
      <c r="I76" s="118" t="str">
        <f t="shared" si="5"/>
        <v>NO</v>
      </c>
      <c r="J76" s="117">
        <f t="shared" si="3"/>
        <v>59.223556317895941</v>
      </c>
    </row>
    <row r="77" spans="2:10" ht="15" customHeight="1">
      <c r="B77" s="114">
        <v>2026</v>
      </c>
      <c r="C77" s="430">
        <f>K51</f>
        <v>56</v>
      </c>
      <c r="D77" s="431"/>
      <c r="E77" s="121">
        <f>E65</f>
        <v>0.9861349342481418</v>
      </c>
      <c r="F77" s="120">
        <f t="shared" si="1"/>
        <v>55.223556317895941</v>
      </c>
      <c r="G77" s="118">
        <f t="shared" si="4"/>
        <v>60</v>
      </c>
      <c r="H77" s="119">
        <f t="shared" si="2"/>
        <v>4.776443682104059</v>
      </c>
      <c r="I77" s="118" t="str">
        <f t="shared" si="5"/>
        <v>NO</v>
      </c>
      <c r="J77" s="117">
        <f t="shared" si="3"/>
        <v>59.223556317895941</v>
      </c>
    </row>
    <row r="78" spans="2:10" ht="15" customHeight="1">
      <c r="B78" s="114">
        <v>2027</v>
      </c>
      <c r="C78" s="430">
        <f>L51</f>
        <v>57</v>
      </c>
      <c r="D78" s="431"/>
      <c r="E78" s="121">
        <f>E65</f>
        <v>0.9861349342481418</v>
      </c>
      <c r="F78" s="120">
        <f t="shared" si="1"/>
        <v>56.209691252144083</v>
      </c>
      <c r="G78" s="118">
        <f t="shared" si="4"/>
        <v>60</v>
      </c>
      <c r="H78" s="119">
        <f t="shared" si="2"/>
        <v>3.7903087478559172</v>
      </c>
      <c r="I78" s="118" t="str">
        <f t="shared" si="5"/>
        <v>YES</v>
      </c>
      <c r="J78" s="117">
        <f t="shared" si="3"/>
        <v>60</v>
      </c>
    </row>
    <row r="79" spans="2:10" ht="15" customHeight="1">
      <c r="B79" s="114">
        <v>2028</v>
      </c>
      <c r="C79" s="430">
        <f>M51</f>
        <v>57</v>
      </c>
      <c r="D79" s="431"/>
      <c r="E79" s="121">
        <f t="shared" ref="E79:E83" si="6">$E$65</f>
        <v>0.9861349342481418</v>
      </c>
      <c r="F79" s="120">
        <f t="shared" si="1"/>
        <v>56.209691252144083</v>
      </c>
      <c r="G79" s="118">
        <f t="shared" si="4"/>
        <v>60</v>
      </c>
      <c r="H79" s="119">
        <f t="shared" si="2"/>
        <v>3.7903087478559172</v>
      </c>
      <c r="I79" s="118" t="str">
        <f t="shared" si="5"/>
        <v>YES</v>
      </c>
      <c r="J79" s="117">
        <f t="shared" si="3"/>
        <v>60</v>
      </c>
    </row>
    <row r="80" spans="2:10" ht="15" customHeight="1">
      <c r="B80" s="114">
        <v>2029</v>
      </c>
      <c r="C80" s="430">
        <f>N51</f>
        <v>57</v>
      </c>
      <c r="D80" s="431"/>
      <c r="E80" s="121">
        <f t="shared" si="6"/>
        <v>0.9861349342481418</v>
      </c>
      <c r="F80" s="120">
        <f t="shared" si="1"/>
        <v>56.209691252144083</v>
      </c>
      <c r="G80" s="118">
        <f t="shared" si="4"/>
        <v>60</v>
      </c>
      <c r="H80" s="119">
        <f t="shared" si="2"/>
        <v>3.7903087478559172</v>
      </c>
      <c r="I80" s="118" t="str">
        <f t="shared" si="5"/>
        <v>YES</v>
      </c>
      <c r="J80" s="117">
        <f t="shared" si="3"/>
        <v>60</v>
      </c>
    </row>
    <row r="81" spans="2:10" ht="15" customHeight="1">
      <c r="B81" s="114">
        <v>2030</v>
      </c>
      <c r="C81" s="430">
        <f>O51</f>
        <v>57</v>
      </c>
      <c r="D81" s="431"/>
      <c r="E81" s="121">
        <f t="shared" si="6"/>
        <v>0.9861349342481418</v>
      </c>
      <c r="F81" s="120">
        <f t="shared" si="1"/>
        <v>56.209691252144083</v>
      </c>
      <c r="G81" s="118">
        <f t="shared" si="4"/>
        <v>60</v>
      </c>
      <c r="H81" s="119">
        <f t="shared" si="2"/>
        <v>3.7903087478559172</v>
      </c>
      <c r="I81" s="118" t="str">
        <f t="shared" si="5"/>
        <v>YES</v>
      </c>
      <c r="J81" s="117">
        <f t="shared" si="3"/>
        <v>60</v>
      </c>
    </row>
    <row r="82" spans="2:10" ht="15" customHeight="1">
      <c r="B82" s="114">
        <v>2031</v>
      </c>
      <c r="C82" s="430">
        <f>P51</f>
        <v>57</v>
      </c>
      <c r="D82" s="431"/>
      <c r="E82" s="121">
        <f t="shared" si="6"/>
        <v>0.9861349342481418</v>
      </c>
      <c r="F82" s="120">
        <f t="shared" si="1"/>
        <v>56.209691252144083</v>
      </c>
      <c r="G82" s="118">
        <f t="shared" si="4"/>
        <v>60</v>
      </c>
      <c r="H82" s="119">
        <f t="shared" si="2"/>
        <v>3.7903087478559172</v>
      </c>
      <c r="I82" s="118" t="str">
        <f t="shared" si="5"/>
        <v>YES</v>
      </c>
      <c r="J82" s="117">
        <f t="shared" si="3"/>
        <v>60</v>
      </c>
    </row>
    <row r="83" spans="2:10" ht="15" customHeight="1">
      <c r="B83" s="114">
        <v>2032</v>
      </c>
      <c r="C83" s="430">
        <f>Q51</f>
        <v>57</v>
      </c>
      <c r="D83" s="431"/>
      <c r="E83" s="121">
        <f t="shared" si="6"/>
        <v>0.9861349342481418</v>
      </c>
      <c r="F83" s="120">
        <f t="shared" si="1"/>
        <v>56.209691252144083</v>
      </c>
      <c r="G83" s="118">
        <f t="shared" si="4"/>
        <v>60</v>
      </c>
      <c r="H83" s="119">
        <f t="shared" si="2"/>
        <v>3.7903087478559172</v>
      </c>
      <c r="I83" s="118" t="str">
        <f t="shared" si="5"/>
        <v>YES</v>
      </c>
      <c r="J83" s="117">
        <f t="shared" si="3"/>
        <v>60</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Buckstone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51</v>
      </c>
      <c r="D91" s="112">
        <f t="shared" ref="D91:J91" si="7">D188</f>
        <v>66</v>
      </c>
      <c r="E91" s="112">
        <f t="shared" si="7"/>
        <v>49</v>
      </c>
      <c r="F91" s="112">
        <f t="shared" si="7"/>
        <v>66</v>
      </c>
      <c r="G91" s="112">
        <f t="shared" si="7"/>
        <v>48</v>
      </c>
      <c r="H91" s="112">
        <f t="shared" si="7"/>
        <v>55</v>
      </c>
      <c r="I91" s="112">
        <f t="shared" si="7"/>
        <v>49</v>
      </c>
      <c r="J91" s="213">
        <f t="shared" si="7"/>
        <v>384</v>
      </c>
    </row>
    <row r="92" spans="2:10" ht="15" customHeight="1">
      <c r="B92" s="114">
        <v>2014</v>
      </c>
      <c r="C92" s="112">
        <f>C189</f>
        <v>48</v>
      </c>
      <c r="D92" s="112">
        <f t="shared" ref="D92:J92" si="8">D189</f>
        <v>58</v>
      </c>
      <c r="E92" s="112">
        <f t="shared" si="8"/>
        <v>69</v>
      </c>
      <c r="F92" s="112">
        <f t="shared" si="8"/>
        <v>53</v>
      </c>
      <c r="G92" s="112">
        <f t="shared" si="8"/>
        <v>73</v>
      </c>
      <c r="H92" s="112">
        <f t="shared" si="8"/>
        <v>51</v>
      </c>
      <c r="I92" s="112">
        <f t="shared" si="8"/>
        <v>57</v>
      </c>
      <c r="J92" s="213">
        <f t="shared" si="8"/>
        <v>409</v>
      </c>
    </row>
    <row r="93" spans="2:10" ht="15" customHeight="1">
      <c r="B93" s="114">
        <v>2015</v>
      </c>
      <c r="C93" s="112">
        <f>C190</f>
        <v>66</v>
      </c>
      <c r="D93" s="112">
        <f t="shared" ref="D93:J93" si="9">D190</f>
        <v>53</v>
      </c>
      <c r="E93" s="112">
        <f t="shared" si="9"/>
        <v>60</v>
      </c>
      <c r="F93" s="112">
        <f t="shared" si="9"/>
        <v>71</v>
      </c>
      <c r="G93" s="112">
        <f t="shared" si="9"/>
        <v>53</v>
      </c>
      <c r="H93" s="112">
        <f t="shared" si="9"/>
        <v>70</v>
      </c>
      <c r="I93" s="112">
        <f t="shared" si="9"/>
        <v>48</v>
      </c>
      <c r="J93" s="213">
        <f t="shared" si="9"/>
        <v>421</v>
      </c>
    </row>
    <row r="94" spans="2:10" ht="15" customHeight="1">
      <c r="B94" s="114">
        <v>2016</v>
      </c>
      <c r="C94" s="112">
        <f>C191</f>
        <v>56</v>
      </c>
      <c r="D94" s="112">
        <f t="shared" ref="D94:J94" si="10">D191</f>
        <v>71</v>
      </c>
      <c r="E94" s="112">
        <f t="shared" si="10"/>
        <v>57</v>
      </c>
      <c r="F94" s="112">
        <f t="shared" si="10"/>
        <v>60</v>
      </c>
      <c r="G94" s="112">
        <f t="shared" si="10"/>
        <v>69</v>
      </c>
      <c r="H94" s="112">
        <f t="shared" si="10"/>
        <v>56</v>
      </c>
      <c r="I94" s="112">
        <f t="shared" si="10"/>
        <v>71</v>
      </c>
      <c r="J94" s="213">
        <f t="shared" si="10"/>
        <v>440</v>
      </c>
    </row>
    <row r="95" spans="2:10" ht="15" customHeight="1">
      <c r="B95" s="114">
        <v>2017</v>
      </c>
      <c r="C95" s="112">
        <f>C192</f>
        <v>53</v>
      </c>
      <c r="D95" s="112">
        <f t="shared" ref="D95:J95" si="11">D192</f>
        <v>60</v>
      </c>
      <c r="E95" s="112">
        <f t="shared" si="11"/>
        <v>78</v>
      </c>
      <c r="F95" s="112">
        <f t="shared" si="11"/>
        <v>58</v>
      </c>
      <c r="G95" s="112">
        <f t="shared" si="11"/>
        <v>62</v>
      </c>
      <c r="H95" s="112">
        <f t="shared" si="11"/>
        <v>73</v>
      </c>
      <c r="I95" s="112">
        <f t="shared" si="11"/>
        <v>54</v>
      </c>
      <c r="J95" s="213">
        <f t="shared" si="11"/>
        <v>438</v>
      </c>
    </row>
    <row r="96" spans="2:10" ht="15" customHeight="1">
      <c r="B96" s="307">
        <v>2018</v>
      </c>
      <c r="C96" s="112">
        <f t="shared" ref="C96:J96" si="12">C193</f>
        <v>63</v>
      </c>
      <c r="D96" s="112">
        <f t="shared" si="12"/>
        <v>54</v>
      </c>
      <c r="E96" s="112">
        <f t="shared" si="12"/>
        <v>57</v>
      </c>
      <c r="F96" s="112">
        <f t="shared" si="12"/>
        <v>79</v>
      </c>
      <c r="G96" s="112">
        <f t="shared" si="12"/>
        <v>51</v>
      </c>
      <c r="H96" s="112">
        <f t="shared" si="12"/>
        <v>58</v>
      </c>
      <c r="I96" s="112">
        <f t="shared" si="12"/>
        <v>67</v>
      </c>
      <c r="J96" s="213">
        <f t="shared" si="12"/>
        <v>429</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-7.575757575757576E-2</v>
      </c>
      <c r="E98" s="210">
        <f t="shared" ref="E98:I98" si="13">MEDIAN(((D91-E92)/D91),((D92-E93)/D92),((D93-E94)/D93),((D94-E95)/D94),((D95-E96)/D95))</f>
        <v>-4.5454545454545456E-2</v>
      </c>
      <c r="F98" s="210">
        <f t="shared" si="13"/>
        <v>-1.7543859649122806E-2</v>
      </c>
      <c r="G98" s="210">
        <f t="shared" si="13"/>
        <v>0</v>
      </c>
      <c r="H98" s="210">
        <f t="shared" si="13"/>
        <v>-5.6603773584905662E-2</v>
      </c>
      <c r="I98" s="210">
        <f t="shared" si="13"/>
        <v>3.5714285714285712E-2</v>
      </c>
    </row>
    <row r="99" spans="2:10" ht="15" customHeight="1">
      <c r="B99" s="59"/>
      <c r="C99" s="60"/>
      <c r="D99" s="61"/>
      <c r="E99" s="61"/>
      <c r="F99" s="61"/>
      <c r="G99" s="61"/>
      <c r="H99" s="61"/>
      <c r="I99" s="61"/>
      <c r="J99" s="58"/>
    </row>
    <row r="100" spans="2:10" ht="15" customHeight="1">
      <c r="B100" s="15" t="str">
        <f>"Table 4B: "&amp;E3&amp;" Projected Roll by Stage (incorporating Projected P1 and Drop-Off Rates), 2019-2032"</f>
        <v>Table 4B: Buckstone Primary School Projected Roll by Stage (incorporating Projected P1 and Drop-Off Rates), 2019-2032</v>
      </c>
      <c r="F100" s="14"/>
      <c r="G100" s="14"/>
    </row>
    <row r="101" spans="2:10" ht="15" customHeight="1">
      <c r="F101" s="14"/>
      <c r="G101" s="14"/>
    </row>
    <row r="102" spans="2:10" ht="15" customHeight="1">
      <c r="B102" s="115"/>
      <c r="C102" s="109" t="s">
        <v>1</v>
      </c>
      <c r="D102" s="109" t="s">
        <v>2</v>
      </c>
      <c r="E102" s="109" t="s">
        <v>3</v>
      </c>
      <c r="F102" s="109" t="s">
        <v>4</v>
      </c>
      <c r="G102" s="109" t="s">
        <v>5</v>
      </c>
      <c r="H102" s="109" t="s">
        <v>6</v>
      </c>
      <c r="I102" s="109" t="s">
        <v>7</v>
      </c>
      <c r="J102" s="109" t="s">
        <v>8</v>
      </c>
    </row>
    <row r="103" spans="2:10" ht="15" customHeight="1">
      <c r="B103" s="114">
        <v>2019</v>
      </c>
      <c r="C103" s="113">
        <f t="shared" ref="C103:C116" si="14">J70</f>
        <v>60</v>
      </c>
      <c r="D103" s="324">
        <f>ROUND((C96)-(C96*$D$98),0)</f>
        <v>68</v>
      </c>
      <c r="E103" s="324">
        <f>ROUND((D96)-(D96*$E$98),0)</f>
        <v>56</v>
      </c>
      <c r="F103" s="324">
        <f>ROUND((E96)-(E96*$F$98),0)</f>
        <v>58</v>
      </c>
      <c r="G103" s="324">
        <f>ROUND((F96)-(F96*$G$98),0)</f>
        <v>79</v>
      </c>
      <c r="H103" s="324">
        <f>ROUND((G96)-(G96*$H$98),0)</f>
        <v>54</v>
      </c>
      <c r="I103" s="324">
        <f>ROUND((H96)-(H96*$I$98),0)</f>
        <v>56</v>
      </c>
      <c r="J103" s="111">
        <f t="shared" ref="J103:J116" si="15">SUM(C103:I103)</f>
        <v>431</v>
      </c>
    </row>
    <row r="104" spans="2:10" ht="15" customHeight="1">
      <c r="B104" s="114">
        <v>2020</v>
      </c>
      <c r="C104" s="113">
        <f t="shared" si="14"/>
        <v>114.44711263579188</v>
      </c>
      <c r="D104" s="324">
        <f>ROUND((C103-E50)-(C103*$D$98),0)</f>
        <v>65</v>
      </c>
      <c r="E104" s="112">
        <f t="shared" ref="E104:E116" si="16">ROUND((D103)-(D103*$E$98),0)</f>
        <v>71</v>
      </c>
      <c r="F104" s="112">
        <f t="shared" ref="F104:F116" si="17">ROUND((E103)-(E103*$F$98),0)</f>
        <v>57</v>
      </c>
      <c r="G104" s="112">
        <f t="shared" ref="G104:G116" si="18">ROUND((F103)-(F103*$G$98),0)</f>
        <v>58</v>
      </c>
      <c r="H104" s="112">
        <f t="shared" ref="H104:H116" si="19">ROUND((G103)-(G103*$H$98),0)</f>
        <v>83</v>
      </c>
      <c r="I104" s="112">
        <f t="shared" ref="I104:I116" si="20">ROUND((H103)-(H103*$I$98),0)</f>
        <v>52</v>
      </c>
      <c r="J104" s="111">
        <f t="shared" si="15"/>
        <v>500.44711263579188</v>
      </c>
    </row>
    <row r="105" spans="2:10" ht="15" customHeight="1">
      <c r="B105" s="114">
        <v>2021</v>
      </c>
      <c r="C105" s="113">
        <f t="shared" si="14"/>
        <v>47.389937106918239</v>
      </c>
      <c r="D105" s="324">
        <f>ROUND((C104-F50)-(C104*$D$98),0)</f>
        <v>123</v>
      </c>
      <c r="E105" s="112">
        <f t="shared" si="16"/>
        <v>68</v>
      </c>
      <c r="F105" s="112">
        <f t="shared" si="17"/>
        <v>72</v>
      </c>
      <c r="G105" s="112">
        <f t="shared" si="18"/>
        <v>57</v>
      </c>
      <c r="H105" s="112">
        <f t="shared" si="19"/>
        <v>61</v>
      </c>
      <c r="I105" s="112">
        <f t="shared" si="20"/>
        <v>80</v>
      </c>
      <c r="J105" s="111">
        <f t="shared" si="15"/>
        <v>508.38993710691824</v>
      </c>
    </row>
    <row r="106" spans="2:10" ht="15" customHeight="1">
      <c r="B106" s="114">
        <v>2022</v>
      </c>
      <c r="C106" s="113">
        <f t="shared" si="14"/>
        <v>57.251286449399657</v>
      </c>
      <c r="D106" s="324">
        <f>ROUND((C105-G50)-(C105*$D$98),0)</f>
        <v>51</v>
      </c>
      <c r="E106" s="112">
        <f t="shared" si="16"/>
        <v>129</v>
      </c>
      <c r="F106" s="112">
        <f t="shared" si="17"/>
        <v>69</v>
      </c>
      <c r="G106" s="112">
        <f t="shared" si="18"/>
        <v>72</v>
      </c>
      <c r="H106" s="112">
        <f t="shared" si="19"/>
        <v>60</v>
      </c>
      <c r="I106" s="112">
        <f t="shared" si="20"/>
        <v>59</v>
      </c>
      <c r="J106" s="111">
        <f t="shared" si="15"/>
        <v>497.25128644939969</v>
      </c>
    </row>
    <row r="107" spans="2:10" ht="15" customHeight="1">
      <c r="B107" s="114">
        <v>2023</v>
      </c>
      <c r="C107" s="113">
        <f t="shared" si="14"/>
        <v>57.251286449399657</v>
      </c>
      <c r="D107" s="324">
        <f>ROUND((C106-H50)-(C106*$D$98),0)</f>
        <v>62</v>
      </c>
      <c r="E107" s="112">
        <f t="shared" si="16"/>
        <v>53</v>
      </c>
      <c r="F107" s="112">
        <f t="shared" si="17"/>
        <v>131</v>
      </c>
      <c r="G107" s="112">
        <f t="shared" si="18"/>
        <v>69</v>
      </c>
      <c r="H107" s="112">
        <f t="shared" si="19"/>
        <v>76</v>
      </c>
      <c r="I107" s="112">
        <f t="shared" si="20"/>
        <v>58</v>
      </c>
      <c r="J107" s="111">
        <f t="shared" si="15"/>
        <v>506.25128644939969</v>
      </c>
    </row>
    <row r="108" spans="2:10" ht="15" customHeight="1">
      <c r="B108" s="114">
        <v>2024</v>
      </c>
      <c r="C108" s="113">
        <f t="shared" si="14"/>
        <v>58.237421383647799</v>
      </c>
      <c r="D108" s="324">
        <f>ROUND((C107-I50)-(C107*$D$98),0)</f>
        <v>62</v>
      </c>
      <c r="E108" s="112">
        <f t="shared" si="16"/>
        <v>65</v>
      </c>
      <c r="F108" s="112">
        <f t="shared" si="17"/>
        <v>54</v>
      </c>
      <c r="G108" s="112">
        <f t="shared" si="18"/>
        <v>131</v>
      </c>
      <c r="H108" s="112">
        <f t="shared" si="19"/>
        <v>73</v>
      </c>
      <c r="I108" s="112">
        <f t="shared" si="20"/>
        <v>73</v>
      </c>
      <c r="J108" s="111">
        <f t="shared" si="15"/>
        <v>516.23742138364787</v>
      </c>
    </row>
    <row r="109" spans="2:10" ht="15" customHeight="1">
      <c r="B109" s="114">
        <v>2025</v>
      </c>
      <c r="C109" s="113">
        <f t="shared" si="14"/>
        <v>59.223556317895941</v>
      </c>
      <c r="D109" s="324">
        <f>ROUND((C108-J50)-(C108*$D$98),0)</f>
        <v>63</v>
      </c>
      <c r="E109" s="112">
        <f t="shared" si="16"/>
        <v>65</v>
      </c>
      <c r="F109" s="112">
        <f t="shared" si="17"/>
        <v>66</v>
      </c>
      <c r="G109" s="112">
        <f t="shared" si="18"/>
        <v>54</v>
      </c>
      <c r="H109" s="112">
        <f t="shared" si="19"/>
        <v>138</v>
      </c>
      <c r="I109" s="112">
        <f t="shared" si="20"/>
        <v>70</v>
      </c>
      <c r="J109" s="111">
        <f t="shared" si="15"/>
        <v>515.22355631789594</v>
      </c>
    </row>
    <row r="110" spans="2:10" ht="15" customHeight="1">
      <c r="B110" s="114">
        <v>2026</v>
      </c>
      <c r="C110" s="113">
        <f t="shared" si="14"/>
        <v>59.223556317895941</v>
      </c>
      <c r="D110" s="324">
        <f>ROUND((C109-K50)-(C109*$D$98),0)</f>
        <v>64</v>
      </c>
      <c r="E110" s="112">
        <f t="shared" si="16"/>
        <v>66</v>
      </c>
      <c r="F110" s="112">
        <f t="shared" si="17"/>
        <v>66</v>
      </c>
      <c r="G110" s="112">
        <f t="shared" si="18"/>
        <v>66</v>
      </c>
      <c r="H110" s="112">
        <f t="shared" si="19"/>
        <v>57</v>
      </c>
      <c r="I110" s="112">
        <f t="shared" si="20"/>
        <v>133</v>
      </c>
      <c r="J110" s="111">
        <f t="shared" si="15"/>
        <v>511.22355631789594</v>
      </c>
    </row>
    <row r="111" spans="2:10" ht="15" customHeight="1">
      <c r="B111" s="114">
        <v>2027</v>
      </c>
      <c r="C111" s="113">
        <f t="shared" si="14"/>
        <v>60</v>
      </c>
      <c r="D111" s="324">
        <f>ROUND((C110-L50)-(C110*$D$98),0)</f>
        <v>64</v>
      </c>
      <c r="E111" s="112">
        <f t="shared" si="16"/>
        <v>67</v>
      </c>
      <c r="F111" s="112">
        <f t="shared" si="17"/>
        <v>67</v>
      </c>
      <c r="G111" s="112">
        <f t="shared" si="18"/>
        <v>66</v>
      </c>
      <c r="H111" s="112">
        <f t="shared" si="19"/>
        <v>70</v>
      </c>
      <c r="I111" s="112">
        <f t="shared" si="20"/>
        <v>55</v>
      </c>
      <c r="J111" s="111">
        <f t="shared" si="15"/>
        <v>449</v>
      </c>
    </row>
    <row r="112" spans="2:10" ht="15" customHeight="1">
      <c r="B112" s="114">
        <v>2028</v>
      </c>
      <c r="C112" s="113">
        <f t="shared" si="14"/>
        <v>60</v>
      </c>
      <c r="D112" s="324">
        <f>ROUND((C111-M50)-(C111*$D$98),0)</f>
        <v>65</v>
      </c>
      <c r="E112" s="112">
        <f t="shared" si="16"/>
        <v>67</v>
      </c>
      <c r="F112" s="112">
        <f t="shared" si="17"/>
        <v>68</v>
      </c>
      <c r="G112" s="112">
        <f t="shared" si="18"/>
        <v>67</v>
      </c>
      <c r="H112" s="112">
        <f t="shared" si="19"/>
        <v>70</v>
      </c>
      <c r="I112" s="112">
        <f t="shared" si="20"/>
        <v>68</v>
      </c>
      <c r="J112" s="111">
        <f t="shared" si="15"/>
        <v>465</v>
      </c>
    </row>
    <row r="113" spans="2:10" ht="15" customHeight="1">
      <c r="B113" s="114">
        <v>2029</v>
      </c>
      <c r="C113" s="113">
        <f t="shared" si="14"/>
        <v>60</v>
      </c>
      <c r="D113" s="324">
        <f>ROUND((C112-N50)-(C112*$D$98),0)</f>
        <v>65</v>
      </c>
      <c r="E113" s="112">
        <f t="shared" si="16"/>
        <v>68</v>
      </c>
      <c r="F113" s="112">
        <f t="shared" si="17"/>
        <v>68</v>
      </c>
      <c r="G113" s="112">
        <f t="shared" si="18"/>
        <v>68</v>
      </c>
      <c r="H113" s="112">
        <f t="shared" si="19"/>
        <v>71</v>
      </c>
      <c r="I113" s="112">
        <f t="shared" si="20"/>
        <v>68</v>
      </c>
      <c r="J113" s="111">
        <f t="shared" si="15"/>
        <v>468</v>
      </c>
    </row>
    <row r="114" spans="2:10" ht="15" customHeight="1">
      <c r="B114" s="114">
        <v>2030</v>
      </c>
      <c r="C114" s="113">
        <f t="shared" si="14"/>
        <v>60</v>
      </c>
      <c r="D114" s="324">
        <f>ROUND((C113-O50)-(C113*$D$98),0)</f>
        <v>65</v>
      </c>
      <c r="E114" s="112">
        <f t="shared" si="16"/>
        <v>68</v>
      </c>
      <c r="F114" s="112">
        <f t="shared" si="17"/>
        <v>69</v>
      </c>
      <c r="G114" s="112">
        <f t="shared" si="18"/>
        <v>68</v>
      </c>
      <c r="H114" s="112">
        <f t="shared" si="19"/>
        <v>72</v>
      </c>
      <c r="I114" s="112">
        <f t="shared" si="20"/>
        <v>68</v>
      </c>
      <c r="J114" s="111">
        <f t="shared" si="15"/>
        <v>470</v>
      </c>
    </row>
    <row r="115" spans="2:10" ht="15" customHeight="1">
      <c r="B115" s="114">
        <v>2031</v>
      </c>
      <c r="C115" s="113">
        <f t="shared" si="14"/>
        <v>60</v>
      </c>
      <c r="D115" s="324">
        <f>ROUND((C114-P50)-(C114*$D$98),0)</f>
        <v>65</v>
      </c>
      <c r="E115" s="112">
        <f t="shared" si="16"/>
        <v>68</v>
      </c>
      <c r="F115" s="112">
        <f t="shared" si="17"/>
        <v>69</v>
      </c>
      <c r="G115" s="112">
        <f t="shared" si="18"/>
        <v>69</v>
      </c>
      <c r="H115" s="112">
        <f t="shared" si="19"/>
        <v>72</v>
      </c>
      <c r="I115" s="112">
        <f t="shared" si="20"/>
        <v>69</v>
      </c>
      <c r="J115" s="111">
        <f t="shared" si="15"/>
        <v>472</v>
      </c>
    </row>
    <row r="116" spans="2:10" ht="15" customHeight="1">
      <c r="B116" s="114">
        <v>2032</v>
      </c>
      <c r="C116" s="113">
        <f t="shared" si="14"/>
        <v>60</v>
      </c>
      <c r="D116" s="324">
        <f>ROUND((C115-Q50)-(C115*$D$98),0)</f>
        <v>65</v>
      </c>
      <c r="E116" s="112">
        <f t="shared" si="16"/>
        <v>68</v>
      </c>
      <c r="F116" s="112">
        <f t="shared" si="17"/>
        <v>69</v>
      </c>
      <c r="G116" s="112">
        <f t="shared" si="18"/>
        <v>69</v>
      </c>
      <c r="H116" s="112">
        <f t="shared" si="19"/>
        <v>73</v>
      </c>
      <c r="I116" s="112">
        <f t="shared" si="20"/>
        <v>69</v>
      </c>
      <c r="J116" s="111">
        <f t="shared" si="15"/>
        <v>473</v>
      </c>
    </row>
    <row r="117" spans="2:10" ht="15" customHeight="1">
      <c r="F117" s="14"/>
      <c r="G117" s="14"/>
    </row>
    <row r="118" spans="2:10" ht="15" customHeight="1">
      <c r="B118" s="15" t="str">
        <f>"Table 4C: "&amp;E3&amp;" Projected Pupil Generation from Housing Development, 2019-2032"</f>
        <v>Table 4C: Buckstone Primary School Projected Pupil Generation from Housing Development, 2019-2032</v>
      </c>
      <c r="F118" s="14"/>
      <c r="G118" s="14"/>
    </row>
    <row r="119" spans="2:10" ht="15" customHeight="1">
      <c r="F119" s="14"/>
      <c r="G119" s="14"/>
    </row>
    <row r="120" spans="2:10" ht="15" customHeight="1">
      <c r="B120" s="115"/>
      <c r="C120" s="109" t="s">
        <v>1</v>
      </c>
      <c r="D120" s="109" t="s">
        <v>2</v>
      </c>
      <c r="E120" s="109" t="s">
        <v>3</v>
      </c>
      <c r="F120" s="109" t="s">
        <v>4</v>
      </c>
      <c r="G120" s="109" t="s">
        <v>5</v>
      </c>
      <c r="H120" s="109" t="s">
        <v>6</v>
      </c>
      <c r="I120" s="109" t="s">
        <v>7</v>
      </c>
      <c r="J120" s="109" t="s">
        <v>8</v>
      </c>
    </row>
    <row r="121" spans="2:10" ht="15" customHeight="1">
      <c r="B121" s="114">
        <v>2019</v>
      </c>
      <c r="C121" s="116" t="s">
        <v>97</v>
      </c>
      <c r="D121" s="112">
        <f>VLOOKUP($E$3,'Housing Generation'!$A$3:$BE$90,11,FALSE)</f>
        <v>0</v>
      </c>
      <c r="E121" s="112">
        <f>VLOOKUP($E$3,'Housing Generation'!$A$3:$BE$90,12,FALSE)</f>
        <v>0</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0</v>
      </c>
    </row>
    <row r="122" spans="2:10" ht="15" customHeight="1">
      <c r="B122" s="114">
        <v>2020</v>
      </c>
      <c r="C122" s="116" t="s">
        <v>97</v>
      </c>
      <c r="D122" s="112">
        <f>VLOOKUP($E$3,'Housing Generation'!$A$3:$BE$90,19,FALSE)</f>
        <v>0</v>
      </c>
      <c r="E122" s="112">
        <f>VLOOKUP($E$3,'Housing Generation'!$A$3:$BE$90,20,FALSE)</f>
        <v>0</v>
      </c>
      <c r="F122" s="112">
        <f>VLOOKUP($E$3,'Housing Generation'!$A$3:$BE$90,21,FALSE)</f>
        <v>0</v>
      </c>
      <c r="G122" s="112">
        <f>VLOOKUP($E$3,'Housing Generation'!$A$3:$BE$90,22,FALSE)</f>
        <v>0</v>
      </c>
      <c r="H122" s="112">
        <f>VLOOKUP($E$3,'Housing Generation'!$A$3:$BE$90,23,FALSE)</f>
        <v>0</v>
      </c>
      <c r="I122" s="112">
        <f>VLOOKUP($E$3,'Housing Generation'!$A$3:$BE$90,24,FALSE)</f>
        <v>0</v>
      </c>
      <c r="J122" s="111">
        <f t="shared" si="21"/>
        <v>0</v>
      </c>
    </row>
    <row r="123" spans="2:10" ht="15" customHeight="1">
      <c r="B123" s="114">
        <v>2021</v>
      </c>
      <c r="C123" s="116" t="s">
        <v>97</v>
      </c>
      <c r="D123" s="112">
        <f>VLOOKUP($E$3,'Housing Generation'!$A$3:$BE$90,27,FALSE)</f>
        <v>0</v>
      </c>
      <c r="E123" s="112">
        <f>VLOOKUP($E$3,'Housing Generation'!$A$3:$BE$90,28,FALSE)</f>
        <v>0</v>
      </c>
      <c r="F123" s="112">
        <f>VLOOKUP($E$3,'Housing Generation'!$A$3:$BE$90,29,FALSE)</f>
        <v>0</v>
      </c>
      <c r="G123" s="112">
        <f>VLOOKUP($E$3,'Housing Generation'!$A$3:$BE$90,30,FALSE)</f>
        <v>0</v>
      </c>
      <c r="H123" s="112">
        <f>VLOOKUP($E$3,'Housing Generation'!$A$3:$BE$90,31,FALSE)</f>
        <v>0</v>
      </c>
      <c r="I123" s="112">
        <f>VLOOKUP($E$3,'Housing Generation'!$A$3:$BE$90,32,FALSE)</f>
        <v>0</v>
      </c>
      <c r="J123" s="111">
        <f t="shared" si="21"/>
        <v>0</v>
      </c>
    </row>
    <row r="124" spans="2:10" ht="15" customHeight="1">
      <c r="B124" s="114">
        <v>2022</v>
      </c>
      <c r="C124" s="116" t="s">
        <v>97</v>
      </c>
      <c r="D124" s="112">
        <f>VLOOKUP($E$3,'Housing Generation'!$A$3:$BE$90,35,FALSE)</f>
        <v>0</v>
      </c>
      <c r="E124" s="112">
        <f>VLOOKUP($E$3,'Housing Generation'!$A$3:$BE$90,36,FALSE)</f>
        <v>0</v>
      </c>
      <c r="F124" s="112">
        <f>VLOOKUP($E$3,'Housing Generation'!$A$3:$BE$90,37,FALSE)</f>
        <v>0</v>
      </c>
      <c r="G124" s="112">
        <f>VLOOKUP($E$3,'Housing Generation'!$A$3:$BE$90,38,FALSE)</f>
        <v>0</v>
      </c>
      <c r="H124" s="112">
        <f>VLOOKUP($E$3,'Housing Generation'!$A$3:$BE$90,39,FALSE)</f>
        <v>0</v>
      </c>
      <c r="I124" s="112">
        <f>VLOOKUP($E$3,'Housing Generation'!$A$3:$BE$90,40,FALSE)</f>
        <v>0</v>
      </c>
      <c r="J124" s="111">
        <f t="shared" si="21"/>
        <v>0</v>
      </c>
    </row>
    <row r="125" spans="2:10" ht="15" customHeight="1">
      <c r="B125" s="114">
        <v>2023</v>
      </c>
      <c r="C125" s="116" t="s">
        <v>97</v>
      </c>
      <c r="D125" s="112">
        <f>VLOOKUP($E$3,'Housing Generation'!$A$3:$BE$90,43,FALSE)</f>
        <v>0</v>
      </c>
      <c r="E125" s="112">
        <f>VLOOKUP($E$3,'Housing Generation'!$A$3:$BE$90,44,FALSE)</f>
        <v>0</v>
      </c>
      <c r="F125" s="112">
        <f>VLOOKUP($E$3,'Housing Generation'!$A$3:$BE$90,45,FALSE)</f>
        <v>0</v>
      </c>
      <c r="G125" s="112">
        <f>VLOOKUP($E$3,'Housing Generation'!$A$3:$BE$90,46,FALSE)</f>
        <v>0</v>
      </c>
      <c r="H125" s="112">
        <f>VLOOKUP($E$3,'Housing Generation'!$A$3:$BE$90,47,FALSE)</f>
        <v>0</v>
      </c>
      <c r="I125" s="112">
        <f>VLOOKUP($E$3,'Housing Generation'!$A$3:$BE$90,48,FALSE)</f>
        <v>0</v>
      </c>
      <c r="J125" s="111">
        <f t="shared" si="21"/>
        <v>0</v>
      </c>
    </row>
    <row r="126" spans="2:10" ht="15" customHeight="1">
      <c r="B126" s="114">
        <v>2024</v>
      </c>
      <c r="C126" s="116" t="s">
        <v>97</v>
      </c>
      <c r="D126" s="112">
        <f>VLOOKUP($E$3,'Housing Generation'!$A$3:$BE$90,51,FALSE)</f>
        <v>0</v>
      </c>
      <c r="E126" s="112">
        <f>VLOOKUP($E$3,'Housing Generation'!$A$3:$BE$90,52,FALSE)</f>
        <v>0</v>
      </c>
      <c r="F126" s="112">
        <f>VLOOKUP($E$3,'Housing Generation'!$A$3:$BE$90,53,FALSE)</f>
        <v>0</v>
      </c>
      <c r="G126" s="112">
        <f>VLOOKUP($E$3,'Housing Generation'!$A$3:$BE$90,54,FALSE)</f>
        <v>0</v>
      </c>
      <c r="H126" s="112">
        <f>VLOOKUP($E$3,'Housing Generation'!$A$3:$BE$90,55,FALSE)</f>
        <v>0</v>
      </c>
      <c r="I126" s="112">
        <f>VLOOKUP($E$3,'Housing Generation'!$A$3:$BE$90,56,FALSE)</f>
        <v>0</v>
      </c>
      <c r="J126" s="111">
        <f t="shared" si="21"/>
        <v>0</v>
      </c>
    </row>
    <row r="127" spans="2:10" ht="15" customHeight="1">
      <c r="B127" s="114">
        <v>2025</v>
      </c>
      <c r="C127" s="240" t="s">
        <v>97</v>
      </c>
      <c r="D127" s="112">
        <f>VLOOKUP($E$3,'Housing Generation'!$A$3:$CK$90,59,FALSE)</f>
        <v>0</v>
      </c>
      <c r="E127" s="112">
        <f>VLOOKUP($E$3,'Housing Generation'!$A$3:$CK$90,60,FALSE)</f>
        <v>0</v>
      </c>
      <c r="F127" s="112">
        <f>VLOOKUP($E$3,'Housing Generation'!$A$3:$CK$90,61,FALSE)</f>
        <v>0</v>
      </c>
      <c r="G127" s="112">
        <f>VLOOKUP($E$3,'Housing Generation'!$A$3:$CK$90,62,FALSE)</f>
        <v>0</v>
      </c>
      <c r="H127" s="112">
        <f>VLOOKUP($E$3,'Housing Generation'!$A$3:$CK$90,63,FALSE)</f>
        <v>0</v>
      </c>
      <c r="I127" s="112">
        <f>VLOOKUP($E$3,'Housing Generation'!$A$3:$CK$90,64,FALSE)</f>
        <v>0</v>
      </c>
      <c r="J127" s="111">
        <f t="shared" si="21"/>
        <v>0</v>
      </c>
    </row>
    <row r="128" spans="2:10" ht="15" customHeight="1">
      <c r="B128" s="114">
        <v>2026</v>
      </c>
      <c r="C128" s="240" t="s">
        <v>97</v>
      </c>
      <c r="D128" s="112">
        <f>VLOOKUP($E$3,'Housing Generation'!$A$3:$CK$90,67,FALSE)</f>
        <v>0</v>
      </c>
      <c r="E128" s="112">
        <f>VLOOKUP($E$3,'Housing Generation'!$A$3:$CK$90,68,FALSE)</f>
        <v>0</v>
      </c>
      <c r="F128" s="112">
        <f>VLOOKUP($E$3,'Housing Generation'!$A$3:$CK$90,69,FALSE)</f>
        <v>0</v>
      </c>
      <c r="G128" s="112">
        <f>VLOOKUP($E$3,'Housing Generation'!$A$3:$CK$90,70,FALSE)</f>
        <v>0</v>
      </c>
      <c r="H128" s="112">
        <f>VLOOKUP($E$3,'Housing Generation'!$A$3:$CK$90,71,FALSE)</f>
        <v>0</v>
      </c>
      <c r="I128" s="112">
        <f>VLOOKUP($E$3,'Housing Generation'!$A$3:$CK$90,72,FALSE)</f>
        <v>0</v>
      </c>
      <c r="J128" s="111">
        <f t="shared" si="21"/>
        <v>0</v>
      </c>
    </row>
    <row r="129" spans="2:10" ht="15" customHeight="1">
      <c r="B129" s="114">
        <v>2027</v>
      </c>
      <c r="C129" s="240" t="s">
        <v>97</v>
      </c>
      <c r="D129" s="112">
        <f>VLOOKUP($E$3,'Housing Generation'!$A$3:$CK$90,75,FALSE)</f>
        <v>0</v>
      </c>
      <c r="E129" s="112">
        <f>VLOOKUP($E$3,'Housing Generation'!$A$3:$CK$90,76,FALSE)</f>
        <v>0</v>
      </c>
      <c r="F129" s="112">
        <f>VLOOKUP($E$3,'Housing Generation'!$A$3:$CK$90,77,FALSE)</f>
        <v>0</v>
      </c>
      <c r="G129" s="112">
        <f>VLOOKUP($E$3,'Housing Generation'!$A$3:$CK$90,78,FALSE)</f>
        <v>0</v>
      </c>
      <c r="H129" s="112">
        <f>VLOOKUP($E$3,'Housing Generation'!$A$3:$CK$90,79,FALSE)</f>
        <v>0</v>
      </c>
      <c r="I129" s="112">
        <f>VLOOKUP($E$3,'Housing Generation'!$A$3:$CK$90,80,FALSE)</f>
        <v>0</v>
      </c>
      <c r="J129" s="111">
        <f t="shared" si="21"/>
        <v>0</v>
      </c>
    </row>
    <row r="130" spans="2:10" ht="15" customHeight="1">
      <c r="B130" s="114">
        <v>2028</v>
      </c>
      <c r="C130" s="289" t="s">
        <v>97</v>
      </c>
      <c r="D130" s="112">
        <f>VLOOKUP($E$3,'Housing Generation'!$A$3:$CK$90,83,FALSE)</f>
        <v>0</v>
      </c>
      <c r="E130" s="112">
        <f>VLOOKUP($E$3,'Housing Generation'!$A$3:$CK$90,84,FALSE)</f>
        <v>0</v>
      </c>
      <c r="F130" s="112">
        <f>VLOOKUP($E$3,'Housing Generation'!$A$3:$CK$90,85,FALSE)</f>
        <v>0</v>
      </c>
      <c r="G130" s="112">
        <f>VLOOKUP($E$3,'Housing Generation'!$A$3:$CK$90,86,FALSE)</f>
        <v>0</v>
      </c>
      <c r="H130" s="112">
        <f>VLOOKUP($E$3,'Housing Generation'!$A$3:$CK$90,87,FALSE)</f>
        <v>0</v>
      </c>
      <c r="I130" s="112">
        <f>VLOOKUP($E$3,'Housing Generation'!$A$3:$CK$90,88,FALSE)</f>
        <v>0</v>
      </c>
      <c r="J130" s="111">
        <f t="shared" si="21"/>
        <v>0</v>
      </c>
    </row>
    <row r="131" spans="2:10" ht="15" customHeight="1">
      <c r="B131" s="114">
        <v>2029</v>
      </c>
      <c r="C131" s="289" t="s">
        <v>97</v>
      </c>
      <c r="D131" s="112">
        <f>VLOOKUP($E$3,'Housing Generation'!$A$3:$DQ$90,91,FALSE)</f>
        <v>0</v>
      </c>
      <c r="E131" s="112">
        <f>VLOOKUP($E$3,'Housing Generation'!$A$3:$DQ$90,92,FALSE)</f>
        <v>0</v>
      </c>
      <c r="F131" s="112">
        <f>VLOOKUP($E$3,'Housing Generation'!$A$3:$DQ$90,93,FALSE)</f>
        <v>0</v>
      </c>
      <c r="G131" s="112">
        <f>VLOOKUP($E$3,'Housing Generation'!$A$3:$DQ$90,94,FALSE)</f>
        <v>0</v>
      </c>
      <c r="H131" s="112">
        <f>VLOOKUP($E$3,'Housing Generation'!$A$3:$DQ$90,95,FALSE)</f>
        <v>0</v>
      </c>
      <c r="I131" s="112">
        <f>VLOOKUP($E$3,'Housing Generation'!$A$3:$DQ$90,96,FALSE)</f>
        <v>0</v>
      </c>
      <c r="J131" s="111">
        <f t="shared" si="21"/>
        <v>0</v>
      </c>
    </row>
    <row r="132" spans="2:10" ht="15" customHeight="1">
      <c r="B132" s="114">
        <v>2030</v>
      </c>
      <c r="C132" s="289" t="s">
        <v>97</v>
      </c>
      <c r="D132" s="112">
        <f>VLOOKUP($E$3,'Housing Generation'!$A$3:$DQ$90,99,FALSE)</f>
        <v>0</v>
      </c>
      <c r="E132" s="112">
        <f>VLOOKUP($E$3,'Housing Generation'!$A$3:$DQ$90,100,FALSE)</f>
        <v>0</v>
      </c>
      <c r="F132" s="112">
        <f>VLOOKUP($E$3,'Housing Generation'!$A$3:$DQ$90,101,FALSE)</f>
        <v>0</v>
      </c>
      <c r="G132" s="112">
        <f>VLOOKUP($E$3,'Housing Generation'!$A$3:$DQ$90,102,FALSE)</f>
        <v>0</v>
      </c>
      <c r="H132" s="112">
        <f>VLOOKUP($E$3,'Housing Generation'!$A$3:$DQ$90,103,FALSE)</f>
        <v>0</v>
      </c>
      <c r="I132" s="112">
        <f>VLOOKUP($E$3,'Housing Generation'!$A$3:$DQ$90,104,FALSE)</f>
        <v>0</v>
      </c>
      <c r="J132" s="111">
        <f t="shared" si="21"/>
        <v>0</v>
      </c>
    </row>
    <row r="133" spans="2:10" ht="15" customHeight="1">
      <c r="B133" s="114">
        <v>2031</v>
      </c>
      <c r="C133" s="289" t="s">
        <v>97</v>
      </c>
      <c r="D133" s="112">
        <f>VLOOKUP($E$3,'Housing Generation'!$A$3:$DQ$90,107,FALSE)</f>
        <v>0</v>
      </c>
      <c r="E133" s="112">
        <f>VLOOKUP($E$3,'Housing Generation'!$A$3:$DQ$90,108,FALSE)</f>
        <v>0</v>
      </c>
      <c r="F133" s="112">
        <f>VLOOKUP($E$3,'Housing Generation'!$A$3:$DQ$90,109,FALSE)</f>
        <v>0</v>
      </c>
      <c r="G133" s="112">
        <f>VLOOKUP($E$3,'Housing Generation'!$A$3:$DQ$90,110,FALSE)</f>
        <v>0</v>
      </c>
      <c r="H133" s="112">
        <f>VLOOKUP($E$3,'Housing Generation'!$A$3:$DQ$90,111,FALSE)</f>
        <v>0</v>
      </c>
      <c r="I133" s="112">
        <f>VLOOKUP($E$3,'Housing Generation'!$A$3:$DQ$90,112,FALSE)</f>
        <v>0</v>
      </c>
      <c r="J133" s="111">
        <f t="shared" si="21"/>
        <v>0</v>
      </c>
    </row>
    <row r="134" spans="2:10" ht="15" customHeight="1">
      <c r="B134" s="114">
        <v>2032</v>
      </c>
      <c r="C134" s="289" t="s">
        <v>97</v>
      </c>
      <c r="D134" s="112">
        <f>VLOOKUP($E$3,'Housing Generation'!$A$3:$DQ$90,115,FALSE)</f>
        <v>0</v>
      </c>
      <c r="E134" s="112">
        <f>VLOOKUP($E$3,'Housing Generation'!$A$3:$DQ$90,116,FALSE)</f>
        <v>0</v>
      </c>
      <c r="F134" s="112">
        <f>VLOOKUP($E$3,'Housing Generation'!$A$3:$DQ$90,117,FALSE)</f>
        <v>0</v>
      </c>
      <c r="G134" s="112">
        <f>VLOOKUP($E$3,'Housing Generation'!$A$3:$DQ$90,118,FALSE)</f>
        <v>0</v>
      </c>
      <c r="H134" s="112">
        <f>VLOOKUP($E$3,'Housing Generation'!$A$3:$DQ$90,119,FALSE)</f>
        <v>0</v>
      </c>
      <c r="I134" s="112">
        <f>VLOOKUP($E$3,'Housing Generation'!$A$3:$DQ$90,120,FALSE)</f>
        <v>0</v>
      </c>
      <c r="J134" s="111">
        <f t="shared" si="21"/>
        <v>0</v>
      </c>
    </row>
    <row r="135" spans="2:10" ht="15"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Buckstone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60</v>
      </c>
      <c r="D139" s="112">
        <f t="shared" ref="D139:I152" si="23">D121+D103</f>
        <v>68</v>
      </c>
      <c r="E139" s="112">
        <f t="shared" si="23"/>
        <v>56</v>
      </c>
      <c r="F139" s="112">
        <f t="shared" si="23"/>
        <v>58</v>
      </c>
      <c r="G139" s="112">
        <f t="shared" si="23"/>
        <v>79</v>
      </c>
      <c r="H139" s="112">
        <f t="shared" si="23"/>
        <v>54</v>
      </c>
      <c r="I139" s="112">
        <f t="shared" si="23"/>
        <v>56</v>
      </c>
      <c r="J139" s="111">
        <f t="shared" ref="J139:J147" si="24">SUM(C139:I139)</f>
        <v>431</v>
      </c>
    </row>
    <row r="140" spans="2:10" ht="15" customHeight="1">
      <c r="B140" s="114">
        <v>2020</v>
      </c>
      <c r="C140" s="113">
        <f t="shared" si="22"/>
        <v>114.44711263579188</v>
      </c>
      <c r="D140" s="112">
        <f t="shared" si="23"/>
        <v>65</v>
      </c>
      <c r="E140" s="112">
        <f t="shared" si="23"/>
        <v>71</v>
      </c>
      <c r="F140" s="112">
        <f t="shared" si="23"/>
        <v>57</v>
      </c>
      <c r="G140" s="112">
        <f t="shared" si="23"/>
        <v>58</v>
      </c>
      <c r="H140" s="112">
        <f t="shared" si="23"/>
        <v>83</v>
      </c>
      <c r="I140" s="112">
        <f t="shared" si="23"/>
        <v>52</v>
      </c>
      <c r="J140" s="111">
        <f t="shared" si="24"/>
        <v>500.44711263579188</v>
      </c>
    </row>
    <row r="141" spans="2:10" ht="15" customHeight="1">
      <c r="B141" s="114">
        <v>2021</v>
      </c>
      <c r="C141" s="113">
        <f t="shared" si="22"/>
        <v>47.389937106918239</v>
      </c>
      <c r="D141" s="112">
        <f t="shared" si="23"/>
        <v>123</v>
      </c>
      <c r="E141" s="112">
        <f t="shared" si="23"/>
        <v>68</v>
      </c>
      <c r="F141" s="112">
        <f t="shared" si="23"/>
        <v>72</v>
      </c>
      <c r="G141" s="112">
        <f t="shared" si="23"/>
        <v>57</v>
      </c>
      <c r="H141" s="112">
        <f t="shared" si="23"/>
        <v>61</v>
      </c>
      <c r="I141" s="112">
        <f t="shared" si="23"/>
        <v>80</v>
      </c>
      <c r="J141" s="111">
        <f t="shared" si="24"/>
        <v>508.38993710691824</v>
      </c>
    </row>
    <row r="142" spans="2:10" ht="15" customHeight="1">
      <c r="B142" s="114">
        <v>2022</v>
      </c>
      <c r="C142" s="113">
        <f t="shared" si="22"/>
        <v>57.251286449399657</v>
      </c>
      <c r="D142" s="112">
        <f t="shared" si="23"/>
        <v>51</v>
      </c>
      <c r="E142" s="112">
        <f t="shared" si="23"/>
        <v>129</v>
      </c>
      <c r="F142" s="112">
        <f t="shared" si="23"/>
        <v>69</v>
      </c>
      <c r="G142" s="112">
        <f t="shared" si="23"/>
        <v>72</v>
      </c>
      <c r="H142" s="112">
        <f t="shared" si="23"/>
        <v>60</v>
      </c>
      <c r="I142" s="112">
        <f t="shared" si="23"/>
        <v>59</v>
      </c>
      <c r="J142" s="111">
        <f t="shared" si="24"/>
        <v>497.25128644939969</v>
      </c>
    </row>
    <row r="143" spans="2:10" ht="15" customHeight="1">
      <c r="B143" s="114">
        <v>2023</v>
      </c>
      <c r="C143" s="113">
        <f t="shared" si="22"/>
        <v>57.251286449399657</v>
      </c>
      <c r="D143" s="112">
        <f t="shared" si="23"/>
        <v>62</v>
      </c>
      <c r="E143" s="112">
        <f t="shared" si="23"/>
        <v>53</v>
      </c>
      <c r="F143" s="112">
        <f t="shared" si="23"/>
        <v>131</v>
      </c>
      <c r="G143" s="112">
        <f t="shared" si="23"/>
        <v>69</v>
      </c>
      <c r="H143" s="112">
        <f t="shared" si="23"/>
        <v>76</v>
      </c>
      <c r="I143" s="112">
        <f t="shared" si="23"/>
        <v>58</v>
      </c>
      <c r="J143" s="111">
        <f t="shared" si="24"/>
        <v>506.25128644939969</v>
      </c>
    </row>
    <row r="144" spans="2:10" ht="15" customHeight="1">
      <c r="B144" s="114">
        <v>2024</v>
      </c>
      <c r="C144" s="113">
        <f t="shared" si="22"/>
        <v>58.237421383647799</v>
      </c>
      <c r="D144" s="112">
        <f t="shared" si="23"/>
        <v>62</v>
      </c>
      <c r="E144" s="112">
        <f t="shared" si="23"/>
        <v>65</v>
      </c>
      <c r="F144" s="112">
        <f t="shared" si="23"/>
        <v>54</v>
      </c>
      <c r="G144" s="112">
        <f t="shared" si="23"/>
        <v>131</v>
      </c>
      <c r="H144" s="112">
        <f t="shared" si="23"/>
        <v>73</v>
      </c>
      <c r="I144" s="112">
        <f t="shared" si="23"/>
        <v>73</v>
      </c>
      <c r="J144" s="111">
        <f t="shared" si="24"/>
        <v>516.23742138364787</v>
      </c>
    </row>
    <row r="145" spans="2:16" ht="15" customHeight="1">
      <c r="B145" s="114">
        <v>2025</v>
      </c>
      <c r="C145" s="113">
        <f t="shared" si="22"/>
        <v>59.223556317895941</v>
      </c>
      <c r="D145" s="112">
        <f t="shared" si="23"/>
        <v>63</v>
      </c>
      <c r="E145" s="112">
        <f t="shared" si="23"/>
        <v>65</v>
      </c>
      <c r="F145" s="112">
        <f t="shared" si="23"/>
        <v>66</v>
      </c>
      <c r="G145" s="112">
        <f t="shared" si="23"/>
        <v>54</v>
      </c>
      <c r="H145" s="112">
        <f t="shared" si="23"/>
        <v>138</v>
      </c>
      <c r="I145" s="112">
        <f t="shared" si="23"/>
        <v>70</v>
      </c>
      <c r="J145" s="111">
        <f t="shared" si="24"/>
        <v>515.22355631789594</v>
      </c>
    </row>
    <row r="146" spans="2:16" ht="15" customHeight="1">
      <c r="B146" s="114">
        <v>2026</v>
      </c>
      <c r="C146" s="113">
        <f t="shared" si="22"/>
        <v>59.223556317895941</v>
      </c>
      <c r="D146" s="112">
        <f t="shared" si="23"/>
        <v>64</v>
      </c>
      <c r="E146" s="112">
        <f t="shared" si="23"/>
        <v>66</v>
      </c>
      <c r="F146" s="112">
        <f t="shared" si="23"/>
        <v>66</v>
      </c>
      <c r="G146" s="112">
        <f t="shared" si="23"/>
        <v>66</v>
      </c>
      <c r="H146" s="112">
        <f t="shared" si="23"/>
        <v>57</v>
      </c>
      <c r="I146" s="112">
        <f t="shared" si="23"/>
        <v>133</v>
      </c>
      <c r="J146" s="111">
        <f t="shared" si="24"/>
        <v>511.22355631789594</v>
      </c>
    </row>
    <row r="147" spans="2:16" ht="15" customHeight="1">
      <c r="B147" s="114">
        <v>2027</v>
      </c>
      <c r="C147" s="113">
        <f t="shared" si="22"/>
        <v>60</v>
      </c>
      <c r="D147" s="112">
        <f t="shared" si="23"/>
        <v>64</v>
      </c>
      <c r="E147" s="112">
        <f t="shared" si="23"/>
        <v>67</v>
      </c>
      <c r="F147" s="112">
        <f t="shared" si="23"/>
        <v>67</v>
      </c>
      <c r="G147" s="112">
        <f t="shared" si="23"/>
        <v>66</v>
      </c>
      <c r="H147" s="112">
        <f t="shared" si="23"/>
        <v>70</v>
      </c>
      <c r="I147" s="112">
        <f t="shared" si="23"/>
        <v>55</v>
      </c>
      <c r="J147" s="111">
        <f t="shared" si="24"/>
        <v>449</v>
      </c>
    </row>
    <row r="148" spans="2:16" ht="15" customHeight="1">
      <c r="B148" s="114">
        <v>2028</v>
      </c>
      <c r="C148" s="113">
        <f t="shared" si="22"/>
        <v>60</v>
      </c>
      <c r="D148" s="112">
        <f t="shared" si="23"/>
        <v>65</v>
      </c>
      <c r="E148" s="112">
        <f t="shared" si="23"/>
        <v>67</v>
      </c>
      <c r="F148" s="112">
        <f t="shared" si="23"/>
        <v>68</v>
      </c>
      <c r="G148" s="112">
        <f t="shared" si="23"/>
        <v>67</v>
      </c>
      <c r="H148" s="112">
        <f t="shared" si="23"/>
        <v>70</v>
      </c>
      <c r="I148" s="112">
        <f t="shared" si="23"/>
        <v>68</v>
      </c>
      <c r="J148" s="111">
        <f t="shared" ref="J148:J152" si="25">SUM(C148:I148)</f>
        <v>465</v>
      </c>
    </row>
    <row r="149" spans="2:16" ht="15" customHeight="1">
      <c r="B149" s="114">
        <v>2029</v>
      </c>
      <c r="C149" s="113">
        <f t="shared" si="22"/>
        <v>60</v>
      </c>
      <c r="D149" s="112">
        <f t="shared" si="23"/>
        <v>65</v>
      </c>
      <c r="E149" s="112">
        <f t="shared" si="23"/>
        <v>68</v>
      </c>
      <c r="F149" s="112">
        <f t="shared" si="23"/>
        <v>68</v>
      </c>
      <c r="G149" s="112">
        <f t="shared" si="23"/>
        <v>68</v>
      </c>
      <c r="H149" s="112">
        <f t="shared" si="23"/>
        <v>71</v>
      </c>
      <c r="I149" s="112">
        <f t="shared" si="23"/>
        <v>68</v>
      </c>
      <c r="J149" s="111">
        <f t="shared" si="25"/>
        <v>468</v>
      </c>
    </row>
    <row r="150" spans="2:16" ht="15" customHeight="1">
      <c r="B150" s="114">
        <v>2030</v>
      </c>
      <c r="C150" s="113">
        <f t="shared" si="22"/>
        <v>60</v>
      </c>
      <c r="D150" s="112">
        <f t="shared" si="23"/>
        <v>65</v>
      </c>
      <c r="E150" s="112">
        <f t="shared" si="23"/>
        <v>68</v>
      </c>
      <c r="F150" s="112">
        <f t="shared" si="23"/>
        <v>69</v>
      </c>
      <c r="G150" s="112">
        <f t="shared" si="23"/>
        <v>68</v>
      </c>
      <c r="H150" s="112">
        <f t="shared" si="23"/>
        <v>72</v>
      </c>
      <c r="I150" s="112">
        <f t="shared" si="23"/>
        <v>68</v>
      </c>
      <c r="J150" s="111">
        <f t="shared" si="25"/>
        <v>470</v>
      </c>
    </row>
    <row r="151" spans="2:16" ht="15" customHeight="1">
      <c r="B151" s="114">
        <v>2031</v>
      </c>
      <c r="C151" s="113">
        <f t="shared" si="22"/>
        <v>60</v>
      </c>
      <c r="D151" s="112">
        <f t="shared" si="23"/>
        <v>65</v>
      </c>
      <c r="E151" s="112">
        <f t="shared" si="23"/>
        <v>68</v>
      </c>
      <c r="F151" s="112">
        <f t="shared" si="23"/>
        <v>69</v>
      </c>
      <c r="G151" s="112">
        <f t="shared" si="23"/>
        <v>69</v>
      </c>
      <c r="H151" s="112">
        <f t="shared" si="23"/>
        <v>72</v>
      </c>
      <c r="I151" s="112">
        <f t="shared" si="23"/>
        <v>69</v>
      </c>
      <c r="J151" s="111">
        <f t="shared" si="25"/>
        <v>472</v>
      </c>
    </row>
    <row r="152" spans="2:16" ht="15" customHeight="1">
      <c r="B152" s="114">
        <v>2032</v>
      </c>
      <c r="C152" s="113">
        <f t="shared" si="22"/>
        <v>60</v>
      </c>
      <c r="D152" s="112">
        <f t="shared" si="23"/>
        <v>65</v>
      </c>
      <c r="E152" s="112">
        <f t="shared" si="23"/>
        <v>68</v>
      </c>
      <c r="F152" s="112">
        <f t="shared" si="23"/>
        <v>69</v>
      </c>
      <c r="G152" s="112">
        <f t="shared" si="23"/>
        <v>69</v>
      </c>
      <c r="H152" s="112">
        <f t="shared" si="23"/>
        <v>73</v>
      </c>
      <c r="I152" s="112">
        <f t="shared" si="23"/>
        <v>69</v>
      </c>
      <c r="J152" s="111">
        <f t="shared" si="25"/>
        <v>473</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431</v>
      </c>
      <c r="D159" s="108">
        <f>J140</f>
        <v>500.44711263579188</v>
      </c>
      <c r="E159" s="108">
        <f>J141</f>
        <v>508.38993710691824</v>
      </c>
      <c r="F159" s="108">
        <f>J142</f>
        <v>497.25128644939969</v>
      </c>
      <c r="G159" s="108">
        <f>J143</f>
        <v>506.25128644939969</v>
      </c>
      <c r="H159" s="108">
        <f>J144</f>
        <v>516.23742138364787</v>
      </c>
      <c r="I159" s="108">
        <f>J145</f>
        <v>515.22355631789594</v>
      </c>
      <c r="J159" s="108">
        <f>J146</f>
        <v>511.22355631789594</v>
      </c>
      <c r="K159" s="108">
        <f>J147</f>
        <v>449</v>
      </c>
      <c r="L159" s="108">
        <f>J148</f>
        <v>465</v>
      </c>
      <c r="M159" s="108">
        <f>J149</f>
        <v>468</v>
      </c>
      <c r="N159" s="108">
        <f>J150</f>
        <v>470</v>
      </c>
      <c r="O159" s="108">
        <f>J151</f>
        <v>472</v>
      </c>
      <c r="P159" s="108">
        <f>J152</f>
        <v>473</v>
      </c>
    </row>
    <row r="160" spans="2:16" ht="15" customHeight="1">
      <c r="B160" s="107" t="s">
        <v>152</v>
      </c>
      <c r="C160" s="106">
        <f>VLOOKUP(C159,Capacity!$A$1:$C$645,2,TRUE)</f>
        <v>15</v>
      </c>
      <c r="D160" s="106">
        <f>VLOOKUP(D159,Capacity!$A$1:$C$645,2,TRUE)</f>
        <v>18</v>
      </c>
      <c r="E160" s="106">
        <f>VLOOKUP(E159,Capacity!$A$1:$C$645,2,TRUE)</f>
        <v>19</v>
      </c>
      <c r="F160" s="106">
        <f>VLOOKUP(F159,Capacity!$A$1:$C$645,2,TRUE)</f>
        <v>18</v>
      </c>
      <c r="G160" s="106">
        <f>VLOOKUP(G159,Capacity!$A$1:$C$645,2,TRUE)</f>
        <v>19</v>
      </c>
      <c r="H160" s="106">
        <f>VLOOKUP(H159,Capacity!$A$1:$C$645,2,TRUE)</f>
        <v>19</v>
      </c>
      <c r="I160" s="106">
        <f>VLOOKUP(I159,Capacity!$A$1:$C$645,2,TRUE)</f>
        <v>19</v>
      </c>
      <c r="J160" s="106">
        <f>VLOOKUP(J159,Capacity!$A$1:$C$645,2,TRUE)</f>
        <v>19</v>
      </c>
      <c r="K160" s="106">
        <f>VLOOKUP(K159,Capacity!$A$1:$C$645,2,TRUE)</f>
        <v>16</v>
      </c>
      <c r="L160" s="106">
        <f>VLOOKUP(L159,Capacity!$A$1:$C$645,2,TRUE)</f>
        <v>17</v>
      </c>
      <c r="M160" s="106">
        <f>VLOOKUP(M159,Capacity!$A$1:$C$645,2,TRUE)</f>
        <v>17</v>
      </c>
      <c r="N160" s="106">
        <f>VLOOKUP(N159,Capacity!$A$1:$C$645,2,TRUE)</f>
        <v>17</v>
      </c>
      <c r="O160" s="106">
        <f>VLOOKUP(O159,Capacity!$A$1:$C$645,2,TRUE)</f>
        <v>17</v>
      </c>
      <c r="P160" s="106">
        <f>VLOOKUP(P159,Capacity!$A$1:$C$645,2,TRUE)</f>
        <v>17</v>
      </c>
    </row>
    <row r="161" spans="2:14" ht="15" customHeight="1">
      <c r="F161" s="14"/>
      <c r="G161" s="14"/>
    </row>
    <row r="162" spans="2:14" ht="15" customHeight="1">
      <c r="H162" s="190"/>
      <c r="I162" s="190"/>
      <c r="J162" s="190"/>
      <c r="K162" s="190"/>
      <c r="L162" s="190"/>
      <c r="M162" s="190"/>
      <c r="N162" s="311"/>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19</v>
      </c>
      <c r="D169" s="97">
        <f>VLOOKUP($E$3,'Catchment Births'!$A$1:$U$90,11,FALSE)</f>
        <v>36</v>
      </c>
      <c r="E169" s="97">
        <f>VLOOKUP($E$3,'Catchment Births'!$A$1:$U$90,12,FALSE)</f>
        <v>39</v>
      </c>
      <c r="F169" s="97">
        <f>VLOOKUP($E$3,'Catchment Births'!$A$1:$U$90,13,FALSE)</f>
        <v>36</v>
      </c>
      <c r="G169" s="97">
        <f>VLOOKUP($E$3,'Catchment Births'!$A$1:$U$90,14,FALSE)</f>
        <v>30</v>
      </c>
      <c r="H169" s="97">
        <f>VLOOKUP($E$3,'Catchment Births'!$A$1:$U$90,15,FALSE)</f>
        <v>25</v>
      </c>
      <c r="I169" s="97">
        <f>VLOOKUP($E$3,'Catchment Births'!$A$1:$U$90,16,FALSE)</f>
        <v>33</v>
      </c>
      <c r="J169" s="97">
        <f>VLOOKUP($E$3,'Catchment Births'!$A$1:$U$90,17,FALSE)</f>
        <v>17</v>
      </c>
      <c r="K169" s="97">
        <f>VLOOKUP($E$3,'Catchment Births'!$A$1:$U$90,18,FALSE)</f>
        <v>29</v>
      </c>
      <c r="L169" s="97">
        <f>VLOOKUP($E$3,'Catchment Births'!$A$1:$U$90,19,FALSE)</f>
        <v>26</v>
      </c>
      <c r="M169" s="97">
        <f>VLOOKUP($E$3,'Catchment Births'!$A$1:$U$90,20,FALSE)</f>
        <v>29</v>
      </c>
      <c r="N169" s="97">
        <f>VLOOKUP($E$3,'Catchment Births'!$A$1:$U$90,21,FALSE)</f>
        <v>56</v>
      </c>
    </row>
    <row r="170" spans="2:14" ht="58.5" customHeight="1">
      <c r="B170" s="103" t="str">
        <f>"P1 "&amp;A35&amp;" Catchment Population (Actual)"</f>
        <v>P1 ND Catchment Population (Actual)</v>
      </c>
      <c r="C170" s="102" t="e">
        <v>#REF!</v>
      </c>
      <c r="D170" s="102">
        <v>49</v>
      </c>
      <c r="E170" s="102">
        <v>40</v>
      </c>
      <c r="F170" s="102">
        <v>47</v>
      </c>
      <c r="G170" s="102">
        <v>45</v>
      </c>
      <c r="H170" s="102">
        <v>39</v>
      </c>
      <c r="I170" s="102">
        <v>62</v>
      </c>
      <c r="J170" s="308">
        <f>VLOOKUP(E3,'Catchment Projections'!A1:BU92,42,FALSE)</f>
        <v>44</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62</v>
      </c>
      <c r="J172" s="96" t="e">
        <f>#REF!</f>
        <v>#REF!</v>
      </c>
      <c r="K172" s="96">
        <f>D51</f>
        <v>58</v>
      </c>
      <c r="L172" s="96">
        <f>E51</f>
        <v>112</v>
      </c>
      <c r="M172" s="96">
        <f>F51</f>
        <v>44</v>
      </c>
      <c r="N172" s="96">
        <f>G51</f>
        <v>54</v>
      </c>
    </row>
    <row r="173" spans="2:14" ht="12.75">
      <c r="B173" s="62"/>
      <c r="C173" s="62"/>
      <c r="D173" s="62"/>
      <c r="E173" s="62"/>
      <c r="F173" s="62"/>
      <c r="G173" s="62"/>
      <c r="H173" s="62"/>
      <c r="I173" s="62"/>
      <c r="J173" s="62"/>
      <c r="K173" s="62"/>
    </row>
    <row r="174" spans="2:14" ht="15" customHeight="1">
      <c r="B174" s="64" t="str">
        <f>"Table 5: "&amp;E3&amp;" Roll by Stage, 2002-2018"</f>
        <v>Table 5: Buckstone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60</v>
      </c>
      <c r="D177" s="93">
        <v>51</v>
      </c>
      <c r="E177" s="93">
        <v>64</v>
      </c>
      <c r="F177" s="93">
        <v>66</v>
      </c>
      <c r="G177" s="93">
        <v>76</v>
      </c>
      <c r="H177" s="93">
        <v>53</v>
      </c>
      <c r="I177" s="93">
        <v>71</v>
      </c>
      <c r="J177" s="92">
        <v>441</v>
      </c>
      <c r="K177" s="62"/>
    </row>
    <row r="178" spans="2:11" ht="15" customHeight="1">
      <c r="B178" s="94">
        <v>2003</v>
      </c>
      <c r="C178" s="93">
        <v>55</v>
      </c>
      <c r="D178" s="93">
        <v>60</v>
      </c>
      <c r="E178" s="93">
        <v>53</v>
      </c>
      <c r="F178" s="93">
        <v>64</v>
      </c>
      <c r="G178" s="93">
        <v>64</v>
      </c>
      <c r="H178" s="93">
        <v>73</v>
      </c>
      <c r="I178" s="93">
        <v>50</v>
      </c>
      <c r="J178" s="92">
        <v>419</v>
      </c>
      <c r="K178" s="62"/>
    </row>
    <row r="179" spans="2:11" customFormat="1" ht="15" customHeight="1">
      <c r="B179" s="94">
        <v>2004</v>
      </c>
      <c r="C179" s="95">
        <v>51</v>
      </c>
      <c r="D179" s="95">
        <v>54</v>
      </c>
      <c r="E179" s="95">
        <v>60</v>
      </c>
      <c r="F179" s="95">
        <v>51</v>
      </c>
      <c r="G179" s="95">
        <v>61</v>
      </c>
      <c r="H179" s="95">
        <v>59</v>
      </c>
      <c r="I179" s="95">
        <v>70</v>
      </c>
      <c r="J179" s="92">
        <v>406</v>
      </c>
      <c r="K179" s="62"/>
    </row>
    <row r="180" spans="2:11" customFormat="1" ht="15" customHeight="1">
      <c r="B180" s="94">
        <v>2005</v>
      </c>
      <c r="C180" s="93">
        <v>60</v>
      </c>
      <c r="D180" s="93">
        <v>52</v>
      </c>
      <c r="E180" s="93">
        <v>57</v>
      </c>
      <c r="F180" s="93">
        <v>60</v>
      </c>
      <c r="G180" s="93">
        <v>53</v>
      </c>
      <c r="H180" s="93">
        <v>61</v>
      </c>
      <c r="I180" s="93">
        <v>56</v>
      </c>
      <c r="J180" s="92">
        <v>399</v>
      </c>
      <c r="K180" s="62"/>
    </row>
    <row r="181" spans="2:11" customFormat="1" ht="15" customHeight="1">
      <c r="B181" s="94">
        <v>2006</v>
      </c>
      <c r="C181" s="93">
        <v>57</v>
      </c>
      <c r="D181" s="93">
        <v>60</v>
      </c>
      <c r="E181" s="93">
        <v>52</v>
      </c>
      <c r="F181" s="93">
        <v>56</v>
      </c>
      <c r="G181" s="93">
        <v>56</v>
      </c>
      <c r="H181" s="93">
        <v>54</v>
      </c>
      <c r="I181" s="93">
        <v>61</v>
      </c>
      <c r="J181" s="92">
        <v>396</v>
      </c>
      <c r="K181" s="62"/>
    </row>
    <row r="182" spans="2:11" customFormat="1" ht="15" customHeight="1">
      <c r="B182" s="94">
        <v>2007</v>
      </c>
      <c r="C182" s="93">
        <v>50</v>
      </c>
      <c r="D182" s="93">
        <v>56</v>
      </c>
      <c r="E182" s="93">
        <v>60</v>
      </c>
      <c r="F182" s="93">
        <v>51</v>
      </c>
      <c r="G182" s="93">
        <v>56</v>
      </c>
      <c r="H182" s="93">
        <v>56</v>
      </c>
      <c r="I182" s="93">
        <v>54</v>
      </c>
      <c r="J182" s="92">
        <v>383</v>
      </c>
      <c r="K182" s="62"/>
    </row>
    <row r="183" spans="2:11" customFormat="1" ht="15" customHeight="1">
      <c r="B183" s="94">
        <v>2008</v>
      </c>
      <c r="C183" s="93">
        <v>60</v>
      </c>
      <c r="D183" s="93">
        <v>51</v>
      </c>
      <c r="E183" s="93">
        <v>57</v>
      </c>
      <c r="F183" s="93">
        <v>58</v>
      </c>
      <c r="G183" s="93">
        <v>51</v>
      </c>
      <c r="H183" s="93">
        <v>53</v>
      </c>
      <c r="I183" s="93">
        <v>56</v>
      </c>
      <c r="J183" s="92">
        <v>386</v>
      </c>
      <c r="K183" s="62"/>
    </row>
    <row r="184" spans="2:11" customFormat="1" ht="15" customHeight="1">
      <c r="B184" s="94">
        <v>2009</v>
      </c>
      <c r="C184" s="93">
        <v>50</v>
      </c>
      <c r="D184" s="93">
        <v>58</v>
      </c>
      <c r="E184" s="93">
        <v>50</v>
      </c>
      <c r="F184" s="93">
        <v>57</v>
      </c>
      <c r="G184" s="93">
        <v>61</v>
      </c>
      <c r="H184" s="93">
        <v>49</v>
      </c>
      <c r="I184" s="93">
        <v>51</v>
      </c>
      <c r="J184" s="94">
        <v>376</v>
      </c>
      <c r="K184" s="62"/>
    </row>
    <row r="185" spans="2:11" customFormat="1" ht="15" customHeight="1">
      <c r="B185" s="94">
        <v>2010</v>
      </c>
      <c r="C185" s="93">
        <v>65</v>
      </c>
      <c r="D185" s="93">
        <v>49</v>
      </c>
      <c r="E185" s="93">
        <v>58</v>
      </c>
      <c r="F185" s="93">
        <v>50</v>
      </c>
      <c r="G185" s="93">
        <v>58</v>
      </c>
      <c r="H185" s="93">
        <v>58</v>
      </c>
      <c r="I185" s="93">
        <v>44</v>
      </c>
      <c r="J185" s="92">
        <v>382</v>
      </c>
      <c r="K185" s="62"/>
    </row>
    <row r="186" spans="2:11" customFormat="1" ht="15" customHeight="1">
      <c r="B186" s="94">
        <v>2011</v>
      </c>
      <c r="C186" s="93">
        <v>50</v>
      </c>
      <c r="D186" s="93">
        <v>66</v>
      </c>
      <c r="E186" s="93">
        <v>48</v>
      </c>
      <c r="F186" s="93">
        <v>58</v>
      </c>
      <c r="G186" s="93">
        <v>52</v>
      </c>
      <c r="H186" s="93">
        <v>55</v>
      </c>
      <c r="I186" s="93">
        <v>55</v>
      </c>
      <c r="J186" s="92">
        <v>384</v>
      </c>
      <c r="K186" s="62"/>
    </row>
    <row r="187" spans="2:11" customFormat="1" ht="15" customHeight="1">
      <c r="B187" s="94">
        <v>2012</v>
      </c>
      <c r="C187" s="93">
        <v>65</v>
      </c>
      <c r="D187" s="93">
        <v>49</v>
      </c>
      <c r="E187" s="93">
        <v>66</v>
      </c>
      <c r="F187" s="93">
        <v>52</v>
      </c>
      <c r="G187" s="93">
        <v>57</v>
      </c>
      <c r="H187" s="93">
        <v>51</v>
      </c>
      <c r="I187" s="93">
        <v>56</v>
      </c>
      <c r="J187" s="92">
        <v>396</v>
      </c>
      <c r="K187" s="62"/>
    </row>
    <row r="188" spans="2:11" customFormat="1" ht="15" customHeight="1">
      <c r="B188" s="94">
        <v>2013</v>
      </c>
      <c r="C188" s="93">
        <v>51</v>
      </c>
      <c r="D188" s="93">
        <v>66</v>
      </c>
      <c r="E188" s="93">
        <v>49</v>
      </c>
      <c r="F188" s="93">
        <v>66</v>
      </c>
      <c r="G188" s="93">
        <v>48</v>
      </c>
      <c r="H188" s="93">
        <v>55</v>
      </c>
      <c r="I188" s="93">
        <v>49</v>
      </c>
      <c r="J188" s="94">
        <v>384</v>
      </c>
      <c r="K188" s="62"/>
    </row>
    <row r="189" spans="2:11" customFormat="1" ht="15" customHeight="1">
      <c r="B189" s="94">
        <v>2014</v>
      </c>
      <c r="C189" s="93">
        <v>48</v>
      </c>
      <c r="D189" s="93">
        <v>58</v>
      </c>
      <c r="E189" s="93">
        <v>69</v>
      </c>
      <c r="F189" s="93">
        <v>53</v>
      </c>
      <c r="G189" s="93">
        <v>73</v>
      </c>
      <c r="H189" s="93">
        <v>51</v>
      </c>
      <c r="I189" s="93">
        <v>57</v>
      </c>
      <c r="J189" s="92">
        <v>409</v>
      </c>
      <c r="K189" s="65"/>
    </row>
    <row r="190" spans="2:11" customFormat="1" ht="15" customHeight="1">
      <c r="B190" s="94">
        <v>2015</v>
      </c>
      <c r="C190" s="93">
        <v>66</v>
      </c>
      <c r="D190" s="93">
        <v>53</v>
      </c>
      <c r="E190" s="93">
        <v>60</v>
      </c>
      <c r="F190" s="93">
        <v>71</v>
      </c>
      <c r="G190" s="93">
        <v>53</v>
      </c>
      <c r="H190" s="93">
        <v>70</v>
      </c>
      <c r="I190" s="93">
        <v>48</v>
      </c>
      <c r="J190" s="92">
        <v>421</v>
      </c>
      <c r="K190" s="65"/>
    </row>
    <row r="191" spans="2:11" customFormat="1" ht="15" customHeight="1">
      <c r="B191" s="94">
        <v>2016</v>
      </c>
      <c r="C191" s="93">
        <v>56</v>
      </c>
      <c r="D191" s="93">
        <v>71</v>
      </c>
      <c r="E191" s="93">
        <v>57</v>
      </c>
      <c r="F191" s="93">
        <v>60</v>
      </c>
      <c r="G191" s="93">
        <v>69</v>
      </c>
      <c r="H191" s="93">
        <v>56</v>
      </c>
      <c r="I191" s="93">
        <v>71</v>
      </c>
      <c r="J191" s="92">
        <v>440</v>
      </c>
      <c r="K191" s="65"/>
    </row>
    <row r="192" spans="2:11" ht="15" customHeight="1">
      <c r="B192" s="94">
        <v>2017</v>
      </c>
      <c r="C192" s="93">
        <f>VLOOKUP($E$3,Rolls!A1:FA90,42,FALSE)</f>
        <v>53</v>
      </c>
      <c r="D192" s="93">
        <f>VLOOKUP($E$3,Rolls!A1:FA90,43,FALSE)</f>
        <v>60</v>
      </c>
      <c r="E192" s="93">
        <f>VLOOKUP($E$3,Rolls!A1:FA90,44,FALSE)</f>
        <v>78</v>
      </c>
      <c r="F192" s="93">
        <f>VLOOKUP($E$3,Rolls!A1:FA90,45,FALSE)</f>
        <v>58</v>
      </c>
      <c r="G192" s="93">
        <f>VLOOKUP($E$3,Rolls!A1:FA90,46,FALSE)</f>
        <v>62</v>
      </c>
      <c r="H192" s="93">
        <f>VLOOKUP($E$3,Rolls!A1:FA90,47,FALSE)</f>
        <v>73</v>
      </c>
      <c r="I192" s="93">
        <f>VLOOKUP($E$3,Rolls!A1:FA90,48,FALSE)</f>
        <v>54</v>
      </c>
      <c r="J192" s="92">
        <f>VLOOKUP($E$3,Rolls!A1:FA90,49,FALSE)</f>
        <v>438</v>
      </c>
      <c r="K192" s="65"/>
    </row>
    <row r="193" spans="2:11" ht="15" customHeight="1">
      <c r="B193" s="94">
        <v>2018</v>
      </c>
      <c r="C193" s="93">
        <f>VLOOKUP($E$3,Rolls!A1:FA90,50,FALSE)</f>
        <v>63</v>
      </c>
      <c r="D193" s="93">
        <f>VLOOKUP($E$3,Rolls!A1:FA90,51,FALSE)</f>
        <v>54</v>
      </c>
      <c r="E193" s="93">
        <f>VLOOKUP($E$3,Rolls!A1:FA90,52,FALSE)</f>
        <v>57</v>
      </c>
      <c r="F193" s="93">
        <f>VLOOKUP($E$3,Rolls!A1:FA90,53,FALSE)</f>
        <v>79</v>
      </c>
      <c r="G193" s="93">
        <f>VLOOKUP($E$3,Rolls!A1:FA90,54,FALSE)</f>
        <v>51</v>
      </c>
      <c r="H193" s="93">
        <f>VLOOKUP($E$3,Rolls!A1:FA90,55,FALSE)</f>
        <v>58</v>
      </c>
      <c r="I193" s="93">
        <f>VLOOKUP($E$3,Rolls!A1:FA90,56,FALSE)</f>
        <v>67</v>
      </c>
      <c r="J193" s="92">
        <f>VLOOKUP($E$3,Rolls!A1:FA90,57,FALSE)</f>
        <v>429</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W23"/>
  <sheetViews>
    <sheetView topLeftCell="B5"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5" width="8" style="11" customWidth="1"/>
    <col min="6" max="17" width="8.42578125" style="11" customWidth="1"/>
    <col min="18" max="16384" width="9.140625" style="11"/>
  </cols>
  <sheetData>
    <row r="1" spans="2:23" ht="15" hidden="1" customHeight="1"/>
    <row r="2" spans="2:23" ht="15" hidden="1" customHeight="1" thickBot="1">
      <c r="B2" s="18"/>
      <c r="C2" s="19"/>
      <c r="D2" s="19"/>
      <c r="E2" s="19"/>
      <c r="F2" s="19"/>
      <c r="G2" s="19"/>
      <c r="H2" s="19"/>
      <c r="I2" s="20"/>
      <c r="J2" s="20"/>
    </row>
    <row r="3" spans="2:23" ht="15" hidden="1" customHeight="1" thickBot="1">
      <c r="B3" s="18"/>
      <c r="C3" s="18"/>
      <c r="D3" s="18"/>
      <c r="E3" s="402" t="s">
        <v>9</v>
      </c>
      <c r="F3" s="403"/>
      <c r="G3" s="403"/>
      <c r="H3" s="404"/>
      <c r="I3" s="20"/>
      <c r="J3" s="20"/>
    </row>
    <row r="4" spans="2:23" ht="15" hidden="1" customHeight="1">
      <c r="B4" s="18"/>
      <c r="C4" s="18"/>
      <c r="D4" s="18"/>
      <c r="E4" s="18"/>
      <c r="F4" s="18"/>
      <c r="G4" s="18"/>
      <c r="H4" s="18"/>
      <c r="I4" s="20"/>
      <c r="J4" s="20"/>
    </row>
    <row r="5" spans="2:23" ht="15" customHeight="1">
      <c r="B5" s="16"/>
      <c r="C5" s="16"/>
      <c r="D5" s="16"/>
      <c r="E5" s="16"/>
      <c r="F5" s="16"/>
      <c r="G5" s="16"/>
      <c r="H5" s="16"/>
    </row>
    <row r="6" spans="2:23" ht="26.25" customHeight="1">
      <c r="B6" s="24" t="s">
        <v>187</v>
      </c>
      <c r="C6" s="16"/>
      <c r="D6" s="16"/>
      <c r="E6" s="16"/>
      <c r="F6" s="16"/>
      <c r="G6" s="16"/>
      <c r="H6" s="16"/>
    </row>
    <row r="7" spans="2:23" ht="15" customHeight="1">
      <c r="B7" s="16"/>
      <c r="C7" s="16"/>
      <c r="D7" s="16"/>
      <c r="E7" s="16"/>
      <c r="F7" s="16"/>
      <c r="G7" s="16"/>
      <c r="H7" s="16"/>
    </row>
    <row r="8" spans="2:23" ht="15" customHeight="1">
      <c r="C8" s="246">
        <v>2016</v>
      </c>
      <c r="D8" s="246">
        <v>2017</v>
      </c>
      <c r="E8" s="246">
        <v>2018</v>
      </c>
      <c r="F8" s="246">
        <v>2019</v>
      </c>
      <c r="G8" s="246">
        <v>2020</v>
      </c>
      <c r="H8" s="246">
        <v>2021</v>
      </c>
      <c r="I8" s="246">
        <v>2022</v>
      </c>
      <c r="J8" s="246">
        <v>2023</v>
      </c>
      <c r="K8" s="246">
        <v>2024</v>
      </c>
      <c r="L8" s="246">
        <v>2025</v>
      </c>
      <c r="M8" s="246">
        <v>2026</v>
      </c>
      <c r="N8" s="246">
        <v>2027</v>
      </c>
      <c r="O8" s="246">
        <v>2028</v>
      </c>
      <c r="P8" s="246">
        <v>2029</v>
      </c>
      <c r="Q8" s="246">
        <v>2030</v>
      </c>
      <c r="R8" s="246">
        <v>2031</v>
      </c>
      <c r="S8" s="246">
        <v>2032</v>
      </c>
      <c r="T8" s="246">
        <v>2033</v>
      </c>
      <c r="U8" s="246">
        <v>2034</v>
      </c>
      <c r="V8" s="246">
        <v>2035</v>
      </c>
      <c r="W8" s="246">
        <v>2036</v>
      </c>
    </row>
    <row r="9" spans="2:23" ht="15" customHeight="1">
      <c r="B9" s="247" t="s">
        <v>1</v>
      </c>
      <c r="C9" s="394">
        <v>58</v>
      </c>
      <c r="D9" s="394">
        <v>77</v>
      </c>
      <c r="E9" s="384">
        <v>63</v>
      </c>
      <c r="F9" s="248">
        <f>ROUNDUP(AVERAGE(C9:E9),0)</f>
        <v>66</v>
      </c>
      <c r="G9" s="248">
        <f t="shared" ref="G9" si="0">ROUNDUP(AVERAGE(D9:F9),0)</f>
        <v>69</v>
      </c>
      <c r="H9" s="248">
        <f t="shared" ref="H9" si="1">ROUNDUP(AVERAGE(E9:G9),0)</f>
        <v>66</v>
      </c>
      <c r="I9" s="248">
        <f t="shared" ref="I9" si="2">ROUNDUP(AVERAGE(F9:H9),0)</f>
        <v>67</v>
      </c>
      <c r="J9" s="248">
        <f t="shared" ref="J9" si="3">ROUNDUP(AVERAGE(G9:I9),0)</f>
        <v>68</v>
      </c>
      <c r="K9" s="248">
        <f t="shared" ref="K9" si="4">ROUNDUP(AVERAGE(H9:J9),0)</f>
        <v>67</v>
      </c>
      <c r="L9" s="248">
        <f t="shared" ref="L9" si="5">ROUNDUP(AVERAGE(I9:K9),0)</f>
        <v>68</v>
      </c>
      <c r="M9" s="248">
        <f t="shared" ref="M9" si="6">ROUNDUP(AVERAGE(J9:L9),0)</f>
        <v>68</v>
      </c>
      <c r="N9" s="248">
        <f t="shared" ref="N9" si="7">ROUNDUP(AVERAGE(K9:M9),0)</f>
        <v>68</v>
      </c>
      <c r="O9" s="248">
        <f t="shared" ref="O9" si="8">ROUNDUP(AVERAGE(L9:N9),0)</f>
        <v>68</v>
      </c>
      <c r="P9" s="248">
        <f t="shared" ref="P9" si="9">ROUNDUP(AVERAGE(M9:O9),0)</f>
        <v>68</v>
      </c>
      <c r="Q9" s="248">
        <f t="shared" ref="Q9" si="10">ROUNDUP(AVERAGE(N9:P9),0)</f>
        <v>68</v>
      </c>
      <c r="R9" s="248">
        <f t="shared" ref="R9" si="11">ROUNDUP(AVERAGE(O9:Q9),0)</f>
        <v>68</v>
      </c>
      <c r="S9" s="248">
        <f t="shared" ref="S9" si="12">ROUNDUP(AVERAGE(P9:R9),0)</f>
        <v>68</v>
      </c>
      <c r="T9" s="248">
        <f t="shared" ref="T9" si="13">ROUNDUP(AVERAGE(Q9:S9),0)</f>
        <v>68</v>
      </c>
      <c r="U9" s="248">
        <f t="shared" ref="U9" si="14">ROUNDUP(AVERAGE(R9:T9),0)</f>
        <v>68</v>
      </c>
      <c r="V9" s="248">
        <f t="shared" ref="V9" si="15">ROUNDUP(AVERAGE(S9:U9),0)</f>
        <v>68</v>
      </c>
      <c r="W9" s="248">
        <f t="shared" ref="W9" si="16">ROUNDUP(AVERAGE(T9:V9),0)</f>
        <v>68</v>
      </c>
    </row>
    <row r="10" spans="2:23" ht="15" customHeight="1">
      <c r="B10" s="247" t="s">
        <v>2</v>
      </c>
      <c r="C10" s="394">
        <v>54</v>
      </c>
      <c r="D10" s="394">
        <v>57</v>
      </c>
      <c r="E10" s="384">
        <v>76</v>
      </c>
      <c r="F10" s="248">
        <f>ROUNDUP(E9-(D9/E10),0)</f>
        <v>62</v>
      </c>
      <c r="G10" s="248">
        <f>ROUNDUP(F9-(E9/F10),0)</f>
        <v>65</v>
      </c>
      <c r="H10" s="248">
        <f t="shared" ref="H10:Q15" si="17">ROUNDUP(G9-(F9/G10),0)</f>
        <v>68</v>
      </c>
      <c r="I10" s="248">
        <f t="shared" si="17"/>
        <v>65</v>
      </c>
      <c r="J10" s="248">
        <f t="shared" si="17"/>
        <v>66</v>
      </c>
      <c r="K10" s="248">
        <f t="shared" si="17"/>
        <v>67</v>
      </c>
      <c r="L10" s="248">
        <f t="shared" si="17"/>
        <v>66</v>
      </c>
      <c r="M10" s="248">
        <f t="shared" si="17"/>
        <v>67</v>
      </c>
      <c r="N10" s="248">
        <f t="shared" si="17"/>
        <v>67</v>
      </c>
      <c r="O10" s="248">
        <f t="shared" si="17"/>
        <v>67</v>
      </c>
      <c r="P10" s="248">
        <f t="shared" si="17"/>
        <v>67</v>
      </c>
      <c r="Q10" s="248">
        <f t="shared" si="17"/>
        <v>67</v>
      </c>
      <c r="R10" s="248">
        <f t="shared" ref="R10:R15" si="18">ROUNDUP(Q9-(P9/Q10),0)</f>
        <v>67</v>
      </c>
      <c r="S10" s="248">
        <f t="shared" ref="S10:S15" si="19">ROUNDUP(R9-(Q9/R10),0)</f>
        <v>67</v>
      </c>
      <c r="T10" s="248">
        <f t="shared" ref="T10:T15" si="20">ROUNDUP(S9-(R9/S10),0)</f>
        <v>67</v>
      </c>
      <c r="U10" s="248">
        <f t="shared" ref="U10:U15" si="21">ROUNDUP(T9-(S9/T10),0)</f>
        <v>67</v>
      </c>
      <c r="V10" s="248">
        <f t="shared" ref="V10:V15" si="22">ROUNDUP(U9-(T9/U10),0)</f>
        <v>67</v>
      </c>
      <c r="W10" s="248">
        <f t="shared" ref="W10:W15" si="23">ROUNDUP(V9-(U9/V10),0)</f>
        <v>67</v>
      </c>
    </row>
    <row r="11" spans="2:23" ht="15" customHeight="1">
      <c r="B11" s="247" t="s">
        <v>3</v>
      </c>
      <c r="C11" s="394">
        <v>61</v>
      </c>
      <c r="D11" s="394">
        <v>50</v>
      </c>
      <c r="E11" s="384">
        <v>55</v>
      </c>
      <c r="F11" s="248">
        <f t="shared" ref="F11:F15" si="24">ROUNDUP(E10-(D10/E11),0)</f>
        <v>75</v>
      </c>
      <c r="G11" s="248">
        <f t="shared" ref="G11:G15" si="25">ROUNDUP(F10-(E10/F11),0)</f>
        <v>61</v>
      </c>
      <c r="H11" s="248">
        <f t="shared" si="17"/>
        <v>64</v>
      </c>
      <c r="I11" s="248">
        <f t="shared" si="17"/>
        <v>67</v>
      </c>
      <c r="J11" s="248">
        <f t="shared" si="17"/>
        <v>64</v>
      </c>
      <c r="K11" s="248">
        <f t="shared" si="17"/>
        <v>65</v>
      </c>
      <c r="L11" s="248">
        <f t="shared" si="17"/>
        <v>66</v>
      </c>
      <c r="M11" s="248">
        <f t="shared" si="17"/>
        <v>65</v>
      </c>
      <c r="N11" s="248">
        <f t="shared" si="17"/>
        <v>66</v>
      </c>
      <c r="O11" s="248">
        <f t="shared" si="17"/>
        <v>66</v>
      </c>
      <c r="P11" s="248">
        <f t="shared" si="17"/>
        <v>66</v>
      </c>
      <c r="Q11" s="248">
        <f t="shared" si="17"/>
        <v>66</v>
      </c>
      <c r="R11" s="248">
        <f t="shared" si="18"/>
        <v>66</v>
      </c>
      <c r="S11" s="248">
        <f t="shared" si="19"/>
        <v>66</v>
      </c>
      <c r="T11" s="248">
        <f t="shared" si="20"/>
        <v>66</v>
      </c>
      <c r="U11" s="248">
        <f t="shared" si="21"/>
        <v>66</v>
      </c>
      <c r="V11" s="248">
        <f t="shared" si="22"/>
        <v>66</v>
      </c>
      <c r="W11" s="248">
        <f t="shared" si="23"/>
        <v>66</v>
      </c>
    </row>
    <row r="12" spans="2:23" ht="15" customHeight="1">
      <c r="B12" s="247" t="s">
        <v>4</v>
      </c>
      <c r="C12" s="394">
        <v>54</v>
      </c>
      <c r="D12" s="394">
        <v>61</v>
      </c>
      <c r="E12" s="384">
        <v>49</v>
      </c>
      <c r="F12" s="248">
        <f t="shared" si="24"/>
        <v>54</v>
      </c>
      <c r="G12" s="248">
        <f t="shared" si="25"/>
        <v>74</v>
      </c>
      <c r="H12" s="248">
        <f t="shared" si="17"/>
        <v>60</v>
      </c>
      <c r="I12" s="248">
        <f t="shared" si="17"/>
        <v>63</v>
      </c>
      <c r="J12" s="248">
        <f t="shared" si="17"/>
        <v>66</v>
      </c>
      <c r="K12" s="248">
        <f t="shared" si="17"/>
        <v>63</v>
      </c>
      <c r="L12" s="248">
        <f t="shared" si="17"/>
        <v>64</v>
      </c>
      <c r="M12" s="248">
        <f t="shared" si="17"/>
        <v>65</v>
      </c>
      <c r="N12" s="248">
        <f t="shared" si="17"/>
        <v>64</v>
      </c>
      <c r="O12" s="248">
        <f t="shared" si="17"/>
        <v>65</v>
      </c>
      <c r="P12" s="248">
        <f t="shared" si="17"/>
        <v>65</v>
      </c>
      <c r="Q12" s="248">
        <f t="shared" si="17"/>
        <v>65</v>
      </c>
      <c r="R12" s="248">
        <f t="shared" si="18"/>
        <v>65</v>
      </c>
      <c r="S12" s="248">
        <f t="shared" si="19"/>
        <v>65</v>
      </c>
      <c r="T12" s="248">
        <f t="shared" si="20"/>
        <v>65</v>
      </c>
      <c r="U12" s="248">
        <f t="shared" si="21"/>
        <v>65</v>
      </c>
      <c r="V12" s="248">
        <f t="shared" si="22"/>
        <v>65</v>
      </c>
      <c r="W12" s="248">
        <f t="shared" si="23"/>
        <v>65</v>
      </c>
    </row>
    <row r="13" spans="2:23" ht="15" customHeight="1">
      <c r="B13" s="247" t="s">
        <v>5</v>
      </c>
      <c r="C13" s="394">
        <v>31</v>
      </c>
      <c r="D13" s="394">
        <v>48</v>
      </c>
      <c r="E13" s="384">
        <v>61</v>
      </c>
      <c r="F13" s="248">
        <f t="shared" si="24"/>
        <v>48</v>
      </c>
      <c r="G13" s="248">
        <f t="shared" si="25"/>
        <v>53</v>
      </c>
      <c r="H13" s="248">
        <f t="shared" si="17"/>
        <v>73</v>
      </c>
      <c r="I13" s="248">
        <f t="shared" si="17"/>
        <v>59</v>
      </c>
      <c r="J13" s="248">
        <f t="shared" si="17"/>
        <v>62</v>
      </c>
      <c r="K13" s="248">
        <f t="shared" si="17"/>
        <v>65</v>
      </c>
      <c r="L13" s="248">
        <f t="shared" si="17"/>
        <v>62</v>
      </c>
      <c r="M13" s="248">
        <f t="shared" si="17"/>
        <v>63</v>
      </c>
      <c r="N13" s="248">
        <f t="shared" si="17"/>
        <v>64</v>
      </c>
      <c r="O13" s="248">
        <f t="shared" si="17"/>
        <v>63</v>
      </c>
      <c r="P13" s="248">
        <f t="shared" si="17"/>
        <v>64</v>
      </c>
      <c r="Q13" s="248">
        <f t="shared" si="17"/>
        <v>64</v>
      </c>
      <c r="R13" s="248">
        <f t="shared" si="18"/>
        <v>64</v>
      </c>
      <c r="S13" s="248">
        <f t="shared" si="19"/>
        <v>64</v>
      </c>
      <c r="T13" s="248">
        <f t="shared" si="20"/>
        <v>64</v>
      </c>
      <c r="U13" s="248">
        <f t="shared" si="21"/>
        <v>64</v>
      </c>
      <c r="V13" s="248">
        <f t="shared" si="22"/>
        <v>64</v>
      </c>
      <c r="W13" s="248">
        <f t="shared" si="23"/>
        <v>64</v>
      </c>
    </row>
    <row r="14" spans="2:23" ht="15" customHeight="1">
      <c r="B14" s="247" t="s">
        <v>6</v>
      </c>
      <c r="C14" s="394">
        <v>25</v>
      </c>
      <c r="D14" s="394">
        <v>31</v>
      </c>
      <c r="E14" s="384">
        <v>45</v>
      </c>
      <c r="F14" s="248">
        <f t="shared" si="24"/>
        <v>60</v>
      </c>
      <c r="G14" s="248">
        <f t="shared" si="25"/>
        <v>47</v>
      </c>
      <c r="H14" s="248">
        <f t="shared" si="17"/>
        <v>52</v>
      </c>
      <c r="I14" s="248">
        <f t="shared" si="17"/>
        <v>72</v>
      </c>
      <c r="J14" s="248">
        <f t="shared" si="17"/>
        <v>58</v>
      </c>
      <c r="K14" s="248">
        <f t="shared" si="17"/>
        <v>61</v>
      </c>
      <c r="L14" s="248">
        <f t="shared" si="17"/>
        <v>64</v>
      </c>
      <c r="M14" s="248">
        <f t="shared" si="17"/>
        <v>61</v>
      </c>
      <c r="N14" s="248">
        <f t="shared" si="17"/>
        <v>62</v>
      </c>
      <c r="O14" s="248">
        <f t="shared" si="17"/>
        <v>63</v>
      </c>
      <c r="P14" s="248">
        <f t="shared" si="17"/>
        <v>62</v>
      </c>
      <c r="Q14" s="248">
        <f t="shared" si="17"/>
        <v>63</v>
      </c>
      <c r="R14" s="248">
        <f t="shared" si="18"/>
        <v>63</v>
      </c>
      <c r="S14" s="248">
        <f t="shared" si="19"/>
        <v>63</v>
      </c>
      <c r="T14" s="248">
        <f t="shared" si="20"/>
        <v>63</v>
      </c>
      <c r="U14" s="248">
        <f t="shared" si="21"/>
        <v>63</v>
      </c>
      <c r="V14" s="248">
        <f t="shared" si="22"/>
        <v>63</v>
      </c>
      <c r="W14" s="248">
        <f t="shared" si="23"/>
        <v>63</v>
      </c>
    </row>
    <row r="15" spans="2:23" ht="15" customHeight="1">
      <c r="B15" s="247" t="s">
        <v>7</v>
      </c>
      <c r="C15" s="394">
        <v>28</v>
      </c>
      <c r="D15" s="394">
        <v>24</v>
      </c>
      <c r="E15" s="384">
        <v>27</v>
      </c>
      <c r="F15" s="248">
        <f t="shared" si="24"/>
        <v>44</v>
      </c>
      <c r="G15" s="248">
        <f t="shared" si="25"/>
        <v>59</v>
      </c>
      <c r="H15" s="248">
        <f t="shared" si="17"/>
        <v>46</v>
      </c>
      <c r="I15" s="248">
        <f t="shared" si="17"/>
        <v>51</v>
      </c>
      <c r="J15" s="248">
        <f t="shared" si="17"/>
        <v>71</v>
      </c>
      <c r="K15" s="248">
        <f t="shared" si="17"/>
        <v>57</v>
      </c>
      <c r="L15" s="248">
        <f t="shared" si="17"/>
        <v>60</v>
      </c>
      <c r="M15" s="248">
        <f t="shared" si="17"/>
        <v>63</v>
      </c>
      <c r="N15" s="248">
        <f t="shared" si="17"/>
        <v>60</v>
      </c>
      <c r="O15" s="248">
        <f t="shared" si="17"/>
        <v>61</v>
      </c>
      <c r="P15" s="248">
        <f t="shared" si="17"/>
        <v>62</v>
      </c>
      <c r="Q15" s="248">
        <f t="shared" si="17"/>
        <v>61</v>
      </c>
      <c r="R15" s="248">
        <f t="shared" si="18"/>
        <v>62</v>
      </c>
      <c r="S15" s="248">
        <f t="shared" si="19"/>
        <v>62</v>
      </c>
      <c r="T15" s="248">
        <f t="shared" si="20"/>
        <v>62</v>
      </c>
      <c r="U15" s="248">
        <f t="shared" si="21"/>
        <v>62</v>
      </c>
      <c r="V15" s="248">
        <f t="shared" si="22"/>
        <v>62</v>
      </c>
      <c r="W15" s="248">
        <f t="shared" si="23"/>
        <v>62</v>
      </c>
    </row>
    <row r="16" spans="2:23" ht="15" customHeight="1">
      <c r="B16" s="247" t="s">
        <v>255</v>
      </c>
      <c r="C16" s="249">
        <f>SUM(C9:C15)</f>
        <v>311</v>
      </c>
      <c r="D16" s="249">
        <f>SUM(D9:D15)</f>
        <v>348</v>
      </c>
      <c r="E16" s="249">
        <f>SUM(E9:E15)</f>
        <v>376</v>
      </c>
      <c r="F16" s="249">
        <f>SUM(F9:F15)</f>
        <v>409</v>
      </c>
      <c r="G16" s="249">
        <f>SUM(G9:G15)</f>
        <v>428</v>
      </c>
      <c r="H16" s="249">
        <f t="shared" ref="H16:L16" si="26">SUM(H9:H15)</f>
        <v>429</v>
      </c>
      <c r="I16" s="249">
        <f t="shared" si="26"/>
        <v>444</v>
      </c>
      <c r="J16" s="249">
        <f t="shared" si="26"/>
        <v>455</v>
      </c>
      <c r="K16" s="249">
        <f t="shared" si="26"/>
        <v>445</v>
      </c>
      <c r="L16" s="249">
        <f t="shared" si="26"/>
        <v>450</v>
      </c>
      <c r="M16" s="249">
        <f t="shared" ref="M16:Q16" si="27">SUM(M9:M15)</f>
        <v>452</v>
      </c>
      <c r="N16" s="249">
        <f t="shared" si="27"/>
        <v>451</v>
      </c>
      <c r="O16" s="249">
        <f t="shared" si="27"/>
        <v>453</v>
      </c>
      <c r="P16" s="249">
        <f t="shared" si="27"/>
        <v>454</v>
      </c>
      <c r="Q16" s="249">
        <f t="shared" si="27"/>
        <v>454</v>
      </c>
      <c r="R16" s="249">
        <f t="shared" ref="R16:W16" si="28">SUM(R9:R15)</f>
        <v>455</v>
      </c>
      <c r="S16" s="249">
        <f t="shared" si="28"/>
        <v>455</v>
      </c>
      <c r="T16" s="249">
        <f t="shared" si="28"/>
        <v>455</v>
      </c>
      <c r="U16" s="249">
        <f t="shared" si="28"/>
        <v>455</v>
      </c>
      <c r="V16" s="249">
        <f t="shared" si="28"/>
        <v>455</v>
      </c>
      <c r="W16" s="249">
        <f t="shared" si="28"/>
        <v>455</v>
      </c>
    </row>
    <row r="20" spans="2:19" ht="15" customHeight="1">
      <c r="B20" s="382">
        <v>43406</v>
      </c>
      <c r="C20" s="215"/>
      <c r="D20" s="215"/>
      <c r="E20" s="434" t="s">
        <v>224</v>
      </c>
      <c r="F20" s="399"/>
      <c r="G20" s="399"/>
      <c r="H20" s="399"/>
      <c r="I20" s="399"/>
      <c r="J20" s="399"/>
      <c r="K20" s="399"/>
      <c r="L20" s="399"/>
      <c r="M20" s="399"/>
      <c r="N20" s="399"/>
      <c r="O20" s="400"/>
      <c r="P20" s="400"/>
      <c r="Q20" s="400"/>
      <c r="R20" s="400"/>
      <c r="S20" s="400"/>
    </row>
    <row r="21" spans="2:19" ht="15" customHeight="1">
      <c r="B21" s="73"/>
      <c r="C21" s="214"/>
      <c r="D21" s="215"/>
      <c r="E21" s="435"/>
      <c r="F21" s="396" t="s">
        <v>253</v>
      </c>
      <c r="G21" s="396"/>
      <c r="H21" s="396"/>
      <c r="I21" s="396"/>
      <c r="J21" s="401" t="s">
        <v>254</v>
      </c>
      <c r="K21" s="401"/>
      <c r="L21" s="401"/>
      <c r="M21" s="401"/>
      <c r="N21" s="401"/>
      <c r="O21" s="400"/>
      <c r="P21" s="400"/>
      <c r="Q21" s="400"/>
      <c r="R21" s="400"/>
      <c r="S21" s="400"/>
    </row>
    <row r="22" spans="2:19" ht="15" customHeight="1">
      <c r="B22" s="216" t="s">
        <v>0</v>
      </c>
      <c r="C22" s="217" t="s">
        <v>150</v>
      </c>
      <c r="D22" s="218" t="s">
        <v>99</v>
      </c>
      <c r="E22" s="218">
        <v>2018</v>
      </c>
      <c r="F22" s="218">
        <v>2019</v>
      </c>
      <c r="G22" s="218">
        <v>2020</v>
      </c>
      <c r="H22" s="218">
        <v>2021</v>
      </c>
      <c r="I22" s="218">
        <v>2022</v>
      </c>
      <c r="J22" s="218">
        <v>2023</v>
      </c>
      <c r="K22" s="218">
        <v>2024</v>
      </c>
      <c r="L22" s="218">
        <v>2025</v>
      </c>
      <c r="M22" s="218">
        <v>2026</v>
      </c>
      <c r="N22" s="218">
        <v>2027</v>
      </c>
      <c r="O22" s="218">
        <v>2028</v>
      </c>
      <c r="P22" s="218">
        <v>2029</v>
      </c>
      <c r="Q22" s="218">
        <v>2030</v>
      </c>
      <c r="R22" s="218">
        <v>2031</v>
      </c>
      <c r="S22" s="218">
        <v>2032</v>
      </c>
    </row>
    <row r="23" spans="2:19" ht="15" customHeight="1">
      <c r="B23" s="145" t="s">
        <v>96</v>
      </c>
      <c r="C23" s="392">
        <f>IF(D23=4,84,IF(D23=5,112,IF(D23=6,140,IF(D23=7,210,IF(D23=8,217,IF(D23=9,231,IF(D23=10,259,IF(D23=11,294,IF(D23=12,315,IF(D23=13,329,IF(D23=14,420,IF(D23=15,434,IF(D23=16,462,IF(D23=17,476,IF(D23=18,504,IF(D23=19,546,IF(D23=20,560,IF(D23=21,630,IF(D23=22,840)))))))))))))))))))</f>
        <v>434</v>
      </c>
      <c r="D23" s="74">
        <v>15</v>
      </c>
      <c r="E23" s="143">
        <v>376</v>
      </c>
      <c r="F23" s="75">
        <f>'Bun Sgoil Taobh na Pairce'!F16</f>
        <v>409</v>
      </c>
      <c r="G23" s="75">
        <f>'Bun Sgoil Taobh na Pairce'!G16</f>
        <v>428</v>
      </c>
      <c r="H23" s="75">
        <f>'Bun Sgoil Taobh na Pairce'!H16</f>
        <v>429</v>
      </c>
      <c r="I23" s="75">
        <f>'Bun Sgoil Taobh na Pairce'!I16</f>
        <v>444</v>
      </c>
      <c r="J23" s="75">
        <f>'Bun Sgoil Taobh na Pairce'!J16</f>
        <v>455</v>
      </c>
      <c r="K23" s="75">
        <f>'Bun Sgoil Taobh na Pairce'!K16</f>
        <v>445</v>
      </c>
      <c r="L23" s="75">
        <f>'Bun Sgoil Taobh na Pairce'!L16</f>
        <v>450</v>
      </c>
      <c r="M23" s="75">
        <f>'Bun Sgoil Taobh na Pairce'!M16</f>
        <v>452</v>
      </c>
      <c r="N23" s="75">
        <f>'Bun Sgoil Taobh na Pairce'!N16</f>
        <v>451</v>
      </c>
      <c r="O23" s="75">
        <f>'Bun Sgoil Taobh na Pairce'!O16</f>
        <v>453</v>
      </c>
      <c r="P23" s="75">
        <f>'Bun Sgoil Taobh na Pairce'!P16</f>
        <v>454</v>
      </c>
      <c r="Q23" s="75">
        <f>'Bun Sgoil Taobh na Pairce'!Q16</f>
        <v>454</v>
      </c>
      <c r="R23" s="75">
        <f>'Bun Sgoil Taobh na Pairce'!R16</f>
        <v>455</v>
      </c>
      <c r="S23" s="75">
        <f>'Bun Sgoil Taobh na Pairce'!S16</f>
        <v>455</v>
      </c>
    </row>
  </sheetData>
  <mergeCells count="5">
    <mergeCell ref="E3:H3"/>
    <mergeCell ref="E20:E21"/>
    <mergeCell ref="F20:S20"/>
    <mergeCell ref="F21:I21"/>
    <mergeCell ref="J21:S21"/>
  </mergeCells>
  <conditionalFormatting sqref="E23:S23">
    <cfRule type="cellIs" dxfId="1" priority="2" stopIfTrue="1" operator="greaterThan">
      <formula>$B23</formula>
    </cfRule>
  </conditionalFormatting>
  <conditionalFormatting sqref="L23:S23">
    <cfRule type="cellIs" dxfId="0" priority="1" stopIfTrue="1" operator="greaterThan">
      <formula>$B23</formula>
    </cfRule>
  </conditionalFormatting>
  <dataValidations count="1">
    <dataValidation type="list" allowBlank="1" showInputMessage="1" showErrorMessage="1" sqref="E3">
      <formula1>All_Schools</formula1>
    </dataValidation>
  </dataValidations>
  <hyperlinks>
    <hyperlink ref="B23" location="'Taobh na Pairce'!A1" display="Bun-sgoil Taobh na Pairce"/>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74</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Canal View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420 Pupils (14 classes)</v>
      </c>
      <c r="G12" s="16"/>
      <c r="H12" s="16"/>
    </row>
    <row r="13" spans="2:10" ht="15" customHeight="1">
      <c r="C13" s="16"/>
      <c r="D13" s="16"/>
      <c r="E13" s="16"/>
      <c r="F13" s="16"/>
      <c r="G13" s="16"/>
      <c r="H13" s="16"/>
    </row>
    <row r="14" spans="2:10" ht="15" customHeight="1">
      <c r="B14" s="15" t="str">
        <f>"Figure 1: "&amp;E3&amp;" Roll, 2002-2015"</f>
        <v>Figure 1: Canal View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Canal View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48</v>
      </c>
      <c r="E49" s="108">
        <f>VLOOKUP($E$3,'Catchment Projections'!$A$1:$BU$90,46,FALSE)</f>
        <v>35</v>
      </c>
      <c r="F49" s="108">
        <f>VLOOKUP($E$3,'Catchment Projections'!$A$1:$BU$90,47,FALSE)</f>
        <v>54</v>
      </c>
      <c r="G49" s="108">
        <f>VLOOKUP($E$3,'Catchment Projections'!$A$1:$BU$90,48,FALSE)</f>
        <v>57</v>
      </c>
      <c r="H49" s="133">
        <f>VLOOKUP($E$3,'Catchment Projections'!$A$1:$BU$90,49,FALSE)</f>
        <v>49</v>
      </c>
      <c r="I49" s="133">
        <f>VLOOKUP($E$3,'Catchment Projections'!$A$1:$BU$90,50,FALSE)</f>
        <v>50</v>
      </c>
      <c r="J49" s="133">
        <f>VLOOKUP($E$3,'Catchment Projections'!$A$1:$BU$90,51,FALSE)</f>
        <v>51</v>
      </c>
      <c r="K49" s="133">
        <f>VLOOKUP($E$3,'Catchment Projections'!$A$1:$BU$90,52,FALSE)</f>
        <v>51</v>
      </c>
      <c r="L49" s="133">
        <f>VLOOKUP($E$3,'Catchment Projections'!$A$1:$BU$90,53,FALSE)</f>
        <v>52</v>
      </c>
      <c r="M49" s="133">
        <f>VLOOKUP($E$3,'Catchment Projections'!$A$1:$BU$90,54,FALSE)</f>
        <v>52</v>
      </c>
      <c r="N49" s="133">
        <f>VLOOKUP($E$3,'Catchment Projections'!$A$1:$BU$90,55,FALSE)</f>
        <v>52</v>
      </c>
      <c r="O49" s="133">
        <f>VLOOKUP($E$3,'Catchment Projections'!$A$1:$BU$90,56,FALSE)</f>
        <v>52</v>
      </c>
      <c r="P49" s="133">
        <f>VLOOKUP($E$3,'Catchment Projections'!$A$1:$BU$90,57,FALSE)</f>
        <v>52</v>
      </c>
      <c r="Q49" s="133">
        <f>VLOOKUP($E$3,'Catchment Projections'!$A$1:$BU$90,58,FALSE)</f>
        <v>52</v>
      </c>
    </row>
    <row r="50" spans="2:17" ht="15" customHeight="1" thickBot="1">
      <c r="B50" s="410" t="s">
        <v>141</v>
      </c>
      <c r="C50" s="411"/>
      <c r="D50" s="286">
        <f>VLOOKUP(E3,'Housing Generation'!$A$3:$DQ$90,10,FALSE)</f>
        <v>1</v>
      </c>
      <c r="E50" s="286">
        <f>VLOOKUP(E3,'Housing Generation'!$A$3:$DQ$90,18,FALSE)</f>
        <v>1</v>
      </c>
      <c r="F50" s="286">
        <f>VLOOKUP(E3,'Housing Generation'!$A$3:$DQ$90,26,FALSE)</f>
        <v>1</v>
      </c>
      <c r="G50" s="243">
        <f>VLOOKUP(E3,'Housing Generation'!$A$3:$DQ$90,34,FALSE)</f>
        <v>1</v>
      </c>
      <c r="H50" s="133">
        <f>VLOOKUP(E3,'Housing Generation'!$A$3:$DQ$90,42,FALSE)</f>
        <v>1</v>
      </c>
      <c r="I50" s="133">
        <f>VLOOKUP(E3,'Housing Generation'!$A$3:$DQ$90,50,FALSE)</f>
        <v>1</v>
      </c>
      <c r="J50" s="133">
        <f>VLOOKUP(E3,'Housing Generation'!$A$3:$CK$90,58,FALSE)</f>
        <v>1</v>
      </c>
      <c r="K50" s="133">
        <f>VLOOKUP(E3,'Housing Generation'!$A$3:$CK$90,66,FALSE)</f>
        <v>1</v>
      </c>
      <c r="L50" s="133">
        <f>VLOOKUP(E3,'Housing Generation'!$A$3:$DQ$90,74,FALSE)</f>
        <v>1</v>
      </c>
      <c r="M50" s="133">
        <f>VLOOKUP(E3,'Housing Generation'!$A$3:$DQ$90,82,FALSE)</f>
        <v>1</v>
      </c>
      <c r="N50" s="133">
        <f>VLOOKUP(E3,'Housing Generation'!$A$3:$DQ$90,90,FALSE)</f>
        <v>1</v>
      </c>
      <c r="O50" s="133">
        <f>VLOOKUP(E3,'Housing Generation'!$A$3:$DQ$90,98,FALSE)</f>
        <v>1</v>
      </c>
      <c r="P50" s="133">
        <f>VLOOKUP(E3,'Housing Generation'!$A$3:$DQ$90,106,FALSE)</f>
        <v>1</v>
      </c>
      <c r="Q50" s="133">
        <f>VLOOKUP(E3,'Housing Generation'!$A$3:$DQ$90,114,FALSE)</f>
        <v>1</v>
      </c>
    </row>
    <row r="51" spans="2:17" ht="15" customHeight="1" thickTop="1">
      <c r="B51" s="421" t="s">
        <v>130</v>
      </c>
      <c r="C51" s="422"/>
      <c r="D51" s="47">
        <f t="shared" ref="D51:Q51" si="0">SUM(D49:D50)</f>
        <v>49</v>
      </c>
      <c r="E51" s="47">
        <f t="shared" si="0"/>
        <v>36</v>
      </c>
      <c r="F51" s="80">
        <f t="shared" si="0"/>
        <v>55</v>
      </c>
      <c r="G51" s="244">
        <f t="shared" si="0"/>
        <v>58</v>
      </c>
      <c r="H51" s="71">
        <f t="shared" si="0"/>
        <v>50</v>
      </c>
      <c r="I51" s="71">
        <f t="shared" si="0"/>
        <v>51</v>
      </c>
      <c r="J51" s="71">
        <f t="shared" si="0"/>
        <v>52</v>
      </c>
      <c r="K51" s="71">
        <f t="shared" si="0"/>
        <v>52</v>
      </c>
      <c r="L51" s="71">
        <f t="shared" si="0"/>
        <v>53</v>
      </c>
      <c r="M51" s="71">
        <f t="shared" si="0"/>
        <v>53</v>
      </c>
      <c r="N51" s="71">
        <f t="shared" si="0"/>
        <v>53</v>
      </c>
      <c r="O51" s="71">
        <f t="shared" si="0"/>
        <v>53</v>
      </c>
      <c r="P51" s="71">
        <f t="shared" si="0"/>
        <v>53</v>
      </c>
      <c r="Q51" s="71">
        <f t="shared" si="0"/>
        <v>53</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61</v>
      </c>
      <c r="D60" s="358">
        <f>VLOOKUP($E$3,'Catchment Projections'!$A$1:$BZ$90,74,FALSE)</f>
        <v>31</v>
      </c>
      <c r="E60" s="303">
        <f>D60/C60</f>
        <v>0.50819672131147542</v>
      </c>
      <c r="G60" s="132">
        <v>2014</v>
      </c>
      <c r="H60" s="395">
        <f>VLOOKUP($G$60,$B$177:$C$215, 2, FALSE)</f>
        <v>53</v>
      </c>
      <c r="I60" s="120">
        <f>H60-D60</f>
        <v>22</v>
      </c>
      <c r="J60" s="121">
        <f>I60/H60</f>
        <v>0.41509433962264153</v>
      </c>
    </row>
    <row r="61" spans="2:17" ht="15" customHeight="1">
      <c r="B61" s="132">
        <v>2015</v>
      </c>
      <c r="C61" s="359">
        <f>VLOOKUP($E$3,'Catchment Projections'!$A$1:$BZ$90,41,FALSE)</f>
        <v>61</v>
      </c>
      <c r="D61" s="358">
        <f>VLOOKUP($E$3,'Catchment Projections'!$A$1:$BZ$90,75,FALSE)</f>
        <v>34</v>
      </c>
      <c r="E61" s="303">
        <f>D61/C61</f>
        <v>0.55737704918032782</v>
      </c>
      <c r="G61" s="132">
        <v>2015</v>
      </c>
      <c r="H61" s="395">
        <f>VLOOKUP($G$61,$B$177:$C$215, 2, FALSE)</f>
        <v>46</v>
      </c>
      <c r="I61" s="120">
        <f>H61-D61</f>
        <v>12</v>
      </c>
      <c r="J61" s="121">
        <f>I61/H61</f>
        <v>0.2608695652173913</v>
      </c>
    </row>
    <row r="62" spans="2:17" ht="15" customHeight="1">
      <c r="B62" s="131">
        <v>2016</v>
      </c>
      <c r="C62" s="359">
        <f>VLOOKUP($E$3,'Catchment Projections'!$A$1:$BZ$90,42,FALSE)</f>
        <v>56</v>
      </c>
      <c r="D62" s="358">
        <f>VLOOKUP($E$3,'Catchment Projections'!$A$1:$BZ$90,76,FALSE)</f>
        <v>33</v>
      </c>
      <c r="E62" s="57">
        <f>D62/C62</f>
        <v>0.5892857142857143</v>
      </c>
      <c r="G62" s="131">
        <v>2016</v>
      </c>
      <c r="H62" s="395">
        <f>VLOOKUP($G$62,$B$177:$C$215, 2, FALSE)</f>
        <v>49</v>
      </c>
      <c r="I62" s="120">
        <f>H62-D62</f>
        <v>16</v>
      </c>
      <c r="J62" s="121">
        <f>I62/H62</f>
        <v>0.32653061224489793</v>
      </c>
    </row>
    <row r="63" spans="2:17" ht="15" customHeight="1">
      <c r="B63" s="114">
        <v>2017</v>
      </c>
      <c r="C63" s="359">
        <f>VLOOKUP($E$3,'Catchment Projections'!$A$1:$BZ$90,43,FALSE)</f>
        <v>67</v>
      </c>
      <c r="D63" s="358">
        <f>VLOOKUP($E$3,'Catchment Projections'!$A$1:$BZ$90,77,FALSE)</f>
        <v>43</v>
      </c>
      <c r="E63" s="304">
        <f>D63/C63</f>
        <v>0.64179104477611937</v>
      </c>
      <c r="G63" s="114">
        <v>2017</v>
      </c>
      <c r="H63" s="395">
        <f>VLOOKUP($G$63,$B$177:$C$215, 2, FALSE)</f>
        <v>55</v>
      </c>
      <c r="I63" s="120">
        <f>H63-D63</f>
        <v>12</v>
      </c>
      <c r="J63" s="121">
        <f>I63/H63</f>
        <v>0.21818181818181817</v>
      </c>
    </row>
    <row r="64" spans="2:17" ht="15" customHeight="1">
      <c r="B64" s="114">
        <v>2018</v>
      </c>
      <c r="C64" s="359">
        <f>VLOOKUP($E$3,'Catchment Projections'!$A$1:$BZ$90,44,FALSE)</f>
        <v>49</v>
      </c>
      <c r="D64" s="358">
        <f>VLOOKUP($E$3,'Catchment Projections'!$A$1:$BZ$90,78,FALSE)</f>
        <v>31</v>
      </c>
      <c r="E64" s="305">
        <f>D64/C64</f>
        <v>0.63265306122448983</v>
      </c>
      <c r="G64" s="114">
        <v>2018</v>
      </c>
      <c r="H64" s="395">
        <f>VLOOKUP($G$64,$B$177:$C$215, 2, FALSE)</f>
        <v>43</v>
      </c>
      <c r="I64" s="120">
        <f>H64-D64</f>
        <v>12</v>
      </c>
      <c r="J64" s="121">
        <f>I64/H64</f>
        <v>0.27906976744186046</v>
      </c>
    </row>
    <row r="65" spans="2:10" ht="15" customHeight="1">
      <c r="B65" s="412" t="s">
        <v>136</v>
      </c>
      <c r="C65" s="413"/>
      <c r="D65" s="414"/>
      <c r="E65" s="137">
        <f>IF((AVERAGE(E62:E64))="#DIV/0!","n/a",(AVERAGE(E62:E64)))</f>
        <v>0.6212432734287745</v>
      </c>
      <c r="G65" s="415" t="s">
        <v>137</v>
      </c>
      <c r="H65" s="416"/>
      <c r="I65" s="138">
        <f>MEDIAN(I60:I64)</f>
        <v>12</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49</v>
      </c>
      <c r="D70" s="408"/>
      <c r="E70" s="122">
        <f>E65</f>
        <v>0.6212432734287745</v>
      </c>
      <c r="F70" s="120">
        <f t="shared" ref="F70:F83" si="1">C70*$E$65</f>
        <v>30.440920398009951</v>
      </c>
      <c r="G70" s="118">
        <f>IF(F70&lt;26,25,IF(F70&gt;135,140,IF(F70&gt;130,135,IF(F70&gt;125,130,IF(F70&gt;120,125,IF(F70&gt;115,120,IF(F70&gt;110,115,IF(F70&gt;105,110,IF(F70&gt;100,105,IF(F70&gt;99,100,IF(F70&gt;90,99,IF(F70&gt;75,90,IF(F70&gt;72,75,IF(F70&gt;66,72,IF(F70&gt;60,66,IF(F70&gt;50,60,IF(F70&gt;30,50,IF(F70&gt;25,30,0))))))))))))))))))</f>
        <v>50</v>
      </c>
      <c r="H70" s="119">
        <f t="shared" ref="H70:H83" si="2">G70-F70</f>
        <v>19.559079601990049</v>
      </c>
      <c r="I70" s="118" t="str">
        <f>IF(I$65&lt;H70, "NO", "YES")</f>
        <v>NO</v>
      </c>
      <c r="J70" s="117">
        <f t="shared" ref="J70:J83" si="3">IF(I70="YES",G70,(MIN((SUM(F70,$I$65)),G70)))</f>
        <v>42.440920398009951</v>
      </c>
    </row>
    <row r="71" spans="2:10" ht="15" customHeight="1">
      <c r="B71" s="114">
        <v>2020</v>
      </c>
      <c r="C71" s="433">
        <f>E51</f>
        <v>36</v>
      </c>
      <c r="D71" s="408"/>
      <c r="E71" s="121">
        <f>E65</f>
        <v>0.6212432734287745</v>
      </c>
      <c r="F71" s="120">
        <f t="shared" si="1"/>
        <v>22.364757843435882</v>
      </c>
      <c r="G71" s="118">
        <f t="shared" ref="G71:G83" si="4">IF(F71&lt;26,25,IF(F71&gt;135,140,IF(F71&gt;130,135,IF(F71&gt;125,130,IF(F71&gt;120,125,IF(F71&gt;115,120,IF(F71&gt;110,115,IF(F71&gt;105,110,IF(F71&gt;100,105,IF(F71&gt;99,100,IF(F71&gt;90,99,IF(F71&gt;75,90,IF(F71&gt;72,75,IF(F71&gt;66,72,IF(F71&gt;60,66,IF(F71&gt;50,60,IF(F71&gt;30,50,IF(F71&gt;25,30,0))))))))))))))))))</f>
        <v>25</v>
      </c>
      <c r="H71" s="119">
        <f t="shared" si="2"/>
        <v>2.635242156564118</v>
      </c>
      <c r="I71" s="118" t="str">
        <f t="shared" ref="I71:I83" si="5">IF(I$65&lt;H71, "NO", "YES")</f>
        <v>YES</v>
      </c>
      <c r="J71" s="117">
        <f t="shared" si="3"/>
        <v>25</v>
      </c>
    </row>
    <row r="72" spans="2:10" ht="15" customHeight="1">
      <c r="B72" s="114">
        <v>2021</v>
      </c>
      <c r="C72" s="430">
        <f>F51</f>
        <v>55</v>
      </c>
      <c r="D72" s="431"/>
      <c r="E72" s="121">
        <f>E65</f>
        <v>0.6212432734287745</v>
      </c>
      <c r="F72" s="120">
        <f t="shared" si="1"/>
        <v>34.168380038582598</v>
      </c>
      <c r="G72" s="118">
        <f t="shared" si="4"/>
        <v>50</v>
      </c>
      <c r="H72" s="119">
        <f t="shared" si="2"/>
        <v>15.831619961417402</v>
      </c>
      <c r="I72" s="118" t="str">
        <f t="shared" si="5"/>
        <v>NO</v>
      </c>
      <c r="J72" s="117">
        <f t="shared" si="3"/>
        <v>46.168380038582598</v>
      </c>
    </row>
    <row r="73" spans="2:10" ht="15" customHeight="1">
      <c r="B73" s="114">
        <v>2022</v>
      </c>
      <c r="C73" s="430">
        <f>G51</f>
        <v>58</v>
      </c>
      <c r="D73" s="431"/>
      <c r="E73" s="121">
        <f>E65</f>
        <v>0.6212432734287745</v>
      </c>
      <c r="F73" s="120">
        <f t="shared" si="1"/>
        <v>36.032109858868921</v>
      </c>
      <c r="G73" s="118">
        <f t="shared" si="4"/>
        <v>50</v>
      </c>
      <c r="H73" s="119">
        <f t="shared" si="2"/>
        <v>13.967890141131079</v>
      </c>
      <c r="I73" s="118" t="str">
        <f t="shared" si="5"/>
        <v>NO</v>
      </c>
      <c r="J73" s="117">
        <f t="shared" si="3"/>
        <v>48.032109858868921</v>
      </c>
    </row>
    <row r="74" spans="2:10" ht="15" customHeight="1">
      <c r="B74" s="114">
        <v>2023</v>
      </c>
      <c r="C74" s="430">
        <f>H51</f>
        <v>50</v>
      </c>
      <c r="D74" s="431"/>
      <c r="E74" s="121">
        <f>E65</f>
        <v>0.6212432734287745</v>
      </c>
      <c r="F74" s="120">
        <f t="shared" si="1"/>
        <v>31.062163671438725</v>
      </c>
      <c r="G74" s="118">
        <f t="shared" si="4"/>
        <v>50</v>
      </c>
      <c r="H74" s="119">
        <f t="shared" si="2"/>
        <v>18.937836328561275</v>
      </c>
      <c r="I74" s="118" t="str">
        <f t="shared" si="5"/>
        <v>NO</v>
      </c>
      <c r="J74" s="117">
        <f t="shared" si="3"/>
        <v>43.062163671438725</v>
      </c>
    </row>
    <row r="75" spans="2:10" ht="15" customHeight="1">
      <c r="B75" s="114">
        <v>2024</v>
      </c>
      <c r="C75" s="430">
        <f>I51</f>
        <v>51</v>
      </c>
      <c r="D75" s="431"/>
      <c r="E75" s="121">
        <f>E65</f>
        <v>0.6212432734287745</v>
      </c>
      <c r="F75" s="120">
        <f t="shared" si="1"/>
        <v>31.6834069448675</v>
      </c>
      <c r="G75" s="118">
        <f t="shared" si="4"/>
        <v>50</v>
      </c>
      <c r="H75" s="119">
        <f t="shared" si="2"/>
        <v>18.3165930551325</v>
      </c>
      <c r="I75" s="118" t="str">
        <f t="shared" si="5"/>
        <v>NO</v>
      </c>
      <c r="J75" s="117">
        <f t="shared" si="3"/>
        <v>43.6834069448675</v>
      </c>
    </row>
    <row r="76" spans="2:10" ht="15" customHeight="1">
      <c r="B76" s="114">
        <v>2025</v>
      </c>
      <c r="C76" s="430">
        <f>J51</f>
        <v>52</v>
      </c>
      <c r="D76" s="431"/>
      <c r="E76" s="121">
        <f>E65</f>
        <v>0.6212432734287745</v>
      </c>
      <c r="F76" s="120">
        <f t="shared" si="1"/>
        <v>32.304650218296274</v>
      </c>
      <c r="G76" s="118">
        <f t="shared" si="4"/>
        <v>50</v>
      </c>
      <c r="H76" s="119">
        <f t="shared" si="2"/>
        <v>17.695349781703726</v>
      </c>
      <c r="I76" s="118" t="str">
        <f t="shared" si="5"/>
        <v>NO</v>
      </c>
      <c r="J76" s="117">
        <f t="shared" si="3"/>
        <v>44.304650218296274</v>
      </c>
    </row>
    <row r="77" spans="2:10" ht="15" customHeight="1">
      <c r="B77" s="114">
        <v>2026</v>
      </c>
      <c r="C77" s="430">
        <f>K51</f>
        <v>52</v>
      </c>
      <c r="D77" s="431"/>
      <c r="E77" s="121">
        <f>E65</f>
        <v>0.6212432734287745</v>
      </c>
      <c r="F77" s="120">
        <f t="shared" si="1"/>
        <v>32.304650218296274</v>
      </c>
      <c r="G77" s="118">
        <f t="shared" si="4"/>
        <v>50</v>
      </c>
      <c r="H77" s="119">
        <f t="shared" si="2"/>
        <v>17.695349781703726</v>
      </c>
      <c r="I77" s="118" t="str">
        <f t="shared" si="5"/>
        <v>NO</v>
      </c>
      <c r="J77" s="117">
        <f t="shared" si="3"/>
        <v>44.304650218296274</v>
      </c>
    </row>
    <row r="78" spans="2:10" ht="15" customHeight="1">
      <c r="B78" s="114">
        <v>2027</v>
      </c>
      <c r="C78" s="430">
        <f>L51</f>
        <v>53</v>
      </c>
      <c r="D78" s="431"/>
      <c r="E78" s="121">
        <f>E65</f>
        <v>0.6212432734287745</v>
      </c>
      <c r="F78" s="120">
        <f t="shared" si="1"/>
        <v>32.925893491725049</v>
      </c>
      <c r="G78" s="118">
        <f t="shared" si="4"/>
        <v>50</v>
      </c>
      <c r="H78" s="119">
        <f t="shared" si="2"/>
        <v>17.074106508274951</v>
      </c>
      <c r="I78" s="118" t="str">
        <f t="shared" si="5"/>
        <v>NO</v>
      </c>
      <c r="J78" s="117">
        <f t="shared" si="3"/>
        <v>44.925893491725049</v>
      </c>
    </row>
    <row r="79" spans="2:10" ht="15" customHeight="1">
      <c r="B79" s="114">
        <v>2028</v>
      </c>
      <c r="C79" s="430">
        <f>M51</f>
        <v>53</v>
      </c>
      <c r="D79" s="431"/>
      <c r="E79" s="121">
        <f t="shared" ref="E79:E83" si="6">$E$65</f>
        <v>0.6212432734287745</v>
      </c>
      <c r="F79" s="120">
        <f t="shared" si="1"/>
        <v>32.925893491725049</v>
      </c>
      <c r="G79" s="118">
        <f t="shared" si="4"/>
        <v>50</v>
      </c>
      <c r="H79" s="119">
        <f t="shared" si="2"/>
        <v>17.074106508274951</v>
      </c>
      <c r="I79" s="118" t="str">
        <f t="shared" si="5"/>
        <v>NO</v>
      </c>
      <c r="J79" s="117">
        <f t="shared" si="3"/>
        <v>44.925893491725049</v>
      </c>
    </row>
    <row r="80" spans="2:10" ht="15" customHeight="1">
      <c r="B80" s="114">
        <v>2029</v>
      </c>
      <c r="C80" s="430">
        <f>N51</f>
        <v>53</v>
      </c>
      <c r="D80" s="431"/>
      <c r="E80" s="121">
        <f t="shared" si="6"/>
        <v>0.6212432734287745</v>
      </c>
      <c r="F80" s="120">
        <f t="shared" si="1"/>
        <v>32.925893491725049</v>
      </c>
      <c r="G80" s="118">
        <f t="shared" si="4"/>
        <v>50</v>
      </c>
      <c r="H80" s="119">
        <f t="shared" si="2"/>
        <v>17.074106508274951</v>
      </c>
      <c r="I80" s="118" t="str">
        <f t="shared" si="5"/>
        <v>NO</v>
      </c>
      <c r="J80" s="117">
        <f t="shared" si="3"/>
        <v>44.925893491725049</v>
      </c>
    </row>
    <row r="81" spans="2:10" ht="15" customHeight="1">
      <c r="B81" s="114">
        <v>2030</v>
      </c>
      <c r="C81" s="430">
        <f>O51</f>
        <v>53</v>
      </c>
      <c r="D81" s="431"/>
      <c r="E81" s="121">
        <f t="shared" si="6"/>
        <v>0.6212432734287745</v>
      </c>
      <c r="F81" s="120">
        <f t="shared" si="1"/>
        <v>32.925893491725049</v>
      </c>
      <c r="G81" s="118">
        <f t="shared" si="4"/>
        <v>50</v>
      </c>
      <c r="H81" s="119">
        <f t="shared" si="2"/>
        <v>17.074106508274951</v>
      </c>
      <c r="I81" s="118" t="str">
        <f t="shared" si="5"/>
        <v>NO</v>
      </c>
      <c r="J81" s="117">
        <f t="shared" si="3"/>
        <v>44.925893491725049</v>
      </c>
    </row>
    <row r="82" spans="2:10" ht="15" customHeight="1">
      <c r="B82" s="114">
        <v>2031</v>
      </c>
      <c r="C82" s="430">
        <f>P51</f>
        <v>53</v>
      </c>
      <c r="D82" s="431"/>
      <c r="E82" s="121">
        <f t="shared" si="6"/>
        <v>0.6212432734287745</v>
      </c>
      <c r="F82" s="120">
        <f t="shared" si="1"/>
        <v>32.925893491725049</v>
      </c>
      <c r="G82" s="118">
        <f t="shared" si="4"/>
        <v>50</v>
      </c>
      <c r="H82" s="119">
        <f t="shared" si="2"/>
        <v>17.074106508274951</v>
      </c>
      <c r="I82" s="118" t="str">
        <f t="shared" si="5"/>
        <v>NO</v>
      </c>
      <c r="J82" s="117">
        <f t="shared" si="3"/>
        <v>44.925893491725049</v>
      </c>
    </row>
    <row r="83" spans="2:10" ht="15" customHeight="1">
      <c r="B83" s="114">
        <v>2032</v>
      </c>
      <c r="C83" s="430">
        <f>Q51</f>
        <v>53</v>
      </c>
      <c r="D83" s="431"/>
      <c r="E83" s="121">
        <f t="shared" si="6"/>
        <v>0.6212432734287745</v>
      </c>
      <c r="F83" s="120">
        <f t="shared" si="1"/>
        <v>32.925893491725049</v>
      </c>
      <c r="G83" s="118">
        <f t="shared" si="4"/>
        <v>50</v>
      </c>
      <c r="H83" s="119">
        <f t="shared" si="2"/>
        <v>17.074106508274951</v>
      </c>
      <c r="I83" s="118" t="str">
        <f t="shared" si="5"/>
        <v>NO</v>
      </c>
      <c r="J83" s="117">
        <f t="shared" si="3"/>
        <v>44.925893491725049</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Canal View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58</v>
      </c>
      <c r="D91" s="112">
        <f t="shared" ref="D91:J91" si="7">D188</f>
        <v>52</v>
      </c>
      <c r="E91" s="112">
        <f t="shared" si="7"/>
        <v>43</v>
      </c>
      <c r="F91" s="112">
        <f t="shared" si="7"/>
        <v>37</v>
      </c>
      <c r="G91" s="112">
        <f t="shared" si="7"/>
        <v>20</v>
      </c>
      <c r="H91" s="112">
        <f t="shared" si="7"/>
        <v>31</v>
      </c>
      <c r="I91" s="112">
        <f t="shared" si="7"/>
        <v>29</v>
      </c>
      <c r="J91" s="213">
        <f t="shared" si="7"/>
        <v>270</v>
      </c>
    </row>
    <row r="92" spans="2:10" ht="15" customHeight="1">
      <c r="B92" s="114">
        <v>2014</v>
      </c>
      <c r="C92" s="112">
        <f>C189</f>
        <v>53</v>
      </c>
      <c r="D92" s="112">
        <f t="shared" ref="D92:J92" si="8">D189</f>
        <v>63</v>
      </c>
      <c r="E92" s="112">
        <f t="shared" si="8"/>
        <v>49</v>
      </c>
      <c r="F92" s="112">
        <f t="shared" si="8"/>
        <v>46</v>
      </c>
      <c r="G92" s="112">
        <f t="shared" si="8"/>
        <v>35</v>
      </c>
      <c r="H92" s="112">
        <f t="shared" si="8"/>
        <v>20</v>
      </c>
      <c r="I92" s="112">
        <f t="shared" si="8"/>
        <v>29</v>
      </c>
      <c r="J92" s="213">
        <f t="shared" si="8"/>
        <v>295</v>
      </c>
    </row>
    <row r="93" spans="2:10" ht="15" customHeight="1">
      <c r="B93" s="114">
        <v>2015</v>
      </c>
      <c r="C93" s="112">
        <f>C190</f>
        <v>46</v>
      </c>
      <c r="D93" s="112">
        <f t="shared" ref="D93:J93" si="9">D190</f>
        <v>55</v>
      </c>
      <c r="E93" s="112">
        <f t="shared" si="9"/>
        <v>66</v>
      </c>
      <c r="F93" s="112">
        <f t="shared" si="9"/>
        <v>48</v>
      </c>
      <c r="G93" s="112">
        <f t="shared" si="9"/>
        <v>46</v>
      </c>
      <c r="H93" s="112">
        <f t="shared" si="9"/>
        <v>33</v>
      </c>
      <c r="I93" s="112">
        <f t="shared" si="9"/>
        <v>24</v>
      </c>
      <c r="J93" s="213">
        <f t="shared" si="9"/>
        <v>318</v>
      </c>
    </row>
    <row r="94" spans="2:10" ht="15" customHeight="1">
      <c r="B94" s="114">
        <v>2016</v>
      </c>
      <c r="C94" s="112">
        <f>C191</f>
        <v>49</v>
      </c>
      <c r="D94" s="112">
        <f t="shared" ref="D94:J94" si="10">D191</f>
        <v>46</v>
      </c>
      <c r="E94" s="112">
        <f t="shared" si="10"/>
        <v>60</v>
      </c>
      <c r="F94" s="112">
        <f t="shared" si="10"/>
        <v>63</v>
      </c>
      <c r="G94" s="112">
        <f t="shared" si="10"/>
        <v>44</v>
      </c>
      <c r="H94" s="112">
        <f t="shared" si="10"/>
        <v>49</v>
      </c>
      <c r="I94" s="112">
        <f t="shared" si="10"/>
        <v>36</v>
      </c>
      <c r="J94" s="213">
        <f t="shared" si="10"/>
        <v>347</v>
      </c>
    </row>
    <row r="95" spans="2:10" ht="15" customHeight="1">
      <c r="B95" s="114">
        <v>2017</v>
      </c>
      <c r="C95" s="112">
        <f>C192</f>
        <v>55</v>
      </c>
      <c r="D95" s="112">
        <f t="shared" ref="D95:J95" si="11">D192</f>
        <v>50</v>
      </c>
      <c r="E95" s="112">
        <f t="shared" si="11"/>
        <v>43</v>
      </c>
      <c r="F95" s="112">
        <f t="shared" si="11"/>
        <v>61</v>
      </c>
      <c r="G95" s="112">
        <f t="shared" si="11"/>
        <v>59</v>
      </c>
      <c r="H95" s="112">
        <f t="shared" si="11"/>
        <v>41</v>
      </c>
      <c r="I95" s="112">
        <f t="shared" si="11"/>
        <v>48</v>
      </c>
      <c r="J95" s="213">
        <f t="shared" si="11"/>
        <v>357</v>
      </c>
    </row>
    <row r="96" spans="2:10" ht="15" customHeight="1">
      <c r="B96" s="307">
        <v>2018</v>
      </c>
      <c r="C96" s="112">
        <f t="shared" ref="C96:J96" si="12">C193</f>
        <v>43</v>
      </c>
      <c r="D96" s="112">
        <f t="shared" si="12"/>
        <v>58</v>
      </c>
      <c r="E96" s="112">
        <f t="shared" si="12"/>
        <v>47</v>
      </c>
      <c r="F96" s="112">
        <f t="shared" si="12"/>
        <v>44</v>
      </c>
      <c r="G96" s="112">
        <f t="shared" si="12"/>
        <v>60</v>
      </c>
      <c r="H96" s="112">
        <f t="shared" si="12"/>
        <v>57</v>
      </c>
      <c r="I96" s="112">
        <f t="shared" si="12"/>
        <v>43</v>
      </c>
      <c r="J96" s="213">
        <f t="shared" si="12"/>
        <v>352</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-3.7735849056603772E-2</v>
      </c>
      <c r="E98" s="210">
        <f t="shared" ref="E98:I98" si="13">MEDIAN(((D91-E92)/D91),((D92-E93)/D92),((D93-E94)/D93),((D94-E95)/D94),((D95-E96)/D95))</f>
        <v>5.7692307692307696E-2</v>
      </c>
      <c r="F98" s="210">
        <f t="shared" si="13"/>
        <v>-1.6666666666666666E-2</v>
      </c>
      <c r="G98" s="210">
        <f t="shared" si="13"/>
        <v>5.4054054054054057E-2</v>
      </c>
      <c r="H98" s="210">
        <f t="shared" si="13"/>
        <v>3.3898305084745763E-2</v>
      </c>
      <c r="I98" s="210">
        <f t="shared" si="13"/>
        <v>-4.878048780487805E-2</v>
      </c>
    </row>
    <row r="99" spans="2:10" ht="15" customHeight="1">
      <c r="B99" s="59"/>
      <c r="C99" s="60"/>
      <c r="D99" s="61"/>
      <c r="E99" s="61"/>
      <c r="F99" s="61"/>
      <c r="G99" s="61"/>
      <c r="H99" s="61"/>
      <c r="I99" s="61"/>
      <c r="J99" s="58"/>
    </row>
    <row r="100" spans="2:10" ht="15" customHeight="1">
      <c r="B100" s="15" t="str">
        <f>"Table 4B: "&amp;E3&amp;" Projected Roll by Stage (incorporating Projected P1 and Drop-Off Rates), 2019-2032"</f>
        <v>Table 4B: Canal View Primary School Projected Roll by Stage (incorporating Projected P1 and Drop-Off Rates), 2019-2032</v>
      </c>
      <c r="F100" s="14"/>
      <c r="G100" s="14"/>
    </row>
    <row r="101" spans="2:10" ht="15" customHeight="1">
      <c r="F101" s="14"/>
      <c r="G101" s="14"/>
    </row>
    <row r="102" spans="2:10" ht="15" customHeight="1">
      <c r="B102" s="115"/>
      <c r="C102" s="109" t="s">
        <v>1</v>
      </c>
      <c r="D102" s="109" t="s">
        <v>2</v>
      </c>
      <c r="E102" s="109" t="s">
        <v>3</v>
      </c>
      <c r="F102" s="109" t="s">
        <v>4</v>
      </c>
      <c r="G102" s="109" t="s">
        <v>5</v>
      </c>
      <c r="H102" s="109" t="s">
        <v>6</v>
      </c>
      <c r="I102" s="109" t="s">
        <v>7</v>
      </c>
      <c r="J102" s="109" t="s">
        <v>8</v>
      </c>
    </row>
    <row r="103" spans="2:10" ht="15" customHeight="1">
      <c r="B103" s="114">
        <v>2019</v>
      </c>
      <c r="C103" s="113">
        <f t="shared" ref="C103:C116" si="14">J70</f>
        <v>42.440920398009951</v>
      </c>
      <c r="D103" s="324">
        <f>ROUND((C96)-(C96*$D$98),0)</f>
        <v>45</v>
      </c>
      <c r="E103" s="324">
        <f>ROUND((D96)-(D96*$E$98),0)</f>
        <v>55</v>
      </c>
      <c r="F103" s="324">
        <f>ROUND((E96)-(E96*$F$98),0)</f>
        <v>48</v>
      </c>
      <c r="G103" s="324">
        <f>ROUND((F96)-(F96*$G$98),0)</f>
        <v>42</v>
      </c>
      <c r="H103" s="324">
        <f>ROUND((G96)-(G96*$H$98),0)</f>
        <v>58</v>
      </c>
      <c r="I103" s="324">
        <f>ROUND((H96)-(H96*$I$98),0)</f>
        <v>60</v>
      </c>
      <c r="J103" s="111">
        <f t="shared" ref="J103:J116" si="15">SUM(C103:I103)</f>
        <v>350.44092039800995</v>
      </c>
    </row>
    <row r="104" spans="2:10" ht="15" customHeight="1">
      <c r="B104" s="114">
        <v>2020</v>
      </c>
      <c r="C104" s="113">
        <f t="shared" si="14"/>
        <v>25</v>
      </c>
      <c r="D104" s="324">
        <f>ROUND((C103-E50)-(C103*$D$98),0)</f>
        <v>43</v>
      </c>
      <c r="E104" s="112">
        <f t="shared" ref="E104:E116" si="16">ROUND((D103)-(D103*$E$98),0)</f>
        <v>42</v>
      </c>
      <c r="F104" s="112">
        <f t="shared" ref="F104:F116" si="17">ROUND((E103)-(E103*$F$98),0)</f>
        <v>56</v>
      </c>
      <c r="G104" s="112">
        <f t="shared" ref="G104:G116" si="18">ROUND((F103)-(F103*$G$98),0)</f>
        <v>45</v>
      </c>
      <c r="H104" s="112">
        <f t="shared" ref="H104:H116" si="19">ROUND((G103)-(G103*$H$98),0)</f>
        <v>41</v>
      </c>
      <c r="I104" s="112">
        <f t="shared" ref="I104:I116" si="20">ROUND((H103)-(H103*$I$98),0)</f>
        <v>61</v>
      </c>
      <c r="J104" s="111">
        <f t="shared" si="15"/>
        <v>313</v>
      </c>
    </row>
    <row r="105" spans="2:10" ht="15" customHeight="1">
      <c r="B105" s="114">
        <v>2021</v>
      </c>
      <c r="C105" s="113">
        <f t="shared" si="14"/>
        <v>46.168380038582598</v>
      </c>
      <c r="D105" s="324">
        <f>ROUND((C104-F50)-(C104*$D$98),0)</f>
        <v>25</v>
      </c>
      <c r="E105" s="112">
        <f t="shared" si="16"/>
        <v>41</v>
      </c>
      <c r="F105" s="112">
        <f t="shared" si="17"/>
        <v>43</v>
      </c>
      <c r="G105" s="112">
        <f t="shared" si="18"/>
        <v>53</v>
      </c>
      <c r="H105" s="112">
        <f t="shared" si="19"/>
        <v>43</v>
      </c>
      <c r="I105" s="112">
        <f t="shared" si="20"/>
        <v>43</v>
      </c>
      <c r="J105" s="111">
        <f t="shared" si="15"/>
        <v>294.1683800385826</v>
      </c>
    </row>
    <row r="106" spans="2:10" ht="15" customHeight="1">
      <c r="B106" s="114">
        <v>2022</v>
      </c>
      <c r="C106" s="113">
        <f t="shared" si="14"/>
        <v>48.032109858868921</v>
      </c>
      <c r="D106" s="324">
        <f>ROUND((C105-G50)-(C105*$D$98),0)</f>
        <v>47</v>
      </c>
      <c r="E106" s="112">
        <f t="shared" si="16"/>
        <v>24</v>
      </c>
      <c r="F106" s="112">
        <f t="shared" si="17"/>
        <v>42</v>
      </c>
      <c r="G106" s="112">
        <f t="shared" si="18"/>
        <v>41</v>
      </c>
      <c r="H106" s="112">
        <f t="shared" si="19"/>
        <v>51</v>
      </c>
      <c r="I106" s="112">
        <f t="shared" si="20"/>
        <v>45</v>
      </c>
      <c r="J106" s="111">
        <f t="shared" si="15"/>
        <v>298.03210985886892</v>
      </c>
    </row>
    <row r="107" spans="2:10" ht="15" customHeight="1">
      <c r="B107" s="114">
        <v>2023</v>
      </c>
      <c r="C107" s="113">
        <f t="shared" si="14"/>
        <v>43.062163671438725</v>
      </c>
      <c r="D107" s="324">
        <f>ROUND((C106-H50)-(C106*$D$98),0)</f>
        <v>49</v>
      </c>
      <c r="E107" s="112">
        <f t="shared" si="16"/>
        <v>44</v>
      </c>
      <c r="F107" s="112">
        <f t="shared" si="17"/>
        <v>24</v>
      </c>
      <c r="G107" s="112">
        <f t="shared" si="18"/>
        <v>40</v>
      </c>
      <c r="H107" s="112">
        <f t="shared" si="19"/>
        <v>40</v>
      </c>
      <c r="I107" s="112">
        <f t="shared" si="20"/>
        <v>53</v>
      </c>
      <c r="J107" s="111">
        <f t="shared" si="15"/>
        <v>293.06216367143873</v>
      </c>
    </row>
    <row r="108" spans="2:10" ht="15" customHeight="1">
      <c r="B108" s="114">
        <v>2024</v>
      </c>
      <c r="C108" s="113">
        <f t="shared" si="14"/>
        <v>43.6834069448675</v>
      </c>
      <c r="D108" s="324">
        <f>ROUND((C107-I50)-(C107*$D$98),0)</f>
        <v>44</v>
      </c>
      <c r="E108" s="112">
        <f t="shared" si="16"/>
        <v>46</v>
      </c>
      <c r="F108" s="112">
        <f t="shared" si="17"/>
        <v>45</v>
      </c>
      <c r="G108" s="112">
        <f t="shared" si="18"/>
        <v>23</v>
      </c>
      <c r="H108" s="112">
        <f t="shared" si="19"/>
        <v>39</v>
      </c>
      <c r="I108" s="112">
        <f t="shared" si="20"/>
        <v>42</v>
      </c>
      <c r="J108" s="111">
        <f t="shared" si="15"/>
        <v>282.6834069448675</v>
      </c>
    </row>
    <row r="109" spans="2:10" ht="15" customHeight="1">
      <c r="B109" s="114">
        <v>2025</v>
      </c>
      <c r="C109" s="113">
        <f t="shared" si="14"/>
        <v>44.304650218296274</v>
      </c>
      <c r="D109" s="324">
        <f>ROUND((C108-J50)-(C108*$D$98),0)</f>
        <v>44</v>
      </c>
      <c r="E109" s="112">
        <f t="shared" si="16"/>
        <v>41</v>
      </c>
      <c r="F109" s="112">
        <f t="shared" si="17"/>
        <v>47</v>
      </c>
      <c r="G109" s="112">
        <f t="shared" si="18"/>
        <v>43</v>
      </c>
      <c r="H109" s="112">
        <f t="shared" si="19"/>
        <v>22</v>
      </c>
      <c r="I109" s="112">
        <f t="shared" si="20"/>
        <v>41</v>
      </c>
      <c r="J109" s="111">
        <f t="shared" si="15"/>
        <v>282.30465021829627</v>
      </c>
    </row>
    <row r="110" spans="2:10" ht="15" customHeight="1">
      <c r="B110" s="114">
        <v>2026</v>
      </c>
      <c r="C110" s="113">
        <f t="shared" si="14"/>
        <v>44.304650218296274</v>
      </c>
      <c r="D110" s="324">
        <f>ROUND((C109-K50)-(C109*$D$98),0)</f>
        <v>45</v>
      </c>
      <c r="E110" s="112">
        <f t="shared" si="16"/>
        <v>41</v>
      </c>
      <c r="F110" s="112">
        <f t="shared" si="17"/>
        <v>42</v>
      </c>
      <c r="G110" s="112">
        <f t="shared" si="18"/>
        <v>44</v>
      </c>
      <c r="H110" s="112">
        <f t="shared" si="19"/>
        <v>42</v>
      </c>
      <c r="I110" s="112">
        <f t="shared" si="20"/>
        <v>23</v>
      </c>
      <c r="J110" s="111">
        <f t="shared" si="15"/>
        <v>281.30465021829627</v>
      </c>
    </row>
    <row r="111" spans="2:10" ht="15" customHeight="1">
      <c r="B111" s="114">
        <v>2027</v>
      </c>
      <c r="C111" s="113">
        <f t="shared" si="14"/>
        <v>44.925893491725049</v>
      </c>
      <c r="D111" s="324">
        <f>ROUND((C110-L50)-(C110*$D$98),0)</f>
        <v>45</v>
      </c>
      <c r="E111" s="112">
        <f t="shared" si="16"/>
        <v>42</v>
      </c>
      <c r="F111" s="112">
        <f t="shared" si="17"/>
        <v>42</v>
      </c>
      <c r="G111" s="112">
        <f t="shared" si="18"/>
        <v>40</v>
      </c>
      <c r="H111" s="112">
        <f t="shared" si="19"/>
        <v>43</v>
      </c>
      <c r="I111" s="112">
        <f t="shared" si="20"/>
        <v>44</v>
      </c>
      <c r="J111" s="111">
        <f t="shared" si="15"/>
        <v>300.92589349172505</v>
      </c>
    </row>
    <row r="112" spans="2:10" ht="15" customHeight="1">
      <c r="B112" s="114">
        <v>2028</v>
      </c>
      <c r="C112" s="113">
        <f t="shared" si="14"/>
        <v>44.925893491725049</v>
      </c>
      <c r="D112" s="324">
        <f>ROUND((C111-M50)-(C111*$D$98),0)</f>
        <v>46</v>
      </c>
      <c r="E112" s="112">
        <f t="shared" si="16"/>
        <v>42</v>
      </c>
      <c r="F112" s="112">
        <f t="shared" si="17"/>
        <v>43</v>
      </c>
      <c r="G112" s="112">
        <f t="shared" si="18"/>
        <v>40</v>
      </c>
      <c r="H112" s="112">
        <f t="shared" si="19"/>
        <v>39</v>
      </c>
      <c r="I112" s="112">
        <f t="shared" si="20"/>
        <v>45</v>
      </c>
      <c r="J112" s="111">
        <f t="shared" si="15"/>
        <v>299.92589349172505</v>
      </c>
    </row>
    <row r="113" spans="2:10" ht="15" customHeight="1">
      <c r="B113" s="114">
        <v>2029</v>
      </c>
      <c r="C113" s="113">
        <f t="shared" si="14"/>
        <v>44.925893491725049</v>
      </c>
      <c r="D113" s="324">
        <f>ROUND((C112-N50)-(C112*$D$98),0)</f>
        <v>46</v>
      </c>
      <c r="E113" s="112">
        <f t="shared" si="16"/>
        <v>43</v>
      </c>
      <c r="F113" s="112">
        <f t="shared" si="17"/>
        <v>43</v>
      </c>
      <c r="G113" s="112">
        <f t="shared" si="18"/>
        <v>41</v>
      </c>
      <c r="H113" s="112">
        <f t="shared" si="19"/>
        <v>39</v>
      </c>
      <c r="I113" s="112">
        <f t="shared" si="20"/>
        <v>41</v>
      </c>
      <c r="J113" s="111">
        <f t="shared" si="15"/>
        <v>297.92589349172505</v>
      </c>
    </row>
    <row r="114" spans="2:10" ht="15" customHeight="1">
      <c r="B114" s="114">
        <v>2030</v>
      </c>
      <c r="C114" s="113">
        <f t="shared" si="14"/>
        <v>44.925893491725049</v>
      </c>
      <c r="D114" s="324">
        <f>ROUND((C113-O50)-(C113*$D$98),0)</f>
        <v>46</v>
      </c>
      <c r="E114" s="112">
        <f t="shared" si="16"/>
        <v>43</v>
      </c>
      <c r="F114" s="112">
        <f t="shared" si="17"/>
        <v>44</v>
      </c>
      <c r="G114" s="112">
        <f t="shared" si="18"/>
        <v>41</v>
      </c>
      <c r="H114" s="112">
        <f t="shared" si="19"/>
        <v>40</v>
      </c>
      <c r="I114" s="112">
        <f t="shared" si="20"/>
        <v>41</v>
      </c>
      <c r="J114" s="111">
        <f t="shared" si="15"/>
        <v>299.92589349172505</v>
      </c>
    </row>
    <row r="115" spans="2:10" ht="15" customHeight="1">
      <c r="B115" s="114">
        <v>2031</v>
      </c>
      <c r="C115" s="113">
        <f t="shared" si="14"/>
        <v>44.925893491725049</v>
      </c>
      <c r="D115" s="324">
        <f>ROUND((C114-P50)-(C114*$D$98),0)</f>
        <v>46</v>
      </c>
      <c r="E115" s="112">
        <f t="shared" si="16"/>
        <v>43</v>
      </c>
      <c r="F115" s="112">
        <f t="shared" si="17"/>
        <v>44</v>
      </c>
      <c r="G115" s="112">
        <f t="shared" si="18"/>
        <v>42</v>
      </c>
      <c r="H115" s="112">
        <f t="shared" si="19"/>
        <v>40</v>
      </c>
      <c r="I115" s="112">
        <f t="shared" si="20"/>
        <v>42</v>
      </c>
      <c r="J115" s="111">
        <f t="shared" si="15"/>
        <v>301.92589349172505</v>
      </c>
    </row>
    <row r="116" spans="2:10" ht="15" customHeight="1">
      <c r="B116" s="114">
        <v>2032</v>
      </c>
      <c r="C116" s="113">
        <f t="shared" si="14"/>
        <v>44.925893491725049</v>
      </c>
      <c r="D116" s="324">
        <f>ROUND((C115-Q50)-(C115*$D$98),0)</f>
        <v>46</v>
      </c>
      <c r="E116" s="112">
        <f t="shared" si="16"/>
        <v>43</v>
      </c>
      <c r="F116" s="112">
        <f t="shared" si="17"/>
        <v>44</v>
      </c>
      <c r="G116" s="112">
        <f t="shared" si="18"/>
        <v>42</v>
      </c>
      <c r="H116" s="112">
        <f t="shared" si="19"/>
        <v>41</v>
      </c>
      <c r="I116" s="112">
        <f t="shared" si="20"/>
        <v>42</v>
      </c>
      <c r="J116" s="111">
        <f t="shared" si="15"/>
        <v>302.92589349172505</v>
      </c>
    </row>
    <row r="117" spans="2:10" ht="15" customHeight="1">
      <c r="F117" s="14"/>
      <c r="G117" s="14"/>
    </row>
    <row r="118" spans="2:10" ht="15" customHeight="1">
      <c r="B118" s="15" t="str">
        <f>"Table 4C: "&amp;E3&amp;" Projected Pupil Generation from Housing Development, 2019-2032"</f>
        <v>Table 4C: Canal View Primary School Projected Pupil Generation from Housing Development, 2019-2032</v>
      </c>
      <c r="F118" s="14"/>
      <c r="G118" s="14"/>
    </row>
    <row r="119" spans="2:10" ht="15" customHeight="1">
      <c r="F119" s="14"/>
      <c r="G119" s="14"/>
    </row>
    <row r="120" spans="2:10" ht="15" customHeight="1">
      <c r="B120" s="115"/>
      <c r="C120" s="109" t="s">
        <v>1</v>
      </c>
      <c r="D120" s="109" t="s">
        <v>2</v>
      </c>
      <c r="E120" s="109" t="s">
        <v>3</v>
      </c>
      <c r="F120" s="109" t="s">
        <v>4</v>
      </c>
      <c r="G120" s="109" t="s">
        <v>5</v>
      </c>
      <c r="H120" s="109" t="s">
        <v>6</v>
      </c>
      <c r="I120" s="109" t="s">
        <v>7</v>
      </c>
      <c r="J120" s="109" t="s">
        <v>8</v>
      </c>
    </row>
    <row r="121" spans="2:10" ht="15" customHeight="1">
      <c r="B121" s="114">
        <v>2019</v>
      </c>
      <c r="C121" s="116" t="s">
        <v>97</v>
      </c>
      <c r="D121" s="112">
        <f>VLOOKUP($E$3,'Housing Generation'!$A$3:$BE$90,11,FALSE)</f>
        <v>1</v>
      </c>
      <c r="E121" s="112">
        <f>VLOOKUP($E$3,'Housing Generation'!$A$3:$BE$90,12,FALSE)</f>
        <v>0</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1</v>
      </c>
    </row>
    <row r="122" spans="2:10" ht="15" customHeight="1">
      <c r="B122" s="114">
        <v>2020</v>
      </c>
      <c r="C122" s="116" t="s">
        <v>97</v>
      </c>
      <c r="D122" s="112">
        <f>VLOOKUP($E$3,'Housing Generation'!$A$3:$BE$90,19,FALSE)</f>
        <v>1</v>
      </c>
      <c r="E122" s="112">
        <f>VLOOKUP($E$3,'Housing Generation'!$A$3:$BE$90,20,FALSE)</f>
        <v>1</v>
      </c>
      <c r="F122" s="112">
        <f>VLOOKUP($E$3,'Housing Generation'!$A$3:$BE$90,21,FALSE)</f>
        <v>1</v>
      </c>
      <c r="G122" s="112">
        <f>VLOOKUP($E$3,'Housing Generation'!$A$3:$BE$90,22,FALSE)</f>
        <v>1</v>
      </c>
      <c r="H122" s="112">
        <f>VLOOKUP($E$3,'Housing Generation'!$A$3:$BE$90,23,FALSE)</f>
        <v>1</v>
      </c>
      <c r="I122" s="112">
        <f>VLOOKUP($E$3,'Housing Generation'!$A$3:$BE$90,24,FALSE)</f>
        <v>0</v>
      </c>
      <c r="J122" s="111">
        <f t="shared" si="21"/>
        <v>5</v>
      </c>
    </row>
    <row r="123" spans="2:10" ht="15" customHeight="1">
      <c r="B123" s="114">
        <v>2021</v>
      </c>
      <c r="C123" s="116" t="s">
        <v>97</v>
      </c>
      <c r="D123" s="112">
        <f>VLOOKUP($E$3,'Housing Generation'!$A$3:$BE$90,27,FALSE)</f>
        <v>1</v>
      </c>
      <c r="E123" s="112">
        <f>VLOOKUP($E$3,'Housing Generation'!$A$3:$BE$90,28,FALSE)</f>
        <v>1</v>
      </c>
      <c r="F123" s="112">
        <f>VLOOKUP($E$3,'Housing Generation'!$A$3:$BE$90,29,FALSE)</f>
        <v>1</v>
      </c>
      <c r="G123" s="112">
        <f>VLOOKUP($E$3,'Housing Generation'!$A$3:$BE$90,30,FALSE)</f>
        <v>1</v>
      </c>
      <c r="H123" s="112">
        <f>VLOOKUP($E$3,'Housing Generation'!$A$3:$BE$90,31,FALSE)</f>
        <v>1</v>
      </c>
      <c r="I123" s="112">
        <f>VLOOKUP($E$3,'Housing Generation'!$A$3:$BE$90,32,FALSE)</f>
        <v>1</v>
      </c>
      <c r="J123" s="111">
        <f t="shared" si="21"/>
        <v>6</v>
      </c>
    </row>
    <row r="124" spans="2:10" ht="15" customHeight="1">
      <c r="B124" s="114">
        <v>2022</v>
      </c>
      <c r="C124" s="116" t="s">
        <v>97</v>
      </c>
      <c r="D124" s="112">
        <f>VLOOKUP($E$3,'Housing Generation'!$A$3:$BE$90,35,FALSE)</f>
        <v>1</v>
      </c>
      <c r="E124" s="112">
        <f>VLOOKUP($E$3,'Housing Generation'!$A$3:$BE$90,36,FALSE)</f>
        <v>1</v>
      </c>
      <c r="F124" s="112">
        <f>VLOOKUP($E$3,'Housing Generation'!$A$3:$BE$90,37,FALSE)</f>
        <v>1</v>
      </c>
      <c r="G124" s="112">
        <f>VLOOKUP($E$3,'Housing Generation'!$A$3:$BE$90,38,FALSE)</f>
        <v>1</v>
      </c>
      <c r="H124" s="112">
        <f>VLOOKUP($E$3,'Housing Generation'!$A$3:$BE$90,39,FALSE)</f>
        <v>1</v>
      </c>
      <c r="I124" s="112">
        <f>VLOOKUP($E$3,'Housing Generation'!$A$3:$BE$90,40,FALSE)</f>
        <v>1</v>
      </c>
      <c r="J124" s="111">
        <f t="shared" si="21"/>
        <v>6</v>
      </c>
    </row>
    <row r="125" spans="2:10" ht="15" customHeight="1">
      <c r="B125" s="114">
        <v>2023</v>
      </c>
      <c r="C125" s="116" t="s">
        <v>97</v>
      </c>
      <c r="D125" s="112">
        <f>VLOOKUP($E$3,'Housing Generation'!$A$3:$BE$90,43,FALSE)</f>
        <v>1</v>
      </c>
      <c r="E125" s="112">
        <f>VLOOKUP($E$3,'Housing Generation'!$A$3:$BE$90,44,FALSE)</f>
        <v>1</v>
      </c>
      <c r="F125" s="112">
        <f>VLOOKUP($E$3,'Housing Generation'!$A$3:$BE$90,45,FALSE)</f>
        <v>1</v>
      </c>
      <c r="G125" s="112">
        <f>VLOOKUP($E$3,'Housing Generation'!$A$3:$BE$90,46,FALSE)</f>
        <v>1</v>
      </c>
      <c r="H125" s="112">
        <f>VLOOKUP($E$3,'Housing Generation'!$A$3:$BE$90,47,FALSE)</f>
        <v>1</v>
      </c>
      <c r="I125" s="112">
        <f>VLOOKUP($E$3,'Housing Generation'!$A$3:$BE$90,48,FALSE)</f>
        <v>1</v>
      </c>
      <c r="J125" s="111">
        <f t="shared" si="21"/>
        <v>6</v>
      </c>
    </row>
    <row r="126" spans="2:10" ht="15" customHeight="1">
      <c r="B126" s="114">
        <v>2024</v>
      </c>
      <c r="C126" s="116" t="s">
        <v>97</v>
      </c>
      <c r="D126" s="112">
        <f>VLOOKUP($E$3,'Housing Generation'!$A$3:$BE$90,51,FALSE)</f>
        <v>1</v>
      </c>
      <c r="E126" s="112">
        <f>VLOOKUP($E$3,'Housing Generation'!$A$3:$BE$90,52,FALSE)</f>
        <v>1</v>
      </c>
      <c r="F126" s="112">
        <f>VLOOKUP($E$3,'Housing Generation'!$A$3:$BE$90,53,FALSE)</f>
        <v>1</v>
      </c>
      <c r="G126" s="112">
        <f>VLOOKUP($E$3,'Housing Generation'!$A$3:$BE$90,54,FALSE)</f>
        <v>1</v>
      </c>
      <c r="H126" s="112">
        <f>VLOOKUP($E$3,'Housing Generation'!$A$3:$BE$90,55,FALSE)</f>
        <v>1</v>
      </c>
      <c r="I126" s="112">
        <f>VLOOKUP($E$3,'Housing Generation'!$A$3:$BE$90,56,FALSE)</f>
        <v>1</v>
      </c>
      <c r="J126" s="111">
        <f t="shared" si="21"/>
        <v>6</v>
      </c>
    </row>
    <row r="127" spans="2:10" ht="15" customHeight="1">
      <c r="B127" s="114">
        <v>2025</v>
      </c>
      <c r="C127" s="240" t="s">
        <v>97</v>
      </c>
      <c r="D127" s="112">
        <f>VLOOKUP($E$3,'Housing Generation'!$A$3:$CK$90,59,FALSE)</f>
        <v>1</v>
      </c>
      <c r="E127" s="112">
        <f>VLOOKUP($E$3,'Housing Generation'!$A$3:$CK$90,60,FALSE)</f>
        <v>1</v>
      </c>
      <c r="F127" s="112">
        <f>VLOOKUP($E$3,'Housing Generation'!$A$3:$CK$90,61,FALSE)</f>
        <v>1</v>
      </c>
      <c r="G127" s="112">
        <f>VLOOKUP($E$3,'Housing Generation'!$A$3:$CK$90,62,FALSE)</f>
        <v>1</v>
      </c>
      <c r="H127" s="112">
        <f>VLOOKUP($E$3,'Housing Generation'!$A$3:$CK$90,63,FALSE)</f>
        <v>1</v>
      </c>
      <c r="I127" s="112">
        <f>VLOOKUP($E$3,'Housing Generation'!$A$3:$CK$90,64,FALSE)</f>
        <v>1</v>
      </c>
      <c r="J127" s="111">
        <f t="shared" si="21"/>
        <v>6</v>
      </c>
    </row>
    <row r="128" spans="2:10" ht="15" customHeight="1">
      <c r="B128" s="114">
        <v>2026</v>
      </c>
      <c r="C128" s="240" t="s">
        <v>97</v>
      </c>
      <c r="D128" s="112">
        <f>VLOOKUP($E$3,'Housing Generation'!$A$3:$CK$90,67,FALSE)</f>
        <v>1</v>
      </c>
      <c r="E128" s="112">
        <f>VLOOKUP($E$3,'Housing Generation'!$A$3:$CK$90,68,FALSE)</f>
        <v>1</v>
      </c>
      <c r="F128" s="112">
        <f>VLOOKUP($E$3,'Housing Generation'!$A$3:$CK$90,69,FALSE)</f>
        <v>1</v>
      </c>
      <c r="G128" s="112">
        <f>VLOOKUP($E$3,'Housing Generation'!$A$3:$CK$90,70,FALSE)</f>
        <v>1</v>
      </c>
      <c r="H128" s="112">
        <f>VLOOKUP($E$3,'Housing Generation'!$A$3:$CK$90,71,FALSE)</f>
        <v>1</v>
      </c>
      <c r="I128" s="112">
        <f>VLOOKUP($E$3,'Housing Generation'!$A$3:$CK$90,72,FALSE)</f>
        <v>1</v>
      </c>
      <c r="J128" s="111">
        <f t="shared" si="21"/>
        <v>6</v>
      </c>
    </row>
    <row r="129" spans="2:10" ht="15" customHeight="1">
      <c r="B129" s="114">
        <v>2027</v>
      </c>
      <c r="C129" s="240" t="s">
        <v>97</v>
      </c>
      <c r="D129" s="112">
        <f>VLOOKUP($E$3,'Housing Generation'!$A$3:$CK$90,75,FALSE)</f>
        <v>1</v>
      </c>
      <c r="E129" s="112">
        <f>VLOOKUP($E$3,'Housing Generation'!$A$3:$CK$90,76,FALSE)</f>
        <v>1</v>
      </c>
      <c r="F129" s="112">
        <f>VLOOKUP($E$3,'Housing Generation'!$A$3:$CK$90,77,FALSE)</f>
        <v>1</v>
      </c>
      <c r="G129" s="112">
        <f>VLOOKUP($E$3,'Housing Generation'!$A$3:$CK$90,78,FALSE)</f>
        <v>1</v>
      </c>
      <c r="H129" s="112">
        <f>VLOOKUP($E$3,'Housing Generation'!$A$3:$CK$90,79,FALSE)</f>
        <v>1</v>
      </c>
      <c r="I129" s="112">
        <f>VLOOKUP($E$3,'Housing Generation'!$A$3:$CK$90,80,FALSE)</f>
        <v>1</v>
      </c>
      <c r="J129" s="111">
        <f t="shared" si="21"/>
        <v>6</v>
      </c>
    </row>
    <row r="130" spans="2:10" ht="15" customHeight="1">
      <c r="B130" s="114">
        <v>2028</v>
      </c>
      <c r="C130" s="289" t="s">
        <v>97</v>
      </c>
      <c r="D130" s="112">
        <f>VLOOKUP($E$3,'Housing Generation'!$A$3:$CK$90,83,FALSE)</f>
        <v>1</v>
      </c>
      <c r="E130" s="112">
        <f>VLOOKUP($E$3,'Housing Generation'!$A$3:$CK$90,84,FALSE)</f>
        <v>1</v>
      </c>
      <c r="F130" s="112">
        <f>VLOOKUP($E$3,'Housing Generation'!$A$3:$CK$90,85,FALSE)</f>
        <v>1</v>
      </c>
      <c r="G130" s="112">
        <f>VLOOKUP($E$3,'Housing Generation'!$A$3:$CK$90,86,FALSE)</f>
        <v>1</v>
      </c>
      <c r="H130" s="112">
        <f>VLOOKUP($E$3,'Housing Generation'!$A$3:$CK$90,87,FALSE)</f>
        <v>1</v>
      </c>
      <c r="I130" s="112">
        <f>VLOOKUP($E$3,'Housing Generation'!$A$3:$CK$90,88,FALSE)</f>
        <v>1</v>
      </c>
      <c r="J130" s="111">
        <f t="shared" si="21"/>
        <v>6</v>
      </c>
    </row>
    <row r="131" spans="2:10" ht="15" customHeight="1">
      <c r="B131" s="114">
        <v>2029</v>
      </c>
      <c r="C131" s="289" t="s">
        <v>97</v>
      </c>
      <c r="D131" s="112">
        <f>VLOOKUP($E$3,'Housing Generation'!$A$3:$DQ$90,91,FALSE)</f>
        <v>1</v>
      </c>
      <c r="E131" s="112">
        <f>VLOOKUP($E$3,'Housing Generation'!$A$3:$DQ$90,92,FALSE)</f>
        <v>1</v>
      </c>
      <c r="F131" s="112">
        <f>VLOOKUP($E$3,'Housing Generation'!$A$3:$DQ$90,93,FALSE)</f>
        <v>1</v>
      </c>
      <c r="G131" s="112">
        <f>VLOOKUP($E$3,'Housing Generation'!$A$3:$DQ$90,94,FALSE)</f>
        <v>1</v>
      </c>
      <c r="H131" s="112">
        <f>VLOOKUP($E$3,'Housing Generation'!$A$3:$DQ$90,95,FALSE)</f>
        <v>1</v>
      </c>
      <c r="I131" s="112">
        <f>VLOOKUP($E$3,'Housing Generation'!$A$3:$DQ$90,96,FALSE)</f>
        <v>1</v>
      </c>
      <c r="J131" s="111">
        <f t="shared" si="21"/>
        <v>6</v>
      </c>
    </row>
    <row r="132" spans="2:10" ht="15" customHeight="1">
      <c r="B132" s="114">
        <v>2030</v>
      </c>
      <c r="C132" s="289" t="s">
        <v>97</v>
      </c>
      <c r="D132" s="112">
        <f>VLOOKUP($E$3,'Housing Generation'!$A$3:$DQ$90,99,FALSE)</f>
        <v>1</v>
      </c>
      <c r="E132" s="112">
        <f>VLOOKUP($E$3,'Housing Generation'!$A$3:$DQ$90,100,FALSE)</f>
        <v>1</v>
      </c>
      <c r="F132" s="112">
        <f>VLOOKUP($E$3,'Housing Generation'!$A$3:$DQ$90,101,FALSE)</f>
        <v>1</v>
      </c>
      <c r="G132" s="112">
        <f>VLOOKUP($E$3,'Housing Generation'!$A$3:$DQ$90,102,FALSE)</f>
        <v>1</v>
      </c>
      <c r="H132" s="112">
        <f>VLOOKUP($E$3,'Housing Generation'!$A$3:$DQ$90,103,FALSE)</f>
        <v>1</v>
      </c>
      <c r="I132" s="112">
        <f>VLOOKUP($E$3,'Housing Generation'!$A$3:$DQ$90,104,FALSE)</f>
        <v>1</v>
      </c>
      <c r="J132" s="111">
        <f t="shared" si="21"/>
        <v>6</v>
      </c>
    </row>
    <row r="133" spans="2:10" ht="15" customHeight="1">
      <c r="B133" s="114">
        <v>2031</v>
      </c>
      <c r="C133" s="289" t="s">
        <v>97</v>
      </c>
      <c r="D133" s="112">
        <f>VLOOKUP($E$3,'Housing Generation'!$A$3:$DQ$90,107,FALSE)</f>
        <v>1</v>
      </c>
      <c r="E133" s="112">
        <f>VLOOKUP($E$3,'Housing Generation'!$A$3:$DQ$90,108,FALSE)</f>
        <v>1</v>
      </c>
      <c r="F133" s="112">
        <f>VLOOKUP($E$3,'Housing Generation'!$A$3:$DQ$90,109,FALSE)</f>
        <v>1</v>
      </c>
      <c r="G133" s="112">
        <f>VLOOKUP($E$3,'Housing Generation'!$A$3:$DQ$90,110,FALSE)</f>
        <v>1</v>
      </c>
      <c r="H133" s="112">
        <f>VLOOKUP($E$3,'Housing Generation'!$A$3:$DQ$90,111,FALSE)</f>
        <v>1</v>
      </c>
      <c r="I133" s="112">
        <f>VLOOKUP($E$3,'Housing Generation'!$A$3:$DQ$90,112,FALSE)</f>
        <v>1</v>
      </c>
      <c r="J133" s="111">
        <f t="shared" si="21"/>
        <v>6</v>
      </c>
    </row>
    <row r="134" spans="2:10" ht="15" customHeight="1">
      <c r="B134" s="114">
        <v>2032</v>
      </c>
      <c r="C134" s="289" t="s">
        <v>97</v>
      </c>
      <c r="D134" s="112">
        <f>VLOOKUP($E$3,'Housing Generation'!$A$3:$DQ$90,115,FALSE)</f>
        <v>1</v>
      </c>
      <c r="E134" s="112">
        <f>VLOOKUP($E$3,'Housing Generation'!$A$3:$DQ$90,116,FALSE)</f>
        <v>1</v>
      </c>
      <c r="F134" s="112">
        <f>VLOOKUP($E$3,'Housing Generation'!$A$3:$DQ$90,117,FALSE)</f>
        <v>1</v>
      </c>
      <c r="G134" s="112">
        <f>VLOOKUP($E$3,'Housing Generation'!$A$3:$DQ$90,118,FALSE)</f>
        <v>1</v>
      </c>
      <c r="H134" s="112">
        <f>VLOOKUP($E$3,'Housing Generation'!$A$3:$DQ$90,119,FALSE)</f>
        <v>1</v>
      </c>
      <c r="I134" s="112">
        <f>VLOOKUP($E$3,'Housing Generation'!$A$3:$DQ$90,120,FALSE)</f>
        <v>1</v>
      </c>
      <c r="J134" s="111">
        <f t="shared" si="21"/>
        <v>6</v>
      </c>
    </row>
    <row r="135" spans="2:10" ht="15"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Canal View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42.440920398009951</v>
      </c>
      <c r="D139" s="112">
        <f t="shared" ref="D139:I152" si="23">D121+D103</f>
        <v>46</v>
      </c>
      <c r="E139" s="112">
        <f t="shared" si="23"/>
        <v>55</v>
      </c>
      <c r="F139" s="112">
        <f t="shared" si="23"/>
        <v>48</v>
      </c>
      <c r="G139" s="112">
        <f t="shared" si="23"/>
        <v>42</v>
      </c>
      <c r="H139" s="112">
        <f t="shared" si="23"/>
        <v>58</v>
      </c>
      <c r="I139" s="112">
        <f t="shared" si="23"/>
        <v>60</v>
      </c>
      <c r="J139" s="111">
        <f t="shared" ref="J139:J147" si="24">SUM(C139:I139)</f>
        <v>351.44092039800995</v>
      </c>
    </row>
    <row r="140" spans="2:10" ht="15" customHeight="1">
      <c r="B140" s="114">
        <v>2020</v>
      </c>
      <c r="C140" s="113">
        <f t="shared" si="22"/>
        <v>25</v>
      </c>
      <c r="D140" s="112">
        <f t="shared" si="23"/>
        <v>44</v>
      </c>
      <c r="E140" s="112">
        <f t="shared" si="23"/>
        <v>43</v>
      </c>
      <c r="F140" s="112">
        <f t="shared" si="23"/>
        <v>57</v>
      </c>
      <c r="G140" s="112">
        <f t="shared" si="23"/>
        <v>46</v>
      </c>
      <c r="H140" s="112">
        <f t="shared" si="23"/>
        <v>42</v>
      </c>
      <c r="I140" s="112">
        <f t="shared" si="23"/>
        <v>61</v>
      </c>
      <c r="J140" s="111">
        <f t="shared" si="24"/>
        <v>318</v>
      </c>
    </row>
    <row r="141" spans="2:10" ht="15" customHeight="1">
      <c r="B141" s="114">
        <v>2021</v>
      </c>
      <c r="C141" s="113">
        <f t="shared" si="22"/>
        <v>46.168380038582598</v>
      </c>
      <c r="D141" s="112">
        <f t="shared" si="23"/>
        <v>26</v>
      </c>
      <c r="E141" s="112">
        <f t="shared" si="23"/>
        <v>42</v>
      </c>
      <c r="F141" s="112">
        <f t="shared" si="23"/>
        <v>44</v>
      </c>
      <c r="G141" s="112">
        <f t="shared" si="23"/>
        <v>54</v>
      </c>
      <c r="H141" s="112">
        <f t="shared" si="23"/>
        <v>44</v>
      </c>
      <c r="I141" s="112">
        <f t="shared" si="23"/>
        <v>44</v>
      </c>
      <c r="J141" s="111">
        <f t="shared" si="24"/>
        <v>300.1683800385826</v>
      </c>
    </row>
    <row r="142" spans="2:10" ht="15" customHeight="1">
      <c r="B142" s="114">
        <v>2022</v>
      </c>
      <c r="C142" s="113">
        <f t="shared" si="22"/>
        <v>48.032109858868921</v>
      </c>
      <c r="D142" s="112">
        <f t="shared" si="23"/>
        <v>48</v>
      </c>
      <c r="E142" s="112">
        <f t="shared" si="23"/>
        <v>25</v>
      </c>
      <c r="F142" s="112">
        <f t="shared" si="23"/>
        <v>43</v>
      </c>
      <c r="G142" s="112">
        <f t="shared" si="23"/>
        <v>42</v>
      </c>
      <c r="H142" s="112">
        <f t="shared" si="23"/>
        <v>52</v>
      </c>
      <c r="I142" s="112">
        <f t="shared" si="23"/>
        <v>46</v>
      </c>
      <c r="J142" s="111">
        <f t="shared" si="24"/>
        <v>304.03210985886892</v>
      </c>
    </row>
    <row r="143" spans="2:10" ht="15" customHeight="1">
      <c r="B143" s="114">
        <v>2023</v>
      </c>
      <c r="C143" s="113">
        <f t="shared" si="22"/>
        <v>43.062163671438725</v>
      </c>
      <c r="D143" s="112">
        <f t="shared" si="23"/>
        <v>50</v>
      </c>
      <c r="E143" s="112">
        <f t="shared" si="23"/>
        <v>45</v>
      </c>
      <c r="F143" s="112">
        <f t="shared" si="23"/>
        <v>25</v>
      </c>
      <c r="G143" s="112">
        <f t="shared" si="23"/>
        <v>41</v>
      </c>
      <c r="H143" s="112">
        <f t="shared" si="23"/>
        <v>41</v>
      </c>
      <c r="I143" s="112">
        <f t="shared" si="23"/>
        <v>54</v>
      </c>
      <c r="J143" s="111">
        <f t="shared" si="24"/>
        <v>299.06216367143873</v>
      </c>
    </row>
    <row r="144" spans="2:10" ht="15" customHeight="1">
      <c r="B144" s="114">
        <v>2024</v>
      </c>
      <c r="C144" s="113">
        <f t="shared" si="22"/>
        <v>43.6834069448675</v>
      </c>
      <c r="D144" s="112">
        <f t="shared" si="23"/>
        <v>45</v>
      </c>
      <c r="E144" s="112">
        <f t="shared" si="23"/>
        <v>47</v>
      </c>
      <c r="F144" s="112">
        <f t="shared" si="23"/>
        <v>46</v>
      </c>
      <c r="G144" s="112">
        <f t="shared" si="23"/>
        <v>24</v>
      </c>
      <c r="H144" s="112">
        <f t="shared" si="23"/>
        <v>40</v>
      </c>
      <c r="I144" s="112">
        <f t="shared" si="23"/>
        <v>43</v>
      </c>
      <c r="J144" s="111">
        <f t="shared" si="24"/>
        <v>288.6834069448675</v>
      </c>
    </row>
    <row r="145" spans="2:16" ht="15" customHeight="1">
      <c r="B145" s="114">
        <v>2025</v>
      </c>
      <c r="C145" s="113">
        <f t="shared" si="22"/>
        <v>44.304650218296274</v>
      </c>
      <c r="D145" s="112">
        <f t="shared" si="23"/>
        <v>45</v>
      </c>
      <c r="E145" s="112">
        <f t="shared" si="23"/>
        <v>42</v>
      </c>
      <c r="F145" s="112">
        <f t="shared" si="23"/>
        <v>48</v>
      </c>
      <c r="G145" s="112">
        <f t="shared" si="23"/>
        <v>44</v>
      </c>
      <c r="H145" s="112">
        <f t="shared" si="23"/>
        <v>23</v>
      </c>
      <c r="I145" s="112">
        <f t="shared" si="23"/>
        <v>42</v>
      </c>
      <c r="J145" s="111">
        <f t="shared" si="24"/>
        <v>288.30465021829627</v>
      </c>
    </row>
    <row r="146" spans="2:16" ht="15" customHeight="1">
      <c r="B146" s="114">
        <v>2026</v>
      </c>
      <c r="C146" s="113">
        <f t="shared" si="22"/>
        <v>44.304650218296274</v>
      </c>
      <c r="D146" s="112">
        <f t="shared" si="23"/>
        <v>46</v>
      </c>
      <c r="E146" s="112">
        <f t="shared" si="23"/>
        <v>42</v>
      </c>
      <c r="F146" s="112">
        <f t="shared" si="23"/>
        <v>43</v>
      </c>
      <c r="G146" s="112">
        <f t="shared" si="23"/>
        <v>45</v>
      </c>
      <c r="H146" s="112">
        <f t="shared" si="23"/>
        <v>43</v>
      </c>
      <c r="I146" s="112">
        <f t="shared" si="23"/>
        <v>24</v>
      </c>
      <c r="J146" s="111">
        <f t="shared" si="24"/>
        <v>287.30465021829627</v>
      </c>
    </row>
    <row r="147" spans="2:16" ht="15" customHeight="1">
      <c r="B147" s="114">
        <v>2027</v>
      </c>
      <c r="C147" s="113">
        <f t="shared" si="22"/>
        <v>44.925893491725049</v>
      </c>
      <c r="D147" s="112">
        <f t="shared" si="23"/>
        <v>46</v>
      </c>
      <c r="E147" s="112">
        <f t="shared" si="23"/>
        <v>43</v>
      </c>
      <c r="F147" s="112">
        <f t="shared" si="23"/>
        <v>43</v>
      </c>
      <c r="G147" s="112">
        <f t="shared" si="23"/>
        <v>41</v>
      </c>
      <c r="H147" s="112">
        <f t="shared" si="23"/>
        <v>44</v>
      </c>
      <c r="I147" s="112">
        <f t="shared" si="23"/>
        <v>45</v>
      </c>
      <c r="J147" s="111">
        <f t="shared" si="24"/>
        <v>306.92589349172505</v>
      </c>
    </row>
    <row r="148" spans="2:16" ht="15" customHeight="1">
      <c r="B148" s="114">
        <v>2028</v>
      </c>
      <c r="C148" s="113">
        <f t="shared" si="22"/>
        <v>44.925893491725049</v>
      </c>
      <c r="D148" s="112">
        <f t="shared" si="23"/>
        <v>47</v>
      </c>
      <c r="E148" s="112">
        <f t="shared" si="23"/>
        <v>43</v>
      </c>
      <c r="F148" s="112">
        <f t="shared" si="23"/>
        <v>44</v>
      </c>
      <c r="G148" s="112">
        <f t="shared" si="23"/>
        <v>41</v>
      </c>
      <c r="H148" s="112">
        <f t="shared" si="23"/>
        <v>40</v>
      </c>
      <c r="I148" s="112">
        <f t="shared" si="23"/>
        <v>46</v>
      </c>
      <c r="J148" s="111">
        <f t="shared" ref="J148:J152" si="25">SUM(C148:I148)</f>
        <v>305.92589349172505</v>
      </c>
    </row>
    <row r="149" spans="2:16" ht="15" customHeight="1">
      <c r="B149" s="114">
        <v>2029</v>
      </c>
      <c r="C149" s="113">
        <f t="shared" si="22"/>
        <v>44.925893491725049</v>
      </c>
      <c r="D149" s="112">
        <f t="shared" si="23"/>
        <v>47</v>
      </c>
      <c r="E149" s="112">
        <f t="shared" si="23"/>
        <v>44</v>
      </c>
      <c r="F149" s="112">
        <f t="shared" si="23"/>
        <v>44</v>
      </c>
      <c r="G149" s="112">
        <f t="shared" si="23"/>
        <v>42</v>
      </c>
      <c r="H149" s="112">
        <f t="shared" si="23"/>
        <v>40</v>
      </c>
      <c r="I149" s="112">
        <f t="shared" si="23"/>
        <v>42</v>
      </c>
      <c r="J149" s="111">
        <f t="shared" si="25"/>
        <v>303.92589349172505</v>
      </c>
    </row>
    <row r="150" spans="2:16" ht="15" customHeight="1">
      <c r="B150" s="114">
        <v>2030</v>
      </c>
      <c r="C150" s="113">
        <f t="shared" si="22"/>
        <v>44.925893491725049</v>
      </c>
      <c r="D150" s="112">
        <f t="shared" si="23"/>
        <v>47</v>
      </c>
      <c r="E150" s="112">
        <f t="shared" si="23"/>
        <v>44</v>
      </c>
      <c r="F150" s="112">
        <f t="shared" si="23"/>
        <v>45</v>
      </c>
      <c r="G150" s="112">
        <f t="shared" si="23"/>
        <v>42</v>
      </c>
      <c r="H150" s="112">
        <f t="shared" si="23"/>
        <v>41</v>
      </c>
      <c r="I150" s="112">
        <f t="shared" si="23"/>
        <v>42</v>
      </c>
      <c r="J150" s="111">
        <f t="shared" si="25"/>
        <v>305.92589349172505</v>
      </c>
    </row>
    <row r="151" spans="2:16" ht="15" customHeight="1">
      <c r="B151" s="114">
        <v>2031</v>
      </c>
      <c r="C151" s="113">
        <f t="shared" si="22"/>
        <v>44.925893491725049</v>
      </c>
      <c r="D151" s="112">
        <f t="shared" si="23"/>
        <v>47</v>
      </c>
      <c r="E151" s="112">
        <f t="shared" si="23"/>
        <v>44</v>
      </c>
      <c r="F151" s="112">
        <f t="shared" si="23"/>
        <v>45</v>
      </c>
      <c r="G151" s="112">
        <f t="shared" si="23"/>
        <v>43</v>
      </c>
      <c r="H151" s="112">
        <f t="shared" si="23"/>
        <v>41</v>
      </c>
      <c r="I151" s="112">
        <f t="shared" si="23"/>
        <v>43</v>
      </c>
      <c r="J151" s="111">
        <f t="shared" si="25"/>
        <v>307.92589349172505</v>
      </c>
    </row>
    <row r="152" spans="2:16" ht="15" customHeight="1">
      <c r="B152" s="114">
        <v>2032</v>
      </c>
      <c r="C152" s="113">
        <f t="shared" si="22"/>
        <v>44.925893491725049</v>
      </c>
      <c r="D152" s="112">
        <f t="shared" si="23"/>
        <v>47</v>
      </c>
      <c r="E152" s="112">
        <f t="shared" si="23"/>
        <v>44</v>
      </c>
      <c r="F152" s="112">
        <f t="shared" si="23"/>
        <v>45</v>
      </c>
      <c r="G152" s="112">
        <f t="shared" si="23"/>
        <v>43</v>
      </c>
      <c r="H152" s="112">
        <f t="shared" si="23"/>
        <v>42</v>
      </c>
      <c r="I152" s="112">
        <f t="shared" si="23"/>
        <v>43</v>
      </c>
      <c r="J152" s="111">
        <f t="shared" si="25"/>
        <v>308.92589349172505</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351.44092039800995</v>
      </c>
      <c r="D159" s="108">
        <f>J140</f>
        <v>318</v>
      </c>
      <c r="E159" s="108">
        <f>J141</f>
        <v>300.1683800385826</v>
      </c>
      <c r="F159" s="108">
        <f>J142</f>
        <v>304.03210985886892</v>
      </c>
      <c r="G159" s="108">
        <f>J143</f>
        <v>299.06216367143873</v>
      </c>
      <c r="H159" s="108">
        <f>J144</f>
        <v>288.6834069448675</v>
      </c>
      <c r="I159" s="108">
        <f>J145</f>
        <v>288.30465021829627</v>
      </c>
      <c r="J159" s="108">
        <f>J146</f>
        <v>287.30465021829627</v>
      </c>
      <c r="K159" s="108">
        <f>J147</f>
        <v>306.92589349172505</v>
      </c>
      <c r="L159" s="108">
        <f>J148</f>
        <v>305.92589349172505</v>
      </c>
      <c r="M159" s="108">
        <f>J149</f>
        <v>303.92589349172505</v>
      </c>
      <c r="N159" s="108">
        <f>J150</f>
        <v>305.92589349172505</v>
      </c>
      <c r="O159" s="108">
        <f>J151</f>
        <v>307.92589349172505</v>
      </c>
      <c r="P159" s="108">
        <f>J152</f>
        <v>308.92589349172505</v>
      </c>
    </row>
    <row r="160" spans="2:16" ht="15" customHeight="1">
      <c r="B160" s="107" t="s">
        <v>152</v>
      </c>
      <c r="C160" s="106">
        <f>VLOOKUP(C159,Capacity!$A$1:$C$645,2,TRUE)</f>
        <v>14</v>
      </c>
      <c r="D160" s="106">
        <f>VLOOKUP(D159,Capacity!$A$1:$C$645,2,TRUE)</f>
        <v>13</v>
      </c>
      <c r="E160" s="106">
        <f>VLOOKUP(E159,Capacity!$A$1:$C$645,2,TRUE)</f>
        <v>12</v>
      </c>
      <c r="F160" s="106">
        <f>VLOOKUP(F159,Capacity!$A$1:$C$645,2,TRUE)</f>
        <v>12</v>
      </c>
      <c r="G160" s="106">
        <f>VLOOKUP(G159,Capacity!$A$1:$C$645,2,TRUE)</f>
        <v>12</v>
      </c>
      <c r="H160" s="106">
        <f>VLOOKUP(H159,Capacity!$A$1:$C$645,2,TRUE)</f>
        <v>11</v>
      </c>
      <c r="I160" s="106">
        <f>VLOOKUP(I159,Capacity!$A$1:$C$645,2,TRUE)</f>
        <v>11</v>
      </c>
      <c r="J160" s="106">
        <f>VLOOKUP(J159,Capacity!$A$1:$C$645,2,TRUE)</f>
        <v>11</v>
      </c>
      <c r="K160" s="106">
        <f>VLOOKUP(K159,Capacity!$A$1:$C$645,2,TRUE)</f>
        <v>12</v>
      </c>
      <c r="L160" s="106">
        <f>VLOOKUP(L159,Capacity!$A$1:$C$645,2,TRUE)</f>
        <v>12</v>
      </c>
      <c r="M160" s="106">
        <f>VLOOKUP(M159,Capacity!$A$1:$C$645,2,TRUE)</f>
        <v>12</v>
      </c>
      <c r="N160" s="106">
        <f>VLOOKUP(N159,Capacity!$A$1:$C$645,2,TRUE)</f>
        <v>12</v>
      </c>
      <c r="O160" s="106">
        <f>VLOOKUP(O159,Capacity!$A$1:$C$645,2,TRUE)</f>
        <v>12</v>
      </c>
      <c r="P160" s="106">
        <f>VLOOKUP(P159,Capacity!$A$1:$C$645,2,TRUE)</f>
        <v>12</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56</v>
      </c>
      <c r="D169" s="97">
        <f>VLOOKUP($E$3,'Catchment Births'!$A$1:$U$90,11,FALSE)</f>
        <v>52</v>
      </c>
      <c r="E169" s="97">
        <f>VLOOKUP($E$3,'Catchment Births'!$A$1:$U$90,12,FALSE)</f>
        <v>73</v>
      </c>
      <c r="F169" s="97">
        <f>VLOOKUP($E$3,'Catchment Births'!$A$1:$U$90,13,FALSE)</f>
        <v>75</v>
      </c>
      <c r="G169" s="97">
        <f>VLOOKUP($E$3,'Catchment Births'!$A$1:$U$90,14,FALSE)</f>
        <v>59</v>
      </c>
      <c r="H169" s="97">
        <f>VLOOKUP($E$3,'Catchment Births'!$A$1:$U$90,15,FALSE)</f>
        <v>77</v>
      </c>
      <c r="I169" s="97">
        <f>VLOOKUP($E$3,'Catchment Births'!$A$1:$U$90,16,FALSE)</f>
        <v>83</v>
      </c>
      <c r="J169" s="97">
        <f>VLOOKUP($E$3,'Catchment Births'!$A$1:$U$90,17,FALSE)</f>
        <v>65</v>
      </c>
      <c r="K169" s="97">
        <f>VLOOKUP($E$3,'Catchment Births'!$A$1:$U$90,18,FALSE)</f>
        <v>68</v>
      </c>
      <c r="L169" s="97">
        <f>VLOOKUP($E$3,'Catchment Births'!$A$1:$U$90,19,FALSE)</f>
        <v>94</v>
      </c>
      <c r="M169" s="97">
        <f>VLOOKUP($E$3,'Catchment Births'!$A$1:$U$90,20,FALSE)</f>
        <v>63</v>
      </c>
      <c r="N169" s="97">
        <f>VLOOKUP($E$3,'Catchment Births'!$A$1:$U$90,21,FALSE)</f>
        <v>46</v>
      </c>
    </row>
    <row r="170" spans="2:14" ht="58.5" customHeight="1">
      <c r="B170" s="103" t="str">
        <f>"P1 "&amp;A35&amp;" Catchment Population (Actual)"</f>
        <v>P1 ND Catchment Population (Actual)</v>
      </c>
      <c r="C170" s="102" t="e">
        <v>#REF!</v>
      </c>
      <c r="D170" s="102">
        <v>50</v>
      </c>
      <c r="E170" s="102">
        <v>53</v>
      </c>
      <c r="F170" s="102">
        <v>58</v>
      </c>
      <c r="G170" s="102">
        <v>66</v>
      </c>
      <c r="H170" s="102">
        <v>61</v>
      </c>
      <c r="I170" s="102">
        <v>61</v>
      </c>
      <c r="J170" s="308">
        <f>VLOOKUP(E3,'Catchment Projections'!A1:BU92,42,FALSE)</f>
        <v>56</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61</v>
      </c>
      <c r="J172" s="96" t="e">
        <f>#REF!</f>
        <v>#REF!</v>
      </c>
      <c r="K172" s="96">
        <f>D51</f>
        <v>49</v>
      </c>
      <c r="L172" s="96">
        <f>E51</f>
        <v>36</v>
      </c>
      <c r="M172" s="96">
        <f>F51</f>
        <v>55</v>
      </c>
      <c r="N172" s="96">
        <f>G51</f>
        <v>58</v>
      </c>
    </row>
    <row r="173" spans="2:14" ht="12.75">
      <c r="B173" s="62"/>
      <c r="C173" s="62"/>
      <c r="D173" s="62"/>
      <c r="E173" s="62"/>
      <c r="F173" s="62"/>
      <c r="G173" s="62"/>
      <c r="H173" s="62"/>
      <c r="I173" s="62"/>
      <c r="J173" s="62"/>
      <c r="K173" s="62"/>
    </row>
    <row r="174" spans="2:14" ht="15" customHeight="1">
      <c r="B174" s="64" t="str">
        <f>"Table 5: "&amp;E3&amp;" Roll by Stage, 2002-2018"</f>
        <v>Table 5: Canal View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0</v>
      </c>
      <c r="D177" s="93">
        <v>0</v>
      </c>
      <c r="E177" s="93">
        <v>0</v>
      </c>
      <c r="F177" s="93">
        <v>0</v>
      </c>
      <c r="G177" s="93">
        <v>0</v>
      </c>
      <c r="H177" s="93">
        <v>0</v>
      </c>
      <c r="I177" s="93">
        <v>0</v>
      </c>
      <c r="J177" s="92">
        <v>0</v>
      </c>
      <c r="K177" s="62"/>
    </row>
    <row r="178" spans="2:11" ht="15" customHeight="1">
      <c r="B178" s="94">
        <v>2003</v>
      </c>
      <c r="C178" s="93">
        <v>0</v>
      </c>
      <c r="D178" s="93">
        <v>0</v>
      </c>
      <c r="E178" s="93">
        <v>0</v>
      </c>
      <c r="F178" s="93">
        <v>0</v>
      </c>
      <c r="G178" s="93">
        <v>0</v>
      </c>
      <c r="H178" s="93">
        <v>0</v>
      </c>
      <c r="I178" s="93">
        <v>0</v>
      </c>
      <c r="J178" s="92">
        <v>0</v>
      </c>
      <c r="K178" s="62"/>
    </row>
    <row r="179" spans="2:11" customFormat="1" ht="15" customHeight="1">
      <c r="B179" s="94">
        <v>2004</v>
      </c>
      <c r="C179" s="95">
        <v>0</v>
      </c>
      <c r="D179" s="95">
        <v>0</v>
      </c>
      <c r="E179" s="95">
        <v>0</v>
      </c>
      <c r="F179" s="95">
        <v>0</v>
      </c>
      <c r="G179" s="95">
        <v>0</v>
      </c>
      <c r="H179" s="95">
        <v>0</v>
      </c>
      <c r="I179" s="95">
        <v>0</v>
      </c>
      <c r="J179" s="92">
        <v>0</v>
      </c>
      <c r="K179" s="62"/>
    </row>
    <row r="180" spans="2:11" customFormat="1" ht="15" customHeight="1">
      <c r="B180" s="94">
        <v>2005</v>
      </c>
      <c r="C180" s="93">
        <v>31</v>
      </c>
      <c r="D180" s="93">
        <v>32</v>
      </c>
      <c r="E180" s="93">
        <v>41</v>
      </c>
      <c r="F180" s="93">
        <v>30</v>
      </c>
      <c r="G180" s="93">
        <v>29</v>
      </c>
      <c r="H180" s="93">
        <v>35</v>
      </c>
      <c r="I180" s="93">
        <v>35</v>
      </c>
      <c r="J180" s="92">
        <v>233</v>
      </c>
      <c r="K180" s="62"/>
    </row>
    <row r="181" spans="2:11" customFormat="1" ht="15" customHeight="1">
      <c r="B181" s="94">
        <v>2006</v>
      </c>
      <c r="C181" s="93">
        <v>32</v>
      </c>
      <c r="D181" s="93">
        <v>26</v>
      </c>
      <c r="E181" s="93">
        <v>27</v>
      </c>
      <c r="F181" s="93">
        <v>40</v>
      </c>
      <c r="G181" s="93">
        <v>28</v>
      </c>
      <c r="H181" s="93">
        <v>30</v>
      </c>
      <c r="I181" s="93">
        <v>32</v>
      </c>
      <c r="J181" s="92">
        <v>215</v>
      </c>
      <c r="K181" s="62"/>
    </row>
    <row r="182" spans="2:11" customFormat="1" ht="15" customHeight="1">
      <c r="B182" s="94">
        <v>2007</v>
      </c>
      <c r="C182" s="93">
        <v>28</v>
      </c>
      <c r="D182" s="93">
        <v>31</v>
      </c>
      <c r="E182" s="93">
        <v>27</v>
      </c>
      <c r="F182" s="93">
        <v>21</v>
      </c>
      <c r="G182" s="93">
        <v>38</v>
      </c>
      <c r="H182" s="93">
        <v>27</v>
      </c>
      <c r="I182" s="93">
        <v>27</v>
      </c>
      <c r="J182" s="92">
        <v>199</v>
      </c>
      <c r="K182" s="62"/>
    </row>
    <row r="183" spans="2:11" customFormat="1" ht="15" customHeight="1">
      <c r="B183" s="94">
        <v>2008</v>
      </c>
      <c r="C183" s="93">
        <v>33</v>
      </c>
      <c r="D183" s="93">
        <v>28</v>
      </c>
      <c r="E183" s="93">
        <v>30</v>
      </c>
      <c r="F183" s="93">
        <v>28</v>
      </c>
      <c r="G183" s="93">
        <v>24</v>
      </c>
      <c r="H183" s="93">
        <v>40</v>
      </c>
      <c r="I183" s="93">
        <v>26</v>
      </c>
      <c r="J183" s="92">
        <v>209</v>
      </c>
      <c r="K183" s="62"/>
    </row>
    <row r="184" spans="2:11" customFormat="1" ht="15" customHeight="1">
      <c r="B184" s="94">
        <v>2009</v>
      </c>
      <c r="C184" s="93">
        <v>28</v>
      </c>
      <c r="D184" s="93">
        <v>40</v>
      </c>
      <c r="E184" s="93">
        <v>32</v>
      </c>
      <c r="F184" s="93">
        <v>32</v>
      </c>
      <c r="G184" s="93">
        <v>31</v>
      </c>
      <c r="H184" s="93">
        <v>28</v>
      </c>
      <c r="I184" s="93">
        <v>42</v>
      </c>
      <c r="J184" s="94">
        <v>233</v>
      </c>
      <c r="K184" s="62"/>
    </row>
    <row r="185" spans="2:11" customFormat="1" ht="15" customHeight="1">
      <c r="B185" s="94">
        <v>2010</v>
      </c>
      <c r="C185" s="93">
        <v>40</v>
      </c>
      <c r="D185" s="93">
        <v>21</v>
      </c>
      <c r="E185" s="93">
        <v>33</v>
      </c>
      <c r="F185" s="93">
        <v>29</v>
      </c>
      <c r="G185" s="93">
        <v>30</v>
      </c>
      <c r="H185" s="93">
        <v>32</v>
      </c>
      <c r="I185" s="93">
        <v>23</v>
      </c>
      <c r="J185" s="92">
        <v>208</v>
      </c>
      <c r="K185" s="62"/>
    </row>
    <row r="186" spans="2:11" customFormat="1" ht="15" customHeight="1">
      <c r="B186" s="94">
        <v>2011</v>
      </c>
      <c r="C186" s="93">
        <v>48</v>
      </c>
      <c r="D186" s="93">
        <v>42</v>
      </c>
      <c r="E186" s="93">
        <v>23</v>
      </c>
      <c r="F186" s="93">
        <v>33</v>
      </c>
      <c r="G186" s="93">
        <v>26</v>
      </c>
      <c r="H186" s="93">
        <v>27</v>
      </c>
      <c r="I186" s="93">
        <v>32</v>
      </c>
      <c r="J186" s="92">
        <v>231</v>
      </c>
      <c r="K186" s="62"/>
    </row>
    <row r="187" spans="2:11" customFormat="1" ht="15" customHeight="1">
      <c r="B187" s="94">
        <v>2012</v>
      </c>
      <c r="C187" s="93">
        <v>46</v>
      </c>
      <c r="D187" s="93">
        <v>42</v>
      </c>
      <c r="E187" s="93">
        <v>36</v>
      </c>
      <c r="F187" s="93">
        <v>20</v>
      </c>
      <c r="G187" s="93">
        <v>32</v>
      </c>
      <c r="H187" s="93">
        <v>26</v>
      </c>
      <c r="I187" s="93">
        <v>25</v>
      </c>
      <c r="J187" s="92">
        <v>227</v>
      </c>
      <c r="K187" s="62"/>
    </row>
    <row r="188" spans="2:11" customFormat="1" ht="15" customHeight="1">
      <c r="B188" s="94">
        <v>2013</v>
      </c>
      <c r="C188" s="93">
        <v>58</v>
      </c>
      <c r="D188" s="93">
        <v>52</v>
      </c>
      <c r="E188" s="93">
        <v>43</v>
      </c>
      <c r="F188" s="93">
        <v>37</v>
      </c>
      <c r="G188" s="93">
        <v>20</v>
      </c>
      <c r="H188" s="93">
        <v>31</v>
      </c>
      <c r="I188" s="93">
        <v>29</v>
      </c>
      <c r="J188" s="94">
        <v>270</v>
      </c>
      <c r="K188" s="62"/>
    </row>
    <row r="189" spans="2:11" customFormat="1" ht="15" customHeight="1">
      <c r="B189" s="94">
        <v>2014</v>
      </c>
      <c r="C189" s="93">
        <v>53</v>
      </c>
      <c r="D189" s="93">
        <v>63</v>
      </c>
      <c r="E189" s="93">
        <v>49</v>
      </c>
      <c r="F189" s="93">
        <v>46</v>
      </c>
      <c r="G189" s="93">
        <v>35</v>
      </c>
      <c r="H189" s="93">
        <v>20</v>
      </c>
      <c r="I189" s="93">
        <v>29</v>
      </c>
      <c r="J189" s="92">
        <v>295</v>
      </c>
      <c r="K189" s="65"/>
    </row>
    <row r="190" spans="2:11" customFormat="1" ht="15" customHeight="1">
      <c r="B190" s="94">
        <v>2015</v>
      </c>
      <c r="C190" s="93">
        <v>46</v>
      </c>
      <c r="D190" s="93">
        <v>55</v>
      </c>
      <c r="E190" s="93">
        <v>66</v>
      </c>
      <c r="F190" s="93">
        <v>48</v>
      </c>
      <c r="G190" s="93">
        <v>46</v>
      </c>
      <c r="H190" s="93">
        <v>33</v>
      </c>
      <c r="I190" s="93">
        <v>24</v>
      </c>
      <c r="J190" s="92">
        <v>318</v>
      </c>
      <c r="K190" s="65"/>
    </row>
    <row r="191" spans="2:11" customFormat="1" ht="15" customHeight="1">
      <c r="B191" s="94">
        <v>2016</v>
      </c>
      <c r="C191" s="93">
        <v>49</v>
      </c>
      <c r="D191" s="93">
        <v>46</v>
      </c>
      <c r="E191" s="93">
        <v>60</v>
      </c>
      <c r="F191" s="93">
        <v>63</v>
      </c>
      <c r="G191" s="93">
        <v>44</v>
      </c>
      <c r="H191" s="93">
        <v>49</v>
      </c>
      <c r="I191" s="93">
        <v>36</v>
      </c>
      <c r="J191" s="92">
        <v>347</v>
      </c>
      <c r="K191" s="65"/>
    </row>
    <row r="192" spans="2:11" ht="15" customHeight="1">
      <c r="B192" s="94">
        <v>2017</v>
      </c>
      <c r="C192" s="93">
        <f>VLOOKUP($E$3,Rolls!A1:FA90,42,FALSE)</f>
        <v>55</v>
      </c>
      <c r="D192" s="93">
        <f>VLOOKUP($E$3,Rolls!A1:FA90,43,FALSE)</f>
        <v>50</v>
      </c>
      <c r="E192" s="93">
        <f>VLOOKUP($E$3,Rolls!A1:FA90,44,FALSE)</f>
        <v>43</v>
      </c>
      <c r="F192" s="93">
        <f>VLOOKUP($E$3,Rolls!A1:FA90,45,FALSE)</f>
        <v>61</v>
      </c>
      <c r="G192" s="93">
        <f>VLOOKUP($E$3,Rolls!A1:FA90,46,FALSE)</f>
        <v>59</v>
      </c>
      <c r="H192" s="93">
        <f>VLOOKUP($E$3,Rolls!A1:FA90,47,FALSE)</f>
        <v>41</v>
      </c>
      <c r="I192" s="93">
        <f>VLOOKUP($E$3,Rolls!A1:FA90,48,FALSE)</f>
        <v>48</v>
      </c>
      <c r="J192" s="92">
        <f>VLOOKUP($E$3,Rolls!A1:FA90,49,FALSE)</f>
        <v>357</v>
      </c>
      <c r="K192" s="65"/>
    </row>
    <row r="193" spans="2:11" ht="15" customHeight="1">
      <c r="B193" s="94">
        <v>2018</v>
      </c>
      <c r="C193" s="93">
        <f>VLOOKUP($E$3,Rolls!A1:FA90,50,FALSE)</f>
        <v>43</v>
      </c>
      <c r="D193" s="93">
        <f>VLOOKUP($E$3,Rolls!A1:FA90,51,FALSE)</f>
        <v>58</v>
      </c>
      <c r="E193" s="93">
        <f>VLOOKUP($E$3,Rolls!A1:FA90,52,FALSE)</f>
        <v>47</v>
      </c>
      <c r="F193" s="93">
        <f>VLOOKUP($E$3,Rolls!A1:FA90,53,FALSE)</f>
        <v>44</v>
      </c>
      <c r="G193" s="93">
        <f>VLOOKUP($E$3,Rolls!A1:FA90,54,FALSE)</f>
        <v>60</v>
      </c>
      <c r="H193" s="93">
        <f>VLOOKUP($E$3,Rolls!A1:FA90,55,FALSE)</f>
        <v>57</v>
      </c>
      <c r="I193" s="93">
        <f>VLOOKUP($E$3,Rolls!A1:FA90,56,FALSE)</f>
        <v>43</v>
      </c>
      <c r="J193" s="92">
        <f>VLOOKUP($E$3,Rolls!A1:FA90,57,FALSE)</f>
        <v>352</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18</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Carrick Knowe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504 Pupils (18 classes)</v>
      </c>
      <c r="G12" s="16"/>
      <c r="H12" s="16"/>
    </row>
    <row r="13" spans="2:10" ht="15" customHeight="1">
      <c r="C13" s="16"/>
      <c r="D13" s="16"/>
      <c r="E13" s="16"/>
      <c r="F13" s="16"/>
      <c r="G13" s="16"/>
      <c r="H13" s="16"/>
    </row>
    <row r="14" spans="2:10" ht="15" customHeight="1">
      <c r="B14" s="15" t="str">
        <f>"Figure 1: "&amp;E3&amp;" Roll, 2002-2015"</f>
        <v>Figure 1: Carrick Knowe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Carrick Knowe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61</v>
      </c>
      <c r="E49" s="108">
        <f>VLOOKUP($E$3,'Catchment Projections'!$A$1:$BU$90,46,FALSE)</f>
        <v>48</v>
      </c>
      <c r="F49" s="108">
        <f>VLOOKUP($E$3,'Catchment Projections'!$A$1:$BU$90,47,FALSE)</f>
        <v>48</v>
      </c>
      <c r="G49" s="108">
        <f>VLOOKUP($E$3,'Catchment Projections'!$A$1:$BU$90,48,FALSE)</f>
        <v>54</v>
      </c>
      <c r="H49" s="133">
        <f>VLOOKUP($E$3,'Catchment Projections'!$A$1:$BU$90,49,FALSE)</f>
        <v>50</v>
      </c>
      <c r="I49" s="133">
        <f>VLOOKUP($E$3,'Catchment Projections'!$A$1:$BU$90,50,FALSE)</f>
        <v>51</v>
      </c>
      <c r="J49" s="133">
        <f>VLOOKUP($E$3,'Catchment Projections'!$A$1:$BU$90,51,FALSE)</f>
        <v>52</v>
      </c>
      <c r="K49" s="133">
        <f>VLOOKUP($E$3,'Catchment Projections'!$A$1:$BU$90,52,FALSE)</f>
        <v>52</v>
      </c>
      <c r="L49" s="133">
        <f>VLOOKUP($E$3,'Catchment Projections'!$A$1:$BU$90,53,FALSE)</f>
        <v>52</v>
      </c>
      <c r="M49" s="133">
        <f>VLOOKUP($E$3,'Catchment Projections'!$A$1:$BU$90,54,FALSE)</f>
        <v>53</v>
      </c>
      <c r="N49" s="133">
        <f>VLOOKUP($E$3,'Catchment Projections'!$A$1:$BU$90,55,FALSE)</f>
        <v>53</v>
      </c>
      <c r="O49" s="133">
        <f>VLOOKUP($E$3,'Catchment Projections'!$A$1:$BU$90,56,FALSE)</f>
        <v>53</v>
      </c>
      <c r="P49" s="133">
        <f>VLOOKUP($E$3,'Catchment Projections'!$A$1:$BU$90,57,FALSE)</f>
        <v>53</v>
      </c>
      <c r="Q49" s="133">
        <f>VLOOKUP($E$3,'Catchment Projections'!$A$1:$BU$90,58,FALSE)</f>
        <v>53</v>
      </c>
    </row>
    <row r="50" spans="2:17" ht="15" customHeight="1" thickBot="1">
      <c r="B50" s="410" t="s">
        <v>141</v>
      </c>
      <c r="C50" s="411"/>
      <c r="D50" s="286">
        <f>VLOOKUP(E3,'Housing Generation'!$A$3:$DQ$90,10,FALSE)</f>
        <v>0</v>
      </c>
      <c r="E50" s="286">
        <f>VLOOKUP(E3,'Housing Generation'!$A$3:$DQ$90,18,FALSE)</f>
        <v>0</v>
      </c>
      <c r="F50" s="286">
        <f>VLOOKUP(E3,'Housing Generation'!$A$3:$DQ$90,26,FALSE)</f>
        <v>0</v>
      </c>
      <c r="G50" s="243">
        <f>VLOOKUP(E3,'Housing Generation'!$A$3:$DQ$90,34,FALSE)</f>
        <v>0</v>
      </c>
      <c r="H50" s="133">
        <f>VLOOKUP(E3,'Housing Generation'!$A$3:$DQ$90,42,FALSE)</f>
        <v>0</v>
      </c>
      <c r="I50" s="133">
        <f>VLOOKUP(E3,'Housing Generation'!$A$3:$DQ$90,50,FALSE)</f>
        <v>0</v>
      </c>
      <c r="J50" s="133">
        <f>VLOOKUP(E3,'Housing Generation'!$A$3:$CK$90,58,FALSE)</f>
        <v>0</v>
      </c>
      <c r="K50" s="133">
        <f>VLOOKUP(E3,'Housing Generation'!$A$3:$CK$90,66,FALSE)</f>
        <v>0</v>
      </c>
      <c r="L50" s="133">
        <f>VLOOKUP(E3,'Housing Generation'!$A$3:$DQ$90,74,FALSE)</f>
        <v>0</v>
      </c>
      <c r="M50" s="133">
        <f>VLOOKUP(E3,'Housing Generation'!$A$3:$DQ$90,82,FALSE)</f>
        <v>0</v>
      </c>
      <c r="N50" s="133">
        <f>VLOOKUP(E3,'Housing Generation'!$A$3:$DQ$90,90,FALSE)</f>
        <v>0</v>
      </c>
      <c r="O50" s="133">
        <f>VLOOKUP(E3,'Housing Generation'!$A$3:$DQ$90,98,FALSE)</f>
        <v>0</v>
      </c>
      <c r="P50" s="133">
        <f>VLOOKUP(E3,'Housing Generation'!$A$3:$DQ$90,106,FALSE)</f>
        <v>0</v>
      </c>
      <c r="Q50" s="133">
        <f>VLOOKUP(E3,'Housing Generation'!$A$3:$DQ$90,114,FALSE)</f>
        <v>0</v>
      </c>
    </row>
    <row r="51" spans="2:17" ht="15" customHeight="1" thickTop="1">
      <c r="B51" s="421" t="s">
        <v>130</v>
      </c>
      <c r="C51" s="422"/>
      <c r="D51" s="47">
        <f t="shared" ref="D51:Q51" si="0">SUM(D49:D50)</f>
        <v>61</v>
      </c>
      <c r="E51" s="47">
        <f t="shared" si="0"/>
        <v>48</v>
      </c>
      <c r="F51" s="80">
        <f t="shared" si="0"/>
        <v>48</v>
      </c>
      <c r="G51" s="244">
        <f t="shared" si="0"/>
        <v>54</v>
      </c>
      <c r="H51" s="71">
        <f t="shared" si="0"/>
        <v>50</v>
      </c>
      <c r="I51" s="71">
        <f t="shared" si="0"/>
        <v>51</v>
      </c>
      <c r="J51" s="71">
        <f t="shared" si="0"/>
        <v>52</v>
      </c>
      <c r="K51" s="71">
        <f t="shared" si="0"/>
        <v>52</v>
      </c>
      <c r="L51" s="71">
        <f t="shared" si="0"/>
        <v>52</v>
      </c>
      <c r="M51" s="71">
        <f t="shared" si="0"/>
        <v>53</v>
      </c>
      <c r="N51" s="71">
        <f t="shared" si="0"/>
        <v>53</v>
      </c>
      <c r="O51" s="71">
        <f t="shared" si="0"/>
        <v>53</v>
      </c>
      <c r="P51" s="71">
        <f t="shared" si="0"/>
        <v>53</v>
      </c>
      <c r="Q51" s="71">
        <f t="shared" si="0"/>
        <v>53</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72</v>
      </c>
      <c r="D60" s="358">
        <f>VLOOKUP($E$3,'Catchment Projections'!$A$1:$BZ$90,74,FALSE)</f>
        <v>63</v>
      </c>
      <c r="E60" s="303">
        <f>D60/C60</f>
        <v>0.875</v>
      </c>
      <c r="G60" s="132">
        <v>2014</v>
      </c>
      <c r="H60" s="395">
        <f>VLOOKUP($G$60,$B$177:$C$215, 2, FALSE)</f>
        <v>79</v>
      </c>
      <c r="I60" s="120">
        <f>H60-D60</f>
        <v>16</v>
      </c>
      <c r="J60" s="121">
        <f>I60/H60</f>
        <v>0.20253164556962025</v>
      </c>
    </row>
    <row r="61" spans="2:17" ht="15" customHeight="1">
      <c r="B61" s="132">
        <v>2015</v>
      </c>
      <c r="C61" s="359">
        <f>VLOOKUP($E$3,'Catchment Projections'!$A$1:$BZ$90,41,FALSE)</f>
        <v>61</v>
      </c>
      <c r="D61" s="358">
        <f>VLOOKUP($E$3,'Catchment Projections'!$A$1:$BZ$90,75,FALSE)</f>
        <v>51</v>
      </c>
      <c r="E61" s="303">
        <f>D61/C61</f>
        <v>0.83606557377049184</v>
      </c>
      <c r="G61" s="132">
        <v>2015</v>
      </c>
      <c r="H61" s="395">
        <f>VLOOKUP($G$61,$B$177:$C$215, 2, FALSE)</f>
        <v>62</v>
      </c>
      <c r="I61" s="120">
        <f>H61-D61</f>
        <v>11</v>
      </c>
      <c r="J61" s="121">
        <f>I61/H61</f>
        <v>0.17741935483870969</v>
      </c>
    </row>
    <row r="62" spans="2:17" ht="15" customHeight="1">
      <c r="B62" s="131">
        <v>2016</v>
      </c>
      <c r="C62" s="359">
        <f>VLOOKUP($E$3,'Catchment Projections'!$A$1:$BZ$90,42,FALSE)</f>
        <v>39</v>
      </c>
      <c r="D62" s="358">
        <f>VLOOKUP($E$3,'Catchment Projections'!$A$1:$BZ$90,76,FALSE)</f>
        <v>31</v>
      </c>
      <c r="E62" s="57">
        <f>D62/C62</f>
        <v>0.79487179487179482</v>
      </c>
      <c r="G62" s="131">
        <v>2016</v>
      </c>
      <c r="H62" s="395">
        <f>VLOOKUP($G$62,$B$177:$C$215, 2, FALSE)</f>
        <v>39</v>
      </c>
      <c r="I62" s="120">
        <f>H62-D62</f>
        <v>8</v>
      </c>
      <c r="J62" s="121">
        <f>I62/H62</f>
        <v>0.20512820512820512</v>
      </c>
    </row>
    <row r="63" spans="2:17" ht="15" customHeight="1">
      <c r="B63" s="114">
        <v>2017</v>
      </c>
      <c r="C63" s="359">
        <f>VLOOKUP($E$3,'Catchment Projections'!$A$1:$BZ$90,43,FALSE)</f>
        <v>75</v>
      </c>
      <c r="D63" s="358">
        <f>VLOOKUP($E$3,'Catchment Projections'!$A$1:$BZ$90,77,FALSE)</f>
        <v>59</v>
      </c>
      <c r="E63" s="304">
        <f>D63/C63</f>
        <v>0.78666666666666663</v>
      </c>
      <c r="G63" s="114">
        <v>2017</v>
      </c>
      <c r="H63" s="395">
        <f>VLOOKUP($G$63,$B$177:$C$215, 2, FALSE)</f>
        <v>64</v>
      </c>
      <c r="I63" s="120">
        <f>H63-D63</f>
        <v>5</v>
      </c>
      <c r="J63" s="121">
        <f>I63/H63</f>
        <v>7.8125E-2</v>
      </c>
    </row>
    <row r="64" spans="2:17" ht="15" customHeight="1">
      <c r="B64" s="114">
        <v>2018</v>
      </c>
      <c r="C64" s="359">
        <f>VLOOKUP($E$3,'Catchment Projections'!$A$1:$BZ$90,44,FALSE)</f>
        <v>55</v>
      </c>
      <c r="D64" s="358">
        <f>VLOOKUP($E$3,'Catchment Projections'!$A$1:$BZ$90,78,FALSE)</f>
        <v>41</v>
      </c>
      <c r="E64" s="305">
        <f>D64/C64</f>
        <v>0.74545454545454548</v>
      </c>
      <c r="G64" s="114">
        <v>2018</v>
      </c>
      <c r="H64" s="395">
        <f>VLOOKUP($G$64,$B$177:$C$215, 2, FALSE)</f>
        <v>48</v>
      </c>
      <c r="I64" s="120">
        <f>H64-D64</f>
        <v>7</v>
      </c>
      <c r="J64" s="121">
        <f>I64/H64</f>
        <v>0.14583333333333334</v>
      </c>
    </row>
    <row r="65" spans="2:10" ht="15" customHeight="1">
      <c r="B65" s="412" t="s">
        <v>136</v>
      </c>
      <c r="C65" s="413"/>
      <c r="D65" s="414"/>
      <c r="E65" s="137">
        <f>IF((AVERAGE(E62:E64))="#DIV/0!","n/a",(AVERAGE(E62:E64)))</f>
        <v>0.77566433566433568</v>
      </c>
      <c r="G65" s="415" t="s">
        <v>137</v>
      </c>
      <c r="H65" s="416"/>
      <c r="I65" s="138">
        <f>MEDIAN(I60:I64)</f>
        <v>8</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61</v>
      </c>
      <c r="D70" s="408"/>
      <c r="E70" s="122">
        <f>E65</f>
        <v>0.77566433566433568</v>
      </c>
      <c r="F70" s="120">
        <f t="shared" ref="F70:F83" si="1">C70*$E$65</f>
        <v>47.315524475524477</v>
      </c>
      <c r="G70" s="118">
        <f>IF(F70&lt;26,25,IF(F70&gt;135,140,IF(F70&gt;130,135,IF(F70&gt;125,130,IF(F70&gt;120,125,IF(F70&gt;115,120,IF(F70&gt;110,115,IF(F70&gt;105,110,IF(F70&gt;100,105,IF(F70&gt;99,100,IF(F70&gt;90,99,IF(F70&gt;75,90,IF(F70&gt;72,75,IF(F70&gt;66,72,IF(F70&gt;60,66,IF(F70&gt;50,60,IF(F70&gt;30,50,IF(F70&gt;25,30,0))))))))))))))))))</f>
        <v>50</v>
      </c>
      <c r="H70" s="119">
        <f t="shared" ref="H70:H83" si="2">G70-F70</f>
        <v>2.6844755244755234</v>
      </c>
      <c r="I70" s="118" t="str">
        <f>IF(I$65&lt;H70, "NO", "YES")</f>
        <v>YES</v>
      </c>
      <c r="J70" s="117">
        <f t="shared" ref="J70:J83" si="3">IF(I70="YES",G70,(MIN((SUM(F70,$I$65)),G70)))</f>
        <v>50</v>
      </c>
    </row>
    <row r="71" spans="2:10" ht="15" customHeight="1">
      <c r="B71" s="114">
        <v>2020</v>
      </c>
      <c r="C71" s="433">
        <f>E51</f>
        <v>48</v>
      </c>
      <c r="D71" s="408"/>
      <c r="E71" s="121">
        <f>E65</f>
        <v>0.77566433566433568</v>
      </c>
      <c r="F71" s="120">
        <f t="shared" si="1"/>
        <v>37.231888111888111</v>
      </c>
      <c r="G71" s="118">
        <f t="shared" ref="G71:G83" si="4">IF(F71&lt;26,25,IF(F71&gt;135,140,IF(F71&gt;130,135,IF(F71&gt;125,130,IF(F71&gt;120,125,IF(F71&gt;115,120,IF(F71&gt;110,115,IF(F71&gt;105,110,IF(F71&gt;100,105,IF(F71&gt;99,100,IF(F71&gt;90,99,IF(F71&gt;75,90,IF(F71&gt;72,75,IF(F71&gt;66,72,IF(F71&gt;60,66,IF(F71&gt;50,60,IF(F71&gt;30,50,IF(F71&gt;25,30,0))))))))))))))))))</f>
        <v>50</v>
      </c>
      <c r="H71" s="119">
        <f t="shared" si="2"/>
        <v>12.768111888111889</v>
      </c>
      <c r="I71" s="118" t="str">
        <f t="shared" ref="I71:I83" si="5">IF(I$65&lt;H71, "NO", "YES")</f>
        <v>NO</v>
      </c>
      <c r="J71" s="117">
        <f t="shared" si="3"/>
        <v>45.231888111888111</v>
      </c>
    </row>
    <row r="72" spans="2:10" ht="15" customHeight="1">
      <c r="B72" s="114">
        <v>2021</v>
      </c>
      <c r="C72" s="430">
        <f>F51</f>
        <v>48</v>
      </c>
      <c r="D72" s="431"/>
      <c r="E72" s="121">
        <f>E65</f>
        <v>0.77566433566433568</v>
      </c>
      <c r="F72" s="120">
        <f t="shared" si="1"/>
        <v>37.231888111888111</v>
      </c>
      <c r="G72" s="118">
        <f t="shared" si="4"/>
        <v>50</v>
      </c>
      <c r="H72" s="119">
        <f t="shared" si="2"/>
        <v>12.768111888111889</v>
      </c>
      <c r="I72" s="118" t="str">
        <f t="shared" si="5"/>
        <v>NO</v>
      </c>
      <c r="J72" s="117">
        <f t="shared" si="3"/>
        <v>45.231888111888111</v>
      </c>
    </row>
    <row r="73" spans="2:10" ht="15" customHeight="1">
      <c r="B73" s="114">
        <v>2022</v>
      </c>
      <c r="C73" s="430">
        <f>G51</f>
        <v>54</v>
      </c>
      <c r="D73" s="431"/>
      <c r="E73" s="121">
        <f>E65</f>
        <v>0.77566433566433568</v>
      </c>
      <c r="F73" s="120">
        <f t="shared" si="1"/>
        <v>41.885874125874125</v>
      </c>
      <c r="G73" s="118">
        <f t="shared" si="4"/>
        <v>50</v>
      </c>
      <c r="H73" s="119">
        <f t="shared" si="2"/>
        <v>8.1141258741258753</v>
      </c>
      <c r="I73" s="118" t="str">
        <f t="shared" si="5"/>
        <v>NO</v>
      </c>
      <c r="J73" s="117">
        <f t="shared" si="3"/>
        <v>49.885874125874125</v>
      </c>
    </row>
    <row r="74" spans="2:10" ht="15" customHeight="1">
      <c r="B74" s="114">
        <v>2023</v>
      </c>
      <c r="C74" s="430">
        <f>H51</f>
        <v>50</v>
      </c>
      <c r="D74" s="431"/>
      <c r="E74" s="121">
        <f>E65</f>
        <v>0.77566433566433568</v>
      </c>
      <c r="F74" s="120">
        <f t="shared" si="1"/>
        <v>38.783216783216787</v>
      </c>
      <c r="G74" s="118">
        <f t="shared" si="4"/>
        <v>50</v>
      </c>
      <c r="H74" s="119">
        <f t="shared" si="2"/>
        <v>11.216783216783213</v>
      </c>
      <c r="I74" s="118" t="str">
        <f t="shared" si="5"/>
        <v>NO</v>
      </c>
      <c r="J74" s="117">
        <f t="shared" si="3"/>
        <v>46.783216783216787</v>
      </c>
    </row>
    <row r="75" spans="2:10" ht="15" customHeight="1">
      <c r="B75" s="114">
        <v>2024</v>
      </c>
      <c r="C75" s="430">
        <f>I51</f>
        <v>51</v>
      </c>
      <c r="D75" s="431"/>
      <c r="E75" s="121">
        <f>E65</f>
        <v>0.77566433566433568</v>
      </c>
      <c r="F75" s="120">
        <f t="shared" si="1"/>
        <v>39.558881118881118</v>
      </c>
      <c r="G75" s="118">
        <f t="shared" si="4"/>
        <v>50</v>
      </c>
      <c r="H75" s="119">
        <f t="shared" si="2"/>
        <v>10.441118881118882</v>
      </c>
      <c r="I75" s="118" t="str">
        <f t="shared" si="5"/>
        <v>NO</v>
      </c>
      <c r="J75" s="117">
        <f t="shared" si="3"/>
        <v>47.558881118881118</v>
      </c>
    </row>
    <row r="76" spans="2:10" ht="15" customHeight="1">
      <c r="B76" s="114">
        <v>2025</v>
      </c>
      <c r="C76" s="430">
        <f>J51</f>
        <v>52</v>
      </c>
      <c r="D76" s="431"/>
      <c r="E76" s="121">
        <f>E65</f>
        <v>0.77566433566433568</v>
      </c>
      <c r="F76" s="120">
        <f t="shared" si="1"/>
        <v>40.334545454545456</v>
      </c>
      <c r="G76" s="118">
        <f t="shared" si="4"/>
        <v>50</v>
      </c>
      <c r="H76" s="119">
        <f t="shared" si="2"/>
        <v>9.6654545454545442</v>
      </c>
      <c r="I76" s="118" t="str">
        <f t="shared" si="5"/>
        <v>NO</v>
      </c>
      <c r="J76" s="117">
        <f t="shared" si="3"/>
        <v>48.334545454545456</v>
      </c>
    </row>
    <row r="77" spans="2:10" ht="15" customHeight="1">
      <c r="B77" s="114">
        <v>2026</v>
      </c>
      <c r="C77" s="430">
        <f>K51</f>
        <v>52</v>
      </c>
      <c r="D77" s="431"/>
      <c r="E77" s="121">
        <f>E65</f>
        <v>0.77566433566433568</v>
      </c>
      <c r="F77" s="120">
        <f t="shared" si="1"/>
        <v>40.334545454545456</v>
      </c>
      <c r="G77" s="118">
        <f t="shared" si="4"/>
        <v>50</v>
      </c>
      <c r="H77" s="119">
        <f t="shared" si="2"/>
        <v>9.6654545454545442</v>
      </c>
      <c r="I77" s="118" t="str">
        <f t="shared" si="5"/>
        <v>NO</v>
      </c>
      <c r="J77" s="117">
        <f t="shared" si="3"/>
        <v>48.334545454545456</v>
      </c>
    </row>
    <row r="78" spans="2:10" ht="15" customHeight="1">
      <c r="B78" s="114">
        <v>2027</v>
      </c>
      <c r="C78" s="430">
        <f>L51</f>
        <v>52</v>
      </c>
      <c r="D78" s="431"/>
      <c r="E78" s="121">
        <f>E65</f>
        <v>0.77566433566433568</v>
      </c>
      <c r="F78" s="120">
        <f t="shared" si="1"/>
        <v>40.334545454545456</v>
      </c>
      <c r="G78" s="118">
        <f t="shared" si="4"/>
        <v>50</v>
      </c>
      <c r="H78" s="119">
        <f t="shared" si="2"/>
        <v>9.6654545454545442</v>
      </c>
      <c r="I78" s="118" t="str">
        <f t="shared" si="5"/>
        <v>NO</v>
      </c>
      <c r="J78" s="117">
        <f t="shared" si="3"/>
        <v>48.334545454545456</v>
      </c>
    </row>
    <row r="79" spans="2:10" ht="15" customHeight="1">
      <c r="B79" s="114">
        <v>2028</v>
      </c>
      <c r="C79" s="430">
        <f>M51</f>
        <v>53</v>
      </c>
      <c r="D79" s="431"/>
      <c r="E79" s="121">
        <f t="shared" ref="E79:E83" si="6">$E$65</f>
        <v>0.77566433566433568</v>
      </c>
      <c r="F79" s="120">
        <f t="shared" si="1"/>
        <v>41.110209790209794</v>
      </c>
      <c r="G79" s="118">
        <f t="shared" si="4"/>
        <v>50</v>
      </c>
      <c r="H79" s="119">
        <f t="shared" si="2"/>
        <v>8.8897902097902062</v>
      </c>
      <c r="I79" s="118" t="str">
        <f t="shared" si="5"/>
        <v>NO</v>
      </c>
      <c r="J79" s="117">
        <f t="shared" si="3"/>
        <v>49.110209790209794</v>
      </c>
    </row>
    <row r="80" spans="2:10" ht="15" customHeight="1">
      <c r="B80" s="114">
        <v>2029</v>
      </c>
      <c r="C80" s="430">
        <f>N51</f>
        <v>53</v>
      </c>
      <c r="D80" s="431"/>
      <c r="E80" s="121">
        <f t="shared" si="6"/>
        <v>0.77566433566433568</v>
      </c>
      <c r="F80" s="120">
        <f t="shared" si="1"/>
        <v>41.110209790209794</v>
      </c>
      <c r="G80" s="118">
        <f t="shared" si="4"/>
        <v>50</v>
      </c>
      <c r="H80" s="119">
        <f t="shared" si="2"/>
        <v>8.8897902097902062</v>
      </c>
      <c r="I80" s="118" t="str">
        <f t="shared" si="5"/>
        <v>NO</v>
      </c>
      <c r="J80" s="117">
        <f t="shared" si="3"/>
        <v>49.110209790209794</v>
      </c>
    </row>
    <row r="81" spans="2:10" ht="15" customHeight="1">
      <c r="B81" s="114">
        <v>2030</v>
      </c>
      <c r="C81" s="430">
        <f>O51</f>
        <v>53</v>
      </c>
      <c r="D81" s="431"/>
      <c r="E81" s="121">
        <f t="shared" si="6"/>
        <v>0.77566433566433568</v>
      </c>
      <c r="F81" s="120">
        <f t="shared" si="1"/>
        <v>41.110209790209794</v>
      </c>
      <c r="G81" s="118">
        <f t="shared" si="4"/>
        <v>50</v>
      </c>
      <c r="H81" s="119">
        <f t="shared" si="2"/>
        <v>8.8897902097902062</v>
      </c>
      <c r="I81" s="118" t="str">
        <f t="shared" si="5"/>
        <v>NO</v>
      </c>
      <c r="J81" s="117">
        <f t="shared" si="3"/>
        <v>49.110209790209794</v>
      </c>
    </row>
    <row r="82" spans="2:10" ht="15" customHeight="1">
      <c r="B82" s="114">
        <v>2031</v>
      </c>
      <c r="C82" s="430">
        <f>P51</f>
        <v>53</v>
      </c>
      <c r="D82" s="431"/>
      <c r="E82" s="121">
        <f t="shared" si="6"/>
        <v>0.77566433566433568</v>
      </c>
      <c r="F82" s="120">
        <f t="shared" si="1"/>
        <v>41.110209790209794</v>
      </c>
      <c r="G82" s="118">
        <f t="shared" si="4"/>
        <v>50</v>
      </c>
      <c r="H82" s="119">
        <f t="shared" si="2"/>
        <v>8.8897902097902062</v>
      </c>
      <c r="I82" s="118" t="str">
        <f t="shared" si="5"/>
        <v>NO</v>
      </c>
      <c r="J82" s="117">
        <f t="shared" si="3"/>
        <v>49.110209790209794</v>
      </c>
    </row>
    <row r="83" spans="2:10" ht="15" customHeight="1">
      <c r="B83" s="114">
        <v>2032</v>
      </c>
      <c r="C83" s="430">
        <f>Q51</f>
        <v>53</v>
      </c>
      <c r="D83" s="431"/>
      <c r="E83" s="121">
        <f t="shared" si="6"/>
        <v>0.77566433566433568</v>
      </c>
      <c r="F83" s="120">
        <f t="shared" si="1"/>
        <v>41.110209790209794</v>
      </c>
      <c r="G83" s="118">
        <f t="shared" si="4"/>
        <v>50</v>
      </c>
      <c r="H83" s="119">
        <f t="shared" si="2"/>
        <v>8.8897902097902062</v>
      </c>
      <c r="I83" s="118" t="str">
        <f t="shared" si="5"/>
        <v>NO</v>
      </c>
      <c r="J83" s="117">
        <f t="shared" si="3"/>
        <v>49.110209790209794</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Carrick Knowe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73</v>
      </c>
      <c r="D91" s="112">
        <f t="shared" ref="D91:J91" si="7">D188</f>
        <v>52</v>
      </c>
      <c r="E91" s="112">
        <f t="shared" si="7"/>
        <v>60</v>
      </c>
      <c r="F91" s="112">
        <f t="shared" si="7"/>
        <v>47</v>
      </c>
      <c r="G91" s="112">
        <f t="shared" si="7"/>
        <v>55</v>
      </c>
      <c r="H91" s="112">
        <f t="shared" si="7"/>
        <v>59</v>
      </c>
      <c r="I91" s="112">
        <f t="shared" si="7"/>
        <v>48</v>
      </c>
      <c r="J91" s="213">
        <f t="shared" si="7"/>
        <v>394</v>
      </c>
    </row>
    <row r="92" spans="2:10" ht="15" customHeight="1">
      <c r="B92" s="114">
        <v>2014</v>
      </c>
      <c r="C92" s="112">
        <f>C189</f>
        <v>79</v>
      </c>
      <c r="D92" s="112">
        <f t="shared" ref="D92:J92" si="8">D189</f>
        <v>67</v>
      </c>
      <c r="E92" s="112">
        <f t="shared" si="8"/>
        <v>50</v>
      </c>
      <c r="F92" s="112">
        <f t="shared" si="8"/>
        <v>56</v>
      </c>
      <c r="G92" s="112">
        <f t="shared" si="8"/>
        <v>46</v>
      </c>
      <c r="H92" s="112">
        <f t="shared" si="8"/>
        <v>52</v>
      </c>
      <c r="I92" s="112">
        <f t="shared" si="8"/>
        <v>56</v>
      </c>
      <c r="J92" s="213">
        <f t="shared" si="8"/>
        <v>406</v>
      </c>
    </row>
    <row r="93" spans="2:10" ht="15" customHeight="1">
      <c r="B93" s="114">
        <v>2015</v>
      </c>
      <c r="C93" s="112">
        <f>C190</f>
        <v>62</v>
      </c>
      <c r="D93" s="112">
        <f t="shared" ref="D93:J93" si="9">D190</f>
        <v>74</v>
      </c>
      <c r="E93" s="112">
        <f t="shared" si="9"/>
        <v>62</v>
      </c>
      <c r="F93" s="112">
        <f t="shared" si="9"/>
        <v>52</v>
      </c>
      <c r="G93" s="112">
        <f t="shared" si="9"/>
        <v>50</v>
      </c>
      <c r="H93" s="112">
        <f t="shared" si="9"/>
        <v>48</v>
      </c>
      <c r="I93" s="112">
        <f t="shared" si="9"/>
        <v>49</v>
      </c>
      <c r="J93" s="213">
        <f t="shared" si="9"/>
        <v>397</v>
      </c>
    </row>
    <row r="94" spans="2:10" ht="15" customHeight="1">
      <c r="B94" s="114">
        <v>2016</v>
      </c>
      <c r="C94" s="112">
        <f>C191</f>
        <v>39</v>
      </c>
      <c r="D94" s="112">
        <f t="shared" ref="D94:J94" si="10">D191</f>
        <v>55</v>
      </c>
      <c r="E94" s="112">
        <f t="shared" si="10"/>
        <v>70</v>
      </c>
      <c r="F94" s="112">
        <f t="shared" si="10"/>
        <v>53</v>
      </c>
      <c r="G94" s="112">
        <f t="shared" si="10"/>
        <v>52</v>
      </c>
      <c r="H94" s="112">
        <f t="shared" si="10"/>
        <v>45</v>
      </c>
      <c r="I94" s="112">
        <f t="shared" si="10"/>
        <v>47</v>
      </c>
      <c r="J94" s="213">
        <f t="shared" si="10"/>
        <v>361</v>
      </c>
    </row>
    <row r="95" spans="2:10" ht="15" customHeight="1">
      <c r="B95" s="114">
        <v>2017</v>
      </c>
      <c r="C95" s="112">
        <f>C192</f>
        <v>64</v>
      </c>
      <c r="D95" s="112">
        <f t="shared" ref="D95:J95" si="11">D192</f>
        <v>37</v>
      </c>
      <c r="E95" s="112">
        <f t="shared" si="11"/>
        <v>53</v>
      </c>
      <c r="F95" s="112">
        <f t="shared" si="11"/>
        <v>69</v>
      </c>
      <c r="G95" s="112">
        <f t="shared" si="11"/>
        <v>50</v>
      </c>
      <c r="H95" s="112">
        <f t="shared" si="11"/>
        <v>51</v>
      </c>
      <c r="I95" s="112">
        <f t="shared" si="11"/>
        <v>44</v>
      </c>
      <c r="J95" s="213">
        <f t="shared" si="11"/>
        <v>368</v>
      </c>
    </row>
    <row r="96" spans="2:10" ht="15" customHeight="1">
      <c r="B96" s="307">
        <v>2018</v>
      </c>
      <c r="C96" s="112">
        <f t="shared" ref="C96:J96" si="12">C193</f>
        <v>48</v>
      </c>
      <c r="D96" s="112">
        <f t="shared" si="12"/>
        <v>60</v>
      </c>
      <c r="E96" s="112">
        <f t="shared" si="12"/>
        <v>37</v>
      </c>
      <c r="F96" s="112">
        <f t="shared" si="12"/>
        <v>51</v>
      </c>
      <c r="G96" s="112">
        <f t="shared" si="12"/>
        <v>69</v>
      </c>
      <c r="H96" s="112">
        <f t="shared" si="12"/>
        <v>47</v>
      </c>
      <c r="I96" s="112">
        <f t="shared" si="12"/>
        <v>51</v>
      </c>
      <c r="J96" s="213">
        <f t="shared" si="12"/>
        <v>363</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6.3291139240506333E-2</v>
      </c>
      <c r="E98" s="210">
        <f t="shared" ref="E98:I98" si="13">MEDIAN(((D91-E92)/D91),((D92-E93)/D92),((D93-E94)/D93),((D94-E95)/D94),((D95-E96)/D95))</f>
        <v>3.8461538461538464E-2</v>
      </c>
      <c r="F98" s="210">
        <f t="shared" si="13"/>
        <v>3.7735849056603772E-2</v>
      </c>
      <c r="G98" s="210">
        <f t="shared" si="13"/>
        <v>2.1276595744680851E-2</v>
      </c>
      <c r="H98" s="210">
        <f t="shared" si="13"/>
        <v>5.4545454545454543E-2</v>
      </c>
      <c r="I98" s="210">
        <f t="shared" si="13"/>
        <v>2.2222222222222223E-2</v>
      </c>
    </row>
    <row r="99" spans="2:10" ht="15" customHeight="1">
      <c r="B99" s="59"/>
      <c r="C99" s="60"/>
      <c r="D99" s="61"/>
      <c r="E99" s="61"/>
      <c r="F99" s="61"/>
      <c r="G99" s="61"/>
      <c r="H99" s="61"/>
      <c r="I99" s="61"/>
      <c r="J99" s="58"/>
    </row>
    <row r="100" spans="2:10" ht="15" customHeight="1">
      <c r="B100" s="15" t="str">
        <f>"Table 4B: "&amp;E3&amp;" Projected Roll by Stage (incorporating Projected P1 and Drop-Off Rates), 2019-2032"</f>
        <v>Table 4B: Carrick Knowe Primary School Projected Roll by Stage (incorporating Projected P1 and Drop-Off Rates), 2019-2032</v>
      </c>
      <c r="F100" s="14"/>
      <c r="G100" s="14"/>
    </row>
    <row r="101" spans="2:10" ht="15" customHeight="1">
      <c r="F101" s="14"/>
      <c r="G101" s="14"/>
    </row>
    <row r="102" spans="2:10" ht="15" customHeight="1">
      <c r="B102" s="115"/>
      <c r="C102" s="109" t="s">
        <v>1</v>
      </c>
      <c r="D102" s="109" t="s">
        <v>2</v>
      </c>
      <c r="E102" s="109" t="s">
        <v>3</v>
      </c>
      <c r="F102" s="109" t="s">
        <v>4</v>
      </c>
      <c r="G102" s="109" t="s">
        <v>5</v>
      </c>
      <c r="H102" s="109" t="s">
        <v>6</v>
      </c>
      <c r="I102" s="109" t="s">
        <v>7</v>
      </c>
      <c r="J102" s="109" t="s">
        <v>8</v>
      </c>
    </row>
    <row r="103" spans="2:10" ht="15" customHeight="1">
      <c r="B103" s="114">
        <v>2019</v>
      </c>
      <c r="C103" s="113">
        <f t="shared" ref="C103:C116" si="14">J70</f>
        <v>50</v>
      </c>
      <c r="D103" s="324">
        <f>ROUND((C96)-(C96*$D$98),0)</f>
        <v>45</v>
      </c>
      <c r="E103" s="324">
        <f>ROUND((D96)-(D96*$E$98),0)</f>
        <v>58</v>
      </c>
      <c r="F103" s="324">
        <f>ROUND((E96)-(E96*$F$98),0)</f>
        <v>36</v>
      </c>
      <c r="G103" s="324">
        <f>ROUND((F96)-(F96*$G$98),0)</f>
        <v>50</v>
      </c>
      <c r="H103" s="324">
        <f>ROUND((G96)-(G96*$H$98),0)</f>
        <v>65</v>
      </c>
      <c r="I103" s="324">
        <f>ROUND((H96)-(H96*$I$98),0)</f>
        <v>46</v>
      </c>
      <c r="J103" s="111">
        <f t="shared" ref="J103:J116" si="15">SUM(C103:I103)</f>
        <v>350</v>
      </c>
    </row>
    <row r="104" spans="2:10" ht="15" customHeight="1">
      <c r="B104" s="114">
        <v>2020</v>
      </c>
      <c r="C104" s="113">
        <f t="shared" si="14"/>
        <v>45.231888111888111</v>
      </c>
      <c r="D104" s="324">
        <f>ROUND((C103-E50)-(C103*$D$98),0)</f>
        <v>47</v>
      </c>
      <c r="E104" s="112">
        <f t="shared" ref="E104:E116" si="16">ROUND((D103)-(D103*$E$98),0)</f>
        <v>43</v>
      </c>
      <c r="F104" s="112">
        <f t="shared" ref="F104:F116" si="17">ROUND((E103)-(E103*$F$98),0)</f>
        <v>56</v>
      </c>
      <c r="G104" s="112">
        <f t="shared" ref="G104:G116" si="18">ROUND((F103)-(F103*$G$98),0)</f>
        <v>35</v>
      </c>
      <c r="H104" s="112">
        <f t="shared" ref="H104:H116" si="19">ROUND((G103)-(G103*$H$98),0)</f>
        <v>47</v>
      </c>
      <c r="I104" s="112">
        <f t="shared" ref="I104:I116" si="20">ROUND((H103)-(H103*$I$98),0)</f>
        <v>64</v>
      </c>
      <c r="J104" s="111">
        <f t="shared" si="15"/>
        <v>337.23188811188811</v>
      </c>
    </row>
    <row r="105" spans="2:10" ht="15" customHeight="1">
      <c r="B105" s="114">
        <v>2021</v>
      </c>
      <c r="C105" s="113">
        <f t="shared" si="14"/>
        <v>45.231888111888111</v>
      </c>
      <c r="D105" s="324">
        <f>ROUND((C104-F50)-(C104*$D$98),0)</f>
        <v>42</v>
      </c>
      <c r="E105" s="112">
        <f t="shared" si="16"/>
        <v>45</v>
      </c>
      <c r="F105" s="112">
        <f t="shared" si="17"/>
        <v>41</v>
      </c>
      <c r="G105" s="112">
        <f t="shared" si="18"/>
        <v>55</v>
      </c>
      <c r="H105" s="112">
        <f t="shared" si="19"/>
        <v>33</v>
      </c>
      <c r="I105" s="112">
        <f t="shared" si="20"/>
        <v>46</v>
      </c>
      <c r="J105" s="111">
        <f t="shared" si="15"/>
        <v>307.23188811188811</v>
      </c>
    </row>
    <row r="106" spans="2:10" ht="15" customHeight="1">
      <c r="B106" s="114">
        <v>2022</v>
      </c>
      <c r="C106" s="113">
        <f t="shared" si="14"/>
        <v>49.885874125874125</v>
      </c>
      <c r="D106" s="324">
        <f>ROUND((C105-G50)-(C105*$D$98),0)</f>
        <v>42</v>
      </c>
      <c r="E106" s="112">
        <f t="shared" si="16"/>
        <v>40</v>
      </c>
      <c r="F106" s="112">
        <f t="shared" si="17"/>
        <v>43</v>
      </c>
      <c r="G106" s="112">
        <f t="shared" si="18"/>
        <v>40</v>
      </c>
      <c r="H106" s="112">
        <f t="shared" si="19"/>
        <v>52</v>
      </c>
      <c r="I106" s="112">
        <f t="shared" si="20"/>
        <v>32</v>
      </c>
      <c r="J106" s="111">
        <f t="shared" si="15"/>
        <v>298.88587412587412</v>
      </c>
    </row>
    <row r="107" spans="2:10" ht="15" customHeight="1">
      <c r="B107" s="114">
        <v>2023</v>
      </c>
      <c r="C107" s="113">
        <f t="shared" si="14"/>
        <v>46.783216783216787</v>
      </c>
      <c r="D107" s="324">
        <f>ROUND((C106-H50)-(C106*$D$98),0)</f>
        <v>47</v>
      </c>
      <c r="E107" s="112">
        <f t="shared" si="16"/>
        <v>40</v>
      </c>
      <c r="F107" s="112">
        <f t="shared" si="17"/>
        <v>38</v>
      </c>
      <c r="G107" s="112">
        <f t="shared" si="18"/>
        <v>42</v>
      </c>
      <c r="H107" s="112">
        <f t="shared" si="19"/>
        <v>38</v>
      </c>
      <c r="I107" s="112">
        <f t="shared" si="20"/>
        <v>51</v>
      </c>
      <c r="J107" s="111">
        <f t="shared" si="15"/>
        <v>302.7832167832168</v>
      </c>
    </row>
    <row r="108" spans="2:10" ht="15" customHeight="1">
      <c r="B108" s="114">
        <v>2024</v>
      </c>
      <c r="C108" s="113">
        <f t="shared" si="14"/>
        <v>47.558881118881118</v>
      </c>
      <c r="D108" s="324">
        <f>ROUND((C107-I50)-(C107*$D$98),0)</f>
        <v>44</v>
      </c>
      <c r="E108" s="112">
        <f t="shared" si="16"/>
        <v>45</v>
      </c>
      <c r="F108" s="112">
        <f t="shared" si="17"/>
        <v>38</v>
      </c>
      <c r="G108" s="112">
        <f t="shared" si="18"/>
        <v>37</v>
      </c>
      <c r="H108" s="112">
        <f t="shared" si="19"/>
        <v>40</v>
      </c>
      <c r="I108" s="112">
        <f t="shared" si="20"/>
        <v>37</v>
      </c>
      <c r="J108" s="111">
        <f t="shared" si="15"/>
        <v>288.55888111888112</v>
      </c>
    </row>
    <row r="109" spans="2:10" ht="15" customHeight="1">
      <c r="B109" s="114">
        <v>2025</v>
      </c>
      <c r="C109" s="113">
        <f t="shared" si="14"/>
        <v>48.334545454545456</v>
      </c>
      <c r="D109" s="324">
        <f>ROUND((C108-J50)-(C108*$D$98),0)</f>
        <v>45</v>
      </c>
      <c r="E109" s="112">
        <f t="shared" si="16"/>
        <v>42</v>
      </c>
      <c r="F109" s="112">
        <f t="shared" si="17"/>
        <v>43</v>
      </c>
      <c r="G109" s="112">
        <f t="shared" si="18"/>
        <v>37</v>
      </c>
      <c r="H109" s="112">
        <f t="shared" si="19"/>
        <v>35</v>
      </c>
      <c r="I109" s="112">
        <f t="shared" si="20"/>
        <v>39</v>
      </c>
      <c r="J109" s="111">
        <f t="shared" si="15"/>
        <v>289.33454545454549</v>
      </c>
    </row>
    <row r="110" spans="2:10" ht="15" customHeight="1">
      <c r="B110" s="114">
        <v>2026</v>
      </c>
      <c r="C110" s="113">
        <f t="shared" si="14"/>
        <v>48.334545454545456</v>
      </c>
      <c r="D110" s="324">
        <f>ROUND((C109-K50)-(C109*$D$98),0)</f>
        <v>45</v>
      </c>
      <c r="E110" s="112">
        <f t="shared" si="16"/>
        <v>43</v>
      </c>
      <c r="F110" s="112">
        <f t="shared" si="17"/>
        <v>40</v>
      </c>
      <c r="G110" s="112">
        <f t="shared" si="18"/>
        <v>42</v>
      </c>
      <c r="H110" s="112">
        <f t="shared" si="19"/>
        <v>35</v>
      </c>
      <c r="I110" s="112">
        <f t="shared" si="20"/>
        <v>34</v>
      </c>
      <c r="J110" s="111">
        <f t="shared" si="15"/>
        <v>287.33454545454549</v>
      </c>
    </row>
    <row r="111" spans="2:10" ht="15" customHeight="1">
      <c r="B111" s="114">
        <v>2027</v>
      </c>
      <c r="C111" s="113">
        <f t="shared" si="14"/>
        <v>48.334545454545456</v>
      </c>
      <c r="D111" s="324">
        <f>ROUND((C110-L50)-(C110*$D$98),0)</f>
        <v>45</v>
      </c>
      <c r="E111" s="112">
        <f t="shared" si="16"/>
        <v>43</v>
      </c>
      <c r="F111" s="112">
        <f t="shared" si="17"/>
        <v>41</v>
      </c>
      <c r="G111" s="112">
        <f t="shared" si="18"/>
        <v>39</v>
      </c>
      <c r="H111" s="112">
        <f t="shared" si="19"/>
        <v>40</v>
      </c>
      <c r="I111" s="112">
        <f t="shared" si="20"/>
        <v>34</v>
      </c>
      <c r="J111" s="111">
        <f t="shared" si="15"/>
        <v>290.33454545454549</v>
      </c>
    </row>
    <row r="112" spans="2:10" ht="15" customHeight="1">
      <c r="B112" s="114">
        <v>2028</v>
      </c>
      <c r="C112" s="113">
        <f t="shared" si="14"/>
        <v>49.110209790209794</v>
      </c>
      <c r="D112" s="324">
        <f>ROUND((C111-M50)-(C111*$D$98),0)</f>
        <v>45</v>
      </c>
      <c r="E112" s="112">
        <f t="shared" si="16"/>
        <v>43</v>
      </c>
      <c r="F112" s="112">
        <f t="shared" si="17"/>
        <v>41</v>
      </c>
      <c r="G112" s="112">
        <f t="shared" si="18"/>
        <v>40</v>
      </c>
      <c r="H112" s="112">
        <f t="shared" si="19"/>
        <v>37</v>
      </c>
      <c r="I112" s="112">
        <f t="shared" si="20"/>
        <v>39</v>
      </c>
      <c r="J112" s="111">
        <f t="shared" si="15"/>
        <v>294.11020979020981</v>
      </c>
    </row>
    <row r="113" spans="2:10" ht="15" customHeight="1">
      <c r="B113" s="114">
        <v>2029</v>
      </c>
      <c r="C113" s="113">
        <f t="shared" si="14"/>
        <v>49.110209790209794</v>
      </c>
      <c r="D113" s="324">
        <f>ROUND((C112-N50)-(C112*$D$98),0)</f>
        <v>46</v>
      </c>
      <c r="E113" s="112">
        <f t="shared" si="16"/>
        <v>43</v>
      </c>
      <c r="F113" s="112">
        <f t="shared" si="17"/>
        <v>41</v>
      </c>
      <c r="G113" s="112">
        <f t="shared" si="18"/>
        <v>40</v>
      </c>
      <c r="H113" s="112">
        <f t="shared" si="19"/>
        <v>38</v>
      </c>
      <c r="I113" s="112">
        <f t="shared" si="20"/>
        <v>36</v>
      </c>
      <c r="J113" s="111">
        <f t="shared" si="15"/>
        <v>293.11020979020981</v>
      </c>
    </row>
    <row r="114" spans="2:10" ht="15" customHeight="1">
      <c r="B114" s="114">
        <v>2030</v>
      </c>
      <c r="C114" s="113">
        <f t="shared" si="14"/>
        <v>49.110209790209794</v>
      </c>
      <c r="D114" s="324">
        <f>ROUND((C113-O50)-(C113*$D$98),0)</f>
        <v>46</v>
      </c>
      <c r="E114" s="112">
        <f t="shared" si="16"/>
        <v>44</v>
      </c>
      <c r="F114" s="112">
        <f t="shared" si="17"/>
        <v>41</v>
      </c>
      <c r="G114" s="112">
        <f t="shared" si="18"/>
        <v>40</v>
      </c>
      <c r="H114" s="112">
        <f t="shared" si="19"/>
        <v>38</v>
      </c>
      <c r="I114" s="112">
        <f t="shared" si="20"/>
        <v>37</v>
      </c>
      <c r="J114" s="111">
        <f t="shared" si="15"/>
        <v>295.11020979020981</v>
      </c>
    </row>
    <row r="115" spans="2:10" ht="15" customHeight="1">
      <c r="B115" s="114">
        <v>2031</v>
      </c>
      <c r="C115" s="113">
        <f t="shared" si="14"/>
        <v>49.110209790209794</v>
      </c>
      <c r="D115" s="324">
        <f>ROUND((C114-P50)-(C114*$D$98),0)</f>
        <v>46</v>
      </c>
      <c r="E115" s="112">
        <f t="shared" si="16"/>
        <v>44</v>
      </c>
      <c r="F115" s="112">
        <f t="shared" si="17"/>
        <v>42</v>
      </c>
      <c r="G115" s="112">
        <f t="shared" si="18"/>
        <v>40</v>
      </c>
      <c r="H115" s="112">
        <f t="shared" si="19"/>
        <v>38</v>
      </c>
      <c r="I115" s="112">
        <f t="shared" si="20"/>
        <v>37</v>
      </c>
      <c r="J115" s="111">
        <f t="shared" si="15"/>
        <v>296.11020979020981</v>
      </c>
    </row>
    <row r="116" spans="2:10" ht="15" customHeight="1">
      <c r="B116" s="114">
        <v>2032</v>
      </c>
      <c r="C116" s="113">
        <f t="shared" si="14"/>
        <v>49.110209790209794</v>
      </c>
      <c r="D116" s="324">
        <f>ROUND((C115-Q50)-(C115*$D$98),0)</f>
        <v>46</v>
      </c>
      <c r="E116" s="112">
        <f t="shared" si="16"/>
        <v>44</v>
      </c>
      <c r="F116" s="112">
        <f t="shared" si="17"/>
        <v>42</v>
      </c>
      <c r="G116" s="112">
        <f t="shared" si="18"/>
        <v>41</v>
      </c>
      <c r="H116" s="112">
        <f t="shared" si="19"/>
        <v>38</v>
      </c>
      <c r="I116" s="112">
        <f t="shared" si="20"/>
        <v>37</v>
      </c>
      <c r="J116" s="111">
        <f t="shared" si="15"/>
        <v>297.11020979020981</v>
      </c>
    </row>
    <row r="117" spans="2:10" ht="15" customHeight="1">
      <c r="F117" s="14"/>
      <c r="G117" s="14"/>
    </row>
    <row r="118" spans="2:10" ht="15" customHeight="1">
      <c r="B118" s="15" t="str">
        <f>"Table 4C: "&amp;E3&amp;" Projected Pupil Generation from Housing Development, 2019-2032"</f>
        <v>Table 4C: Carrick Knowe Primary School Projected Pupil Generation from Housing Development, 2019-2032</v>
      </c>
      <c r="F118" s="14"/>
      <c r="G118" s="14"/>
    </row>
    <row r="119" spans="2:10" ht="15" customHeight="1">
      <c r="F119" s="14"/>
      <c r="G119" s="14"/>
    </row>
    <row r="120" spans="2:10" ht="15" customHeight="1">
      <c r="B120" s="115"/>
      <c r="C120" s="109" t="s">
        <v>1</v>
      </c>
      <c r="D120" s="109" t="s">
        <v>2</v>
      </c>
      <c r="E120" s="109" t="s">
        <v>3</v>
      </c>
      <c r="F120" s="109" t="s">
        <v>4</v>
      </c>
      <c r="G120" s="109" t="s">
        <v>5</v>
      </c>
      <c r="H120" s="109" t="s">
        <v>6</v>
      </c>
      <c r="I120" s="109" t="s">
        <v>7</v>
      </c>
      <c r="J120" s="109" t="s">
        <v>8</v>
      </c>
    </row>
    <row r="121" spans="2:10" ht="15" customHeight="1">
      <c r="B121" s="114">
        <v>2019</v>
      </c>
      <c r="C121" s="116" t="s">
        <v>97</v>
      </c>
      <c r="D121" s="112">
        <f>VLOOKUP($E$3,'Housing Generation'!$A$3:$BE$90,11,FALSE)</f>
        <v>0</v>
      </c>
      <c r="E121" s="112">
        <f>VLOOKUP($E$3,'Housing Generation'!$A$3:$BE$90,12,FALSE)</f>
        <v>0</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0</v>
      </c>
    </row>
    <row r="122" spans="2:10" ht="15" customHeight="1">
      <c r="B122" s="114">
        <v>2020</v>
      </c>
      <c r="C122" s="116" t="s">
        <v>97</v>
      </c>
      <c r="D122" s="112">
        <f>VLOOKUP($E$3,'Housing Generation'!$A$3:$BE$90,19,FALSE)</f>
        <v>0</v>
      </c>
      <c r="E122" s="112">
        <f>VLOOKUP($E$3,'Housing Generation'!$A$3:$BE$90,20,FALSE)</f>
        <v>0</v>
      </c>
      <c r="F122" s="112">
        <f>VLOOKUP($E$3,'Housing Generation'!$A$3:$BE$90,21,FALSE)</f>
        <v>0</v>
      </c>
      <c r="G122" s="112">
        <f>VLOOKUP($E$3,'Housing Generation'!$A$3:$BE$90,22,FALSE)</f>
        <v>0</v>
      </c>
      <c r="H122" s="112">
        <f>VLOOKUP($E$3,'Housing Generation'!$A$3:$BE$90,23,FALSE)</f>
        <v>0</v>
      </c>
      <c r="I122" s="112">
        <f>VLOOKUP($E$3,'Housing Generation'!$A$3:$BE$90,24,FALSE)</f>
        <v>0</v>
      </c>
      <c r="J122" s="111">
        <f t="shared" si="21"/>
        <v>0</v>
      </c>
    </row>
    <row r="123" spans="2:10" ht="15" customHeight="1">
      <c r="B123" s="114">
        <v>2021</v>
      </c>
      <c r="C123" s="116" t="s">
        <v>97</v>
      </c>
      <c r="D123" s="112">
        <f>VLOOKUP($E$3,'Housing Generation'!$A$3:$BE$90,27,FALSE)</f>
        <v>0</v>
      </c>
      <c r="E123" s="112">
        <f>VLOOKUP($E$3,'Housing Generation'!$A$3:$BE$90,28,FALSE)</f>
        <v>0</v>
      </c>
      <c r="F123" s="112">
        <f>VLOOKUP($E$3,'Housing Generation'!$A$3:$BE$90,29,FALSE)</f>
        <v>0</v>
      </c>
      <c r="G123" s="112">
        <f>VLOOKUP($E$3,'Housing Generation'!$A$3:$BE$90,30,FALSE)</f>
        <v>0</v>
      </c>
      <c r="H123" s="112">
        <f>VLOOKUP($E$3,'Housing Generation'!$A$3:$BE$90,31,FALSE)</f>
        <v>0</v>
      </c>
      <c r="I123" s="112">
        <f>VLOOKUP($E$3,'Housing Generation'!$A$3:$BE$90,32,FALSE)</f>
        <v>0</v>
      </c>
      <c r="J123" s="111">
        <f t="shared" si="21"/>
        <v>0</v>
      </c>
    </row>
    <row r="124" spans="2:10" ht="15" customHeight="1">
      <c r="B124" s="114">
        <v>2022</v>
      </c>
      <c r="C124" s="116" t="s">
        <v>97</v>
      </c>
      <c r="D124" s="112">
        <f>VLOOKUP($E$3,'Housing Generation'!$A$3:$BE$90,35,FALSE)</f>
        <v>0</v>
      </c>
      <c r="E124" s="112">
        <f>VLOOKUP($E$3,'Housing Generation'!$A$3:$BE$90,36,FALSE)</f>
        <v>0</v>
      </c>
      <c r="F124" s="112">
        <f>VLOOKUP($E$3,'Housing Generation'!$A$3:$BE$90,37,FALSE)</f>
        <v>0</v>
      </c>
      <c r="G124" s="112">
        <f>VLOOKUP($E$3,'Housing Generation'!$A$3:$BE$90,38,FALSE)</f>
        <v>0</v>
      </c>
      <c r="H124" s="112">
        <f>VLOOKUP($E$3,'Housing Generation'!$A$3:$BE$90,39,FALSE)</f>
        <v>0</v>
      </c>
      <c r="I124" s="112">
        <f>VLOOKUP($E$3,'Housing Generation'!$A$3:$BE$90,40,FALSE)</f>
        <v>0</v>
      </c>
      <c r="J124" s="111">
        <f t="shared" si="21"/>
        <v>0</v>
      </c>
    </row>
    <row r="125" spans="2:10" ht="15" customHeight="1">
      <c r="B125" s="114">
        <v>2023</v>
      </c>
      <c r="C125" s="116" t="s">
        <v>97</v>
      </c>
      <c r="D125" s="112">
        <f>VLOOKUP($E$3,'Housing Generation'!$A$3:$BE$90,43,FALSE)</f>
        <v>0</v>
      </c>
      <c r="E125" s="112">
        <f>VLOOKUP($E$3,'Housing Generation'!$A$3:$BE$90,44,FALSE)</f>
        <v>0</v>
      </c>
      <c r="F125" s="112">
        <f>VLOOKUP($E$3,'Housing Generation'!$A$3:$BE$90,45,FALSE)</f>
        <v>0</v>
      </c>
      <c r="G125" s="112">
        <f>VLOOKUP($E$3,'Housing Generation'!$A$3:$BE$90,46,FALSE)</f>
        <v>0</v>
      </c>
      <c r="H125" s="112">
        <f>VLOOKUP($E$3,'Housing Generation'!$A$3:$BE$90,47,FALSE)</f>
        <v>0</v>
      </c>
      <c r="I125" s="112">
        <f>VLOOKUP($E$3,'Housing Generation'!$A$3:$BE$90,48,FALSE)</f>
        <v>0</v>
      </c>
      <c r="J125" s="111">
        <f t="shared" si="21"/>
        <v>0</v>
      </c>
    </row>
    <row r="126" spans="2:10" ht="15" customHeight="1">
      <c r="B126" s="114">
        <v>2024</v>
      </c>
      <c r="C126" s="116" t="s">
        <v>97</v>
      </c>
      <c r="D126" s="112">
        <f>VLOOKUP($E$3,'Housing Generation'!$A$3:$BE$90,51,FALSE)</f>
        <v>0</v>
      </c>
      <c r="E126" s="112">
        <f>VLOOKUP($E$3,'Housing Generation'!$A$3:$BE$90,52,FALSE)</f>
        <v>0</v>
      </c>
      <c r="F126" s="112">
        <f>VLOOKUP($E$3,'Housing Generation'!$A$3:$BE$90,53,FALSE)</f>
        <v>0</v>
      </c>
      <c r="G126" s="112">
        <f>VLOOKUP($E$3,'Housing Generation'!$A$3:$BE$90,54,FALSE)</f>
        <v>0</v>
      </c>
      <c r="H126" s="112">
        <f>VLOOKUP($E$3,'Housing Generation'!$A$3:$BE$90,55,FALSE)</f>
        <v>0</v>
      </c>
      <c r="I126" s="112">
        <f>VLOOKUP($E$3,'Housing Generation'!$A$3:$BE$90,56,FALSE)</f>
        <v>0</v>
      </c>
      <c r="J126" s="111">
        <f t="shared" si="21"/>
        <v>0</v>
      </c>
    </row>
    <row r="127" spans="2:10" ht="15" customHeight="1">
      <c r="B127" s="114">
        <v>2025</v>
      </c>
      <c r="C127" s="240" t="s">
        <v>97</v>
      </c>
      <c r="D127" s="112">
        <f>VLOOKUP($E$3,'Housing Generation'!$A$3:$CK$90,59,FALSE)</f>
        <v>0</v>
      </c>
      <c r="E127" s="112">
        <f>VLOOKUP($E$3,'Housing Generation'!$A$3:$CK$90,60,FALSE)</f>
        <v>0</v>
      </c>
      <c r="F127" s="112">
        <f>VLOOKUP($E$3,'Housing Generation'!$A$3:$CK$90,61,FALSE)</f>
        <v>0</v>
      </c>
      <c r="G127" s="112">
        <f>VLOOKUP($E$3,'Housing Generation'!$A$3:$CK$90,62,FALSE)</f>
        <v>0</v>
      </c>
      <c r="H127" s="112">
        <f>VLOOKUP($E$3,'Housing Generation'!$A$3:$CK$90,63,FALSE)</f>
        <v>0</v>
      </c>
      <c r="I127" s="112">
        <f>VLOOKUP($E$3,'Housing Generation'!$A$3:$CK$90,64,FALSE)</f>
        <v>0</v>
      </c>
      <c r="J127" s="111">
        <f t="shared" si="21"/>
        <v>0</v>
      </c>
    </row>
    <row r="128" spans="2:10" ht="15" customHeight="1">
      <c r="B128" s="114">
        <v>2026</v>
      </c>
      <c r="C128" s="240" t="s">
        <v>97</v>
      </c>
      <c r="D128" s="112">
        <f>VLOOKUP($E$3,'Housing Generation'!$A$3:$CK$90,67,FALSE)</f>
        <v>0</v>
      </c>
      <c r="E128" s="112">
        <f>VLOOKUP($E$3,'Housing Generation'!$A$3:$CK$90,68,FALSE)</f>
        <v>0</v>
      </c>
      <c r="F128" s="112">
        <f>VLOOKUP($E$3,'Housing Generation'!$A$3:$CK$90,69,FALSE)</f>
        <v>0</v>
      </c>
      <c r="G128" s="112">
        <f>VLOOKUP($E$3,'Housing Generation'!$A$3:$CK$90,70,FALSE)</f>
        <v>0</v>
      </c>
      <c r="H128" s="112">
        <f>VLOOKUP($E$3,'Housing Generation'!$A$3:$CK$90,71,FALSE)</f>
        <v>0</v>
      </c>
      <c r="I128" s="112">
        <f>VLOOKUP($E$3,'Housing Generation'!$A$3:$CK$90,72,FALSE)</f>
        <v>0</v>
      </c>
      <c r="J128" s="111">
        <f t="shared" si="21"/>
        <v>0</v>
      </c>
    </row>
    <row r="129" spans="2:10" ht="15" customHeight="1">
      <c r="B129" s="114">
        <v>2027</v>
      </c>
      <c r="C129" s="240" t="s">
        <v>97</v>
      </c>
      <c r="D129" s="112">
        <f>VLOOKUP($E$3,'Housing Generation'!$A$3:$CK$90,75,FALSE)</f>
        <v>0</v>
      </c>
      <c r="E129" s="112">
        <f>VLOOKUP($E$3,'Housing Generation'!$A$3:$CK$90,76,FALSE)</f>
        <v>0</v>
      </c>
      <c r="F129" s="112">
        <f>VLOOKUP($E$3,'Housing Generation'!$A$3:$CK$90,77,FALSE)</f>
        <v>0</v>
      </c>
      <c r="G129" s="112">
        <f>VLOOKUP($E$3,'Housing Generation'!$A$3:$CK$90,78,FALSE)</f>
        <v>0</v>
      </c>
      <c r="H129" s="112">
        <f>VLOOKUP($E$3,'Housing Generation'!$A$3:$CK$90,79,FALSE)</f>
        <v>0</v>
      </c>
      <c r="I129" s="112">
        <f>VLOOKUP($E$3,'Housing Generation'!$A$3:$CK$90,80,FALSE)</f>
        <v>0</v>
      </c>
      <c r="J129" s="111">
        <f t="shared" si="21"/>
        <v>0</v>
      </c>
    </row>
    <row r="130" spans="2:10" ht="15" customHeight="1">
      <c r="B130" s="114">
        <v>2028</v>
      </c>
      <c r="C130" s="289" t="s">
        <v>97</v>
      </c>
      <c r="D130" s="112">
        <f>VLOOKUP($E$3,'Housing Generation'!$A$3:$CK$90,83,FALSE)</f>
        <v>0</v>
      </c>
      <c r="E130" s="112">
        <f>VLOOKUP($E$3,'Housing Generation'!$A$3:$CK$90,84,FALSE)</f>
        <v>0</v>
      </c>
      <c r="F130" s="112">
        <f>VLOOKUP($E$3,'Housing Generation'!$A$3:$CK$90,85,FALSE)</f>
        <v>0</v>
      </c>
      <c r="G130" s="112">
        <f>VLOOKUP($E$3,'Housing Generation'!$A$3:$CK$90,86,FALSE)</f>
        <v>0</v>
      </c>
      <c r="H130" s="112">
        <f>VLOOKUP($E$3,'Housing Generation'!$A$3:$CK$90,87,FALSE)</f>
        <v>0</v>
      </c>
      <c r="I130" s="112">
        <f>VLOOKUP($E$3,'Housing Generation'!$A$3:$CK$90,88,FALSE)</f>
        <v>0</v>
      </c>
      <c r="J130" s="111">
        <f t="shared" si="21"/>
        <v>0</v>
      </c>
    </row>
    <row r="131" spans="2:10" ht="15" customHeight="1">
      <c r="B131" s="114">
        <v>2029</v>
      </c>
      <c r="C131" s="289" t="s">
        <v>97</v>
      </c>
      <c r="D131" s="112">
        <f>VLOOKUP($E$3,'Housing Generation'!$A$3:$DQ$90,91,FALSE)</f>
        <v>0</v>
      </c>
      <c r="E131" s="112">
        <f>VLOOKUP($E$3,'Housing Generation'!$A$3:$DQ$90,92,FALSE)</f>
        <v>0</v>
      </c>
      <c r="F131" s="112">
        <f>VLOOKUP($E$3,'Housing Generation'!$A$3:$DQ$90,93,FALSE)</f>
        <v>0</v>
      </c>
      <c r="G131" s="112">
        <f>VLOOKUP($E$3,'Housing Generation'!$A$3:$DQ$90,94,FALSE)</f>
        <v>0</v>
      </c>
      <c r="H131" s="112">
        <f>VLOOKUP($E$3,'Housing Generation'!$A$3:$DQ$90,95,FALSE)</f>
        <v>0</v>
      </c>
      <c r="I131" s="112">
        <f>VLOOKUP($E$3,'Housing Generation'!$A$3:$DQ$90,96,FALSE)</f>
        <v>0</v>
      </c>
      <c r="J131" s="111">
        <f t="shared" si="21"/>
        <v>0</v>
      </c>
    </row>
    <row r="132" spans="2:10" ht="15" customHeight="1">
      <c r="B132" s="114">
        <v>2030</v>
      </c>
      <c r="C132" s="289" t="s">
        <v>97</v>
      </c>
      <c r="D132" s="112">
        <f>VLOOKUP($E$3,'Housing Generation'!$A$3:$DQ$90,99,FALSE)</f>
        <v>0</v>
      </c>
      <c r="E132" s="112">
        <f>VLOOKUP($E$3,'Housing Generation'!$A$3:$DQ$90,100,FALSE)</f>
        <v>0</v>
      </c>
      <c r="F132" s="112">
        <f>VLOOKUP($E$3,'Housing Generation'!$A$3:$DQ$90,101,FALSE)</f>
        <v>0</v>
      </c>
      <c r="G132" s="112">
        <f>VLOOKUP($E$3,'Housing Generation'!$A$3:$DQ$90,102,FALSE)</f>
        <v>0</v>
      </c>
      <c r="H132" s="112">
        <f>VLOOKUP($E$3,'Housing Generation'!$A$3:$DQ$90,103,FALSE)</f>
        <v>0</v>
      </c>
      <c r="I132" s="112">
        <f>VLOOKUP($E$3,'Housing Generation'!$A$3:$DQ$90,104,FALSE)</f>
        <v>0</v>
      </c>
      <c r="J132" s="111">
        <f t="shared" si="21"/>
        <v>0</v>
      </c>
    </row>
    <row r="133" spans="2:10" ht="15" customHeight="1">
      <c r="B133" s="114">
        <v>2031</v>
      </c>
      <c r="C133" s="289" t="s">
        <v>97</v>
      </c>
      <c r="D133" s="112">
        <f>VLOOKUP($E$3,'Housing Generation'!$A$3:$DQ$90,107,FALSE)</f>
        <v>0</v>
      </c>
      <c r="E133" s="112">
        <f>VLOOKUP($E$3,'Housing Generation'!$A$3:$DQ$90,108,FALSE)</f>
        <v>0</v>
      </c>
      <c r="F133" s="112">
        <f>VLOOKUP($E$3,'Housing Generation'!$A$3:$DQ$90,109,FALSE)</f>
        <v>0</v>
      </c>
      <c r="G133" s="112">
        <f>VLOOKUP($E$3,'Housing Generation'!$A$3:$DQ$90,110,FALSE)</f>
        <v>0</v>
      </c>
      <c r="H133" s="112">
        <f>VLOOKUP($E$3,'Housing Generation'!$A$3:$DQ$90,111,FALSE)</f>
        <v>0</v>
      </c>
      <c r="I133" s="112">
        <f>VLOOKUP($E$3,'Housing Generation'!$A$3:$DQ$90,112,FALSE)</f>
        <v>0</v>
      </c>
      <c r="J133" s="111">
        <f t="shared" si="21"/>
        <v>0</v>
      </c>
    </row>
    <row r="134" spans="2:10" ht="15" customHeight="1">
      <c r="B134" s="114">
        <v>2032</v>
      </c>
      <c r="C134" s="289" t="s">
        <v>97</v>
      </c>
      <c r="D134" s="112">
        <f>VLOOKUP($E$3,'Housing Generation'!$A$3:$DQ$90,115,FALSE)</f>
        <v>0</v>
      </c>
      <c r="E134" s="112">
        <f>VLOOKUP($E$3,'Housing Generation'!$A$3:$DQ$90,116,FALSE)</f>
        <v>0</v>
      </c>
      <c r="F134" s="112">
        <f>VLOOKUP($E$3,'Housing Generation'!$A$3:$DQ$90,117,FALSE)</f>
        <v>0</v>
      </c>
      <c r="G134" s="112">
        <f>VLOOKUP($E$3,'Housing Generation'!$A$3:$DQ$90,118,FALSE)</f>
        <v>0</v>
      </c>
      <c r="H134" s="112">
        <f>VLOOKUP($E$3,'Housing Generation'!$A$3:$DQ$90,119,FALSE)</f>
        <v>0</v>
      </c>
      <c r="I134" s="112">
        <f>VLOOKUP($E$3,'Housing Generation'!$A$3:$DQ$90,120,FALSE)</f>
        <v>0</v>
      </c>
      <c r="J134" s="111">
        <f t="shared" si="21"/>
        <v>0</v>
      </c>
    </row>
    <row r="135" spans="2:10" ht="15"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Carrick Knowe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50</v>
      </c>
      <c r="D139" s="112">
        <f t="shared" ref="D139:I152" si="23">D121+D103</f>
        <v>45</v>
      </c>
      <c r="E139" s="112">
        <f t="shared" si="23"/>
        <v>58</v>
      </c>
      <c r="F139" s="112">
        <f t="shared" si="23"/>
        <v>36</v>
      </c>
      <c r="G139" s="112">
        <f t="shared" si="23"/>
        <v>50</v>
      </c>
      <c r="H139" s="112">
        <f t="shared" si="23"/>
        <v>65</v>
      </c>
      <c r="I139" s="112">
        <f t="shared" si="23"/>
        <v>46</v>
      </c>
      <c r="J139" s="111">
        <f t="shared" ref="J139:J147" si="24">SUM(C139:I139)</f>
        <v>350</v>
      </c>
    </row>
    <row r="140" spans="2:10" ht="15" customHeight="1">
      <c r="B140" s="114">
        <v>2020</v>
      </c>
      <c r="C140" s="113">
        <f t="shared" si="22"/>
        <v>45.231888111888111</v>
      </c>
      <c r="D140" s="112">
        <f t="shared" si="23"/>
        <v>47</v>
      </c>
      <c r="E140" s="112">
        <f t="shared" si="23"/>
        <v>43</v>
      </c>
      <c r="F140" s="112">
        <f t="shared" si="23"/>
        <v>56</v>
      </c>
      <c r="G140" s="112">
        <f t="shared" si="23"/>
        <v>35</v>
      </c>
      <c r="H140" s="112">
        <f t="shared" si="23"/>
        <v>47</v>
      </c>
      <c r="I140" s="112">
        <f t="shared" si="23"/>
        <v>64</v>
      </c>
      <c r="J140" s="111">
        <f t="shared" si="24"/>
        <v>337.23188811188811</v>
      </c>
    </row>
    <row r="141" spans="2:10" ht="15" customHeight="1">
      <c r="B141" s="114">
        <v>2021</v>
      </c>
      <c r="C141" s="113">
        <f t="shared" si="22"/>
        <v>45.231888111888111</v>
      </c>
      <c r="D141" s="112">
        <f t="shared" si="23"/>
        <v>42</v>
      </c>
      <c r="E141" s="112">
        <f t="shared" si="23"/>
        <v>45</v>
      </c>
      <c r="F141" s="112">
        <f t="shared" si="23"/>
        <v>41</v>
      </c>
      <c r="G141" s="112">
        <f t="shared" si="23"/>
        <v>55</v>
      </c>
      <c r="H141" s="112">
        <f t="shared" si="23"/>
        <v>33</v>
      </c>
      <c r="I141" s="112">
        <f t="shared" si="23"/>
        <v>46</v>
      </c>
      <c r="J141" s="111">
        <f t="shared" si="24"/>
        <v>307.23188811188811</v>
      </c>
    </row>
    <row r="142" spans="2:10" ht="15" customHeight="1">
      <c r="B142" s="114">
        <v>2022</v>
      </c>
      <c r="C142" s="113">
        <f t="shared" si="22"/>
        <v>49.885874125874125</v>
      </c>
      <c r="D142" s="112">
        <f t="shared" si="23"/>
        <v>42</v>
      </c>
      <c r="E142" s="112">
        <f t="shared" si="23"/>
        <v>40</v>
      </c>
      <c r="F142" s="112">
        <f t="shared" si="23"/>
        <v>43</v>
      </c>
      <c r="G142" s="112">
        <f t="shared" si="23"/>
        <v>40</v>
      </c>
      <c r="H142" s="112">
        <f t="shared" si="23"/>
        <v>52</v>
      </c>
      <c r="I142" s="112">
        <f t="shared" si="23"/>
        <v>32</v>
      </c>
      <c r="J142" s="111">
        <f t="shared" si="24"/>
        <v>298.88587412587412</v>
      </c>
    </row>
    <row r="143" spans="2:10" ht="15" customHeight="1">
      <c r="B143" s="114">
        <v>2023</v>
      </c>
      <c r="C143" s="113">
        <f t="shared" si="22"/>
        <v>46.783216783216787</v>
      </c>
      <c r="D143" s="112">
        <f t="shared" si="23"/>
        <v>47</v>
      </c>
      <c r="E143" s="112">
        <f t="shared" si="23"/>
        <v>40</v>
      </c>
      <c r="F143" s="112">
        <f t="shared" si="23"/>
        <v>38</v>
      </c>
      <c r="G143" s="112">
        <f t="shared" si="23"/>
        <v>42</v>
      </c>
      <c r="H143" s="112">
        <f t="shared" si="23"/>
        <v>38</v>
      </c>
      <c r="I143" s="112">
        <f t="shared" si="23"/>
        <v>51</v>
      </c>
      <c r="J143" s="111">
        <f t="shared" si="24"/>
        <v>302.7832167832168</v>
      </c>
    </row>
    <row r="144" spans="2:10" ht="15" customHeight="1">
      <c r="B144" s="114">
        <v>2024</v>
      </c>
      <c r="C144" s="113">
        <f t="shared" si="22"/>
        <v>47.558881118881118</v>
      </c>
      <c r="D144" s="112">
        <f t="shared" si="23"/>
        <v>44</v>
      </c>
      <c r="E144" s="112">
        <f t="shared" si="23"/>
        <v>45</v>
      </c>
      <c r="F144" s="112">
        <f t="shared" si="23"/>
        <v>38</v>
      </c>
      <c r="G144" s="112">
        <f t="shared" si="23"/>
        <v>37</v>
      </c>
      <c r="H144" s="112">
        <f t="shared" si="23"/>
        <v>40</v>
      </c>
      <c r="I144" s="112">
        <f t="shared" si="23"/>
        <v>37</v>
      </c>
      <c r="J144" s="111">
        <f t="shared" si="24"/>
        <v>288.55888111888112</v>
      </c>
    </row>
    <row r="145" spans="2:16" ht="15" customHeight="1">
      <c r="B145" s="114">
        <v>2025</v>
      </c>
      <c r="C145" s="113">
        <f t="shared" si="22"/>
        <v>48.334545454545456</v>
      </c>
      <c r="D145" s="112">
        <f t="shared" si="23"/>
        <v>45</v>
      </c>
      <c r="E145" s="112">
        <f t="shared" si="23"/>
        <v>42</v>
      </c>
      <c r="F145" s="112">
        <f t="shared" si="23"/>
        <v>43</v>
      </c>
      <c r="G145" s="112">
        <f t="shared" si="23"/>
        <v>37</v>
      </c>
      <c r="H145" s="112">
        <f t="shared" si="23"/>
        <v>35</v>
      </c>
      <c r="I145" s="112">
        <f t="shared" si="23"/>
        <v>39</v>
      </c>
      <c r="J145" s="111">
        <f t="shared" si="24"/>
        <v>289.33454545454549</v>
      </c>
    </row>
    <row r="146" spans="2:16" ht="15" customHeight="1">
      <c r="B146" s="114">
        <v>2026</v>
      </c>
      <c r="C146" s="113">
        <f t="shared" si="22"/>
        <v>48.334545454545456</v>
      </c>
      <c r="D146" s="112">
        <f t="shared" si="23"/>
        <v>45</v>
      </c>
      <c r="E146" s="112">
        <f t="shared" si="23"/>
        <v>43</v>
      </c>
      <c r="F146" s="112">
        <f t="shared" si="23"/>
        <v>40</v>
      </c>
      <c r="G146" s="112">
        <f t="shared" si="23"/>
        <v>42</v>
      </c>
      <c r="H146" s="112">
        <f t="shared" si="23"/>
        <v>35</v>
      </c>
      <c r="I146" s="112">
        <f t="shared" si="23"/>
        <v>34</v>
      </c>
      <c r="J146" s="111">
        <f t="shared" si="24"/>
        <v>287.33454545454549</v>
      </c>
    </row>
    <row r="147" spans="2:16" ht="15" customHeight="1">
      <c r="B147" s="114">
        <v>2027</v>
      </c>
      <c r="C147" s="113">
        <f t="shared" si="22"/>
        <v>48.334545454545456</v>
      </c>
      <c r="D147" s="112">
        <f t="shared" si="23"/>
        <v>45</v>
      </c>
      <c r="E147" s="112">
        <f t="shared" si="23"/>
        <v>43</v>
      </c>
      <c r="F147" s="112">
        <f t="shared" si="23"/>
        <v>41</v>
      </c>
      <c r="G147" s="112">
        <f t="shared" si="23"/>
        <v>39</v>
      </c>
      <c r="H147" s="112">
        <f t="shared" si="23"/>
        <v>40</v>
      </c>
      <c r="I147" s="112">
        <f t="shared" si="23"/>
        <v>34</v>
      </c>
      <c r="J147" s="111">
        <f t="shared" si="24"/>
        <v>290.33454545454549</v>
      </c>
    </row>
    <row r="148" spans="2:16" ht="15" customHeight="1">
      <c r="B148" s="114">
        <v>2028</v>
      </c>
      <c r="C148" s="113">
        <f t="shared" si="22"/>
        <v>49.110209790209794</v>
      </c>
      <c r="D148" s="112">
        <f t="shared" si="23"/>
        <v>45</v>
      </c>
      <c r="E148" s="112">
        <f t="shared" si="23"/>
        <v>43</v>
      </c>
      <c r="F148" s="112">
        <f t="shared" si="23"/>
        <v>41</v>
      </c>
      <c r="G148" s="112">
        <f t="shared" si="23"/>
        <v>40</v>
      </c>
      <c r="H148" s="112">
        <f t="shared" si="23"/>
        <v>37</v>
      </c>
      <c r="I148" s="112">
        <f t="shared" si="23"/>
        <v>39</v>
      </c>
      <c r="J148" s="111">
        <f t="shared" ref="J148:J152" si="25">SUM(C148:I148)</f>
        <v>294.11020979020981</v>
      </c>
    </row>
    <row r="149" spans="2:16" ht="15" customHeight="1">
      <c r="B149" s="114">
        <v>2029</v>
      </c>
      <c r="C149" s="113">
        <f t="shared" si="22"/>
        <v>49.110209790209794</v>
      </c>
      <c r="D149" s="112">
        <f t="shared" si="23"/>
        <v>46</v>
      </c>
      <c r="E149" s="112">
        <f t="shared" si="23"/>
        <v>43</v>
      </c>
      <c r="F149" s="112">
        <f t="shared" si="23"/>
        <v>41</v>
      </c>
      <c r="G149" s="112">
        <f t="shared" si="23"/>
        <v>40</v>
      </c>
      <c r="H149" s="112">
        <f t="shared" si="23"/>
        <v>38</v>
      </c>
      <c r="I149" s="112">
        <f t="shared" si="23"/>
        <v>36</v>
      </c>
      <c r="J149" s="111">
        <f t="shared" si="25"/>
        <v>293.11020979020981</v>
      </c>
    </row>
    <row r="150" spans="2:16" ht="15" customHeight="1">
      <c r="B150" s="114">
        <v>2030</v>
      </c>
      <c r="C150" s="113">
        <f t="shared" si="22"/>
        <v>49.110209790209794</v>
      </c>
      <c r="D150" s="112">
        <f t="shared" si="23"/>
        <v>46</v>
      </c>
      <c r="E150" s="112">
        <f t="shared" si="23"/>
        <v>44</v>
      </c>
      <c r="F150" s="112">
        <f t="shared" si="23"/>
        <v>41</v>
      </c>
      <c r="G150" s="112">
        <f t="shared" si="23"/>
        <v>40</v>
      </c>
      <c r="H150" s="112">
        <f t="shared" si="23"/>
        <v>38</v>
      </c>
      <c r="I150" s="112">
        <f t="shared" si="23"/>
        <v>37</v>
      </c>
      <c r="J150" s="111">
        <f t="shared" si="25"/>
        <v>295.11020979020981</v>
      </c>
    </row>
    <row r="151" spans="2:16" ht="15" customHeight="1">
      <c r="B151" s="114">
        <v>2031</v>
      </c>
      <c r="C151" s="113">
        <f t="shared" si="22"/>
        <v>49.110209790209794</v>
      </c>
      <c r="D151" s="112">
        <f t="shared" si="23"/>
        <v>46</v>
      </c>
      <c r="E151" s="112">
        <f t="shared" si="23"/>
        <v>44</v>
      </c>
      <c r="F151" s="112">
        <f t="shared" si="23"/>
        <v>42</v>
      </c>
      <c r="G151" s="112">
        <f t="shared" si="23"/>
        <v>40</v>
      </c>
      <c r="H151" s="112">
        <f t="shared" si="23"/>
        <v>38</v>
      </c>
      <c r="I151" s="112">
        <f t="shared" si="23"/>
        <v>37</v>
      </c>
      <c r="J151" s="111">
        <f t="shared" si="25"/>
        <v>296.11020979020981</v>
      </c>
    </row>
    <row r="152" spans="2:16" ht="15" customHeight="1">
      <c r="B152" s="114">
        <v>2032</v>
      </c>
      <c r="C152" s="113">
        <f t="shared" si="22"/>
        <v>49.110209790209794</v>
      </c>
      <c r="D152" s="112">
        <f t="shared" si="23"/>
        <v>46</v>
      </c>
      <c r="E152" s="112">
        <f t="shared" si="23"/>
        <v>44</v>
      </c>
      <c r="F152" s="112">
        <f t="shared" si="23"/>
        <v>42</v>
      </c>
      <c r="G152" s="112">
        <f t="shared" si="23"/>
        <v>41</v>
      </c>
      <c r="H152" s="112">
        <f t="shared" si="23"/>
        <v>38</v>
      </c>
      <c r="I152" s="112">
        <f t="shared" si="23"/>
        <v>37</v>
      </c>
      <c r="J152" s="111">
        <f t="shared" si="25"/>
        <v>297.11020979020981</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350</v>
      </c>
      <c r="D159" s="108">
        <f>J140</f>
        <v>337.23188811188811</v>
      </c>
      <c r="E159" s="108">
        <f>J141</f>
        <v>307.23188811188811</v>
      </c>
      <c r="F159" s="108">
        <f>J142</f>
        <v>298.88587412587412</v>
      </c>
      <c r="G159" s="108">
        <f>J143</f>
        <v>302.7832167832168</v>
      </c>
      <c r="H159" s="108">
        <f>J144</f>
        <v>288.55888111888112</v>
      </c>
      <c r="I159" s="108">
        <f>J145</f>
        <v>289.33454545454549</v>
      </c>
      <c r="J159" s="108">
        <f>J146</f>
        <v>287.33454545454549</v>
      </c>
      <c r="K159" s="108">
        <f>J147</f>
        <v>290.33454545454549</v>
      </c>
      <c r="L159" s="108">
        <f>J148</f>
        <v>294.11020979020981</v>
      </c>
      <c r="M159" s="108">
        <f>J149</f>
        <v>293.11020979020981</v>
      </c>
      <c r="N159" s="108">
        <f>J150</f>
        <v>295.11020979020981</v>
      </c>
      <c r="O159" s="108">
        <f>J151</f>
        <v>296.11020979020981</v>
      </c>
      <c r="P159" s="108">
        <f>J152</f>
        <v>297.11020979020981</v>
      </c>
    </row>
    <row r="160" spans="2:16" ht="15" customHeight="1">
      <c r="B160" s="107" t="s">
        <v>152</v>
      </c>
      <c r="C160" s="106">
        <f>VLOOKUP(C159,Capacity!$A$1:$C$645,2,TRUE)</f>
        <v>14</v>
      </c>
      <c r="D160" s="106">
        <f>VLOOKUP(D159,Capacity!$A$1:$C$645,2,TRUE)</f>
        <v>14</v>
      </c>
      <c r="E160" s="106">
        <f>VLOOKUP(E159,Capacity!$A$1:$C$645,2,TRUE)</f>
        <v>12</v>
      </c>
      <c r="F160" s="106">
        <f>VLOOKUP(F159,Capacity!$A$1:$C$645,2,TRUE)</f>
        <v>12</v>
      </c>
      <c r="G160" s="106">
        <f>VLOOKUP(G159,Capacity!$A$1:$C$645,2,TRUE)</f>
        <v>12</v>
      </c>
      <c r="H160" s="106">
        <f>VLOOKUP(H159,Capacity!$A$1:$C$645,2,TRUE)</f>
        <v>11</v>
      </c>
      <c r="I160" s="106">
        <f>VLOOKUP(I159,Capacity!$A$1:$C$645,2,TRUE)</f>
        <v>11</v>
      </c>
      <c r="J160" s="106">
        <f>VLOOKUP(J159,Capacity!$A$1:$C$645,2,TRUE)</f>
        <v>11</v>
      </c>
      <c r="K160" s="106">
        <f>VLOOKUP(K159,Capacity!$A$1:$C$645,2,TRUE)</f>
        <v>11</v>
      </c>
      <c r="L160" s="106">
        <f>VLOOKUP(L159,Capacity!$A$1:$C$645,2,TRUE)</f>
        <v>11</v>
      </c>
      <c r="M160" s="106">
        <f>VLOOKUP(M159,Capacity!$A$1:$C$645,2,TRUE)</f>
        <v>11</v>
      </c>
      <c r="N160" s="106">
        <f>VLOOKUP(N159,Capacity!$A$1:$C$645,2,TRUE)</f>
        <v>12</v>
      </c>
      <c r="O160" s="106">
        <f>VLOOKUP(O159,Capacity!$A$1:$C$645,2,TRUE)</f>
        <v>12</v>
      </c>
      <c r="P160" s="106">
        <f>VLOOKUP(P159,Capacity!$A$1:$C$645,2,TRUE)</f>
        <v>12</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60</v>
      </c>
      <c r="D169" s="97">
        <f>VLOOKUP($E$3,'Catchment Births'!$A$1:$U$90,11,FALSE)</f>
        <v>64</v>
      </c>
      <c r="E169" s="97">
        <f>VLOOKUP($E$3,'Catchment Births'!$A$1:$U$90,12,FALSE)</f>
        <v>70</v>
      </c>
      <c r="F169" s="97">
        <f>VLOOKUP($E$3,'Catchment Births'!$A$1:$U$90,13,FALSE)</f>
        <v>77</v>
      </c>
      <c r="G169" s="97">
        <f>VLOOKUP($E$3,'Catchment Births'!$A$1:$U$90,14,FALSE)</f>
        <v>84</v>
      </c>
      <c r="H169" s="97">
        <f>VLOOKUP($E$3,'Catchment Births'!$A$1:$U$90,15,FALSE)</f>
        <v>85</v>
      </c>
      <c r="I169" s="97">
        <f>VLOOKUP($E$3,'Catchment Births'!$A$1:$U$90,16,FALSE)</f>
        <v>97</v>
      </c>
      <c r="J169" s="97">
        <f>VLOOKUP($E$3,'Catchment Births'!$A$1:$U$90,17,FALSE)</f>
        <v>68</v>
      </c>
      <c r="K169" s="97">
        <f>VLOOKUP($E$3,'Catchment Births'!$A$1:$U$90,18,FALSE)</f>
        <v>74</v>
      </c>
      <c r="L169" s="97">
        <f>VLOOKUP($E$3,'Catchment Births'!$A$1:$U$90,19,FALSE)</f>
        <v>80</v>
      </c>
      <c r="M169" s="97">
        <f>VLOOKUP($E$3,'Catchment Births'!$A$1:$U$90,20,FALSE)</f>
        <v>82</v>
      </c>
      <c r="N169" s="97">
        <f>VLOOKUP($E$3,'Catchment Births'!$A$1:$U$90,21,FALSE)</f>
        <v>65</v>
      </c>
    </row>
    <row r="170" spans="2:14" ht="58.5" customHeight="1">
      <c r="B170" s="103" t="str">
        <f>"P1 "&amp;A35&amp;" Catchment Population (Actual)"</f>
        <v>P1 ND Catchment Population (Actual)</v>
      </c>
      <c r="C170" s="102" t="e">
        <v>#REF!</v>
      </c>
      <c r="D170" s="102">
        <v>64</v>
      </c>
      <c r="E170" s="102">
        <v>58</v>
      </c>
      <c r="F170" s="102">
        <v>56</v>
      </c>
      <c r="G170" s="102">
        <v>70</v>
      </c>
      <c r="H170" s="102">
        <v>72</v>
      </c>
      <c r="I170" s="102">
        <v>61</v>
      </c>
      <c r="J170" s="308">
        <f>VLOOKUP(E3,'Catchment Projections'!A1:BU92,42,FALSE)</f>
        <v>39</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61</v>
      </c>
      <c r="J172" s="96" t="e">
        <f>#REF!</f>
        <v>#REF!</v>
      </c>
      <c r="K172" s="96">
        <f>D51</f>
        <v>61</v>
      </c>
      <c r="L172" s="96">
        <f>E51</f>
        <v>48</v>
      </c>
      <c r="M172" s="96">
        <f>F51</f>
        <v>48</v>
      </c>
      <c r="N172" s="96">
        <f>G51</f>
        <v>54</v>
      </c>
    </row>
    <row r="173" spans="2:14" ht="12.75">
      <c r="B173" s="62"/>
      <c r="C173" s="62"/>
      <c r="D173" s="62"/>
      <c r="E173" s="62"/>
      <c r="F173" s="62"/>
      <c r="G173" s="62"/>
      <c r="H173" s="62"/>
      <c r="I173" s="62"/>
      <c r="J173" s="62"/>
      <c r="K173" s="62"/>
    </row>
    <row r="174" spans="2:14" ht="15" customHeight="1">
      <c r="B174" s="64" t="str">
        <f>"Table 5: "&amp;E3&amp;" Roll by Stage, 2002-2018"</f>
        <v>Table 5: Carrick Knowe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59</v>
      </c>
      <c r="D177" s="93">
        <v>66</v>
      </c>
      <c r="E177" s="93">
        <v>63</v>
      </c>
      <c r="F177" s="93">
        <v>81</v>
      </c>
      <c r="G177" s="93">
        <v>66</v>
      </c>
      <c r="H177" s="93">
        <v>69</v>
      </c>
      <c r="I177" s="93">
        <v>64</v>
      </c>
      <c r="J177" s="92">
        <v>468</v>
      </c>
      <c r="K177" s="62"/>
    </row>
    <row r="178" spans="2:11" ht="15" customHeight="1">
      <c r="B178" s="94">
        <v>2003</v>
      </c>
      <c r="C178" s="93">
        <v>70</v>
      </c>
      <c r="D178" s="93">
        <v>58</v>
      </c>
      <c r="E178" s="93">
        <v>66</v>
      </c>
      <c r="F178" s="93">
        <v>64</v>
      </c>
      <c r="G178" s="93">
        <v>78</v>
      </c>
      <c r="H178" s="93">
        <v>63</v>
      </c>
      <c r="I178" s="93">
        <v>68</v>
      </c>
      <c r="J178" s="92">
        <v>467</v>
      </c>
      <c r="K178" s="62"/>
    </row>
    <row r="179" spans="2:11" customFormat="1" ht="15" customHeight="1">
      <c r="B179" s="94">
        <v>2004</v>
      </c>
      <c r="C179" s="95">
        <v>56</v>
      </c>
      <c r="D179" s="95">
        <v>65</v>
      </c>
      <c r="E179" s="95">
        <v>58</v>
      </c>
      <c r="F179" s="95">
        <v>61</v>
      </c>
      <c r="G179" s="95">
        <v>62</v>
      </c>
      <c r="H179" s="95">
        <v>73</v>
      </c>
      <c r="I179" s="95">
        <v>64</v>
      </c>
      <c r="J179" s="92">
        <v>439</v>
      </c>
      <c r="K179" s="62"/>
    </row>
    <row r="180" spans="2:11" customFormat="1" ht="15" customHeight="1">
      <c r="B180" s="94">
        <v>2005</v>
      </c>
      <c r="C180" s="93">
        <v>51</v>
      </c>
      <c r="D180" s="93">
        <v>47</v>
      </c>
      <c r="E180" s="93">
        <v>70</v>
      </c>
      <c r="F180" s="93">
        <v>53</v>
      </c>
      <c r="G180" s="93">
        <v>66</v>
      </c>
      <c r="H180" s="93">
        <v>62</v>
      </c>
      <c r="I180" s="93">
        <v>74</v>
      </c>
      <c r="J180" s="92">
        <v>423</v>
      </c>
      <c r="K180" s="62"/>
    </row>
    <row r="181" spans="2:11" customFormat="1" ht="15" customHeight="1">
      <c r="B181" s="94">
        <v>2006</v>
      </c>
      <c r="C181" s="93">
        <v>53</v>
      </c>
      <c r="D181" s="93">
        <v>51</v>
      </c>
      <c r="E181" s="93">
        <v>53</v>
      </c>
      <c r="F181" s="93">
        <v>65</v>
      </c>
      <c r="G181" s="93">
        <v>50</v>
      </c>
      <c r="H181" s="93">
        <v>60</v>
      </c>
      <c r="I181" s="93">
        <v>64</v>
      </c>
      <c r="J181" s="92">
        <v>396</v>
      </c>
      <c r="K181" s="62"/>
    </row>
    <row r="182" spans="2:11" customFormat="1" ht="15" customHeight="1">
      <c r="B182" s="94">
        <v>2007</v>
      </c>
      <c r="C182" s="93">
        <v>58</v>
      </c>
      <c r="D182" s="93">
        <v>59</v>
      </c>
      <c r="E182" s="93">
        <v>52</v>
      </c>
      <c r="F182" s="93">
        <v>57</v>
      </c>
      <c r="G182" s="93">
        <v>63</v>
      </c>
      <c r="H182" s="93">
        <v>50</v>
      </c>
      <c r="I182" s="93">
        <v>57</v>
      </c>
      <c r="J182" s="92">
        <v>396</v>
      </c>
      <c r="K182" s="62"/>
    </row>
    <row r="183" spans="2:11" customFormat="1" ht="15" customHeight="1">
      <c r="B183" s="94">
        <v>2008</v>
      </c>
      <c r="C183" s="93">
        <v>64</v>
      </c>
      <c r="D183" s="93">
        <v>60</v>
      </c>
      <c r="E183" s="93">
        <v>53</v>
      </c>
      <c r="F183" s="93">
        <v>56</v>
      </c>
      <c r="G183" s="93">
        <v>55</v>
      </c>
      <c r="H183" s="93">
        <v>66</v>
      </c>
      <c r="I183" s="93">
        <v>54</v>
      </c>
      <c r="J183" s="92">
        <v>408</v>
      </c>
      <c r="K183" s="62"/>
    </row>
    <row r="184" spans="2:11" customFormat="1" ht="15" customHeight="1">
      <c r="B184" s="94">
        <v>2009</v>
      </c>
      <c r="C184" s="93">
        <v>61</v>
      </c>
      <c r="D184" s="93">
        <v>65</v>
      </c>
      <c r="E184" s="93">
        <v>59</v>
      </c>
      <c r="F184" s="93">
        <v>48</v>
      </c>
      <c r="G184" s="93">
        <v>55</v>
      </c>
      <c r="H184" s="93">
        <v>51</v>
      </c>
      <c r="I184" s="93">
        <v>61</v>
      </c>
      <c r="J184" s="94">
        <v>400</v>
      </c>
      <c r="K184" s="62"/>
    </row>
    <row r="185" spans="2:11" customFormat="1" ht="15" customHeight="1">
      <c r="B185" s="94">
        <v>2010</v>
      </c>
      <c r="C185" s="93">
        <v>56</v>
      </c>
      <c r="D185" s="93">
        <v>57</v>
      </c>
      <c r="E185" s="93">
        <v>63</v>
      </c>
      <c r="F185" s="93">
        <v>53</v>
      </c>
      <c r="G185" s="93">
        <v>49</v>
      </c>
      <c r="H185" s="93">
        <v>53</v>
      </c>
      <c r="I185" s="93">
        <v>49</v>
      </c>
      <c r="J185" s="92">
        <v>380</v>
      </c>
      <c r="K185" s="62"/>
    </row>
    <row r="186" spans="2:11" customFormat="1" ht="15" customHeight="1">
      <c r="B186" s="94">
        <v>2011</v>
      </c>
      <c r="C186" s="93">
        <v>58</v>
      </c>
      <c r="D186" s="93">
        <v>55</v>
      </c>
      <c r="E186" s="93">
        <v>54</v>
      </c>
      <c r="F186" s="93">
        <v>60</v>
      </c>
      <c r="G186" s="93">
        <v>50</v>
      </c>
      <c r="H186" s="93">
        <v>48</v>
      </c>
      <c r="I186" s="93">
        <v>49</v>
      </c>
      <c r="J186" s="92">
        <v>374</v>
      </c>
      <c r="K186" s="62"/>
    </row>
    <row r="187" spans="2:11" customFormat="1" ht="15" customHeight="1">
      <c r="B187" s="94">
        <v>2012</v>
      </c>
      <c r="C187" s="93">
        <v>55</v>
      </c>
      <c r="D187" s="93">
        <v>59</v>
      </c>
      <c r="E187" s="93">
        <v>50</v>
      </c>
      <c r="F187" s="93">
        <v>54</v>
      </c>
      <c r="G187" s="93">
        <v>59</v>
      </c>
      <c r="H187" s="93">
        <v>50</v>
      </c>
      <c r="I187" s="93">
        <v>43</v>
      </c>
      <c r="J187" s="92">
        <v>370</v>
      </c>
      <c r="K187" s="62"/>
    </row>
    <row r="188" spans="2:11" customFormat="1" ht="15" customHeight="1">
      <c r="B188" s="94">
        <v>2013</v>
      </c>
      <c r="C188" s="93">
        <v>73</v>
      </c>
      <c r="D188" s="93">
        <v>52</v>
      </c>
      <c r="E188" s="93">
        <v>60</v>
      </c>
      <c r="F188" s="93">
        <v>47</v>
      </c>
      <c r="G188" s="93">
        <v>55</v>
      </c>
      <c r="H188" s="93">
        <v>59</v>
      </c>
      <c r="I188" s="93">
        <v>48</v>
      </c>
      <c r="J188" s="94">
        <v>394</v>
      </c>
      <c r="K188" s="62"/>
    </row>
    <row r="189" spans="2:11" customFormat="1" ht="15" customHeight="1">
      <c r="B189" s="94">
        <v>2014</v>
      </c>
      <c r="C189" s="93">
        <v>79</v>
      </c>
      <c r="D189" s="93">
        <v>67</v>
      </c>
      <c r="E189" s="93">
        <v>50</v>
      </c>
      <c r="F189" s="93">
        <v>56</v>
      </c>
      <c r="G189" s="93">
        <v>46</v>
      </c>
      <c r="H189" s="93">
        <v>52</v>
      </c>
      <c r="I189" s="93">
        <v>56</v>
      </c>
      <c r="J189" s="92">
        <v>406</v>
      </c>
      <c r="K189" s="65"/>
    </row>
    <row r="190" spans="2:11" customFormat="1" ht="15" customHeight="1">
      <c r="B190" s="94">
        <v>2015</v>
      </c>
      <c r="C190" s="93">
        <v>62</v>
      </c>
      <c r="D190" s="93">
        <v>74</v>
      </c>
      <c r="E190" s="93">
        <v>62</v>
      </c>
      <c r="F190" s="93">
        <v>52</v>
      </c>
      <c r="G190" s="93">
        <v>50</v>
      </c>
      <c r="H190" s="93">
        <v>48</v>
      </c>
      <c r="I190" s="93">
        <v>49</v>
      </c>
      <c r="J190" s="92">
        <v>397</v>
      </c>
      <c r="K190" s="65"/>
    </row>
    <row r="191" spans="2:11" customFormat="1" ht="15" customHeight="1">
      <c r="B191" s="94">
        <v>2016</v>
      </c>
      <c r="C191" s="93">
        <v>39</v>
      </c>
      <c r="D191" s="93">
        <v>55</v>
      </c>
      <c r="E191" s="93">
        <v>70</v>
      </c>
      <c r="F191" s="93">
        <v>53</v>
      </c>
      <c r="G191" s="93">
        <v>52</v>
      </c>
      <c r="H191" s="93">
        <v>45</v>
      </c>
      <c r="I191" s="93">
        <v>47</v>
      </c>
      <c r="J191" s="92">
        <v>361</v>
      </c>
      <c r="K191" s="65"/>
    </row>
    <row r="192" spans="2:11" ht="15" customHeight="1">
      <c r="B192" s="94">
        <v>2017</v>
      </c>
      <c r="C192" s="93">
        <f>VLOOKUP($E$3,Rolls!A1:FA90,42,FALSE)</f>
        <v>64</v>
      </c>
      <c r="D192" s="93">
        <f>VLOOKUP($E$3,Rolls!A1:FA90,43,FALSE)</f>
        <v>37</v>
      </c>
      <c r="E192" s="93">
        <f>VLOOKUP($E$3,Rolls!A1:FA90,44,FALSE)</f>
        <v>53</v>
      </c>
      <c r="F192" s="93">
        <f>VLOOKUP($E$3,Rolls!A1:FA90,45,FALSE)</f>
        <v>69</v>
      </c>
      <c r="G192" s="93">
        <f>VLOOKUP($E$3,Rolls!A1:FA90,46,FALSE)</f>
        <v>50</v>
      </c>
      <c r="H192" s="93">
        <f>VLOOKUP($E$3,Rolls!A1:FA90,47,FALSE)</f>
        <v>51</v>
      </c>
      <c r="I192" s="93">
        <f>VLOOKUP($E$3,Rolls!A1:FA90,48,FALSE)</f>
        <v>44</v>
      </c>
      <c r="J192" s="92">
        <f>VLOOKUP($E$3,Rolls!A1:FA90,49,FALSE)</f>
        <v>368</v>
      </c>
      <c r="K192" s="65"/>
    </row>
    <row r="193" spans="2:11" ht="15" customHeight="1">
      <c r="B193" s="94">
        <v>2018</v>
      </c>
      <c r="C193" s="93">
        <f>VLOOKUP($E$3,Rolls!A1:FA90,50,FALSE)</f>
        <v>48</v>
      </c>
      <c r="D193" s="93">
        <f>VLOOKUP($E$3,Rolls!A1:FA90,51,FALSE)</f>
        <v>60</v>
      </c>
      <c r="E193" s="93">
        <f>VLOOKUP($E$3,Rolls!A1:FA90,52,FALSE)</f>
        <v>37</v>
      </c>
      <c r="F193" s="93">
        <f>VLOOKUP($E$3,Rolls!A1:FA90,53,FALSE)</f>
        <v>51</v>
      </c>
      <c r="G193" s="93">
        <f>VLOOKUP($E$3,Rolls!A1:FA90,54,FALSE)</f>
        <v>69</v>
      </c>
      <c r="H193" s="93">
        <f>VLOOKUP($E$3,Rolls!A1:FA90,55,FALSE)</f>
        <v>47</v>
      </c>
      <c r="I193" s="93">
        <f>VLOOKUP($E$3,Rolls!A1:FA90,56,FALSE)</f>
        <v>51</v>
      </c>
      <c r="J193" s="92">
        <f>VLOOKUP($E$3,Rolls!A1:FA90,57,FALSE)</f>
        <v>363</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75</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Castleview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434 Pupils (15 classes)</v>
      </c>
      <c r="G12" s="16"/>
      <c r="H12" s="16"/>
    </row>
    <row r="13" spans="2:10" ht="15" customHeight="1">
      <c r="C13" s="16"/>
      <c r="D13" s="16"/>
      <c r="E13" s="16"/>
      <c r="F13" s="16"/>
      <c r="G13" s="16"/>
      <c r="H13" s="16"/>
    </row>
    <row r="14" spans="2:10" ht="15" customHeight="1">
      <c r="B14" s="15" t="str">
        <f>"Figure 1: "&amp;E3&amp;" Roll, 2002-2015"</f>
        <v>Figure 1: Castleview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Castleview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51</v>
      </c>
      <c r="E49" s="108">
        <f>VLOOKUP($E$3,'Catchment Projections'!$A$1:$BU$90,46,FALSE)</f>
        <v>60</v>
      </c>
      <c r="F49" s="108">
        <f>VLOOKUP($E$3,'Catchment Projections'!$A$1:$BU$90,47,FALSE)</f>
        <v>80</v>
      </c>
      <c r="G49" s="108">
        <f>VLOOKUP($E$3,'Catchment Projections'!$A$1:$BU$90,48,FALSE)</f>
        <v>73</v>
      </c>
      <c r="H49" s="133">
        <f>VLOOKUP($E$3,'Catchment Projections'!$A$1:$BU$90,49,FALSE)</f>
        <v>72</v>
      </c>
      <c r="I49" s="133">
        <f>VLOOKUP($E$3,'Catchment Projections'!$A$1:$BU$90,50,FALSE)</f>
        <v>73</v>
      </c>
      <c r="J49" s="133">
        <f>VLOOKUP($E$3,'Catchment Projections'!$A$1:$BU$90,51,FALSE)</f>
        <v>73</v>
      </c>
      <c r="K49" s="133">
        <f>VLOOKUP($E$3,'Catchment Projections'!$A$1:$BU$90,52,FALSE)</f>
        <v>74</v>
      </c>
      <c r="L49" s="133">
        <f>VLOOKUP($E$3,'Catchment Projections'!$A$1:$BU$90,53,FALSE)</f>
        <v>75</v>
      </c>
      <c r="M49" s="133">
        <f>VLOOKUP($E$3,'Catchment Projections'!$A$1:$BU$90,54,FALSE)</f>
        <v>75</v>
      </c>
      <c r="N49" s="133">
        <f>VLOOKUP($E$3,'Catchment Projections'!$A$1:$BU$90,55,FALSE)</f>
        <v>76</v>
      </c>
      <c r="O49" s="133">
        <f>VLOOKUP($E$3,'Catchment Projections'!$A$1:$BU$90,56,FALSE)</f>
        <v>76</v>
      </c>
      <c r="P49" s="133">
        <f>VLOOKUP($E$3,'Catchment Projections'!$A$1:$BU$90,57,FALSE)</f>
        <v>76</v>
      </c>
      <c r="Q49" s="133">
        <f>VLOOKUP($E$3,'Catchment Projections'!$A$1:$BU$90,58,FALSE)</f>
        <v>76</v>
      </c>
    </row>
    <row r="50" spans="2:17" ht="15" customHeight="1" thickBot="1">
      <c r="B50" s="410" t="s">
        <v>141</v>
      </c>
      <c r="C50" s="411"/>
      <c r="D50" s="286">
        <f>VLOOKUP(E3,'Housing Generation'!$A$3:$DQ$90,10,FALSE)</f>
        <v>8</v>
      </c>
      <c r="E50" s="286">
        <f>VLOOKUP(E3,'Housing Generation'!$A$3:$DQ$90,18,FALSE)</f>
        <v>13</v>
      </c>
      <c r="F50" s="286">
        <f>VLOOKUP(E3,'Housing Generation'!$A$3:$DQ$90,26,FALSE)</f>
        <v>19</v>
      </c>
      <c r="G50" s="243">
        <f>VLOOKUP(E3,'Housing Generation'!$A$3:$DQ$90,34,FALSE)</f>
        <v>23</v>
      </c>
      <c r="H50" s="133">
        <f>VLOOKUP(E3,'Housing Generation'!$A$3:$DQ$90,42,FALSE)</f>
        <v>28</v>
      </c>
      <c r="I50" s="133">
        <f>VLOOKUP(E3,'Housing Generation'!$A$3:$DQ$90,50,FALSE)</f>
        <v>31</v>
      </c>
      <c r="J50" s="133">
        <f>VLOOKUP(E3,'Housing Generation'!$A$3:$CK$90,58,FALSE)</f>
        <v>34</v>
      </c>
      <c r="K50" s="133">
        <f>VLOOKUP(E3,'Housing Generation'!$A$3:$CK$90,66,FALSE)</f>
        <v>37</v>
      </c>
      <c r="L50" s="133">
        <f>VLOOKUP(E3,'Housing Generation'!$A$3:$DQ$90,74,FALSE)</f>
        <v>41</v>
      </c>
      <c r="M50" s="133">
        <f>VLOOKUP(E3,'Housing Generation'!$A$3:$DQ$90,82,FALSE)</f>
        <v>45</v>
      </c>
      <c r="N50" s="133">
        <f>VLOOKUP(E3,'Housing Generation'!$A$3:$DQ$90,90,FALSE)</f>
        <v>45</v>
      </c>
      <c r="O50" s="133">
        <f>VLOOKUP(E3,'Housing Generation'!$A$3:$DQ$90,98,FALSE)</f>
        <v>46</v>
      </c>
      <c r="P50" s="133">
        <f>VLOOKUP(E3,'Housing Generation'!$A$3:$DQ$90,106,FALSE)</f>
        <v>47</v>
      </c>
      <c r="Q50" s="133">
        <f>VLOOKUP(E3,'Housing Generation'!$A$3:$DQ$90,114,FALSE)</f>
        <v>47</v>
      </c>
    </row>
    <row r="51" spans="2:17" ht="15" customHeight="1" thickTop="1">
      <c r="B51" s="421" t="s">
        <v>130</v>
      </c>
      <c r="C51" s="422"/>
      <c r="D51" s="47">
        <f t="shared" ref="D51:Q51" si="0">SUM(D49:D50)</f>
        <v>59</v>
      </c>
      <c r="E51" s="47">
        <f t="shared" si="0"/>
        <v>73</v>
      </c>
      <c r="F51" s="80">
        <f t="shared" si="0"/>
        <v>99</v>
      </c>
      <c r="G51" s="244">
        <f t="shared" si="0"/>
        <v>96</v>
      </c>
      <c r="H51" s="71">
        <f t="shared" si="0"/>
        <v>100</v>
      </c>
      <c r="I51" s="71">
        <f t="shared" si="0"/>
        <v>104</v>
      </c>
      <c r="J51" s="71">
        <f t="shared" si="0"/>
        <v>107</v>
      </c>
      <c r="K51" s="71">
        <f t="shared" si="0"/>
        <v>111</v>
      </c>
      <c r="L51" s="71">
        <f t="shared" si="0"/>
        <v>116</v>
      </c>
      <c r="M51" s="71">
        <f t="shared" si="0"/>
        <v>120</v>
      </c>
      <c r="N51" s="71">
        <f t="shared" si="0"/>
        <v>121</v>
      </c>
      <c r="O51" s="71">
        <f t="shared" si="0"/>
        <v>122</v>
      </c>
      <c r="P51" s="71">
        <f t="shared" si="0"/>
        <v>123</v>
      </c>
      <c r="Q51" s="71">
        <f t="shared" si="0"/>
        <v>123</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56</v>
      </c>
      <c r="D60" s="358">
        <f>VLOOKUP($E$3,'Catchment Projections'!$A$1:$BZ$90,74,FALSE)</f>
        <v>36</v>
      </c>
      <c r="E60" s="303">
        <f>D60/C60</f>
        <v>0.6428571428571429</v>
      </c>
      <c r="G60" s="132">
        <v>2014</v>
      </c>
      <c r="H60" s="395">
        <f>VLOOKUP($G$60,$B$177:$C$215, 2, FALSE)</f>
        <v>44</v>
      </c>
      <c r="I60" s="120">
        <f>H60-D60</f>
        <v>8</v>
      </c>
      <c r="J60" s="121">
        <f>I60/H60</f>
        <v>0.18181818181818182</v>
      </c>
    </row>
    <row r="61" spans="2:17" ht="15" customHeight="1">
      <c r="B61" s="132">
        <v>2015</v>
      </c>
      <c r="C61" s="359">
        <f>VLOOKUP($E$3,'Catchment Projections'!$A$1:$BZ$90,41,FALSE)</f>
        <v>52</v>
      </c>
      <c r="D61" s="358">
        <f>VLOOKUP($E$3,'Catchment Projections'!$A$1:$BZ$90,75,FALSE)</f>
        <v>32</v>
      </c>
      <c r="E61" s="303">
        <f>D61/C61</f>
        <v>0.61538461538461542</v>
      </c>
      <c r="G61" s="132">
        <v>2015</v>
      </c>
      <c r="H61" s="395">
        <f>VLOOKUP($G$61,$B$177:$C$215, 2, FALSE)</f>
        <v>45</v>
      </c>
      <c r="I61" s="120">
        <f>H61-D61</f>
        <v>13</v>
      </c>
      <c r="J61" s="121">
        <f>I61/H61</f>
        <v>0.28888888888888886</v>
      </c>
    </row>
    <row r="62" spans="2:17" ht="15" customHeight="1">
      <c r="B62" s="131">
        <v>2016</v>
      </c>
      <c r="C62" s="359">
        <f>VLOOKUP($E$3,'Catchment Projections'!$A$1:$BZ$90,42,FALSE)</f>
        <v>68</v>
      </c>
      <c r="D62" s="358">
        <f>VLOOKUP($E$3,'Catchment Projections'!$A$1:$BZ$90,76,FALSE)</f>
        <v>53</v>
      </c>
      <c r="E62" s="57">
        <f>D62/C62</f>
        <v>0.77941176470588236</v>
      </c>
      <c r="G62" s="131">
        <v>2016</v>
      </c>
      <c r="H62" s="395">
        <f>VLOOKUP($G$62,$B$177:$C$215, 2, FALSE)</f>
        <v>57</v>
      </c>
      <c r="I62" s="120">
        <f>H62-D62</f>
        <v>4</v>
      </c>
      <c r="J62" s="121">
        <f>I62/H62</f>
        <v>7.0175438596491224E-2</v>
      </c>
    </row>
    <row r="63" spans="2:17" ht="15" customHeight="1">
      <c r="B63" s="114">
        <v>2017</v>
      </c>
      <c r="C63" s="359">
        <f>VLOOKUP($E$3,'Catchment Projections'!$A$1:$BZ$90,43,FALSE)</f>
        <v>53</v>
      </c>
      <c r="D63" s="358">
        <f>VLOOKUP($E$3,'Catchment Projections'!$A$1:$BZ$90,77,FALSE)</f>
        <v>43</v>
      </c>
      <c r="E63" s="304">
        <f>D63/C63</f>
        <v>0.81132075471698117</v>
      </c>
      <c r="G63" s="114">
        <v>2017</v>
      </c>
      <c r="H63" s="395">
        <f>VLOOKUP($G$63,$B$177:$C$215, 2, FALSE)</f>
        <v>49</v>
      </c>
      <c r="I63" s="120">
        <f>H63-D63</f>
        <v>6</v>
      </c>
      <c r="J63" s="121">
        <f>I63/H63</f>
        <v>0.12244897959183673</v>
      </c>
    </row>
    <row r="64" spans="2:17" ht="15" customHeight="1">
      <c r="B64" s="114">
        <v>2018</v>
      </c>
      <c r="C64" s="359">
        <f>VLOOKUP($E$3,'Catchment Projections'!$A$1:$BZ$90,44,FALSE)</f>
        <v>61</v>
      </c>
      <c r="D64" s="358">
        <f>VLOOKUP($E$3,'Catchment Projections'!$A$1:$BZ$90,78,FALSE)</f>
        <v>37</v>
      </c>
      <c r="E64" s="305">
        <f>D64/C64</f>
        <v>0.60655737704918034</v>
      </c>
      <c r="G64" s="114">
        <v>2018</v>
      </c>
      <c r="H64" s="395">
        <f>VLOOKUP($G$64,$B$177:$C$215, 2, FALSE)</f>
        <v>46</v>
      </c>
      <c r="I64" s="120">
        <f>H64-D64</f>
        <v>9</v>
      </c>
      <c r="J64" s="121">
        <f>I64/H64</f>
        <v>0.19565217391304349</v>
      </c>
    </row>
    <row r="65" spans="2:10" ht="15" customHeight="1">
      <c r="B65" s="412" t="s">
        <v>136</v>
      </c>
      <c r="C65" s="413"/>
      <c r="D65" s="414"/>
      <c r="E65" s="137">
        <f>IF((AVERAGE(E62:E64))="#DIV/0!","n/a",(AVERAGE(E62:E64)))</f>
        <v>0.73242996549068129</v>
      </c>
      <c r="G65" s="415" t="s">
        <v>137</v>
      </c>
      <c r="H65" s="416"/>
      <c r="I65" s="138">
        <f>MEDIAN(I60:I64)</f>
        <v>8</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59</v>
      </c>
      <c r="D70" s="408"/>
      <c r="E70" s="122">
        <f>E65</f>
        <v>0.73242996549068129</v>
      </c>
      <c r="F70" s="120">
        <f t="shared" ref="F70:F83" si="1">C70*$E$65</f>
        <v>43.213367963950198</v>
      </c>
      <c r="G70" s="118">
        <f>IF(F70&lt;26,25,IF(F70&gt;135,140,IF(F70&gt;130,135,IF(F70&gt;125,130,IF(F70&gt;120,125,IF(F70&gt;115,120,IF(F70&gt;110,115,IF(F70&gt;105,110,IF(F70&gt;100,105,IF(F70&gt;99,100,IF(F70&gt;90,99,IF(F70&gt;75,90,IF(F70&gt;72,75,IF(F70&gt;66,72,IF(F70&gt;60,66,IF(F70&gt;50,60,IF(F70&gt;30,50,IF(F70&gt;25,30,0))))))))))))))))))</f>
        <v>50</v>
      </c>
      <c r="H70" s="119">
        <f t="shared" ref="H70:H83" si="2">G70-F70</f>
        <v>6.7866320360498023</v>
      </c>
      <c r="I70" s="118" t="str">
        <f>IF(I$65&lt;H70, "NO", "YES")</f>
        <v>YES</v>
      </c>
      <c r="J70" s="117">
        <f t="shared" ref="J70:J83" si="3">IF(I70="YES",G70,(MIN((SUM(F70,$I$65)),G70)))</f>
        <v>50</v>
      </c>
    </row>
    <row r="71" spans="2:10" ht="15" customHeight="1">
      <c r="B71" s="114">
        <v>2020</v>
      </c>
      <c r="C71" s="433">
        <f>E51</f>
        <v>73</v>
      </c>
      <c r="D71" s="408"/>
      <c r="E71" s="121">
        <f>E65</f>
        <v>0.73242996549068129</v>
      </c>
      <c r="F71" s="120">
        <f t="shared" si="1"/>
        <v>53.467387480819731</v>
      </c>
      <c r="G71" s="118">
        <f t="shared" ref="G71:G83" si="4">IF(F71&lt;26,25,IF(F71&gt;135,140,IF(F71&gt;130,135,IF(F71&gt;125,130,IF(F71&gt;120,125,IF(F71&gt;115,120,IF(F71&gt;110,115,IF(F71&gt;105,110,IF(F71&gt;100,105,IF(F71&gt;99,100,IF(F71&gt;90,99,IF(F71&gt;75,90,IF(F71&gt;72,75,IF(F71&gt;66,72,IF(F71&gt;60,66,IF(F71&gt;50,60,IF(F71&gt;30,50,IF(F71&gt;25,30,0))))))))))))))))))</f>
        <v>60</v>
      </c>
      <c r="H71" s="119">
        <f t="shared" si="2"/>
        <v>6.5326125191802689</v>
      </c>
      <c r="I71" s="118" t="str">
        <f t="shared" ref="I71:I83" si="5">IF(I$65&lt;H71, "NO", "YES")</f>
        <v>YES</v>
      </c>
      <c r="J71" s="117">
        <f t="shared" si="3"/>
        <v>60</v>
      </c>
    </row>
    <row r="72" spans="2:10" ht="15" customHeight="1">
      <c r="B72" s="114">
        <v>2021</v>
      </c>
      <c r="C72" s="430">
        <f>F51</f>
        <v>99</v>
      </c>
      <c r="D72" s="431"/>
      <c r="E72" s="121">
        <f>E65</f>
        <v>0.73242996549068129</v>
      </c>
      <c r="F72" s="120">
        <f t="shared" si="1"/>
        <v>72.510566583577443</v>
      </c>
      <c r="G72" s="118">
        <f t="shared" si="4"/>
        <v>75</v>
      </c>
      <c r="H72" s="119">
        <f t="shared" si="2"/>
        <v>2.4894334164225569</v>
      </c>
      <c r="I72" s="118" t="str">
        <f t="shared" si="5"/>
        <v>YES</v>
      </c>
      <c r="J72" s="117">
        <f t="shared" si="3"/>
        <v>75</v>
      </c>
    </row>
    <row r="73" spans="2:10" ht="15" customHeight="1">
      <c r="B73" s="114">
        <v>2022</v>
      </c>
      <c r="C73" s="430">
        <f>G51</f>
        <v>96</v>
      </c>
      <c r="D73" s="431"/>
      <c r="E73" s="121">
        <f>E65</f>
        <v>0.73242996549068129</v>
      </c>
      <c r="F73" s="120">
        <f t="shared" si="1"/>
        <v>70.3132766871054</v>
      </c>
      <c r="G73" s="118">
        <f t="shared" si="4"/>
        <v>72</v>
      </c>
      <c r="H73" s="119">
        <f t="shared" si="2"/>
        <v>1.6867233128945998</v>
      </c>
      <c r="I73" s="118" t="str">
        <f t="shared" si="5"/>
        <v>YES</v>
      </c>
      <c r="J73" s="117">
        <f t="shared" si="3"/>
        <v>72</v>
      </c>
    </row>
    <row r="74" spans="2:10" ht="15" customHeight="1">
      <c r="B74" s="114">
        <v>2023</v>
      </c>
      <c r="C74" s="430">
        <f>H51</f>
        <v>100</v>
      </c>
      <c r="D74" s="431"/>
      <c r="E74" s="121">
        <f>E65</f>
        <v>0.73242996549068129</v>
      </c>
      <c r="F74" s="120">
        <f t="shared" si="1"/>
        <v>73.242996549068124</v>
      </c>
      <c r="G74" s="118">
        <f t="shared" si="4"/>
        <v>75</v>
      </c>
      <c r="H74" s="119">
        <f t="shared" si="2"/>
        <v>1.7570034509318759</v>
      </c>
      <c r="I74" s="118" t="str">
        <f t="shared" si="5"/>
        <v>YES</v>
      </c>
      <c r="J74" s="117">
        <f t="shared" si="3"/>
        <v>75</v>
      </c>
    </row>
    <row r="75" spans="2:10" ht="15" customHeight="1">
      <c r="B75" s="114">
        <v>2024</v>
      </c>
      <c r="C75" s="430">
        <f>I51</f>
        <v>104</v>
      </c>
      <c r="D75" s="431"/>
      <c r="E75" s="121">
        <f>E65</f>
        <v>0.73242996549068129</v>
      </c>
      <c r="F75" s="120">
        <f t="shared" si="1"/>
        <v>76.172716411030848</v>
      </c>
      <c r="G75" s="118">
        <f t="shared" si="4"/>
        <v>90</v>
      </c>
      <c r="H75" s="119">
        <f t="shared" si="2"/>
        <v>13.827283588969152</v>
      </c>
      <c r="I75" s="118" t="str">
        <f t="shared" si="5"/>
        <v>NO</v>
      </c>
      <c r="J75" s="117">
        <f t="shared" si="3"/>
        <v>84.172716411030848</v>
      </c>
    </row>
    <row r="76" spans="2:10" ht="15" customHeight="1">
      <c r="B76" s="114">
        <v>2025</v>
      </c>
      <c r="C76" s="430">
        <f>J51</f>
        <v>107</v>
      </c>
      <c r="D76" s="431"/>
      <c r="E76" s="121">
        <f>E65</f>
        <v>0.73242996549068129</v>
      </c>
      <c r="F76" s="120">
        <f t="shared" si="1"/>
        <v>78.370006307502905</v>
      </c>
      <c r="G76" s="118">
        <f t="shared" si="4"/>
        <v>90</v>
      </c>
      <c r="H76" s="119">
        <f t="shared" si="2"/>
        <v>11.629993692497095</v>
      </c>
      <c r="I76" s="118" t="str">
        <f t="shared" si="5"/>
        <v>NO</v>
      </c>
      <c r="J76" s="117">
        <f t="shared" si="3"/>
        <v>86.370006307502905</v>
      </c>
    </row>
    <row r="77" spans="2:10" ht="15" customHeight="1">
      <c r="B77" s="114">
        <v>2026</v>
      </c>
      <c r="C77" s="430">
        <f>K51</f>
        <v>111</v>
      </c>
      <c r="D77" s="431"/>
      <c r="E77" s="121">
        <f>E65</f>
        <v>0.73242996549068129</v>
      </c>
      <c r="F77" s="120">
        <f t="shared" si="1"/>
        <v>81.299726169465629</v>
      </c>
      <c r="G77" s="118">
        <f t="shared" si="4"/>
        <v>90</v>
      </c>
      <c r="H77" s="119">
        <f t="shared" si="2"/>
        <v>8.7002738305343712</v>
      </c>
      <c r="I77" s="118" t="str">
        <f t="shared" si="5"/>
        <v>NO</v>
      </c>
      <c r="J77" s="117">
        <f t="shared" si="3"/>
        <v>89.299726169465629</v>
      </c>
    </row>
    <row r="78" spans="2:10" ht="15" customHeight="1">
      <c r="B78" s="114">
        <v>2027</v>
      </c>
      <c r="C78" s="430">
        <f>L51</f>
        <v>116</v>
      </c>
      <c r="D78" s="431"/>
      <c r="E78" s="121">
        <f>E65</f>
        <v>0.73242996549068129</v>
      </c>
      <c r="F78" s="120">
        <f t="shared" si="1"/>
        <v>84.961875996919034</v>
      </c>
      <c r="G78" s="118">
        <f t="shared" si="4"/>
        <v>90</v>
      </c>
      <c r="H78" s="119">
        <f t="shared" si="2"/>
        <v>5.0381240030809664</v>
      </c>
      <c r="I78" s="118" t="str">
        <f t="shared" si="5"/>
        <v>YES</v>
      </c>
      <c r="J78" s="117">
        <f t="shared" si="3"/>
        <v>90</v>
      </c>
    </row>
    <row r="79" spans="2:10" ht="15" customHeight="1">
      <c r="B79" s="114">
        <v>2028</v>
      </c>
      <c r="C79" s="430">
        <f>M51</f>
        <v>120</v>
      </c>
      <c r="D79" s="431"/>
      <c r="E79" s="121">
        <f t="shared" ref="E79:E83" si="6">$E$65</f>
        <v>0.73242996549068129</v>
      </c>
      <c r="F79" s="120">
        <f t="shared" si="1"/>
        <v>87.891595858881757</v>
      </c>
      <c r="G79" s="118">
        <f t="shared" si="4"/>
        <v>90</v>
      </c>
      <c r="H79" s="119">
        <f t="shared" si="2"/>
        <v>2.1084041411182426</v>
      </c>
      <c r="I79" s="118" t="str">
        <f t="shared" si="5"/>
        <v>YES</v>
      </c>
      <c r="J79" s="117">
        <f t="shared" si="3"/>
        <v>90</v>
      </c>
    </row>
    <row r="80" spans="2:10" ht="15" customHeight="1">
      <c r="B80" s="114">
        <v>2029</v>
      </c>
      <c r="C80" s="430">
        <f>N51</f>
        <v>121</v>
      </c>
      <c r="D80" s="431"/>
      <c r="E80" s="121">
        <f t="shared" si="6"/>
        <v>0.73242996549068129</v>
      </c>
      <c r="F80" s="120">
        <f t="shared" si="1"/>
        <v>88.624025824372438</v>
      </c>
      <c r="G80" s="118">
        <f t="shared" si="4"/>
        <v>90</v>
      </c>
      <c r="H80" s="119">
        <f t="shared" si="2"/>
        <v>1.3759741756275616</v>
      </c>
      <c r="I80" s="118" t="str">
        <f t="shared" si="5"/>
        <v>YES</v>
      </c>
      <c r="J80" s="117">
        <f t="shared" si="3"/>
        <v>90</v>
      </c>
    </row>
    <row r="81" spans="2:10" ht="15" customHeight="1">
      <c r="B81" s="114">
        <v>2030</v>
      </c>
      <c r="C81" s="430">
        <f>O51</f>
        <v>122</v>
      </c>
      <c r="D81" s="431"/>
      <c r="E81" s="121">
        <f t="shared" si="6"/>
        <v>0.73242996549068129</v>
      </c>
      <c r="F81" s="120">
        <f t="shared" si="1"/>
        <v>89.356455789863119</v>
      </c>
      <c r="G81" s="118">
        <f t="shared" si="4"/>
        <v>90</v>
      </c>
      <c r="H81" s="119">
        <f t="shared" si="2"/>
        <v>0.64354421013688068</v>
      </c>
      <c r="I81" s="118" t="str">
        <f t="shared" si="5"/>
        <v>YES</v>
      </c>
      <c r="J81" s="117">
        <f t="shared" si="3"/>
        <v>90</v>
      </c>
    </row>
    <row r="82" spans="2:10" ht="15" customHeight="1">
      <c r="B82" s="114">
        <v>2031</v>
      </c>
      <c r="C82" s="430">
        <f>P51</f>
        <v>123</v>
      </c>
      <c r="D82" s="431"/>
      <c r="E82" s="121">
        <f t="shared" si="6"/>
        <v>0.73242996549068129</v>
      </c>
      <c r="F82" s="120">
        <f t="shared" si="1"/>
        <v>90.0888857553538</v>
      </c>
      <c r="G82" s="118">
        <f t="shared" si="4"/>
        <v>99</v>
      </c>
      <c r="H82" s="119">
        <f t="shared" si="2"/>
        <v>8.9111142446461997</v>
      </c>
      <c r="I82" s="118" t="str">
        <f t="shared" si="5"/>
        <v>NO</v>
      </c>
      <c r="J82" s="117">
        <f t="shared" si="3"/>
        <v>98.0888857553538</v>
      </c>
    </row>
    <row r="83" spans="2:10" ht="15" customHeight="1">
      <c r="B83" s="114">
        <v>2032</v>
      </c>
      <c r="C83" s="430">
        <f>Q51</f>
        <v>123</v>
      </c>
      <c r="D83" s="431"/>
      <c r="E83" s="121">
        <f t="shared" si="6"/>
        <v>0.73242996549068129</v>
      </c>
      <c r="F83" s="120">
        <f t="shared" si="1"/>
        <v>90.0888857553538</v>
      </c>
      <c r="G83" s="118">
        <f t="shared" si="4"/>
        <v>99</v>
      </c>
      <c r="H83" s="119">
        <f t="shared" si="2"/>
        <v>8.9111142446461997</v>
      </c>
      <c r="I83" s="118" t="str">
        <f t="shared" si="5"/>
        <v>NO</v>
      </c>
      <c r="J83" s="117">
        <f t="shared" si="3"/>
        <v>98.0888857553538</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Castleview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40</v>
      </c>
      <c r="D91" s="112">
        <f t="shared" ref="D91:J91" si="7">D188</f>
        <v>41</v>
      </c>
      <c r="E91" s="112">
        <f t="shared" si="7"/>
        <v>35</v>
      </c>
      <c r="F91" s="112">
        <f t="shared" si="7"/>
        <v>24</v>
      </c>
      <c r="G91" s="112">
        <f t="shared" si="7"/>
        <v>32</v>
      </c>
      <c r="H91" s="112">
        <f t="shared" si="7"/>
        <v>23</v>
      </c>
      <c r="I91" s="112">
        <f t="shared" si="7"/>
        <v>29</v>
      </c>
      <c r="J91" s="213">
        <f t="shared" si="7"/>
        <v>224</v>
      </c>
    </row>
    <row r="92" spans="2:10" ht="15" customHeight="1">
      <c r="B92" s="114">
        <v>2014</v>
      </c>
      <c r="C92" s="112">
        <f>C189</f>
        <v>44</v>
      </c>
      <c r="D92" s="112">
        <f t="shared" ref="D92:J92" si="8">D189</f>
        <v>37</v>
      </c>
      <c r="E92" s="112">
        <f t="shared" si="8"/>
        <v>44</v>
      </c>
      <c r="F92" s="112">
        <f t="shared" si="8"/>
        <v>31</v>
      </c>
      <c r="G92" s="112">
        <f t="shared" si="8"/>
        <v>28</v>
      </c>
      <c r="H92" s="112">
        <f t="shared" si="8"/>
        <v>33</v>
      </c>
      <c r="I92" s="112">
        <f t="shared" si="8"/>
        <v>27</v>
      </c>
      <c r="J92" s="213">
        <f t="shared" si="8"/>
        <v>244</v>
      </c>
    </row>
    <row r="93" spans="2:10" ht="15" customHeight="1">
      <c r="B93" s="114">
        <v>2015</v>
      </c>
      <c r="C93" s="112">
        <f>C190</f>
        <v>45</v>
      </c>
      <c r="D93" s="112">
        <f t="shared" ref="D93:J93" si="9">D190</f>
        <v>46</v>
      </c>
      <c r="E93" s="112">
        <f t="shared" si="9"/>
        <v>36</v>
      </c>
      <c r="F93" s="112">
        <f t="shared" si="9"/>
        <v>44</v>
      </c>
      <c r="G93" s="112">
        <f t="shared" si="9"/>
        <v>32</v>
      </c>
      <c r="H93" s="112">
        <f t="shared" si="9"/>
        <v>28</v>
      </c>
      <c r="I93" s="112">
        <f t="shared" si="9"/>
        <v>33</v>
      </c>
      <c r="J93" s="213">
        <f t="shared" si="9"/>
        <v>264</v>
      </c>
    </row>
    <row r="94" spans="2:10" ht="15" customHeight="1">
      <c r="B94" s="114">
        <v>2016</v>
      </c>
      <c r="C94" s="112">
        <f>C191</f>
        <v>57</v>
      </c>
      <c r="D94" s="112">
        <f t="shared" ref="D94:J94" si="10">D191</f>
        <v>46</v>
      </c>
      <c r="E94" s="112">
        <f t="shared" si="10"/>
        <v>40</v>
      </c>
      <c r="F94" s="112">
        <f t="shared" si="10"/>
        <v>37</v>
      </c>
      <c r="G94" s="112">
        <f t="shared" si="10"/>
        <v>47</v>
      </c>
      <c r="H94" s="112">
        <f t="shared" si="10"/>
        <v>34</v>
      </c>
      <c r="I94" s="112">
        <f t="shared" si="10"/>
        <v>28</v>
      </c>
      <c r="J94" s="213">
        <f t="shared" si="10"/>
        <v>289</v>
      </c>
    </row>
    <row r="95" spans="2:10" ht="15" customHeight="1">
      <c r="B95" s="114">
        <v>2017</v>
      </c>
      <c r="C95" s="112">
        <f>C192</f>
        <v>49</v>
      </c>
      <c r="D95" s="112">
        <f t="shared" ref="D95:J95" si="11">D192</f>
        <v>60</v>
      </c>
      <c r="E95" s="112">
        <f t="shared" si="11"/>
        <v>43</v>
      </c>
      <c r="F95" s="112">
        <f t="shared" si="11"/>
        <v>43</v>
      </c>
      <c r="G95" s="112">
        <f t="shared" si="11"/>
        <v>40</v>
      </c>
      <c r="H95" s="112">
        <f t="shared" si="11"/>
        <v>41</v>
      </c>
      <c r="I95" s="112">
        <f t="shared" si="11"/>
        <v>33</v>
      </c>
      <c r="J95" s="213">
        <f t="shared" si="11"/>
        <v>309</v>
      </c>
    </row>
    <row r="96" spans="2:10" ht="15" customHeight="1">
      <c r="B96" s="307">
        <v>2018</v>
      </c>
      <c r="C96" s="112">
        <f t="shared" ref="C96:J96" si="12">C193</f>
        <v>46</v>
      </c>
      <c r="D96" s="112">
        <f t="shared" si="12"/>
        <v>45</v>
      </c>
      <c r="E96" s="112">
        <f t="shared" si="12"/>
        <v>59</v>
      </c>
      <c r="F96" s="112">
        <f t="shared" si="12"/>
        <v>41</v>
      </c>
      <c r="G96" s="112">
        <f t="shared" si="12"/>
        <v>40</v>
      </c>
      <c r="H96" s="112">
        <f t="shared" si="12"/>
        <v>40</v>
      </c>
      <c r="I96" s="112">
        <f t="shared" si="12"/>
        <v>38</v>
      </c>
      <c r="J96" s="213">
        <f t="shared" si="12"/>
        <v>309</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-2.2222222222222223E-2</v>
      </c>
      <c r="E98" s="210">
        <f t="shared" ref="E98:I98" si="13">MEDIAN(((D91-E92)/D91),((D92-E93)/D92),((D93-E94)/D93),((D94-E95)/D94),((D95-E96)/D95))</f>
        <v>2.7027027027027029E-2</v>
      </c>
      <c r="F98" s="210">
        <f t="shared" si="13"/>
        <v>0</v>
      </c>
      <c r="G98" s="210">
        <f t="shared" si="13"/>
        <v>-6.8181818181818177E-2</v>
      </c>
      <c r="H98" s="210">
        <f t="shared" si="13"/>
        <v>0</v>
      </c>
      <c r="I98" s="210">
        <f t="shared" si="13"/>
        <v>0</v>
      </c>
    </row>
    <row r="99" spans="2:10" ht="15" customHeight="1">
      <c r="B99" s="59"/>
      <c r="C99" s="60"/>
      <c r="D99" s="61"/>
      <c r="E99" s="61"/>
      <c r="F99" s="61"/>
      <c r="G99" s="61"/>
      <c r="H99" s="61"/>
      <c r="I99" s="61"/>
      <c r="J99" s="58"/>
    </row>
    <row r="100" spans="2:10" ht="15" customHeight="1">
      <c r="B100" s="15" t="str">
        <f>"Table 4B: "&amp;E3&amp;" Projected Roll by Stage (incorporating Projected P1 and Drop-Off Rates), 2019-2032"</f>
        <v>Table 4B: Castleview Primary School Projected Roll by Stage (incorporating Projected P1 and Drop-Off Rates), 2019-2032</v>
      </c>
      <c r="F100" s="14"/>
      <c r="G100" s="14"/>
    </row>
    <row r="101" spans="2:10" ht="15" customHeight="1">
      <c r="F101" s="14"/>
      <c r="G101" s="14"/>
    </row>
    <row r="102" spans="2:10" ht="15" customHeight="1">
      <c r="B102" s="115"/>
      <c r="C102" s="109" t="s">
        <v>1</v>
      </c>
      <c r="D102" s="109" t="s">
        <v>2</v>
      </c>
      <c r="E102" s="109" t="s">
        <v>3</v>
      </c>
      <c r="F102" s="109" t="s">
        <v>4</v>
      </c>
      <c r="G102" s="109" t="s">
        <v>5</v>
      </c>
      <c r="H102" s="109" t="s">
        <v>6</v>
      </c>
      <c r="I102" s="109" t="s">
        <v>7</v>
      </c>
      <c r="J102" s="109" t="s">
        <v>8</v>
      </c>
    </row>
    <row r="103" spans="2:10" ht="15" customHeight="1">
      <c r="B103" s="114">
        <v>2019</v>
      </c>
      <c r="C103" s="113">
        <f t="shared" ref="C103:C116" si="14">J70</f>
        <v>50</v>
      </c>
      <c r="D103" s="324">
        <f>ROUND((C96)-(C96*$D$98),0)</f>
        <v>47</v>
      </c>
      <c r="E103" s="324">
        <f>ROUND((D96)-(D96*$E$98),0)</f>
        <v>44</v>
      </c>
      <c r="F103" s="324">
        <f>ROUND((E96)-(E96*$F$98),0)</f>
        <v>59</v>
      </c>
      <c r="G103" s="324">
        <f>ROUND((F96)-(F96*$G$98),0)</f>
        <v>44</v>
      </c>
      <c r="H103" s="324">
        <f>ROUND((G96)-(G96*$H$98),0)</f>
        <v>40</v>
      </c>
      <c r="I103" s="324">
        <f>ROUND((H96)-(H96*$I$98),0)</f>
        <v>40</v>
      </c>
      <c r="J103" s="111">
        <f t="shared" ref="J103:J116" si="15">SUM(C103:I103)</f>
        <v>324</v>
      </c>
    </row>
    <row r="104" spans="2:10" ht="15" customHeight="1">
      <c r="B104" s="114">
        <v>2020</v>
      </c>
      <c r="C104" s="113">
        <f t="shared" si="14"/>
        <v>60</v>
      </c>
      <c r="D104" s="324">
        <f>ROUND((C103-E50)-(C103*$D$98),0)</f>
        <v>38</v>
      </c>
      <c r="E104" s="112">
        <f t="shared" ref="E104:E116" si="16">ROUND((D103)-(D103*$E$98),0)</f>
        <v>46</v>
      </c>
      <c r="F104" s="112">
        <f t="shared" ref="F104:F116" si="17">ROUND((E103)-(E103*$F$98),0)</f>
        <v>44</v>
      </c>
      <c r="G104" s="112">
        <f t="shared" ref="G104:G116" si="18">ROUND((F103)-(F103*$G$98),0)</f>
        <v>63</v>
      </c>
      <c r="H104" s="112">
        <f t="shared" ref="H104:H116" si="19">ROUND((G103)-(G103*$H$98),0)</f>
        <v>44</v>
      </c>
      <c r="I104" s="112">
        <f t="shared" ref="I104:I116" si="20">ROUND((H103)-(H103*$I$98),0)</f>
        <v>40</v>
      </c>
      <c r="J104" s="111">
        <f t="shared" si="15"/>
        <v>335</v>
      </c>
    </row>
    <row r="105" spans="2:10" ht="15" customHeight="1">
      <c r="B105" s="114">
        <v>2021</v>
      </c>
      <c r="C105" s="113">
        <f t="shared" si="14"/>
        <v>75</v>
      </c>
      <c r="D105" s="324">
        <f>ROUND((C104-F50)-(C104*$D$98),0)</f>
        <v>42</v>
      </c>
      <c r="E105" s="112">
        <f t="shared" si="16"/>
        <v>37</v>
      </c>
      <c r="F105" s="112">
        <f t="shared" si="17"/>
        <v>46</v>
      </c>
      <c r="G105" s="112">
        <f t="shared" si="18"/>
        <v>47</v>
      </c>
      <c r="H105" s="112">
        <f t="shared" si="19"/>
        <v>63</v>
      </c>
      <c r="I105" s="112">
        <f t="shared" si="20"/>
        <v>44</v>
      </c>
      <c r="J105" s="111">
        <f t="shared" si="15"/>
        <v>354</v>
      </c>
    </row>
    <row r="106" spans="2:10" ht="15" customHeight="1">
      <c r="B106" s="114">
        <v>2022</v>
      </c>
      <c r="C106" s="113">
        <f t="shared" si="14"/>
        <v>72</v>
      </c>
      <c r="D106" s="324">
        <f>ROUND((C105-G50)-(C105*$D$98),0)</f>
        <v>54</v>
      </c>
      <c r="E106" s="112">
        <f t="shared" si="16"/>
        <v>41</v>
      </c>
      <c r="F106" s="112">
        <f t="shared" si="17"/>
        <v>37</v>
      </c>
      <c r="G106" s="112">
        <f t="shared" si="18"/>
        <v>49</v>
      </c>
      <c r="H106" s="112">
        <f t="shared" si="19"/>
        <v>47</v>
      </c>
      <c r="I106" s="112">
        <f t="shared" si="20"/>
        <v>63</v>
      </c>
      <c r="J106" s="111">
        <f t="shared" si="15"/>
        <v>363</v>
      </c>
    </row>
    <row r="107" spans="2:10" ht="15" customHeight="1">
      <c r="B107" s="114">
        <v>2023</v>
      </c>
      <c r="C107" s="113">
        <f t="shared" si="14"/>
        <v>75</v>
      </c>
      <c r="D107" s="324">
        <f>ROUND((C106-H50)-(C106*$D$98),0)</f>
        <v>46</v>
      </c>
      <c r="E107" s="112">
        <f t="shared" si="16"/>
        <v>53</v>
      </c>
      <c r="F107" s="112">
        <f t="shared" si="17"/>
        <v>41</v>
      </c>
      <c r="G107" s="112">
        <f t="shared" si="18"/>
        <v>40</v>
      </c>
      <c r="H107" s="112">
        <f t="shared" si="19"/>
        <v>49</v>
      </c>
      <c r="I107" s="112">
        <f t="shared" si="20"/>
        <v>47</v>
      </c>
      <c r="J107" s="111">
        <f t="shared" si="15"/>
        <v>351</v>
      </c>
    </row>
    <row r="108" spans="2:10" ht="15" customHeight="1">
      <c r="B108" s="114">
        <v>2024</v>
      </c>
      <c r="C108" s="113">
        <f t="shared" si="14"/>
        <v>84.172716411030848</v>
      </c>
      <c r="D108" s="324">
        <f>ROUND((C107-I50)-(C107*$D$98),0)</f>
        <v>46</v>
      </c>
      <c r="E108" s="112">
        <f t="shared" si="16"/>
        <v>45</v>
      </c>
      <c r="F108" s="112">
        <f t="shared" si="17"/>
        <v>53</v>
      </c>
      <c r="G108" s="112">
        <f t="shared" si="18"/>
        <v>44</v>
      </c>
      <c r="H108" s="112">
        <f t="shared" si="19"/>
        <v>40</v>
      </c>
      <c r="I108" s="112">
        <f t="shared" si="20"/>
        <v>49</v>
      </c>
      <c r="J108" s="111">
        <f t="shared" si="15"/>
        <v>361.17271641103082</v>
      </c>
    </row>
    <row r="109" spans="2:10" ht="15" customHeight="1">
      <c r="B109" s="114">
        <v>2025</v>
      </c>
      <c r="C109" s="113">
        <f t="shared" si="14"/>
        <v>86.370006307502905</v>
      </c>
      <c r="D109" s="324">
        <f>ROUND((C108-J50)-(C108*$D$98),0)</f>
        <v>52</v>
      </c>
      <c r="E109" s="112">
        <f t="shared" si="16"/>
        <v>45</v>
      </c>
      <c r="F109" s="112">
        <f t="shared" si="17"/>
        <v>45</v>
      </c>
      <c r="G109" s="112">
        <f t="shared" si="18"/>
        <v>57</v>
      </c>
      <c r="H109" s="112">
        <f t="shared" si="19"/>
        <v>44</v>
      </c>
      <c r="I109" s="112">
        <f t="shared" si="20"/>
        <v>40</v>
      </c>
      <c r="J109" s="111">
        <f t="shared" si="15"/>
        <v>369.37000630750288</v>
      </c>
    </row>
    <row r="110" spans="2:10" ht="15" customHeight="1">
      <c r="B110" s="114">
        <v>2026</v>
      </c>
      <c r="C110" s="113">
        <f t="shared" si="14"/>
        <v>89.299726169465629</v>
      </c>
      <c r="D110" s="324">
        <f>ROUND((C109-K50)-(C109*$D$98),0)</f>
        <v>51</v>
      </c>
      <c r="E110" s="112">
        <f t="shared" si="16"/>
        <v>51</v>
      </c>
      <c r="F110" s="112">
        <f t="shared" si="17"/>
        <v>45</v>
      </c>
      <c r="G110" s="112">
        <f t="shared" si="18"/>
        <v>48</v>
      </c>
      <c r="H110" s="112">
        <f t="shared" si="19"/>
        <v>57</v>
      </c>
      <c r="I110" s="112">
        <f t="shared" si="20"/>
        <v>44</v>
      </c>
      <c r="J110" s="111">
        <f t="shared" si="15"/>
        <v>385.29972616946566</v>
      </c>
    </row>
    <row r="111" spans="2:10" ht="15" customHeight="1">
      <c r="B111" s="114">
        <v>2027</v>
      </c>
      <c r="C111" s="113">
        <f t="shared" si="14"/>
        <v>90</v>
      </c>
      <c r="D111" s="324">
        <f>ROUND((C110-L50)-(C110*$D$98),0)</f>
        <v>50</v>
      </c>
      <c r="E111" s="112">
        <f t="shared" si="16"/>
        <v>50</v>
      </c>
      <c r="F111" s="112">
        <f t="shared" si="17"/>
        <v>51</v>
      </c>
      <c r="G111" s="112">
        <f t="shared" si="18"/>
        <v>48</v>
      </c>
      <c r="H111" s="112">
        <f t="shared" si="19"/>
        <v>48</v>
      </c>
      <c r="I111" s="112">
        <f t="shared" si="20"/>
        <v>57</v>
      </c>
      <c r="J111" s="111">
        <f t="shared" si="15"/>
        <v>394</v>
      </c>
    </row>
    <row r="112" spans="2:10" ht="15" customHeight="1">
      <c r="B112" s="114">
        <v>2028</v>
      </c>
      <c r="C112" s="113">
        <f t="shared" si="14"/>
        <v>90</v>
      </c>
      <c r="D112" s="324">
        <f>ROUND((C111-M50)-(C111*$D$98),0)</f>
        <v>47</v>
      </c>
      <c r="E112" s="112">
        <f t="shared" si="16"/>
        <v>49</v>
      </c>
      <c r="F112" s="112">
        <f t="shared" si="17"/>
        <v>50</v>
      </c>
      <c r="G112" s="112">
        <f t="shared" si="18"/>
        <v>54</v>
      </c>
      <c r="H112" s="112">
        <f t="shared" si="19"/>
        <v>48</v>
      </c>
      <c r="I112" s="112">
        <f t="shared" si="20"/>
        <v>48</v>
      </c>
      <c r="J112" s="111">
        <f t="shared" si="15"/>
        <v>386</v>
      </c>
    </row>
    <row r="113" spans="2:10" ht="15" customHeight="1">
      <c r="B113" s="114">
        <v>2029</v>
      </c>
      <c r="C113" s="113">
        <f t="shared" si="14"/>
        <v>90</v>
      </c>
      <c r="D113" s="324">
        <f>ROUND((C112-N50)-(C112*$D$98),0)</f>
        <v>47</v>
      </c>
      <c r="E113" s="112">
        <f t="shared" si="16"/>
        <v>46</v>
      </c>
      <c r="F113" s="112">
        <f t="shared" si="17"/>
        <v>49</v>
      </c>
      <c r="G113" s="112">
        <f t="shared" si="18"/>
        <v>53</v>
      </c>
      <c r="H113" s="112">
        <f t="shared" si="19"/>
        <v>54</v>
      </c>
      <c r="I113" s="112">
        <f t="shared" si="20"/>
        <v>48</v>
      </c>
      <c r="J113" s="111">
        <f t="shared" si="15"/>
        <v>387</v>
      </c>
    </row>
    <row r="114" spans="2:10" ht="15" customHeight="1">
      <c r="B114" s="114">
        <v>2030</v>
      </c>
      <c r="C114" s="113">
        <f t="shared" si="14"/>
        <v>90</v>
      </c>
      <c r="D114" s="324">
        <f>ROUND((C113-O50)-(C113*$D$98),0)</f>
        <v>46</v>
      </c>
      <c r="E114" s="112">
        <f t="shared" si="16"/>
        <v>46</v>
      </c>
      <c r="F114" s="112">
        <f t="shared" si="17"/>
        <v>46</v>
      </c>
      <c r="G114" s="112">
        <f t="shared" si="18"/>
        <v>52</v>
      </c>
      <c r="H114" s="112">
        <f t="shared" si="19"/>
        <v>53</v>
      </c>
      <c r="I114" s="112">
        <f t="shared" si="20"/>
        <v>54</v>
      </c>
      <c r="J114" s="111">
        <f t="shared" si="15"/>
        <v>387</v>
      </c>
    </row>
    <row r="115" spans="2:10" ht="15" customHeight="1">
      <c r="B115" s="114">
        <v>2031</v>
      </c>
      <c r="C115" s="113">
        <f t="shared" si="14"/>
        <v>98.0888857553538</v>
      </c>
      <c r="D115" s="324">
        <f>ROUND((C114-P50)-(C114*$D$98),0)</f>
        <v>45</v>
      </c>
      <c r="E115" s="112">
        <f t="shared" si="16"/>
        <v>45</v>
      </c>
      <c r="F115" s="112">
        <f t="shared" si="17"/>
        <v>46</v>
      </c>
      <c r="G115" s="112">
        <f t="shared" si="18"/>
        <v>49</v>
      </c>
      <c r="H115" s="112">
        <f t="shared" si="19"/>
        <v>52</v>
      </c>
      <c r="I115" s="112">
        <f t="shared" si="20"/>
        <v>53</v>
      </c>
      <c r="J115" s="111">
        <f t="shared" si="15"/>
        <v>388.08888575535377</v>
      </c>
    </row>
    <row r="116" spans="2:10" ht="15" customHeight="1">
      <c r="B116" s="114">
        <v>2032</v>
      </c>
      <c r="C116" s="113">
        <f t="shared" si="14"/>
        <v>98.0888857553538</v>
      </c>
      <c r="D116" s="324">
        <f>ROUND((C115-Q50)-(C115*$D$98),0)</f>
        <v>53</v>
      </c>
      <c r="E116" s="112">
        <f t="shared" si="16"/>
        <v>44</v>
      </c>
      <c r="F116" s="112">
        <f t="shared" si="17"/>
        <v>45</v>
      </c>
      <c r="G116" s="112">
        <f t="shared" si="18"/>
        <v>49</v>
      </c>
      <c r="H116" s="112">
        <f t="shared" si="19"/>
        <v>49</v>
      </c>
      <c r="I116" s="112">
        <f t="shared" si="20"/>
        <v>52</v>
      </c>
      <c r="J116" s="111">
        <f t="shared" si="15"/>
        <v>390.08888575535377</v>
      </c>
    </row>
    <row r="117" spans="2:10" ht="15" customHeight="1">
      <c r="F117" s="14"/>
      <c r="G117" s="14"/>
    </row>
    <row r="118" spans="2:10" ht="15" customHeight="1">
      <c r="B118" s="15" t="str">
        <f>"Table 4C: "&amp;E3&amp;" Projected Pupil Generation from Housing Development, 2019-2032"</f>
        <v>Table 4C: Castleview Primary School Projected Pupil Generation from Housing Development, 2019-2032</v>
      </c>
      <c r="F118" s="14"/>
      <c r="G118" s="14"/>
    </row>
    <row r="119" spans="2:10" ht="15" customHeight="1">
      <c r="F119" s="14"/>
      <c r="G119" s="14"/>
    </row>
    <row r="120" spans="2:10" ht="15" customHeight="1">
      <c r="B120" s="115"/>
      <c r="C120" s="109" t="s">
        <v>1</v>
      </c>
      <c r="D120" s="109" t="s">
        <v>2</v>
      </c>
      <c r="E120" s="109" t="s">
        <v>3</v>
      </c>
      <c r="F120" s="109" t="s">
        <v>4</v>
      </c>
      <c r="G120" s="109" t="s">
        <v>5</v>
      </c>
      <c r="H120" s="109" t="s">
        <v>6</v>
      </c>
      <c r="I120" s="109" t="s">
        <v>7</v>
      </c>
      <c r="J120" s="109" t="s">
        <v>8</v>
      </c>
    </row>
    <row r="121" spans="2:10" ht="15" customHeight="1">
      <c r="B121" s="114">
        <v>2019</v>
      </c>
      <c r="C121" s="116" t="s">
        <v>97</v>
      </c>
      <c r="D121" s="112">
        <f>VLOOKUP($E$3,'Housing Generation'!$A$3:$BE$90,11,FALSE)</f>
        <v>8</v>
      </c>
      <c r="E121" s="112">
        <f>VLOOKUP($E$3,'Housing Generation'!$A$3:$BE$90,12,FALSE)</f>
        <v>8</v>
      </c>
      <c r="F121" s="112">
        <f>VLOOKUP($E$3,'Housing Generation'!$A$3:$BE$90,13,FALSE)</f>
        <v>8</v>
      </c>
      <c r="G121" s="112">
        <f>VLOOKUP($E$3,'Housing Generation'!$A$3:$BE$90,14,FALSE)</f>
        <v>8</v>
      </c>
      <c r="H121" s="112">
        <f>VLOOKUP($E$3,'Housing Generation'!$A$3:$BE$90,15,FALSE)</f>
        <v>7</v>
      </c>
      <c r="I121" s="112">
        <f>VLOOKUP($E$3,'Housing Generation'!$A$3:$BE$90,16,FALSE)</f>
        <v>7</v>
      </c>
      <c r="J121" s="111">
        <f t="shared" ref="J121:J134" si="21">SUM(D121:I121)</f>
        <v>46</v>
      </c>
    </row>
    <row r="122" spans="2:10" ht="15" customHeight="1">
      <c r="B122" s="114">
        <v>2020</v>
      </c>
      <c r="C122" s="116" t="s">
        <v>97</v>
      </c>
      <c r="D122" s="112">
        <f>VLOOKUP($E$3,'Housing Generation'!$A$3:$BE$90,19,FALSE)</f>
        <v>13</v>
      </c>
      <c r="E122" s="112">
        <f>VLOOKUP($E$3,'Housing Generation'!$A$3:$BE$90,20,FALSE)</f>
        <v>13</v>
      </c>
      <c r="F122" s="112">
        <f>VLOOKUP($E$3,'Housing Generation'!$A$3:$BE$90,21,FALSE)</f>
        <v>13</v>
      </c>
      <c r="G122" s="112">
        <f>VLOOKUP($E$3,'Housing Generation'!$A$3:$BE$90,22,FALSE)</f>
        <v>13</v>
      </c>
      <c r="H122" s="112">
        <f>VLOOKUP($E$3,'Housing Generation'!$A$3:$BE$90,23,FALSE)</f>
        <v>13</v>
      </c>
      <c r="I122" s="112">
        <f>VLOOKUP($E$3,'Housing Generation'!$A$3:$BE$90,24,FALSE)</f>
        <v>12</v>
      </c>
      <c r="J122" s="111">
        <f t="shared" si="21"/>
        <v>77</v>
      </c>
    </row>
    <row r="123" spans="2:10" ht="15" customHeight="1">
      <c r="B123" s="114">
        <v>2021</v>
      </c>
      <c r="C123" s="116" t="s">
        <v>97</v>
      </c>
      <c r="D123" s="112">
        <f>VLOOKUP($E$3,'Housing Generation'!$A$3:$BE$90,27,FALSE)</f>
        <v>19</v>
      </c>
      <c r="E123" s="112">
        <f>VLOOKUP($E$3,'Housing Generation'!$A$3:$BE$90,28,FALSE)</f>
        <v>18</v>
      </c>
      <c r="F123" s="112">
        <f>VLOOKUP($E$3,'Housing Generation'!$A$3:$BE$90,29,FALSE)</f>
        <v>18</v>
      </c>
      <c r="G123" s="112">
        <f>VLOOKUP($E$3,'Housing Generation'!$A$3:$BE$90,30,FALSE)</f>
        <v>18</v>
      </c>
      <c r="H123" s="112">
        <f>VLOOKUP($E$3,'Housing Generation'!$A$3:$BE$90,31,FALSE)</f>
        <v>18</v>
      </c>
      <c r="I123" s="112">
        <f>VLOOKUP($E$3,'Housing Generation'!$A$3:$BE$90,32,FALSE)</f>
        <v>18</v>
      </c>
      <c r="J123" s="111">
        <f t="shared" si="21"/>
        <v>109</v>
      </c>
    </row>
    <row r="124" spans="2:10" ht="15" customHeight="1">
      <c r="B124" s="114">
        <v>2022</v>
      </c>
      <c r="C124" s="116" t="s">
        <v>97</v>
      </c>
      <c r="D124" s="112">
        <f>VLOOKUP($E$3,'Housing Generation'!$A$3:$BE$90,35,FALSE)</f>
        <v>23</v>
      </c>
      <c r="E124" s="112">
        <f>VLOOKUP($E$3,'Housing Generation'!$A$3:$BE$90,36,FALSE)</f>
        <v>23</v>
      </c>
      <c r="F124" s="112">
        <f>VLOOKUP($E$3,'Housing Generation'!$A$3:$BE$90,37,FALSE)</f>
        <v>23</v>
      </c>
      <c r="G124" s="112">
        <f>VLOOKUP($E$3,'Housing Generation'!$A$3:$BE$90,38,FALSE)</f>
        <v>23</v>
      </c>
      <c r="H124" s="112">
        <f>VLOOKUP($E$3,'Housing Generation'!$A$3:$BE$90,39,FALSE)</f>
        <v>23</v>
      </c>
      <c r="I124" s="112">
        <f>VLOOKUP($E$3,'Housing Generation'!$A$3:$BE$90,40,FALSE)</f>
        <v>22</v>
      </c>
      <c r="J124" s="111">
        <f t="shared" si="21"/>
        <v>137</v>
      </c>
    </row>
    <row r="125" spans="2:10" ht="15" customHeight="1">
      <c r="B125" s="114">
        <v>2023</v>
      </c>
      <c r="C125" s="116" t="s">
        <v>97</v>
      </c>
      <c r="D125" s="112">
        <f>VLOOKUP($E$3,'Housing Generation'!$A$3:$BE$90,43,FALSE)</f>
        <v>28</v>
      </c>
      <c r="E125" s="112">
        <f>VLOOKUP($E$3,'Housing Generation'!$A$3:$BE$90,44,FALSE)</f>
        <v>28</v>
      </c>
      <c r="F125" s="112">
        <f>VLOOKUP($E$3,'Housing Generation'!$A$3:$BE$90,45,FALSE)</f>
        <v>28</v>
      </c>
      <c r="G125" s="112">
        <f>VLOOKUP($E$3,'Housing Generation'!$A$3:$BE$90,46,FALSE)</f>
        <v>28</v>
      </c>
      <c r="H125" s="112">
        <f>VLOOKUP($E$3,'Housing Generation'!$A$3:$BE$90,47,FALSE)</f>
        <v>28</v>
      </c>
      <c r="I125" s="112">
        <f>VLOOKUP($E$3,'Housing Generation'!$A$3:$BE$90,48,FALSE)</f>
        <v>28</v>
      </c>
      <c r="J125" s="111">
        <f t="shared" si="21"/>
        <v>168</v>
      </c>
    </row>
    <row r="126" spans="2:10" ht="15" customHeight="1">
      <c r="B126" s="114">
        <v>2024</v>
      </c>
      <c r="C126" s="116" t="s">
        <v>97</v>
      </c>
      <c r="D126" s="112">
        <f>VLOOKUP($E$3,'Housing Generation'!$A$3:$BE$90,51,FALSE)</f>
        <v>31</v>
      </c>
      <c r="E126" s="112">
        <f>VLOOKUP($E$3,'Housing Generation'!$A$3:$BE$90,52,FALSE)</f>
        <v>31</v>
      </c>
      <c r="F126" s="112">
        <f>VLOOKUP($E$3,'Housing Generation'!$A$3:$BE$90,53,FALSE)</f>
        <v>31</v>
      </c>
      <c r="G126" s="112">
        <f>VLOOKUP($E$3,'Housing Generation'!$A$3:$BE$90,54,FALSE)</f>
        <v>30</v>
      </c>
      <c r="H126" s="112">
        <f>VLOOKUP($E$3,'Housing Generation'!$A$3:$BE$90,55,FALSE)</f>
        <v>30</v>
      </c>
      <c r="I126" s="112">
        <f>VLOOKUP($E$3,'Housing Generation'!$A$3:$BE$90,56,FALSE)</f>
        <v>30</v>
      </c>
      <c r="J126" s="111">
        <f t="shared" si="21"/>
        <v>183</v>
      </c>
    </row>
    <row r="127" spans="2:10" ht="15" customHeight="1">
      <c r="B127" s="114">
        <v>2025</v>
      </c>
      <c r="C127" s="240" t="s">
        <v>97</v>
      </c>
      <c r="D127" s="112">
        <f>VLOOKUP($E$3,'Housing Generation'!$A$3:$CK$90,59,FALSE)</f>
        <v>33</v>
      </c>
      <c r="E127" s="112">
        <f>VLOOKUP($E$3,'Housing Generation'!$A$3:$CK$90,60,FALSE)</f>
        <v>33</v>
      </c>
      <c r="F127" s="112">
        <f>VLOOKUP($E$3,'Housing Generation'!$A$3:$CK$90,61,FALSE)</f>
        <v>33</v>
      </c>
      <c r="G127" s="112">
        <f>VLOOKUP($E$3,'Housing Generation'!$A$3:$CK$90,62,FALSE)</f>
        <v>33</v>
      </c>
      <c r="H127" s="112">
        <f>VLOOKUP($E$3,'Housing Generation'!$A$3:$CK$90,63,FALSE)</f>
        <v>33</v>
      </c>
      <c r="I127" s="112">
        <f>VLOOKUP($E$3,'Housing Generation'!$A$3:$CK$90,64,FALSE)</f>
        <v>33</v>
      </c>
      <c r="J127" s="111">
        <f t="shared" si="21"/>
        <v>198</v>
      </c>
    </row>
    <row r="128" spans="2:10" ht="15" customHeight="1">
      <c r="B128" s="114">
        <v>2026</v>
      </c>
      <c r="C128" s="240" t="s">
        <v>97</v>
      </c>
      <c r="D128" s="112">
        <f>VLOOKUP($E$3,'Housing Generation'!$A$3:$CK$90,67,FALSE)</f>
        <v>37</v>
      </c>
      <c r="E128" s="112">
        <f>VLOOKUP($E$3,'Housing Generation'!$A$3:$CK$90,68,FALSE)</f>
        <v>37</v>
      </c>
      <c r="F128" s="112">
        <f>VLOOKUP($E$3,'Housing Generation'!$A$3:$CK$90,69,FALSE)</f>
        <v>37</v>
      </c>
      <c r="G128" s="112">
        <f>VLOOKUP($E$3,'Housing Generation'!$A$3:$CK$90,70,FALSE)</f>
        <v>37</v>
      </c>
      <c r="H128" s="112">
        <f>VLOOKUP($E$3,'Housing Generation'!$A$3:$CK$90,71,FALSE)</f>
        <v>36</v>
      </c>
      <c r="I128" s="112">
        <f>VLOOKUP($E$3,'Housing Generation'!$A$3:$CK$90,72,FALSE)</f>
        <v>36</v>
      </c>
      <c r="J128" s="111">
        <f t="shared" si="21"/>
        <v>220</v>
      </c>
    </row>
    <row r="129" spans="2:10" ht="15" customHeight="1">
      <c r="B129" s="114">
        <v>2027</v>
      </c>
      <c r="C129" s="240" t="s">
        <v>97</v>
      </c>
      <c r="D129" s="112">
        <f>VLOOKUP($E$3,'Housing Generation'!$A$3:$CK$90,75,FALSE)</f>
        <v>41</v>
      </c>
      <c r="E129" s="112">
        <f>VLOOKUP($E$3,'Housing Generation'!$A$3:$CK$90,76,FALSE)</f>
        <v>40</v>
      </c>
      <c r="F129" s="112">
        <f>VLOOKUP($E$3,'Housing Generation'!$A$3:$CK$90,77,FALSE)</f>
        <v>40</v>
      </c>
      <c r="G129" s="112">
        <f>VLOOKUP($E$3,'Housing Generation'!$A$3:$CK$90,78,FALSE)</f>
        <v>40</v>
      </c>
      <c r="H129" s="112">
        <f>VLOOKUP($E$3,'Housing Generation'!$A$3:$CK$90,79,FALSE)</f>
        <v>40</v>
      </c>
      <c r="I129" s="112">
        <f>VLOOKUP($E$3,'Housing Generation'!$A$3:$CK$90,80,FALSE)</f>
        <v>40</v>
      </c>
      <c r="J129" s="111">
        <f t="shared" si="21"/>
        <v>241</v>
      </c>
    </row>
    <row r="130" spans="2:10" ht="15" customHeight="1">
      <c r="B130" s="114">
        <v>2028</v>
      </c>
      <c r="C130" s="289" t="s">
        <v>97</v>
      </c>
      <c r="D130" s="112">
        <f>VLOOKUP($E$3,'Housing Generation'!$A$3:$CK$90,83,FALSE)</f>
        <v>44</v>
      </c>
      <c r="E130" s="112">
        <f>VLOOKUP($E$3,'Housing Generation'!$A$3:$CK$90,84,FALSE)</f>
        <v>44</v>
      </c>
      <c r="F130" s="112">
        <f>VLOOKUP($E$3,'Housing Generation'!$A$3:$CK$90,85,FALSE)</f>
        <v>44</v>
      </c>
      <c r="G130" s="112">
        <f>VLOOKUP($E$3,'Housing Generation'!$A$3:$CK$90,86,FALSE)</f>
        <v>44</v>
      </c>
      <c r="H130" s="112">
        <f>VLOOKUP($E$3,'Housing Generation'!$A$3:$CK$90,87,FALSE)</f>
        <v>44</v>
      </c>
      <c r="I130" s="112">
        <f>VLOOKUP($E$3,'Housing Generation'!$A$3:$CK$90,88,FALSE)</f>
        <v>44</v>
      </c>
      <c r="J130" s="111">
        <f t="shared" si="21"/>
        <v>264</v>
      </c>
    </row>
    <row r="131" spans="2:10" ht="15" customHeight="1">
      <c r="B131" s="114">
        <v>2029</v>
      </c>
      <c r="C131" s="289" t="s">
        <v>97</v>
      </c>
      <c r="D131" s="112">
        <f>VLOOKUP($E$3,'Housing Generation'!$A$3:$DQ$90,91,FALSE)</f>
        <v>45</v>
      </c>
      <c r="E131" s="112">
        <f>VLOOKUP($E$3,'Housing Generation'!$A$3:$DQ$90,92,FALSE)</f>
        <v>45</v>
      </c>
      <c r="F131" s="112">
        <f>VLOOKUP($E$3,'Housing Generation'!$A$3:$DQ$90,93,FALSE)</f>
        <v>45</v>
      </c>
      <c r="G131" s="112">
        <f>VLOOKUP($E$3,'Housing Generation'!$A$3:$DQ$90,94,FALSE)</f>
        <v>45</v>
      </c>
      <c r="H131" s="112">
        <f>VLOOKUP($E$3,'Housing Generation'!$A$3:$DQ$90,95,FALSE)</f>
        <v>45</v>
      </c>
      <c r="I131" s="112">
        <f>VLOOKUP($E$3,'Housing Generation'!$A$3:$DQ$90,96,FALSE)</f>
        <v>44</v>
      </c>
      <c r="J131" s="111">
        <f t="shared" si="21"/>
        <v>269</v>
      </c>
    </row>
    <row r="132" spans="2:10" ht="15" customHeight="1">
      <c r="B132" s="114">
        <v>2030</v>
      </c>
      <c r="C132" s="289" t="s">
        <v>97</v>
      </c>
      <c r="D132" s="112">
        <f>VLOOKUP($E$3,'Housing Generation'!$A$3:$DQ$90,99,FALSE)</f>
        <v>46</v>
      </c>
      <c r="E132" s="112">
        <f>VLOOKUP($E$3,'Housing Generation'!$A$3:$DQ$90,100,FALSE)</f>
        <v>46</v>
      </c>
      <c r="F132" s="112">
        <f>VLOOKUP($E$3,'Housing Generation'!$A$3:$DQ$90,101,FALSE)</f>
        <v>46</v>
      </c>
      <c r="G132" s="112">
        <f>VLOOKUP($E$3,'Housing Generation'!$A$3:$DQ$90,102,FALSE)</f>
        <v>45</v>
      </c>
      <c r="H132" s="112">
        <f>VLOOKUP($E$3,'Housing Generation'!$A$3:$DQ$90,103,FALSE)</f>
        <v>45</v>
      </c>
      <c r="I132" s="112">
        <f>VLOOKUP($E$3,'Housing Generation'!$A$3:$DQ$90,104,FALSE)</f>
        <v>45</v>
      </c>
      <c r="J132" s="111">
        <f t="shared" si="21"/>
        <v>273</v>
      </c>
    </row>
    <row r="133" spans="2:10" ht="15" customHeight="1">
      <c r="B133" s="114">
        <v>2031</v>
      </c>
      <c r="C133" s="289" t="s">
        <v>97</v>
      </c>
      <c r="D133" s="112">
        <f>VLOOKUP($E$3,'Housing Generation'!$A$3:$DQ$90,107,FALSE)</f>
        <v>47</v>
      </c>
      <c r="E133" s="112">
        <f>VLOOKUP($E$3,'Housing Generation'!$A$3:$DQ$90,108,FALSE)</f>
        <v>46</v>
      </c>
      <c r="F133" s="112">
        <f>VLOOKUP($E$3,'Housing Generation'!$A$3:$DQ$90,109,FALSE)</f>
        <v>46</v>
      </c>
      <c r="G133" s="112">
        <f>VLOOKUP($E$3,'Housing Generation'!$A$3:$DQ$90,110,FALSE)</f>
        <v>46</v>
      </c>
      <c r="H133" s="112">
        <f>VLOOKUP($E$3,'Housing Generation'!$A$3:$DQ$90,111,FALSE)</f>
        <v>46</v>
      </c>
      <c r="I133" s="112">
        <f>VLOOKUP($E$3,'Housing Generation'!$A$3:$DQ$90,112,FALSE)</f>
        <v>46</v>
      </c>
      <c r="J133" s="111">
        <f t="shared" si="21"/>
        <v>277</v>
      </c>
    </row>
    <row r="134" spans="2:10" ht="15" customHeight="1">
      <c r="B134" s="114">
        <v>2032</v>
      </c>
      <c r="C134" s="289" t="s">
        <v>97</v>
      </c>
      <c r="D134" s="112">
        <f>VLOOKUP($E$3,'Housing Generation'!$A$3:$DQ$90,115,FALSE)</f>
        <v>47</v>
      </c>
      <c r="E134" s="112">
        <f>VLOOKUP($E$3,'Housing Generation'!$A$3:$DQ$90,116,FALSE)</f>
        <v>47</v>
      </c>
      <c r="F134" s="112">
        <f>VLOOKUP($E$3,'Housing Generation'!$A$3:$DQ$90,117,FALSE)</f>
        <v>47</v>
      </c>
      <c r="G134" s="112">
        <f>VLOOKUP($E$3,'Housing Generation'!$A$3:$DQ$90,118,FALSE)</f>
        <v>47</v>
      </c>
      <c r="H134" s="112">
        <f>VLOOKUP($E$3,'Housing Generation'!$A$3:$DQ$90,119,FALSE)</f>
        <v>47</v>
      </c>
      <c r="I134" s="112">
        <f>VLOOKUP($E$3,'Housing Generation'!$A$3:$DQ$90,120,FALSE)</f>
        <v>47</v>
      </c>
      <c r="J134" s="111">
        <f t="shared" si="21"/>
        <v>282</v>
      </c>
    </row>
    <row r="135" spans="2:10" ht="15"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Castleview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50</v>
      </c>
      <c r="D139" s="112">
        <f t="shared" ref="D139:I152" si="23">D121+D103</f>
        <v>55</v>
      </c>
      <c r="E139" s="112">
        <f t="shared" si="23"/>
        <v>52</v>
      </c>
      <c r="F139" s="112">
        <f t="shared" si="23"/>
        <v>67</v>
      </c>
      <c r="G139" s="112">
        <f t="shared" si="23"/>
        <v>52</v>
      </c>
      <c r="H139" s="112">
        <f t="shared" si="23"/>
        <v>47</v>
      </c>
      <c r="I139" s="112">
        <f t="shared" si="23"/>
        <v>47</v>
      </c>
      <c r="J139" s="111">
        <f t="shared" ref="J139:J147" si="24">SUM(C139:I139)</f>
        <v>370</v>
      </c>
    </row>
    <row r="140" spans="2:10" ht="15" customHeight="1">
      <c r="B140" s="114">
        <v>2020</v>
      </c>
      <c r="C140" s="113">
        <f t="shared" si="22"/>
        <v>60</v>
      </c>
      <c r="D140" s="112">
        <f t="shared" si="23"/>
        <v>51</v>
      </c>
      <c r="E140" s="112">
        <f t="shared" si="23"/>
        <v>59</v>
      </c>
      <c r="F140" s="112">
        <f t="shared" si="23"/>
        <v>57</v>
      </c>
      <c r="G140" s="112">
        <f t="shared" si="23"/>
        <v>76</v>
      </c>
      <c r="H140" s="112">
        <f t="shared" si="23"/>
        <v>57</v>
      </c>
      <c r="I140" s="112">
        <f t="shared" si="23"/>
        <v>52</v>
      </c>
      <c r="J140" s="111">
        <f t="shared" si="24"/>
        <v>412</v>
      </c>
    </row>
    <row r="141" spans="2:10" ht="15" customHeight="1">
      <c r="B141" s="114">
        <v>2021</v>
      </c>
      <c r="C141" s="113">
        <f t="shared" si="22"/>
        <v>75</v>
      </c>
      <c r="D141" s="112">
        <f t="shared" si="23"/>
        <v>61</v>
      </c>
      <c r="E141" s="112">
        <f t="shared" si="23"/>
        <v>55</v>
      </c>
      <c r="F141" s="112">
        <f t="shared" si="23"/>
        <v>64</v>
      </c>
      <c r="G141" s="112">
        <f t="shared" si="23"/>
        <v>65</v>
      </c>
      <c r="H141" s="112">
        <f t="shared" si="23"/>
        <v>81</v>
      </c>
      <c r="I141" s="112">
        <f t="shared" si="23"/>
        <v>62</v>
      </c>
      <c r="J141" s="111">
        <f t="shared" si="24"/>
        <v>463</v>
      </c>
    </row>
    <row r="142" spans="2:10" ht="15" customHeight="1">
      <c r="B142" s="114">
        <v>2022</v>
      </c>
      <c r="C142" s="113">
        <f t="shared" si="22"/>
        <v>72</v>
      </c>
      <c r="D142" s="112">
        <f t="shared" si="23"/>
        <v>77</v>
      </c>
      <c r="E142" s="112">
        <f t="shared" si="23"/>
        <v>64</v>
      </c>
      <c r="F142" s="112">
        <f t="shared" si="23"/>
        <v>60</v>
      </c>
      <c r="G142" s="112">
        <f t="shared" si="23"/>
        <v>72</v>
      </c>
      <c r="H142" s="112">
        <f t="shared" si="23"/>
        <v>70</v>
      </c>
      <c r="I142" s="112">
        <f t="shared" si="23"/>
        <v>85</v>
      </c>
      <c r="J142" s="111">
        <f t="shared" si="24"/>
        <v>500</v>
      </c>
    </row>
    <row r="143" spans="2:10" ht="15" customHeight="1">
      <c r="B143" s="114">
        <v>2023</v>
      </c>
      <c r="C143" s="113">
        <f t="shared" si="22"/>
        <v>75</v>
      </c>
      <c r="D143" s="112">
        <f t="shared" si="23"/>
        <v>74</v>
      </c>
      <c r="E143" s="112">
        <f t="shared" si="23"/>
        <v>81</v>
      </c>
      <c r="F143" s="112">
        <f t="shared" si="23"/>
        <v>69</v>
      </c>
      <c r="G143" s="112">
        <f t="shared" si="23"/>
        <v>68</v>
      </c>
      <c r="H143" s="112">
        <f t="shared" si="23"/>
        <v>77</v>
      </c>
      <c r="I143" s="112">
        <f t="shared" si="23"/>
        <v>75</v>
      </c>
      <c r="J143" s="111">
        <f t="shared" si="24"/>
        <v>519</v>
      </c>
    </row>
    <row r="144" spans="2:10" ht="15" customHeight="1">
      <c r="B144" s="114">
        <v>2024</v>
      </c>
      <c r="C144" s="113">
        <f t="shared" si="22"/>
        <v>84.172716411030848</v>
      </c>
      <c r="D144" s="112">
        <f t="shared" si="23"/>
        <v>77</v>
      </c>
      <c r="E144" s="112">
        <f t="shared" si="23"/>
        <v>76</v>
      </c>
      <c r="F144" s="112">
        <f t="shared" si="23"/>
        <v>84</v>
      </c>
      <c r="G144" s="112">
        <f t="shared" si="23"/>
        <v>74</v>
      </c>
      <c r="H144" s="112">
        <f t="shared" si="23"/>
        <v>70</v>
      </c>
      <c r="I144" s="112">
        <f t="shared" si="23"/>
        <v>79</v>
      </c>
      <c r="J144" s="111">
        <f t="shared" si="24"/>
        <v>544.17271641103082</v>
      </c>
    </row>
    <row r="145" spans="2:16" ht="15" customHeight="1">
      <c r="B145" s="114">
        <v>2025</v>
      </c>
      <c r="C145" s="113">
        <f t="shared" si="22"/>
        <v>86.370006307502905</v>
      </c>
      <c r="D145" s="112">
        <f t="shared" si="23"/>
        <v>85</v>
      </c>
      <c r="E145" s="112">
        <f t="shared" si="23"/>
        <v>78</v>
      </c>
      <c r="F145" s="112">
        <f t="shared" si="23"/>
        <v>78</v>
      </c>
      <c r="G145" s="112">
        <f t="shared" si="23"/>
        <v>90</v>
      </c>
      <c r="H145" s="112">
        <f t="shared" si="23"/>
        <v>77</v>
      </c>
      <c r="I145" s="112">
        <f t="shared" si="23"/>
        <v>73</v>
      </c>
      <c r="J145" s="111">
        <f t="shared" si="24"/>
        <v>567.37000630750288</v>
      </c>
    </row>
    <row r="146" spans="2:16" ht="15" customHeight="1">
      <c r="B146" s="114">
        <v>2026</v>
      </c>
      <c r="C146" s="113">
        <f t="shared" si="22"/>
        <v>89.299726169465629</v>
      </c>
      <c r="D146" s="112">
        <f t="shared" si="23"/>
        <v>88</v>
      </c>
      <c r="E146" s="112">
        <f t="shared" si="23"/>
        <v>88</v>
      </c>
      <c r="F146" s="112">
        <f t="shared" si="23"/>
        <v>82</v>
      </c>
      <c r="G146" s="112">
        <f t="shared" si="23"/>
        <v>85</v>
      </c>
      <c r="H146" s="112">
        <f t="shared" si="23"/>
        <v>93</v>
      </c>
      <c r="I146" s="112">
        <f t="shared" si="23"/>
        <v>80</v>
      </c>
      <c r="J146" s="111">
        <f t="shared" si="24"/>
        <v>605.29972616946566</v>
      </c>
    </row>
    <row r="147" spans="2:16" ht="15" customHeight="1">
      <c r="B147" s="114">
        <v>2027</v>
      </c>
      <c r="C147" s="113">
        <f t="shared" si="22"/>
        <v>90</v>
      </c>
      <c r="D147" s="112">
        <f t="shared" si="23"/>
        <v>91</v>
      </c>
      <c r="E147" s="112">
        <f t="shared" si="23"/>
        <v>90</v>
      </c>
      <c r="F147" s="112">
        <f t="shared" si="23"/>
        <v>91</v>
      </c>
      <c r="G147" s="112">
        <f t="shared" si="23"/>
        <v>88</v>
      </c>
      <c r="H147" s="112">
        <f t="shared" si="23"/>
        <v>88</v>
      </c>
      <c r="I147" s="112">
        <f t="shared" si="23"/>
        <v>97</v>
      </c>
      <c r="J147" s="111">
        <f t="shared" si="24"/>
        <v>635</v>
      </c>
    </row>
    <row r="148" spans="2:16" ht="15" customHeight="1">
      <c r="B148" s="114">
        <v>2028</v>
      </c>
      <c r="C148" s="113">
        <f t="shared" si="22"/>
        <v>90</v>
      </c>
      <c r="D148" s="112">
        <f t="shared" si="23"/>
        <v>91</v>
      </c>
      <c r="E148" s="112">
        <f t="shared" si="23"/>
        <v>93</v>
      </c>
      <c r="F148" s="112">
        <f t="shared" si="23"/>
        <v>94</v>
      </c>
      <c r="G148" s="112">
        <f t="shared" si="23"/>
        <v>98</v>
      </c>
      <c r="H148" s="112">
        <f t="shared" si="23"/>
        <v>92</v>
      </c>
      <c r="I148" s="112">
        <f t="shared" si="23"/>
        <v>92</v>
      </c>
      <c r="J148" s="111">
        <f t="shared" ref="J148:J152" si="25">SUM(C148:I148)</f>
        <v>650</v>
      </c>
    </row>
    <row r="149" spans="2:16" ht="15" customHeight="1">
      <c r="B149" s="114">
        <v>2029</v>
      </c>
      <c r="C149" s="113">
        <f t="shared" si="22"/>
        <v>90</v>
      </c>
      <c r="D149" s="112">
        <f t="shared" si="23"/>
        <v>92</v>
      </c>
      <c r="E149" s="112">
        <f t="shared" si="23"/>
        <v>91</v>
      </c>
      <c r="F149" s="112">
        <f t="shared" si="23"/>
        <v>94</v>
      </c>
      <c r="G149" s="112">
        <f t="shared" si="23"/>
        <v>98</v>
      </c>
      <c r="H149" s="112">
        <f t="shared" si="23"/>
        <v>99</v>
      </c>
      <c r="I149" s="112">
        <f t="shared" si="23"/>
        <v>92</v>
      </c>
      <c r="J149" s="111">
        <f t="shared" si="25"/>
        <v>656</v>
      </c>
    </row>
    <row r="150" spans="2:16" ht="15" customHeight="1">
      <c r="B150" s="114">
        <v>2030</v>
      </c>
      <c r="C150" s="113">
        <f t="shared" si="22"/>
        <v>90</v>
      </c>
      <c r="D150" s="112">
        <f t="shared" si="23"/>
        <v>92</v>
      </c>
      <c r="E150" s="112">
        <f t="shared" si="23"/>
        <v>92</v>
      </c>
      <c r="F150" s="112">
        <f t="shared" si="23"/>
        <v>92</v>
      </c>
      <c r="G150" s="112">
        <f t="shared" si="23"/>
        <v>97</v>
      </c>
      <c r="H150" s="112">
        <f t="shared" si="23"/>
        <v>98</v>
      </c>
      <c r="I150" s="112">
        <f t="shared" si="23"/>
        <v>99</v>
      </c>
      <c r="J150" s="111">
        <f t="shared" si="25"/>
        <v>660</v>
      </c>
    </row>
    <row r="151" spans="2:16" ht="15" customHeight="1">
      <c r="B151" s="114">
        <v>2031</v>
      </c>
      <c r="C151" s="113">
        <f t="shared" si="22"/>
        <v>98.0888857553538</v>
      </c>
      <c r="D151" s="112">
        <f t="shared" si="23"/>
        <v>92</v>
      </c>
      <c r="E151" s="112">
        <f t="shared" si="23"/>
        <v>91</v>
      </c>
      <c r="F151" s="112">
        <f t="shared" si="23"/>
        <v>92</v>
      </c>
      <c r="G151" s="112">
        <f t="shared" si="23"/>
        <v>95</v>
      </c>
      <c r="H151" s="112">
        <f t="shared" si="23"/>
        <v>98</v>
      </c>
      <c r="I151" s="112">
        <f t="shared" si="23"/>
        <v>99</v>
      </c>
      <c r="J151" s="111">
        <f t="shared" si="25"/>
        <v>665.08888575535377</v>
      </c>
    </row>
    <row r="152" spans="2:16" ht="15" customHeight="1">
      <c r="B152" s="114">
        <v>2032</v>
      </c>
      <c r="C152" s="113">
        <f t="shared" si="22"/>
        <v>98.0888857553538</v>
      </c>
      <c r="D152" s="112">
        <f t="shared" si="23"/>
        <v>100</v>
      </c>
      <c r="E152" s="112">
        <f t="shared" si="23"/>
        <v>91</v>
      </c>
      <c r="F152" s="112">
        <f t="shared" si="23"/>
        <v>92</v>
      </c>
      <c r="G152" s="112">
        <f t="shared" si="23"/>
        <v>96</v>
      </c>
      <c r="H152" s="112">
        <f t="shared" si="23"/>
        <v>96</v>
      </c>
      <c r="I152" s="112">
        <f t="shared" si="23"/>
        <v>99</v>
      </c>
      <c r="J152" s="111">
        <f t="shared" si="25"/>
        <v>672.08888575535377</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370</v>
      </c>
      <c r="D159" s="108">
        <f>J140</f>
        <v>412</v>
      </c>
      <c r="E159" s="108">
        <f>J141</f>
        <v>463</v>
      </c>
      <c r="F159" s="108">
        <f>J142</f>
        <v>500</v>
      </c>
      <c r="G159" s="108">
        <f>J143</f>
        <v>519</v>
      </c>
      <c r="H159" s="108">
        <f>J144</f>
        <v>544.17271641103082</v>
      </c>
      <c r="I159" s="108">
        <f>J145</f>
        <v>567.37000630750288</v>
      </c>
      <c r="J159" s="108">
        <f>J146</f>
        <v>605.29972616946566</v>
      </c>
      <c r="K159" s="108">
        <f>J147</f>
        <v>635</v>
      </c>
      <c r="L159" s="108">
        <f>J148</f>
        <v>650</v>
      </c>
      <c r="M159" s="108">
        <f>J149</f>
        <v>656</v>
      </c>
      <c r="N159" s="108">
        <f>J150</f>
        <v>660</v>
      </c>
      <c r="O159" s="108">
        <f>J151</f>
        <v>665.08888575535377</v>
      </c>
      <c r="P159" s="108">
        <f>J152</f>
        <v>672.08888575535377</v>
      </c>
    </row>
    <row r="160" spans="2:16" ht="15" customHeight="1">
      <c r="B160" s="107" t="s">
        <v>152</v>
      </c>
      <c r="C160" s="106">
        <f>VLOOKUP(C159,Capacity!$A$1:$C$645,2,TRUE)</f>
        <v>14</v>
      </c>
      <c r="D160" s="106">
        <f>VLOOKUP(D159,Capacity!$A$1:$C$645,2,TRUE)</f>
        <v>14</v>
      </c>
      <c r="E160" s="106">
        <f>VLOOKUP(E159,Capacity!$A$1:$C$645,2,TRUE)</f>
        <v>17</v>
      </c>
      <c r="F160" s="106">
        <f>VLOOKUP(F159,Capacity!$A$1:$C$645,2,TRUE)</f>
        <v>18</v>
      </c>
      <c r="G160" s="106">
        <f>VLOOKUP(G159,Capacity!$A$1:$C$645,2,TRUE)</f>
        <v>19</v>
      </c>
      <c r="H160" s="106">
        <f>VLOOKUP(H159,Capacity!$A$1:$C$645,2,TRUE)</f>
        <v>19</v>
      </c>
      <c r="I160" s="106">
        <f>VLOOKUP(I159,Capacity!$A$1:$C$645,2,TRUE)</f>
        <v>21</v>
      </c>
      <c r="J160" s="106">
        <f>VLOOKUP(J159,Capacity!$A$1:$C$645,2,TRUE)</f>
        <v>21</v>
      </c>
      <c r="K160" s="106">
        <f>VLOOKUP(K159,Capacity!$A$1:$C$645,2,TRUE)</f>
        <v>22</v>
      </c>
      <c r="L160" s="106">
        <f>VLOOKUP(L159,Capacity!$A$1:$C$645,2,TRUE)</f>
        <v>22</v>
      </c>
      <c r="M160" s="106">
        <f>VLOOKUP(M159,Capacity!$A$1:$C$645,2,TRUE)</f>
        <v>23</v>
      </c>
      <c r="N160" s="106">
        <f>VLOOKUP(N159,Capacity!$A$1:$C$645,2,TRUE)</f>
        <v>23</v>
      </c>
      <c r="O160" s="106">
        <f>VLOOKUP(O159,Capacity!$A$1:$C$645,2,TRUE)</f>
        <v>23</v>
      </c>
      <c r="P160" s="106">
        <f>VLOOKUP(P159,Capacity!$A$1:$C$645,2,TRUE)</f>
        <v>23</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54</v>
      </c>
      <c r="D169" s="97">
        <f>VLOOKUP($E$3,'Catchment Births'!$A$1:$U$90,11,FALSE)</f>
        <v>56</v>
      </c>
      <c r="E169" s="97">
        <f>VLOOKUP($E$3,'Catchment Births'!$A$1:$U$90,12,FALSE)</f>
        <v>64</v>
      </c>
      <c r="F169" s="97">
        <f>VLOOKUP($E$3,'Catchment Births'!$A$1:$U$90,13,FALSE)</f>
        <v>67</v>
      </c>
      <c r="G169" s="97">
        <f>VLOOKUP($E$3,'Catchment Births'!$A$1:$U$90,14,FALSE)</f>
        <v>80</v>
      </c>
      <c r="H169" s="97">
        <f>VLOOKUP($E$3,'Catchment Births'!$A$1:$U$90,15,FALSE)</f>
        <v>73</v>
      </c>
      <c r="I169" s="97">
        <f>VLOOKUP($E$3,'Catchment Births'!$A$1:$U$90,16,FALSE)</f>
        <v>62</v>
      </c>
      <c r="J169" s="97">
        <f>VLOOKUP($E$3,'Catchment Births'!$A$1:$U$90,17,FALSE)</f>
        <v>57</v>
      </c>
      <c r="K169" s="97">
        <f>VLOOKUP($E$3,'Catchment Births'!$A$1:$U$90,18,FALSE)</f>
        <v>71</v>
      </c>
      <c r="L169" s="97">
        <f>VLOOKUP($E$3,'Catchment Births'!$A$1:$U$90,19,FALSE)</f>
        <v>62</v>
      </c>
      <c r="M169" s="97">
        <f>VLOOKUP($E$3,'Catchment Births'!$A$1:$U$90,20,FALSE)</f>
        <v>56</v>
      </c>
      <c r="N169" s="97">
        <f>VLOOKUP($E$3,'Catchment Births'!$A$1:$U$90,21,FALSE)</f>
        <v>66</v>
      </c>
    </row>
    <row r="170" spans="2:14" ht="58.5" customHeight="1">
      <c r="B170" s="103" t="str">
        <f>"P1 "&amp;A35&amp;" Catchment Population (Actual)"</f>
        <v>P1 ND Catchment Population (Actual)</v>
      </c>
      <c r="C170" s="102" t="e">
        <v>#REF!</v>
      </c>
      <c r="D170" s="102">
        <v>44</v>
      </c>
      <c r="E170" s="102">
        <v>44</v>
      </c>
      <c r="F170" s="102">
        <v>35</v>
      </c>
      <c r="G170" s="102">
        <v>53</v>
      </c>
      <c r="H170" s="102">
        <v>56</v>
      </c>
      <c r="I170" s="102">
        <v>52</v>
      </c>
      <c r="J170" s="308">
        <f>VLOOKUP(E3,'Catchment Projections'!A1:BU92,42,FALSE)</f>
        <v>68</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52</v>
      </c>
      <c r="J172" s="96" t="e">
        <f>#REF!</f>
        <v>#REF!</v>
      </c>
      <c r="K172" s="96">
        <f>D51</f>
        <v>59</v>
      </c>
      <c r="L172" s="96">
        <f>E51</f>
        <v>73</v>
      </c>
      <c r="M172" s="96">
        <f>F51</f>
        <v>99</v>
      </c>
      <c r="N172" s="96">
        <f>G51</f>
        <v>96</v>
      </c>
    </row>
    <row r="173" spans="2:14" ht="12.75">
      <c r="B173" s="62"/>
      <c r="C173" s="62"/>
      <c r="D173" s="62"/>
      <c r="E173" s="62"/>
      <c r="F173" s="62"/>
      <c r="G173" s="62"/>
      <c r="H173" s="62"/>
      <c r="I173" s="62"/>
      <c r="J173" s="62"/>
      <c r="K173" s="62"/>
    </row>
    <row r="174" spans="2:14" ht="15" customHeight="1">
      <c r="B174" s="64" t="str">
        <f>"Table 5: "&amp;E3&amp;" Roll by Stage, 2002-2018"</f>
        <v>Table 5: Castleview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0</v>
      </c>
      <c r="D177" s="93">
        <v>0</v>
      </c>
      <c r="E177" s="93">
        <v>0</v>
      </c>
      <c r="F177" s="93">
        <v>0</v>
      </c>
      <c r="G177" s="93">
        <v>0</v>
      </c>
      <c r="H177" s="93">
        <v>0</v>
      </c>
      <c r="I177" s="93">
        <v>0</v>
      </c>
      <c r="J177" s="92">
        <v>0</v>
      </c>
      <c r="K177" s="62"/>
    </row>
    <row r="178" spans="2:11" ht="15" customHeight="1">
      <c r="B178" s="94">
        <v>2003</v>
      </c>
      <c r="C178" s="93">
        <v>27</v>
      </c>
      <c r="D178" s="93">
        <v>30</v>
      </c>
      <c r="E178" s="93">
        <v>28</v>
      </c>
      <c r="F178" s="93">
        <v>33</v>
      </c>
      <c r="G178" s="93">
        <v>31</v>
      </c>
      <c r="H178" s="93">
        <v>26</v>
      </c>
      <c r="I178" s="93">
        <v>30</v>
      </c>
      <c r="J178" s="92">
        <v>205</v>
      </c>
      <c r="K178" s="62"/>
    </row>
    <row r="179" spans="2:11" customFormat="1" ht="15" customHeight="1">
      <c r="B179" s="94">
        <v>2004</v>
      </c>
      <c r="C179" s="95">
        <v>41</v>
      </c>
      <c r="D179" s="95">
        <v>27</v>
      </c>
      <c r="E179" s="95">
        <v>27</v>
      </c>
      <c r="F179" s="95">
        <v>27</v>
      </c>
      <c r="G179" s="95">
        <v>30</v>
      </c>
      <c r="H179" s="95">
        <v>33</v>
      </c>
      <c r="I179" s="95">
        <v>24</v>
      </c>
      <c r="J179" s="92">
        <v>209</v>
      </c>
      <c r="K179" s="62"/>
    </row>
    <row r="180" spans="2:11" customFormat="1" ht="15" customHeight="1">
      <c r="B180" s="94">
        <v>2005</v>
      </c>
      <c r="C180" s="93">
        <v>22</v>
      </c>
      <c r="D180" s="93">
        <v>40</v>
      </c>
      <c r="E180" s="93">
        <v>25</v>
      </c>
      <c r="F180" s="93">
        <v>25</v>
      </c>
      <c r="G180" s="93">
        <v>25</v>
      </c>
      <c r="H180" s="93">
        <v>29</v>
      </c>
      <c r="I180" s="93">
        <v>30</v>
      </c>
      <c r="J180" s="92">
        <v>196</v>
      </c>
      <c r="K180" s="62"/>
    </row>
    <row r="181" spans="2:11" customFormat="1" ht="15" customHeight="1">
      <c r="B181" s="94">
        <v>2006</v>
      </c>
      <c r="C181" s="93">
        <v>25</v>
      </c>
      <c r="D181" s="93">
        <v>20</v>
      </c>
      <c r="E181" s="93">
        <v>37</v>
      </c>
      <c r="F181" s="93">
        <v>23</v>
      </c>
      <c r="G181" s="93">
        <v>24</v>
      </c>
      <c r="H181" s="93">
        <v>22</v>
      </c>
      <c r="I181" s="93">
        <v>31</v>
      </c>
      <c r="J181" s="92">
        <v>182</v>
      </c>
      <c r="K181" s="62"/>
    </row>
    <row r="182" spans="2:11" customFormat="1" ht="15" customHeight="1">
      <c r="B182" s="94">
        <v>2007</v>
      </c>
      <c r="C182" s="93">
        <v>26</v>
      </c>
      <c r="D182" s="93">
        <v>23</v>
      </c>
      <c r="E182" s="93">
        <v>20</v>
      </c>
      <c r="F182" s="93">
        <v>30</v>
      </c>
      <c r="G182" s="93">
        <v>21</v>
      </c>
      <c r="H182" s="93">
        <v>26</v>
      </c>
      <c r="I182" s="93">
        <v>22</v>
      </c>
      <c r="J182" s="92">
        <v>168</v>
      </c>
      <c r="K182" s="62"/>
    </row>
    <row r="183" spans="2:11" customFormat="1" ht="15" customHeight="1">
      <c r="B183" s="94">
        <v>2008</v>
      </c>
      <c r="C183" s="93">
        <v>26</v>
      </c>
      <c r="D183" s="93">
        <v>24</v>
      </c>
      <c r="E183" s="93">
        <v>22</v>
      </c>
      <c r="F183" s="93">
        <v>20</v>
      </c>
      <c r="G183" s="93">
        <v>28</v>
      </c>
      <c r="H183" s="93">
        <v>19</v>
      </c>
      <c r="I183" s="93">
        <v>24</v>
      </c>
      <c r="J183" s="92">
        <v>163</v>
      </c>
      <c r="K183" s="62"/>
    </row>
    <row r="184" spans="2:11" customFormat="1" ht="15" customHeight="1">
      <c r="B184" s="94">
        <v>2009</v>
      </c>
      <c r="C184" s="93">
        <v>30</v>
      </c>
      <c r="D184" s="93">
        <v>22</v>
      </c>
      <c r="E184" s="93">
        <v>23</v>
      </c>
      <c r="F184" s="93">
        <v>22</v>
      </c>
      <c r="G184" s="93">
        <v>17</v>
      </c>
      <c r="H184" s="93">
        <v>30</v>
      </c>
      <c r="I184" s="93">
        <v>21</v>
      </c>
      <c r="J184" s="94">
        <v>165</v>
      </c>
      <c r="K184" s="62"/>
    </row>
    <row r="185" spans="2:11" customFormat="1" ht="15" customHeight="1">
      <c r="B185" s="94">
        <v>2010</v>
      </c>
      <c r="C185" s="93">
        <v>27</v>
      </c>
      <c r="D185" s="93">
        <v>31</v>
      </c>
      <c r="E185" s="93">
        <v>24</v>
      </c>
      <c r="F185" s="93">
        <v>21</v>
      </c>
      <c r="G185" s="93">
        <v>22</v>
      </c>
      <c r="H185" s="93">
        <v>22</v>
      </c>
      <c r="I185" s="93">
        <v>25</v>
      </c>
      <c r="J185" s="92">
        <v>172</v>
      </c>
      <c r="K185" s="62"/>
    </row>
    <row r="186" spans="2:11" customFormat="1" ht="15" customHeight="1">
      <c r="B186" s="94">
        <v>2011</v>
      </c>
      <c r="C186" s="93">
        <v>37</v>
      </c>
      <c r="D186" s="93">
        <v>28</v>
      </c>
      <c r="E186" s="93">
        <v>30</v>
      </c>
      <c r="F186" s="93">
        <v>24</v>
      </c>
      <c r="G186" s="93">
        <v>24</v>
      </c>
      <c r="H186" s="93">
        <v>20</v>
      </c>
      <c r="I186" s="93">
        <v>24</v>
      </c>
      <c r="J186" s="92">
        <v>187</v>
      </c>
      <c r="K186" s="62"/>
    </row>
    <row r="187" spans="2:11" customFormat="1" ht="15" customHeight="1">
      <c r="B187" s="94">
        <v>2012</v>
      </c>
      <c r="C187" s="93">
        <v>38</v>
      </c>
      <c r="D187" s="93">
        <v>36</v>
      </c>
      <c r="E187" s="93">
        <v>28</v>
      </c>
      <c r="F187" s="93">
        <v>32</v>
      </c>
      <c r="G187" s="93">
        <v>24</v>
      </c>
      <c r="H187" s="93">
        <v>28</v>
      </c>
      <c r="I187" s="93">
        <v>18</v>
      </c>
      <c r="J187" s="92">
        <v>204</v>
      </c>
      <c r="K187" s="62"/>
    </row>
    <row r="188" spans="2:11" customFormat="1" ht="15" customHeight="1">
      <c r="B188" s="94">
        <v>2013</v>
      </c>
      <c r="C188" s="93">
        <v>40</v>
      </c>
      <c r="D188" s="93">
        <v>41</v>
      </c>
      <c r="E188" s="93">
        <v>35</v>
      </c>
      <c r="F188" s="93">
        <v>24</v>
      </c>
      <c r="G188" s="93">
        <v>32</v>
      </c>
      <c r="H188" s="93">
        <v>23</v>
      </c>
      <c r="I188" s="93">
        <v>29</v>
      </c>
      <c r="J188" s="94">
        <v>224</v>
      </c>
      <c r="K188" s="62"/>
    </row>
    <row r="189" spans="2:11" customFormat="1" ht="15" customHeight="1">
      <c r="B189" s="94">
        <v>2014</v>
      </c>
      <c r="C189" s="93">
        <v>44</v>
      </c>
      <c r="D189" s="93">
        <v>37</v>
      </c>
      <c r="E189" s="93">
        <v>44</v>
      </c>
      <c r="F189" s="93">
        <v>31</v>
      </c>
      <c r="G189" s="93">
        <v>28</v>
      </c>
      <c r="H189" s="93">
        <v>33</v>
      </c>
      <c r="I189" s="93">
        <v>27</v>
      </c>
      <c r="J189" s="92">
        <v>244</v>
      </c>
      <c r="K189" s="65"/>
    </row>
    <row r="190" spans="2:11" customFormat="1" ht="15" customHeight="1">
      <c r="B190" s="94">
        <v>2015</v>
      </c>
      <c r="C190" s="93">
        <v>45</v>
      </c>
      <c r="D190" s="93">
        <v>46</v>
      </c>
      <c r="E190" s="93">
        <v>36</v>
      </c>
      <c r="F190" s="93">
        <v>44</v>
      </c>
      <c r="G190" s="93">
        <v>32</v>
      </c>
      <c r="H190" s="93">
        <v>28</v>
      </c>
      <c r="I190" s="93">
        <v>33</v>
      </c>
      <c r="J190" s="92">
        <v>264</v>
      </c>
      <c r="K190" s="65"/>
    </row>
    <row r="191" spans="2:11" customFormat="1" ht="15" customHeight="1">
      <c r="B191" s="94">
        <v>2016</v>
      </c>
      <c r="C191" s="93">
        <v>57</v>
      </c>
      <c r="D191" s="93">
        <v>46</v>
      </c>
      <c r="E191" s="93">
        <v>40</v>
      </c>
      <c r="F191" s="93">
        <v>37</v>
      </c>
      <c r="G191" s="93">
        <v>47</v>
      </c>
      <c r="H191" s="93">
        <v>34</v>
      </c>
      <c r="I191" s="93">
        <v>28</v>
      </c>
      <c r="J191" s="92">
        <v>289</v>
      </c>
      <c r="K191" s="65"/>
    </row>
    <row r="192" spans="2:11" ht="15" customHeight="1">
      <c r="B192" s="94">
        <v>2017</v>
      </c>
      <c r="C192" s="93">
        <f>VLOOKUP($E$3,Rolls!A1:FA90,42,FALSE)</f>
        <v>49</v>
      </c>
      <c r="D192" s="93">
        <f>VLOOKUP($E$3,Rolls!A1:FA90,43,FALSE)</f>
        <v>60</v>
      </c>
      <c r="E192" s="93">
        <f>VLOOKUP($E$3,Rolls!A1:FA90,44,FALSE)</f>
        <v>43</v>
      </c>
      <c r="F192" s="93">
        <f>VLOOKUP($E$3,Rolls!A1:FA90,45,FALSE)</f>
        <v>43</v>
      </c>
      <c r="G192" s="93">
        <f>VLOOKUP($E$3,Rolls!A1:FA90,46,FALSE)</f>
        <v>40</v>
      </c>
      <c r="H192" s="93">
        <f>VLOOKUP($E$3,Rolls!A1:FA90,47,FALSE)</f>
        <v>41</v>
      </c>
      <c r="I192" s="93">
        <f>VLOOKUP($E$3,Rolls!A1:FA90,48,FALSE)</f>
        <v>33</v>
      </c>
      <c r="J192" s="92">
        <f>VLOOKUP($E$3,Rolls!A1:FA90,49,FALSE)</f>
        <v>309</v>
      </c>
      <c r="K192" s="65"/>
    </row>
    <row r="193" spans="2:11" ht="15" customHeight="1">
      <c r="B193" s="94">
        <v>2018</v>
      </c>
      <c r="C193" s="93">
        <f>VLOOKUP($E$3,Rolls!A1:FA90,50,FALSE)</f>
        <v>46</v>
      </c>
      <c r="D193" s="93">
        <f>VLOOKUP($E$3,Rolls!A1:FA90,51,FALSE)</f>
        <v>45</v>
      </c>
      <c r="E193" s="93">
        <f>VLOOKUP($E$3,Rolls!A1:FA90,52,FALSE)</f>
        <v>59</v>
      </c>
      <c r="F193" s="93">
        <f>VLOOKUP($E$3,Rolls!A1:FA90,53,FALSE)</f>
        <v>41</v>
      </c>
      <c r="G193" s="93">
        <f>VLOOKUP($E$3,Rolls!A1:FA90,54,FALSE)</f>
        <v>40</v>
      </c>
      <c r="H193" s="93">
        <f>VLOOKUP($E$3,Rolls!A1:FA90,55,FALSE)</f>
        <v>40</v>
      </c>
      <c r="I193" s="93">
        <f>VLOOKUP($E$3,Rolls!A1:FA90,56,FALSE)</f>
        <v>38</v>
      </c>
      <c r="J193" s="92">
        <f>VLOOKUP($E$3,Rolls!A1:FA90,57,FALSE)</f>
        <v>309</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19</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Clermiston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476 Pupils (17 classes)</v>
      </c>
      <c r="G12" s="16"/>
      <c r="H12" s="16"/>
    </row>
    <row r="13" spans="2:10" ht="15" customHeight="1">
      <c r="C13" s="16"/>
      <c r="D13" s="16"/>
      <c r="E13" s="16"/>
      <c r="F13" s="16"/>
      <c r="G13" s="16"/>
      <c r="H13" s="16"/>
    </row>
    <row r="14" spans="2:10" ht="15" customHeight="1">
      <c r="B14" s="15" t="str">
        <f>"Figure 1: "&amp;E3&amp;" Roll, 2002-2015"</f>
        <v>Figure 1: Clermiston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Clermiston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67</v>
      </c>
      <c r="E49" s="108">
        <f>VLOOKUP($E$3,'Catchment Projections'!$A$1:$BU$90,46,FALSE)</f>
        <v>73</v>
      </c>
      <c r="F49" s="108">
        <f>VLOOKUP($E$3,'Catchment Projections'!$A$1:$BU$90,47,FALSE)</f>
        <v>78</v>
      </c>
      <c r="G49" s="108">
        <f>VLOOKUP($E$3,'Catchment Projections'!$A$1:$BU$90,48,FALSE)</f>
        <v>61</v>
      </c>
      <c r="H49" s="133">
        <f>VLOOKUP($E$3,'Catchment Projections'!$A$1:$BU$90,49,FALSE)</f>
        <v>72</v>
      </c>
      <c r="I49" s="133">
        <f>VLOOKUP($E$3,'Catchment Projections'!$A$1:$BU$90,50,FALSE)</f>
        <v>73</v>
      </c>
      <c r="J49" s="133">
        <f>VLOOKUP($E$3,'Catchment Projections'!$A$1:$BU$90,51,FALSE)</f>
        <v>73</v>
      </c>
      <c r="K49" s="133">
        <f>VLOOKUP($E$3,'Catchment Projections'!$A$1:$BU$90,52,FALSE)</f>
        <v>74</v>
      </c>
      <c r="L49" s="133">
        <f>VLOOKUP($E$3,'Catchment Projections'!$A$1:$BU$90,53,FALSE)</f>
        <v>74</v>
      </c>
      <c r="M49" s="133">
        <f>VLOOKUP($E$3,'Catchment Projections'!$A$1:$BU$90,54,FALSE)</f>
        <v>75</v>
      </c>
      <c r="N49" s="133">
        <f>VLOOKUP($E$3,'Catchment Projections'!$A$1:$BU$90,55,FALSE)</f>
        <v>75</v>
      </c>
      <c r="O49" s="133">
        <f>VLOOKUP($E$3,'Catchment Projections'!$A$1:$BU$90,56,FALSE)</f>
        <v>75</v>
      </c>
      <c r="P49" s="133">
        <f>VLOOKUP($E$3,'Catchment Projections'!$A$1:$BU$90,57,FALSE)</f>
        <v>75</v>
      </c>
      <c r="Q49" s="133">
        <f>VLOOKUP($E$3,'Catchment Projections'!$A$1:$BU$90,58,FALSE)</f>
        <v>75</v>
      </c>
    </row>
    <row r="50" spans="2:17" ht="15" customHeight="1" thickBot="1">
      <c r="B50" s="410" t="s">
        <v>141</v>
      </c>
      <c r="C50" s="411"/>
      <c r="D50" s="286">
        <f>VLOOKUP(E3,'Housing Generation'!$A$3:$DQ$90,10,FALSE)</f>
        <v>1</v>
      </c>
      <c r="E50" s="286">
        <f>VLOOKUP(E3,'Housing Generation'!$A$3:$DQ$90,18,FALSE)</f>
        <v>1</v>
      </c>
      <c r="F50" s="286">
        <f>VLOOKUP(E3,'Housing Generation'!$A$3:$DQ$90,26,FALSE)</f>
        <v>1</v>
      </c>
      <c r="G50" s="243">
        <f>VLOOKUP(E3,'Housing Generation'!$A$3:$DQ$90,34,FALSE)</f>
        <v>1</v>
      </c>
      <c r="H50" s="133">
        <f>VLOOKUP(E3,'Housing Generation'!$A$3:$DQ$90,42,FALSE)</f>
        <v>1</v>
      </c>
      <c r="I50" s="133">
        <f>VLOOKUP(E3,'Housing Generation'!$A$3:$DQ$90,50,FALSE)</f>
        <v>1</v>
      </c>
      <c r="J50" s="133">
        <f>VLOOKUP(E3,'Housing Generation'!$A$3:$CK$90,58,FALSE)</f>
        <v>1</v>
      </c>
      <c r="K50" s="133">
        <f>VLOOKUP(E3,'Housing Generation'!$A$3:$CK$90,66,FALSE)</f>
        <v>1</v>
      </c>
      <c r="L50" s="133">
        <f>VLOOKUP(E3,'Housing Generation'!$A$3:$DQ$90,74,FALSE)</f>
        <v>1</v>
      </c>
      <c r="M50" s="133">
        <f>VLOOKUP(E3,'Housing Generation'!$A$3:$DQ$90,82,FALSE)</f>
        <v>1</v>
      </c>
      <c r="N50" s="133">
        <f>VLOOKUP(E3,'Housing Generation'!$A$3:$DQ$90,90,FALSE)</f>
        <v>1</v>
      </c>
      <c r="O50" s="133">
        <f>VLOOKUP(E3,'Housing Generation'!$A$3:$DQ$90,98,FALSE)</f>
        <v>0</v>
      </c>
      <c r="P50" s="133">
        <f>VLOOKUP(E3,'Housing Generation'!$A$3:$DQ$90,106,FALSE)</f>
        <v>0</v>
      </c>
      <c r="Q50" s="133">
        <f>VLOOKUP(E3,'Housing Generation'!$A$3:$DQ$90,114,FALSE)</f>
        <v>0</v>
      </c>
    </row>
    <row r="51" spans="2:17" ht="15" customHeight="1" thickTop="1">
      <c r="B51" s="421" t="s">
        <v>130</v>
      </c>
      <c r="C51" s="422"/>
      <c r="D51" s="47">
        <f t="shared" ref="D51:Q51" si="0">SUM(D49:D50)</f>
        <v>68</v>
      </c>
      <c r="E51" s="47">
        <f t="shared" si="0"/>
        <v>74</v>
      </c>
      <c r="F51" s="80">
        <f t="shared" si="0"/>
        <v>79</v>
      </c>
      <c r="G51" s="244">
        <f t="shared" si="0"/>
        <v>62</v>
      </c>
      <c r="H51" s="71">
        <f t="shared" si="0"/>
        <v>73</v>
      </c>
      <c r="I51" s="71">
        <f t="shared" si="0"/>
        <v>74</v>
      </c>
      <c r="J51" s="71">
        <f t="shared" si="0"/>
        <v>74</v>
      </c>
      <c r="K51" s="71">
        <f t="shared" si="0"/>
        <v>75</v>
      </c>
      <c r="L51" s="71">
        <f t="shared" si="0"/>
        <v>75</v>
      </c>
      <c r="M51" s="71">
        <f t="shared" si="0"/>
        <v>76</v>
      </c>
      <c r="N51" s="71">
        <f t="shared" si="0"/>
        <v>76</v>
      </c>
      <c r="O51" s="71">
        <f t="shared" si="0"/>
        <v>75</v>
      </c>
      <c r="P51" s="71">
        <f t="shared" si="0"/>
        <v>75</v>
      </c>
      <c r="Q51" s="71">
        <f t="shared" si="0"/>
        <v>75</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69</v>
      </c>
      <c r="D60" s="358">
        <f>VLOOKUP($E$3,'Catchment Projections'!$A$1:$BZ$90,74,FALSE)</f>
        <v>60</v>
      </c>
      <c r="E60" s="303">
        <f>D60/C60</f>
        <v>0.86956521739130432</v>
      </c>
      <c r="G60" s="132">
        <v>2014</v>
      </c>
      <c r="H60" s="395">
        <f>VLOOKUP($G$60,$B$177:$C$215, 2, FALSE)</f>
        <v>60</v>
      </c>
      <c r="I60" s="120">
        <f>H60-D60</f>
        <v>0</v>
      </c>
      <c r="J60" s="121">
        <f>I60/H60</f>
        <v>0</v>
      </c>
    </row>
    <row r="61" spans="2:17" ht="15" customHeight="1">
      <c r="B61" s="132">
        <v>2015</v>
      </c>
      <c r="C61" s="359">
        <f>VLOOKUP($E$3,'Catchment Projections'!$A$1:$BZ$90,41,FALSE)</f>
        <v>73</v>
      </c>
      <c r="D61" s="358">
        <f>VLOOKUP($E$3,'Catchment Projections'!$A$1:$BZ$90,75,FALSE)</f>
        <v>70</v>
      </c>
      <c r="E61" s="303">
        <f>D61/C61</f>
        <v>0.95890410958904104</v>
      </c>
      <c r="G61" s="132">
        <v>2015</v>
      </c>
      <c r="H61" s="395">
        <f>VLOOKUP($G$61,$B$177:$C$215, 2, FALSE)</f>
        <v>72</v>
      </c>
      <c r="I61" s="120">
        <f>H61-D61</f>
        <v>2</v>
      </c>
      <c r="J61" s="121">
        <f>I61/H61</f>
        <v>2.7777777777777776E-2</v>
      </c>
    </row>
    <row r="62" spans="2:17" ht="15" customHeight="1">
      <c r="B62" s="131">
        <v>2016</v>
      </c>
      <c r="C62" s="359">
        <f>VLOOKUP($E$3,'Catchment Projections'!$A$1:$BZ$90,42,FALSE)</f>
        <v>77</v>
      </c>
      <c r="D62" s="358">
        <f>VLOOKUP($E$3,'Catchment Projections'!$A$1:$BZ$90,76,FALSE)</f>
        <v>70</v>
      </c>
      <c r="E62" s="57">
        <f>D62/C62</f>
        <v>0.90909090909090906</v>
      </c>
      <c r="G62" s="131">
        <v>2016</v>
      </c>
      <c r="H62" s="395">
        <f>VLOOKUP($G$62,$B$177:$C$215, 2, FALSE)</f>
        <v>77</v>
      </c>
      <c r="I62" s="120">
        <f>H62-D62</f>
        <v>7</v>
      </c>
      <c r="J62" s="121">
        <f>I62/H62</f>
        <v>9.0909090909090912E-2</v>
      </c>
    </row>
    <row r="63" spans="2:17" ht="15" customHeight="1">
      <c r="B63" s="114">
        <v>2017</v>
      </c>
      <c r="C63" s="359">
        <f>VLOOKUP($E$3,'Catchment Projections'!$A$1:$BZ$90,43,FALSE)</f>
        <v>67</v>
      </c>
      <c r="D63" s="358">
        <f>VLOOKUP($E$3,'Catchment Projections'!$A$1:$BZ$90,77,FALSE)</f>
        <v>58</v>
      </c>
      <c r="E63" s="304">
        <f>D63/C63</f>
        <v>0.86567164179104472</v>
      </c>
      <c r="G63" s="114">
        <v>2017</v>
      </c>
      <c r="H63" s="395">
        <f>VLOOKUP($G$63,$B$177:$C$215, 2, FALSE)</f>
        <v>66</v>
      </c>
      <c r="I63" s="120">
        <f>H63-D63</f>
        <v>8</v>
      </c>
      <c r="J63" s="121">
        <f>I63/H63</f>
        <v>0.12121212121212122</v>
      </c>
    </row>
    <row r="64" spans="2:17" ht="15" customHeight="1">
      <c r="B64" s="114">
        <v>2018</v>
      </c>
      <c r="C64" s="359">
        <f>VLOOKUP($E$3,'Catchment Projections'!$A$1:$BZ$90,44,FALSE)</f>
        <v>77</v>
      </c>
      <c r="D64" s="358">
        <f>VLOOKUP($E$3,'Catchment Projections'!$A$1:$BZ$90,78,FALSE)</f>
        <v>69</v>
      </c>
      <c r="E64" s="305">
        <f>D64/C64</f>
        <v>0.89610389610389607</v>
      </c>
      <c r="G64" s="114">
        <v>2018</v>
      </c>
      <c r="H64" s="395">
        <f>VLOOKUP($G$64,$B$177:$C$215, 2, FALSE)</f>
        <v>70</v>
      </c>
      <c r="I64" s="120">
        <f>H64-D64</f>
        <v>1</v>
      </c>
      <c r="J64" s="121">
        <f>I64/H64</f>
        <v>1.4285714285714285E-2</v>
      </c>
    </row>
    <row r="65" spans="2:10" ht="15" customHeight="1">
      <c r="B65" s="412" t="s">
        <v>136</v>
      </c>
      <c r="C65" s="413"/>
      <c r="D65" s="414"/>
      <c r="E65" s="137">
        <f>IF((AVERAGE(E62:E64))="#DIV/0!","n/a",(AVERAGE(E62:E64)))</f>
        <v>0.89028881566194995</v>
      </c>
      <c r="G65" s="415" t="s">
        <v>137</v>
      </c>
      <c r="H65" s="416"/>
      <c r="I65" s="138">
        <f>MEDIAN(I60:I64)</f>
        <v>2</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68</v>
      </c>
      <c r="D70" s="408"/>
      <c r="E70" s="122">
        <f>E65</f>
        <v>0.89028881566194995</v>
      </c>
      <c r="F70" s="120">
        <f t="shared" ref="F70:F83" si="1">C70*$E$65</f>
        <v>60.539639465012598</v>
      </c>
      <c r="G70" s="118">
        <f>IF(F70&lt;26,25,IF(F70&gt;135,140,IF(F70&gt;130,135,IF(F70&gt;125,130,IF(F70&gt;120,125,IF(F70&gt;115,120,IF(F70&gt;110,115,IF(F70&gt;105,110,IF(F70&gt;100,105,IF(F70&gt;99,100,IF(F70&gt;90,99,IF(F70&gt;75,90,IF(F70&gt;72,75,IF(F70&gt;66,72,IF(F70&gt;60,66,IF(F70&gt;50,60,IF(F70&gt;30,50,IF(F70&gt;25,30,0))))))))))))))))))</f>
        <v>66</v>
      </c>
      <c r="H70" s="119">
        <f t="shared" ref="H70:H83" si="2">G70-F70</f>
        <v>5.4603605349874016</v>
      </c>
      <c r="I70" s="118" t="str">
        <f>IF(I$65&lt;H70, "NO", "YES")</f>
        <v>NO</v>
      </c>
      <c r="J70" s="117">
        <f t="shared" ref="J70:J83" si="3">IF(I70="YES",G70,(MIN((SUM(F70,$I$65)),G70)))</f>
        <v>62.539639465012598</v>
      </c>
    </row>
    <row r="71" spans="2:10" ht="15" customHeight="1">
      <c r="B71" s="114">
        <v>2020</v>
      </c>
      <c r="C71" s="433">
        <f>E51</f>
        <v>74</v>
      </c>
      <c r="D71" s="408"/>
      <c r="E71" s="121">
        <f>E65</f>
        <v>0.89028881566194995</v>
      </c>
      <c r="F71" s="120">
        <f t="shared" si="1"/>
        <v>65.881372358984294</v>
      </c>
      <c r="G71" s="118">
        <f t="shared" ref="G71:G83" si="4">IF(F71&lt;26,25,IF(F71&gt;135,140,IF(F71&gt;130,135,IF(F71&gt;125,130,IF(F71&gt;120,125,IF(F71&gt;115,120,IF(F71&gt;110,115,IF(F71&gt;105,110,IF(F71&gt;100,105,IF(F71&gt;99,100,IF(F71&gt;90,99,IF(F71&gt;75,90,IF(F71&gt;72,75,IF(F71&gt;66,72,IF(F71&gt;60,66,IF(F71&gt;50,60,IF(F71&gt;30,50,IF(F71&gt;25,30,0))))))))))))))))))</f>
        <v>66</v>
      </c>
      <c r="H71" s="119">
        <f t="shared" si="2"/>
        <v>0.11862764101570633</v>
      </c>
      <c r="I71" s="118" t="str">
        <f t="shared" ref="I71:I83" si="5">IF(I$65&lt;H71, "NO", "YES")</f>
        <v>YES</v>
      </c>
      <c r="J71" s="117">
        <f t="shared" si="3"/>
        <v>66</v>
      </c>
    </row>
    <row r="72" spans="2:10" ht="15" customHeight="1">
      <c r="B72" s="114">
        <v>2021</v>
      </c>
      <c r="C72" s="430">
        <f>F51</f>
        <v>79</v>
      </c>
      <c r="D72" s="431"/>
      <c r="E72" s="121">
        <f>E65</f>
        <v>0.89028881566194995</v>
      </c>
      <c r="F72" s="120">
        <f t="shared" si="1"/>
        <v>70.332816437294042</v>
      </c>
      <c r="G72" s="118">
        <f t="shared" si="4"/>
        <v>72</v>
      </c>
      <c r="H72" s="119">
        <f t="shared" si="2"/>
        <v>1.6671835627059579</v>
      </c>
      <c r="I72" s="118" t="str">
        <f t="shared" si="5"/>
        <v>YES</v>
      </c>
      <c r="J72" s="117">
        <f t="shared" si="3"/>
        <v>72</v>
      </c>
    </row>
    <row r="73" spans="2:10" ht="15" customHeight="1">
      <c r="B73" s="114">
        <v>2022</v>
      </c>
      <c r="C73" s="430">
        <f>G51</f>
        <v>62</v>
      </c>
      <c r="D73" s="431"/>
      <c r="E73" s="121">
        <f>E65</f>
        <v>0.89028881566194995</v>
      </c>
      <c r="F73" s="120">
        <f t="shared" si="1"/>
        <v>55.197906571040896</v>
      </c>
      <c r="G73" s="118">
        <f t="shared" si="4"/>
        <v>60</v>
      </c>
      <c r="H73" s="119">
        <f t="shared" si="2"/>
        <v>4.802093428959104</v>
      </c>
      <c r="I73" s="118" t="str">
        <f t="shared" si="5"/>
        <v>NO</v>
      </c>
      <c r="J73" s="117">
        <f t="shared" si="3"/>
        <v>57.197906571040896</v>
      </c>
    </row>
    <row r="74" spans="2:10" ht="15" customHeight="1">
      <c r="B74" s="114">
        <v>2023</v>
      </c>
      <c r="C74" s="430">
        <f>H51</f>
        <v>73</v>
      </c>
      <c r="D74" s="431"/>
      <c r="E74" s="121">
        <f>E65</f>
        <v>0.89028881566194995</v>
      </c>
      <c r="F74" s="120">
        <f t="shared" si="1"/>
        <v>64.991083543322347</v>
      </c>
      <c r="G74" s="118">
        <f t="shared" si="4"/>
        <v>66</v>
      </c>
      <c r="H74" s="119">
        <f t="shared" si="2"/>
        <v>1.0089164566776532</v>
      </c>
      <c r="I74" s="118" t="str">
        <f t="shared" si="5"/>
        <v>YES</v>
      </c>
      <c r="J74" s="117">
        <f t="shared" si="3"/>
        <v>66</v>
      </c>
    </row>
    <row r="75" spans="2:10" ht="15" customHeight="1">
      <c r="B75" s="114">
        <v>2024</v>
      </c>
      <c r="C75" s="430">
        <f>I51</f>
        <v>74</v>
      </c>
      <c r="D75" s="431"/>
      <c r="E75" s="121">
        <f>E65</f>
        <v>0.89028881566194995</v>
      </c>
      <c r="F75" s="120">
        <f t="shared" si="1"/>
        <v>65.881372358984294</v>
      </c>
      <c r="G75" s="118">
        <f t="shared" si="4"/>
        <v>66</v>
      </c>
      <c r="H75" s="119">
        <f t="shared" si="2"/>
        <v>0.11862764101570633</v>
      </c>
      <c r="I75" s="118" t="str">
        <f t="shared" si="5"/>
        <v>YES</v>
      </c>
      <c r="J75" s="117">
        <f t="shared" si="3"/>
        <v>66</v>
      </c>
    </row>
    <row r="76" spans="2:10" ht="15" customHeight="1">
      <c r="B76" s="114">
        <v>2025</v>
      </c>
      <c r="C76" s="430">
        <f>J51</f>
        <v>74</v>
      </c>
      <c r="D76" s="431"/>
      <c r="E76" s="121">
        <f>E65</f>
        <v>0.89028881566194995</v>
      </c>
      <c r="F76" s="120">
        <f t="shared" si="1"/>
        <v>65.881372358984294</v>
      </c>
      <c r="G76" s="118">
        <f t="shared" si="4"/>
        <v>66</v>
      </c>
      <c r="H76" s="119">
        <f t="shared" si="2"/>
        <v>0.11862764101570633</v>
      </c>
      <c r="I76" s="118" t="str">
        <f t="shared" si="5"/>
        <v>YES</v>
      </c>
      <c r="J76" s="117">
        <f t="shared" si="3"/>
        <v>66</v>
      </c>
    </row>
    <row r="77" spans="2:10" ht="15" customHeight="1">
      <c r="B77" s="114">
        <v>2026</v>
      </c>
      <c r="C77" s="430">
        <f>K51</f>
        <v>75</v>
      </c>
      <c r="D77" s="431"/>
      <c r="E77" s="121">
        <f>E65</f>
        <v>0.89028881566194995</v>
      </c>
      <c r="F77" s="120">
        <f t="shared" si="1"/>
        <v>66.771661174646241</v>
      </c>
      <c r="G77" s="118">
        <f t="shared" si="4"/>
        <v>72</v>
      </c>
      <c r="H77" s="119">
        <f t="shared" si="2"/>
        <v>5.2283388253537595</v>
      </c>
      <c r="I77" s="118" t="str">
        <f t="shared" si="5"/>
        <v>NO</v>
      </c>
      <c r="J77" s="117">
        <f t="shared" si="3"/>
        <v>68.771661174646241</v>
      </c>
    </row>
    <row r="78" spans="2:10" ht="15" customHeight="1">
      <c r="B78" s="114">
        <v>2027</v>
      </c>
      <c r="C78" s="430">
        <f>L51</f>
        <v>75</v>
      </c>
      <c r="D78" s="431"/>
      <c r="E78" s="121">
        <f>E65</f>
        <v>0.89028881566194995</v>
      </c>
      <c r="F78" s="120">
        <f t="shared" si="1"/>
        <v>66.771661174646241</v>
      </c>
      <c r="G78" s="118">
        <f t="shared" si="4"/>
        <v>72</v>
      </c>
      <c r="H78" s="119">
        <f t="shared" si="2"/>
        <v>5.2283388253537595</v>
      </c>
      <c r="I78" s="118" t="str">
        <f t="shared" si="5"/>
        <v>NO</v>
      </c>
      <c r="J78" s="117">
        <f t="shared" si="3"/>
        <v>68.771661174646241</v>
      </c>
    </row>
    <row r="79" spans="2:10" ht="15" customHeight="1">
      <c r="B79" s="114">
        <v>2028</v>
      </c>
      <c r="C79" s="430">
        <f>M51</f>
        <v>76</v>
      </c>
      <c r="D79" s="431"/>
      <c r="E79" s="121">
        <f t="shared" ref="E79:E83" si="6">$E$65</f>
        <v>0.89028881566194995</v>
      </c>
      <c r="F79" s="120">
        <f t="shared" si="1"/>
        <v>67.661949990308202</v>
      </c>
      <c r="G79" s="118">
        <f t="shared" si="4"/>
        <v>72</v>
      </c>
      <c r="H79" s="119">
        <f t="shared" si="2"/>
        <v>4.3380500096917984</v>
      </c>
      <c r="I79" s="118" t="str">
        <f t="shared" si="5"/>
        <v>NO</v>
      </c>
      <c r="J79" s="117">
        <f t="shared" si="3"/>
        <v>69.661949990308202</v>
      </c>
    </row>
    <row r="80" spans="2:10" ht="15" customHeight="1">
      <c r="B80" s="114">
        <v>2029</v>
      </c>
      <c r="C80" s="430">
        <f>N51</f>
        <v>76</v>
      </c>
      <c r="D80" s="431"/>
      <c r="E80" s="121">
        <f t="shared" si="6"/>
        <v>0.89028881566194995</v>
      </c>
      <c r="F80" s="120">
        <f t="shared" si="1"/>
        <v>67.661949990308202</v>
      </c>
      <c r="G80" s="118">
        <f t="shared" si="4"/>
        <v>72</v>
      </c>
      <c r="H80" s="119">
        <f t="shared" si="2"/>
        <v>4.3380500096917984</v>
      </c>
      <c r="I80" s="118" t="str">
        <f t="shared" si="5"/>
        <v>NO</v>
      </c>
      <c r="J80" s="117">
        <f t="shared" si="3"/>
        <v>69.661949990308202</v>
      </c>
    </row>
    <row r="81" spans="2:10" ht="15" customHeight="1">
      <c r="B81" s="114">
        <v>2030</v>
      </c>
      <c r="C81" s="430">
        <f>O51</f>
        <v>75</v>
      </c>
      <c r="D81" s="431"/>
      <c r="E81" s="121">
        <f t="shared" si="6"/>
        <v>0.89028881566194995</v>
      </c>
      <c r="F81" s="120">
        <f t="shared" si="1"/>
        <v>66.771661174646241</v>
      </c>
      <c r="G81" s="118">
        <f t="shared" si="4"/>
        <v>72</v>
      </c>
      <c r="H81" s="119">
        <f t="shared" si="2"/>
        <v>5.2283388253537595</v>
      </c>
      <c r="I81" s="118" t="str">
        <f t="shared" si="5"/>
        <v>NO</v>
      </c>
      <c r="J81" s="117">
        <f t="shared" si="3"/>
        <v>68.771661174646241</v>
      </c>
    </row>
    <row r="82" spans="2:10" ht="15" customHeight="1">
      <c r="B82" s="114">
        <v>2031</v>
      </c>
      <c r="C82" s="430">
        <f>P51</f>
        <v>75</v>
      </c>
      <c r="D82" s="431"/>
      <c r="E82" s="121">
        <f t="shared" si="6"/>
        <v>0.89028881566194995</v>
      </c>
      <c r="F82" s="120">
        <f t="shared" si="1"/>
        <v>66.771661174646241</v>
      </c>
      <c r="G82" s="118">
        <f t="shared" si="4"/>
        <v>72</v>
      </c>
      <c r="H82" s="119">
        <f t="shared" si="2"/>
        <v>5.2283388253537595</v>
      </c>
      <c r="I82" s="118" t="str">
        <f t="shared" si="5"/>
        <v>NO</v>
      </c>
      <c r="J82" s="117">
        <f t="shared" si="3"/>
        <v>68.771661174646241</v>
      </c>
    </row>
    <row r="83" spans="2:10" ht="15" customHeight="1">
      <c r="B83" s="114">
        <v>2032</v>
      </c>
      <c r="C83" s="430">
        <f>Q51</f>
        <v>75</v>
      </c>
      <c r="D83" s="431"/>
      <c r="E83" s="121">
        <f t="shared" si="6"/>
        <v>0.89028881566194995</v>
      </c>
      <c r="F83" s="120">
        <f t="shared" si="1"/>
        <v>66.771661174646241</v>
      </c>
      <c r="G83" s="118">
        <f t="shared" si="4"/>
        <v>72</v>
      </c>
      <c r="H83" s="119">
        <f t="shared" si="2"/>
        <v>5.2283388253537595</v>
      </c>
      <c r="I83" s="118" t="str">
        <f t="shared" si="5"/>
        <v>NO</v>
      </c>
      <c r="J83" s="117">
        <f t="shared" si="3"/>
        <v>68.771661174646241</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Clermiston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58</v>
      </c>
      <c r="D91" s="112">
        <f t="shared" ref="D91:J91" si="7">D188</f>
        <v>57</v>
      </c>
      <c r="E91" s="112">
        <f t="shared" si="7"/>
        <v>65</v>
      </c>
      <c r="F91" s="112">
        <f t="shared" si="7"/>
        <v>40</v>
      </c>
      <c r="G91" s="112">
        <f t="shared" si="7"/>
        <v>38</v>
      </c>
      <c r="H91" s="112">
        <f t="shared" si="7"/>
        <v>33</v>
      </c>
      <c r="I91" s="112">
        <f t="shared" si="7"/>
        <v>24</v>
      </c>
      <c r="J91" s="213">
        <f t="shared" si="7"/>
        <v>315</v>
      </c>
    </row>
    <row r="92" spans="2:10" ht="15" customHeight="1">
      <c r="B92" s="114">
        <v>2014</v>
      </c>
      <c r="C92" s="112">
        <f>C189</f>
        <v>60</v>
      </c>
      <c r="D92" s="112">
        <f t="shared" ref="D92:J92" si="8">D189</f>
        <v>60</v>
      </c>
      <c r="E92" s="112">
        <f t="shared" si="8"/>
        <v>57</v>
      </c>
      <c r="F92" s="112">
        <f t="shared" si="8"/>
        <v>65</v>
      </c>
      <c r="G92" s="112">
        <f t="shared" si="8"/>
        <v>43</v>
      </c>
      <c r="H92" s="112">
        <f t="shared" si="8"/>
        <v>37</v>
      </c>
      <c r="I92" s="112">
        <f t="shared" si="8"/>
        <v>36</v>
      </c>
      <c r="J92" s="213">
        <f t="shared" si="8"/>
        <v>358</v>
      </c>
    </row>
    <row r="93" spans="2:10" ht="15" customHeight="1">
      <c r="B93" s="114">
        <v>2015</v>
      </c>
      <c r="C93" s="112">
        <f>C190</f>
        <v>72</v>
      </c>
      <c r="D93" s="112">
        <f t="shared" ref="D93:J93" si="9">D190</f>
        <v>60</v>
      </c>
      <c r="E93" s="112">
        <f t="shared" si="9"/>
        <v>59</v>
      </c>
      <c r="F93" s="112">
        <f t="shared" si="9"/>
        <v>61</v>
      </c>
      <c r="G93" s="112">
        <f t="shared" si="9"/>
        <v>61</v>
      </c>
      <c r="H93" s="112">
        <f t="shared" si="9"/>
        <v>45</v>
      </c>
      <c r="I93" s="112">
        <f t="shared" si="9"/>
        <v>38</v>
      </c>
      <c r="J93" s="213">
        <f t="shared" si="9"/>
        <v>396</v>
      </c>
    </row>
    <row r="94" spans="2:10" ht="15" customHeight="1">
      <c r="B94" s="114">
        <v>2016</v>
      </c>
      <c r="C94" s="112">
        <f>C191</f>
        <v>77</v>
      </c>
      <c r="D94" s="112">
        <f t="shared" ref="D94:J94" si="10">D191</f>
        <v>70</v>
      </c>
      <c r="E94" s="112">
        <f t="shared" si="10"/>
        <v>59</v>
      </c>
      <c r="F94" s="112">
        <f t="shared" si="10"/>
        <v>59</v>
      </c>
      <c r="G94" s="112">
        <f t="shared" si="10"/>
        <v>59</v>
      </c>
      <c r="H94" s="112">
        <f t="shared" si="10"/>
        <v>61</v>
      </c>
      <c r="I94" s="112">
        <f t="shared" si="10"/>
        <v>44</v>
      </c>
      <c r="J94" s="213">
        <f t="shared" si="10"/>
        <v>429</v>
      </c>
    </row>
    <row r="95" spans="2:10" ht="15" customHeight="1">
      <c r="B95" s="114">
        <v>2017</v>
      </c>
      <c r="C95" s="112">
        <f>C192</f>
        <v>66</v>
      </c>
      <c r="D95" s="112">
        <f t="shared" ref="D95:J95" si="11">D192</f>
        <v>82</v>
      </c>
      <c r="E95" s="112">
        <f t="shared" si="11"/>
        <v>71</v>
      </c>
      <c r="F95" s="112">
        <f t="shared" si="11"/>
        <v>57</v>
      </c>
      <c r="G95" s="112">
        <f t="shared" si="11"/>
        <v>57</v>
      </c>
      <c r="H95" s="112">
        <f t="shared" si="11"/>
        <v>60</v>
      </c>
      <c r="I95" s="112">
        <f t="shared" si="11"/>
        <v>62</v>
      </c>
      <c r="J95" s="213">
        <f t="shared" si="11"/>
        <v>455</v>
      </c>
    </row>
    <row r="96" spans="2:10" ht="15" customHeight="1">
      <c r="B96" s="307">
        <v>2018</v>
      </c>
      <c r="C96" s="112">
        <f t="shared" ref="C96:J96" si="12">C193</f>
        <v>70</v>
      </c>
      <c r="D96" s="112">
        <f t="shared" si="12"/>
        <v>69</v>
      </c>
      <c r="E96" s="112">
        <f t="shared" si="12"/>
        <v>81</v>
      </c>
      <c r="F96" s="112">
        <f t="shared" si="12"/>
        <v>68</v>
      </c>
      <c r="G96" s="112">
        <f t="shared" si="12"/>
        <v>56</v>
      </c>
      <c r="H96" s="112">
        <f t="shared" si="12"/>
        <v>57</v>
      </c>
      <c r="I96" s="112">
        <f t="shared" si="12"/>
        <v>60</v>
      </c>
      <c r="J96" s="213">
        <f t="shared" si="12"/>
        <v>461</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-3.4482758620689655E-2</v>
      </c>
      <c r="E98" s="210">
        <f t="shared" ref="E98:I98" si="13">MEDIAN(((D91-E92)/D91),((D92-E93)/D92),((D93-E94)/D93),((D94-E95)/D94),((D95-E96)/D95))</f>
        <v>1.2195121951219513E-2</v>
      </c>
      <c r="F98" s="210">
        <f t="shared" si="13"/>
        <v>0</v>
      </c>
      <c r="G98" s="210">
        <f t="shared" si="13"/>
        <v>3.2786885245901641E-2</v>
      </c>
      <c r="H98" s="210">
        <f t="shared" si="13"/>
        <v>0</v>
      </c>
      <c r="I98" s="210">
        <f t="shared" si="13"/>
        <v>-1.6393442622950821E-2</v>
      </c>
    </row>
    <row r="99" spans="2:10" ht="15" customHeight="1">
      <c r="B99" s="59"/>
      <c r="C99" s="60"/>
      <c r="D99" s="61"/>
      <c r="E99" s="61"/>
      <c r="F99" s="61"/>
      <c r="G99" s="61"/>
      <c r="H99" s="61"/>
      <c r="I99" s="61"/>
      <c r="J99" s="58"/>
    </row>
    <row r="100" spans="2:10" ht="15" customHeight="1">
      <c r="B100" s="15" t="str">
        <f>"Table 4B: "&amp;E3&amp;" Projected Roll by Stage (incorporating Projected P1 and Drop-Off Rates), 2019-2032"</f>
        <v>Table 4B: Clermiston Primary School Projected Roll by Stage (incorporating Projected P1 and Drop-Off Rates), 2019-2032</v>
      </c>
      <c r="F100" s="14"/>
      <c r="G100" s="14"/>
    </row>
    <row r="101" spans="2:10" ht="15" customHeight="1">
      <c r="F101" s="14"/>
      <c r="G101" s="14"/>
    </row>
    <row r="102" spans="2:10" ht="15" customHeight="1">
      <c r="B102" s="115"/>
      <c r="C102" s="109" t="s">
        <v>1</v>
      </c>
      <c r="D102" s="109" t="s">
        <v>2</v>
      </c>
      <c r="E102" s="109" t="s">
        <v>3</v>
      </c>
      <c r="F102" s="109" t="s">
        <v>4</v>
      </c>
      <c r="G102" s="109" t="s">
        <v>5</v>
      </c>
      <c r="H102" s="109" t="s">
        <v>6</v>
      </c>
      <c r="I102" s="109" t="s">
        <v>7</v>
      </c>
      <c r="J102" s="109" t="s">
        <v>8</v>
      </c>
    </row>
    <row r="103" spans="2:10" ht="15" customHeight="1">
      <c r="B103" s="114">
        <v>2019</v>
      </c>
      <c r="C103" s="113">
        <f t="shared" ref="C103:C116" si="14">J70</f>
        <v>62.539639465012598</v>
      </c>
      <c r="D103" s="324">
        <f>ROUND((C96)-(C96*$D$98),0)</f>
        <v>72</v>
      </c>
      <c r="E103" s="324">
        <f>ROUND((D96)-(D96*$E$98),0)</f>
        <v>68</v>
      </c>
      <c r="F103" s="324">
        <f>ROUND((E96)-(E96*$F$98),0)</f>
        <v>81</v>
      </c>
      <c r="G103" s="324">
        <f>ROUND((F96)-(F96*$G$98),0)</f>
        <v>66</v>
      </c>
      <c r="H103" s="324">
        <f>ROUND((G96)-(G96*$H$98),0)</f>
        <v>56</v>
      </c>
      <c r="I103" s="324">
        <f>ROUND((H96)-(H96*$I$98),0)</f>
        <v>58</v>
      </c>
      <c r="J103" s="111">
        <f t="shared" ref="J103:J116" si="15">SUM(C103:I103)</f>
        <v>463.53963946501261</v>
      </c>
    </row>
    <row r="104" spans="2:10" ht="15" customHeight="1">
      <c r="B104" s="114">
        <v>2020</v>
      </c>
      <c r="C104" s="113">
        <f t="shared" si="14"/>
        <v>66</v>
      </c>
      <c r="D104" s="324">
        <f>ROUND((C103-E50)-(C103*$D$98),0)</f>
        <v>64</v>
      </c>
      <c r="E104" s="112">
        <f t="shared" ref="E104:E116" si="16">ROUND((D103)-(D103*$E$98),0)</f>
        <v>71</v>
      </c>
      <c r="F104" s="112">
        <f t="shared" ref="F104:F116" si="17">ROUND((E103)-(E103*$F$98),0)</f>
        <v>68</v>
      </c>
      <c r="G104" s="112">
        <f t="shared" ref="G104:G116" si="18">ROUND((F103)-(F103*$G$98),0)</f>
        <v>78</v>
      </c>
      <c r="H104" s="112">
        <f t="shared" ref="H104:H116" si="19">ROUND((G103)-(G103*$H$98),0)</f>
        <v>66</v>
      </c>
      <c r="I104" s="112">
        <f t="shared" ref="I104:I116" si="20">ROUND((H103)-(H103*$I$98),0)</f>
        <v>57</v>
      </c>
      <c r="J104" s="111">
        <f t="shared" si="15"/>
        <v>470</v>
      </c>
    </row>
    <row r="105" spans="2:10" ht="15" customHeight="1">
      <c r="B105" s="114">
        <v>2021</v>
      </c>
      <c r="C105" s="113">
        <f t="shared" si="14"/>
        <v>72</v>
      </c>
      <c r="D105" s="324">
        <f>ROUND((C104-F50)-(C104*$D$98),0)</f>
        <v>67</v>
      </c>
      <c r="E105" s="112">
        <f t="shared" si="16"/>
        <v>63</v>
      </c>
      <c r="F105" s="112">
        <f t="shared" si="17"/>
        <v>71</v>
      </c>
      <c r="G105" s="112">
        <f t="shared" si="18"/>
        <v>66</v>
      </c>
      <c r="H105" s="112">
        <f t="shared" si="19"/>
        <v>78</v>
      </c>
      <c r="I105" s="112">
        <f t="shared" si="20"/>
        <v>67</v>
      </c>
      <c r="J105" s="111">
        <f t="shared" si="15"/>
        <v>484</v>
      </c>
    </row>
    <row r="106" spans="2:10" ht="15" customHeight="1">
      <c r="B106" s="114">
        <v>2022</v>
      </c>
      <c r="C106" s="113">
        <f t="shared" si="14"/>
        <v>57.197906571040896</v>
      </c>
      <c r="D106" s="324">
        <f>ROUND((C105-G50)-(C105*$D$98),0)</f>
        <v>73</v>
      </c>
      <c r="E106" s="112">
        <f t="shared" si="16"/>
        <v>66</v>
      </c>
      <c r="F106" s="112">
        <f t="shared" si="17"/>
        <v>63</v>
      </c>
      <c r="G106" s="112">
        <f t="shared" si="18"/>
        <v>69</v>
      </c>
      <c r="H106" s="112">
        <f t="shared" si="19"/>
        <v>66</v>
      </c>
      <c r="I106" s="112">
        <f t="shared" si="20"/>
        <v>79</v>
      </c>
      <c r="J106" s="111">
        <f t="shared" si="15"/>
        <v>473.1979065710409</v>
      </c>
    </row>
    <row r="107" spans="2:10" ht="15" customHeight="1">
      <c r="B107" s="114">
        <v>2023</v>
      </c>
      <c r="C107" s="113">
        <f t="shared" si="14"/>
        <v>66</v>
      </c>
      <c r="D107" s="324">
        <f>ROUND((C106-H50)-(C106*$D$98),0)</f>
        <v>58</v>
      </c>
      <c r="E107" s="112">
        <f t="shared" si="16"/>
        <v>72</v>
      </c>
      <c r="F107" s="112">
        <f t="shared" si="17"/>
        <v>66</v>
      </c>
      <c r="G107" s="112">
        <f t="shared" si="18"/>
        <v>61</v>
      </c>
      <c r="H107" s="112">
        <f t="shared" si="19"/>
        <v>69</v>
      </c>
      <c r="I107" s="112">
        <f t="shared" si="20"/>
        <v>67</v>
      </c>
      <c r="J107" s="111">
        <f t="shared" si="15"/>
        <v>459</v>
      </c>
    </row>
    <row r="108" spans="2:10" ht="15" customHeight="1">
      <c r="B108" s="114">
        <v>2024</v>
      </c>
      <c r="C108" s="113">
        <f t="shared" si="14"/>
        <v>66</v>
      </c>
      <c r="D108" s="324">
        <f>ROUND((C107-I50)-(C107*$D$98),0)</f>
        <v>67</v>
      </c>
      <c r="E108" s="112">
        <f t="shared" si="16"/>
        <v>57</v>
      </c>
      <c r="F108" s="112">
        <f t="shared" si="17"/>
        <v>72</v>
      </c>
      <c r="G108" s="112">
        <f t="shared" si="18"/>
        <v>64</v>
      </c>
      <c r="H108" s="112">
        <f t="shared" si="19"/>
        <v>61</v>
      </c>
      <c r="I108" s="112">
        <f t="shared" si="20"/>
        <v>70</v>
      </c>
      <c r="J108" s="111">
        <f t="shared" si="15"/>
        <v>457</v>
      </c>
    </row>
    <row r="109" spans="2:10" ht="15" customHeight="1">
      <c r="B109" s="114">
        <v>2025</v>
      </c>
      <c r="C109" s="113">
        <f t="shared" si="14"/>
        <v>66</v>
      </c>
      <c r="D109" s="324">
        <f>ROUND((C108-J50)-(C108*$D$98),0)</f>
        <v>67</v>
      </c>
      <c r="E109" s="112">
        <f t="shared" si="16"/>
        <v>66</v>
      </c>
      <c r="F109" s="112">
        <f t="shared" si="17"/>
        <v>57</v>
      </c>
      <c r="G109" s="112">
        <f t="shared" si="18"/>
        <v>70</v>
      </c>
      <c r="H109" s="112">
        <f t="shared" si="19"/>
        <v>64</v>
      </c>
      <c r="I109" s="112">
        <f t="shared" si="20"/>
        <v>62</v>
      </c>
      <c r="J109" s="111">
        <f t="shared" si="15"/>
        <v>452</v>
      </c>
    </row>
    <row r="110" spans="2:10" ht="15" customHeight="1">
      <c r="B110" s="114">
        <v>2026</v>
      </c>
      <c r="C110" s="113">
        <f t="shared" si="14"/>
        <v>68.771661174646241</v>
      </c>
      <c r="D110" s="324">
        <f>ROUND((C109-K50)-(C109*$D$98),0)</f>
        <v>67</v>
      </c>
      <c r="E110" s="112">
        <f t="shared" si="16"/>
        <v>66</v>
      </c>
      <c r="F110" s="112">
        <f t="shared" si="17"/>
        <v>66</v>
      </c>
      <c r="G110" s="112">
        <f t="shared" si="18"/>
        <v>55</v>
      </c>
      <c r="H110" s="112">
        <f t="shared" si="19"/>
        <v>70</v>
      </c>
      <c r="I110" s="112">
        <f t="shared" si="20"/>
        <v>65</v>
      </c>
      <c r="J110" s="111">
        <f t="shared" si="15"/>
        <v>457.77166117464623</v>
      </c>
    </row>
    <row r="111" spans="2:10" ht="15" customHeight="1">
      <c r="B111" s="114">
        <v>2027</v>
      </c>
      <c r="C111" s="113">
        <f t="shared" si="14"/>
        <v>68.771661174646241</v>
      </c>
      <c r="D111" s="324">
        <f>ROUND((C110-L50)-(C110*$D$98),0)</f>
        <v>70</v>
      </c>
      <c r="E111" s="112">
        <f t="shared" si="16"/>
        <v>66</v>
      </c>
      <c r="F111" s="112">
        <f t="shared" si="17"/>
        <v>66</v>
      </c>
      <c r="G111" s="112">
        <f t="shared" si="18"/>
        <v>64</v>
      </c>
      <c r="H111" s="112">
        <f t="shared" si="19"/>
        <v>55</v>
      </c>
      <c r="I111" s="112">
        <f t="shared" si="20"/>
        <v>71</v>
      </c>
      <c r="J111" s="111">
        <f t="shared" si="15"/>
        <v>460.77166117464623</v>
      </c>
    </row>
    <row r="112" spans="2:10" ht="15" customHeight="1">
      <c r="B112" s="114">
        <v>2028</v>
      </c>
      <c r="C112" s="113">
        <f t="shared" si="14"/>
        <v>69.661949990308202</v>
      </c>
      <c r="D112" s="324">
        <f>ROUND((C111-M50)-(C111*$D$98),0)</f>
        <v>70</v>
      </c>
      <c r="E112" s="112">
        <f t="shared" si="16"/>
        <v>69</v>
      </c>
      <c r="F112" s="112">
        <f t="shared" si="17"/>
        <v>66</v>
      </c>
      <c r="G112" s="112">
        <f t="shared" si="18"/>
        <v>64</v>
      </c>
      <c r="H112" s="112">
        <f t="shared" si="19"/>
        <v>64</v>
      </c>
      <c r="I112" s="112">
        <f t="shared" si="20"/>
        <v>56</v>
      </c>
      <c r="J112" s="111">
        <f t="shared" si="15"/>
        <v>458.66194999030819</v>
      </c>
    </row>
    <row r="113" spans="2:10" ht="15" customHeight="1">
      <c r="B113" s="114">
        <v>2029</v>
      </c>
      <c r="C113" s="113">
        <f t="shared" si="14"/>
        <v>69.661949990308202</v>
      </c>
      <c r="D113" s="324">
        <f>ROUND((C112-N50)-(C112*$D$98),0)</f>
        <v>71</v>
      </c>
      <c r="E113" s="112">
        <f t="shared" si="16"/>
        <v>69</v>
      </c>
      <c r="F113" s="112">
        <f t="shared" si="17"/>
        <v>69</v>
      </c>
      <c r="G113" s="112">
        <f t="shared" si="18"/>
        <v>64</v>
      </c>
      <c r="H113" s="112">
        <f t="shared" si="19"/>
        <v>64</v>
      </c>
      <c r="I113" s="112">
        <f t="shared" si="20"/>
        <v>65</v>
      </c>
      <c r="J113" s="111">
        <f t="shared" si="15"/>
        <v>471.66194999030819</v>
      </c>
    </row>
    <row r="114" spans="2:10" ht="15" customHeight="1">
      <c r="B114" s="114">
        <v>2030</v>
      </c>
      <c r="C114" s="113">
        <f t="shared" si="14"/>
        <v>68.771661174646241</v>
      </c>
      <c r="D114" s="324">
        <f>ROUND((C113-O50)-(C113*$D$98),0)</f>
        <v>72</v>
      </c>
      <c r="E114" s="112">
        <f t="shared" si="16"/>
        <v>70</v>
      </c>
      <c r="F114" s="112">
        <f t="shared" si="17"/>
        <v>69</v>
      </c>
      <c r="G114" s="112">
        <f t="shared" si="18"/>
        <v>67</v>
      </c>
      <c r="H114" s="112">
        <f t="shared" si="19"/>
        <v>64</v>
      </c>
      <c r="I114" s="112">
        <f t="shared" si="20"/>
        <v>65</v>
      </c>
      <c r="J114" s="111">
        <f t="shared" si="15"/>
        <v>475.77166117464623</v>
      </c>
    </row>
    <row r="115" spans="2:10" ht="15" customHeight="1">
      <c r="B115" s="114">
        <v>2031</v>
      </c>
      <c r="C115" s="113">
        <f t="shared" si="14"/>
        <v>68.771661174646241</v>
      </c>
      <c r="D115" s="324">
        <f>ROUND((C114-P50)-(C114*$D$98),0)</f>
        <v>71</v>
      </c>
      <c r="E115" s="112">
        <f t="shared" si="16"/>
        <v>71</v>
      </c>
      <c r="F115" s="112">
        <f t="shared" si="17"/>
        <v>70</v>
      </c>
      <c r="G115" s="112">
        <f t="shared" si="18"/>
        <v>67</v>
      </c>
      <c r="H115" s="112">
        <f t="shared" si="19"/>
        <v>67</v>
      </c>
      <c r="I115" s="112">
        <f t="shared" si="20"/>
        <v>65</v>
      </c>
      <c r="J115" s="111">
        <f t="shared" si="15"/>
        <v>479.77166117464623</v>
      </c>
    </row>
    <row r="116" spans="2:10" ht="15" customHeight="1">
      <c r="B116" s="114">
        <v>2032</v>
      </c>
      <c r="C116" s="113">
        <f t="shared" si="14"/>
        <v>68.771661174646241</v>
      </c>
      <c r="D116" s="324">
        <f>ROUND((C115-Q50)-(C115*$D$98),0)</f>
        <v>71</v>
      </c>
      <c r="E116" s="112">
        <f t="shared" si="16"/>
        <v>70</v>
      </c>
      <c r="F116" s="112">
        <f t="shared" si="17"/>
        <v>71</v>
      </c>
      <c r="G116" s="112">
        <f t="shared" si="18"/>
        <v>68</v>
      </c>
      <c r="H116" s="112">
        <f t="shared" si="19"/>
        <v>67</v>
      </c>
      <c r="I116" s="112">
        <f t="shared" si="20"/>
        <v>68</v>
      </c>
      <c r="J116" s="111">
        <f t="shared" si="15"/>
        <v>483.77166117464623</v>
      </c>
    </row>
    <row r="117" spans="2:10" ht="15" customHeight="1">
      <c r="F117" s="14"/>
      <c r="G117" s="14"/>
    </row>
    <row r="118" spans="2:10" ht="15" customHeight="1">
      <c r="B118" s="15" t="str">
        <f>"Table 4C: "&amp;E3&amp;" Projected Pupil Generation from Housing Development, 2019-2032"</f>
        <v>Table 4C: Clermiston Primary School Projected Pupil Generation from Housing Development, 2019-2032</v>
      </c>
      <c r="F118" s="14"/>
      <c r="G118" s="14"/>
    </row>
    <row r="119" spans="2:10" ht="15" customHeight="1">
      <c r="F119" s="14"/>
      <c r="G119" s="14"/>
    </row>
    <row r="120" spans="2:10" ht="15" customHeight="1">
      <c r="B120" s="115"/>
      <c r="C120" s="109" t="s">
        <v>1</v>
      </c>
      <c r="D120" s="109" t="s">
        <v>2</v>
      </c>
      <c r="E120" s="109" t="s">
        <v>3</v>
      </c>
      <c r="F120" s="109" t="s">
        <v>4</v>
      </c>
      <c r="G120" s="109" t="s">
        <v>5</v>
      </c>
      <c r="H120" s="109" t="s">
        <v>6</v>
      </c>
      <c r="I120" s="109" t="s">
        <v>7</v>
      </c>
      <c r="J120" s="109" t="s">
        <v>8</v>
      </c>
    </row>
    <row r="121" spans="2:10" ht="15" customHeight="1">
      <c r="B121" s="114">
        <v>2019</v>
      </c>
      <c r="C121" s="116" t="s">
        <v>97</v>
      </c>
      <c r="D121" s="112">
        <f>VLOOKUP($E$3,'Housing Generation'!$A$3:$BE$90,11,FALSE)</f>
        <v>1</v>
      </c>
      <c r="E121" s="112">
        <f>VLOOKUP($E$3,'Housing Generation'!$A$3:$BE$90,12,FALSE)</f>
        <v>1</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2</v>
      </c>
    </row>
    <row r="122" spans="2:10" ht="15" customHeight="1">
      <c r="B122" s="114">
        <v>2020</v>
      </c>
      <c r="C122" s="116" t="s">
        <v>97</v>
      </c>
      <c r="D122" s="112">
        <f>VLOOKUP($E$3,'Housing Generation'!$A$3:$BE$90,19,FALSE)</f>
        <v>1</v>
      </c>
      <c r="E122" s="112">
        <f>VLOOKUP($E$3,'Housing Generation'!$A$3:$BE$90,20,FALSE)</f>
        <v>1</v>
      </c>
      <c r="F122" s="112">
        <f>VLOOKUP($E$3,'Housing Generation'!$A$3:$BE$90,21,FALSE)</f>
        <v>0</v>
      </c>
      <c r="G122" s="112">
        <f>VLOOKUP($E$3,'Housing Generation'!$A$3:$BE$90,22,FALSE)</f>
        <v>0</v>
      </c>
      <c r="H122" s="112">
        <f>VLOOKUP($E$3,'Housing Generation'!$A$3:$BE$90,23,FALSE)</f>
        <v>0</v>
      </c>
      <c r="I122" s="112">
        <f>VLOOKUP($E$3,'Housing Generation'!$A$3:$BE$90,24,FALSE)</f>
        <v>0</v>
      </c>
      <c r="J122" s="111">
        <f t="shared" si="21"/>
        <v>2</v>
      </c>
    </row>
    <row r="123" spans="2:10" ht="15" customHeight="1">
      <c r="B123" s="114">
        <v>2021</v>
      </c>
      <c r="C123" s="116" t="s">
        <v>97</v>
      </c>
      <c r="D123" s="112">
        <f>VLOOKUP($E$3,'Housing Generation'!$A$3:$BE$90,27,FALSE)</f>
        <v>1</v>
      </c>
      <c r="E123" s="112">
        <f>VLOOKUP($E$3,'Housing Generation'!$A$3:$BE$90,28,FALSE)</f>
        <v>1</v>
      </c>
      <c r="F123" s="112">
        <f>VLOOKUP($E$3,'Housing Generation'!$A$3:$BE$90,29,FALSE)</f>
        <v>0</v>
      </c>
      <c r="G123" s="112">
        <f>VLOOKUP($E$3,'Housing Generation'!$A$3:$BE$90,30,FALSE)</f>
        <v>0</v>
      </c>
      <c r="H123" s="112">
        <f>VLOOKUP($E$3,'Housing Generation'!$A$3:$BE$90,31,FALSE)</f>
        <v>0</v>
      </c>
      <c r="I123" s="112">
        <f>VLOOKUP($E$3,'Housing Generation'!$A$3:$BE$90,32,FALSE)</f>
        <v>0</v>
      </c>
      <c r="J123" s="111">
        <f t="shared" si="21"/>
        <v>2</v>
      </c>
    </row>
    <row r="124" spans="2:10" ht="15" customHeight="1">
      <c r="B124" s="114">
        <v>2022</v>
      </c>
      <c r="C124" s="116" t="s">
        <v>97</v>
      </c>
      <c r="D124" s="112">
        <f>VLOOKUP($E$3,'Housing Generation'!$A$3:$BE$90,35,FALSE)</f>
        <v>1</v>
      </c>
      <c r="E124" s="112">
        <f>VLOOKUP($E$3,'Housing Generation'!$A$3:$BE$90,36,FALSE)</f>
        <v>1</v>
      </c>
      <c r="F124" s="112">
        <f>VLOOKUP($E$3,'Housing Generation'!$A$3:$BE$90,37,FALSE)</f>
        <v>0</v>
      </c>
      <c r="G124" s="112">
        <f>VLOOKUP($E$3,'Housing Generation'!$A$3:$BE$90,38,FALSE)</f>
        <v>0</v>
      </c>
      <c r="H124" s="112">
        <f>VLOOKUP($E$3,'Housing Generation'!$A$3:$BE$90,39,FALSE)</f>
        <v>0</v>
      </c>
      <c r="I124" s="112">
        <f>VLOOKUP($E$3,'Housing Generation'!$A$3:$BE$90,40,FALSE)</f>
        <v>0</v>
      </c>
      <c r="J124" s="111">
        <f t="shared" si="21"/>
        <v>2</v>
      </c>
    </row>
    <row r="125" spans="2:10" ht="15" customHeight="1">
      <c r="B125" s="114">
        <v>2023</v>
      </c>
      <c r="C125" s="116" t="s">
        <v>97</v>
      </c>
      <c r="D125" s="112">
        <f>VLOOKUP($E$3,'Housing Generation'!$A$3:$BE$90,43,FALSE)</f>
        <v>1</v>
      </c>
      <c r="E125" s="112">
        <f>VLOOKUP($E$3,'Housing Generation'!$A$3:$BE$90,44,FALSE)</f>
        <v>1</v>
      </c>
      <c r="F125" s="112">
        <f>VLOOKUP($E$3,'Housing Generation'!$A$3:$BE$90,45,FALSE)</f>
        <v>0</v>
      </c>
      <c r="G125" s="112">
        <f>VLOOKUP($E$3,'Housing Generation'!$A$3:$BE$90,46,FALSE)</f>
        <v>0</v>
      </c>
      <c r="H125" s="112">
        <f>VLOOKUP($E$3,'Housing Generation'!$A$3:$BE$90,47,FALSE)</f>
        <v>0</v>
      </c>
      <c r="I125" s="112">
        <f>VLOOKUP($E$3,'Housing Generation'!$A$3:$BE$90,48,FALSE)</f>
        <v>0</v>
      </c>
      <c r="J125" s="111">
        <f t="shared" si="21"/>
        <v>2</v>
      </c>
    </row>
    <row r="126" spans="2:10" ht="15" customHeight="1">
      <c r="B126" s="114">
        <v>2024</v>
      </c>
      <c r="C126" s="116" t="s">
        <v>97</v>
      </c>
      <c r="D126" s="112">
        <f>VLOOKUP($E$3,'Housing Generation'!$A$3:$BE$90,51,FALSE)</f>
        <v>1</v>
      </c>
      <c r="E126" s="112">
        <f>VLOOKUP($E$3,'Housing Generation'!$A$3:$BE$90,52,FALSE)</f>
        <v>1</v>
      </c>
      <c r="F126" s="112">
        <f>VLOOKUP($E$3,'Housing Generation'!$A$3:$BE$90,53,FALSE)</f>
        <v>0</v>
      </c>
      <c r="G126" s="112">
        <f>VLOOKUP($E$3,'Housing Generation'!$A$3:$BE$90,54,FALSE)</f>
        <v>0</v>
      </c>
      <c r="H126" s="112">
        <f>VLOOKUP($E$3,'Housing Generation'!$A$3:$BE$90,55,FALSE)</f>
        <v>0</v>
      </c>
      <c r="I126" s="112">
        <f>VLOOKUP($E$3,'Housing Generation'!$A$3:$BE$90,56,FALSE)</f>
        <v>0</v>
      </c>
      <c r="J126" s="111">
        <f t="shared" si="21"/>
        <v>2</v>
      </c>
    </row>
    <row r="127" spans="2:10" ht="15" customHeight="1">
      <c r="B127" s="114">
        <v>2025</v>
      </c>
      <c r="C127" s="240" t="s">
        <v>97</v>
      </c>
      <c r="D127" s="112">
        <f>VLOOKUP($E$3,'Housing Generation'!$A$3:$CK$90,59,FALSE)</f>
        <v>1</v>
      </c>
      <c r="E127" s="112">
        <f>VLOOKUP($E$3,'Housing Generation'!$A$3:$CK$90,60,FALSE)</f>
        <v>1</v>
      </c>
      <c r="F127" s="112">
        <f>VLOOKUP($E$3,'Housing Generation'!$A$3:$CK$90,61,FALSE)</f>
        <v>0</v>
      </c>
      <c r="G127" s="112">
        <f>VLOOKUP($E$3,'Housing Generation'!$A$3:$CK$90,62,FALSE)</f>
        <v>0</v>
      </c>
      <c r="H127" s="112">
        <f>VLOOKUP($E$3,'Housing Generation'!$A$3:$CK$90,63,FALSE)</f>
        <v>0</v>
      </c>
      <c r="I127" s="112">
        <f>VLOOKUP($E$3,'Housing Generation'!$A$3:$CK$90,64,FALSE)</f>
        <v>0</v>
      </c>
      <c r="J127" s="111">
        <f t="shared" si="21"/>
        <v>2</v>
      </c>
    </row>
    <row r="128" spans="2:10" ht="15" customHeight="1">
      <c r="B128" s="114">
        <v>2026</v>
      </c>
      <c r="C128" s="240" t="s">
        <v>97</v>
      </c>
      <c r="D128" s="112">
        <f>VLOOKUP($E$3,'Housing Generation'!$A$3:$CK$90,67,FALSE)</f>
        <v>1</v>
      </c>
      <c r="E128" s="112">
        <f>VLOOKUP($E$3,'Housing Generation'!$A$3:$CK$90,68,FALSE)</f>
        <v>1</v>
      </c>
      <c r="F128" s="112">
        <f>VLOOKUP($E$3,'Housing Generation'!$A$3:$CK$90,69,FALSE)</f>
        <v>0</v>
      </c>
      <c r="G128" s="112">
        <f>VLOOKUP($E$3,'Housing Generation'!$A$3:$CK$90,70,FALSE)</f>
        <v>0</v>
      </c>
      <c r="H128" s="112">
        <f>VLOOKUP($E$3,'Housing Generation'!$A$3:$CK$90,71,FALSE)</f>
        <v>0</v>
      </c>
      <c r="I128" s="112">
        <f>VLOOKUP($E$3,'Housing Generation'!$A$3:$CK$90,72,FALSE)</f>
        <v>0</v>
      </c>
      <c r="J128" s="111">
        <f t="shared" si="21"/>
        <v>2</v>
      </c>
    </row>
    <row r="129" spans="2:10" ht="15" customHeight="1">
      <c r="B129" s="114">
        <v>2027</v>
      </c>
      <c r="C129" s="240" t="s">
        <v>97</v>
      </c>
      <c r="D129" s="112">
        <f>VLOOKUP($E$3,'Housing Generation'!$A$3:$CK$90,75,FALSE)</f>
        <v>1</v>
      </c>
      <c r="E129" s="112">
        <f>VLOOKUP($E$3,'Housing Generation'!$A$3:$CK$90,76,FALSE)</f>
        <v>1</v>
      </c>
      <c r="F129" s="112">
        <f>VLOOKUP($E$3,'Housing Generation'!$A$3:$CK$90,77,FALSE)</f>
        <v>0</v>
      </c>
      <c r="G129" s="112">
        <f>VLOOKUP($E$3,'Housing Generation'!$A$3:$CK$90,78,FALSE)</f>
        <v>0</v>
      </c>
      <c r="H129" s="112">
        <f>VLOOKUP($E$3,'Housing Generation'!$A$3:$CK$90,79,FALSE)</f>
        <v>0</v>
      </c>
      <c r="I129" s="112">
        <f>VLOOKUP($E$3,'Housing Generation'!$A$3:$CK$90,80,FALSE)</f>
        <v>0</v>
      </c>
      <c r="J129" s="111">
        <f t="shared" si="21"/>
        <v>2</v>
      </c>
    </row>
    <row r="130" spans="2:10" ht="15" customHeight="1">
      <c r="B130" s="114">
        <v>2028</v>
      </c>
      <c r="C130" s="289" t="s">
        <v>97</v>
      </c>
      <c r="D130" s="112">
        <f>VLOOKUP($E$3,'Housing Generation'!$A$3:$CK$90,83,FALSE)</f>
        <v>1</v>
      </c>
      <c r="E130" s="112">
        <f>VLOOKUP($E$3,'Housing Generation'!$A$3:$CK$90,84,FALSE)</f>
        <v>1</v>
      </c>
      <c r="F130" s="112">
        <f>VLOOKUP($E$3,'Housing Generation'!$A$3:$CK$90,85,FALSE)</f>
        <v>0</v>
      </c>
      <c r="G130" s="112">
        <f>VLOOKUP($E$3,'Housing Generation'!$A$3:$CK$90,86,FALSE)</f>
        <v>0</v>
      </c>
      <c r="H130" s="112">
        <f>VLOOKUP($E$3,'Housing Generation'!$A$3:$CK$90,87,FALSE)</f>
        <v>0</v>
      </c>
      <c r="I130" s="112">
        <f>VLOOKUP($E$3,'Housing Generation'!$A$3:$CK$90,88,FALSE)</f>
        <v>0</v>
      </c>
      <c r="J130" s="111">
        <f t="shared" si="21"/>
        <v>2</v>
      </c>
    </row>
    <row r="131" spans="2:10" ht="15" customHeight="1">
      <c r="B131" s="114">
        <v>2029</v>
      </c>
      <c r="C131" s="289" t="s">
        <v>97</v>
      </c>
      <c r="D131" s="112">
        <f>VLOOKUP($E$3,'Housing Generation'!$A$3:$DQ$90,91,FALSE)</f>
        <v>1</v>
      </c>
      <c r="E131" s="112">
        <f>VLOOKUP($E$3,'Housing Generation'!$A$3:$DQ$90,92,FALSE)</f>
        <v>1</v>
      </c>
      <c r="F131" s="112">
        <f>VLOOKUP($E$3,'Housing Generation'!$A$3:$DQ$90,93,FALSE)</f>
        <v>0</v>
      </c>
      <c r="G131" s="112">
        <f>VLOOKUP($E$3,'Housing Generation'!$A$3:$DQ$90,94,FALSE)</f>
        <v>0</v>
      </c>
      <c r="H131" s="112">
        <f>VLOOKUP($E$3,'Housing Generation'!$A$3:$DQ$90,95,FALSE)</f>
        <v>0</v>
      </c>
      <c r="I131" s="112">
        <f>VLOOKUP($E$3,'Housing Generation'!$A$3:$DQ$90,96,FALSE)</f>
        <v>0</v>
      </c>
      <c r="J131" s="111">
        <f t="shared" si="21"/>
        <v>2</v>
      </c>
    </row>
    <row r="132" spans="2:10" ht="15" customHeight="1">
      <c r="B132" s="114">
        <v>2030</v>
      </c>
      <c r="C132" s="289" t="s">
        <v>97</v>
      </c>
      <c r="D132" s="112">
        <f>VLOOKUP($E$3,'Housing Generation'!$A$3:$DQ$90,99,FALSE)</f>
        <v>0</v>
      </c>
      <c r="E132" s="112">
        <f>VLOOKUP($E$3,'Housing Generation'!$A$3:$DQ$90,100,FALSE)</f>
        <v>0</v>
      </c>
      <c r="F132" s="112">
        <f>VLOOKUP($E$3,'Housing Generation'!$A$3:$DQ$90,101,FALSE)</f>
        <v>0</v>
      </c>
      <c r="G132" s="112">
        <f>VLOOKUP($E$3,'Housing Generation'!$A$3:$DQ$90,102,FALSE)</f>
        <v>0</v>
      </c>
      <c r="H132" s="112">
        <f>VLOOKUP($E$3,'Housing Generation'!$A$3:$DQ$90,103,FALSE)</f>
        <v>0</v>
      </c>
      <c r="I132" s="112">
        <f>VLOOKUP($E$3,'Housing Generation'!$A$3:$DQ$90,104,FALSE)</f>
        <v>0</v>
      </c>
      <c r="J132" s="111">
        <f t="shared" si="21"/>
        <v>0</v>
      </c>
    </row>
    <row r="133" spans="2:10" ht="15" customHeight="1">
      <c r="B133" s="114">
        <v>2031</v>
      </c>
      <c r="C133" s="289" t="s">
        <v>97</v>
      </c>
      <c r="D133" s="112">
        <f>VLOOKUP($E$3,'Housing Generation'!$A$3:$DQ$90,107,FALSE)</f>
        <v>0</v>
      </c>
      <c r="E133" s="112">
        <f>VLOOKUP($E$3,'Housing Generation'!$A$3:$DQ$90,108,FALSE)</f>
        <v>0</v>
      </c>
      <c r="F133" s="112">
        <f>VLOOKUP($E$3,'Housing Generation'!$A$3:$DQ$90,109,FALSE)</f>
        <v>0</v>
      </c>
      <c r="G133" s="112">
        <f>VLOOKUP($E$3,'Housing Generation'!$A$3:$DQ$90,110,FALSE)</f>
        <v>0</v>
      </c>
      <c r="H133" s="112">
        <f>VLOOKUP($E$3,'Housing Generation'!$A$3:$DQ$90,111,FALSE)</f>
        <v>0</v>
      </c>
      <c r="I133" s="112">
        <f>VLOOKUP($E$3,'Housing Generation'!$A$3:$DQ$90,112,FALSE)</f>
        <v>0</v>
      </c>
      <c r="J133" s="111">
        <f t="shared" si="21"/>
        <v>0</v>
      </c>
    </row>
    <row r="134" spans="2:10" ht="15" customHeight="1">
      <c r="B134" s="114">
        <v>2032</v>
      </c>
      <c r="C134" s="289" t="s">
        <v>97</v>
      </c>
      <c r="D134" s="112">
        <f>VLOOKUP($E$3,'Housing Generation'!$A$3:$DQ$90,115,FALSE)</f>
        <v>0</v>
      </c>
      <c r="E134" s="112">
        <f>VLOOKUP($E$3,'Housing Generation'!$A$3:$DQ$90,116,FALSE)</f>
        <v>0</v>
      </c>
      <c r="F134" s="112">
        <f>VLOOKUP($E$3,'Housing Generation'!$A$3:$DQ$90,117,FALSE)</f>
        <v>0</v>
      </c>
      <c r="G134" s="112">
        <f>VLOOKUP($E$3,'Housing Generation'!$A$3:$DQ$90,118,FALSE)</f>
        <v>0</v>
      </c>
      <c r="H134" s="112">
        <f>VLOOKUP($E$3,'Housing Generation'!$A$3:$DQ$90,119,FALSE)</f>
        <v>0</v>
      </c>
      <c r="I134" s="112">
        <f>VLOOKUP($E$3,'Housing Generation'!$A$3:$DQ$90,120,FALSE)</f>
        <v>0</v>
      </c>
      <c r="J134" s="111">
        <f t="shared" si="21"/>
        <v>0</v>
      </c>
    </row>
    <row r="135" spans="2:10" ht="15" hidden="1"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Clermiston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62.539639465012598</v>
      </c>
      <c r="D139" s="112">
        <f t="shared" ref="D139:I152" si="23">D121+D103</f>
        <v>73</v>
      </c>
      <c r="E139" s="112">
        <f t="shared" si="23"/>
        <v>69</v>
      </c>
      <c r="F139" s="112">
        <f t="shared" si="23"/>
        <v>81</v>
      </c>
      <c r="G139" s="112">
        <f t="shared" si="23"/>
        <v>66</v>
      </c>
      <c r="H139" s="112">
        <f t="shared" si="23"/>
        <v>56</v>
      </c>
      <c r="I139" s="112">
        <f t="shared" si="23"/>
        <v>58</v>
      </c>
      <c r="J139" s="111">
        <f t="shared" ref="J139:J147" si="24">SUM(C139:I139)</f>
        <v>465.53963946501261</v>
      </c>
    </row>
    <row r="140" spans="2:10" ht="15" customHeight="1">
      <c r="B140" s="114">
        <v>2020</v>
      </c>
      <c r="C140" s="113">
        <f t="shared" si="22"/>
        <v>66</v>
      </c>
      <c r="D140" s="112">
        <f t="shared" si="23"/>
        <v>65</v>
      </c>
      <c r="E140" s="112">
        <f t="shared" si="23"/>
        <v>72</v>
      </c>
      <c r="F140" s="112">
        <f t="shared" si="23"/>
        <v>68</v>
      </c>
      <c r="G140" s="112">
        <f t="shared" si="23"/>
        <v>78</v>
      </c>
      <c r="H140" s="112">
        <f t="shared" si="23"/>
        <v>66</v>
      </c>
      <c r="I140" s="112">
        <f t="shared" si="23"/>
        <v>57</v>
      </c>
      <c r="J140" s="111">
        <f t="shared" si="24"/>
        <v>472</v>
      </c>
    </row>
    <row r="141" spans="2:10" ht="15" customHeight="1">
      <c r="B141" s="114">
        <v>2021</v>
      </c>
      <c r="C141" s="113">
        <f t="shared" si="22"/>
        <v>72</v>
      </c>
      <c r="D141" s="112">
        <f t="shared" si="23"/>
        <v>68</v>
      </c>
      <c r="E141" s="112">
        <f t="shared" si="23"/>
        <v>64</v>
      </c>
      <c r="F141" s="112">
        <f t="shared" si="23"/>
        <v>71</v>
      </c>
      <c r="G141" s="112">
        <f t="shared" si="23"/>
        <v>66</v>
      </c>
      <c r="H141" s="112">
        <f t="shared" si="23"/>
        <v>78</v>
      </c>
      <c r="I141" s="112">
        <f t="shared" si="23"/>
        <v>67</v>
      </c>
      <c r="J141" s="111">
        <f t="shared" si="24"/>
        <v>486</v>
      </c>
    </row>
    <row r="142" spans="2:10" ht="15" customHeight="1">
      <c r="B142" s="114">
        <v>2022</v>
      </c>
      <c r="C142" s="113">
        <f t="shared" si="22"/>
        <v>57.197906571040896</v>
      </c>
      <c r="D142" s="112">
        <f t="shared" si="23"/>
        <v>74</v>
      </c>
      <c r="E142" s="112">
        <f t="shared" si="23"/>
        <v>67</v>
      </c>
      <c r="F142" s="112">
        <f t="shared" si="23"/>
        <v>63</v>
      </c>
      <c r="G142" s="112">
        <f t="shared" si="23"/>
        <v>69</v>
      </c>
      <c r="H142" s="112">
        <f t="shared" si="23"/>
        <v>66</v>
      </c>
      <c r="I142" s="112">
        <f t="shared" si="23"/>
        <v>79</v>
      </c>
      <c r="J142" s="111">
        <f t="shared" si="24"/>
        <v>475.1979065710409</v>
      </c>
    </row>
    <row r="143" spans="2:10" ht="15" customHeight="1">
      <c r="B143" s="114">
        <v>2023</v>
      </c>
      <c r="C143" s="113">
        <f t="shared" si="22"/>
        <v>66</v>
      </c>
      <c r="D143" s="112">
        <f t="shared" si="23"/>
        <v>59</v>
      </c>
      <c r="E143" s="112">
        <f t="shared" si="23"/>
        <v>73</v>
      </c>
      <c r="F143" s="112">
        <f t="shared" si="23"/>
        <v>66</v>
      </c>
      <c r="G143" s="112">
        <f t="shared" si="23"/>
        <v>61</v>
      </c>
      <c r="H143" s="112">
        <f t="shared" si="23"/>
        <v>69</v>
      </c>
      <c r="I143" s="112">
        <f t="shared" si="23"/>
        <v>67</v>
      </c>
      <c r="J143" s="111">
        <f t="shared" si="24"/>
        <v>461</v>
      </c>
    </row>
    <row r="144" spans="2:10" ht="15" customHeight="1">
      <c r="B144" s="114">
        <v>2024</v>
      </c>
      <c r="C144" s="113">
        <f t="shared" si="22"/>
        <v>66</v>
      </c>
      <c r="D144" s="112">
        <f t="shared" si="23"/>
        <v>68</v>
      </c>
      <c r="E144" s="112">
        <f t="shared" si="23"/>
        <v>58</v>
      </c>
      <c r="F144" s="112">
        <f t="shared" si="23"/>
        <v>72</v>
      </c>
      <c r="G144" s="112">
        <f t="shared" si="23"/>
        <v>64</v>
      </c>
      <c r="H144" s="112">
        <f t="shared" si="23"/>
        <v>61</v>
      </c>
      <c r="I144" s="112">
        <f t="shared" si="23"/>
        <v>70</v>
      </c>
      <c r="J144" s="111">
        <f t="shared" si="24"/>
        <v>459</v>
      </c>
    </row>
    <row r="145" spans="2:16" ht="15" customHeight="1">
      <c r="B145" s="114">
        <v>2025</v>
      </c>
      <c r="C145" s="113">
        <f t="shared" si="22"/>
        <v>66</v>
      </c>
      <c r="D145" s="112">
        <f t="shared" si="23"/>
        <v>68</v>
      </c>
      <c r="E145" s="112">
        <f t="shared" si="23"/>
        <v>67</v>
      </c>
      <c r="F145" s="112">
        <f t="shared" si="23"/>
        <v>57</v>
      </c>
      <c r="G145" s="112">
        <f t="shared" si="23"/>
        <v>70</v>
      </c>
      <c r="H145" s="112">
        <f t="shared" si="23"/>
        <v>64</v>
      </c>
      <c r="I145" s="112">
        <f t="shared" si="23"/>
        <v>62</v>
      </c>
      <c r="J145" s="111">
        <f t="shared" si="24"/>
        <v>454</v>
      </c>
    </row>
    <row r="146" spans="2:16" ht="15" customHeight="1">
      <c r="B146" s="114">
        <v>2026</v>
      </c>
      <c r="C146" s="113">
        <f t="shared" si="22"/>
        <v>68.771661174646241</v>
      </c>
      <c r="D146" s="112">
        <f t="shared" si="23"/>
        <v>68</v>
      </c>
      <c r="E146" s="112">
        <f t="shared" si="23"/>
        <v>67</v>
      </c>
      <c r="F146" s="112">
        <f t="shared" si="23"/>
        <v>66</v>
      </c>
      <c r="G146" s="112">
        <f t="shared" si="23"/>
        <v>55</v>
      </c>
      <c r="H146" s="112">
        <f t="shared" si="23"/>
        <v>70</v>
      </c>
      <c r="I146" s="112">
        <f t="shared" si="23"/>
        <v>65</v>
      </c>
      <c r="J146" s="111">
        <f t="shared" si="24"/>
        <v>459.77166117464623</v>
      </c>
    </row>
    <row r="147" spans="2:16" ht="15" customHeight="1">
      <c r="B147" s="114">
        <v>2027</v>
      </c>
      <c r="C147" s="113">
        <f t="shared" si="22"/>
        <v>68.771661174646241</v>
      </c>
      <c r="D147" s="112">
        <f t="shared" si="23"/>
        <v>71</v>
      </c>
      <c r="E147" s="112">
        <f t="shared" si="23"/>
        <v>67</v>
      </c>
      <c r="F147" s="112">
        <f t="shared" si="23"/>
        <v>66</v>
      </c>
      <c r="G147" s="112">
        <f t="shared" si="23"/>
        <v>64</v>
      </c>
      <c r="H147" s="112">
        <f t="shared" si="23"/>
        <v>55</v>
      </c>
      <c r="I147" s="112">
        <f t="shared" si="23"/>
        <v>71</v>
      </c>
      <c r="J147" s="111">
        <f t="shared" si="24"/>
        <v>462.77166117464623</v>
      </c>
    </row>
    <row r="148" spans="2:16" ht="15" customHeight="1">
      <c r="B148" s="114">
        <v>2028</v>
      </c>
      <c r="C148" s="113">
        <f t="shared" si="22"/>
        <v>69.661949990308202</v>
      </c>
      <c r="D148" s="112">
        <f t="shared" si="23"/>
        <v>71</v>
      </c>
      <c r="E148" s="112">
        <f t="shared" si="23"/>
        <v>70</v>
      </c>
      <c r="F148" s="112">
        <f t="shared" si="23"/>
        <v>66</v>
      </c>
      <c r="G148" s="112">
        <f t="shared" si="23"/>
        <v>64</v>
      </c>
      <c r="H148" s="112">
        <f t="shared" si="23"/>
        <v>64</v>
      </c>
      <c r="I148" s="112">
        <f t="shared" si="23"/>
        <v>56</v>
      </c>
      <c r="J148" s="111">
        <f t="shared" ref="J148:J152" si="25">SUM(C148:I148)</f>
        <v>460.66194999030819</v>
      </c>
    </row>
    <row r="149" spans="2:16" ht="15" customHeight="1">
      <c r="B149" s="114">
        <v>2029</v>
      </c>
      <c r="C149" s="113">
        <f t="shared" si="22"/>
        <v>69.661949990308202</v>
      </c>
      <c r="D149" s="112">
        <f t="shared" si="23"/>
        <v>72</v>
      </c>
      <c r="E149" s="112">
        <f t="shared" si="23"/>
        <v>70</v>
      </c>
      <c r="F149" s="112">
        <f t="shared" si="23"/>
        <v>69</v>
      </c>
      <c r="G149" s="112">
        <f t="shared" si="23"/>
        <v>64</v>
      </c>
      <c r="H149" s="112">
        <f t="shared" si="23"/>
        <v>64</v>
      </c>
      <c r="I149" s="112">
        <f t="shared" si="23"/>
        <v>65</v>
      </c>
      <c r="J149" s="111">
        <f t="shared" si="25"/>
        <v>473.66194999030819</v>
      </c>
    </row>
    <row r="150" spans="2:16" ht="15" customHeight="1">
      <c r="B150" s="114">
        <v>2030</v>
      </c>
      <c r="C150" s="113">
        <f t="shared" si="22"/>
        <v>68.771661174646241</v>
      </c>
      <c r="D150" s="112">
        <f t="shared" si="23"/>
        <v>72</v>
      </c>
      <c r="E150" s="112">
        <f t="shared" si="23"/>
        <v>70</v>
      </c>
      <c r="F150" s="112">
        <f t="shared" si="23"/>
        <v>69</v>
      </c>
      <c r="G150" s="112">
        <f t="shared" si="23"/>
        <v>67</v>
      </c>
      <c r="H150" s="112">
        <f t="shared" si="23"/>
        <v>64</v>
      </c>
      <c r="I150" s="112">
        <f t="shared" si="23"/>
        <v>65</v>
      </c>
      <c r="J150" s="111">
        <f t="shared" si="25"/>
        <v>475.77166117464623</v>
      </c>
    </row>
    <row r="151" spans="2:16" ht="15" customHeight="1">
      <c r="B151" s="114">
        <v>2031</v>
      </c>
      <c r="C151" s="113">
        <f t="shared" si="22"/>
        <v>68.771661174646241</v>
      </c>
      <c r="D151" s="112">
        <f t="shared" si="23"/>
        <v>71</v>
      </c>
      <c r="E151" s="112">
        <f t="shared" si="23"/>
        <v>71</v>
      </c>
      <c r="F151" s="112">
        <f t="shared" si="23"/>
        <v>70</v>
      </c>
      <c r="G151" s="112">
        <f t="shared" si="23"/>
        <v>67</v>
      </c>
      <c r="H151" s="112">
        <f t="shared" si="23"/>
        <v>67</v>
      </c>
      <c r="I151" s="112">
        <f t="shared" si="23"/>
        <v>65</v>
      </c>
      <c r="J151" s="111">
        <f t="shared" si="25"/>
        <v>479.77166117464623</v>
      </c>
    </row>
    <row r="152" spans="2:16" ht="15" customHeight="1">
      <c r="B152" s="114">
        <v>2032</v>
      </c>
      <c r="C152" s="113">
        <f t="shared" si="22"/>
        <v>68.771661174646241</v>
      </c>
      <c r="D152" s="112">
        <f t="shared" si="23"/>
        <v>71</v>
      </c>
      <c r="E152" s="112">
        <f t="shared" si="23"/>
        <v>70</v>
      </c>
      <c r="F152" s="112">
        <f t="shared" si="23"/>
        <v>71</v>
      </c>
      <c r="G152" s="112">
        <f t="shared" si="23"/>
        <v>68</v>
      </c>
      <c r="H152" s="112">
        <f t="shared" si="23"/>
        <v>67</v>
      </c>
      <c r="I152" s="112">
        <f t="shared" si="23"/>
        <v>68</v>
      </c>
      <c r="J152" s="111">
        <f t="shared" si="25"/>
        <v>483.77166117464623</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465.53963946501261</v>
      </c>
      <c r="D159" s="108">
        <f>J140</f>
        <v>472</v>
      </c>
      <c r="E159" s="108">
        <f>J141</f>
        <v>486</v>
      </c>
      <c r="F159" s="108">
        <f>J142</f>
        <v>475.1979065710409</v>
      </c>
      <c r="G159" s="108">
        <f>J143</f>
        <v>461</v>
      </c>
      <c r="H159" s="108">
        <f>J144</f>
        <v>459</v>
      </c>
      <c r="I159" s="108">
        <f>J145</f>
        <v>454</v>
      </c>
      <c r="J159" s="108">
        <f>J146</f>
        <v>459.77166117464623</v>
      </c>
      <c r="K159" s="108">
        <f>J147</f>
        <v>462.77166117464623</v>
      </c>
      <c r="L159" s="108">
        <f>J148</f>
        <v>460.66194999030819</v>
      </c>
      <c r="M159" s="108">
        <f>J149</f>
        <v>473.66194999030819</v>
      </c>
      <c r="N159" s="108">
        <f>J150</f>
        <v>475.77166117464623</v>
      </c>
      <c r="O159" s="108">
        <f>J151</f>
        <v>479.77166117464623</v>
      </c>
      <c r="P159" s="108">
        <f>J152</f>
        <v>483.77166117464623</v>
      </c>
    </row>
    <row r="160" spans="2:16" ht="15" customHeight="1">
      <c r="B160" s="107" t="s">
        <v>152</v>
      </c>
      <c r="C160" s="106">
        <f>VLOOKUP(C159,Capacity!$A$1:$C$645,2,TRUE)</f>
        <v>17</v>
      </c>
      <c r="D160" s="106">
        <f>VLOOKUP(D159,Capacity!$A$1:$C$645,2,TRUE)</f>
        <v>17</v>
      </c>
      <c r="E160" s="106">
        <f>VLOOKUP(E159,Capacity!$A$1:$C$645,2,TRUE)</f>
        <v>18</v>
      </c>
      <c r="F160" s="106">
        <f>VLOOKUP(F159,Capacity!$A$1:$C$645,2,TRUE)</f>
        <v>17</v>
      </c>
      <c r="G160" s="106">
        <f>VLOOKUP(G159,Capacity!$A$1:$C$645,2,TRUE)</f>
        <v>16</v>
      </c>
      <c r="H160" s="106">
        <f>VLOOKUP(H159,Capacity!$A$1:$C$645,2,TRUE)</f>
        <v>16</v>
      </c>
      <c r="I160" s="106">
        <f>VLOOKUP(I159,Capacity!$A$1:$C$645,2,TRUE)</f>
        <v>16</v>
      </c>
      <c r="J160" s="106">
        <f>VLOOKUP(J159,Capacity!$A$1:$C$645,2,TRUE)</f>
        <v>16</v>
      </c>
      <c r="K160" s="106">
        <f>VLOOKUP(K159,Capacity!$A$1:$C$645,2,TRUE)</f>
        <v>16</v>
      </c>
      <c r="L160" s="106">
        <f>VLOOKUP(L159,Capacity!$A$1:$C$645,2,TRUE)</f>
        <v>16</v>
      </c>
      <c r="M160" s="106">
        <f>VLOOKUP(M159,Capacity!$A$1:$C$645,2,TRUE)</f>
        <v>17</v>
      </c>
      <c r="N160" s="106">
        <f>VLOOKUP(N159,Capacity!$A$1:$C$645,2,TRUE)</f>
        <v>17</v>
      </c>
      <c r="O160" s="106">
        <f>VLOOKUP(O159,Capacity!$A$1:$C$645,2,TRUE)</f>
        <v>18</v>
      </c>
      <c r="P160" s="106">
        <f>VLOOKUP(P159,Capacity!$A$1:$C$645,2,TRUE)</f>
        <v>18</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63</v>
      </c>
      <c r="D169" s="97">
        <f>VLOOKUP($E$3,'Catchment Births'!$A$1:$U$90,11,FALSE)</f>
        <v>73</v>
      </c>
      <c r="E169" s="97">
        <f>VLOOKUP($E$3,'Catchment Births'!$A$1:$U$90,12,FALSE)</f>
        <v>94</v>
      </c>
      <c r="F169" s="97">
        <f>VLOOKUP($E$3,'Catchment Births'!$A$1:$U$90,13,FALSE)</f>
        <v>73</v>
      </c>
      <c r="G169" s="97">
        <f>VLOOKUP($E$3,'Catchment Births'!$A$1:$U$90,14,FALSE)</f>
        <v>78</v>
      </c>
      <c r="H169" s="97">
        <f>VLOOKUP($E$3,'Catchment Births'!$A$1:$U$90,15,FALSE)</f>
        <v>98</v>
      </c>
      <c r="I169" s="97">
        <f>VLOOKUP($E$3,'Catchment Births'!$A$1:$U$90,16,FALSE)</f>
        <v>78</v>
      </c>
      <c r="J169" s="97">
        <f>VLOOKUP($E$3,'Catchment Births'!$A$1:$U$90,17,FALSE)</f>
        <v>92</v>
      </c>
      <c r="K169" s="97">
        <f>VLOOKUP($E$3,'Catchment Births'!$A$1:$U$90,18,FALSE)</f>
        <v>87</v>
      </c>
      <c r="L169" s="97">
        <f>VLOOKUP($E$3,'Catchment Births'!$A$1:$U$90,19,FALSE)</f>
        <v>93</v>
      </c>
      <c r="M169" s="97">
        <f>VLOOKUP($E$3,'Catchment Births'!$A$1:$U$90,20,FALSE)</f>
        <v>84</v>
      </c>
      <c r="N169" s="97">
        <f>VLOOKUP($E$3,'Catchment Births'!$A$1:$U$90,21,FALSE)</f>
        <v>91</v>
      </c>
    </row>
    <row r="170" spans="2:14" ht="58.5" customHeight="1">
      <c r="B170" s="103" t="str">
        <f>"P1 "&amp;A35&amp;" Catchment Population (Actual)"</f>
        <v>P1 ND Catchment Population (Actual)</v>
      </c>
      <c r="C170" s="102" t="e">
        <v>#REF!</v>
      </c>
      <c r="D170" s="102">
        <v>60</v>
      </c>
      <c r="E170" s="102">
        <v>77</v>
      </c>
      <c r="F170" s="102">
        <v>63</v>
      </c>
      <c r="G170" s="102">
        <v>70</v>
      </c>
      <c r="H170" s="102">
        <v>69</v>
      </c>
      <c r="I170" s="102">
        <v>73</v>
      </c>
      <c r="J170" s="308">
        <f>VLOOKUP(E3,'Catchment Projections'!A1:BU92,42,FALSE)</f>
        <v>77</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73</v>
      </c>
      <c r="J172" s="96" t="e">
        <f>#REF!</f>
        <v>#REF!</v>
      </c>
      <c r="K172" s="96">
        <f>D51</f>
        <v>68</v>
      </c>
      <c r="L172" s="96">
        <f>E51</f>
        <v>74</v>
      </c>
      <c r="M172" s="96">
        <f>F51</f>
        <v>79</v>
      </c>
      <c r="N172" s="96">
        <f>G51</f>
        <v>62</v>
      </c>
    </row>
    <row r="173" spans="2:14" ht="12.75">
      <c r="B173" s="62"/>
      <c r="C173" s="62"/>
      <c r="D173" s="62"/>
      <c r="E173" s="62"/>
      <c r="F173" s="62"/>
      <c r="G173" s="62"/>
      <c r="H173" s="62"/>
      <c r="I173" s="62"/>
      <c r="J173" s="62"/>
      <c r="K173" s="62"/>
    </row>
    <row r="174" spans="2:14" ht="15" customHeight="1">
      <c r="B174" s="64" t="str">
        <f>"Table 5: "&amp;E3&amp;" Roll by Stage, 2002-2018"</f>
        <v>Table 5: Clermiston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27</v>
      </c>
      <c r="D177" s="93">
        <v>29</v>
      </c>
      <c r="E177" s="93">
        <v>39</v>
      </c>
      <c r="F177" s="93">
        <v>43</v>
      </c>
      <c r="G177" s="93">
        <v>43</v>
      </c>
      <c r="H177" s="93">
        <v>41</v>
      </c>
      <c r="I177" s="93">
        <v>50</v>
      </c>
      <c r="J177" s="92">
        <v>272</v>
      </c>
      <c r="K177" s="62"/>
    </row>
    <row r="178" spans="2:11" ht="15" customHeight="1">
      <c r="B178" s="94">
        <v>2003</v>
      </c>
      <c r="C178" s="93">
        <v>35</v>
      </c>
      <c r="D178" s="93">
        <v>26</v>
      </c>
      <c r="E178" s="93">
        <v>27</v>
      </c>
      <c r="F178" s="93">
        <v>41</v>
      </c>
      <c r="G178" s="93">
        <v>46</v>
      </c>
      <c r="H178" s="93">
        <v>42</v>
      </c>
      <c r="I178" s="93">
        <v>42</v>
      </c>
      <c r="J178" s="92">
        <v>259</v>
      </c>
      <c r="K178" s="62"/>
    </row>
    <row r="179" spans="2:11" customFormat="1" ht="15" customHeight="1">
      <c r="B179" s="94">
        <v>2004</v>
      </c>
      <c r="C179" s="95">
        <v>36</v>
      </c>
      <c r="D179" s="95">
        <v>35</v>
      </c>
      <c r="E179" s="95">
        <v>25</v>
      </c>
      <c r="F179" s="95">
        <v>25</v>
      </c>
      <c r="G179" s="95">
        <v>45</v>
      </c>
      <c r="H179" s="95">
        <v>44</v>
      </c>
      <c r="I179" s="95">
        <v>46</v>
      </c>
      <c r="J179" s="92">
        <v>256</v>
      </c>
      <c r="K179" s="62"/>
    </row>
    <row r="180" spans="2:11" customFormat="1" ht="15" customHeight="1">
      <c r="B180" s="94">
        <v>2005</v>
      </c>
      <c r="C180" s="93">
        <v>23</v>
      </c>
      <c r="D180" s="93">
        <v>35</v>
      </c>
      <c r="E180" s="93">
        <v>36</v>
      </c>
      <c r="F180" s="93">
        <v>25</v>
      </c>
      <c r="G180" s="93">
        <v>25</v>
      </c>
      <c r="H180" s="93">
        <v>38</v>
      </c>
      <c r="I180" s="93">
        <v>43</v>
      </c>
      <c r="J180" s="92">
        <v>225</v>
      </c>
      <c r="K180" s="62"/>
    </row>
    <row r="181" spans="2:11" customFormat="1" ht="15" customHeight="1">
      <c r="B181" s="94">
        <v>2006</v>
      </c>
      <c r="C181" s="93">
        <v>37</v>
      </c>
      <c r="D181" s="93">
        <v>24</v>
      </c>
      <c r="E181" s="93">
        <v>36</v>
      </c>
      <c r="F181" s="93">
        <v>34</v>
      </c>
      <c r="G181" s="93">
        <v>26</v>
      </c>
      <c r="H181" s="93">
        <v>30</v>
      </c>
      <c r="I181" s="93">
        <v>40</v>
      </c>
      <c r="J181" s="92">
        <v>227</v>
      </c>
      <c r="K181" s="62"/>
    </row>
    <row r="182" spans="2:11" customFormat="1" ht="15" customHeight="1">
      <c r="B182" s="94">
        <v>2007</v>
      </c>
      <c r="C182" s="93">
        <v>27</v>
      </c>
      <c r="D182" s="93">
        <v>43</v>
      </c>
      <c r="E182" s="93">
        <v>24</v>
      </c>
      <c r="F182" s="93">
        <v>37</v>
      </c>
      <c r="G182" s="93">
        <v>32</v>
      </c>
      <c r="H182" s="93">
        <v>26</v>
      </c>
      <c r="I182" s="93">
        <v>33</v>
      </c>
      <c r="J182" s="92">
        <v>222</v>
      </c>
      <c r="K182" s="62"/>
    </row>
    <row r="183" spans="2:11" customFormat="1" ht="15" customHeight="1">
      <c r="B183" s="94">
        <v>2008</v>
      </c>
      <c r="C183" s="93">
        <v>38</v>
      </c>
      <c r="D183" s="93">
        <v>29</v>
      </c>
      <c r="E183" s="93">
        <v>42</v>
      </c>
      <c r="F183" s="93">
        <v>21</v>
      </c>
      <c r="G183" s="93">
        <v>37</v>
      </c>
      <c r="H183" s="93">
        <v>31</v>
      </c>
      <c r="I183" s="93">
        <v>29</v>
      </c>
      <c r="J183" s="92">
        <v>227</v>
      </c>
      <c r="K183" s="62"/>
    </row>
    <row r="184" spans="2:11" customFormat="1" ht="15" customHeight="1">
      <c r="B184" s="94">
        <v>2009</v>
      </c>
      <c r="C184" s="93">
        <v>38</v>
      </c>
      <c r="D184" s="93">
        <v>40</v>
      </c>
      <c r="E184" s="93">
        <v>28</v>
      </c>
      <c r="F184" s="93">
        <v>40</v>
      </c>
      <c r="G184" s="93">
        <v>25</v>
      </c>
      <c r="H184" s="93">
        <v>39</v>
      </c>
      <c r="I184" s="93">
        <v>31</v>
      </c>
      <c r="J184" s="94">
        <v>241</v>
      </c>
      <c r="K184" s="62"/>
    </row>
    <row r="185" spans="2:11" customFormat="1" ht="15" customHeight="1">
      <c r="B185" s="94">
        <v>2010</v>
      </c>
      <c r="C185" s="93">
        <v>38</v>
      </c>
      <c r="D185" s="93">
        <v>42</v>
      </c>
      <c r="E185" s="93">
        <v>39</v>
      </c>
      <c r="F185" s="93">
        <v>28</v>
      </c>
      <c r="G185" s="93">
        <v>46</v>
      </c>
      <c r="H185" s="93">
        <v>31</v>
      </c>
      <c r="I185" s="93">
        <v>46</v>
      </c>
      <c r="J185" s="92">
        <v>270</v>
      </c>
      <c r="K185" s="62"/>
    </row>
    <row r="186" spans="2:11" customFormat="1" ht="15" customHeight="1">
      <c r="B186" s="94">
        <v>2011</v>
      </c>
      <c r="C186" s="93">
        <v>71</v>
      </c>
      <c r="D186" s="93">
        <v>38</v>
      </c>
      <c r="E186" s="93">
        <v>43</v>
      </c>
      <c r="F186" s="93">
        <v>37</v>
      </c>
      <c r="G186" s="93">
        <v>26</v>
      </c>
      <c r="H186" s="93">
        <v>47</v>
      </c>
      <c r="I186" s="93">
        <v>28</v>
      </c>
      <c r="J186" s="92">
        <v>290</v>
      </c>
      <c r="K186" s="62"/>
    </row>
    <row r="187" spans="2:11" customFormat="1" ht="15" customHeight="1">
      <c r="B187" s="94">
        <v>2012</v>
      </c>
      <c r="C187" s="93">
        <v>55</v>
      </c>
      <c r="D187" s="93">
        <v>68</v>
      </c>
      <c r="E187" s="93">
        <v>39</v>
      </c>
      <c r="F187" s="93">
        <v>40</v>
      </c>
      <c r="G187" s="93">
        <v>34</v>
      </c>
      <c r="H187" s="93">
        <v>25</v>
      </c>
      <c r="I187" s="93">
        <v>45</v>
      </c>
      <c r="J187" s="92">
        <v>306</v>
      </c>
      <c r="K187" s="62"/>
    </row>
    <row r="188" spans="2:11" customFormat="1" ht="15" customHeight="1">
      <c r="B188" s="94">
        <v>2013</v>
      </c>
      <c r="C188" s="93">
        <v>58</v>
      </c>
      <c r="D188" s="93">
        <v>57</v>
      </c>
      <c r="E188" s="93">
        <v>65</v>
      </c>
      <c r="F188" s="93">
        <v>40</v>
      </c>
      <c r="G188" s="93">
        <v>38</v>
      </c>
      <c r="H188" s="93">
        <v>33</v>
      </c>
      <c r="I188" s="93">
        <v>24</v>
      </c>
      <c r="J188" s="94">
        <v>315</v>
      </c>
      <c r="K188" s="62"/>
    </row>
    <row r="189" spans="2:11" customFormat="1" ht="15" customHeight="1">
      <c r="B189" s="94">
        <v>2014</v>
      </c>
      <c r="C189" s="93">
        <v>60</v>
      </c>
      <c r="D189" s="93">
        <v>60</v>
      </c>
      <c r="E189" s="93">
        <v>57</v>
      </c>
      <c r="F189" s="93">
        <v>65</v>
      </c>
      <c r="G189" s="93">
        <v>43</v>
      </c>
      <c r="H189" s="93">
        <v>37</v>
      </c>
      <c r="I189" s="93">
        <v>36</v>
      </c>
      <c r="J189" s="92">
        <v>358</v>
      </c>
      <c r="K189" s="65"/>
    </row>
    <row r="190" spans="2:11" customFormat="1" ht="15" customHeight="1">
      <c r="B190" s="94">
        <v>2015</v>
      </c>
      <c r="C190" s="93">
        <v>72</v>
      </c>
      <c r="D190" s="93">
        <v>60</v>
      </c>
      <c r="E190" s="93">
        <v>59</v>
      </c>
      <c r="F190" s="93">
        <v>61</v>
      </c>
      <c r="G190" s="93">
        <v>61</v>
      </c>
      <c r="H190" s="93">
        <v>45</v>
      </c>
      <c r="I190" s="93">
        <v>38</v>
      </c>
      <c r="J190" s="92">
        <v>396</v>
      </c>
      <c r="K190" s="65"/>
    </row>
    <row r="191" spans="2:11" customFormat="1" ht="15" customHeight="1">
      <c r="B191" s="94">
        <v>2016</v>
      </c>
      <c r="C191" s="93">
        <v>77</v>
      </c>
      <c r="D191" s="93">
        <v>70</v>
      </c>
      <c r="E191" s="93">
        <v>59</v>
      </c>
      <c r="F191" s="93">
        <v>59</v>
      </c>
      <c r="G191" s="93">
        <v>59</v>
      </c>
      <c r="H191" s="93">
        <v>61</v>
      </c>
      <c r="I191" s="93">
        <v>44</v>
      </c>
      <c r="J191" s="92">
        <v>429</v>
      </c>
      <c r="K191" s="65"/>
    </row>
    <row r="192" spans="2:11" ht="15" customHeight="1">
      <c r="B192" s="94">
        <v>2017</v>
      </c>
      <c r="C192" s="93">
        <f>VLOOKUP($E$3,Rolls!A1:FA90,42,FALSE)</f>
        <v>66</v>
      </c>
      <c r="D192" s="93">
        <f>VLOOKUP($E$3,Rolls!A1:FA90,43,FALSE)</f>
        <v>82</v>
      </c>
      <c r="E192" s="93">
        <f>VLOOKUP($E$3,Rolls!A1:FA90,44,FALSE)</f>
        <v>71</v>
      </c>
      <c r="F192" s="93">
        <f>VLOOKUP($E$3,Rolls!A1:FA90,45,FALSE)</f>
        <v>57</v>
      </c>
      <c r="G192" s="93">
        <f>VLOOKUP($E$3,Rolls!A1:FA90,46,FALSE)</f>
        <v>57</v>
      </c>
      <c r="H192" s="93">
        <f>VLOOKUP($E$3,Rolls!A1:FA90,47,FALSE)</f>
        <v>60</v>
      </c>
      <c r="I192" s="93">
        <f>VLOOKUP($E$3,Rolls!A1:FA90,48,FALSE)</f>
        <v>62</v>
      </c>
      <c r="J192" s="92">
        <f>VLOOKUP($E$3,Rolls!A1:FA90,49,FALSE)</f>
        <v>455</v>
      </c>
      <c r="K192" s="65"/>
    </row>
    <row r="193" spans="2:11" ht="15" customHeight="1">
      <c r="B193" s="94">
        <v>2018</v>
      </c>
      <c r="C193" s="93">
        <f>VLOOKUP($E$3,Rolls!A1:FA90,50,FALSE)</f>
        <v>70</v>
      </c>
      <c r="D193" s="93">
        <f>VLOOKUP($E$3,Rolls!A1:FA90,51,FALSE)</f>
        <v>69</v>
      </c>
      <c r="E193" s="93">
        <f>VLOOKUP($E$3,Rolls!A1:FA90,52,FALSE)</f>
        <v>81</v>
      </c>
      <c r="F193" s="93">
        <f>VLOOKUP($E$3,Rolls!A1:FA90,53,FALSE)</f>
        <v>68</v>
      </c>
      <c r="G193" s="93">
        <f>VLOOKUP($E$3,Rolls!A1:FA90,54,FALSE)</f>
        <v>56</v>
      </c>
      <c r="H193" s="93">
        <f>VLOOKUP($E$3,Rolls!A1:FA90,55,FALSE)</f>
        <v>57</v>
      </c>
      <c r="I193" s="93">
        <f>VLOOKUP($E$3,Rolls!A1:FA90,56,FALSE)</f>
        <v>60</v>
      </c>
      <c r="J193" s="92">
        <f>VLOOKUP($E$3,Rolls!A1:FA90,57,FALSE)</f>
        <v>461</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20</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Clovenstone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434 Pupils (15 classes)</v>
      </c>
      <c r="G12" s="16"/>
      <c r="H12" s="16"/>
    </row>
    <row r="13" spans="2:10" ht="15" customHeight="1">
      <c r="C13" s="16"/>
      <c r="D13" s="16"/>
      <c r="E13" s="16"/>
      <c r="F13" s="16"/>
      <c r="G13" s="16"/>
      <c r="H13" s="16"/>
    </row>
    <row r="14" spans="2:10" ht="15" customHeight="1">
      <c r="B14" s="15" t="str">
        <f>"Figure 1: "&amp;E3&amp;" Roll, 2002-2015"</f>
        <v>Figure 1: Clovenstone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Clovenstone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38</v>
      </c>
      <c r="E49" s="108">
        <f>VLOOKUP($E$3,'Catchment Projections'!$A$1:$BU$90,46,FALSE)</f>
        <v>38</v>
      </c>
      <c r="F49" s="108">
        <f>VLOOKUP($E$3,'Catchment Projections'!$A$1:$BU$90,47,FALSE)</f>
        <v>36</v>
      </c>
      <c r="G49" s="108">
        <f>VLOOKUP($E$3,'Catchment Projections'!$A$1:$BU$90,48,FALSE)</f>
        <v>34</v>
      </c>
      <c r="H49" s="133">
        <f>VLOOKUP($E$3,'Catchment Projections'!$A$1:$BU$90,49,FALSE)</f>
        <v>36</v>
      </c>
      <c r="I49" s="133">
        <f>VLOOKUP($E$3,'Catchment Projections'!$A$1:$BU$90,50,FALSE)</f>
        <v>37</v>
      </c>
      <c r="J49" s="133">
        <f>VLOOKUP($E$3,'Catchment Projections'!$A$1:$BU$90,51,FALSE)</f>
        <v>38</v>
      </c>
      <c r="K49" s="133">
        <f>VLOOKUP($E$3,'Catchment Projections'!$A$1:$BU$90,52,FALSE)</f>
        <v>38</v>
      </c>
      <c r="L49" s="133">
        <f>VLOOKUP($E$3,'Catchment Projections'!$A$1:$BU$90,53,FALSE)</f>
        <v>38</v>
      </c>
      <c r="M49" s="133">
        <f>VLOOKUP($E$3,'Catchment Projections'!$A$1:$BU$90,54,FALSE)</f>
        <v>38</v>
      </c>
      <c r="N49" s="133">
        <f>VLOOKUP($E$3,'Catchment Projections'!$A$1:$BU$90,55,FALSE)</f>
        <v>39</v>
      </c>
      <c r="O49" s="133">
        <f>VLOOKUP($E$3,'Catchment Projections'!$A$1:$BU$90,56,FALSE)</f>
        <v>39</v>
      </c>
      <c r="P49" s="133">
        <f>VLOOKUP($E$3,'Catchment Projections'!$A$1:$BU$90,57,FALSE)</f>
        <v>39</v>
      </c>
      <c r="Q49" s="133">
        <f>VLOOKUP($E$3,'Catchment Projections'!$A$1:$BU$90,58,FALSE)</f>
        <v>39</v>
      </c>
    </row>
    <row r="50" spans="2:17" ht="15" customHeight="1" thickBot="1">
      <c r="B50" s="410" t="s">
        <v>141</v>
      </c>
      <c r="C50" s="411"/>
      <c r="D50" s="286">
        <f>VLOOKUP(E3,'Housing Generation'!$A$3:$DQ$90,10,FALSE)</f>
        <v>0</v>
      </c>
      <c r="E50" s="286">
        <f>VLOOKUP(E3,'Housing Generation'!$A$3:$DQ$90,18,FALSE)</f>
        <v>0</v>
      </c>
      <c r="F50" s="286">
        <f>VLOOKUP(E3,'Housing Generation'!$A$3:$DQ$90,26,FALSE)</f>
        <v>0</v>
      </c>
      <c r="G50" s="243">
        <f>VLOOKUP(E3,'Housing Generation'!$A$3:$DQ$90,34,FALSE)</f>
        <v>0</v>
      </c>
      <c r="H50" s="133">
        <f>VLOOKUP(E3,'Housing Generation'!$A$3:$DQ$90,42,FALSE)</f>
        <v>0</v>
      </c>
      <c r="I50" s="133">
        <f>VLOOKUP(E3,'Housing Generation'!$A$3:$DQ$90,50,FALSE)</f>
        <v>0</v>
      </c>
      <c r="J50" s="133">
        <f>VLOOKUP(E3,'Housing Generation'!$A$3:$CK$90,58,FALSE)</f>
        <v>0</v>
      </c>
      <c r="K50" s="133">
        <f>VLOOKUP(E3,'Housing Generation'!$A$3:$CK$90,66,FALSE)</f>
        <v>0</v>
      </c>
      <c r="L50" s="133">
        <f>VLOOKUP(E3,'Housing Generation'!$A$3:$DQ$90,74,FALSE)</f>
        <v>0</v>
      </c>
      <c r="M50" s="133">
        <f>VLOOKUP(E3,'Housing Generation'!$A$3:$DQ$90,82,FALSE)</f>
        <v>0</v>
      </c>
      <c r="N50" s="133">
        <f>VLOOKUP(E3,'Housing Generation'!$A$3:$DQ$90,90,FALSE)</f>
        <v>0</v>
      </c>
      <c r="O50" s="133">
        <f>VLOOKUP(E3,'Housing Generation'!$A$3:$DQ$90,98,FALSE)</f>
        <v>0</v>
      </c>
      <c r="P50" s="133">
        <f>VLOOKUP(E3,'Housing Generation'!$A$3:$DQ$90,106,FALSE)</f>
        <v>0</v>
      </c>
      <c r="Q50" s="133">
        <f>VLOOKUP(E3,'Housing Generation'!$A$3:$DQ$90,114,FALSE)</f>
        <v>0</v>
      </c>
    </row>
    <row r="51" spans="2:17" ht="15" customHeight="1" thickTop="1">
      <c r="B51" s="421" t="s">
        <v>130</v>
      </c>
      <c r="C51" s="422"/>
      <c r="D51" s="47">
        <f t="shared" ref="D51:Q51" si="0">SUM(D49:D50)</f>
        <v>38</v>
      </c>
      <c r="E51" s="47">
        <f t="shared" si="0"/>
        <v>38</v>
      </c>
      <c r="F51" s="80">
        <f t="shared" si="0"/>
        <v>36</v>
      </c>
      <c r="G51" s="244">
        <f t="shared" si="0"/>
        <v>34</v>
      </c>
      <c r="H51" s="71">
        <f t="shared" si="0"/>
        <v>36</v>
      </c>
      <c r="I51" s="71">
        <f t="shared" si="0"/>
        <v>37</v>
      </c>
      <c r="J51" s="71">
        <f t="shared" si="0"/>
        <v>38</v>
      </c>
      <c r="K51" s="71">
        <f t="shared" si="0"/>
        <v>38</v>
      </c>
      <c r="L51" s="71">
        <f t="shared" si="0"/>
        <v>38</v>
      </c>
      <c r="M51" s="71">
        <f t="shared" si="0"/>
        <v>38</v>
      </c>
      <c r="N51" s="71">
        <f t="shared" si="0"/>
        <v>39</v>
      </c>
      <c r="O51" s="71">
        <f t="shared" si="0"/>
        <v>39</v>
      </c>
      <c r="P51" s="71">
        <f t="shared" si="0"/>
        <v>39</v>
      </c>
      <c r="Q51" s="71">
        <f t="shared" si="0"/>
        <v>39</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49</v>
      </c>
      <c r="D60" s="358">
        <f>VLOOKUP($E$3,'Catchment Projections'!$A$1:$BZ$90,74,FALSE)</f>
        <v>23</v>
      </c>
      <c r="E60" s="303">
        <f>D60/C60</f>
        <v>0.46938775510204084</v>
      </c>
      <c r="G60" s="132">
        <v>2014</v>
      </c>
      <c r="H60" s="395">
        <f>VLOOKUP($G$60,$B$177:$C$215, 2, FALSE)</f>
        <v>28</v>
      </c>
      <c r="I60" s="120">
        <f>H60-D60</f>
        <v>5</v>
      </c>
      <c r="J60" s="121">
        <f>I60/H60</f>
        <v>0.17857142857142858</v>
      </c>
    </row>
    <row r="61" spans="2:17" ht="15" customHeight="1">
      <c r="B61" s="132">
        <v>2015</v>
      </c>
      <c r="C61" s="359">
        <f>VLOOKUP($E$3,'Catchment Projections'!$A$1:$BZ$90,41,FALSE)</f>
        <v>42</v>
      </c>
      <c r="D61" s="358">
        <f>VLOOKUP($E$3,'Catchment Projections'!$A$1:$BZ$90,75,FALSE)</f>
        <v>30</v>
      </c>
      <c r="E61" s="303">
        <f>D61/C61</f>
        <v>0.7142857142857143</v>
      </c>
      <c r="G61" s="132">
        <v>2015</v>
      </c>
      <c r="H61" s="395">
        <f>VLOOKUP($G$61,$B$177:$C$215, 2, FALSE)</f>
        <v>39</v>
      </c>
      <c r="I61" s="120">
        <f>H61-D61</f>
        <v>9</v>
      </c>
      <c r="J61" s="121">
        <f>I61/H61</f>
        <v>0.23076923076923078</v>
      </c>
    </row>
    <row r="62" spans="2:17" ht="15" customHeight="1">
      <c r="B62" s="131">
        <v>2016</v>
      </c>
      <c r="C62" s="359">
        <f>VLOOKUP($E$3,'Catchment Projections'!$A$1:$BZ$90,42,FALSE)</f>
        <v>42</v>
      </c>
      <c r="D62" s="358">
        <f>VLOOKUP($E$3,'Catchment Projections'!$A$1:$BZ$90,76,FALSE)</f>
        <v>23</v>
      </c>
      <c r="E62" s="57">
        <f>D62/C62</f>
        <v>0.54761904761904767</v>
      </c>
      <c r="G62" s="131">
        <v>2016</v>
      </c>
      <c r="H62" s="395">
        <f>VLOOKUP($G$62,$B$177:$C$215, 2, FALSE)</f>
        <v>32</v>
      </c>
      <c r="I62" s="120">
        <f>H62-D62</f>
        <v>9</v>
      </c>
      <c r="J62" s="121">
        <f>I62/H62</f>
        <v>0.28125</v>
      </c>
    </row>
    <row r="63" spans="2:17" ht="15" customHeight="1">
      <c r="B63" s="114">
        <v>2017</v>
      </c>
      <c r="C63" s="359">
        <f>VLOOKUP($E$3,'Catchment Projections'!$A$1:$BZ$90,43,FALSE)</f>
        <v>41</v>
      </c>
      <c r="D63" s="358">
        <f>VLOOKUP($E$3,'Catchment Projections'!$A$1:$BZ$90,77,FALSE)</f>
        <v>28</v>
      </c>
      <c r="E63" s="304">
        <f>D63/C63</f>
        <v>0.68292682926829273</v>
      </c>
      <c r="G63" s="114">
        <v>2017</v>
      </c>
      <c r="H63" s="395">
        <f>VLOOKUP($G$63,$B$177:$C$215, 2, FALSE)</f>
        <v>35</v>
      </c>
      <c r="I63" s="120">
        <f>H63-D63</f>
        <v>7</v>
      </c>
      <c r="J63" s="121">
        <f>I63/H63</f>
        <v>0.2</v>
      </c>
    </row>
    <row r="64" spans="2:17" ht="15" customHeight="1">
      <c r="B64" s="114">
        <v>2018</v>
      </c>
      <c r="C64" s="359">
        <f>VLOOKUP($E$3,'Catchment Projections'!$A$1:$BZ$90,44,FALSE)</f>
        <v>39</v>
      </c>
      <c r="D64" s="358">
        <f>VLOOKUP($E$3,'Catchment Projections'!$A$1:$BZ$90,78,FALSE)</f>
        <v>27</v>
      </c>
      <c r="E64" s="305">
        <f>D64/C64</f>
        <v>0.69230769230769229</v>
      </c>
      <c r="G64" s="114">
        <v>2018</v>
      </c>
      <c r="H64" s="395">
        <f>VLOOKUP($G$64,$B$177:$C$215, 2, FALSE)</f>
        <v>34</v>
      </c>
      <c r="I64" s="120">
        <f>H64-D64</f>
        <v>7</v>
      </c>
      <c r="J64" s="121">
        <f>I64/H64</f>
        <v>0.20588235294117646</v>
      </c>
    </row>
    <row r="65" spans="2:10" ht="15" customHeight="1">
      <c r="B65" s="412" t="s">
        <v>136</v>
      </c>
      <c r="C65" s="413"/>
      <c r="D65" s="414"/>
      <c r="E65" s="137">
        <f>IF((AVERAGE(E62:E64))="#DIV/0!","n/a",(AVERAGE(E62:E64)))</f>
        <v>0.64095118973167753</v>
      </c>
      <c r="G65" s="415" t="s">
        <v>137</v>
      </c>
      <c r="H65" s="416"/>
      <c r="I65" s="138">
        <f>MEDIAN(I60:I64)</f>
        <v>7</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38</v>
      </c>
      <c r="D70" s="408"/>
      <c r="E70" s="122">
        <f>E65</f>
        <v>0.64095118973167753</v>
      </c>
      <c r="F70" s="120">
        <f t="shared" ref="F70:F83" si="1">C70*$E$65</f>
        <v>24.356145209803746</v>
      </c>
      <c r="G70" s="118">
        <f>IF(F70&lt;26,25,IF(F70&gt;135,140,IF(F70&gt;130,135,IF(F70&gt;125,130,IF(F70&gt;120,125,IF(F70&gt;115,120,IF(F70&gt;110,115,IF(F70&gt;105,110,IF(F70&gt;100,105,IF(F70&gt;99,100,IF(F70&gt;90,99,IF(F70&gt;75,90,IF(F70&gt;72,75,IF(F70&gt;66,72,IF(F70&gt;60,66,IF(F70&gt;50,60,IF(F70&gt;30,50,IF(F70&gt;25,30,0))))))))))))))))))</f>
        <v>25</v>
      </c>
      <c r="H70" s="119">
        <f t="shared" ref="H70:H83" si="2">G70-F70</f>
        <v>0.64385479019625436</v>
      </c>
      <c r="I70" s="118" t="str">
        <f>IF(I$65&lt;H70, "NO", "YES")</f>
        <v>YES</v>
      </c>
      <c r="J70" s="117">
        <f t="shared" ref="J70:J83" si="3">IF(I70="YES",G70,(MIN((SUM(F70,$I$65)),G70)))</f>
        <v>25</v>
      </c>
    </row>
    <row r="71" spans="2:10" ht="15" customHeight="1">
      <c r="B71" s="114">
        <v>2020</v>
      </c>
      <c r="C71" s="433">
        <f>E51</f>
        <v>38</v>
      </c>
      <c r="D71" s="408"/>
      <c r="E71" s="121">
        <f>E65</f>
        <v>0.64095118973167753</v>
      </c>
      <c r="F71" s="120">
        <f t="shared" si="1"/>
        <v>24.356145209803746</v>
      </c>
      <c r="G71" s="118">
        <f t="shared" ref="G71:G83" si="4">IF(F71&lt;26,25,IF(F71&gt;135,140,IF(F71&gt;130,135,IF(F71&gt;125,130,IF(F71&gt;120,125,IF(F71&gt;115,120,IF(F71&gt;110,115,IF(F71&gt;105,110,IF(F71&gt;100,105,IF(F71&gt;99,100,IF(F71&gt;90,99,IF(F71&gt;75,90,IF(F71&gt;72,75,IF(F71&gt;66,72,IF(F71&gt;60,66,IF(F71&gt;50,60,IF(F71&gt;30,50,IF(F71&gt;25,30,0))))))))))))))))))</f>
        <v>25</v>
      </c>
      <c r="H71" s="119">
        <f t="shared" si="2"/>
        <v>0.64385479019625436</v>
      </c>
      <c r="I71" s="118" t="str">
        <f t="shared" ref="I71:I83" si="5">IF(I$65&lt;H71, "NO", "YES")</f>
        <v>YES</v>
      </c>
      <c r="J71" s="117">
        <f t="shared" si="3"/>
        <v>25</v>
      </c>
    </row>
    <row r="72" spans="2:10" ht="15" customHeight="1">
      <c r="B72" s="114">
        <v>2021</v>
      </c>
      <c r="C72" s="430">
        <f>F51</f>
        <v>36</v>
      </c>
      <c r="D72" s="431"/>
      <c r="E72" s="121">
        <f>E65</f>
        <v>0.64095118973167753</v>
      </c>
      <c r="F72" s="120">
        <f t="shared" si="1"/>
        <v>23.074242830340392</v>
      </c>
      <c r="G72" s="118">
        <f t="shared" si="4"/>
        <v>25</v>
      </c>
      <c r="H72" s="119">
        <f t="shared" si="2"/>
        <v>1.9257571696596081</v>
      </c>
      <c r="I72" s="118" t="str">
        <f t="shared" si="5"/>
        <v>YES</v>
      </c>
      <c r="J72" s="117">
        <f t="shared" si="3"/>
        <v>25</v>
      </c>
    </row>
    <row r="73" spans="2:10" ht="15" customHeight="1">
      <c r="B73" s="114">
        <v>2022</v>
      </c>
      <c r="C73" s="430">
        <f>G51</f>
        <v>34</v>
      </c>
      <c r="D73" s="431"/>
      <c r="E73" s="121">
        <f>E65</f>
        <v>0.64095118973167753</v>
      </c>
      <c r="F73" s="120">
        <f t="shared" si="1"/>
        <v>21.792340450877035</v>
      </c>
      <c r="G73" s="118">
        <f t="shared" si="4"/>
        <v>25</v>
      </c>
      <c r="H73" s="119">
        <f t="shared" si="2"/>
        <v>3.2076595491229654</v>
      </c>
      <c r="I73" s="118" t="str">
        <f t="shared" si="5"/>
        <v>YES</v>
      </c>
      <c r="J73" s="117">
        <f t="shared" si="3"/>
        <v>25</v>
      </c>
    </row>
    <row r="74" spans="2:10" ht="15" customHeight="1">
      <c r="B74" s="114">
        <v>2023</v>
      </c>
      <c r="C74" s="430">
        <f>H51</f>
        <v>36</v>
      </c>
      <c r="D74" s="431"/>
      <c r="E74" s="121">
        <f>E65</f>
        <v>0.64095118973167753</v>
      </c>
      <c r="F74" s="120">
        <f t="shared" si="1"/>
        <v>23.074242830340392</v>
      </c>
      <c r="G74" s="118">
        <f t="shared" si="4"/>
        <v>25</v>
      </c>
      <c r="H74" s="119">
        <f t="shared" si="2"/>
        <v>1.9257571696596081</v>
      </c>
      <c r="I74" s="118" t="str">
        <f t="shared" si="5"/>
        <v>YES</v>
      </c>
      <c r="J74" s="117">
        <f t="shared" si="3"/>
        <v>25</v>
      </c>
    </row>
    <row r="75" spans="2:10" ht="15" customHeight="1">
      <c r="B75" s="114">
        <v>2024</v>
      </c>
      <c r="C75" s="430">
        <f>I51</f>
        <v>37</v>
      </c>
      <c r="D75" s="431"/>
      <c r="E75" s="121">
        <f>E65</f>
        <v>0.64095118973167753</v>
      </c>
      <c r="F75" s="120">
        <f t="shared" si="1"/>
        <v>23.715194020072069</v>
      </c>
      <c r="G75" s="118">
        <f t="shared" si="4"/>
        <v>25</v>
      </c>
      <c r="H75" s="119">
        <f t="shared" si="2"/>
        <v>1.2848059799279312</v>
      </c>
      <c r="I75" s="118" t="str">
        <f t="shared" si="5"/>
        <v>YES</v>
      </c>
      <c r="J75" s="117">
        <f t="shared" si="3"/>
        <v>25</v>
      </c>
    </row>
    <row r="76" spans="2:10" ht="15" customHeight="1">
      <c r="B76" s="114">
        <v>2025</v>
      </c>
      <c r="C76" s="430">
        <f>J51</f>
        <v>38</v>
      </c>
      <c r="D76" s="431"/>
      <c r="E76" s="121">
        <f>E65</f>
        <v>0.64095118973167753</v>
      </c>
      <c r="F76" s="120">
        <f t="shared" si="1"/>
        <v>24.356145209803746</v>
      </c>
      <c r="G76" s="118">
        <f t="shared" si="4"/>
        <v>25</v>
      </c>
      <c r="H76" s="119">
        <f t="shared" si="2"/>
        <v>0.64385479019625436</v>
      </c>
      <c r="I76" s="118" t="str">
        <f t="shared" si="5"/>
        <v>YES</v>
      </c>
      <c r="J76" s="117">
        <f t="shared" si="3"/>
        <v>25</v>
      </c>
    </row>
    <row r="77" spans="2:10" ht="15" customHeight="1">
      <c r="B77" s="114">
        <v>2026</v>
      </c>
      <c r="C77" s="430">
        <f>K51</f>
        <v>38</v>
      </c>
      <c r="D77" s="431"/>
      <c r="E77" s="121">
        <f>E65</f>
        <v>0.64095118973167753</v>
      </c>
      <c r="F77" s="120">
        <f t="shared" si="1"/>
        <v>24.356145209803746</v>
      </c>
      <c r="G77" s="118">
        <f t="shared" si="4"/>
        <v>25</v>
      </c>
      <c r="H77" s="119">
        <f t="shared" si="2"/>
        <v>0.64385479019625436</v>
      </c>
      <c r="I77" s="118" t="str">
        <f t="shared" si="5"/>
        <v>YES</v>
      </c>
      <c r="J77" s="117">
        <f t="shared" si="3"/>
        <v>25</v>
      </c>
    </row>
    <row r="78" spans="2:10" ht="15" customHeight="1">
      <c r="B78" s="114">
        <v>2027</v>
      </c>
      <c r="C78" s="430">
        <f>L51</f>
        <v>38</v>
      </c>
      <c r="D78" s="431"/>
      <c r="E78" s="121">
        <f>E65</f>
        <v>0.64095118973167753</v>
      </c>
      <c r="F78" s="120">
        <f t="shared" si="1"/>
        <v>24.356145209803746</v>
      </c>
      <c r="G78" s="118">
        <f t="shared" si="4"/>
        <v>25</v>
      </c>
      <c r="H78" s="119">
        <f t="shared" si="2"/>
        <v>0.64385479019625436</v>
      </c>
      <c r="I78" s="118" t="str">
        <f t="shared" si="5"/>
        <v>YES</v>
      </c>
      <c r="J78" s="117">
        <f t="shared" si="3"/>
        <v>25</v>
      </c>
    </row>
    <row r="79" spans="2:10" ht="15" customHeight="1">
      <c r="B79" s="114">
        <v>2028</v>
      </c>
      <c r="C79" s="430">
        <f>M51</f>
        <v>38</v>
      </c>
      <c r="D79" s="431"/>
      <c r="E79" s="121">
        <f t="shared" ref="E79:E83" si="6">$E$65</f>
        <v>0.64095118973167753</v>
      </c>
      <c r="F79" s="120">
        <f t="shared" si="1"/>
        <v>24.356145209803746</v>
      </c>
      <c r="G79" s="118">
        <f t="shared" si="4"/>
        <v>25</v>
      </c>
      <c r="H79" s="119">
        <f t="shared" si="2"/>
        <v>0.64385479019625436</v>
      </c>
      <c r="I79" s="118" t="str">
        <f t="shared" si="5"/>
        <v>YES</v>
      </c>
      <c r="J79" s="117">
        <f t="shared" si="3"/>
        <v>25</v>
      </c>
    </row>
    <row r="80" spans="2:10" ht="15" customHeight="1">
      <c r="B80" s="114">
        <v>2029</v>
      </c>
      <c r="C80" s="430">
        <f>N51</f>
        <v>39</v>
      </c>
      <c r="D80" s="431"/>
      <c r="E80" s="121">
        <f t="shared" si="6"/>
        <v>0.64095118973167753</v>
      </c>
      <c r="F80" s="120">
        <f t="shared" si="1"/>
        <v>24.997096399535423</v>
      </c>
      <c r="G80" s="118">
        <f t="shared" si="4"/>
        <v>25</v>
      </c>
      <c r="H80" s="119">
        <f t="shared" si="2"/>
        <v>2.9036004645774938E-3</v>
      </c>
      <c r="I80" s="118" t="str">
        <f t="shared" si="5"/>
        <v>YES</v>
      </c>
      <c r="J80" s="117">
        <f t="shared" si="3"/>
        <v>25</v>
      </c>
    </row>
    <row r="81" spans="2:10" ht="15" customHeight="1">
      <c r="B81" s="114">
        <v>2030</v>
      </c>
      <c r="C81" s="430">
        <f>O51</f>
        <v>39</v>
      </c>
      <c r="D81" s="431"/>
      <c r="E81" s="121">
        <f t="shared" si="6"/>
        <v>0.64095118973167753</v>
      </c>
      <c r="F81" s="120">
        <f t="shared" si="1"/>
        <v>24.997096399535423</v>
      </c>
      <c r="G81" s="118">
        <f t="shared" si="4"/>
        <v>25</v>
      </c>
      <c r="H81" s="119">
        <f t="shared" si="2"/>
        <v>2.9036004645774938E-3</v>
      </c>
      <c r="I81" s="118" t="str">
        <f t="shared" si="5"/>
        <v>YES</v>
      </c>
      <c r="J81" s="117">
        <f t="shared" si="3"/>
        <v>25</v>
      </c>
    </row>
    <row r="82" spans="2:10" ht="15" customHeight="1">
      <c r="B82" s="114">
        <v>2031</v>
      </c>
      <c r="C82" s="430">
        <f>P51</f>
        <v>39</v>
      </c>
      <c r="D82" s="431"/>
      <c r="E82" s="121">
        <f t="shared" si="6"/>
        <v>0.64095118973167753</v>
      </c>
      <c r="F82" s="120">
        <f t="shared" si="1"/>
        <v>24.997096399535423</v>
      </c>
      <c r="G82" s="118">
        <f t="shared" si="4"/>
        <v>25</v>
      </c>
      <c r="H82" s="119">
        <f t="shared" si="2"/>
        <v>2.9036004645774938E-3</v>
      </c>
      <c r="I82" s="118" t="str">
        <f t="shared" si="5"/>
        <v>YES</v>
      </c>
      <c r="J82" s="117">
        <f t="shared" si="3"/>
        <v>25</v>
      </c>
    </row>
    <row r="83" spans="2:10" ht="15" customHeight="1">
      <c r="B83" s="114">
        <v>2032</v>
      </c>
      <c r="C83" s="430">
        <f>Q51</f>
        <v>39</v>
      </c>
      <c r="D83" s="431"/>
      <c r="E83" s="121">
        <f t="shared" si="6"/>
        <v>0.64095118973167753</v>
      </c>
      <c r="F83" s="120">
        <f t="shared" si="1"/>
        <v>24.997096399535423</v>
      </c>
      <c r="G83" s="118">
        <f t="shared" si="4"/>
        <v>25</v>
      </c>
      <c r="H83" s="119">
        <f t="shared" si="2"/>
        <v>2.9036004645774938E-3</v>
      </c>
      <c r="I83" s="118" t="str">
        <f t="shared" si="5"/>
        <v>YES</v>
      </c>
      <c r="J83" s="117">
        <f t="shared" si="3"/>
        <v>25</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Clovenstone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29</v>
      </c>
      <c r="D91" s="112">
        <f t="shared" ref="D91:J91" si="7">D188</f>
        <v>28</v>
      </c>
      <c r="E91" s="112">
        <f t="shared" si="7"/>
        <v>30</v>
      </c>
      <c r="F91" s="112">
        <f t="shared" si="7"/>
        <v>24</v>
      </c>
      <c r="G91" s="112">
        <f t="shared" si="7"/>
        <v>24</v>
      </c>
      <c r="H91" s="112">
        <f t="shared" si="7"/>
        <v>30</v>
      </c>
      <c r="I91" s="112">
        <f t="shared" si="7"/>
        <v>25</v>
      </c>
      <c r="J91" s="213">
        <f t="shared" si="7"/>
        <v>190</v>
      </c>
    </row>
    <row r="92" spans="2:10" ht="15" customHeight="1">
      <c r="B92" s="114">
        <v>2014</v>
      </c>
      <c r="C92" s="112">
        <f>C189</f>
        <v>28</v>
      </c>
      <c r="D92" s="112">
        <f t="shared" ref="D92:J92" si="8">D189</f>
        <v>32</v>
      </c>
      <c r="E92" s="112">
        <f t="shared" si="8"/>
        <v>28</v>
      </c>
      <c r="F92" s="112">
        <f t="shared" si="8"/>
        <v>31</v>
      </c>
      <c r="G92" s="112">
        <f t="shared" si="8"/>
        <v>29</v>
      </c>
      <c r="H92" s="112">
        <f t="shared" si="8"/>
        <v>25</v>
      </c>
      <c r="I92" s="112">
        <f t="shared" si="8"/>
        <v>28</v>
      </c>
      <c r="J92" s="213">
        <f t="shared" si="8"/>
        <v>201</v>
      </c>
    </row>
    <row r="93" spans="2:10" ht="15" customHeight="1">
      <c r="B93" s="114">
        <v>2015</v>
      </c>
      <c r="C93" s="112">
        <f>C190</f>
        <v>39</v>
      </c>
      <c r="D93" s="112">
        <f t="shared" ref="D93:J93" si="9">D190</f>
        <v>30</v>
      </c>
      <c r="E93" s="112">
        <f t="shared" si="9"/>
        <v>30</v>
      </c>
      <c r="F93" s="112">
        <f t="shared" si="9"/>
        <v>27</v>
      </c>
      <c r="G93" s="112">
        <f t="shared" si="9"/>
        <v>29</v>
      </c>
      <c r="H93" s="112">
        <f t="shared" si="9"/>
        <v>30</v>
      </c>
      <c r="I93" s="112">
        <f t="shared" si="9"/>
        <v>23</v>
      </c>
      <c r="J93" s="213">
        <f t="shared" si="9"/>
        <v>208</v>
      </c>
    </row>
    <row r="94" spans="2:10" ht="15" customHeight="1">
      <c r="B94" s="114">
        <v>2016</v>
      </c>
      <c r="C94" s="112">
        <f>C191</f>
        <v>32</v>
      </c>
      <c r="D94" s="112">
        <f t="shared" ref="D94:J94" si="10">D191</f>
        <v>40</v>
      </c>
      <c r="E94" s="112">
        <f t="shared" si="10"/>
        <v>33</v>
      </c>
      <c r="F94" s="112">
        <f t="shared" si="10"/>
        <v>29</v>
      </c>
      <c r="G94" s="112">
        <f t="shared" si="10"/>
        <v>30</v>
      </c>
      <c r="H94" s="112">
        <f t="shared" si="10"/>
        <v>29</v>
      </c>
      <c r="I94" s="112">
        <f t="shared" si="10"/>
        <v>29</v>
      </c>
      <c r="J94" s="213">
        <f t="shared" si="10"/>
        <v>222</v>
      </c>
    </row>
    <row r="95" spans="2:10" ht="15" customHeight="1">
      <c r="B95" s="114">
        <v>2017</v>
      </c>
      <c r="C95" s="112">
        <f>C192</f>
        <v>35</v>
      </c>
      <c r="D95" s="112">
        <f t="shared" ref="D95:J95" si="11">D192</f>
        <v>33</v>
      </c>
      <c r="E95" s="112">
        <f t="shared" si="11"/>
        <v>37</v>
      </c>
      <c r="F95" s="112">
        <f t="shared" si="11"/>
        <v>35</v>
      </c>
      <c r="G95" s="112">
        <f t="shared" si="11"/>
        <v>31</v>
      </c>
      <c r="H95" s="112">
        <f t="shared" si="11"/>
        <v>28</v>
      </c>
      <c r="I95" s="112">
        <f t="shared" si="11"/>
        <v>27</v>
      </c>
      <c r="J95" s="213">
        <f t="shared" si="11"/>
        <v>226</v>
      </c>
    </row>
    <row r="96" spans="2:10" ht="15" customHeight="1">
      <c r="B96" s="307">
        <v>2018</v>
      </c>
      <c r="C96" s="112">
        <f t="shared" ref="C96:J96" si="12">C193</f>
        <v>34</v>
      </c>
      <c r="D96" s="112">
        <f t="shared" si="12"/>
        <v>33</v>
      </c>
      <c r="E96" s="112">
        <f t="shared" si="12"/>
        <v>31</v>
      </c>
      <c r="F96" s="112">
        <f t="shared" si="12"/>
        <v>37</v>
      </c>
      <c r="G96" s="112">
        <f t="shared" si="12"/>
        <v>38</v>
      </c>
      <c r="H96" s="112">
        <f t="shared" si="12"/>
        <v>30</v>
      </c>
      <c r="I96" s="112">
        <f t="shared" si="12"/>
        <v>29</v>
      </c>
      <c r="J96" s="213">
        <f t="shared" si="12"/>
        <v>232</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-3.125E-2</v>
      </c>
      <c r="E98" s="210">
        <f t="shared" ref="E98:I98" si="13">MEDIAN(((D91-E92)/D91),((D92-E93)/D92),((D93-E94)/D93),((D94-E95)/D94),((D95-E96)/D95))</f>
        <v>6.0606060606060608E-2</v>
      </c>
      <c r="F98" s="210">
        <f t="shared" si="13"/>
        <v>0</v>
      </c>
      <c r="G98" s="210">
        <f t="shared" si="13"/>
        <v>-8.5714285714285715E-2</v>
      </c>
      <c r="H98" s="210">
        <f t="shared" si="13"/>
        <v>0</v>
      </c>
      <c r="I98" s="210">
        <f t="shared" si="13"/>
        <v>6.6666666666666666E-2</v>
      </c>
    </row>
    <row r="99" spans="2:10" ht="15" customHeight="1">
      <c r="B99" s="59"/>
      <c r="C99" s="60"/>
      <c r="D99" s="61"/>
      <c r="E99" s="61"/>
      <c r="F99" s="61"/>
      <c r="G99" s="61"/>
      <c r="H99" s="61"/>
      <c r="I99" s="61"/>
      <c r="J99" s="58"/>
    </row>
    <row r="100" spans="2:10" ht="15" customHeight="1">
      <c r="B100" s="15" t="str">
        <f>"Table 4B: "&amp;E3&amp;" Projected Roll by Stage (incorporating Projected P1 and Drop-Off Rates), 2019-2032"</f>
        <v>Table 4B: Clovenstone Primary School Projected Roll by Stage (incorporating Projected P1 and Drop-Off Rates), 2019-2032</v>
      </c>
      <c r="F100" s="14"/>
      <c r="G100" s="14"/>
    </row>
    <row r="101" spans="2:10" ht="15" customHeight="1">
      <c r="F101" s="14"/>
      <c r="G101" s="14"/>
    </row>
    <row r="102" spans="2:10" ht="15" customHeight="1">
      <c r="B102" s="115"/>
      <c r="C102" s="109" t="s">
        <v>1</v>
      </c>
      <c r="D102" s="109" t="s">
        <v>2</v>
      </c>
      <c r="E102" s="109" t="s">
        <v>3</v>
      </c>
      <c r="F102" s="109" t="s">
        <v>4</v>
      </c>
      <c r="G102" s="109" t="s">
        <v>5</v>
      </c>
      <c r="H102" s="109" t="s">
        <v>6</v>
      </c>
      <c r="I102" s="109" t="s">
        <v>7</v>
      </c>
      <c r="J102" s="109" t="s">
        <v>8</v>
      </c>
    </row>
    <row r="103" spans="2:10" ht="15" customHeight="1">
      <c r="B103" s="114">
        <v>2019</v>
      </c>
      <c r="C103" s="113">
        <f t="shared" ref="C103:C116" si="14">J70</f>
        <v>25</v>
      </c>
      <c r="D103" s="324">
        <f>ROUND((C96)-(C96*$D$98),0)</f>
        <v>35</v>
      </c>
      <c r="E103" s="324">
        <f>ROUND((D96)-(D96*$E$98),0)</f>
        <v>31</v>
      </c>
      <c r="F103" s="324">
        <f>ROUND((E96)-(E96*$F$98),0)</f>
        <v>31</v>
      </c>
      <c r="G103" s="324">
        <f>ROUND((F96)-(F96*$G$98),0)</f>
        <v>40</v>
      </c>
      <c r="H103" s="324">
        <f>ROUND((G96)-(G96*$H$98),0)</f>
        <v>38</v>
      </c>
      <c r="I103" s="324">
        <f>ROUND((H96)-(H96*$I$98),0)</f>
        <v>28</v>
      </c>
      <c r="J103" s="111">
        <f t="shared" ref="J103:J116" si="15">SUM(C103:I103)</f>
        <v>228</v>
      </c>
    </row>
    <row r="104" spans="2:10" ht="15" customHeight="1">
      <c r="B104" s="114">
        <v>2020</v>
      </c>
      <c r="C104" s="113">
        <f t="shared" si="14"/>
        <v>25</v>
      </c>
      <c r="D104" s="324">
        <f>ROUND((C103-E50)-(C103*$D$98),0)</f>
        <v>26</v>
      </c>
      <c r="E104" s="112">
        <f t="shared" ref="E104:E116" si="16">ROUND((D103)-(D103*$E$98),0)</f>
        <v>33</v>
      </c>
      <c r="F104" s="112">
        <f t="shared" ref="F104:F116" si="17">ROUND((E103)-(E103*$F$98),0)</f>
        <v>31</v>
      </c>
      <c r="G104" s="112">
        <f t="shared" ref="G104:G116" si="18">ROUND((F103)-(F103*$G$98),0)</f>
        <v>34</v>
      </c>
      <c r="H104" s="112">
        <f t="shared" ref="H104:H116" si="19">ROUND((G103)-(G103*$H$98),0)</f>
        <v>40</v>
      </c>
      <c r="I104" s="112">
        <f t="shared" ref="I104:I116" si="20">ROUND((H103)-(H103*$I$98),0)</f>
        <v>35</v>
      </c>
      <c r="J104" s="111">
        <f t="shared" si="15"/>
        <v>224</v>
      </c>
    </row>
    <row r="105" spans="2:10" ht="15" customHeight="1">
      <c r="B105" s="114">
        <v>2021</v>
      </c>
      <c r="C105" s="113">
        <f t="shared" si="14"/>
        <v>25</v>
      </c>
      <c r="D105" s="324">
        <f>ROUND((C104-F50)-(C104*$D$98),0)</f>
        <v>26</v>
      </c>
      <c r="E105" s="112">
        <f t="shared" si="16"/>
        <v>24</v>
      </c>
      <c r="F105" s="112">
        <f t="shared" si="17"/>
        <v>33</v>
      </c>
      <c r="G105" s="112">
        <f t="shared" si="18"/>
        <v>34</v>
      </c>
      <c r="H105" s="112">
        <f t="shared" si="19"/>
        <v>34</v>
      </c>
      <c r="I105" s="112">
        <f t="shared" si="20"/>
        <v>37</v>
      </c>
      <c r="J105" s="111">
        <f t="shared" si="15"/>
        <v>213</v>
      </c>
    </row>
    <row r="106" spans="2:10" ht="15" customHeight="1">
      <c r="B106" s="114">
        <v>2022</v>
      </c>
      <c r="C106" s="113">
        <f t="shared" si="14"/>
        <v>25</v>
      </c>
      <c r="D106" s="324">
        <f>ROUND((C105-G50)-(C105*$D$98),0)</f>
        <v>26</v>
      </c>
      <c r="E106" s="112">
        <f t="shared" si="16"/>
        <v>24</v>
      </c>
      <c r="F106" s="112">
        <f t="shared" si="17"/>
        <v>24</v>
      </c>
      <c r="G106" s="112">
        <f t="shared" si="18"/>
        <v>36</v>
      </c>
      <c r="H106" s="112">
        <f t="shared" si="19"/>
        <v>34</v>
      </c>
      <c r="I106" s="112">
        <f t="shared" si="20"/>
        <v>32</v>
      </c>
      <c r="J106" s="111">
        <f t="shared" si="15"/>
        <v>201</v>
      </c>
    </row>
    <row r="107" spans="2:10" ht="15" customHeight="1">
      <c r="B107" s="114">
        <v>2023</v>
      </c>
      <c r="C107" s="113">
        <f t="shared" si="14"/>
        <v>25</v>
      </c>
      <c r="D107" s="324">
        <f>ROUND((C106-H50)-(C106*$D$98),0)</f>
        <v>26</v>
      </c>
      <c r="E107" s="112">
        <f t="shared" si="16"/>
        <v>24</v>
      </c>
      <c r="F107" s="112">
        <f t="shared" si="17"/>
        <v>24</v>
      </c>
      <c r="G107" s="112">
        <f t="shared" si="18"/>
        <v>26</v>
      </c>
      <c r="H107" s="112">
        <f t="shared" si="19"/>
        <v>36</v>
      </c>
      <c r="I107" s="112">
        <f t="shared" si="20"/>
        <v>32</v>
      </c>
      <c r="J107" s="111">
        <f t="shared" si="15"/>
        <v>193</v>
      </c>
    </row>
    <row r="108" spans="2:10" ht="15" customHeight="1">
      <c r="B108" s="114">
        <v>2024</v>
      </c>
      <c r="C108" s="113">
        <f t="shared" si="14"/>
        <v>25</v>
      </c>
      <c r="D108" s="324">
        <f>ROUND((C107-I50)-(C107*$D$98),0)</f>
        <v>26</v>
      </c>
      <c r="E108" s="112">
        <f t="shared" si="16"/>
        <v>24</v>
      </c>
      <c r="F108" s="112">
        <f t="shared" si="17"/>
        <v>24</v>
      </c>
      <c r="G108" s="112">
        <f t="shared" si="18"/>
        <v>26</v>
      </c>
      <c r="H108" s="112">
        <f t="shared" si="19"/>
        <v>26</v>
      </c>
      <c r="I108" s="112">
        <f t="shared" si="20"/>
        <v>34</v>
      </c>
      <c r="J108" s="111">
        <f t="shared" si="15"/>
        <v>185</v>
      </c>
    </row>
    <row r="109" spans="2:10" ht="15" customHeight="1">
      <c r="B109" s="114">
        <v>2025</v>
      </c>
      <c r="C109" s="113">
        <f t="shared" si="14"/>
        <v>25</v>
      </c>
      <c r="D109" s="324">
        <f>ROUND((C108-J50)-(C108*$D$98),0)</f>
        <v>26</v>
      </c>
      <c r="E109" s="112">
        <f t="shared" si="16"/>
        <v>24</v>
      </c>
      <c r="F109" s="112">
        <f t="shared" si="17"/>
        <v>24</v>
      </c>
      <c r="G109" s="112">
        <f t="shared" si="18"/>
        <v>26</v>
      </c>
      <c r="H109" s="112">
        <f t="shared" si="19"/>
        <v>26</v>
      </c>
      <c r="I109" s="112">
        <f t="shared" si="20"/>
        <v>24</v>
      </c>
      <c r="J109" s="111">
        <f t="shared" si="15"/>
        <v>175</v>
      </c>
    </row>
    <row r="110" spans="2:10" ht="15" customHeight="1">
      <c r="B110" s="114">
        <v>2026</v>
      </c>
      <c r="C110" s="113">
        <f t="shared" si="14"/>
        <v>25</v>
      </c>
      <c r="D110" s="324">
        <f>ROUND((C109-K50)-(C109*$D$98),0)</f>
        <v>26</v>
      </c>
      <c r="E110" s="112">
        <f t="shared" si="16"/>
        <v>24</v>
      </c>
      <c r="F110" s="112">
        <f t="shared" si="17"/>
        <v>24</v>
      </c>
      <c r="G110" s="112">
        <f t="shared" si="18"/>
        <v>26</v>
      </c>
      <c r="H110" s="112">
        <f t="shared" si="19"/>
        <v>26</v>
      </c>
      <c r="I110" s="112">
        <f t="shared" si="20"/>
        <v>24</v>
      </c>
      <c r="J110" s="111">
        <f t="shared" si="15"/>
        <v>175</v>
      </c>
    </row>
    <row r="111" spans="2:10" ht="15" customHeight="1">
      <c r="B111" s="114">
        <v>2027</v>
      </c>
      <c r="C111" s="113">
        <f t="shared" si="14"/>
        <v>25</v>
      </c>
      <c r="D111" s="324">
        <f>ROUND((C110-L50)-(C110*$D$98),0)</f>
        <v>26</v>
      </c>
      <c r="E111" s="112">
        <f t="shared" si="16"/>
        <v>24</v>
      </c>
      <c r="F111" s="112">
        <f t="shared" si="17"/>
        <v>24</v>
      </c>
      <c r="G111" s="112">
        <f t="shared" si="18"/>
        <v>26</v>
      </c>
      <c r="H111" s="112">
        <f t="shared" si="19"/>
        <v>26</v>
      </c>
      <c r="I111" s="112">
        <f t="shared" si="20"/>
        <v>24</v>
      </c>
      <c r="J111" s="111">
        <f t="shared" si="15"/>
        <v>175</v>
      </c>
    </row>
    <row r="112" spans="2:10" ht="15" customHeight="1">
      <c r="B112" s="114">
        <v>2028</v>
      </c>
      <c r="C112" s="113">
        <f t="shared" si="14"/>
        <v>25</v>
      </c>
      <c r="D112" s="324">
        <f>ROUND((C111-M50)-(C111*$D$98),0)</f>
        <v>26</v>
      </c>
      <c r="E112" s="112">
        <f t="shared" si="16"/>
        <v>24</v>
      </c>
      <c r="F112" s="112">
        <f t="shared" si="17"/>
        <v>24</v>
      </c>
      <c r="G112" s="112">
        <f t="shared" si="18"/>
        <v>26</v>
      </c>
      <c r="H112" s="112">
        <f t="shared" si="19"/>
        <v>26</v>
      </c>
      <c r="I112" s="112">
        <f t="shared" si="20"/>
        <v>24</v>
      </c>
      <c r="J112" s="111">
        <f t="shared" si="15"/>
        <v>175</v>
      </c>
    </row>
    <row r="113" spans="2:10" ht="15" customHeight="1">
      <c r="B113" s="114">
        <v>2029</v>
      </c>
      <c r="C113" s="113">
        <f t="shared" si="14"/>
        <v>25</v>
      </c>
      <c r="D113" s="324">
        <f>ROUND((C112-N50)-(C112*$D$98),0)</f>
        <v>26</v>
      </c>
      <c r="E113" s="112">
        <f t="shared" si="16"/>
        <v>24</v>
      </c>
      <c r="F113" s="112">
        <f t="shared" si="17"/>
        <v>24</v>
      </c>
      <c r="G113" s="112">
        <f t="shared" si="18"/>
        <v>26</v>
      </c>
      <c r="H113" s="112">
        <f t="shared" si="19"/>
        <v>26</v>
      </c>
      <c r="I113" s="112">
        <f t="shared" si="20"/>
        <v>24</v>
      </c>
      <c r="J113" s="111">
        <f t="shared" si="15"/>
        <v>175</v>
      </c>
    </row>
    <row r="114" spans="2:10" ht="15" customHeight="1">
      <c r="B114" s="114">
        <v>2030</v>
      </c>
      <c r="C114" s="113">
        <f t="shared" si="14"/>
        <v>25</v>
      </c>
      <c r="D114" s="324">
        <f>ROUND((C113-O50)-(C113*$D$98),0)</f>
        <v>26</v>
      </c>
      <c r="E114" s="112">
        <f t="shared" si="16"/>
        <v>24</v>
      </c>
      <c r="F114" s="112">
        <f t="shared" si="17"/>
        <v>24</v>
      </c>
      <c r="G114" s="112">
        <f t="shared" si="18"/>
        <v>26</v>
      </c>
      <c r="H114" s="112">
        <f t="shared" si="19"/>
        <v>26</v>
      </c>
      <c r="I114" s="112">
        <f t="shared" si="20"/>
        <v>24</v>
      </c>
      <c r="J114" s="111">
        <f t="shared" si="15"/>
        <v>175</v>
      </c>
    </row>
    <row r="115" spans="2:10">
      <c r="B115" s="114">
        <v>2031</v>
      </c>
      <c r="C115" s="113">
        <f t="shared" si="14"/>
        <v>25</v>
      </c>
      <c r="D115" s="324">
        <f>ROUND((C114-P50)-(C114*$D$98),0)</f>
        <v>26</v>
      </c>
      <c r="E115" s="112">
        <f t="shared" si="16"/>
        <v>24</v>
      </c>
      <c r="F115" s="112">
        <f t="shared" si="17"/>
        <v>24</v>
      </c>
      <c r="G115" s="112">
        <f t="shared" si="18"/>
        <v>26</v>
      </c>
      <c r="H115" s="112">
        <f t="shared" si="19"/>
        <v>26</v>
      </c>
      <c r="I115" s="112">
        <f t="shared" si="20"/>
        <v>24</v>
      </c>
      <c r="J115" s="111">
        <f t="shared" si="15"/>
        <v>175</v>
      </c>
    </row>
    <row r="116" spans="2:10" ht="15" customHeight="1">
      <c r="B116" s="114">
        <v>2032</v>
      </c>
      <c r="C116" s="113">
        <f t="shared" si="14"/>
        <v>25</v>
      </c>
      <c r="D116" s="324">
        <f>ROUND((C115-Q50)-(C115*$D$98),0)</f>
        <v>26</v>
      </c>
      <c r="E116" s="112">
        <f t="shared" si="16"/>
        <v>24</v>
      </c>
      <c r="F116" s="112">
        <f t="shared" si="17"/>
        <v>24</v>
      </c>
      <c r="G116" s="112">
        <f t="shared" si="18"/>
        <v>26</v>
      </c>
      <c r="H116" s="112">
        <f t="shared" si="19"/>
        <v>26</v>
      </c>
      <c r="I116" s="112">
        <f t="shared" si="20"/>
        <v>24</v>
      </c>
      <c r="J116" s="111">
        <f t="shared" si="15"/>
        <v>175</v>
      </c>
    </row>
    <row r="117" spans="2:10" ht="15" customHeight="1">
      <c r="F117" s="14"/>
      <c r="G117" s="14"/>
    </row>
    <row r="118" spans="2:10" ht="15" customHeight="1">
      <c r="B118" s="15" t="str">
        <f>"Table 4C: "&amp;E3&amp;" Projected Pupil Generation from Housing Development, 2019-2032"</f>
        <v>Table 4C: Clovenstone Primary School Projected Pupil Generation from Housing Development, 2019-2032</v>
      </c>
      <c r="F118" s="14"/>
      <c r="G118" s="14"/>
    </row>
    <row r="119" spans="2:10" ht="15" customHeight="1">
      <c r="F119" s="14"/>
      <c r="G119" s="14"/>
    </row>
    <row r="120" spans="2:10" ht="15" customHeight="1">
      <c r="B120" s="115"/>
      <c r="C120" s="109" t="s">
        <v>1</v>
      </c>
      <c r="D120" s="109" t="s">
        <v>2</v>
      </c>
      <c r="E120" s="109" t="s">
        <v>3</v>
      </c>
      <c r="F120" s="109" t="s">
        <v>4</v>
      </c>
      <c r="G120" s="109" t="s">
        <v>5</v>
      </c>
      <c r="H120" s="109" t="s">
        <v>6</v>
      </c>
      <c r="I120" s="109" t="s">
        <v>7</v>
      </c>
      <c r="J120" s="109" t="s">
        <v>8</v>
      </c>
    </row>
    <row r="121" spans="2:10" ht="15" customHeight="1">
      <c r="B121" s="114">
        <v>2019</v>
      </c>
      <c r="C121" s="116" t="s">
        <v>97</v>
      </c>
      <c r="D121" s="112">
        <f>VLOOKUP($E$3,'Housing Generation'!$A$3:$BE$90,11,FALSE)</f>
        <v>0</v>
      </c>
      <c r="E121" s="112">
        <f>VLOOKUP($E$3,'Housing Generation'!$A$3:$BE$90,12,FALSE)</f>
        <v>0</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0</v>
      </c>
    </row>
    <row r="122" spans="2:10" ht="15" customHeight="1">
      <c r="B122" s="114">
        <v>2020</v>
      </c>
      <c r="C122" s="116" t="s">
        <v>97</v>
      </c>
      <c r="D122" s="112">
        <f>VLOOKUP($E$3,'Housing Generation'!$A$3:$BE$90,19,FALSE)</f>
        <v>0</v>
      </c>
      <c r="E122" s="112">
        <f>VLOOKUP($E$3,'Housing Generation'!$A$3:$BE$90,20,FALSE)</f>
        <v>0</v>
      </c>
      <c r="F122" s="112">
        <f>VLOOKUP($E$3,'Housing Generation'!$A$3:$BE$90,21,FALSE)</f>
        <v>0</v>
      </c>
      <c r="G122" s="112">
        <f>VLOOKUP($E$3,'Housing Generation'!$A$3:$BE$90,22,FALSE)</f>
        <v>0</v>
      </c>
      <c r="H122" s="112">
        <f>VLOOKUP($E$3,'Housing Generation'!$A$3:$BE$90,23,FALSE)</f>
        <v>0</v>
      </c>
      <c r="I122" s="112">
        <f>VLOOKUP($E$3,'Housing Generation'!$A$3:$BE$90,24,FALSE)</f>
        <v>0</v>
      </c>
      <c r="J122" s="111">
        <f t="shared" si="21"/>
        <v>0</v>
      </c>
    </row>
    <row r="123" spans="2:10" ht="15" customHeight="1">
      <c r="B123" s="114">
        <v>2021</v>
      </c>
      <c r="C123" s="116" t="s">
        <v>97</v>
      </c>
      <c r="D123" s="112">
        <f>VLOOKUP($E$3,'Housing Generation'!$A$3:$BE$90,27,FALSE)</f>
        <v>0</v>
      </c>
      <c r="E123" s="112">
        <f>VLOOKUP($E$3,'Housing Generation'!$A$3:$BE$90,28,FALSE)</f>
        <v>0</v>
      </c>
      <c r="F123" s="112">
        <f>VLOOKUP($E$3,'Housing Generation'!$A$3:$BE$90,29,FALSE)</f>
        <v>0</v>
      </c>
      <c r="G123" s="112">
        <f>VLOOKUP($E$3,'Housing Generation'!$A$3:$BE$90,30,FALSE)</f>
        <v>0</v>
      </c>
      <c r="H123" s="112">
        <f>VLOOKUP($E$3,'Housing Generation'!$A$3:$BE$90,31,FALSE)</f>
        <v>0</v>
      </c>
      <c r="I123" s="112">
        <f>VLOOKUP($E$3,'Housing Generation'!$A$3:$BE$90,32,FALSE)</f>
        <v>0</v>
      </c>
      <c r="J123" s="111">
        <f t="shared" si="21"/>
        <v>0</v>
      </c>
    </row>
    <row r="124" spans="2:10" ht="15" customHeight="1">
      <c r="B124" s="114">
        <v>2022</v>
      </c>
      <c r="C124" s="116" t="s">
        <v>97</v>
      </c>
      <c r="D124" s="112">
        <f>VLOOKUP($E$3,'Housing Generation'!$A$3:$BE$90,35,FALSE)</f>
        <v>0</v>
      </c>
      <c r="E124" s="112">
        <f>VLOOKUP($E$3,'Housing Generation'!$A$3:$BE$90,36,FALSE)</f>
        <v>0</v>
      </c>
      <c r="F124" s="112">
        <f>VLOOKUP($E$3,'Housing Generation'!$A$3:$BE$90,37,FALSE)</f>
        <v>0</v>
      </c>
      <c r="G124" s="112">
        <f>VLOOKUP($E$3,'Housing Generation'!$A$3:$BE$90,38,FALSE)</f>
        <v>0</v>
      </c>
      <c r="H124" s="112">
        <f>VLOOKUP($E$3,'Housing Generation'!$A$3:$BE$90,39,FALSE)</f>
        <v>0</v>
      </c>
      <c r="I124" s="112">
        <f>VLOOKUP($E$3,'Housing Generation'!$A$3:$BE$90,40,FALSE)</f>
        <v>0</v>
      </c>
      <c r="J124" s="111">
        <f t="shared" si="21"/>
        <v>0</v>
      </c>
    </row>
    <row r="125" spans="2:10" ht="15" customHeight="1">
      <c r="B125" s="114">
        <v>2023</v>
      </c>
      <c r="C125" s="116" t="s">
        <v>97</v>
      </c>
      <c r="D125" s="112">
        <f>VLOOKUP($E$3,'Housing Generation'!$A$3:$BE$90,43,FALSE)</f>
        <v>0</v>
      </c>
      <c r="E125" s="112">
        <f>VLOOKUP($E$3,'Housing Generation'!$A$3:$BE$90,44,FALSE)</f>
        <v>0</v>
      </c>
      <c r="F125" s="112">
        <f>VLOOKUP($E$3,'Housing Generation'!$A$3:$BE$90,45,FALSE)</f>
        <v>0</v>
      </c>
      <c r="G125" s="112">
        <f>VLOOKUP($E$3,'Housing Generation'!$A$3:$BE$90,46,FALSE)</f>
        <v>0</v>
      </c>
      <c r="H125" s="112">
        <f>VLOOKUP($E$3,'Housing Generation'!$A$3:$BE$90,47,FALSE)</f>
        <v>0</v>
      </c>
      <c r="I125" s="112">
        <f>VLOOKUP($E$3,'Housing Generation'!$A$3:$BE$90,48,FALSE)</f>
        <v>0</v>
      </c>
      <c r="J125" s="111">
        <f t="shared" si="21"/>
        <v>0</v>
      </c>
    </row>
    <row r="126" spans="2:10" ht="15" customHeight="1">
      <c r="B126" s="114">
        <v>2024</v>
      </c>
      <c r="C126" s="116" t="s">
        <v>97</v>
      </c>
      <c r="D126" s="112">
        <f>VLOOKUP($E$3,'Housing Generation'!$A$3:$BE$90,51,FALSE)</f>
        <v>0</v>
      </c>
      <c r="E126" s="112">
        <f>VLOOKUP($E$3,'Housing Generation'!$A$3:$BE$90,52,FALSE)</f>
        <v>0</v>
      </c>
      <c r="F126" s="112">
        <f>VLOOKUP($E$3,'Housing Generation'!$A$3:$BE$90,53,FALSE)</f>
        <v>0</v>
      </c>
      <c r="G126" s="112">
        <f>VLOOKUP($E$3,'Housing Generation'!$A$3:$BE$90,54,FALSE)</f>
        <v>0</v>
      </c>
      <c r="H126" s="112">
        <f>VLOOKUP($E$3,'Housing Generation'!$A$3:$BE$90,55,FALSE)</f>
        <v>0</v>
      </c>
      <c r="I126" s="112">
        <f>VLOOKUP($E$3,'Housing Generation'!$A$3:$BE$90,56,FALSE)</f>
        <v>0</v>
      </c>
      <c r="J126" s="111">
        <f t="shared" si="21"/>
        <v>0</v>
      </c>
    </row>
    <row r="127" spans="2:10" ht="15" customHeight="1">
      <c r="B127" s="114">
        <v>2025</v>
      </c>
      <c r="C127" s="240" t="s">
        <v>97</v>
      </c>
      <c r="D127" s="112">
        <f>VLOOKUP($E$3,'Housing Generation'!$A$3:$CK$90,59,FALSE)</f>
        <v>0</v>
      </c>
      <c r="E127" s="112">
        <f>VLOOKUP($E$3,'Housing Generation'!$A$3:$CK$90,60,FALSE)</f>
        <v>0</v>
      </c>
      <c r="F127" s="112">
        <f>VLOOKUP($E$3,'Housing Generation'!$A$3:$CK$90,61,FALSE)</f>
        <v>0</v>
      </c>
      <c r="G127" s="112">
        <f>VLOOKUP($E$3,'Housing Generation'!$A$3:$CK$90,62,FALSE)</f>
        <v>0</v>
      </c>
      <c r="H127" s="112">
        <f>VLOOKUP($E$3,'Housing Generation'!$A$3:$CK$90,63,FALSE)</f>
        <v>0</v>
      </c>
      <c r="I127" s="112">
        <f>VLOOKUP($E$3,'Housing Generation'!$A$3:$CK$90,64,FALSE)</f>
        <v>0</v>
      </c>
      <c r="J127" s="111">
        <f t="shared" si="21"/>
        <v>0</v>
      </c>
    </row>
    <row r="128" spans="2:10" ht="15" customHeight="1">
      <c r="B128" s="114">
        <v>2026</v>
      </c>
      <c r="C128" s="240" t="s">
        <v>97</v>
      </c>
      <c r="D128" s="112">
        <f>VLOOKUP($E$3,'Housing Generation'!$A$3:$CK$90,67,FALSE)</f>
        <v>0</v>
      </c>
      <c r="E128" s="112">
        <f>VLOOKUP($E$3,'Housing Generation'!$A$3:$CK$90,68,FALSE)</f>
        <v>0</v>
      </c>
      <c r="F128" s="112">
        <f>VLOOKUP($E$3,'Housing Generation'!$A$3:$CK$90,69,FALSE)</f>
        <v>0</v>
      </c>
      <c r="G128" s="112">
        <f>VLOOKUP($E$3,'Housing Generation'!$A$3:$CK$90,70,FALSE)</f>
        <v>0</v>
      </c>
      <c r="H128" s="112">
        <f>VLOOKUP($E$3,'Housing Generation'!$A$3:$CK$90,71,FALSE)</f>
        <v>0</v>
      </c>
      <c r="I128" s="112">
        <f>VLOOKUP($E$3,'Housing Generation'!$A$3:$CK$90,72,FALSE)</f>
        <v>0</v>
      </c>
      <c r="J128" s="111">
        <f t="shared" si="21"/>
        <v>0</v>
      </c>
    </row>
    <row r="129" spans="2:10" ht="15" customHeight="1">
      <c r="B129" s="114">
        <v>2027</v>
      </c>
      <c r="C129" s="240" t="s">
        <v>97</v>
      </c>
      <c r="D129" s="112">
        <f>VLOOKUP($E$3,'Housing Generation'!$A$3:$CK$90,75,FALSE)</f>
        <v>0</v>
      </c>
      <c r="E129" s="112">
        <f>VLOOKUP($E$3,'Housing Generation'!$A$3:$CK$90,76,FALSE)</f>
        <v>0</v>
      </c>
      <c r="F129" s="112">
        <f>VLOOKUP($E$3,'Housing Generation'!$A$3:$CK$90,77,FALSE)</f>
        <v>0</v>
      </c>
      <c r="G129" s="112">
        <f>VLOOKUP($E$3,'Housing Generation'!$A$3:$CK$90,78,FALSE)</f>
        <v>0</v>
      </c>
      <c r="H129" s="112">
        <f>VLOOKUP($E$3,'Housing Generation'!$A$3:$CK$90,79,FALSE)</f>
        <v>0</v>
      </c>
      <c r="I129" s="112">
        <f>VLOOKUP($E$3,'Housing Generation'!$A$3:$CK$90,80,FALSE)</f>
        <v>0</v>
      </c>
      <c r="J129" s="111">
        <f t="shared" si="21"/>
        <v>0</v>
      </c>
    </row>
    <row r="130" spans="2:10" ht="15" customHeight="1">
      <c r="B130" s="114">
        <v>2028</v>
      </c>
      <c r="C130" s="289" t="s">
        <v>97</v>
      </c>
      <c r="D130" s="112">
        <f>VLOOKUP($E$3,'Housing Generation'!$A$3:$CK$90,83,FALSE)</f>
        <v>0</v>
      </c>
      <c r="E130" s="112">
        <f>VLOOKUP($E$3,'Housing Generation'!$A$3:$CK$90,84,FALSE)</f>
        <v>0</v>
      </c>
      <c r="F130" s="112">
        <f>VLOOKUP($E$3,'Housing Generation'!$A$3:$CK$90,85,FALSE)</f>
        <v>0</v>
      </c>
      <c r="G130" s="112">
        <f>VLOOKUP($E$3,'Housing Generation'!$A$3:$CK$90,86,FALSE)</f>
        <v>0</v>
      </c>
      <c r="H130" s="112">
        <f>VLOOKUP($E$3,'Housing Generation'!$A$3:$CK$90,87,FALSE)</f>
        <v>0</v>
      </c>
      <c r="I130" s="112">
        <f>VLOOKUP($E$3,'Housing Generation'!$A$3:$CK$90,88,FALSE)</f>
        <v>0</v>
      </c>
      <c r="J130" s="111">
        <f t="shared" si="21"/>
        <v>0</v>
      </c>
    </row>
    <row r="131" spans="2:10" ht="15" customHeight="1">
      <c r="B131" s="114">
        <v>2029</v>
      </c>
      <c r="C131" s="289" t="s">
        <v>97</v>
      </c>
      <c r="D131" s="112">
        <f>VLOOKUP($E$3,'Housing Generation'!$A$3:$DQ$90,91,FALSE)</f>
        <v>0</v>
      </c>
      <c r="E131" s="112">
        <f>VLOOKUP($E$3,'Housing Generation'!$A$3:$DQ$90,92,FALSE)</f>
        <v>0</v>
      </c>
      <c r="F131" s="112">
        <f>VLOOKUP($E$3,'Housing Generation'!$A$3:$DQ$90,93,FALSE)</f>
        <v>0</v>
      </c>
      <c r="G131" s="112">
        <f>VLOOKUP($E$3,'Housing Generation'!$A$3:$DQ$90,94,FALSE)</f>
        <v>0</v>
      </c>
      <c r="H131" s="112">
        <f>VLOOKUP($E$3,'Housing Generation'!$A$3:$DQ$90,95,FALSE)</f>
        <v>0</v>
      </c>
      <c r="I131" s="112">
        <f>VLOOKUP($E$3,'Housing Generation'!$A$3:$DQ$90,96,FALSE)</f>
        <v>0</v>
      </c>
      <c r="J131" s="111">
        <f t="shared" si="21"/>
        <v>0</v>
      </c>
    </row>
    <row r="132" spans="2:10" ht="15" customHeight="1">
      <c r="B132" s="114">
        <v>2030</v>
      </c>
      <c r="C132" s="289" t="s">
        <v>97</v>
      </c>
      <c r="D132" s="112">
        <f>VLOOKUP($E$3,'Housing Generation'!$A$3:$DQ$90,99,FALSE)</f>
        <v>0</v>
      </c>
      <c r="E132" s="112">
        <f>VLOOKUP($E$3,'Housing Generation'!$A$3:$DQ$90,100,FALSE)</f>
        <v>0</v>
      </c>
      <c r="F132" s="112">
        <f>VLOOKUP($E$3,'Housing Generation'!$A$3:$DQ$90,101,FALSE)</f>
        <v>0</v>
      </c>
      <c r="G132" s="112">
        <f>VLOOKUP($E$3,'Housing Generation'!$A$3:$DQ$90,102,FALSE)</f>
        <v>0</v>
      </c>
      <c r="H132" s="112">
        <f>VLOOKUP($E$3,'Housing Generation'!$A$3:$DQ$90,103,FALSE)</f>
        <v>0</v>
      </c>
      <c r="I132" s="112">
        <f>VLOOKUP($E$3,'Housing Generation'!$A$3:$DQ$90,104,FALSE)</f>
        <v>0</v>
      </c>
      <c r="J132" s="111">
        <f t="shared" si="21"/>
        <v>0</v>
      </c>
    </row>
    <row r="133" spans="2:10" ht="15" customHeight="1">
      <c r="B133" s="114">
        <v>2031</v>
      </c>
      <c r="C133" s="289" t="s">
        <v>97</v>
      </c>
      <c r="D133" s="112">
        <f>VLOOKUP($E$3,'Housing Generation'!$A$3:$DQ$90,107,FALSE)</f>
        <v>0</v>
      </c>
      <c r="E133" s="112">
        <f>VLOOKUP($E$3,'Housing Generation'!$A$3:$DQ$90,108,FALSE)</f>
        <v>0</v>
      </c>
      <c r="F133" s="112">
        <f>VLOOKUP($E$3,'Housing Generation'!$A$3:$DQ$90,109,FALSE)</f>
        <v>0</v>
      </c>
      <c r="G133" s="112">
        <f>VLOOKUP($E$3,'Housing Generation'!$A$3:$DQ$90,110,FALSE)</f>
        <v>0</v>
      </c>
      <c r="H133" s="112">
        <f>VLOOKUP($E$3,'Housing Generation'!$A$3:$DQ$90,111,FALSE)</f>
        <v>0</v>
      </c>
      <c r="I133" s="112">
        <f>VLOOKUP($E$3,'Housing Generation'!$A$3:$DQ$90,112,FALSE)</f>
        <v>0</v>
      </c>
      <c r="J133" s="111">
        <f t="shared" si="21"/>
        <v>0</v>
      </c>
    </row>
    <row r="134" spans="2:10" ht="15" customHeight="1">
      <c r="B134" s="114">
        <v>2032</v>
      </c>
      <c r="C134" s="289" t="s">
        <v>97</v>
      </c>
      <c r="D134" s="112">
        <f>VLOOKUP($E$3,'Housing Generation'!$A$3:$DQ$90,115,FALSE)</f>
        <v>0</v>
      </c>
      <c r="E134" s="112">
        <f>VLOOKUP($E$3,'Housing Generation'!$A$3:$DQ$90,116,FALSE)</f>
        <v>0</v>
      </c>
      <c r="F134" s="112">
        <f>VLOOKUP($E$3,'Housing Generation'!$A$3:$DQ$90,117,FALSE)</f>
        <v>0</v>
      </c>
      <c r="G134" s="112">
        <f>VLOOKUP($E$3,'Housing Generation'!$A$3:$DQ$90,118,FALSE)</f>
        <v>0</v>
      </c>
      <c r="H134" s="112">
        <f>VLOOKUP($E$3,'Housing Generation'!$A$3:$DQ$90,119,FALSE)</f>
        <v>0</v>
      </c>
      <c r="I134" s="112">
        <f>VLOOKUP($E$3,'Housing Generation'!$A$3:$DQ$90,120,FALSE)</f>
        <v>0</v>
      </c>
      <c r="J134" s="111">
        <f t="shared" si="21"/>
        <v>0</v>
      </c>
    </row>
    <row r="135" spans="2:10" ht="15" hidden="1"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Clovenstone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25</v>
      </c>
      <c r="D139" s="112">
        <f t="shared" ref="D139:I152" si="23">D121+D103</f>
        <v>35</v>
      </c>
      <c r="E139" s="112">
        <f t="shared" si="23"/>
        <v>31</v>
      </c>
      <c r="F139" s="112">
        <f t="shared" si="23"/>
        <v>31</v>
      </c>
      <c r="G139" s="112">
        <f t="shared" si="23"/>
        <v>40</v>
      </c>
      <c r="H139" s="112">
        <f t="shared" si="23"/>
        <v>38</v>
      </c>
      <c r="I139" s="112">
        <f t="shared" si="23"/>
        <v>28</v>
      </c>
      <c r="J139" s="111">
        <f t="shared" ref="J139:J147" si="24">SUM(C139:I139)</f>
        <v>228</v>
      </c>
    </row>
    <row r="140" spans="2:10" ht="15" customHeight="1">
      <c r="B140" s="114">
        <v>2020</v>
      </c>
      <c r="C140" s="113">
        <f t="shared" si="22"/>
        <v>25</v>
      </c>
      <c r="D140" s="112">
        <f t="shared" si="23"/>
        <v>26</v>
      </c>
      <c r="E140" s="112">
        <f t="shared" si="23"/>
        <v>33</v>
      </c>
      <c r="F140" s="112">
        <f t="shared" si="23"/>
        <v>31</v>
      </c>
      <c r="G140" s="112">
        <f t="shared" si="23"/>
        <v>34</v>
      </c>
      <c r="H140" s="112">
        <f t="shared" si="23"/>
        <v>40</v>
      </c>
      <c r="I140" s="112">
        <f t="shared" si="23"/>
        <v>35</v>
      </c>
      <c r="J140" s="111">
        <f t="shared" si="24"/>
        <v>224</v>
      </c>
    </row>
    <row r="141" spans="2:10" ht="15" customHeight="1">
      <c r="B141" s="114">
        <v>2021</v>
      </c>
      <c r="C141" s="113">
        <f t="shared" si="22"/>
        <v>25</v>
      </c>
      <c r="D141" s="112">
        <f t="shared" si="23"/>
        <v>26</v>
      </c>
      <c r="E141" s="112">
        <f t="shared" si="23"/>
        <v>24</v>
      </c>
      <c r="F141" s="112">
        <f t="shared" si="23"/>
        <v>33</v>
      </c>
      <c r="G141" s="112">
        <f t="shared" si="23"/>
        <v>34</v>
      </c>
      <c r="H141" s="112">
        <f t="shared" si="23"/>
        <v>34</v>
      </c>
      <c r="I141" s="112">
        <f t="shared" si="23"/>
        <v>37</v>
      </c>
      <c r="J141" s="111">
        <f t="shared" si="24"/>
        <v>213</v>
      </c>
    </row>
    <row r="142" spans="2:10" ht="15" customHeight="1">
      <c r="B142" s="114">
        <v>2022</v>
      </c>
      <c r="C142" s="113">
        <f t="shared" si="22"/>
        <v>25</v>
      </c>
      <c r="D142" s="112">
        <f t="shared" si="23"/>
        <v>26</v>
      </c>
      <c r="E142" s="112">
        <f t="shared" si="23"/>
        <v>24</v>
      </c>
      <c r="F142" s="112">
        <f t="shared" si="23"/>
        <v>24</v>
      </c>
      <c r="G142" s="112">
        <f t="shared" si="23"/>
        <v>36</v>
      </c>
      <c r="H142" s="112">
        <f t="shared" si="23"/>
        <v>34</v>
      </c>
      <c r="I142" s="112">
        <f t="shared" si="23"/>
        <v>32</v>
      </c>
      <c r="J142" s="111">
        <f t="shared" si="24"/>
        <v>201</v>
      </c>
    </row>
    <row r="143" spans="2:10" ht="15" customHeight="1">
      <c r="B143" s="114">
        <v>2023</v>
      </c>
      <c r="C143" s="113">
        <f t="shared" si="22"/>
        <v>25</v>
      </c>
      <c r="D143" s="112">
        <f t="shared" si="23"/>
        <v>26</v>
      </c>
      <c r="E143" s="112">
        <f t="shared" si="23"/>
        <v>24</v>
      </c>
      <c r="F143" s="112">
        <f t="shared" si="23"/>
        <v>24</v>
      </c>
      <c r="G143" s="112">
        <f t="shared" si="23"/>
        <v>26</v>
      </c>
      <c r="H143" s="112">
        <f t="shared" si="23"/>
        <v>36</v>
      </c>
      <c r="I143" s="112">
        <f t="shared" si="23"/>
        <v>32</v>
      </c>
      <c r="J143" s="111">
        <f t="shared" si="24"/>
        <v>193</v>
      </c>
    </row>
    <row r="144" spans="2:10" ht="15" customHeight="1">
      <c r="B144" s="114">
        <v>2024</v>
      </c>
      <c r="C144" s="113">
        <f t="shared" si="22"/>
        <v>25</v>
      </c>
      <c r="D144" s="112">
        <f t="shared" si="23"/>
        <v>26</v>
      </c>
      <c r="E144" s="112">
        <f t="shared" si="23"/>
        <v>24</v>
      </c>
      <c r="F144" s="112">
        <f t="shared" si="23"/>
        <v>24</v>
      </c>
      <c r="G144" s="112">
        <f t="shared" si="23"/>
        <v>26</v>
      </c>
      <c r="H144" s="112">
        <f t="shared" si="23"/>
        <v>26</v>
      </c>
      <c r="I144" s="112">
        <f t="shared" si="23"/>
        <v>34</v>
      </c>
      <c r="J144" s="111">
        <f t="shared" si="24"/>
        <v>185</v>
      </c>
    </row>
    <row r="145" spans="2:16" ht="15" customHeight="1">
      <c r="B145" s="114">
        <v>2025</v>
      </c>
      <c r="C145" s="113">
        <f t="shared" si="22"/>
        <v>25</v>
      </c>
      <c r="D145" s="112">
        <f t="shared" si="23"/>
        <v>26</v>
      </c>
      <c r="E145" s="112">
        <f t="shared" si="23"/>
        <v>24</v>
      </c>
      <c r="F145" s="112">
        <f t="shared" si="23"/>
        <v>24</v>
      </c>
      <c r="G145" s="112">
        <f t="shared" si="23"/>
        <v>26</v>
      </c>
      <c r="H145" s="112">
        <f t="shared" si="23"/>
        <v>26</v>
      </c>
      <c r="I145" s="112">
        <f t="shared" si="23"/>
        <v>24</v>
      </c>
      <c r="J145" s="111">
        <f t="shared" si="24"/>
        <v>175</v>
      </c>
    </row>
    <row r="146" spans="2:16" ht="15" customHeight="1">
      <c r="B146" s="114">
        <v>2026</v>
      </c>
      <c r="C146" s="113">
        <f t="shared" si="22"/>
        <v>25</v>
      </c>
      <c r="D146" s="112">
        <f t="shared" si="23"/>
        <v>26</v>
      </c>
      <c r="E146" s="112">
        <f t="shared" si="23"/>
        <v>24</v>
      </c>
      <c r="F146" s="112">
        <f t="shared" si="23"/>
        <v>24</v>
      </c>
      <c r="G146" s="112">
        <f t="shared" si="23"/>
        <v>26</v>
      </c>
      <c r="H146" s="112">
        <f t="shared" si="23"/>
        <v>26</v>
      </c>
      <c r="I146" s="112">
        <f t="shared" si="23"/>
        <v>24</v>
      </c>
      <c r="J146" s="111">
        <f t="shared" si="24"/>
        <v>175</v>
      </c>
    </row>
    <row r="147" spans="2:16" ht="15" customHeight="1">
      <c r="B147" s="114">
        <v>2027</v>
      </c>
      <c r="C147" s="113">
        <f t="shared" si="22"/>
        <v>25</v>
      </c>
      <c r="D147" s="112">
        <f t="shared" si="23"/>
        <v>26</v>
      </c>
      <c r="E147" s="112">
        <f t="shared" si="23"/>
        <v>24</v>
      </c>
      <c r="F147" s="112">
        <f t="shared" si="23"/>
        <v>24</v>
      </c>
      <c r="G147" s="112">
        <f t="shared" si="23"/>
        <v>26</v>
      </c>
      <c r="H147" s="112">
        <f t="shared" si="23"/>
        <v>26</v>
      </c>
      <c r="I147" s="112">
        <f t="shared" si="23"/>
        <v>24</v>
      </c>
      <c r="J147" s="111">
        <f t="shared" si="24"/>
        <v>175</v>
      </c>
    </row>
    <row r="148" spans="2:16" ht="15" customHeight="1">
      <c r="B148" s="114">
        <v>2028</v>
      </c>
      <c r="C148" s="113">
        <f t="shared" si="22"/>
        <v>25</v>
      </c>
      <c r="D148" s="112">
        <f t="shared" si="23"/>
        <v>26</v>
      </c>
      <c r="E148" s="112">
        <f t="shared" si="23"/>
        <v>24</v>
      </c>
      <c r="F148" s="112">
        <f t="shared" si="23"/>
        <v>24</v>
      </c>
      <c r="G148" s="112">
        <f t="shared" si="23"/>
        <v>26</v>
      </c>
      <c r="H148" s="112">
        <f t="shared" si="23"/>
        <v>26</v>
      </c>
      <c r="I148" s="112">
        <f t="shared" si="23"/>
        <v>24</v>
      </c>
      <c r="J148" s="111">
        <f t="shared" ref="J148:J152" si="25">SUM(C148:I148)</f>
        <v>175</v>
      </c>
    </row>
    <row r="149" spans="2:16" ht="15" customHeight="1">
      <c r="B149" s="114">
        <v>2029</v>
      </c>
      <c r="C149" s="113">
        <f t="shared" si="22"/>
        <v>25</v>
      </c>
      <c r="D149" s="112">
        <f t="shared" si="23"/>
        <v>26</v>
      </c>
      <c r="E149" s="112">
        <f t="shared" si="23"/>
        <v>24</v>
      </c>
      <c r="F149" s="112">
        <f t="shared" si="23"/>
        <v>24</v>
      </c>
      <c r="G149" s="112">
        <f t="shared" si="23"/>
        <v>26</v>
      </c>
      <c r="H149" s="112">
        <f t="shared" si="23"/>
        <v>26</v>
      </c>
      <c r="I149" s="112">
        <f t="shared" si="23"/>
        <v>24</v>
      </c>
      <c r="J149" s="111">
        <f t="shared" si="25"/>
        <v>175</v>
      </c>
    </row>
    <row r="150" spans="2:16" ht="15" customHeight="1">
      <c r="B150" s="114">
        <v>2030</v>
      </c>
      <c r="C150" s="113">
        <f t="shared" si="22"/>
        <v>25</v>
      </c>
      <c r="D150" s="112">
        <f t="shared" si="23"/>
        <v>26</v>
      </c>
      <c r="E150" s="112">
        <f t="shared" si="23"/>
        <v>24</v>
      </c>
      <c r="F150" s="112">
        <f t="shared" si="23"/>
        <v>24</v>
      </c>
      <c r="G150" s="112">
        <f t="shared" si="23"/>
        <v>26</v>
      </c>
      <c r="H150" s="112">
        <f t="shared" si="23"/>
        <v>26</v>
      </c>
      <c r="I150" s="112">
        <f t="shared" si="23"/>
        <v>24</v>
      </c>
      <c r="J150" s="111">
        <f t="shared" si="25"/>
        <v>175</v>
      </c>
    </row>
    <row r="151" spans="2:16" ht="15" customHeight="1">
      <c r="B151" s="114">
        <v>2031</v>
      </c>
      <c r="C151" s="113">
        <f t="shared" si="22"/>
        <v>25</v>
      </c>
      <c r="D151" s="112">
        <f t="shared" si="23"/>
        <v>26</v>
      </c>
      <c r="E151" s="112">
        <f t="shared" si="23"/>
        <v>24</v>
      </c>
      <c r="F151" s="112">
        <f t="shared" si="23"/>
        <v>24</v>
      </c>
      <c r="G151" s="112">
        <f t="shared" si="23"/>
        <v>26</v>
      </c>
      <c r="H151" s="112">
        <f t="shared" si="23"/>
        <v>26</v>
      </c>
      <c r="I151" s="112">
        <f t="shared" si="23"/>
        <v>24</v>
      </c>
      <c r="J151" s="111">
        <f t="shared" si="25"/>
        <v>175</v>
      </c>
    </row>
    <row r="152" spans="2:16" ht="15" customHeight="1">
      <c r="B152" s="114">
        <v>2032</v>
      </c>
      <c r="C152" s="113">
        <f t="shared" si="22"/>
        <v>25</v>
      </c>
      <c r="D152" s="112">
        <f t="shared" si="23"/>
        <v>26</v>
      </c>
      <c r="E152" s="112">
        <f t="shared" si="23"/>
        <v>24</v>
      </c>
      <c r="F152" s="112">
        <f t="shared" si="23"/>
        <v>24</v>
      </c>
      <c r="G152" s="112">
        <f t="shared" si="23"/>
        <v>26</v>
      </c>
      <c r="H152" s="112">
        <f t="shared" si="23"/>
        <v>26</v>
      </c>
      <c r="I152" s="112">
        <f t="shared" si="23"/>
        <v>24</v>
      </c>
      <c r="J152" s="111">
        <f t="shared" si="25"/>
        <v>175</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228</v>
      </c>
      <c r="D159" s="108">
        <f>J140</f>
        <v>224</v>
      </c>
      <c r="E159" s="108">
        <f>J141</f>
        <v>213</v>
      </c>
      <c r="F159" s="108">
        <f>J142</f>
        <v>201</v>
      </c>
      <c r="G159" s="108">
        <f>J143</f>
        <v>193</v>
      </c>
      <c r="H159" s="108">
        <f>J144</f>
        <v>185</v>
      </c>
      <c r="I159" s="108">
        <f>J145</f>
        <v>175</v>
      </c>
      <c r="J159" s="108">
        <f>J146</f>
        <v>175</v>
      </c>
      <c r="K159" s="108">
        <f>J147</f>
        <v>175</v>
      </c>
      <c r="L159" s="108">
        <f>J148</f>
        <v>175</v>
      </c>
      <c r="M159" s="108">
        <f>J149</f>
        <v>175</v>
      </c>
      <c r="N159" s="108">
        <f>J150</f>
        <v>175</v>
      </c>
      <c r="O159" s="108">
        <f>J151</f>
        <v>175</v>
      </c>
      <c r="P159" s="108">
        <f>J152</f>
        <v>175</v>
      </c>
    </row>
    <row r="160" spans="2:16" ht="15" customHeight="1">
      <c r="B160" s="107" t="s">
        <v>152</v>
      </c>
      <c r="C160" s="106">
        <f>VLOOKUP(C159,Capacity!$A$1:$C$645,2,TRUE)</f>
        <v>9</v>
      </c>
      <c r="D160" s="106">
        <f>VLOOKUP(D159,Capacity!$A$1:$C$645,2,TRUE)</f>
        <v>9</v>
      </c>
      <c r="E160" s="106">
        <f>VLOOKUP(E159,Capacity!$A$1:$C$645,2,TRUE)</f>
        <v>8</v>
      </c>
      <c r="F160" s="106">
        <f>VLOOKUP(F159,Capacity!$A$1:$C$645,2,TRUE)</f>
        <v>7</v>
      </c>
      <c r="G160" s="106">
        <f>VLOOKUP(G159,Capacity!$A$1:$C$645,2,TRUE)</f>
        <v>7</v>
      </c>
      <c r="H160" s="106">
        <f>VLOOKUP(H159,Capacity!$A$1:$C$645,2,TRUE)</f>
        <v>7</v>
      </c>
      <c r="I160" s="106">
        <f>VLOOKUP(I159,Capacity!$A$1:$C$645,2,TRUE)</f>
        <v>7</v>
      </c>
      <c r="J160" s="106">
        <f>VLOOKUP(J159,Capacity!$A$1:$C$645,2,TRUE)</f>
        <v>7</v>
      </c>
      <c r="K160" s="106">
        <f>VLOOKUP(K159,Capacity!$A$1:$C$645,2,TRUE)</f>
        <v>7</v>
      </c>
      <c r="L160" s="106">
        <f>VLOOKUP(L159,Capacity!$A$1:$C$645,2,TRUE)</f>
        <v>7</v>
      </c>
      <c r="M160" s="106">
        <f>VLOOKUP(M159,Capacity!$A$1:$C$645,2,TRUE)</f>
        <v>7</v>
      </c>
      <c r="N160" s="106">
        <f>VLOOKUP(N159,Capacity!$A$1:$C$645,2,TRUE)</f>
        <v>7</v>
      </c>
      <c r="O160" s="106">
        <f>VLOOKUP(O159,Capacity!$A$1:$C$645,2,TRUE)</f>
        <v>7</v>
      </c>
      <c r="P160" s="106">
        <f>VLOOKUP(P159,Capacity!$A$1:$C$645,2,TRUE)</f>
        <v>7</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50</v>
      </c>
      <c r="D169" s="97">
        <f>VLOOKUP($E$3,'Catchment Births'!$A$1:$U$90,11,FALSE)</f>
        <v>47</v>
      </c>
      <c r="E169" s="97">
        <f>VLOOKUP($E$3,'Catchment Births'!$A$1:$U$90,12,FALSE)</f>
        <v>61</v>
      </c>
      <c r="F169" s="97">
        <f>VLOOKUP($E$3,'Catchment Births'!$A$1:$U$90,13,FALSE)</f>
        <v>43</v>
      </c>
      <c r="G169" s="97">
        <f>VLOOKUP($E$3,'Catchment Births'!$A$1:$U$90,14,FALSE)</f>
        <v>51</v>
      </c>
      <c r="H169" s="97">
        <f>VLOOKUP($E$3,'Catchment Births'!$A$1:$U$90,15,FALSE)</f>
        <v>47</v>
      </c>
      <c r="I169" s="97">
        <f>VLOOKUP($E$3,'Catchment Births'!$A$1:$U$90,16,FALSE)</f>
        <v>47</v>
      </c>
      <c r="J169" s="97">
        <f>VLOOKUP($E$3,'Catchment Births'!$A$1:$U$90,17,FALSE)</f>
        <v>69</v>
      </c>
      <c r="K169" s="97">
        <f>VLOOKUP($E$3,'Catchment Births'!$A$1:$U$90,18,FALSE)</f>
        <v>60</v>
      </c>
      <c r="L169" s="97">
        <f>VLOOKUP($E$3,'Catchment Births'!$A$1:$U$90,19,FALSE)</f>
        <v>44</v>
      </c>
      <c r="M169" s="97">
        <f>VLOOKUP($E$3,'Catchment Births'!$A$1:$U$90,20,FALSE)</f>
        <v>47</v>
      </c>
      <c r="N169" s="97">
        <f>VLOOKUP($E$3,'Catchment Births'!$A$1:$U$90,21,FALSE)</f>
        <v>47</v>
      </c>
    </row>
    <row r="170" spans="2:14" ht="58.5" customHeight="1">
      <c r="B170" s="103" t="str">
        <f>"P1 "&amp;A35&amp;" Catchment Population (Actual)"</f>
        <v>P1 ND Catchment Population (Actual)</v>
      </c>
      <c r="C170" s="102" t="e">
        <v>#REF!</v>
      </c>
      <c r="D170" s="102">
        <v>32</v>
      </c>
      <c r="E170" s="102">
        <v>45</v>
      </c>
      <c r="F170" s="102">
        <v>37</v>
      </c>
      <c r="G170" s="102">
        <v>42</v>
      </c>
      <c r="H170" s="102">
        <v>49</v>
      </c>
      <c r="I170" s="102">
        <v>42</v>
      </c>
      <c r="J170" s="308">
        <f>VLOOKUP(E3,'Catchment Projections'!A1:BU92,42,FALSE)</f>
        <v>42</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42</v>
      </c>
      <c r="J172" s="96" t="e">
        <f>#REF!</f>
        <v>#REF!</v>
      </c>
      <c r="K172" s="96">
        <f>D51</f>
        <v>38</v>
      </c>
      <c r="L172" s="96">
        <f>E51</f>
        <v>38</v>
      </c>
      <c r="M172" s="96">
        <f>F51</f>
        <v>36</v>
      </c>
      <c r="N172" s="96">
        <f>G51</f>
        <v>34</v>
      </c>
    </row>
    <row r="173" spans="2:14" ht="12.75">
      <c r="B173" s="62"/>
      <c r="C173" s="62"/>
      <c r="D173" s="62"/>
      <c r="E173" s="62"/>
      <c r="F173" s="62"/>
      <c r="G173" s="62"/>
      <c r="H173" s="62"/>
      <c r="I173" s="62"/>
      <c r="J173" s="62"/>
      <c r="K173" s="62"/>
    </row>
    <row r="174" spans="2:14" ht="15" customHeight="1">
      <c r="B174" s="64" t="str">
        <f>"Table 5: "&amp;E3&amp;" Roll by Stage, 2002-2018"</f>
        <v>Table 5: Clovenstone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37</v>
      </c>
      <c r="D177" s="93">
        <v>30</v>
      </c>
      <c r="E177" s="93">
        <v>36</v>
      </c>
      <c r="F177" s="93">
        <v>26</v>
      </c>
      <c r="G177" s="93">
        <v>22</v>
      </c>
      <c r="H177" s="93">
        <v>36</v>
      </c>
      <c r="I177" s="93">
        <v>33</v>
      </c>
      <c r="J177" s="92">
        <v>220</v>
      </c>
      <c r="K177" s="62"/>
    </row>
    <row r="178" spans="2:11" ht="15" customHeight="1">
      <c r="B178" s="94">
        <v>2003</v>
      </c>
      <c r="C178" s="93">
        <v>41</v>
      </c>
      <c r="D178" s="93">
        <v>39</v>
      </c>
      <c r="E178" s="93">
        <v>30</v>
      </c>
      <c r="F178" s="93">
        <v>36</v>
      </c>
      <c r="G178" s="93">
        <v>26</v>
      </c>
      <c r="H178" s="93">
        <v>21</v>
      </c>
      <c r="I178" s="93">
        <v>36</v>
      </c>
      <c r="J178" s="92">
        <v>229</v>
      </c>
      <c r="K178" s="62"/>
    </row>
    <row r="179" spans="2:11" customFormat="1" ht="15" customHeight="1">
      <c r="B179" s="94">
        <v>2004</v>
      </c>
      <c r="C179" s="95">
        <v>39</v>
      </c>
      <c r="D179" s="95">
        <v>37</v>
      </c>
      <c r="E179" s="95">
        <v>41</v>
      </c>
      <c r="F179" s="95">
        <v>32</v>
      </c>
      <c r="G179" s="95">
        <v>32</v>
      </c>
      <c r="H179" s="95">
        <v>22</v>
      </c>
      <c r="I179" s="95">
        <v>21</v>
      </c>
      <c r="J179" s="92">
        <v>224</v>
      </c>
      <c r="K179" s="62"/>
    </row>
    <row r="180" spans="2:11" customFormat="1" ht="15" customHeight="1">
      <c r="B180" s="94">
        <v>2005</v>
      </c>
      <c r="C180" s="93">
        <v>38</v>
      </c>
      <c r="D180" s="93">
        <v>30</v>
      </c>
      <c r="E180" s="93">
        <v>33</v>
      </c>
      <c r="F180" s="93">
        <v>45</v>
      </c>
      <c r="G180" s="93">
        <v>31</v>
      </c>
      <c r="H180" s="93">
        <v>35</v>
      </c>
      <c r="I180" s="93">
        <v>22</v>
      </c>
      <c r="J180" s="92">
        <v>234</v>
      </c>
      <c r="K180" s="62"/>
    </row>
    <row r="181" spans="2:11" customFormat="1" ht="15" customHeight="1">
      <c r="B181" s="94">
        <v>2006</v>
      </c>
      <c r="C181" s="93">
        <v>29</v>
      </c>
      <c r="D181" s="93">
        <v>34</v>
      </c>
      <c r="E181" s="93">
        <v>25</v>
      </c>
      <c r="F181" s="93">
        <v>34</v>
      </c>
      <c r="G181" s="93">
        <v>40</v>
      </c>
      <c r="H181" s="93">
        <v>36</v>
      </c>
      <c r="I181" s="93">
        <v>34</v>
      </c>
      <c r="J181" s="92">
        <v>232</v>
      </c>
      <c r="K181" s="62"/>
    </row>
    <row r="182" spans="2:11" customFormat="1" ht="15" customHeight="1">
      <c r="B182" s="94">
        <v>2007</v>
      </c>
      <c r="C182" s="93">
        <v>45</v>
      </c>
      <c r="D182" s="93">
        <v>24</v>
      </c>
      <c r="E182" s="93">
        <v>37</v>
      </c>
      <c r="F182" s="93">
        <v>25</v>
      </c>
      <c r="G182" s="93">
        <v>33</v>
      </c>
      <c r="H182" s="93">
        <v>38</v>
      </c>
      <c r="I182" s="93">
        <v>39</v>
      </c>
      <c r="J182" s="92">
        <v>241</v>
      </c>
      <c r="K182" s="62"/>
    </row>
    <row r="183" spans="2:11" customFormat="1" ht="15" customHeight="1">
      <c r="B183" s="94">
        <v>2008</v>
      </c>
      <c r="C183" s="93">
        <v>34</v>
      </c>
      <c r="D183" s="93">
        <v>38</v>
      </c>
      <c r="E183" s="93">
        <v>20</v>
      </c>
      <c r="F183" s="93">
        <v>34</v>
      </c>
      <c r="G183" s="93">
        <v>24</v>
      </c>
      <c r="H183" s="93">
        <v>29</v>
      </c>
      <c r="I183" s="93">
        <v>33</v>
      </c>
      <c r="J183" s="92">
        <v>212</v>
      </c>
      <c r="K183" s="62"/>
    </row>
    <row r="184" spans="2:11" customFormat="1" ht="15" customHeight="1">
      <c r="B184" s="94">
        <v>2009</v>
      </c>
      <c r="C184" s="93">
        <v>29</v>
      </c>
      <c r="D184" s="93">
        <v>32</v>
      </c>
      <c r="E184" s="93">
        <v>34</v>
      </c>
      <c r="F184" s="93">
        <v>19</v>
      </c>
      <c r="G184" s="93">
        <v>34</v>
      </c>
      <c r="H184" s="93">
        <v>26</v>
      </c>
      <c r="I184" s="93">
        <v>31</v>
      </c>
      <c r="J184" s="94">
        <v>205</v>
      </c>
      <c r="K184" s="62"/>
    </row>
    <row r="185" spans="2:11" customFormat="1" ht="15" customHeight="1">
      <c r="B185" s="94">
        <v>2010</v>
      </c>
      <c r="C185" s="93">
        <v>20</v>
      </c>
      <c r="D185" s="93">
        <v>25</v>
      </c>
      <c r="E185" s="93">
        <v>32</v>
      </c>
      <c r="F185" s="93">
        <v>23</v>
      </c>
      <c r="G185" s="93">
        <v>15</v>
      </c>
      <c r="H185" s="93">
        <v>32</v>
      </c>
      <c r="I185" s="93">
        <v>26</v>
      </c>
      <c r="J185" s="92">
        <v>173</v>
      </c>
      <c r="K185" s="62"/>
    </row>
    <row r="186" spans="2:11" customFormat="1" ht="15" customHeight="1">
      <c r="B186" s="94">
        <v>2011</v>
      </c>
      <c r="C186" s="93">
        <v>35</v>
      </c>
      <c r="D186" s="93">
        <v>24</v>
      </c>
      <c r="E186" s="93">
        <v>25</v>
      </c>
      <c r="F186" s="93">
        <v>30</v>
      </c>
      <c r="G186" s="93">
        <v>27</v>
      </c>
      <c r="H186" s="93">
        <v>16</v>
      </c>
      <c r="I186" s="93">
        <v>26</v>
      </c>
      <c r="J186" s="92">
        <v>183</v>
      </c>
      <c r="K186" s="62"/>
    </row>
    <row r="187" spans="2:11" customFormat="1" ht="15" customHeight="1">
      <c r="B187" s="94">
        <v>2012</v>
      </c>
      <c r="C187" s="93">
        <v>28</v>
      </c>
      <c r="D187" s="93">
        <v>31</v>
      </c>
      <c r="E187" s="93">
        <v>20</v>
      </c>
      <c r="F187" s="93">
        <v>25</v>
      </c>
      <c r="G187" s="93">
        <v>29</v>
      </c>
      <c r="H187" s="93">
        <v>25</v>
      </c>
      <c r="I187" s="93">
        <v>19</v>
      </c>
      <c r="J187" s="92">
        <v>177</v>
      </c>
      <c r="K187" s="62"/>
    </row>
    <row r="188" spans="2:11" customFormat="1" ht="15" customHeight="1">
      <c r="B188" s="94">
        <v>2013</v>
      </c>
      <c r="C188" s="93">
        <v>29</v>
      </c>
      <c r="D188" s="93">
        <v>28</v>
      </c>
      <c r="E188" s="93">
        <v>30</v>
      </c>
      <c r="F188" s="93">
        <v>24</v>
      </c>
      <c r="G188" s="93">
        <v>24</v>
      </c>
      <c r="H188" s="93">
        <v>30</v>
      </c>
      <c r="I188" s="93">
        <v>25</v>
      </c>
      <c r="J188" s="94">
        <v>190</v>
      </c>
      <c r="K188" s="62"/>
    </row>
    <row r="189" spans="2:11" customFormat="1" ht="15" customHeight="1">
      <c r="B189" s="94">
        <v>2014</v>
      </c>
      <c r="C189" s="93">
        <v>28</v>
      </c>
      <c r="D189" s="93">
        <v>32</v>
      </c>
      <c r="E189" s="93">
        <v>28</v>
      </c>
      <c r="F189" s="93">
        <v>31</v>
      </c>
      <c r="G189" s="93">
        <v>29</v>
      </c>
      <c r="H189" s="93">
        <v>25</v>
      </c>
      <c r="I189" s="93">
        <v>28</v>
      </c>
      <c r="J189" s="92">
        <v>201</v>
      </c>
      <c r="K189" s="65"/>
    </row>
    <row r="190" spans="2:11" customFormat="1" ht="15" customHeight="1">
      <c r="B190" s="94">
        <v>2015</v>
      </c>
      <c r="C190" s="93">
        <v>39</v>
      </c>
      <c r="D190" s="93">
        <v>30</v>
      </c>
      <c r="E190" s="93">
        <v>30</v>
      </c>
      <c r="F190" s="93">
        <v>27</v>
      </c>
      <c r="G190" s="93">
        <v>29</v>
      </c>
      <c r="H190" s="93">
        <v>30</v>
      </c>
      <c r="I190" s="93">
        <v>23</v>
      </c>
      <c r="J190" s="92">
        <v>208</v>
      </c>
      <c r="K190" s="65"/>
    </row>
    <row r="191" spans="2:11" customFormat="1" ht="15" customHeight="1">
      <c r="B191" s="94">
        <v>2016</v>
      </c>
      <c r="C191" s="93">
        <v>32</v>
      </c>
      <c r="D191" s="93">
        <v>40</v>
      </c>
      <c r="E191" s="93">
        <v>33</v>
      </c>
      <c r="F191" s="93">
        <v>29</v>
      </c>
      <c r="G191" s="93">
        <v>30</v>
      </c>
      <c r="H191" s="93">
        <v>29</v>
      </c>
      <c r="I191" s="93">
        <v>29</v>
      </c>
      <c r="J191" s="92">
        <v>222</v>
      </c>
      <c r="K191" s="65"/>
    </row>
    <row r="192" spans="2:11" ht="15" customHeight="1">
      <c r="B192" s="94">
        <v>2017</v>
      </c>
      <c r="C192" s="93">
        <f>VLOOKUP($E$3,Rolls!A1:FA90,42,FALSE)</f>
        <v>35</v>
      </c>
      <c r="D192" s="93">
        <f>VLOOKUP($E$3,Rolls!A1:FA90,43,FALSE)</f>
        <v>33</v>
      </c>
      <c r="E192" s="93">
        <f>VLOOKUP($E$3,Rolls!A1:FA90,44,FALSE)</f>
        <v>37</v>
      </c>
      <c r="F192" s="93">
        <f>VLOOKUP($E$3,Rolls!A1:FA90,45,FALSE)</f>
        <v>35</v>
      </c>
      <c r="G192" s="93">
        <f>VLOOKUP($E$3,Rolls!A1:FA90,46,FALSE)</f>
        <v>31</v>
      </c>
      <c r="H192" s="93">
        <f>VLOOKUP($E$3,Rolls!A1:FA90,47,FALSE)</f>
        <v>28</v>
      </c>
      <c r="I192" s="93">
        <f>VLOOKUP($E$3,Rolls!A1:FA90,48,FALSE)</f>
        <v>27</v>
      </c>
      <c r="J192" s="92">
        <f>VLOOKUP($E$3,Rolls!A1:FA90,49,FALSE)</f>
        <v>226</v>
      </c>
      <c r="K192" s="65"/>
    </row>
    <row r="193" spans="2:11" ht="15" customHeight="1">
      <c r="B193" s="94">
        <v>2018</v>
      </c>
      <c r="C193" s="93">
        <f>VLOOKUP($E$3,Rolls!A1:FA90,50,FALSE)</f>
        <v>34</v>
      </c>
      <c r="D193" s="93">
        <f>VLOOKUP($E$3,Rolls!A1:FA90,51,FALSE)</f>
        <v>33</v>
      </c>
      <c r="E193" s="93">
        <f>VLOOKUP($E$3,Rolls!A1:FA90,52,FALSE)</f>
        <v>31</v>
      </c>
      <c r="F193" s="93">
        <f>VLOOKUP($E$3,Rolls!A1:FA90,53,FALSE)</f>
        <v>37</v>
      </c>
      <c r="G193" s="93">
        <f>VLOOKUP($E$3,Rolls!A1:FA90,54,FALSE)</f>
        <v>38</v>
      </c>
      <c r="H193" s="93">
        <f>VLOOKUP($E$3,Rolls!A1:FA90,55,FALSE)</f>
        <v>30</v>
      </c>
      <c r="I193" s="93">
        <f>VLOOKUP($E$3,Rolls!A1:FA90,56,FALSE)</f>
        <v>29</v>
      </c>
      <c r="J193" s="92">
        <f>VLOOKUP($E$3,Rolls!A1:FA90,57,FALSE)</f>
        <v>232</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21</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Colinton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315 Pupils (12 classes)</v>
      </c>
      <c r="G12" s="16"/>
      <c r="H12" s="16"/>
    </row>
    <row r="13" spans="2:10" ht="15" customHeight="1">
      <c r="C13" s="16"/>
      <c r="D13" s="16"/>
      <c r="E13" s="16"/>
      <c r="F13" s="16"/>
      <c r="G13" s="16"/>
      <c r="H13" s="16"/>
    </row>
    <row r="14" spans="2:10" ht="15" customHeight="1">
      <c r="B14" s="15" t="str">
        <f>"Figure 1: "&amp;E3&amp;" Roll, 2002-2015"</f>
        <v>Figure 1: Colinton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Colinton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17</v>
      </c>
      <c r="E49" s="108">
        <f>VLOOKUP($E$3,'Catchment Projections'!$A$1:$BU$90,46,FALSE)</f>
        <v>16</v>
      </c>
      <c r="F49" s="108">
        <f>VLOOKUP($E$3,'Catchment Projections'!$A$1:$BU$90,47,FALSE)</f>
        <v>25</v>
      </c>
      <c r="G49" s="108">
        <f>VLOOKUP($E$3,'Catchment Projections'!$A$1:$BU$90,48,FALSE)</f>
        <v>16</v>
      </c>
      <c r="H49" s="133">
        <f>VLOOKUP($E$3,'Catchment Projections'!$A$1:$BU$90,49,FALSE)</f>
        <v>19</v>
      </c>
      <c r="I49" s="133">
        <f>VLOOKUP($E$3,'Catchment Projections'!$A$1:$BU$90,50,FALSE)</f>
        <v>19</v>
      </c>
      <c r="J49" s="133">
        <f>VLOOKUP($E$3,'Catchment Projections'!$A$1:$BU$90,51,FALSE)</f>
        <v>20</v>
      </c>
      <c r="K49" s="133">
        <f>VLOOKUP($E$3,'Catchment Projections'!$A$1:$BU$90,52,FALSE)</f>
        <v>20</v>
      </c>
      <c r="L49" s="133">
        <f>VLOOKUP($E$3,'Catchment Projections'!$A$1:$BU$90,53,FALSE)</f>
        <v>20</v>
      </c>
      <c r="M49" s="133">
        <f>VLOOKUP($E$3,'Catchment Projections'!$A$1:$BU$90,54,FALSE)</f>
        <v>20</v>
      </c>
      <c r="N49" s="133">
        <f>VLOOKUP($E$3,'Catchment Projections'!$A$1:$BU$90,55,FALSE)</f>
        <v>20</v>
      </c>
      <c r="O49" s="133">
        <f>VLOOKUP($E$3,'Catchment Projections'!$A$1:$BU$90,56,FALSE)</f>
        <v>20</v>
      </c>
      <c r="P49" s="133">
        <f>VLOOKUP($E$3,'Catchment Projections'!$A$1:$BU$90,57,FALSE)</f>
        <v>20</v>
      </c>
      <c r="Q49" s="133">
        <f>VLOOKUP($E$3,'Catchment Projections'!$A$1:$BU$90,58,FALSE)</f>
        <v>20</v>
      </c>
    </row>
    <row r="50" spans="2:17" ht="15" customHeight="1" thickBot="1">
      <c r="B50" s="410" t="s">
        <v>141</v>
      </c>
      <c r="C50" s="411"/>
      <c r="D50" s="286">
        <f>VLOOKUP(E3,'Housing Generation'!$A$3:$DQ$90,10,FALSE)</f>
        <v>0</v>
      </c>
      <c r="E50" s="286">
        <f>VLOOKUP(E3,'Housing Generation'!$A$3:$DQ$90,18,FALSE)</f>
        <v>0</v>
      </c>
      <c r="F50" s="286">
        <f>VLOOKUP(E3,'Housing Generation'!$A$3:$DQ$90,26,FALSE)</f>
        <v>0</v>
      </c>
      <c r="G50" s="243">
        <f>VLOOKUP(E3,'Housing Generation'!$A$3:$DQ$90,34,FALSE)</f>
        <v>0</v>
      </c>
      <c r="H50" s="133">
        <f>VLOOKUP(E3,'Housing Generation'!$A$3:$DQ$90,42,FALSE)</f>
        <v>0</v>
      </c>
      <c r="I50" s="133">
        <f>VLOOKUP(E3,'Housing Generation'!$A$3:$DQ$90,50,FALSE)</f>
        <v>0</v>
      </c>
      <c r="J50" s="133">
        <f>VLOOKUP(E3,'Housing Generation'!$A$3:$CK$90,58,FALSE)</f>
        <v>0</v>
      </c>
      <c r="K50" s="133">
        <f>VLOOKUP(E3,'Housing Generation'!$A$3:$CK$90,66,FALSE)</f>
        <v>0</v>
      </c>
      <c r="L50" s="133">
        <f>VLOOKUP(E3,'Housing Generation'!$A$3:$DQ$90,74,FALSE)</f>
        <v>0</v>
      </c>
      <c r="M50" s="133">
        <f>VLOOKUP(E3,'Housing Generation'!$A$3:$DQ$90,82,FALSE)</f>
        <v>0</v>
      </c>
      <c r="N50" s="133">
        <f>VLOOKUP(E3,'Housing Generation'!$A$3:$DQ$90,90,FALSE)</f>
        <v>0</v>
      </c>
      <c r="O50" s="133">
        <f>VLOOKUP(E3,'Housing Generation'!$A$3:$DQ$90,98,FALSE)</f>
        <v>0</v>
      </c>
      <c r="P50" s="133">
        <f>VLOOKUP(E3,'Housing Generation'!$A$3:$DQ$90,106,FALSE)</f>
        <v>0</v>
      </c>
      <c r="Q50" s="133">
        <f>VLOOKUP(E3,'Housing Generation'!$A$3:$DQ$90,114,FALSE)</f>
        <v>0</v>
      </c>
    </row>
    <row r="51" spans="2:17" ht="15" customHeight="1" thickTop="1">
      <c r="B51" s="421" t="s">
        <v>130</v>
      </c>
      <c r="C51" s="422"/>
      <c r="D51" s="47">
        <f t="shared" ref="D51:Q51" si="0">SUM(D49:D50)</f>
        <v>17</v>
      </c>
      <c r="E51" s="47">
        <f t="shared" si="0"/>
        <v>16</v>
      </c>
      <c r="F51" s="80">
        <f t="shared" si="0"/>
        <v>25</v>
      </c>
      <c r="G51" s="244">
        <f t="shared" si="0"/>
        <v>16</v>
      </c>
      <c r="H51" s="71">
        <f t="shared" si="0"/>
        <v>19</v>
      </c>
      <c r="I51" s="71">
        <f t="shared" si="0"/>
        <v>19</v>
      </c>
      <c r="J51" s="71">
        <f t="shared" si="0"/>
        <v>20</v>
      </c>
      <c r="K51" s="71">
        <f t="shared" si="0"/>
        <v>20</v>
      </c>
      <c r="L51" s="71">
        <f t="shared" si="0"/>
        <v>20</v>
      </c>
      <c r="M51" s="71">
        <f t="shared" si="0"/>
        <v>20</v>
      </c>
      <c r="N51" s="71">
        <f t="shared" si="0"/>
        <v>20</v>
      </c>
      <c r="O51" s="71">
        <f t="shared" si="0"/>
        <v>20</v>
      </c>
      <c r="P51" s="71">
        <f t="shared" si="0"/>
        <v>20</v>
      </c>
      <c r="Q51" s="71">
        <f t="shared" si="0"/>
        <v>20</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20</v>
      </c>
      <c r="D60" s="358">
        <f>VLOOKUP($E$3,'Catchment Projections'!$A$1:$BZ$90,74,FALSE)</f>
        <v>18</v>
      </c>
      <c r="E60" s="303">
        <f>D60/C60</f>
        <v>0.9</v>
      </c>
      <c r="G60" s="132">
        <v>2014</v>
      </c>
      <c r="H60" s="395">
        <f>VLOOKUP($G$60,$B$177:$C$215, 2, FALSE)</f>
        <v>28</v>
      </c>
      <c r="I60" s="120">
        <f>H60-D60</f>
        <v>10</v>
      </c>
      <c r="J60" s="121">
        <f>I60/H60</f>
        <v>0.35714285714285715</v>
      </c>
    </row>
    <row r="61" spans="2:17" ht="15" customHeight="1">
      <c r="B61" s="132">
        <v>2015</v>
      </c>
      <c r="C61" s="359">
        <f>VLOOKUP($E$3,'Catchment Projections'!$A$1:$BZ$90,41,FALSE)</f>
        <v>28</v>
      </c>
      <c r="D61" s="358">
        <f>VLOOKUP($E$3,'Catchment Projections'!$A$1:$BZ$90,75,FALSE)</f>
        <v>26</v>
      </c>
      <c r="E61" s="303">
        <f>D61/C61</f>
        <v>0.9285714285714286</v>
      </c>
      <c r="G61" s="132">
        <v>2015</v>
      </c>
      <c r="H61" s="395">
        <f>VLOOKUP($G$61,$B$177:$C$215, 2, FALSE)</f>
        <v>42</v>
      </c>
      <c r="I61" s="120">
        <f>H61-D61</f>
        <v>16</v>
      </c>
      <c r="J61" s="121">
        <f>I61/H61</f>
        <v>0.38095238095238093</v>
      </c>
    </row>
    <row r="62" spans="2:17" ht="15" customHeight="1">
      <c r="B62" s="131">
        <v>2016</v>
      </c>
      <c r="C62" s="359">
        <f>VLOOKUP($E$3,'Catchment Projections'!$A$1:$BZ$90,42,FALSE)</f>
        <v>27</v>
      </c>
      <c r="D62" s="358">
        <f>VLOOKUP($E$3,'Catchment Projections'!$A$1:$BZ$90,76,FALSE)</f>
        <v>21</v>
      </c>
      <c r="E62" s="57">
        <f>D62/C62</f>
        <v>0.77777777777777779</v>
      </c>
      <c r="G62" s="131">
        <v>2016</v>
      </c>
      <c r="H62" s="395">
        <f>VLOOKUP($G$62,$B$177:$C$215, 2, FALSE)</f>
        <v>28</v>
      </c>
      <c r="I62" s="120">
        <f>H62-D62</f>
        <v>7</v>
      </c>
      <c r="J62" s="121">
        <f>I62/H62</f>
        <v>0.25</v>
      </c>
    </row>
    <row r="63" spans="2:17" ht="15" customHeight="1">
      <c r="B63" s="114">
        <v>2017</v>
      </c>
      <c r="C63" s="359">
        <f>VLOOKUP($E$3,'Catchment Projections'!$A$1:$BZ$90,43,FALSE)</f>
        <v>20</v>
      </c>
      <c r="D63" s="358">
        <f>VLOOKUP($E$3,'Catchment Projections'!$A$1:$BZ$90,77,FALSE)</f>
        <v>18</v>
      </c>
      <c r="E63" s="304">
        <f>D63/C63</f>
        <v>0.9</v>
      </c>
      <c r="G63" s="114">
        <v>2017</v>
      </c>
      <c r="H63" s="395">
        <f>VLOOKUP($G$63,$B$177:$C$215, 2, FALSE)</f>
        <v>25</v>
      </c>
      <c r="I63" s="120">
        <f>H63-D63</f>
        <v>7</v>
      </c>
      <c r="J63" s="121">
        <f>I63/H63</f>
        <v>0.28000000000000003</v>
      </c>
    </row>
    <row r="64" spans="2:17" ht="15" customHeight="1">
      <c r="B64" s="114">
        <v>2018</v>
      </c>
      <c r="C64" s="359">
        <f>VLOOKUP($E$3,'Catchment Projections'!$A$1:$BZ$90,44,FALSE)</f>
        <v>24</v>
      </c>
      <c r="D64" s="358">
        <f>VLOOKUP($E$3,'Catchment Projections'!$A$1:$BZ$90,78,FALSE)</f>
        <v>16</v>
      </c>
      <c r="E64" s="305">
        <f>D64/C64</f>
        <v>0.66666666666666663</v>
      </c>
      <c r="G64" s="114">
        <v>2018</v>
      </c>
      <c r="H64" s="395">
        <f>VLOOKUP($G$64,$B$177:$C$215, 2, FALSE)</f>
        <v>23</v>
      </c>
      <c r="I64" s="120">
        <f>H64-D64</f>
        <v>7</v>
      </c>
      <c r="J64" s="121">
        <f>I64/H64</f>
        <v>0.30434782608695654</v>
      </c>
    </row>
    <row r="65" spans="2:10" ht="15" customHeight="1">
      <c r="B65" s="412" t="s">
        <v>136</v>
      </c>
      <c r="C65" s="413"/>
      <c r="D65" s="414"/>
      <c r="E65" s="137">
        <f>IF((AVERAGE(E62:E64))="#DIV/0!","n/a",(AVERAGE(E62:E64)))</f>
        <v>0.78148148148148155</v>
      </c>
      <c r="G65" s="415" t="s">
        <v>137</v>
      </c>
      <c r="H65" s="416"/>
      <c r="I65" s="138">
        <f>MEDIAN(I60:I64)</f>
        <v>7</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17</v>
      </c>
      <c r="D70" s="408"/>
      <c r="E70" s="122">
        <f>E65</f>
        <v>0.78148148148148155</v>
      </c>
      <c r="F70" s="120">
        <f t="shared" ref="F70:F83" si="1">C70*$E$65</f>
        <v>13.285185185185187</v>
      </c>
      <c r="G70" s="118">
        <f>IF(F70&lt;26,25,IF(F70&gt;135,140,IF(F70&gt;130,135,IF(F70&gt;125,130,IF(F70&gt;120,125,IF(F70&gt;115,120,IF(F70&gt;110,115,IF(F70&gt;105,110,IF(F70&gt;100,105,IF(F70&gt;99,100,IF(F70&gt;90,99,IF(F70&gt;75,90,IF(F70&gt;72,75,IF(F70&gt;66,72,IF(F70&gt;60,66,IF(F70&gt;50,60,IF(F70&gt;30,50,IF(F70&gt;25,30,0))))))))))))))))))</f>
        <v>25</v>
      </c>
      <c r="H70" s="119">
        <f t="shared" ref="H70:H83" si="2">G70-F70</f>
        <v>11.714814814814813</v>
      </c>
      <c r="I70" s="118" t="str">
        <f>IF(I$65&lt;H70, "NO", "YES")</f>
        <v>NO</v>
      </c>
      <c r="J70" s="117">
        <f t="shared" ref="J70:J83" si="3">IF(I70="YES",G70,(MIN((SUM(F70,$I$65)),G70)))</f>
        <v>20.285185185185185</v>
      </c>
    </row>
    <row r="71" spans="2:10" ht="15" customHeight="1">
      <c r="B71" s="114">
        <v>2020</v>
      </c>
      <c r="C71" s="433">
        <f>E51</f>
        <v>16</v>
      </c>
      <c r="D71" s="408"/>
      <c r="E71" s="121">
        <f>E65</f>
        <v>0.78148148148148155</v>
      </c>
      <c r="F71" s="120">
        <f t="shared" si="1"/>
        <v>12.503703703703705</v>
      </c>
      <c r="G71" s="118">
        <f t="shared" ref="G71:G83" si="4">IF(F71&lt;26,25,IF(F71&gt;135,140,IF(F71&gt;130,135,IF(F71&gt;125,130,IF(F71&gt;120,125,IF(F71&gt;115,120,IF(F71&gt;110,115,IF(F71&gt;105,110,IF(F71&gt;100,105,IF(F71&gt;99,100,IF(F71&gt;90,99,IF(F71&gt;75,90,IF(F71&gt;72,75,IF(F71&gt;66,72,IF(F71&gt;60,66,IF(F71&gt;50,60,IF(F71&gt;30,50,IF(F71&gt;25,30,0))))))))))))))))))</f>
        <v>25</v>
      </c>
      <c r="H71" s="119">
        <f t="shared" si="2"/>
        <v>12.496296296296295</v>
      </c>
      <c r="I71" s="118" t="str">
        <f t="shared" ref="I71:I83" si="5">IF(I$65&lt;H71, "NO", "YES")</f>
        <v>NO</v>
      </c>
      <c r="J71" s="117">
        <f t="shared" si="3"/>
        <v>19.503703703703707</v>
      </c>
    </row>
    <row r="72" spans="2:10" ht="15" customHeight="1">
      <c r="B72" s="114">
        <v>2021</v>
      </c>
      <c r="C72" s="430">
        <f>F51</f>
        <v>25</v>
      </c>
      <c r="D72" s="431"/>
      <c r="E72" s="121">
        <f>E65</f>
        <v>0.78148148148148155</v>
      </c>
      <c r="F72" s="120">
        <f t="shared" si="1"/>
        <v>19.537037037037038</v>
      </c>
      <c r="G72" s="118">
        <f t="shared" si="4"/>
        <v>25</v>
      </c>
      <c r="H72" s="119">
        <f t="shared" si="2"/>
        <v>5.4629629629629619</v>
      </c>
      <c r="I72" s="118" t="str">
        <f t="shared" si="5"/>
        <v>YES</v>
      </c>
      <c r="J72" s="117">
        <f t="shared" si="3"/>
        <v>25</v>
      </c>
    </row>
    <row r="73" spans="2:10" ht="15" customHeight="1">
      <c r="B73" s="114">
        <v>2022</v>
      </c>
      <c r="C73" s="430">
        <f>G51</f>
        <v>16</v>
      </c>
      <c r="D73" s="431"/>
      <c r="E73" s="121">
        <f>E65</f>
        <v>0.78148148148148155</v>
      </c>
      <c r="F73" s="120">
        <f t="shared" si="1"/>
        <v>12.503703703703705</v>
      </c>
      <c r="G73" s="118">
        <f t="shared" si="4"/>
        <v>25</v>
      </c>
      <c r="H73" s="119">
        <f t="shared" si="2"/>
        <v>12.496296296296295</v>
      </c>
      <c r="I73" s="118" t="str">
        <f t="shared" si="5"/>
        <v>NO</v>
      </c>
      <c r="J73" s="117">
        <f t="shared" si="3"/>
        <v>19.503703703703707</v>
      </c>
    </row>
    <row r="74" spans="2:10" ht="15" customHeight="1">
      <c r="B74" s="114">
        <v>2023</v>
      </c>
      <c r="C74" s="430">
        <f>H51</f>
        <v>19</v>
      </c>
      <c r="D74" s="431"/>
      <c r="E74" s="121">
        <f>E65</f>
        <v>0.78148148148148155</v>
      </c>
      <c r="F74" s="120">
        <f t="shared" si="1"/>
        <v>14.84814814814815</v>
      </c>
      <c r="G74" s="118">
        <f t="shared" si="4"/>
        <v>25</v>
      </c>
      <c r="H74" s="119">
        <f t="shared" si="2"/>
        <v>10.15185185185185</v>
      </c>
      <c r="I74" s="118" t="str">
        <f t="shared" si="5"/>
        <v>NO</v>
      </c>
      <c r="J74" s="117">
        <f t="shared" si="3"/>
        <v>21.848148148148148</v>
      </c>
    </row>
    <row r="75" spans="2:10" ht="15" customHeight="1">
      <c r="B75" s="114">
        <v>2024</v>
      </c>
      <c r="C75" s="430">
        <f>I51</f>
        <v>19</v>
      </c>
      <c r="D75" s="431"/>
      <c r="E75" s="121">
        <f>E65</f>
        <v>0.78148148148148155</v>
      </c>
      <c r="F75" s="120">
        <f t="shared" si="1"/>
        <v>14.84814814814815</v>
      </c>
      <c r="G75" s="118">
        <f t="shared" si="4"/>
        <v>25</v>
      </c>
      <c r="H75" s="119">
        <f t="shared" si="2"/>
        <v>10.15185185185185</v>
      </c>
      <c r="I75" s="118" t="str">
        <f t="shared" si="5"/>
        <v>NO</v>
      </c>
      <c r="J75" s="117">
        <f t="shared" si="3"/>
        <v>21.848148148148148</v>
      </c>
    </row>
    <row r="76" spans="2:10" ht="15" customHeight="1">
      <c r="B76" s="114">
        <v>2025</v>
      </c>
      <c r="C76" s="430">
        <f>J51</f>
        <v>20</v>
      </c>
      <c r="D76" s="431"/>
      <c r="E76" s="121">
        <f>E65</f>
        <v>0.78148148148148155</v>
      </c>
      <c r="F76" s="120">
        <f t="shared" si="1"/>
        <v>15.629629629629632</v>
      </c>
      <c r="G76" s="118">
        <f t="shared" si="4"/>
        <v>25</v>
      </c>
      <c r="H76" s="119">
        <f t="shared" si="2"/>
        <v>9.3703703703703685</v>
      </c>
      <c r="I76" s="118" t="str">
        <f t="shared" si="5"/>
        <v>NO</v>
      </c>
      <c r="J76" s="117">
        <f t="shared" si="3"/>
        <v>22.629629629629633</v>
      </c>
    </row>
    <row r="77" spans="2:10" ht="15" customHeight="1">
      <c r="B77" s="114">
        <v>2026</v>
      </c>
      <c r="C77" s="430">
        <f>K51</f>
        <v>20</v>
      </c>
      <c r="D77" s="431"/>
      <c r="E77" s="121">
        <f>E65</f>
        <v>0.78148148148148155</v>
      </c>
      <c r="F77" s="120">
        <f t="shared" si="1"/>
        <v>15.629629629629632</v>
      </c>
      <c r="G77" s="118">
        <f t="shared" si="4"/>
        <v>25</v>
      </c>
      <c r="H77" s="119">
        <f t="shared" si="2"/>
        <v>9.3703703703703685</v>
      </c>
      <c r="I77" s="118" t="str">
        <f t="shared" si="5"/>
        <v>NO</v>
      </c>
      <c r="J77" s="117">
        <f t="shared" si="3"/>
        <v>22.629629629629633</v>
      </c>
    </row>
    <row r="78" spans="2:10" ht="15" customHeight="1">
      <c r="B78" s="114">
        <v>2027</v>
      </c>
      <c r="C78" s="430">
        <f>L51</f>
        <v>20</v>
      </c>
      <c r="D78" s="431"/>
      <c r="E78" s="121">
        <f>E65</f>
        <v>0.78148148148148155</v>
      </c>
      <c r="F78" s="120">
        <f t="shared" si="1"/>
        <v>15.629629629629632</v>
      </c>
      <c r="G78" s="118">
        <f t="shared" si="4"/>
        <v>25</v>
      </c>
      <c r="H78" s="119">
        <f t="shared" si="2"/>
        <v>9.3703703703703685</v>
      </c>
      <c r="I78" s="118" t="str">
        <f t="shared" si="5"/>
        <v>NO</v>
      </c>
      <c r="J78" s="117">
        <f t="shared" si="3"/>
        <v>22.629629629629633</v>
      </c>
    </row>
    <row r="79" spans="2:10" ht="15" customHeight="1">
      <c r="B79" s="114">
        <v>2028</v>
      </c>
      <c r="C79" s="430">
        <f>M51</f>
        <v>20</v>
      </c>
      <c r="D79" s="431"/>
      <c r="E79" s="121">
        <f t="shared" ref="E79:E83" si="6">$E$65</f>
        <v>0.78148148148148155</v>
      </c>
      <c r="F79" s="120">
        <f t="shared" si="1"/>
        <v>15.629629629629632</v>
      </c>
      <c r="G79" s="118">
        <f t="shared" si="4"/>
        <v>25</v>
      </c>
      <c r="H79" s="119">
        <f t="shared" si="2"/>
        <v>9.3703703703703685</v>
      </c>
      <c r="I79" s="118" t="str">
        <f t="shared" si="5"/>
        <v>NO</v>
      </c>
      <c r="J79" s="117">
        <f t="shared" si="3"/>
        <v>22.629629629629633</v>
      </c>
    </row>
    <row r="80" spans="2:10" ht="15" customHeight="1">
      <c r="B80" s="114">
        <v>2029</v>
      </c>
      <c r="C80" s="430">
        <f>N51</f>
        <v>20</v>
      </c>
      <c r="D80" s="431"/>
      <c r="E80" s="121">
        <f t="shared" si="6"/>
        <v>0.78148148148148155</v>
      </c>
      <c r="F80" s="120">
        <f t="shared" si="1"/>
        <v>15.629629629629632</v>
      </c>
      <c r="G80" s="118">
        <f t="shared" si="4"/>
        <v>25</v>
      </c>
      <c r="H80" s="119">
        <f t="shared" si="2"/>
        <v>9.3703703703703685</v>
      </c>
      <c r="I80" s="118" t="str">
        <f t="shared" si="5"/>
        <v>NO</v>
      </c>
      <c r="J80" s="117">
        <f t="shared" si="3"/>
        <v>22.629629629629633</v>
      </c>
    </row>
    <row r="81" spans="2:10" ht="15" customHeight="1">
      <c r="B81" s="114">
        <v>2030</v>
      </c>
      <c r="C81" s="430">
        <f>O51</f>
        <v>20</v>
      </c>
      <c r="D81" s="431"/>
      <c r="E81" s="121">
        <f t="shared" si="6"/>
        <v>0.78148148148148155</v>
      </c>
      <c r="F81" s="120">
        <f t="shared" si="1"/>
        <v>15.629629629629632</v>
      </c>
      <c r="G81" s="118">
        <f t="shared" si="4"/>
        <v>25</v>
      </c>
      <c r="H81" s="119">
        <f t="shared" si="2"/>
        <v>9.3703703703703685</v>
      </c>
      <c r="I81" s="118" t="str">
        <f t="shared" si="5"/>
        <v>NO</v>
      </c>
      <c r="J81" s="117">
        <f t="shared" si="3"/>
        <v>22.629629629629633</v>
      </c>
    </row>
    <row r="82" spans="2:10" ht="15" customHeight="1">
      <c r="B82" s="114">
        <v>2031</v>
      </c>
      <c r="C82" s="430">
        <f>P51</f>
        <v>20</v>
      </c>
      <c r="D82" s="431"/>
      <c r="E82" s="121">
        <f t="shared" si="6"/>
        <v>0.78148148148148155</v>
      </c>
      <c r="F82" s="120">
        <f t="shared" si="1"/>
        <v>15.629629629629632</v>
      </c>
      <c r="G82" s="118">
        <f t="shared" si="4"/>
        <v>25</v>
      </c>
      <c r="H82" s="119">
        <f t="shared" si="2"/>
        <v>9.3703703703703685</v>
      </c>
      <c r="I82" s="118" t="str">
        <f t="shared" si="5"/>
        <v>NO</v>
      </c>
      <c r="J82" s="117">
        <f t="shared" si="3"/>
        <v>22.629629629629633</v>
      </c>
    </row>
    <row r="83" spans="2:10" ht="15" customHeight="1">
      <c r="B83" s="114">
        <v>2032</v>
      </c>
      <c r="C83" s="430">
        <f>Q51</f>
        <v>20</v>
      </c>
      <c r="D83" s="431"/>
      <c r="E83" s="121">
        <f t="shared" si="6"/>
        <v>0.78148148148148155</v>
      </c>
      <c r="F83" s="120">
        <f t="shared" si="1"/>
        <v>15.629629629629632</v>
      </c>
      <c r="G83" s="118">
        <f t="shared" si="4"/>
        <v>25</v>
      </c>
      <c r="H83" s="119">
        <f t="shared" si="2"/>
        <v>9.3703703703703685</v>
      </c>
      <c r="I83" s="118" t="str">
        <f t="shared" si="5"/>
        <v>NO</v>
      </c>
      <c r="J83" s="117">
        <f t="shared" si="3"/>
        <v>22.629629629629633</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Colinton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27</v>
      </c>
      <c r="D91" s="112">
        <f t="shared" ref="D91:J91" si="7">D188</f>
        <v>22</v>
      </c>
      <c r="E91" s="112">
        <f t="shared" si="7"/>
        <v>33</v>
      </c>
      <c r="F91" s="112">
        <f t="shared" si="7"/>
        <v>22</v>
      </c>
      <c r="G91" s="112">
        <f t="shared" si="7"/>
        <v>17</v>
      </c>
      <c r="H91" s="112">
        <f t="shared" si="7"/>
        <v>17</v>
      </c>
      <c r="I91" s="112">
        <f t="shared" si="7"/>
        <v>14</v>
      </c>
      <c r="J91" s="213">
        <f t="shared" si="7"/>
        <v>152</v>
      </c>
    </row>
    <row r="92" spans="2:10" ht="15" customHeight="1">
      <c r="B92" s="114">
        <v>2014</v>
      </c>
      <c r="C92" s="112">
        <f>C189</f>
        <v>28</v>
      </c>
      <c r="D92" s="112">
        <f t="shared" ref="D92:J92" si="8">D189</f>
        <v>25</v>
      </c>
      <c r="E92" s="112">
        <f t="shared" si="8"/>
        <v>21</v>
      </c>
      <c r="F92" s="112">
        <f t="shared" si="8"/>
        <v>21</v>
      </c>
      <c r="G92" s="112">
        <f t="shared" si="8"/>
        <v>16</v>
      </c>
      <c r="H92" s="112">
        <f t="shared" si="8"/>
        <v>16</v>
      </c>
      <c r="I92" s="112">
        <f t="shared" si="8"/>
        <v>11</v>
      </c>
      <c r="J92" s="213">
        <f t="shared" si="8"/>
        <v>138</v>
      </c>
    </row>
    <row r="93" spans="2:10" ht="15" customHeight="1">
      <c r="B93" s="114">
        <v>2015</v>
      </c>
      <c r="C93" s="112">
        <f>C190</f>
        <v>42</v>
      </c>
      <c r="D93" s="112">
        <f t="shared" ref="D93:J93" si="9">D190</f>
        <v>23</v>
      </c>
      <c r="E93" s="112">
        <f t="shared" si="9"/>
        <v>24</v>
      </c>
      <c r="F93" s="112">
        <f t="shared" si="9"/>
        <v>20</v>
      </c>
      <c r="G93" s="112">
        <f t="shared" si="9"/>
        <v>23</v>
      </c>
      <c r="H93" s="112">
        <f t="shared" si="9"/>
        <v>14</v>
      </c>
      <c r="I93" s="112">
        <f t="shared" si="9"/>
        <v>12</v>
      </c>
      <c r="J93" s="213">
        <f t="shared" si="9"/>
        <v>158</v>
      </c>
    </row>
    <row r="94" spans="2:10" ht="15" customHeight="1">
      <c r="B94" s="114">
        <v>2016</v>
      </c>
      <c r="C94" s="112">
        <f>C191</f>
        <v>28</v>
      </c>
      <c r="D94" s="112">
        <f t="shared" ref="D94:J94" si="10">D191</f>
        <v>33</v>
      </c>
      <c r="E94" s="112">
        <f t="shared" si="10"/>
        <v>22</v>
      </c>
      <c r="F94" s="112">
        <f t="shared" si="10"/>
        <v>16</v>
      </c>
      <c r="G94" s="112">
        <f t="shared" si="10"/>
        <v>18</v>
      </c>
      <c r="H94" s="112">
        <f t="shared" si="10"/>
        <v>21</v>
      </c>
      <c r="I94" s="112">
        <f t="shared" si="10"/>
        <v>11</v>
      </c>
      <c r="J94" s="213">
        <f t="shared" si="10"/>
        <v>149</v>
      </c>
    </row>
    <row r="95" spans="2:10" ht="15" customHeight="1">
      <c r="B95" s="114">
        <v>2017</v>
      </c>
      <c r="C95" s="112">
        <f>C192</f>
        <v>25</v>
      </c>
      <c r="D95" s="112">
        <f t="shared" ref="D95:J95" si="11">D192</f>
        <v>24</v>
      </c>
      <c r="E95" s="112">
        <f t="shared" si="11"/>
        <v>31</v>
      </c>
      <c r="F95" s="112">
        <f t="shared" si="11"/>
        <v>18</v>
      </c>
      <c r="G95" s="112">
        <f t="shared" si="11"/>
        <v>15</v>
      </c>
      <c r="H95" s="112">
        <f t="shared" si="11"/>
        <v>22</v>
      </c>
      <c r="I95" s="112">
        <f t="shared" si="11"/>
        <v>18</v>
      </c>
      <c r="J95" s="213">
        <f t="shared" si="11"/>
        <v>153</v>
      </c>
    </row>
    <row r="96" spans="2:10" ht="15" customHeight="1">
      <c r="B96" s="307">
        <v>2018</v>
      </c>
      <c r="C96" s="112">
        <f t="shared" ref="C96:J96" si="12">C193</f>
        <v>23</v>
      </c>
      <c r="D96" s="112">
        <f t="shared" si="12"/>
        <v>32</v>
      </c>
      <c r="E96" s="112">
        <f t="shared" si="12"/>
        <v>24</v>
      </c>
      <c r="F96" s="112">
        <f t="shared" si="12"/>
        <v>30</v>
      </c>
      <c r="G96" s="112">
        <f t="shared" si="12"/>
        <v>15</v>
      </c>
      <c r="H96" s="112">
        <f t="shared" si="12"/>
        <v>13</v>
      </c>
      <c r="I96" s="112">
        <f t="shared" si="12"/>
        <v>22</v>
      </c>
      <c r="J96" s="213">
        <f t="shared" si="12"/>
        <v>159</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0.14285714285714285</v>
      </c>
      <c r="E98" s="210">
        <f t="shared" ref="E98:I98" si="13">MEDIAN(((D91-E92)/D91),((D92-E93)/D92),((D93-E94)/D93),((D94-E95)/D94),((D95-E96)/D95))</f>
        <v>4.3478260869565216E-2</v>
      </c>
      <c r="F98" s="210">
        <f t="shared" si="13"/>
        <v>0.18181818181818182</v>
      </c>
      <c r="G98" s="210">
        <f t="shared" si="13"/>
        <v>0.1</v>
      </c>
      <c r="H98" s="210">
        <f t="shared" si="13"/>
        <v>8.6956521739130432E-2</v>
      </c>
      <c r="I98" s="210">
        <f t="shared" si="13"/>
        <v>0.21428571428571427</v>
      </c>
    </row>
    <row r="99" spans="2:10" ht="15" customHeight="1">
      <c r="B99" s="59"/>
      <c r="C99" s="60"/>
      <c r="D99" s="61"/>
      <c r="E99" s="61"/>
      <c r="F99" s="61"/>
      <c r="G99" s="61"/>
      <c r="H99" s="61"/>
      <c r="I99" s="61"/>
      <c r="J99" s="58"/>
    </row>
    <row r="100" spans="2:10" ht="15" customHeight="1">
      <c r="B100" s="15" t="str">
        <f>"Table 4B: "&amp;E3&amp;" Projected Roll by Stage (incorporating Projected P1 and Drop-Off Rates), 2019-2032"</f>
        <v>Table 4B: Colinton Primary School Projected Roll by Stage (incorporating Projected P1 and Drop-Off Rates), 2019-2032</v>
      </c>
      <c r="F100" s="14"/>
      <c r="G100" s="14"/>
    </row>
    <row r="101" spans="2:10" ht="15" customHeight="1">
      <c r="F101" s="14"/>
      <c r="G101" s="14"/>
    </row>
    <row r="102" spans="2:10" ht="15" customHeight="1">
      <c r="B102" s="115"/>
      <c r="C102" s="109" t="s">
        <v>1</v>
      </c>
      <c r="D102" s="109" t="s">
        <v>2</v>
      </c>
      <c r="E102" s="109" t="s">
        <v>3</v>
      </c>
      <c r="F102" s="109" t="s">
        <v>4</v>
      </c>
      <c r="G102" s="109" t="s">
        <v>5</v>
      </c>
      <c r="H102" s="109" t="s">
        <v>6</v>
      </c>
      <c r="I102" s="109" t="s">
        <v>7</v>
      </c>
      <c r="J102" s="109" t="s">
        <v>8</v>
      </c>
    </row>
    <row r="103" spans="2:10" ht="15" customHeight="1">
      <c r="B103" s="114">
        <v>2019</v>
      </c>
      <c r="C103" s="113">
        <f t="shared" ref="C103:C116" si="14">J70</f>
        <v>20.285185185185185</v>
      </c>
      <c r="D103" s="324">
        <f>ROUND((C96)-(C96*$D$98),0)</f>
        <v>20</v>
      </c>
      <c r="E103" s="324">
        <f>ROUND((D96)-(D96*$E$98),0)</f>
        <v>31</v>
      </c>
      <c r="F103" s="324">
        <f>ROUND((E96)-(E96*$F$98),0)</f>
        <v>20</v>
      </c>
      <c r="G103" s="324">
        <f>ROUND((F96)-(F96*$G$98),0)</f>
        <v>27</v>
      </c>
      <c r="H103" s="324">
        <f>ROUND((G96)-(G96*$H$98),0)</f>
        <v>14</v>
      </c>
      <c r="I103" s="324">
        <f>ROUND((H96)-(H96*$I$98),0)</f>
        <v>10</v>
      </c>
      <c r="J103" s="111">
        <f t="shared" ref="J103:J116" si="15">SUM(C103:I103)</f>
        <v>142.28518518518518</v>
      </c>
    </row>
    <row r="104" spans="2:10" ht="15" customHeight="1">
      <c r="B104" s="114">
        <v>2020</v>
      </c>
      <c r="C104" s="113">
        <f t="shared" si="14"/>
        <v>19.503703703703707</v>
      </c>
      <c r="D104" s="324">
        <f>ROUND((C103-E50)-(C103*$D$98),0)</f>
        <v>17</v>
      </c>
      <c r="E104" s="112">
        <f t="shared" ref="E104:E116" si="16">ROUND((D103)-(D103*$E$98),0)</f>
        <v>19</v>
      </c>
      <c r="F104" s="112">
        <f t="shared" ref="F104:F116" si="17">ROUND((E103)-(E103*$F$98),0)</f>
        <v>25</v>
      </c>
      <c r="G104" s="112">
        <f t="shared" ref="G104:G116" si="18">ROUND((F103)-(F103*$G$98),0)</f>
        <v>18</v>
      </c>
      <c r="H104" s="112">
        <f t="shared" ref="H104:H116" si="19">ROUND((G103)-(G103*$H$98),0)</f>
        <v>25</v>
      </c>
      <c r="I104" s="112">
        <f t="shared" ref="I104:I116" si="20">ROUND((H103)-(H103*$I$98),0)</f>
        <v>11</v>
      </c>
      <c r="J104" s="111">
        <f t="shared" si="15"/>
        <v>134.50370370370371</v>
      </c>
    </row>
    <row r="105" spans="2:10" ht="15" customHeight="1">
      <c r="B105" s="114">
        <v>2021</v>
      </c>
      <c r="C105" s="113">
        <f t="shared" si="14"/>
        <v>25</v>
      </c>
      <c r="D105" s="324">
        <f>ROUND((C104-F50)-(C104*$D$98),0)</f>
        <v>17</v>
      </c>
      <c r="E105" s="112">
        <f t="shared" si="16"/>
        <v>16</v>
      </c>
      <c r="F105" s="112">
        <f t="shared" si="17"/>
        <v>16</v>
      </c>
      <c r="G105" s="112">
        <f t="shared" si="18"/>
        <v>23</v>
      </c>
      <c r="H105" s="112">
        <f t="shared" si="19"/>
        <v>16</v>
      </c>
      <c r="I105" s="112">
        <f t="shared" si="20"/>
        <v>20</v>
      </c>
      <c r="J105" s="111">
        <f t="shared" si="15"/>
        <v>133</v>
      </c>
    </row>
    <row r="106" spans="2:10" ht="15" customHeight="1">
      <c r="B106" s="114">
        <v>2022</v>
      </c>
      <c r="C106" s="113">
        <f t="shared" si="14"/>
        <v>19.503703703703707</v>
      </c>
      <c r="D106" s="324">
        <f>ROUND((C105-G50)-(C105*$D$98),0)</f>
        <v>21</v>
      </c>
      <c r="E106" s="112">
        <f t="shared" si="16"/>
        <v>16</v>
      </c>
      <c r="F106" s="112">
        <f t="shared" si="17"/>
        <v>13</v>
      </c>
      <c r="G106" s="112">
        <f t="shared" si="18"/>
        <v>14</v>
      </c>
      <c r="H106" s="112">
        <f t="shared" si="19"/>
        <v>21</v>
      </c>
      <c r="I106" s="112">
        <f t="shared" si="20"/>
        <v>13</v>
      </c>
      <c r="J106" s="111">
        <f t="shared" si="15"/>
        <v>117.50370370370371</v>
      </c>
    </row>
    <row r="107" spans="2:10" ht="15" customHeight="1">
      <c r="B107" s="114">
        <v>2023</v>
      </c>
      <c r="C107" s="113">
        <f t="shared" si="14"/>
        <v>21.848148148148148</v>
      </c>
      <c r="D107" s="324">
        <f>ROUND((C106-H50)-(C106*$D$98),0)</f>
        <v>17</v>
      </c>
      <c r="E107" s="112">
        <f t="shared" si="16"/>
        <v>20</v>
      </c>
      <c r="F107" s="112">
        <f t="shared" si="17"/>
        <v>13</v>
      </c>
      <c r="G107" s="112">
        <f t="shared" si="18"/>
        <v>12</v>
      </c>
      <c r="H107" s="112">
        <f t="shared" si="19"/>
        <v>13</v>
      </c>
      <c r="I107" s="112">
        <f t="shared" si="20"/>
        <v>17</v>
      </c>
      <c r="J107" s="111">
        <f t="shared" si="15"/>
        <v>113.84814814814814</v>
      </c>
    </row>
    <row r="108" spans="2:10" ht="15" customHeight="1">
      <c r="B108" s="114">
        <v>2024</v>
      </c>
      <c r="C108" s="113">
        <f t="shared" si="14"/>
        <v>21.848148148148148</v>
      </c>
      <c r="D108" s="324">
        <f>ROUND((C107-I50)-(C107*$D$98),0)</f>
        <v>19</v>
      </c>
      <c r="E108" s="112">
        <f t="shared" si="16"/>
        <v>16</v>
      </c>
      <c r="F108" s="112">
        <f t="shared" si="17"/>
        <v>16</v>
      </c>
      <c r="G108" s="112">
        <f t="shared" si="18"/>
        <v>12</v>
      </c>
      <c r="H108" s="112">
        <f t="shared" si="19"/>
        <v>11</v>
      </c>
      <c r="I108" s="112">
        <f t="shared" si="20"/>
        <v>10</v>
      </c>
      <c r="J108" s="111">
        <f t="shared" si="15"/>
        <v>105.84814814814814</v>
      </c>
    </row>
    <row r="109" spans="2:10" ht="15" customHeight="1">
      <c r="B109" s="114">
        <v>2025</v>
      </c>
      <c r="C109" s="113">
        <f t="shared" si="14"/>
        <v>22.629629629629633</v>
      </c>
      <c r="D109" s="324">
        <f>ROUND((C108-J50)-(C108*$D$98),0)</f>
        <v>19</v>
      </c>
      <c r="E109" s="112">
        <f t="shared" si="16"/>
        <v>18</v>
      </c>
      <c r="F109" s="112">
        <f t="shared" si="17"/>
        <v>13</v>
      </c>
      <c r="G109" s="112">
        <f t="shared" si="18"/>
        <v>14</v>
      </c>
      <c r="H109" s="112">
        <f t="shared" si="19"/>
        <v>11</v>
      </c>
      <c r="I109" s="112">
        <f t="shared" si="20"/>
        <v>9</v>
      </c>
      <c r="J109" s="111">
        <f t="shared" si="15"/>
        <v>106.62962962962963</v>
      </c>
    </row>
    <row r="110" spans="2:10" ht="15" customHeight="1">
      <c r="B110" s="114">
        <v>2026</v>
      </c>
      <c r="C110" s="113">
        <f t="shared" si="14"/>
        <v>22.629629629629633</v>
      </c>
      <c r="D110" s="324">
        <f>ROUND((C109-K50)-(C109*$D$98),0)</f>
        <v>19</v>
      </c>
      <c r="E110" s="112">
        <f t="shared" si="16"/>
        <v>18</v>
      </c>
      <c r="F110" s="112">
        <f t="shared" si="17"/>
        <v>15</v>
      </c>
      <c r="G110" s="112">
        <f t="shared" si="18"/>
        <v>12</v>
      </c>
      <c r="H110" s="112">
        <f t="shared" si="19"/>
        <v>13</v>
      </c>
      <c r="I110" s="112">
        <f t="shared" si="20"/>
        <v>9</v>
      </c>
      <c r="J110" s="111">
        <f t="shared" si="15"/>
        <v>108.62962962962963</v>
      </c>
    </row>
    <row r="111" spans="2:10" ht="15" customHeight="1">
      <c r="B111" s="114">
        <v>2027</v>
      </c>
      <c r="C111" s="113">
        <f t="shared" si="14"/>
        <v>22.629629629629633</v>
      </c>
      <c r="D111" s="324">
        <f>ROUND((C110-L50)-(C110*$D$98),0)</f>
        <v>19</v>
      </c>
      <c r="E111" s="112">
        <f t="shared" si="16"/>
        <v>18</v>
      </c>
      <c r="F111" s="112">
        <f t="shared" si="17"/>
        <v>15</v>
      </c>
      <c r="G111" s="112">
        <f t="shared" si="18"/>
        <v>14</v>
      </c>
      <c r="H111" s="112">
        <f t="shared" si="19"/>
        <v>11</v>
      </c>
      <c r="I111" s="112">
        <f t="shared" si="20"/>
        <v>10</v>
      </c>
      <c r="J111" s="111">
        <f t="shared" si="15"/>
        <v>109.62962962962963</v>
      </c>
    </row>
    <row r="112" spans="2:10" ht="15" customHeight="1">
      <c r="B112" s="114">
        <v>2028</v>
      </c>
      <c r="C112" s="113">
        <f t="shared" si="14"/>
        <v>22.629629629629633</v>
      </c>
      <c r="D112" s="324">
        <f>ROUND((C111-M50)-(C111*$D$98),0)</f>
        <v>19</v>
      </c>
      <c r="E112" s="112">
        <f t="shared" si="16"/>
        <v>18</v>
      </c>
      <c r="F112" s="112">
        <f t="shared" si="17"/>
        <v>15</v>
      </c>
      <c r="G112" s="112">
        <f t="shared" si="18"/>
        <v>14</v>
      </c>
      <c r="H112" s="112">
        <f t="shared" si="19"/>
        <v>13</v>
      </c>
      <c r="I112" s="112">
        <f t="shared" si="20"/>
        <v>9</v>
      </c>
      <c r="J112" s="111">
        <f t="shared" si="15"/>
        <v>110.62962962962963</v>
      </c>
    </row>
    <row r="113" spans="2:10" ht="15" customHeight="1">
      <c r="B113" s="114">
        <v>2029</v>
      </c>
      <c r="C113" s="113">
        <f t="shared" si="14"/>
        <v>22.629629629629633</v>
      </c>
      <c r="D113" s="324">
        <f>ROUND((C112-N50)-(C112*$D$98),0)</f>
        <v>19</v>
      </c>
      <c r="E113" s="112">
        <f t="shared" si="16"/>
        <v>18</v>
      </c>
      <c r="F113" s="112">
        <f t="shared" si="17"/>
        <v>15</v>
      </c>
      <c r="G113" s="112">
        <f t="shared" si="18"/>
        <v>14</v>
      </c>
      <c r="H113" s="112">
        <f t="shared" si="19"/>
        <v>13</v>
      </c>
      <c r="I113" s="112">
        <f t="shared" si="20"/>
        <v>10</v>
      </c>
      <c r="J113" s="111">
        <f t="shared" si="15"/>
        <v>111.62962962962963</v>
      </c>
    </row>
    <row r="114" spans="2:10" ht="15" customHeight="1">
      <c r="B114" s="114">
        <v>2030</v>
      </c>
      <c r="C114" s="113">
        <f t="shared" si="14"/>
        <v>22.629629629629633</v>
      </c>
      <c r="D114" s="324">
        <f>ROUND((C113-O50)-(C113*$D$98),0)</f>
        <v>19</v>
      </c>
      <c r="E114" s="112">
        <f t="shared" si="16"/>
        <v>18</v>
      </c>
      <c r="F114" s="112">
        <f t="shared" si="17"/>
        <v>15</v>
      </c>
      <c r="G114" s="112">
        <f t="shared" si="18"/>
        <v>14</v>
      </c>
      <c r="H114" s="112">
        <f t="shared" si="19"/>
        <v>13</v>
      </c>
      <c r="I114" s="112">
        <f t="shared" si="20"/>
        <v>10</v>
      </c>
      <c r="J114" s="111">
        <f t="shared" si="15"/>
        <v>111.62962962962963</v>
      </c>
    </row>
    <row r="115" spans="2:10" ht="15" customHeight="1">
      <c r="B115" s="114">
        <v>2031</v>
      </c>
      <c r="C115" s="113">
        <f t="shared" si="14"/>
        <v>22.629629629629633</v>
      </c>
      <c r="D115" s="324">
        <f>ROUND((C114-P50)-(C114*$D$98),0)</f>
        <v>19</v>
      </c>
      <c r="E115" s="112">
        <f t="shared" si="16"/>
        <v>18</v>
      </c>
      <c r="F115" s="112">
        <f t="shared" si="17"/>
        <v>15</v>
      </c>
      <c r="G115" s="112">
        <f t="shared" si="18"/>
        <v>14</v>
      </c>
      <c r="H115" s="112">
        <f t="shared" si="19"/>
        <v>13</v>
      </c>
      <c r="I115" s="112">
        <f t="shared" si="20"/>
        <v>10</v>
      </c>
      <c r="J115" s="111">
        <f t="shared" si="15"/>
        <v>111.62962962962963</v>
      </c>
    </row>
    <row r="116" spans="2:10" ht="15" customHeight="1">
      <c r="B116" s="114">
        <v>2032</v>
      </c>
      <c r="C116" s="113">
        <f t="shared" si="14"/>
        <v>22.629629629629633</v>
      </c>
      <c r="D116" s="324">
        <f>ROUND((C115-Q50)-(C115*$D$98),0)</f>
        <v>19</v>
      </c>
      <c r="E116" s="112">
        <f t="shared" si="16"/>
        <v>18</v>
      </c>
      <c r="F116" s="112">
        <f t="shared" si="17"/>
        <v>15</v>
      </c>
      <c r="G116" s="112">
        <f t="shared" si="18"/>
        <v>14</v>
      </c>
      <c r="H116" s="112">
        <f t="shared" si="19"/>
        <v>13</v>
      </c>
      <c r="I116" s="112">
        <f t="shared" si="20"/>
        <v>10</v>
      </c>
      <c r="J116" s="111">
        <f t="shared" si="15"/>
        <v>111.62962962962963</v>
      </c>
    </row>
    <row r="117" spans="2:10" ht="15" customHeight="1">
      <c r="F117" s="14"/>
      <c r="G117" s="14"/>
    </row>
    <row r="118" spans="2:10" ht="15" customHeight="1">
      <c r="B118" s="15" t="str">
        <f>"Table 4C: "&amp;E3&amp;" Projected Pupil Generation from Housing Development, 2019-2032"</f>
        <v>Table 4C: Colinton Primary School Projected Pupil Generation from Housing Development, 2019-2032</v>
      </c>
      <c r="F118" s="14"/>
      <c r="G118" s="14"/>
    </row>
    <row r="119" spans="2:10" ht="15" customHeight="1">
      <c r="F119" s="14"/>
      <c r="G119" s="14"/>
    </row>
    <row r="120" spans="2:10" ht="15" customHeight="1">
      <c r="B120" s="115"/>
      <c r="C120" s="109" t="s">
        <v>1</v>
      </c>
      <c r="D120" s="109" t="s">
        <v>2</v>
      </c>
      <c r="E120" s="109" t="s">
        <v>3</v>
      </c>
      <c r="F120" s="109" t="s">
        <v>4</v>
      </c>
      <c r="G120" s="109" t="s">
        <v>5</v>
      </c>
      <c r="H120" s="109" t="s">
        <v>6</v>
      </c>
      <c r="I120" s="109" t="s">
        <v>7</v>
      </c>
      <c r="J120" s="109" t="s">
        <v>8</v>
      </c>
    </row>
    <row r="121" spans="2:10" ht="15" customHeight="1">
      <c r="B121" s="114">
        <v>2019</v>
      </c>
      <c r="C121" s="116" t="s">
        <v>97</v>
      </c>
      <c r="D121" s="112">
        <f>VLOOKUP($E$3,'Housing Generation'!$A$3:$BE$90,11,FALSE)</f>
        <v>0</v>
      </c>
      <c r="E121" s="112">
        <f>VLOOKUP($E$3,'Housing Generation'!$A$3:$BE$90,12,FALSE)</f>
        <v>0</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0</v>
      </c>
    </row>
    <row r="122" spans="2:10" ht="15" customHeight="1">
      <c r="B122" s="114">
        <v>2020</v>
      </c>
      <c r="C122" s="116" t="s">
        <v>97</v>
      </c>
      <c r="D122" s="112">
        <f>VLOOKUP($E$3,'Housing Generation'!$A$3:$BE$90,19,FALSE)</f>
        <v>0</v>
      </c>
      <c r="E122" s="112">
        <f>VLOOKUP($E$3,'Housing Generation'!$A$3:$BE$90,20,FALSE)</f>
        <v>0</v>
      </c>
      <c r="F122" s="112">
        <f>VLOOKUP($E$3,'Housing Generation'!$A$3:$BE$90,21,FALSE)</f>
        <v>0</v>
      </c>
      <c r="G122" s="112">
        <f>VLOOKUP($E$3,'Housing Generation'!$A$3:$BE$90,22,FALSE)</f>
        <v>0</v>
      </c>
      <c r="H122" s="112">
        <f>VLOOKUP($E$3,'Housing Generation'!$A$3:$BE$90,23,FALSE)</f>
        <v>0</v>
      </c>
      <c r="I122" s="112">
        <f>VLOOKUP($E$3,'Housing Generation'!$A$3:$BE$90,24,FALSE)</f>
        <v>0</v>
      </c>
      <c r="J122" s="111">
        <f t="shared" si="21"/>
        <v>0</v>
      </c>
    </row>
    <row r="123" spans="2:10" ht="15" customHeight="1">
      <c r="B123" s="114">
        <v>2021</v>
      </c>
      <c r="C123" s="116" t="s">
        <v>97</v>
      </c>
      <c r="D123" s="112">
        <f>VLOOKUP($E$3,'Housing Generation'!$A$3:$BE$90,27,FALSE)</f>
        <v>0</v>
      </c>
      <c r="E123" s="112">
        <f>VLOOKUP($E$3,'Housing Generation'!$A$3:$BE$90,28,FALSE)</f>
        <v>0</v>
      </c>
      <c r="F123" s="112">
        <f>VLOOKUP($E$3,'Housing Generation'!$A$3:$BE$90,29,FALSE)</f>
        <v>0</v>
      </c>
      <c r="G123" s="112">
        <f>VLOOKUP($E$3,'Housing Generation'!$A$3:$BE$90,30,FALSE)</f>
        <v>0</v>
      </c>
      <c r="H123" s="112">
        <f>VLOOKUP($E$3,'Housing Generation'!$A$3:$BE$90,31,FALSE)</f>
        <v>0</v>
      </c>
      <c r="I123" s="112">
        <f>VLOOKUP($E$3,'Housing Generation'!$A$3:$BE$90,32,FALSE)</f>
        <v>0</v>
      </c>
      <c r="J123" s="111">
        <f t="shared" si="21"/>
        <v>0</v>
      </c>
    </row>
    <row r="124" spans="2:10" ht="15" customHeight="1">
      <c r="B124" s="114">
        <v>2022</v>
      </c>
      <c r="C124" s="116" t="s">
        <v>97</v>
      </c>
      <c r="D124" s="112">
        <f>VLOOKUP($E$3,'Housing Generation'!$A$3:$BE$90,35,FALSE)</f>
        <v>0</v>
      </c>
      <c r="E124" s="112">
        <f>VLOOKUP($E$3,'Housing Generation'!$A$3:$BE$90,36,FALSE)</f>
        <v>0</v>
      </c>
      <c r="F124" s="112">
        <f>VLOOKUP($E$3,'Housing Generation'!$A$3:$BE$90,37,FALSE)</f>
        <v>0</v>
      </c>
      <c r="G124" s="112">
        <f>VLOOKUP($E$3,'Housing Generation'!$A$3:$BE$90,38,FALSE)</f>
        <v>0</v>
      </c>
      <c r="H124" s="112">
        <f>VLOOKUP($E$3,'Housing Generation'!$A$3:$BE$90,39,FALSE)</f>
        <v>0</v>
      </c>
      <c r="I124" s="112">
        <f>VLOOKUP($E$3,'Housing Generation'!$A$3:$BE$90,40,FALSE)</f>
        <v>0</v>
      </c>
      <c r="J124" s="111">
        <f t="shared" si="21"/>
        <v>0</v>
      </c>
    </row>
    <row r="125" spans="2:10" ht="15" customHeight="1">
      <c r="B125" s="114">
        <v>2023</v>
      </c>
      <c r="C125" s="116" t="s">
        <v>97</v>
      </c>
      <c r="D125" s="112">
        <f>VLOOKUP($E$3,'Housing Generation'!$A$3:$BE$90,43,FALSE)</f>
        <v>0</v>
      </c>
      <c r="E125" s="112">
        <f>VLOOKUP($E$3,'Housing Generation'!$A$3:$BE$90,44,FALSE)</f>
        <v>0</v>
      </c>
      <c r="F125" s="112">
        <f>VLOOKUP($E$3,'Housing Generation'!$A$3:$BE$90,45,FALSE)</f>
        <v>0</v>
      </c>
      <c r="G125" s="112">
        <f>VLOOKUP($E$3,'Housing Generation'!$A$3:$BE$90,46,FALSE)</f>
        <v>0</v>
      </c>
      <c r="H125" s="112">
        <f>VLOOKUP($E$3,'Housing Generation'!$A$3:$BE$90,47,FALSE)</f>
        <v>0</v>
      </c>
      <c r="I125" s="112">
        <f>VLOOKUP($E$3,'Housing Generation'!$A$3:$BE$90,48,FALSE)</f>
        <v>0</v>
      </c>
      <c r="J125" s="111">
        <f t="shared" si="21"/>
        <v>0</v>
      </c>
    </row>
    <row r="126" spans="2:10" ht="15" customHeight="1">
      <c r="B126" s="114">
        <v>2024</v>
      </c>
      <c r="C126" s="116" t="s">
        <v>97</v>
      </c>
      <c r="D126" s="112">
        <f>VLOOKUP($E$3,'Housing Generation'!$A$3:$BE$90,51,FALSE)</f>
        <v>0</v>
      </c>
      <c r="E126" s="112">
        <f>VLOOKUP($E$3,'Housing Generation'!$A$3:$BE$90,52,FALSE)</f>
        <v>0</v>
      </c>
      <c r="F126" s="112">
        <f>VLOOKUP($E$3,'Housing Generation'!$A$3:$BE$90,53,FALSE)</f>
        <v>0</v>
      </c>
      <c r="G126" s="112">
        <f>VLOOKUP($E$3,'Housing Generation'!$A$3:$BE$90,54,FALSE)</f>
        <v>0</v>
      </c>
      <c r="H126" s="112">
        <f>VLOOKUP($E$3,'Housing Generation'!$A$3:$BE$90,55,FALSE)</f>
        <v>0</v>
      </c>
      <c r="I126" s="112">
        <f>VLOOKUP($E$3,'Housing Generation'!$A$3:$BE$90,56,FALSE)</f>
        <v>0</v>
      </c>
      <c r="J126" s="111">
        <f t="shared" si="21"/>
        <v>0</v>
      </c>
    </row>
    <row r="127" spans="2:10" ht="15" customHeight="1">
      <c r="B127" s="114">
        <v>2025</v>
      </c>
      <c r="C127" s="240" t="s">
        <v>97</v>
      </c>
      <c r="D127" s="112">
        <f>VLOOKUP($E$3,'Housing Generation'!$A$3:$CK$90,59,FALSE)</f>
        <v>0</v>
      </c>
      <c r="E127" s="112">
        <f>VLOOKUP($E$3,'Housing Generation'!$A$3:$CK$90,60,FALSE)</f>
        <v>0</v>
      </c>
      <c r="F127" s="112">
        <f>VLOOKUP($E$3,'Housing Generation'!$A$3:$CK$90,61,FALSE)</f>
        <v>0</v>
      </c>
      <c r="G127" s="112">
        <f>VLOOKUP($E$3,'Housing Generation'!$A$3:$CK$90,62,FALSE)</f>
        <v>0</v>
      </c>
      <c r="H127" s="112">
        <f>VLOOKUP($E$3,'Housing Generation'!$A$3:$CK$90,63,FALSE)</f>
        <v>0</v>
      </c>
      <c r="I127" s="112">
        <f>VLOOKUP($E$3,'Housing Generation'!$A$3:$CK$90,64,FALSE)</f>
        <v>0</v>
      </c>
      <c r="J127" s="111">
        <f t="shared" si="21"/>
        <v>0</v>
      </c>
    </row>
    <row r="128" spans="2:10" ht="15" customHeight="1">
      <c r="B128" s="114">
        <v>2026</v>
      </c>
      <c r="C128" s="240" t="s">
        <v>97</v>
      </c>
      <c r="D128" s="112">
        <f>VLOOKUP($E$3,'Housing Generation'!$A$3:$CK$90,67,FALSE)</f>
        <v>0</v>
      </c>
      <c r="E128" s="112">
        <f>VLOOKUP($E$3,'Housing Generation'!$A$3:$CK$90,68,FALSE)</f>
        <v>0</v>
      </c>
      <c r="F128" s="112">
        <f>VLOOKUP($E$3,'Housing Generation'!$A$3:$CK$90,69,FALSE)</f>
        <v>0</v>
      </c>
      <c r="G128" s="112">
        <f>VLOOKUP($E$3,'Housing Generation'!$A$3:$CK$90,70,FALSE)</f>
        <v>0</v>
      </c>
      <c r="H128" s="112">
        <f>VLOOKUP($E$3,'Housing Generation'!$A$3:$CK$90,71,FALSE)</f>
        <v>0</v>
      </c>
      <c r="I128" s="112">
        <f>VLOOKUP($E$3,'Housing Generation'!$A$3:$CK$90,72,FALSE)</f>
        <v>0</v>
      </c>
      <c r="J128" s="111">
        <f t="shared" si="21"/>
        <v>0</v>
      </c>
    </row>
    <row r="129" spans="2:10" ht="15" customHeight="1">
      <c r="B129" s="114">
        <v>2027</v>
      </c>
      <c r="C129" s="240" t="s">
        <v>97</v>
      </c>
      <c r="D129" s="112">
        <f>VLOOKUP($E$3,'Housing Generation'!$A$3:$CK$90,75,FALSE)</f>
        <v>0</v>
      </c>
      <c r="E129" s="112">
        <f>VLOOKUP($E$3,'Housing Generation'!$A$3:$CK$90,76,FALSE)</f>
        <v>0</v>
      </c>
      <c r="F129" s="112">
        <f>VLOOKUP($E$3,'Housing Generation'!$A$3:$CK$90,77,FALSE)</f>
        <v>0</v>
      </c>
      <c r="G129" s="112">
        <f>VLOOKUP($E$3,'Housing Generation'!$A$3:$CK$90,78,FALSE)</f>
        <v>0</v>
      </c>
      <c r="H129" s="112">
        <f>VLOOKUP($E$3,'Housing Generation'!$A$3:$CK$90,79,FALSE)</f>
        <v>0</v>
      </c>
      <c r="I129" s="112">
        <f>VLOOKUP($E$3,'Housing Generation'!$A$3:$CK$90,80,FALSE)</f>
        <v>0</v>
      </c>
      <c r="J129" s="111">
        <f t="shared" si="21"/>
        <v>0</v>
      </c>
    </row>
    <row r="130" spans="2:10" ht="15" customHeight="1">
      <c r="B130" s="114">
        <v>2028</v>
      </c>
      <c r="C130" s="289" t="s">
        <v>97</v>
      </c>
      <c r="D130" s="112">
        <f>VLOOKUP($E$3,'Housing Generation'!$A$3:$CK$90,83,FALSE)</f>
        <v>0</v>
      </c>
      <c r="E130" s="112">
        <f>VLOOKUP($E$3,'Housing Generation'!$A$3:$CK$90,84,FALSE)</f>
        <v>0</v>
      </c>
      <c r="F130" s="112">
        <f>VLOOKUP($E$3,'Housing Generation'!$A$3:$CK$90,85,FALSE)</f>
        <v>0</v>
      </c>
      <c r="G130" s="112">
        <f>VLOOKUP($E$3,'Housing Generation'!$A$3:$CK$90,86,FALSE)</f>
        <v>0</v>
      </c>
      <c r="H130" s="112">
        <f>VLOOKUP($E$3,'Housing Generation'!$A$3:$CK$90,87,FALSE)</f>
        <v>0</v>
      </c>
      <c r="I130" s="112">
        <f>VLOOKUP($E$3,'Housing Generation'!$A$3:$CK$90,88,FALSE)</f>
        <v>0</v>
      </c>
      <c r="J130" s="111">
        <f t="shared" si="21"/>
        <v>0</v>
      </c>
    </row>
    <row r="131" spans="2:10" ht="15" customHeight="1">
      <c r="B131" s="114">
        <v>2029</v>
      </c>
      <c r="C131" s="289" t="s">
        <v>97</v>
      </c>
      <c r="D131" s="112">
        <f>VLOOKUP($E$3,'Housing Generation'!$A$3:$DQ$90,91,FALSE)</f>
        <v>0</v>
      </c>
      <c r="E131" s="112">
        <f>VLOOKUP($E$3,'Housing Generation'!$A$3:$DQ$90,92,FALSE)</f>
        <v>0</v>
      </c>
      <c r="F131" s="112">
        <f>VLOOKUP($E$3,'Housing Generation'!$A$3:$DQ$90,93,FALSE)</f>
        <v>0</v>
      </c>
      <c r="G131" s="112">
        <f>VLOOKUP($E$3,'Housing Generation'!$A$3:$DQ$90,94,FALSE)</f>
        <v>0</v>
      </c>
      <c r="H131" s="112">
        <f>VLOOKUP($E$3,'Housing Generation'!$A$3:$DQ$90,95,FALSE)</f>
        <v>0</v>
      </c>
      <c r="I131" s="112">
        <f>VLOOKUP($E$3,'Housing Generation'!$A$3:$DQ$90,96,FALSE)</f>
        <v>0</v>
      </c>
      <c r="J131" s="111">
        <f t="shared" si="21"/>
        <v>0</v>
      </c>
    </row>
    <row r="132" spans="2:10" ht="15" customHeight="1">
      <c r="B132" s="114">
        <v>2030</v>
      </c>
      <c r="C132" s="289" t="s">
        <v>97</v>
      </c>
      <c r="D132" s="112">
        <f>VLOOKUP($E$3,'Housing Generation'!$A$3:$DQ$90,99,FALSE)</f>
        <v>0</v>
      </c>
      <c r="E132" s="112">
        <f>VLOOKUP($E$3,'Housing Generation'!$A$3:$DQ$90,100,FALSE)</f>
        <v>0</v>
      </c>
      <c r="F132" s="112">
        <f>VLOOKUP($E$3,'Housing Generation'!$A$3:$DQ$90,101,FALSE)</f>
        <v>0</v>
      </c>
      <c r="G132" s="112">
        <f>VLOOKUP($E$3,'Housing Generation'!$A$3:$DQ$90,102,FALSE)</f>
        <v>0</v>
      </c>
      <c r="H132" s="112">
        <f>VLOOKUP($E$3,'Housing Generation'!$A$3:$DQ$90,103,FALSE)</f>
        <v>0</v>
      </c>
      <c r="I132" s="112">
        <f>VLOOKUP($E$3,'Housing Generation'!$A$3:$DQ$90,104,FALSE)</f>
        <v>0</v>
      </c>
      <c r="J132" s="111">
        <f t="shared" si="21"/>
        <v>0</v>
      </c>
    </row>
    <row r="133" spans="2:10" ht="15" customHeight="1">
      <c r="B133" s="114">
        <v>2031</v>
      </c>
      <c r="C133" s="289" t="s">
        <v>97</v>
      </c>
      <c r="D133" s="112">
        <f>VLOOKUP($E$3,'Housing Generation'!$A$3:$DQ$90,107,FALSE)</f>
        <v>0</v>
      </c>
      <c r="E133" s="112">
        <f>VLOOKUP($E$3,'Housing Generation'!$A$3:$DQ$90,108,FALSE)</f>
        <v>0</v>
      </c>
      <c r="F133" s="112">
        <f>VLOOKUP($E$3,'Housing Generation'!$A$3:$DQ$90,109,FALSE)</f>
        <v>0</v>
      </c>
      <c r="G133" s="112">
        <f>VLOOKUP($E$3,'Housing Generation'!$A$3:$DQ$90,110,FALSE)</f>
        <v>0</v>
      </c>
      <c r="H133" s="112">
        <f>VLOOKUP($E$3,'Housing Generation'!$A$3:$DQ$90,111,FALSE)</f>
        <v>0</v>
      </c>
      <c r="I133" s="112">
        <f>VLOOKUP($E$3,'Housing Generation'!$A$3:$DQ$90,112,FALSE)</f>
        <v>0</v>
      </c>
      <c r="J133" s="111">
        <f t="shared" si="21"/>
        <v>0</v>
      </c>
    </row>
    <row r="134" spans="2:10" ht="15" customHeight="1">
      <c r="B134" s="114">
        <v>2032</v>
      </c>
      <c r="C134" s="289" t="s">
        <v>97</v>
      </c>
      <c r="D134" s="112">
        <f>VLOOKUP($E$3,'Housing Generation'!$A$3:$DQ$90,115,FALSE)</f>
        <v>0</v>
      </c>
      <c r="E134" s="112">
        <f>VLOOKUP($E$3,'Housing Generation'!$A$3:$DQ$90,116,FALSE)</f>
        <v>0</v>
      </c>
      <c r="F134" s="112">
        <f>VLOOKUP($E$3,'Housing Generation'!$A$3:$DQ$90,117,FALSE)</f>
        <v>0</v>
      </c>
      <c r="G134" s="112">
        <f>VLOOKUP($E$3,'Housing Generation'!$A$3:$DQ$90,118,FALSE)</f>
        <v>0</v>
      </c>
      <c r="H134" s="112">
        <f>VLOOKUP($E$3,'Housing Generation'!$A$3:$DQ$90,119,FALSE)</f>
        <v>0</v>
      </c>
      <c r="I134" s="112">
        <f>VLOOKUP($E$3,'Housing Generation'!$A$3:$DQ$90,120,FALSE)</f>
        <v>0</v>
      </c>
      <c r="J134" s="111">
        <f t="shared" si="21"/>
        <v>0</v>
      </c>
    </row>
    <row r="135" spans="2:10" ht="15" hidden="1"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Colinton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20.285185185185185</v>
      </c>
      <c r="D139" s="112">
        <f t="shared" ref="D139:I152" si="23">D121+D103</f>
        <v>20</v>
      </c>
      <c r="E139" s="112">
        <f t="shared" si="23"/>
        <v>31</v>
      </c>
      <c r="F139" s="112">
        <f t="shared" si="23"/>
        <v>20</v>
      </c>
      <c r="G139" s="112">
        <f t="shared" si="23"/>
        <v>27</v>
      </c>
      <c r="H139" s="112">
        <f t="shared" si="23"/>
        <v>14</v>
      </c>
      <c r="I139" s="112">
        <f t="shared" si="23"/>
        <v>10</v>
      </c>
      <c r="J139" s="111">
        <f t="shared" ref="J139:J147" si="24">SUM(C139:I139)</f>
        <v>142.28518518518518</v>
      </c>
    </row>
    <row r="140" spans="2:10" ht="15" customHeight="1">
      <c r="B140" s="114">
        <v>2020</v>
      </c>
      <c r="C140" s="113">
        <f t="shared" si="22"/>
        <v>19.503703703703707</v>
      </c>
      <c r="D140" s="112">
        <f t="shared" si="23"/>
        <v>17</v>
      </c>
      <c r="E140" s="112">
        <f t="shared" si="23"/>
        <v>19</v>
      </c>
      <c r="F140" s="112">
        <f t="shared" si="23"/>
        <v>25</v>
      </c>
      <c r="G140" s="112">
        <f t="shared" si="23"/>
        <v>18</v>
      </c>
      <c r="H140" s="112">
        <f t="shared" si="23"/>
        <v>25</v>
      </c>
      <c r="I140" s="112">
        <f t="shared" si="23"/>
        <v>11</v>
      </c>
      <c r="J140" s="111">
        <f t="shared" si="24"/>
        <v>134.50370370370371</v>
      </c>
    </row>
    <row r="141" spans="2:10" ht="15" customHeight="1">
      <c r="B141" s="114">
        <v>2021</v>
      </c>
      <c r="C141" s="113">
        <f t="shared" si="22"/>
        <v>25</v>
      </c>
      <c r="D141" s="112">
        <f t="shared" si="23"/>
        <v>17</v>
      </c>
      <c r="E141" s="112">
        <f t="shared" si="23"/>
        <v>16</v>
      </c>
      <c r="F141" s="112">
        <f t="shared" si="23"/>
        <v>16</v>
      </c>
      <c r="G141" s="112">
        <f t="shared" si="23"/>
        <v>23</v>
      </c>
      <c r="H141" s="112">
        <f t="shared" si="23"/>
        <v>16</v>
      </c>
      <c r="I141" s="112">
        <f t="shared" si="23"/>
        <v>20</v>
      </c>
      <c r="J141" s="111">
        <f t="shared" si="24"/>
        <v>133</v>
      </c>
    </row>
    <row r="142" spans="2:10" ht="15" customHeight="1">
      <c r="B142" s="114">
        <v>2022</v>
      </c>
      <c r="C142" s="113">
        <f t="shared" si="22"/>
        <v>19.503703703703707</v>
      </c>
      <c r="D142" s="112">
        <f t="shared" si="23"/>
        <v>21</v>
      </c>
      <c r="E142" s="112">
        <f t="shared" si="23"/>
        <v>16</v>
      </c>
      <c r="F142" s="112">
        <f t="shared" si="23"/>
        <v>13</v>
      </c>
      <c r="G142" s="112">
        <f t="shared" si="23"/>
        <v>14</v>
      </c>
      <c r="H142" s="112">
        <f t="shared" si="23"/>
        <v>21</v>
      </c>
      <c r="I142" s="112">
        <f t="shared" si="23"/>
        <v>13</v>
      </c>
      <c r="J142" s="111">
        <f t="shared" si="24"/>
        <v>117.50370370370371</v>
      </c>
    </row>
    <row r="143" spans="2:10" ht="15" customHeight="1">
      <c r="B143" s="114">
        <v>2023</v>
      </c>
      <c r="C143" s="113">
        <f t="shared" si="22"/>
        <v>21.848148148148148</v>
      </c>
      <c r="D143" s="112">
        <f t="shared" si="23"/>
        <v>17</v>
      </c>
      <c r="E143" s="112">
        <f t="shared" si="23"/>
        <v>20</v>
      </c>
      <c r="F143" s="112">
        <f t="shared" si="23"/>
        <v>13</v>
      </c>
      <c r="G143" s="112">
        <f t="shared" si="23"/>
        <v>12</v>
      </c>
      <c r="H143" s="112">
        <f t="shared" si="23"/>
        <v>13</v>
      </c>
      <c r="I143" s="112">
        <f t="shared" si="23"/>
        <v>17</v>
      </c>
      <c r="J143" s="111">
        <f t="shared" si="24"/>
        <v>113.84814814814814</v>
      </c>
    </row>
    <row r="144" spans="2:10" ht="15" customHeight="1">
      <c r="B144" s="114">
        <v>2024</v>
      </c>
      <c r="C144" s="113">
        <f t="shared" si="22"/>
        <v>21.848148148148148</v>
      </c>
      <c r="D144" s="112">
        <f t="shared" si="23"/>
        <v>19</v>
      </c>
      <c r="E144" s="112">
        <f t="shared" si="23"/>
        <v>16</v>
      </c>
      <c r="F144" s="112">
        <f t="shared" si="23"/>
        <v>16</v>
      </c>
      <c r="G144" s="112">
        <f t="shared" si="23"/>
        <v>12</v>
      </c>
      <c r="H144" s="112">
        <f t="shared" si="23"/>
        <v>11</v>
      </c>
      <c r="I144" s="112">
        <f t="shared" si="23"/>
        <v>10</v>
      </c>
      <c r="J144" s="111">
        <f t="shared" si="24"/>
        <v>105.84814814814814</v>
      </c>
    </row>
    <row r="145" spans="2:16" ht="15" customHeight="1">
      <c r="B145" s="114">
        <v>2025</v>
      </c>
      <c r="C145" s="113">
        <f t="shared" si="22"/>
        <v>22.629629629629633</v>
      </c>
      <c r="D145" s="112">
        <f t="shared" si="23"/>
        <v>19</v>
      </c>
      <c r="E145" s="112">
        <f t="shared" si="23"/>
        <v>18</v>
      </c>
      <c r="F145" s="112">
        <f t="shared" si="23"/>
        <v>13</v>
      </c>
      <c r="G145" s="112">
        <f t="shared" si="23"/>
        <v>14</v>
      </c>
      <c r="H145" s="112">
        <f t="shared" si="23"/>
        <v>11</v>
      </c>
      <c r="I145" s="112">
        <f t="shared" si="23"/>
        <v>9</v>
      </c>
      <c r="J145" s="111">
        <f t="shared" si="24"/>
        <v>106.62962962962963</v>
      </c>
    </row>
    <row r="146" spans="2:16" ht="15" customHeight="1">
      <c r="B146" s="114">
        <v>2026</v>
      </c>
      <c r="C146" s="113">
        <f t="shared" si="22"/>
        <v>22.629629629629633</v>
      </c>
      <c r="D146" s="112">
        <f t="shared" si="23"/>
        <v>19</v>
      </c>
      <c r="E146" s="112">
        <f t="shared" si="23"/>
        <v>18</v>
      </c>
      <c r="F146" s="112">
        <f t="shared" si="23"/>
        <v>15</v>
      </c>
      <c r="G146" s="112">
        <f t="shared" si="23"/>
        <v>12</v>
      </c>
      <c r="H146" s="112">
        <f t="shared" si="23"/>
        <v>13</v>
      </c>
      <c r="I146" s="112">
        <f t="shared" si="23"/>
        <v>9</v>
      </c>
      <c r="J146" s="111">
        <f t="shared" si="24"/>
        <v>108.62962962962963</v>
      </c>
    </row>
    <row r="147" spans="2:16" ht="15" customHeight="1">
      <c r="B147" s="114">
        <v>2027</v>
      </c>
      <c r="C147" s="113">
        <f t="shared" si="22"/>
        <v>22.629629629629633</v>
      </c>
      <c r="D147" s="112">
        <f t="shared" si="23"/>
        <v>19</v>
      </c>
      <c r="E147" s="112">
        <f t="shared" si="23"/>
        <v>18</v>
      </c>
      <c r="F147" s="112">
        <f t="shared" si="23"/>
        <v>15</v>
      </c>
      <c r="G147" s="112">
        <f t="shared" si="23"/>
        <v>14</v>
      </c>
      <c r="H147" s="112">
        <f t="shared" si="23"/>
        <v>11</v>
      </c>
      <c r="I147" s="112">
        <f t="shared" si="23"/>
        <v>10</v>
      </c>
      <c r="J147" s="111">
        <f t="shared" si="24"/>
        <v>109.62962962962963</v>
      </c>
    </row>
    <row r="148" spans="2:16" ht="15" customHeight="1">
      <c r="B148" s="114">
        <v>2028</v>
      </c>
      <c r="C148" s="113">
        <f t="shared" si="22"/>
        <v>22.629629629629633</v>
      </c>
      <c r="D148" s="112">
        <f t="shared" si="23"/>
        <v>19</v>
      </c>
      <c r="E148" s="112">
        <f t="shared" si="23"/>
        <v>18</v>
      </c>
      <c r="F148" s="112">
        <f t="shared" si="23"/>
        <v>15</v>
      </c>
      <c r="G148" s="112">
        <f t="shared" si="23"/>
        <v>14</v>
      </c>
      <c r="H148" s="112">
        <f t="shared" si="23"/>
        <v>13</v>
      </c>
      <c r="I148" s="112">
        <f t="shared" si="23"/>
        <v>9</v>
      </c>
      <c r="J148" s="111">
        <f t="shared" ref="J148:J152" si="25">SUM(C148:I148)</f>
        <v>110.62962962962963</v>
      </c>
    </row>
    <row r="149" spans="2:16" ht="15" customHeight="1">
      <c r="B149" s="114">
        <v>2029</v>
      </c>
      <c r="C149" s="113">
        <f t="shared" si="22"/>
        <v>22.629629629629633</v>
      </c>
      <c r="D149" s="112">
        <f t="shared" si="23"/>
        <v>19</v>
      </c>
      <c r="E149" s="112">
        <f t="shared" si="23"/>
        <v>18</v>
      </c>
      <c r="F149" s="112">
        <f t="shared" si="23"/>
        <v>15</v>
      </c>
      <c r="G149" s="112">
        <f t="shared" si="23"/>
        <v>14</v>
      </c>
      <c r="H149" s="112">
        <f t="shared" si="23"/>
        <v>13</v>
      </c>
      <c r="I149" s="112">
        <f t="shared" si="23"/>
        <v>10</v>
      </c>
      <c r="J149" s="111">
        <f t="shared" si="25"/>
        <v>111.62962962962963</v>
      </c>
    </row>
    <row r="150" spans="2:16" ht="15" customHeight="1">
      <c r="B150" s="114">
        <v>2030</v>
      </c>
      <c r="C150" s="113">
        <f t="shared" si="22"/>
        <v>22.629629629629633</v>
      </c>
      <c r="D150" s="112">
        <f t="shared" si="23"/>
        <v>19</v>
      </c>
      <c r="E150" s="112">
        <f t="shared" si="23"/>
        <v>18</v>
      </c>
      <c r="F150" s="112">
        <f t="shared" si="23"/>
        <v>15</v>
      </c>
      <c r="G150" s="112">
        <f t="shared" si="23"/>
        <v>14</v>
      </c>
      <c r="H150" s="112">
        <f t="shared" si="23"/>
        <v>13</v>
      </c>
      <c r="I150" s="112">
        <f t="shared" si="23"/>
        <v>10</v>
      </c>
      <c r="J150" s="111">
        <f t="shared" si="25"/>
        <v>111.62962962962963</v>
      </c>
    </row>
    <row r="151" spans="2:16" ht="15" customHeight="1">
      <c r="B151" s="114">
        <v>2031</v>
      </c>
      <c r="C151" s="113">
        <f t="shared" si="22"/>
        <v>22.629629629629633</v>
      </c>
      <c r="D151" s="112">
        <f t="shared" si="23"/>
        <v>19</v>
      </c>
      <c r="E151" s="112">
        <f t="shared" si="23"/>
        <v>18</v>
      </c>
      <c r="F151" s="112">
        <f t="shared" si="23"/>
        <v>15</v>
      </c>
      <c r="G151" s="112">
        <f t="shared" si="23"/>
        <v>14</v>
      </c>
      <c r="H151" s="112">
        <f t="shared" si="23"/>
        <v>13</v>
      </c>
      <c r="I151" s="112">
        <f t="shared" si="23"/>
        <v>10</v>
      </c>
      <c r="J151" s="111">
        <f t="shared" si="25"/>
        <v>111.62962962962963</v>
      </c>
    </row>
    <row r="152" spans="2:16" ht="15" customHeight="1">
      <c r="B152" s="114">
        <v>2032</v>
      </c>
      <c r="C152" s="113">
        <f t="shared" si="22"/>
        <v>22.629629629629633</v>
      </c>
      <c r="D152" s="112">
        <f t="shared" si="23"/>
        <v>19</v>
      </c>
      <c r="E152" s="112">
        <f t="shared" si="23"/>
        <v>18</v>
      </c>
      <c r="F152" s="112">
        <f t="shared" si="23"/>
        <v>15</v>
      </c>
      <c r="G152" s="112">
        <f t="shared" si="23"/>
        <v>14</v>
      </c>
      <c r="H152" s="112">
        <f t="shared" si="23"/>
        <v>13</v>
      </c>
      <c r="I152" s="112">
        <f t="shared" si="23"/>
        <v>10</v>
      </c>
      <c r="J152" s="111">
        <f t="shared" si="25"/>
        <v>111.62962962962963</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142.28518518518518</v>
      </c>
      <c r="D159" s="108">
        <f>J140</f>
        <v>134.50370370370371</v>
      </c>
      <c r="E159" s="108">
        <f>J141</f>
        <v>133</v>
      </c>
      <c r="F159" s="108">
        <f>J142</f>
        <v>117.50370370370371</v>
      </c>
      <c r="G159" s="108">
        <f>J143</f>
        <v>113.84814814814814</v>
      </c>
      <c r="H159" s="108">
        <f>J144</f>
        <v>105.84814814814814</v>
      </c>
      <c r="I159" s="108">
        <f>J145</f>
        <v>106.62962962962963</v>
      </c>
      <c r="J159" s="108">
        <f>J146</f>
        <v>108.62962962962963</v>
      </c>
      <c r="K159" s="108">
        <f>J147</f>
        <v>109.62962962962963</v>
      </c>
      <c r="L159" s="108">
        <f>J148</f>
        <v>110.62962962962963</v>
      </c>
      <c r="M159" s="108">
        <f>J149</f>
        <v>111.62962962962963</v>
      </c>
      <c r="N159" s="108">
        <f>J150</f>
        <v>111.62962962962963</v>
      </c>
      <c r="O159" s="108">
        <f>J151</f>
        <v>111.62962962962963</v>
      </c>
      <c r="P159" s="108">
        <f>J152</f>
        <v>111.62962962962963</v>
      </c>
    </row>
    <row r="160" spans="2:16" ht="15" customHeight="1">
      <c r="B160" s="107" t="s">
        <v>152</v>
      </c>
      <c r="C160" s="106">
        <f>VLOOKUP(C159,Capacity!$A$1:$C$645,2,TRUE)</f>
        <v>7</v>
      </c>
      <c r="D160" s="106">
        <f>VLOOKUP(D159,Capacity!$A$1:$C$645,2,TRUE)</f>
        <v>6</v>
      </c>
      <c r="E160" s="106">
        <f>VLOOKUP(E159,Capacity!$A$1:$C$645,2,TRUE)</f>
        <v>6</v>
      </c>
      <c r="F160" s="106">
        <f>VLOOKUP(F159,Capacity!$A$1:$C$645,2,TRUE)</f>
        <v>6</v>
      </c>
      <c r="G160" s="106">
        <f>VLOOKUP(G159,Capacity!$A$1:$C$645,2,TRUE)</f>
        <v>6</v>
      </c>
      <c r="H160" s="106">
        <f>VLOOKUP(H159,Capacity!$A$1:$C$645,2,TRUE)</f>
        <v>5</v>
      </c>
      <c r="I160" s="106">
        <f>VLOOKUP(I159,Capacity!$A$1:$C$645,2,TRUE)</f>
        <v>5</v>
      </c>
      <c r="J160" s="106">
        <f>VLOOKUP(J159,Capacity!$A$1:$C$645,2,TRUE)</f>
        <v>5</v>
      </c>
      <c r="K160" s="106">
        <f>VLOOKUP(K159,Capacity!$A$1:$C$645,2,TRUE)</f>
        <v>5</v>
      </c>
      <c r="L160" s="106">
        <f>VLOOKUP(L159,Capacity!$A$1:$C$645,2,TRUE)</f>
        <v>5</v>
      </c>
      <c r="M160" s="106">
        <f>VLOOKUP(M159,Capacity!$A$1:$C$645,2,TRUE)</f>
        <v>5</v>
      </c>
      <c r="N160" s="106">
        <f>VLOOKUP(N159,Capacity!$A$1:$C$645,2,TRUE)</f>
        <v>5</v>
      </c>
      <c r="O160" s="106">
        <f>VLOOKUP(O159,Capacity!$A$1:$C$645,2,TRUE)</f>
        <v>5</v>
      </c>
      <c r="P160" s="106">
        <f>VLOOKUP(P159,Capacity!$A$1:$C$645,2,TRUE)</f>
        <v>5</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63</v>
      </c>
      <c r="D169" s="97">
        <f>VLOOKUP($E$3,'Catchment Births'!$A$1:$U$90,11,FALSE)</f>
        <v>63</v>
      </c>
      <c r="E169" s="97">
        <f>VLOOKUP($E$3,'Catchment Births'!$A$1:$U$90,12,FALSE)</f>
        <v>52</v>
      </c>
      <c r="F169" s="97">
        <f>VLOOKUP($E$3,'Catchment Births'!$A$1:$U$90,13,FALSE)</f>
        <v>54</v>
      </c>
      <c r="G169" s="97">
        <f>VLOOKUP($E$3,'Catchment Births'!$A$1:$U$90,14,FALSE)</f>
        <v>60</v>
      </c>
      <c r="H169" s="97">
        <f>VLOOKUP($E$3,'Catchment Births'!$A$1:$U$90,15,FALSE)</f>
        <v>50</v>
      </c>
      <c r="I169" s="97">
        <f>VLOOKUP($E$3,'Catchment Births'!$A$1:$U$90,16,FALSE)</f>
        <v>55</v>
      </c>
      <c r="J169" s="97">
        <f>VLOOKUP($E$3,'Catchment Births'!$A$1:$U$90,17,FALSE)</f>
        <v>77</v>
      </c>
      <c r="K169" s="97">
        <f>VLOOKUP($E$3,'Catchment Births'!$A$1:$U$90,18,FALSE)</f>
        <v>54</v>
      </c>
      <c r="L169" s="97">
        <f>VLOOKUP($E$3,'Catchment Births'!$A$1:$U$90,19,FALSE)</f>
        <v>57</v>
      </c>
      <c r="M169" s="97">
        <f>VLOOKUP($E$3,'Catchment Births'!$A$1:$U$90,20,FALSE)</f>
        <v>41</v>
      </c>
      <c r="N169" s="97">
        <f>VLOOKUP($E$3,'Catchment Births'!$A$1:$U$90,21,FALSE)</f>
        <v>40</v>
      </c>
    </row>
    <row r="170" spans="2:14" ht="58.5" customHeight="1">
      <c r="B170" s="103" t="str">
        <f>"P1 "&amp;A35&amp;" Catchment Population (Actual)"</f>
        <v>P1 ND Catchment Population (Actual)</v>
      </c>
      <c r="C170" s="102" t="e">
        <v>#REF!</v>
      </c>
      <c r="D170" s="102">
        <v>31</v>
      </c>
      <c r="E170" s="102">
        <v>41</v>
      </c>
      <c r="F170" s="102">
        <v>32</v>
      </c>
      <c r="G170" s="102">
        <v>37</v>
      </c>
      <c r="H170" s="102">
        <v>20</v>
      </c>
      <c r="I170" s="102">
        <v>28</v>
      </c>
      <c r="J170" s="308">
        <f>VLOOKUP(E3,'Catchment Projections'!A1:BU92,42,FALSE)</f>
        <v>27</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28</v>
      </c>
      <c r="J172" s="96" t="e">
        <f>#REF!</f>
        <v>#REF!</v>
      </c>
      <c r="K172" s="96">
        <f>D51</f>
        <v>17</v>
      </c>
      <c r="L172" s="96">
        <f>E51</f>
        <v>16</v>
      </c>
      <c r="M172" s="96">
        <f>F51</f>
        <v>25</v>
      </c>
      <c r="N172" s="96">
        <f>G51</f>
        <v>16</v>
      </c>
    </row>
    <row r="173" spans="2:14" ht="12.75">
      <c r="B173" s="62"/>
      <c r="C173" s="62"/>
      <c r="D173" s="62"/>
      <c r="E173" s="62"/>
      <c r="F173" s="62"/>
      <c r="G173" s="62"/>
      <c r="H173" s="62"/>
      <c r="I173" s="62"/>
      <c r="J173" s="62"/>
      <c r="K173" s="62"/>
    </row>
    <row r="174" spans="2:14" ht="15" customHeight="1">
      <c r="B174" s="64" t="str">
        <f>"Table 5: "&amp;E3&amp;" Roll by Stage, 2002-2018"</f>
        <v>Table 5: Colinton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41</v>
      </c>
      <c r="D177" s="93">
        <v>29</v>
      </c>
      <c r="E177" s="93">
        <v>31</v>
      </c>
      <c r="F177" s="93">
        <v>28</v>
      </c>
      <c r="G177" s="93">
        <v>24</v>
      </c>
      <c r="H177" s="93">
        <v>37</v>
      </c>
      <c r="I177" s="93">
        <v>27</v>
      </c>
      <c r="J177" s="92">
        <v>217</v>
      </c>
      <c r="K177" s="62"/>
    </row>
    <row r="178" spans="2:11" ht="15" customHeight="1">
      <c r="B178" s="94">
        <v>2003</v>
      </c>
      <c r="C178" s="93">
        <v>42</v>
      </c>
      <c r="D178" s="93">
        <v>32</v>
      </c>
      <c r="E178" s="93">
        <v>30</v>
      </c>
      <c r="F178" s="93">
        <v>27</v>
      </c>
      <c r="G178" s="93">
        <v>21</v>
      </c>
      <c r="H178" s="93">
        <v>21</v>
      </c>
      <c r="I178" s="93">
        <v>33</v>
      </c>
      <c r="J178" s="92">
        <v>206</v>
      </c>
      <c r="K178" s="62"/>
    </row>
    <row r="179" spans="2:11" customFormat="1" ht="15" customHeight="1">
      <c r="B179" s="94">
        <v>2004</v>
      </c>
      <c r="C179" s="95">
        <v>30</v>
      </c>
      <c r="D179" s="95">
        <v>32</v>
      </c>
      <c r="E179" s="95">
        <v>34</v>
      </c>
      <c r="F179" s="95">
        <v>21</v>
      </c>
      <c r="G179" s="95">
        <v>23</v>
      </c>
      <c r="H179" s="95">
        <v>20</v>
      </c>
      <c r="I179" s="95">
        <v>16</v>
      </c>
      <c r="J179" s="92">
        <v>176</v>
      </c>
      <c r="K179" s="62"/>
    </row>
    <row r="180" spans="2:11" customFormat="1" ht="15" customHeight="1">
      <c r="B180" s="94">
        <v>2005</v>
      </c>
      <c r="C180" s="93">
        <v>31</v>
      </c>
      <c r="D180" s="93">
        <v>37</v>
      </c>
      <c r="E180" s="93">
        <v>27</v>
      </c>
      <c r="F180" s="93">
        <v>29</v>
      </c>
      <c r="G180" s="93">
        <v>20</v>
      </c>
      <c r="H180" s="93">
        <v>21</v>
      </c>
      <c r="I180" s="93">
        <v>19</v>
      </c>
      <c r="J180" s="92">
        <v>184</v>
      </c>
      <c r="K180" s="62"/>
    </row>
    <row r="181" spans="2:11" customFormat="1" ht="15" customHeight="1">
      <c r="B181" s="94">
        <v>2006</v>
      </c>
      <c r="C181" s="93">
        <v>29</v>
      </c>
      <c r="D181" s="93">
        <v>36</v>
      </c>
      <c r="E181" s="93">
        <v>38</v>
      </c>
      <c r="F181" s="93">
        <v>20</v>
      </c>
      <c r="G181" s="93">
        <v>31</v>
      </c>
      <c r="H181" s="93">
        <v>20</v>
      </c>
      <c r="I181" s="93">
        <v>18</v>
      </c>
      <c r="J181" s="92">
        <v>192</v>
      </c>
      <c r="K181" s="62"/>
    </row>
    <row r="182" spans="2:11" customFormat="1" ht="15" customHeight="1">
      <c r="B182" s="94">
        <v>2007</v>
      </c>
      <c r="C182" s="93">
        <v>21</v>
      </c>
      <c r="D182" s="93">
        <v>22</v>
      </c>
      <c r="E182" s="93">
        <v>27</v>
      </c>
      <c r="F182" s="93">
        <v>27</v>
      </c>
      <c r="G182" s="93">
        <v>19</v>
      </c>
      <c r="H182" s="93">
        <v>26</v>
      </c>
      <c r="I182" s="93">
        <v>18</v>
      </c>
      <c r="J182" s="92">
        <v>160</v>
      </c>
      <c r="K182" s="62"/>
    </row>
    <row r="183" spans="2:11" customFormat="1" ht="15" customHeight="1">
      <c r="B183" s="94">
        <v>2008</v>
      </c>
      <c r="C183" s="93">
        <v>21</v>
      </c>
      <c r="D183" s="93">
        <v>20</v>
      </c>
      <c r="E183" s="93">
        <v>19</v>
      </c>
      <c r="F183" s="93">
        <v>26</v>
      </c>
      <c r="G183" s="93">
        <v>22</v>
      </c>
      <c r="H183" s="93">
        <v>22</v>
      </c>
      <c r="I183" s="93">
        <v>21</v>
      </c>
      <c r="J183" s="92">
        <v>151</v>
      </c>
      <c r="K183" s="62"/>
    </row>
    <row r="184" spans="2:11" customFormat="1" ht="15" customHeight="1">
      <c r="B184" s="94">
        <v>2009</v>
      </c>
      <c r="C184" s="93">
        <v>20</v>
      </c>
      <c r="D184" s="93">
        <v>20</v>
      </c>
      <c r="E184" s="93">
        <v>21</v>
      </c>
      <c r="F184" s="93">
        <v>21</v>
      </c>
      <c r="G184" s="93">
        <v>23</v>
      </c>
      <c r="H184" s="93">
        <v>25</v>
      </c>
      <c r="I184" s="93">
        <v>18</v>
      </c>
      <c r="J184" s="94">
        <v>148</v>
      </c>
      <c r="K184" s="62"/>
    </row>
    <row r="185" spans="2:11" customFormat="1" ht="15" customHeight="1">
      <c r="B185" s="94">
        <v>2010</v>
      </c>
      <c r="C185" s="93">
        <v>21</v>
      </c>
      <c r="D185" s="93">
        <v>19</v>
      </c>
      <c r="E185" s="93">
        <v>18</v>
      </c>
      <c r="F185" s="93">
        <v>19</v>
      </c>
      <c r="G185" s="93">
        <v>15</v>
      </c>
      <c r="H185" s="93">
        <v>18</v>
      </c>
      <c r="I185" s="93">
        <v>20</v>
      </c>
      <c r="J185" s="92">
        <v>130</v>
      </c>
      <c r="K185" s="62"/>
    </row>
    <row r="186" spans="2:11" customFormat="1" ht="15" customHeight="1">
      <c r="B186" s="94">
        <v>2011</v>
      </c>
      <c r="C186" s="93">
        <v>30</v>
      </c>
      <c r="D186" s="93">
        <v>21</v>
      </c>
      <c r="E186" s="93">
        <v>19</v>
      </c>
      <c r="F186" s="93">
        <v>12</v>
      </c>
      <c r="G186" s="93">
        <v>16</v>
      </c>
      <c r="H186" s="93">
        <v>14</v>
      </c>
      <c r="I186" s="93">
        <v>16</v>
      </c>
      <c r="J186" s="92">
        <v>128</v>
      </c>
      <c r="K186" s="62"/>
    </row>
    <row r="187" spans="2:11" customFormat="1" ht="15" customHeight="1">
      <c r="B187" s="94">
        <v>2012</v>
      </c>
      <c r="C187" s="93">
        <v>31</v>
      </c>
      <c r="D187" s="93">
        <v>32</v>
      </c>
      <c r="E187" s="93">
        <v>26</v>
      </c>
      <c r="F187" s="93">
        <v>16</v>
      </c>
      <c r="G187" s="93">
        <v>17</v>
      </c>
      <c r="H187" s="93">
        <v>17</v>
      </c>
      <c r="I187" s="93">
        <v>16</v>
      </c>
      <c r="J187" s="92">
        <v>155</v>
      </c>
      <c r="K187" s="62"/>
    </row>
    <row r="188" spans="2:11" customFormat="1" ht="15" customHeight="1">
      <c r="B188" s="94">
        <v>2013</v>
      </c>
      <c r="C188" s="93">
        <v>27</v>
      </c>
      <c r="D188" s="93">
        <v>22</v>
      </c>
      <c r="E188" s="93">
        <v>33</v>
      </c>
      <c r="F188" s="93">
        <v>22</v>
      </c>
      <c r="G188" s="93">
        <v>17</v>
      </c>
      <c r="H188" s="93">
        <v>17</v>
      </c>
      <c r="I188" s="93">
        <v>14</v>
      </c>
      <c r="J188" s="94">
        <v>152</v>
      </c>
      <c r="K188" s="62"/>
    </row>
    <row r="189" spans="2:11" customFormat="1" ht="15" customHeight="1">
      <c r="B189" s="94">
        <v>2014</v>
      </c>
      <c r="C189" s="93">
        <v>28</v>
      </c>
      <c r="D189" s="93">
        <v>25</v>
      </c>
      <c r="E189" s="93">
        <v>21</v>
      </c>
      <c r="F189" s="93">
        <v>21</v>
      </c>
      <c r="G189" s="93">
        <v>16</v>
      </c>
      <c r="H189" s="93">
        <v>16</v>
      </c>
      <c r="I189" s="93">
        <v>11</v>
      </c>
      <c r="J189" s="92">
        <v>138</v>
      </c>
      <c r="K189" s="65"/>
    </row>
    <row r="190" spans="2:11" customFormat="1" ht="15" customHeight="1">
      <c r="B190" s="94">
        <v>2015</v>
      </c>
      <c r="C190" s="93">
        <v>42</v>
      </c>
      <c r="D190" s="93">
        <v>23</v>
      </c>
      <c r="E190" s="93">
        <v>24</v>
      </c>
      <c r="F190" s="93">
        <v>20</v>
      </c>
      <c r="G190" s="93">
        <v>23</v>
      </c>
      <c r="H190" s="93">
        <v>14</v>
      </c>
      <c r="I190" s="93">
        <v>12</v>
      </c>
      <c r="J190" s="92">
        <v>158</v>
      </c>
      <c r="K190" s="65"/>
    </row>
    <row r="191" spans="2:11" customFormat="1" ht="15" customHeight="1">
      <c r="B191" s="94">
        <v>2016</v>
      </c>
      <c r="C191" s="93">
        <v>28</v>
      </c>
      <c r="D191" s="93">
        <v>33</v>
      </c>
      <c r="E191" s="93">
        <v>22</v>
      </c>
      <c r="F191" s="93">
        <v>16</v>
      </c>
      <c r="G191" s="93">
        <v>18</v>
      </c>
      <c r="H191" s="93">
        <v>21</v>
      </c>
      <c r="I191" s="93">
        <v>11</v>
      </c>
      <c r="J191" s="92">
        <v>149</v>
      </c>
      <c r="K191" s="65"/>
    </row>
    <row r="192" spans="2:11" ht="15" customHeight="1">
      <c r="B192" s="94">
        <v>2017</v>
      </c>
      <c r="C192" s="93">
        <f>VLOOKUP($E$3,Rolls!A1:FA90,42,FALSE)</f>
        <v>25</v>
      </c>
      <c r="D192" s="93">
        <f>VLOOKUP($E$3,Rolls!A1:FA90,43,FALSE)</f>
        <v>24</v>
      </c>
      <c r="E192" s="93">
        <f>VLOOKUP($E$3,Rolls!A1:FA90,44,FALSE)</f>
        <v>31</v>
      </c>
      <c r="F192" s="93">
        <f>VLOOKUP($E$3,Rolls!A1:FA90,45,FALSE)</f>
        <v>18</v>
      </c>
      <c r="G192" s="93">
        <f>VLOOKUP($E$3,Rolls!A1:FA90,46,FALSE)</f>
        <v>15</v>
      </c>
      <c r="H192" s="93">
        <f>VLOOKUP($E$3,Rolls!A1:FA90,47,FALSE)</f>
        <v>22</v>
      </c>
      <c r="I192" s="93">
        <f>VLOOKUP($E$3,Rolls!A1:FA90,48,FALSE)</f>
        <v>18</v>
      </c>
      <c r="J192" s="92">
        <f>VLOOKUP($E$3,Rolls!A1:FA90,49,FALSE)</f>
        <v>153</v>
      </c>
      <c r="K192" s="65"/>
    </row>
    <row r="193" spans="2:11" ht="15" customHeight="1">
      <c r="B193" s="94">
        <v>2018</v>
      </c>
      <c r="C193" s="93">
        <f>VLOOKUP($E$3,Rolls!A1:FA90,50,FALSE)</f>
        <v>23</v>
      </c>
      <c r="D193" s="93">
        <f>VLOOKUP($E$3,Rolls!A1:FA90,51,FALSE)</f>
        <v>32</v>
      </c>
      <c r="E193" s="93">
        <f>VLOOKUP($E$3,Rolls!A1:FA90,52,FALSE)</f>
        <v>24</v>
      </c>
      <c r="F193" s="93">
        <f>VLOOKUP($E$3,Rolls!A1:FA90,53,FALSE)</f>
        <v>30</v>
      </c>
      <c r="G193" s="93">
        <f>VLOOKUP($E$3,Rolls!A1:FA90,54,FALSE)</f>
        <v>15</v>
      </c>
      <c r="H193" s="93">
        <f>VLOOKUP($E$3,Rolls!A1:FA90,55,FALSE)</f>
        <v>13</v>
      </c>
      <c r="I193" s="93">
        <f>VLOOKUP($E$3,Rolls!A1:FA90,56,FALSE)</f>
        <v>22</v>
      </c>
      <c r="J193" s="92">
        <f>VLOOKUP($E$3,Rolls!A1:FA90,57,FALSE)</f>
        <v>159</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Q193"/>
  <sheetViews>
    <sheetView topLeftCell="B39" zoomScaleNormal="100" workbookViewId="0">
      <selection activeCell="H60" sqref="H60"/>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22</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Corstorphine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630 Pupils (21 classes)</v>
      </c>
      <c r="G12" s="16"/>
      <c r="H12" s="16"/>
    </row>
    <row r="13" spans="2:10" ht="15" customHeight="1">
      <c r="C13" s="16"/>
      <c r="D13" s="16"/>
      <c r="E13" s="16"/>
      <c r="F13" s="16"/>
      <c r="G13" s="16"/>
      <c r="H13" s="16"/>
    </row>
    <row r="14" spans="2:10" ht="15" customHeight="1">
      <c r="B14" s="15" t="str">
        <f>"Figure 1: "&amp;E3&amp;" Roll, 2002-2015"</f>
        <v>Figure 1: Corstorphine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Corstorphine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65</v>
      </c>
      <c r="E49" s="108">
        <f>VLOOKUP($E$3,'Catchment Projections'!$A$1:$BU$90,46,FALSE)</f>
        <v>76</v>
      </c>
      <c r="F49" s="108">
        <f>VLOOKUP($E$3,'Catchment Projections'!$A$1:$BU$90,47,FALSE)</f>
        <v>66</v>
      </c>
      <c r="G49" s="108">
        <f>VLOOKUP($E$3,'Catchment Projections'!$A$1:$BU$90,48,FALSE)</f>
        <v>62</v>
      </c>
      <c r="H49" s="133">
        <f>VLOOKUP($E$3,'Catchment Projections'!$A$1:$BU$90,49,FALSE)</f>
        <v>69</v>
      </c>
      <c r="I49" s="133">
        <f>VLOOKUP($E$3,'Catchment Projections'!$A$1:$BU$90,50,FALSE)</f>
        <v>70</v>
      </c>
      <c r="J49" s="133">
        <f>VLOOKUP($E$3,'Catchment Projections'!$A$1:$BU$90,51,FALSE)</f>
        <v>71</v>
      </c>
      <c r="K49" s="133">
        <f>VLOOKUP($E$3,'Catchment Projections'!$A$1:$BU$90,52,FALSE)</f>
        <v>71</v>
      </c>
      <c r="L49" s="133">
        <f>VLOOKUP($E$3,'Catchment Projections'!$A$1:$BU$90,53,FALSE)</f>
        <v>72</v>
      </c>
      <c r="M49" s="133">
        <f>VLOOKUP($E$3,'Catchment Projections'!$A$1:$BU$90,54,FALSE)</f>
        <v>72</v>
      </c>
      <c r="N49" s="133">
        <f>VLOOKUP($E$3,'Catchment Projections'!$A$1:$BU$90,55,FALSE)</f>
        <v>72</v>
      </c>
      <c r="O49" s="133">
        <f>VLOOKUP($E$3,'Catchment Projections'!$A$1:$BU$90,56,FALSE)</f>
        <v>72</v>
      </c>
      <c r="P49" s="133">
        <f>VLOOKUP($E$3,'Catchment Projections'!$A$1:$BU$90,57,FALSE)</f>
        <v>72</v>
      </c>
      <c r="Q49" s="133">
        <f>VLOOKUP($E$3,'Catchment Projections'!$A$1:$BU$90,58,FALSE)</f>
        <v>72</v>
      </c>
    </row>
    <row r="50" spans="2:17" ht="15" customHeight="1" thickBot="1">
      <c r="B50" s="410" t="s">
        <v>141</v>
      </c>
      <c r="C50" s="411"/>
      <c r="D50" s="286">
        <f>VLOOKUP(E3,'Housing Generation'!$A$3:$DQ$90,10,FALSE)</f>
        <v>1</v>
      </c>
      <c r="E50" s="286">
        <f>VLOOKUP(E3,'Housing Generation'!$A$3:$DQ$90,18,FALSE)</f>
        <v>1</v>
      </c>
      <c r="F50" s="286">
        <f>VLOOKUP(E3,'Housing Generation'!$A$3:$DQ$90,26,FALSE)</f>
        <v>4</v>
      </c>
      <c r="G50" s="243">
        <f>VLOOKUP(E3,'Housing Generation'!$A$3:$DQ$90,34,FALSE)</f>
        <v>11</v>
      </c>
      <c r="H50" s="133">
        <f>VLOOKUP(E3,'Housing Generation'!$A$3:$DQ$90,42,FALSE)</f>
        <v>22</v>
      </c>
      <c r="I50" s="133">
        <f>VLOOKUP(E3,'Housing Generation'!$A$3:$DQ$90,50,FALSE)</f>
        <v>31</v>
      </c>
      <c r="J50" s="133">
        <f>VLOOKUP(E3,'Housing Generation'!$A$3:$CK$90,58,FALSE)</f>
        <v>38</v>
      </c>
      <c r="K50" s="133">
        <f>VLOOKUP(E3,'Housing Generation'!$A$3:$CK$90,66,FALSE)</f>
        <v>44</v>
      </c>
      <c r="L50" s="133">
        <f>VLOOKUP(E3,'Housing Generation'!$A$3:$DQ$90,74,FALSE)</f>
        <v>49</v>
      </c>
      <c r="M50" s="133">
        <f>VLOOKUP(E3,'Housing Generation'!$A$3:$DQ$90,82,FALSE)</f>
        <v>55</v>
      </c>
      <c r="N50" s="133">
        <f>VLOOKUP(E3,'Housing Generation'!$A$3:$DQ$90,90,FALSE)</f>
        <v>58</v>
      </c>
      <c r="O50" s="133">
        <f>VLOOKUP(E3,'Housing Generation'!$A$3:$DQ$90,98,FALSE)</f>
        <v>61</v>
      </c>
      <c r="P50" s="133">
        <f>VLOOKUP(E3,'Housing Generation'!$A$3:$DQ$90,106,FALSE)</f>
        <v>64</v>
      </c>
      <c r="Q50" s="133">
        <f>VLOOKUP(E3,'Housing Generation'!$A$3:$DQ$90,114,FALSE)</f>
        <v>67</v>
      </c>
    </row>
    <row r="51" spans="2:17" ht="15" customHeight="1" thickTop="1">
      <c r="B51" s="421" t="s">
        <v>130</v>
      </c>
      <c r="C51" s="422"/>
      <c r="D51" s="47">
        <f t="shared" ref="D51:Q51" si="0">SUM(D49:D50)</f>
        <v>66</v>
      </c>
      <c r="E51" s="47">
        <f t="shared" si="0"/>
        <v>77</v>
      </c>
      <c r="F51" s="80">
        <f t="shared" si="0"/>
        <v>70</v>
      </c>
      <c r="G51" s="244">
        <f t="shared" si="0"/>
        <v>73</v>
      </c>
      <c r="H51" s="71">
        <f t="shared" si="0"/>
        <v>91</v>
      </c>
      <c r="I51" s="71">
        <f t="shared" si="0"/>
        <v>101</v>
      </c>
      <c r="J51" s="71">
        <f t="shared" si="0"/>
        <v>109</v>
      </c>
      <c r="K51" s="71">
        <f t="shared" si="0"/>
        <v>115</v>
      </c>
      <c r="L51" s="71">
        <f t="shared" si="0"/>
        <v>121</v>
      </c>
      <c r="M51" s="71">
        <f t="shared" si="0"/>
        <v>127</v>
      </c>
      <c r="N51" s="71">
        <f t="shared" si="0"/>
        <v>130</v>
      </c>
      <c r="O51" s="71">
        <f t="shared" si="0"/>
        <v>133</v>
      </c>
      <c r="P51" s="71">
        <f t="shared" si="0"/>
        <v>136</v>
      </c>
      <c r="Q51" s="71">
        <f t="shared" si="0"/>
        <v>139</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64</v>
      </c>
      <c r="D60" s="358">
        <f>VLOOKUP($E$3,'Catchment Projections'!$A$1:$BZ$90,74,FALSE)</f>
        <v>62</v>
      </c>
      <c r="E60" s="303">
        <f>D60/C60</f>
        <v>0.96875</v>
      </c>
      <c r="G60" s="132">
        <v>2014</v>
      </c>
      <c r="H60" s="395">
        <f>VLOOKUP($G$60,$B$177:$C$215, 2, FALSE)</f>
        <v>69</v>
      </c>
      <c r="I60" s="120">
        <f>H60-D60</f>
        <v>7</v>
      </c>
      <c r="J60" s="121">
        <f>I60/H60</f>
        <v>0.10144927536231885</v>
      </c>
    </row>
    <row r="61" spans="2:17" ht="15" customHeight="1">
      <c r="B61" s="132">
        <v>2015</v>
      </c>
      <c r="C61" s="359">
        <f>VLOOKUP($E$3,'Catchment Projections'!$A$1:$BZ$90,41,FALSE)</f>
        <v>84</v>
      </c>
      <c r="D61" s="358">
        <f>VLOOKUP($E$3,'Catchment Projections'!$A$1:$BZ$90,75,FALSE)</f>
        <v>83</v>
      </c>
      <c r="E61" s="303">
        <f>D61/C61</f>
        <v>0.98809523809523814</v>
      </c>
      <c r="G61" s="132">
        <v>2015</v>
      </c>
      <c r="H61" s="395">
        <f>VLOOKUP($G$61,$B$177:$C$215, 2, FALSE)</f>
        <v>87</v>
      </c>
      <c r="I61" s="120">
        <f>H61-D61</f>
        <v>4</v>
      </c>
      <c r="J61" s="121">
        <f>I61/H61</f>
        <v>4.5977011494252873E-2</v>
      </c>
    </row>
    <row r="62" spans="2:17" ht="15" customHeight="1">
      <c r="B62" s="131">
        <v>2016</v>
      </c>
      <c r="C62" s="359">
        <f>VLOOKUP($E$3,'Catchment Projections'!$A$1:$BZ$90,42,FALSE)</f>
        <v>76</v>
      </c>
      <c r="D62" s="358">
        <f>VLOOKUP($E$3,'Catchment Projections'!$A$1:$BZ$90,76,FALSE)</f>
        <v>72</v>
      </c>
      <c r="E62" s="57">
        <f>D62/C62</f>
        <v>0.94736842105263153</v>
      </c>
      <c r="G62" s="131">
        <v>2016</v>
      </c>
      <c r="H62" s="395">
        <f>VLOOKUP($G$62,$B$177:$C$215, 2, FALSE)</f>
        <v>84</v>
      </c>
      <c r="I62" s="120">
        <f>H62-D62</f>
        <v>12</v>
      </c>
      <c r="J62" s="121">
        <f>I62/H62</f>
        <v>0.14285714285714285</v>
      </c>
    </row>
    <row r="63" spans="2:17" ht="15" customHeight="1">
      <c r="B63" s="114">
        <v>2017</v>
      </c>
      <c r="C63" s="359">
        <f>VLOOKUP($E$3,'Catchment Projections'!$A$1:$BZ$90,43,FALSE)</f>
        <v>57</v>
      </c>
      <c r="D63" s="358">
        <f>VLOOKUP($E$3,'Catchment Projections'!$A$1:$BZ$90,77,FALSE)</f>
        <v>54</v>
      </c>
      <c r="E63" s="304">
        <f>D63/C63</f>
        <v>0.94736842105263153</v>
      </c>
      <c r="G63" s="114">
        <v>2017</v>
      </c>
      <c r="H63" s="395">
        <f>VLOOKUP($G$63,$B$177:$C$215, 2, FALSE)</f>
        <v>68</v>
      </c>
      <c r="I63" s="120">
        <f>H63-D63</f>
        <v>14</v>
      </c>
      <c r="J63" s="121">
        <f>I63/H63</f>
        <v>0.20588235294117646</v>
      </c>
    </row>
    <row r="64" spans="2:17" ht="15" customHeight="1">
      <c r="B64" s="114">
        <v>2018</v>
      </c>
      <c r="C64" s="359">
        <f>VLOOKUP($E$3,'Catchment Projections'!$A$1:$BZ$90,44,FALSE)</f>
        <v>82</v>
      </c>
      <c r="D64" s="358">
        <f>VLOOKUP($E$3,'Catchment Projections'!$A$1:$BZ$90,78,FALSE)</f>
        <v>78</v>
      </c>
      <c r="E64" s="305">
        <f>D64/C64</f>
        <v>0.95121951219512191</v>
      </c>
      <c r="G64" s="114">
        <v>2018</v>
      </c>
      <c r="H64" s="395">
        <f>VLOOKUP($G$64,$B$177:$C$215, 2, FALSE)</f>
        <v>87</v>
      </c>
      <c r="I64" s="120">
        <f>H64-D64</f>
        <v>9</v>
      </c>
      <c r="J64" s="121">
        <f>I64/H64</f>
        <v>0.10344827586206896</v>
      </c>
    </row>
    <row r="65" spans="2:10" ht="15" customHeight="1">
      <c r="B65" s="412" t="s">
        <v>136</v>
      </c>
      <c r="C65" s="413"/>
      <c r="D65" s="414"/>
      <c r="E65" s="137">
        <f>IF((AVERAGE(E62:E64))="#DIV/0!","n/a",(AVERAGE(E62:E64)))</f>
        <v>0.94865211810012828</v>
      </c>
      <c r="G65" s="415" t="s">
        <v>137</v>
      </c>
      <c r="H65" s="416"/>
      <c r="I65" s="138">
        <f>MEDIAN(I60:I64)</f>
        <v>9</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66</v>
      </c>
      <c r="D70" s="408"/>
      <c r="E70" s="122">
        <f>E65</f>
        <v>0.94865211810012828</v>
      </c>
      <c r="F70" s="120">
        <f t="shared" ref="F70:F83" si="1">C70*$E$65</f>
        <v>62.611039794608466</v>
      </c>
      <c r="G70" s="118">
        <f>IF(F70&lt;26,25,IF(F70&gt;135,140,IF(F70&gt;130,135,IF(F70&gt;125,130,IF(F70&gt;120,125,IF(F70&gt;115,120,IF(F70&gt;110,115,IF(F70&gt;105,110,IF(F70&gt;100,105,IF(F70&gt;99,100,IF(F70&gt;90,99,IF(F70&gt;75,90,IF(F70&gt;72,75,IF(F70&gt;66,72,IF(F70&gt;60,66,IF(F70&gt;50,60,IF(F70&gt;30,50,IF(F70&gt;25,30,0))))))))))))))))))</f>
        <v>66</v>
      </c>
      <c r="H70" s="119">
        <f t="shared" ref="H70:H83" si="2">G70-F70</f>
        <v>3.388960205391534</v>
      </c>
      <c r="I70" s="118" t="str">
        <f>IF(I$65&lt;H70, "NO", "YES")</f>
        <v>YES</v>
      </c>
      <c r="J70" s="117">
        <f t="shared" ref="J70:J83" si="3">IF(I70="YES",G70,(MIN((SUM(F70,$I$65)),G70)))</f>
        <v>66</v>
      </c>
    </row>
    <row r="71" spans="2:10" ht="15" customHeight="1">
      <c r="B71" s="114">
        <v>2020</v>
      </c>
      <c r="C71" s="433">
        <f>E51</f>
        <v>77</v>
      </c>
      <c r="D71" s="408"/>
      <c r="E71" s="121">
        <f>E65</f>
        <v>0.94865211810012828</v>
      </c>
      <c r="F71" s="120">
        <f t="shared" si="1"/>
        <v>73.046213093709881</v>
      </c>
      <c r="G71" s="118">
        <f t="shared" ref="G71:G83" si="4">IF(F71&lt;26,25,IF(F71&gt;135,140,IF(F71&gt;130,135,IF(F71&gt;125,130,IF(F71&gt;120,125,IF(F71&gt;115,120,IF(F71&gt;110,115,IF(F71&gt;105,110,IF(F71&gt;100,105,IF(F71&gt;99,100,IF(F71&gt;90,99,IF(F71&gt;75,90,IF(F71&gt;72,75,IF(F71&gt;66,72,IF(F71&gt;60,66,IF(F71&gt;50,60,IF(F71&gt;30,50,IF(F71&gt;25,30,0))))))))))))))))))</f>
        <v>75</v>
      </c>
      <c r="H71" s="119">
        <f t="shared" si="2"/>
        <v>1.9537869062901194</v>
      </c>
      <c r="I71" s="118" t="str">
        <f t="shared" ref="I71:I83" si="5">IF(I$65&lt;H71, "NO", "YES")</f>
        <v>YES</v>
      </c>
      <c r="J71" s="117">
        <f t="shared" si="3"/>
        <v>75</v>
      </c>
    </row>
    <row r="72" spans="2:10" ht="15" customHeight="1">
      <c r="B72" s="114">
        <v>2021</v>
      </c>
      <c r="C72" s="430">
        <f>F51</f>
        <v>70</v>
      </c>
      <c r="D72" s="431"/>
      <c r="E72" s="121">
        <f>E65</f>
        <v>0.94865211810012828</v>
      </c>
      <c r="F72" s="120">
        <f t="shared" si="1"/>
        <v>66.405648267008985</v>
      </c>
      <c r="G72" s="118">
        <f t="shared" si="4"/>
        <v>72</v>
      </c>
      <c r="H72" s="119">
        <f t="shared" si="2"/>
        <v>5.5943517329910151</v>
      </c>
      <c r="I72" s="118" t="str">
        <f t="shared" si="5"/>
        <v>YES</v>
      </c>
      <c r="J72" s="117">
        <f t="shared" si="3"/>
        <v>72</v>
      </c>
    </row>
    <row r="73" spans="2:10" ht="15" customHeight="1">
      <c r="B73" s="114">
        <v>2022</v>
      </c>
      <c r="C73" s="430">
        <f>G51</f>
        <v>73</v>
      </c>
      <c r="D73" s="431"/>
      <c r="E73" s="121">
        <f>E65</f>
        <v>0.94865211810012828</v>
      </c>
      <c r="F73" s="120">
        <f t="shared" si="1"/>
        <v>69.251604621309369</v>
      </c>
      <c r="G73" s="118">
        <f t="shared" si="4"/>
        <v>72</v>
      </c>
      <c r="H73" s="119">
        <f t="shared" si="2"/>
        <v>2.7483953786906312</v>
      </c>
      <c r="I73" s="118" t="str">
        <f t="shared" si="5"/>
        <v>YES</v>
      </c>
      <c r="J73" s="117">
        <f t="shared" si="3"/>
        <v>72</v>
      </c>
    </row>
    <row r="74" spans="2:10" ht="15" customHeight="1">
      <c r="B74" s="114">
        <v>2023</v>
      </c>
      <c r="C74" s="430">
        <f>H51</f>
        <v>91</v>
      </c>
      <c r="D74" s="431"/>
      <c r="E74" s="121">
        <f>E65</f>
        <v>0.94865211810012828</v>
      </c>
      <c r="F74" s="120">
        <f t="shared" si="1"/>
        <v>86.327342747111672</v>
      </c>
      <c r="G74" s="118">
        <f t="shared" si="4"/>
        <v>90</v>
      </c>
      <c r="H74" s="119">
        <f t="shared" si="2"/>
        <v>3.6726572528883281</v>
      </c>
      <c r="I74" s="118" t="str">
        <f t="shared" si="5"/>
        <v>YES</v>
      </c>
      <c r="J74" s="117">
        <f t="shared" si="3"/>
        <v>90</v>
      </c>
    </row>
    <row r="75" spans="2:10" ht="15" customHeight="1">
      <c r="B75" s="114">
        <v>2024</v>
      </c>
      <c r="C75" s="430">
        <f>I51</f>
        <v>101</v>
      </c>
      <c r="D75" s="431"/>
      <c r="E75" s="121">
        <f>E65</f>
        <v>0.94865211810012828</v>
      </c>
      <c r="F75" s="120">
        <f t="shared" si="1"/>
        <v>95.813863928112951</v>
      </c>
      <c r="G75" s="118">
        <f t="shared" si="4"/>
        <v>99</v>
      </c>
      <c r="H75" s="119">
        <f t="shared" si="2"/>
        <v>3.1861360718870486</v>
      </c>
      <c r="I75" s="118" t="str">
        <f t="shared" si="5"/>
        <v>YES</v>
      </c>
      <c r="J75" s="117">
        <f t="shared" si="3"/>
        <v>99</v>
      </c>
    </row>
    <row r="76" spans="2:10" ht="15" customHeight="1">
      <c r="B76" s="114">
        <v>2025</v>
      </c>
      <c r="C76" s="430">
        <f>J51</f>
        <v>109</v>
      </c>
      <c r="D76" s="431"/>
      <c r="E76" s="121">
        <f>E65</f>
        <v>0.94865211810012828</v>
      </c>
      <c r="F76" s="120">
        <f t="shared" si="1"/>
        <v>103.40308087291399</v>
      </c>
      <c r="G76" s="118">
        <f t="shared" si="4"/>
        <v>105</v>
      </c>
      <c r="H76" s="119">
        <f t="shared" si="2"/>
        <v>1.5969191270860108</v>
      </c>
      <c r="I76" s="118" t="str">
        <f t="shared" si="5"/>
        <v>YES</v>
      </c>
      <c r="J76" s="117">
        <f t="shared" si="3"/>
        <v>105</v>
      </c>
    </row>
    <row r="77" spans="2:10" ht="15" customHeight="1">
      <c r="B77" s="114">
        <v>2026</v>
      </c>
      <c r="C77" s="430">
        <f>K51</f>
        <v>115</v>
      </c>
      <c r="D77" s="431"/>
      <c r="E77" s="121">
        <f>E65</f>
        <v>0.94865211810012828</v>
      </c>
      <c r="F77" s="120">
        <f t="shared" si="1"/>
        <v>109.09499358151476</v>
      </c>
      <c r="G77" s="118">
        <f t="shared" si="4"/>
        <v>110</v>
      </c>
      <c r="H77" s="119">
        <f t="shared" si="2"/>
        <v>0.9050064184852431</v>
      </c>
      <c r="I77" s="118" t="str">
        <f t="shared" si="5"/>
        <v>YES</v>
      </c>
      <c r="J77" s="117">
        <f t="shared" si="3"/>
        <v>110</v>
      </c>
    </row>
    <row r="78" spans="2:10" ht="15" customHeight="1">
      <c r="B78" s="114">
        <v>2027</v>
      </c>
      <c r="C78" s="430">
        <f>L51</f>
        <v>121</v>
      </c>
      <c r="D78" s="431"/>
      <c r="E78" s="121">
        <f>E65</f>
        <v>0.94865211810012828</v>
      </c>
      <c r="F78" s="120">
        <f t="shared" si="1"/>
        <v>114.78690629011552</v>
      </c>
      <c r="G78" s="118">
        <f t="shared" si="4"/>
        <v>115</v>
      </c>
      <c r="H78" s="119">
        <f t="shared" si="2"/>
        <v>0.2130937098844754</v>
      </c>
      <c r="I78" s="118" t="str">
        <f t="shared" si="5"/>
        <v>YES</v>
      </c>
      <c r="J78" s="117">
        <f t="shared" si="3"/>
        <v>115</v>
      </c>
    </row>
    <row r="79" spans="2:10" ht="15" customHeight="1">
      <c r="B79" s="114">
        <v>2028</v>
      </c>
      <c r="C79" s="430">
        <f>M51</f>
        <v>127</v>
      </c>
      <c r="D79" s="431"/>
      <c r="E79" s="121">
        <f t="shared" ref="E79:E83" si="6">$E$65</f>
        <v>0.94865211810012828</v>
      </c>
      <c r="F79" s="120">
        <f t="shared" si="1"/>
        <v>120.47881899871629</v>
      </c>
      <c r="G79" s="118">
        <f t="shared" si="4"/>
        <v>125</v>
      </c>
      <c r="H79" s="119">
        <f t="shared" si="2"/>
        <v>4.5211810012837077</v>
      </c>
      <c r="I79" s="118" t="str">
        <f t="shared" si="5"/>
        <v>YES</v>
      </c>
      <c r="J79" s="117">
        <f t="shared" si="3"/>
        <v>125</v>
      </c>
    </row>
    <row r="80" spans="2:10" ht="15" customHeight="1">
      <c r="B80" s="114">
        <v>2029</v>
      </c>
      <c r="C80" s="430">
        <f>N51</f>
        <v>130</v>
      </c>
      <c r="D80" s="431"/>
      <c r="E80" s="121">
        <f t="shared" si="6"/>
        <v>0.94865211810012828</v>
      </c>
      <c r="F80" s="120">
        <f t="shared" si="1"/>
        <v>123.32477535301668</v>
      </c>
      <c r="G80" s="118">
        <f t="shared" si="4"/>
        <v>125</v>
      </c>
      <c r="H80" s="119">
        <f t="shared" si="2"/>
        <v>1.6752246469833239</v>
      </c>
      <c r="I80" s="118" t="str">
        <f t="shared" si="5"/>
        <v>YES</v>
      </c>
      <c r="J80" s="117">
        <f t="shared" si="3"/>
        <v>125</v>
      </c>
    </row>
    <row r="81" spans="2:10" ht="15" customHeight="1">
      <c r="B81" s="114">
        <v>2030</v>
      </c>
      <c r="C81" s="430">
        <f>O51</f>
        <v>133</v>
      </c>
      <c r="D81" s="431"/>
      <c r="E81" s="121">
        <f t="shared" si="6"/>
        <v>0.94865211810012828</v>
      </c>
      <c r="F81" s="120">
        <f t="shared" si="1"/>
        <v>126.17073170731706</v>
      </c>
      <c r="G81" s="118">
        <f t="shared" si="4"/>
        <v>130</v>
      </c>
      <c r="H81" s="119">
        <f t="shared" si="2"/>
        <v>3.82926829268294</v>
      </c>
      <c r="I81" s="118" t="str">
        <f t="shared" si="5"/>
        <v>YES</v>
      </c>
      <c r="J81" s="117">
        <f t="shared" si="3"/>
        <v>130</v>
      </c>
    </row>
    <row r="82" spans="2:10" ht="15" customHeight="1">
      <c r="B82" s="114">
        <v>2031</v>
      </c>
      <c r="C82" s="430">
        <f>P51</f>
        <v>136</v>
      </c>
      <c r="D82" s="431"/>
      <c r="E82" s="121">
        <f t="shared" si="6"/>
        <v>0.94865211810012828</v>
      </c>
      <c r="F82" s="120">
        <f t="shared" si="1"/>
        <v>129.01668806161746</v>
      </c>
      <c r="G82" s="118">
        <f t="shared" si="4"/>
        <v>130</v>
      </c>
      <c r="H82" s="119">
        <f t="shared" si="2"/>
        <v>0.98331193838254194</v>
      </c>
      <c r="I82" s="118" t="str">
        <f t="shared" si="5"/>
        <v>YES</v>
      </c>
      <c r="J82" s="117">
        <f t="shared" si="3"/>
        <v>130</v>
      </c>
    </row>
    <row r="83" spans="2:10" ht="15" customHeight="1">
      <c r="B83" s="114">
        <v>2032</v>
      </c>
      <c r="C83" s="430">
        <f>Q51</f>
        <v>139</v>
      </c>
      <c r="D83" s="431"/>
      <c r="E83" s="121">
        <f t="shared" si="6"/>
        <v>0.94865211810012828</v>
      </c>
      <c r="F83" s="120">
        <f t="shared" si="1"/>
        <v>131.86264441591783</v>
      </c>
      <c r="G83" s="118">
        <f t="shared" si="4"/>
        <v>135</v>
      </c>
      <c r="H83" s="119">
        <f t="shared" si="2"/>
        <v>3.1373555840821723</v>
      </c>
      <c r="I83" s="118" t="str">
        <f t="shared" si="5"/>
        <v>YES</v>
      </c>
      <c r="J83" s="117">
        <f t="shared" si="3"/>
        <v>135</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Corstorphine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75</v>
      </c>
      <c r="D91" s="112">
        <f t="shared" ref="D91:J91" si="7">D188</f>
        <v>85</v>
      </c>
      <c r="E91" s="112">
        <f t="shared" si="7"/>
        <v>69</v>
      </c>
      <c r="F91" s="112">
        <f t="shared" si="7"/>
        <v>58</v>
      </c>
      <c r="G91" s="112">
        <f t="shared" si="7"/>
        <v>60</v>
      </c>
      <c r="H91" s="112">
        <f t="shared" si="7"/>
        <v>71</v>
      </c>
      <c r="I91" s="112">
        <f t="shared" si="7"/>
        <v>56</v>
      </c>
      <c r="J91" s="213">
        <f t="shared" si="7"/>
        <v>474</v>
      </c>
    </row>
    <row r="92" spans="2:10" ht="15" customHeight="1">
      <c r="B92" s="114">
        <v>2014</v>
      </c>
      <c r="C92" s="112">
        <f>C189</f>
        <v>69</v>
      </c>
      <c r="D92" s="112">
        <f t="shared" ref="D92:J92" si="8">D189</f>
        <v>74</v>
      </c>
      <c r="E92" s="112">
        <f t="shared" si="8"/>
        <v>86</v>
      </c>
      <c r="F92" s="112">
        <f t="shared" si="8"/>
        <v>70</v>
      </c>
      <c r="G92" s="112">
        <f t="shared" si="8"/>
        <v>58</v>
      </c>
      <c r="H92" s="112">
        <f t="shared" si="8"/>
        <v>60</v>
      </c>
      <c r="I92" s="112">
        <f t="shared" si="8"/>
        <v>73</v>
      </c>
      <c r="J92" s="213">
        <f t="shared" si="8"/>
        <v>490</v>
      </c>
    </row>
    <row r="93" spans="2:10" ht="15" customHeight="1">
      <c r="B93" s="114">
        <v>2015</v>
      </c>
      <c r="C93" s="112">
        <f>C190</f>
        <v>87</v>
      </c>
      <c r="D93" s="112">
        <f t="shared" ref="D93:J93" si="9">D190</f>
        <v>70</v>
      </c>
      <c r="E93" s="112">
        <f t="shared" si="9"/>
        <v>74</v>
      </c>
      <c r="F93" s="112">
        <f t="shared" si="9"/>
        <v>87</v>
      </c>
      <c r="G93" s="112">
        <f t="shared" si="9"/>
        <v>74</v>
      </c>
      <c r="H93" s="112">
        <f t="shared" si="9"/>
        <v>62</v>
      </c>
      <c r="I93" s="112">
        <f t="shared" si="9"/>
        <v>62</v>
      </c>
      <c r="J93" s="213">
        <f t="shared" si="9"/>
        <v>516</v>
      </c>
    </row>
    <row r="94" spans="2:10" ht="15" customHeight="1">
      <c r="B94" s="114">
        <v>2016</v>
      </c>
      <c r="C94" s="112">
        <f>C191</f>
        <v>84</v>
      </c>
      <c r="D94" s="112">
        <f t="shared" ref="D94:J94" si="10">D191</f>
        <v>90</v>
      </c>
      <c r="E94" s="112">
        <f t="shared" si="10"/>
        <v>70</v>
      </c>
      <c r="F94" s="112">
        <f t="shared" si="10"/>
        <v>80</v>
      </c>
      <c r="G94" s="112">
        <f t="shared" si="10"/>
        <v>95</v>
      </c>
      <c r="H94" s="112">
        <f t="shared" si="10"/>
        <v>71</v>
      </c>
      <c r="I94" s="112">
        <f t="shared" si="10"/>
        <v>64</v>
      </c>
      <c r="J94" s="213">
        <f t="shared" si="10"/>
        <v>554</v>
      </c>
    </row>
    <row r="95" spans="2:10" ht="15" customHeight="1">
      <c r="B95" s="114">
        <v>2017</v>
      </c>
      <c r="C95" s="112">
        <f>C192</f>
        <v>68</v>
      </c>
      <c r="D95" s="112">
        <f t="shared" ref="D95:J95" si="11">D192</f>
        <v>82</v>
      </c>
      <c r="E95" s="112">
        <f t="shared" si="11"/>
        <v>87</v>
      </c>
      <c r="F95" s="112">
        <f t="shared" si="11"/>
        <v>72</v>
      </c>
      <c r="G95" s="112">
        <f t="shared" si="11"/>
        <v>80</v>
      </c>
      <c r="H95" s="112">
        <f t="shared" si="11"/>
        <v>95</v>
      </c>
      <c r="I95" s="112">
        <f t="shared" si="11"/>
        <v>67</v>
      </c>
      <c r="J95" s="213">
        <f t="shared" si="11"/>
        <v>551</v>
      </c>
    </row>
    <row r="96" spans="2:10" ht="15" customHeight="1">
      <c r="B96" s="307">
        <v>2018</v>
      </c>
      <c r="C96" s="112">
        <f t="shared" ref="C96:J96" si="12">C193</f>
        <v>87</v>
      </c>
      <c r="D96" s="112">
        <f t="shared" si="12"/>
        <v>69</v>
      </c>
      <c r="E96" s="112">
        <f t="shared" si="12"/>
        <v>80</v>
      </c>
      <c r="F96" s="112">
        <f t="shared" si="12"/>
        <v>88</v>
      </c>
      <c r="G96" s="112">
        <f t="shared" si="12"/>
        <v>72</v>
      </c>
      <c r="H96" s="112">
        <f t="shared" si="12"/>
        <v>76</v>
      </c>
      <c r="I96" s="112">
        <f t="shared" si="12"/>
        <v>90</v>
      </c>
      <c r="J96" s="213">
        <f t="shared" si="12"/>
        <v>562</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-1.4492753623188406E-2</v>
      </c>
      <c r="E98" s="210">
        <f t="shared" ref="E98:I98" si="13">MEDIAN(((D91-E92)/D91),((D92-E93)/D92),((D93-E94)/D93),((D94-E95)/D94),((D95-E96)/D95))</f>
        <v>0</v>
      </c>
      <c r="F98" s="210">
        <f t="shared" si="13"/>
        <v>-1.4492753623188406E-2</v>
      </c>
      <c r="G98" s="210">
        <f t="shared" si="13"/>
        <v>0</v>
      </c>
      <c r="H98" s="210">
        <f t="shared" si="13"/>
        <v>0</v>
      </c>
      <c r="I98" s="210">
        <f t="shared" si="13"/>
        <v>-2.8169014084507043E-2</v>
      </c>
    </row>
    <row r="99" spans="2:10" ht="15" customHeight="1">
      <c r="B99" s="59"/>
      <c r="C99" s="60"/>
      <c r="D99" s="61"/>
      <c r="E99" s="61"/>
      <c r="F99" s="61"/>
      <c r="G99" s="61"/>
      <c r="H99" s="61"/>
      <c r="I99" s="61"/>
      <c r="J99" s="58"/>
    </row>
    <row r="100" spans="2:10" ht="15" customHeight="1">
      <c r="B100" s="15" t="str">
        <f>"Table 4B: "&amp;E3&amp;" Projected Roll by Stage (incorporating Projected P1 and Drop-Off Rates), 2019-2032"</f>
        <v>Table 4B: Corstorphine Primary School Projected Roll by Stage (incorporating Projected P1 and Drop-Off Rates), 2019-2032</v>
      </c>
      <c r="F100" s="14"/>
      <c r="G100" s="14"/>
    </row>
    <row r="101" spans="2:10" ht="15" customHeight="1">
      <c r="F101" s="14"/>
      <c r="G101" s="14"/>
    </row>
    <row r="102" spans="2:10" ht="15" customHeight="1">
      <c r="B102" s="115"/>
      <c r="C102" s="109" t="s">
        <v>1</v>
      </c>
      <c r="D102" s="109" t="s">
        <v>2</v>
      </c>
      <c r="E102" s="109" t="s">
        <v>3</v>
      </c>
      <c r="F102" s="109" t="s">
        <v>4</v>
      </c>
      <c r="G102" s="109" t="s">
        <v>5</v>
      </c>
      <c r="H102" s="109" t="s">
        <v>6</v>
      </c>
      <c r="I102" s="109" t="s">
        <v>7</v>
      </c>
      <c r="J102" s="109" t="s">
        <v>8</v>
      </c>
    </row>
    <row r="103" spans="2:10" ht="15" customHeight="1">
      <c r="B103" s="114">
        <v>2019</v>
      </c>
      <c r="C103" s="113">
        <f t="shared" ref="C103:C116" si="14">J70</f>
        <v>66</v>
      </c>
      <c r="D103" s="324">
        <f>ROUND((C96)-(C96*$D$98),0)</f>
        <v>88</v>
      </c>
      <c r="E103" s="324">
        <f>ROUND((D96)-(D96*$E$98),0)</f>
        <v>69</v>
      </c>
      <c r="F103" s="324">
        <f>ROUND((E96)-(E96*$F$98),0)</f>
        <v>81</v>
      </c>
      <c r="G103" s="324">
        <f>ROUND((F96)-(F96*$G$98),0)</f>
        <v>88</v>
      </c>
      <c r="H103" s="324">
        <f>ROUND((G96)-(G96*$H$98),0)</f>
        <v>72</v>
      </c>
      <c r="I103" s="324">
        <f>ROUND((H96)-(H96*$I$98),0)</f>
        <v>78</v>
      </c>
      <c r="J103" s="111">
        <f t="shared" ref="J103:J116" si="15">SUM(C103:I103)</f>
        <v>542</v>
      </c>
    </row>
    <row r="104" spans="2:10" ht="15" customHeight="1">
      <c r="B104" s="114">
        <v>2020</v>
      </c>
      <c r="C104" s="113">
        <f t="shared" si="14"/>
        <v>75</v>
      </c>
      <c r="D104" s="324">
        <f>ROUND((C103-E50)-(C103*$D$98),0)</f>
        <v>66</v>
      </c>
      <c r="E104" s="112">
        <f t="shared" ref="E104:E116" si="16">ROUND((D103)-(D103*$E$98),0)</f>
        <v>88</v>
      </c>
      <c r="F104" s="112">
        <f t="shared" ref="F104:F116" si="17">ROUND((E103)-(E103*$F$98),0)</f>
        <v>70</v>
      </c>
      <c r="G104" s="112">
        <f t="shared" ref="G104:G116" si="18">ROUND((F103)-(F103*$G$98),0)</f>
        <v>81</v>
      </c>
      <c r="H104" s="112">
        <f t="shared" ref="H104:H116" si="19">ROUND((G103)-(G103*$H$98),0)</f>
        <v>88</v>
      </c>
      <c r="I104" s="112">
        <f t="shared" ref="I104:I116" si="20">ROUND((H103)-(H103*$I$98),0)</f>
        <v>74</v>
      </c>
      <c r="J104" s="111">
        <f t="shared" si="15"/>
        <v>542</v>
      </c>
    </row>
    <row r="105" spans="2:10" ht="15" customHeight="1">
      <c r="B105" s="114">
        <v>2021</v>
      </c>
      <c r="C105" s="113">
        <f t="shared" si="14"/>
        <v>72</v>
      </c>
      <c r="D105" s="324">
        <f>ROUND((C104-F50)-(C104*$D$98),0)</f>
        <v>72</v>
      </c>
      <c r="E105" s="112">
        <f t="shared" si="16"/>
        <v>66</v>
      </c>
      <c r="F105" s="112">
        <f t="shared" si="17"/>
        <v>89</v>
      </c>
      <c r="G105" s="112">
        <f t="shared" si="18"/>
        <v>70</v>
      </c>
      <c r="H105" s="112">
        <f t="shared" si="19"/>
        <v>81</v>
      </c>
      <c r="I105" s="112">
        <f t="shared" si="20"/>
        <v>90</v>
      </c>
      <c r="J105" s="111">
        <f t="shared" si="15"/>
        <v>540</v>
      </c>
    </row>
    <row r="106" spans="2:10" ht="15" customHeight="1">
      <c r="B106" s="114">
        <v>2022</v>
      </c>
      <c r="C106" s="113">
        <f t="shared" si="14"/>
        <v>72</v>
      </c>
      <c r="D106" s="324">
        <f>ROUND((C105-G50)-(C105*$D$98),0)</f>
        <v>62</v>
      </c>
      <c r="E106" s="112">
        <f t="shared" si="16"/>
        <v>72</v>
      </c>
      <c r="F106" s="112">
        <f t="shared" si="17"/>
        <v>67</v>
      </c>
      <c r="G106" s="112">
        <f t="shared" si="18"/>
        <v>89</v>
      </c>
      <c r="H106" s="112">
        <f t="shared" si="19"/>
        <v>70</v>
      </c>
      <c r="I106" s="112">
        <f t="shared" si="20"/>
        <v>83</v>
      </c>
      <c r="J106" s="111">
        <f t="shared" si="15"/>
        <v>515</v>
      </c>
    </row>
    <row r="107" spans="2:10" ht="15" customHeight="1">
      <c r="B107" s="114">
        <v>2023</v>
      </c>
      <c r="C107" s="113">
        <f t="shared" si="14"/>
        <v>90</v>
      </c>
      <c r="D107" s="324">
        <f>ROUND((C106-H50)-(C106*$D$98),0)</f>
        <v>51</v>
      </c>
      <c r="E107" s="112">
        <f t="shared" si="16"/>
        <v>62</v>
      </c>
      <c r="F107" s="112">
        <f t="shared" si="17"/>
        <v>73</v>
      </c>
      <c r="G107" s="112">
        <f t="shared" si="18"/>
        <v>67</v>
      </c>
      <c r="H107" s="112">
        <f t="shared" si="19"/>
        <v>89</v>
      </c>
      <c r="I107" s="112">
        <f t="shared" si="20"/>
        <v>72</v>
      </c>
      <c r="J107" s="111">
        <f t="shared" si="15"/>
        <v>504</v>
      </c>
    </row>
    <row r="108" spans="2:10" ht="15" customHeight="1">
      <c r="B108" s="114">
        <v>2024</v>
      </c>
      <c r="C108" s="113">
        <f t="shared" si="14"/>
        <v>99</v>
      </c>
      <c r="D108" s="324">
        <f>ROUND((C107-I50)-(C107*$D$98),0)</f>
        <v>60</v>
      </c>
      <c r="E108" s="112">
        <f t="shared" si="16"/>
        <v>51</v>
      </c>
      <c r="F108" s="112">
        <f t="shared" si="17"/>
        <v>63</v>
      </c>
      <c r="G108" s="112">
        <f t="shared" si="18"/>
        <v>73</v>
      </c>
      <c r="H108" s="112">
        <f t="shared" si="19"/>
        <v>67</v>
      </c>
      <c r="I108" s="112">
        <f t="shared" si="20"/>
        <v>92</v>
      </c>
      <c r="J108" s="111">
        <f t="shared" si="15"/>
        <v>505</v>
      </c>
    </row>
    <row r="109" spans="2:10" ht="15" customHeight="1">
      <c r="B109" s="114">
        <v>2025</v>
      </c>
      <c r="C109" s="113">
        <f t="shared" si="14"/>
        <v>105</v>
      </c>
      <c r="D109" s="324">
        <f>ROUND((C108-J50)-(C108*$D$98),0)</f>
        <v>62</v>
      </c>
      <c r="E109" s="112">
        <f t="shared" si="16"/>
        <v>60</v>
      </c>
      <c r="F109" s="112">
        <f t="shared" si="17"/>
        <v>52</v>
      </c>
      <c r="G109" s="112">
        <f t="shared" si="18"/>
        <v>63</v>
      </c>
      <c r="H109" s="112">
        <f t="shared" si="19"/>
        <v>73</v>
      </c>
      <c r="I109" s="112">
        <f t="shared" si="20"/>
        <v>69</v>
      </c>
      <c r="J109" s="111">
        <f t="shared" si="15"/>
        <v>484</v>
      </c>
    </row>
    <row r="110" spans="2:10" ht="15" customHeight="1">
      <c r="B110" s="114">
        <v>2026</v>
      </c>
      <c r="C110" s="113">
        <f t="shared" si="14"/>
        <v>110</v>
      </c>
      <c r="D110" s="324">
        <f>ROUND((C109-K50)-(C109*$D$98),0)</f>
        <v>63</v>
      </c>
      <c r="E110" s="112">
        <f t="shared" si="16"/>
        <v>62</v>
      </c>
      <c r="F110" s="112">
        <f t="shared" si="17"/>
        <v>61</v>
      </c>
      <c r="G110" s="112">
        <f t="shared" si="18"/>
        <v>52</v>
      </c>
      <c r="H110" s="112">
        <f t="shared" si="19"/>
        <v>63</v>
      </c>
      <c r="I110" s="112">
        <f t="shared" si="20"/>
        <v>75</v>
      </c>
      <c r="J110" s="111">
        <f t="shared" si="15"/>
        <v>486</v>
      </c>
    </row>
    <row r="111" spans="2:10" ht="15" customHeight="1">
      <c r="B111" s="114">
        <v>2027</v>
      </c>
      <c r="C111" s="113">
        <f t="shared" si="14"/>
        <v>115</v>
      </c>
      <c r="D111" s="324">
        <f>ROUND((C110-L50)-(C110*$D$98),0)</f>
        <v>63</v>
      </c>
      <c r="E111" s="112">
        <f t="shared" si="16"/>
        <v>63</v>
      </c>
      <c r="F111" s="112">
        <f t="shared" si="17"/>
        <v>63</v>
      </c>
      <c r="G111" s="112">
        <f t="shared" si="18"/>
        <v>61</v>
      </c>
      <c r="H111" s="112">
        <f t="shared" si="19"/>
        <v>52</v>
      </c>
      <c r="I111" s="112">
        <f t="shared" si="20"/>
        <v>65</v>
      </c>
      <c r="J111" s="111">
        <f t="shared" si="15"/>
        <v>482</v>
      </c>
    </row>
    <row r="112" spans="2:10" ht="15" customHeight="1">
      <c r="B112" s="114">
        <v>2028</v>
      </c>
      <c r="C112" s="113">
        <f t="shared" si="14"/>
        <v>125</v>
      </c>
      <c r="D112" s="324">
        <f>ROUND((C111-M50)-(C111*$D$98),0)</f>
        <v>62</v>
      </c>
      <c r="E112" s="112">
        <f t="shared" si="16"/>
        <v>63</v>
      </c>
      <c r="F112" s="112">
        <f t="shared" si="17"/>
        <v>64</v>
      </c>
      <c r="G112" s="112">
        <f t="shared" si="18"/>
        <v>63</v>
      </c>
      <c r="H112" s="112">
        <f t="shared" si="19"/>
        <v>61</v>
      </c>
      <c r="I112" s="112">
        <f t="shared" si="20"/>
        <v>53</v>
      </c>
      <c r="J112" s="111">
        <f t="shared" si="15"/>
        <v>491</v>
      </c>
    </row>
    <row r="113" spans="2:10" ht="15" customHeight="1">
      <c r="B113" s="114">
        <v>2029</v>
      </c>
      <c r="C113" s="113">
        <f t="shared" si="14"/>
        <v>125</v>
      </c>
      <c r="D113" s="324">
        <f>ROUND((C112-N50)-(C112*$D$98),0)</f>
        <v>69</v>
      </c>
      <c r="E113" s="112">
        <f t="shared" si="16"/>
        <v>62</v>
      </c>
      <c r="F113" s="112">
        <f t="shared" si="17"/>
        <v>64</v>
      </c>
      <c r="G113" s="112">
        <f t="shared" si="18"/>
        <v>64</v>
      </c>
      <c r="H113" s="112">
        <f t="shared" si="19"/>
        <v>63</v>
      </c>
      <c r="I113" s="112">
        <f t="shared" si="20"/>
        <v>63</v>
      </c>
      <c r="J113" s="111">
        <f t="shared" si="15"/>
        <v>510</v>
      </c>
    </row>
    <row r="114" spans="2:10" ht="15" customHeight="1">
      <c r="B114" s="114">
        <v>2030</v>
      </c>
      <c r="C114" s="113">
        <f t="shared" si="14"/>
        <v>130</v>
      </c>
      <c r="D114" s="324">
        <f>ROUND((C113-O50)-(C113*$D$98),0)</f>
        <v>66</v>
      </c>
      <c r="E114" s="112">
        <f t="shared" si="16"/>
        <v>69</v>
      </c>
      <c r="F114" s="112">
        <f t="shared" si="17"/>
        <v>63</v>
      </c>
      <c r="G114" s="112">
        <f t="shared" si="18"/>
        <v>64</v>
      </c>
      <c r="H114" s="112">
        <f t="shared" si="19"/>
        <v>64</v>
      </c>
      <c r="I114" s="112">
        <f t="shared" si="20"/>
        <v>65</v>
      </c>
      <c r="J114" s="111">
        <f t="shared" si="15"/>
        <v>521</v>
      </c>
    </row>
    <row r="115" spans="2:10" ht="15" customHeight="1">
      <c r="B115" s="114">
        <v>2031</v>
      </c>
      <c r="C115" s="113">
        <f t="shared" si="14"/>
        <v>130</v>
      </c>
      <c r="D115" s="324">
        <f>ROUND((C114-P50)-(C114*$D$98),0)</f>
        <v>68</v>
      </c>
      <c r="E115" s="112">
        <f t="shared" si="16"/>
        <v>66</v>
      </c>
      <c r="F115" s="112">
        <f t="shared" si="17"/>
        <v>70</v>
      </c>
      <c r="G115" s="112">
        <f t="shared" si="18"/>
        <v>63</v>
      </c>
      <c r="H115" s="112">
        <f t="shared" si="19"/>
        <v>64</v>
      </c>
      <c r="I115" s="112">
        <f t="shared" si="20"/>
        <v>66</v>
      </c>
      <c r="J115" s="111">
        <f t="shared" si="15"/>
        <v>527</v>
      </c>
    </row>
    <row r="116" spans="2:10" ht="15" customHeight="1">
      <c r="B116" s="114">
        <v>2032</v>
      </c>
      <c r="C116" s="113">
        <f t="shared" si="14"/>
        <v>135</v>
      </c>
      <c r="D116" s="324">
        <f>ROUND((C115-Q50)-(C115*$D$98),0)</f>
        <v>65</v>
      </c>
      <c r="E116" s="112">
        <f t="shared" si="16"/>
        <v>68</v>
      </c>
      <c r="F116" s="112">
        <f t="shared" si="17"/>
        <v>67</v>
      </c>
      <c r="G116" s="112">
        <f t="shared" si="18"/>
        <v>70</v>
      </c>
      <c r="H116" s="112">
        <f t="shared" si="19"/>
        <v>63</v>
      </c>
      <c r="I116" s="112">
        <f t="shared" si="20"/>
        <v>66</v>
      </c>
      <c r="J116" s="111">
        <f t="shared" si="15"/>
        <v>534</v>
      </c>
    </row>
    <row r="117" spans="2:10" ht="15" customHeight="1">
      <c r="F117" s="14"/>
      <c r="G117" s="14"/>
    </row>
    <row r="118" spans="2:10" ht="15" customHeight="1">
      <c r="B118" s="15" t="str">
        <f>"Table 4C: "&amp;E3&amp;" Projected Pupil Generation from Housing Development, 2019-2032"</f>
        <v>Table 4C: Corstorphine Primary School Projected Pupil Generation from Housing Development, 2019-2032</v>
      </c>
      <c r="F118" s="14"/>
      <c r="G118" s="14"/>
    </row>
    <row r="119" spans="2:10" ht="15" customHeight="1">
      <c r="F119" s="14"/>
      <c r="G119" s="14"/>
    </row>
    <row r="120" spans="2:10" ht="15" customHeight="1">
      <c r="B120" s="115"/>
      <c r="C120" s="109" t="s">
        <v>1</v>
      </c>
      <c r="D120" s="109" t="s">
        <v>2</v>
      </c>
      <c r="E120" s="109" t="s">
        <v>3</v>
      </c>
      <c r="F120" s="109" t="s">
        <v>4</v>
      </c>
      <c r="G120" s="109" t="s">
        <v>5</v>
      </c>
      <c r="H120" s="109" t="s">
        <v>6</v>
      </c>
      <c r="I120" s="109" t="s">
        <v>7</v>
      </c>
      <c r="J120" s="109" t="s">
        <v>8</v>
      </c>
    </row>
    <row r="121" spans="2:10" ht="15" customHeight="1">
      <c r="B121" s="114">
        <v>2019</v>
      </c>
      <c r="C121" s="116" t="s">
        <v>97</v>
      </c>
      <c r="D121" s="112">
        <f>VLOOKUP($E$3,'Housing Generation'!$A$3:$BE$90,11,FALSE)</f>
        <v>0</v>
      </c>
      <c r="E121" s="112">
        <f>VLOOKUP($E$3,'Housing Generation'!$A$3:$BE$90,12,FALSE)</f>
        <v>0</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0</v>
      </c>
    </row>
    <row r="122" spans="2:10" ht="15" customHeight="1">
      <c r="B122" s="114">
        <v>2020</v>
      </c>
      <c r="C122" s="116" t="s">
        <v>97</v>
      </c>
      <c r="D122" s="112">
        <f>VLOOKUP($E$3,'Housing Generation'!$A$3:$BE$90,19,FALSE)</f>
        <v>0</v>
      </c>
      <c r="E122" s="112">
        <f>VLOOKUP($E$3,'Housing Generation'!$A$3:$BE$90,20,FALSE)</f>
        <v>0</v>
      </c>
      <c r="F122" s="112">
        <f>VLOOKUP($E$3,'Housing Generation'!$A$3:$BE$90,21,FALSE)</f>
        <v>0</v>
      </c>
      <c r="G122" s="112">
        <f>VLOOKUP($E$3,'Housing Generation'!$A$3:$BE$90,22,FALSE)</f>
        <v>0</v>
      </c>
      <c r="H122" s="112">
        <f>VLOOKUP($E$3,'Housing Generation'!$A$3:$BE$90,23,FALSE)</f>
        <v>0</v>
      </c>
      <c r="I122" s="112">
        <f>VLOOKUP($E$3,'Housing Generation'!$A$3:$BE$90,24,FALSE)</f>
        <v>0</v>
      </c>
      <c r="J122" s="111">
        <f t="shared" si="21"/>
        <v>0</v>
      </c>
    </row>
    <row r="123" spans="2:10" ht="15" customHeight="1">
      <c r="B123" s="114">
        <v>2021</v>
      </c>
      <c r="C123" s="116" t="s">
        <v>97</v>
      </c>
      <c r="D123" s="112">
        <f>VLOOKUP($E$3,'Housing Generation'!$A$3:$BE$90,27,FALSE)</f>
        <v>4</v>
      </c>
      <c r="E123" s="112">
        <f>VLOOKUP($E$3,'Housing Generation'!$A$3:$BE$90,28,FALSE)</f>
        <v>4</v>
      </c>
      <c r="F123" s="112">
        <f>VLOOKUP($E$3,'Housing Generation'!$A$3:$BE$90,29,FALSE)</f>
        <v>3</v>
      </c>
      <c r="G123" s="112">
        <f>VLOOKUP($E$3,'Housing Generation'!$A$3:$BE$90,30,FALSE)</f>
        <v>3</v>
      </c>
      <c r="H123" s="112">
        <f>VLOOKUP($E$3,'Housing Generation'!$A$3:$BE$90,31,FALSE)</f>
        <v>3</v>
      </c>
      <c r="I123" s="112">
        <f>VLOOKUP($E$3,'Housing Generation'!$A$3:$BE$90,32,FALSE)</f>
        <v>3</v>
      </c>
      <c r="J123" s="111">
        <f t="shared" si="21"/>
        <v>20</v>
      </c>
    </row>
    <row r="124" spans="2:10" ht="15" customHeight="1">
      <c r="B124" s="114">
        <v>2022</v>
      </c>
      <c r="C124" s="116" t="s">
        <v>97</v>
      </c>
      <c r="D124" s="112">
        <f>VLOOKUP($E$3,'Housing Generation'!$A$3:$BE$90,35,FALSE)</f>
        <v>11</v>
      </c>
      <c r="E124" s="112">
        <f>VLOOKUP($E$3,'Housing Generation'!$A$3:$BE$90,36,FALSE)</f>
        <v>11</v>
      </c>
      <c r="F124" s="112">
        <f>VLOOKUP($E$3,'Housing Generation'!$A$3:$BE$90,37,FALSE)</f>
        <v>11</v>
      </c>
      <c r="G124" s="112">
        <f>VLOOKUP($E$3,'Housing Generation'!$A$3:$BE$90,38,FALSE)</f>
        <v>11</v>
      </c>
      <c r="H124" s="112">
        <f>VLOOKUP($E$3,'Housing Generation'!$A$3:$BE$90,39,FALSE)</f>
        <v>11</v>
      </c>
      <c r="I124" s="112">
        <f>VLOOKUP($E$3,'Housing Generation'!$A$3:$BE$90,40,FALSE)</f>
        <v>11</v>
      </c>
      <c r="J124" s="111">
        <f t="shared" si="21"/>
        <v>66</v>
      </c>
    </row>
    <row r="125" spans="2:10" ht="15" customHeight="1">
      <c r="B125" s="114">
        <v>2023</v>
      </c>
      <c r="C125" s="116" t="s">
        <v>97</v>
      </c>
      <c r="D125" s="112">
        <f>VLOOKUP($E$3,'Housing Generation'!$A$3:$BE$90,43,FALSE)</f>
        <v>22</v>
      </c>
      <c r="E125" s="112">
        <f>VLOOKUP($E$3,'Housing Generation'!$A$3:$BE$90,44,FALSE)</f>
        <v>22</v>
      </c>
      <c r="F125" s="112">
        <f>VLOOKUP($E$3,'Housing Generation'!$A$3:$BE$90,45,FALSE)</f>
        <v>21</v>
      </c>
      <c r="G125" s="112">
        <f>VLOOKUP($E$3,'Housing Generation'!$A$3:$BE$90,46,FALSE)</f>
        <v>21</v>
      </c>
      <c r="H125" s="112">
        <f>VLOOKUP($E$3,'Housing Generation'!$A$3:$BE$90,47,FALSE)</f>
        <v>21</v>
      </c>
      <c r="I125" s="112">
        <f>VLOOKUP($E$3,'Housing Generation'!$A$3:$BE$90,48,FALSE)</f>
        <v>21</v>
      </c>
      <c r="J125" s="111">
        <f t="shared" si="21"/>
        <v>128</v>
      </c>
    </row>
    <row r="126" spans="2:10" ht="15" customHeight="1">
      <c r="B126" s="114">
        <v>2024</v>
      </c>
      <c r="C126" s="116" t="s">
        <v>97</v>
      </c>
      <c r="D126" s="112">
        <f>VLOOKUP($E$3,'Housing Generation'!$A$3:$BE$90,51,FALSE)</f>
        <v>31</v>
      </c>
      <c r="E126" s="112">
        <f>VLOOKUP($E$3,'Housing Generation'!$A$3:$BE$90,52,FALSE)</f>
        <v>31</v>
      </c>
      <c r="F126" s="112">
        <f>VLOOKUP($E$3,'Housing Generation'!$A$3:$BE$90,53,FALSE)</f>
        <v>30</v>
      </c>
      <c r="G126" s="112">
        <f>VLOOKUP($E$3,'Housing Generation'!$A$3:$BE$90,54,FALSE)</f>
        <v>30</v>
      </c>
      <c r="H126" s="112">
        <f>VLOOKUP($E$3,'Housing Generation'!$A$3:$BE$90,55,FALSE)</f>
        <v>30</v>
      </c>
      <c r="I126" s="112">
        <f>VLOOKUP($E$3,'Housing Generation'!$A$3:$BE$90,56,FALSE)</f>
        <v>30</v>
      </c>
      <c r="J126" s="111">
        <f t="shared" si="21"/>
        <v>182</v>
      </c>
    </row>
    <row r="127" spans="2:10" ht="15" customHeight="1">
      <c r="B127" s="114">
        <v>2025</v>
      </c>
      <c r="C127" s="240" t="s">
        <v>97</v>
      </c>
      <c r="D127" s="112">
        <f>VLOOKUP($E$3,'Housing Generation'!$A$3:$CK$90,59,FALSE)</f>
        <v>37</v>
      </c>
      <c r="E127" s="112">
        <f>VLOOKUP($E$3,'Housing Generation'!$A$3:$CK$90,60,FALSE)</f>
        <v>37</v>
      </c>
      <c r="F127" s="112">
        <f>VLOOKUP($E$3,'Housing Generation'!$A$3:$CK$90,61,FALSE)</f>
        <v>37</v>
      </c>
      <c r="G127" s="112">
        <f>VLOOKUP($E$3,'Housing Generation'!$A$3:$CK$90,62,FALSE)</f>
        <v>37</v>
      </c>
      <c r="H127" s="112">
        <f>VLOOKUP($E$3,'Housing Generation'!$A$3:$CK$90,63,FALSE)</f>
        <v>37</v>
      </c>
      <c r="I127" s="112">
        <f>VLOOKUP($E$3,'Housing Generation'!$A$3:$CK$90,64,FALSE)</f>
        <v>37</v>
      </c>
      <c r="J127" s="111">
        <f t="shared" si="21"/>
        <v>222</v>
      </c>
    </row>
    <row r="128" spans="2:10" ht="15" customHeight="1">
      <c r="B128" s="114">
        <v>2026</v>
      </c>
      <c r="C128" s="240" t="s">
        <v>97</v>
      </c>
      <c r="D128" s="112">
        <f>VLOOKUP($E$3,'Housing Generation'!$A$3:$CK$90,67,FALSE)</f>
        <v>44</v>
      </c>
      <c r="E128" s="112">
        <f>VLOOKUP($E$3,'Housing Generation'!$A$3:$CK$90,68,FALSE)</f>
        <v>43</v>
      </c>
      <c r="F128" s="112">
        <f>VLOOKUP($E$3,'Housing Generation'!$A$3:$CK$90,69,FALSE)</f>
        <v>43</v>
      </c>
      <c r="G128" s="112">
        <f>VLOOKUP($E$3,'Housing Generation'!$A$3:$CK$90,70,FALSE)</f>
        <v>43</v>
      </c>
      <c r="H128" s="112">
        <f>VLOOKUP($E$3,'Housing Generation'!$A$3:$CK$90,71,FALSE)</f>
        <v>43</v>
      </c>
      <c r="I128" s="112">
        <f>VLOOKUP($E$3,'Housing Generation'!$A$3:$CK$90,72,FALSE)</f>
        <v>43</v>
      </c>
      <c r="J128" s="111">
        <f t="shared" si="21"/>
        <v>259</v>
      </c>
    </row>
    <row r="129" spans="2:10" ht="15" customHeight="1">
      <c r="B129" s="114">
        <v>2027</v>
      </c>
      <c r="C129" s="240" t="s">
        <v>97</v>
      </c>
      <c r="D129" s="112">
        <f>VLOOKUP($E$3,'Housing Generation'!$A$3:$CK$90,75,FALSE)</f>
        <v>49</v>
      </c>
      <c r="E129" s="112">
        <f>VLOOKUP($E$3,'Housing Generation'!$A$3:$CK$90,76,FALSE)</f>
        <v>49</v>
      </c>
      <c r="F129" s="112">
        <f>VLOOKUP($E$3,'Housing Generation'!$A$3:$CK$90,77,FALSE)</f>
        <v>49</v>
      </c>
      <c r="G129" s="112">
        <f>VLOOKUP($E$3,'Housing Generation'!$A$3:$CK$90,78,FALSE)</f>
        <v>49</v>
      </c>
      <c r="H129" s="112">
        <f>VLOOKUP($E$3,'Housing Generation'!$A$3:$CK$90,79,FALSE)</f>
        <v>49</v>
      </c>
      <c r="I129" s="112">
        <f>VLOOKUP($E$3,'Housing Generation'!$A$3:$CK$90,80,FALSE)</f>
        <v>49</v>
      </c>
      <c r="J129" s="111">
        <f t="shared" si="21"/>
        <v>294</v>
      </c>
    </row>
    <row r="130" spans="2:10" ht="15" customHeight="1">
      <c r="B130" s="114">
        <v>2028</v>
      </c>
      <c r="C130" s="289" t="s">
        <v>97</v>
      </c>
      <c r="D130" s="112">
        <f>VLOOKUP($E$3,'Housing Generation'!$A$3:$CK$90,83,FALSE)</f>
        <v>55</v>
      </c>
      <c r="E130" s="112">
        <f>VLOOKUP($E$3,'Housing Generation'!$A$3:$CK$90,84,FALSE)</f>
        <v>55</v>
      </c>
      <c r="F130" s="112">
        <f>VLOOKUP($E$3,'Housing Generation'!$A$3:$CK$90,85,FALSE)</f>
        <v>55</v>
      </c>
      <c r="G130" s="112">
        <f>VLOOKUP($E$3,'Housing Generation'!$A$3:$CK$90,86,FALSE)</f>
        <v>55</v>
      </c>
      <c r="H130" s="112">
        <f>VLOOKUP($E$3,'Housing Generation'!$A$3:$CK$90,87,FALSE)</f>
        <v>54</v>
      </c>
      <c r="I130" s="112">
        <f>VLOOKUP($E$3,'Housing Generation'!$A$3:$CK$90,88,FALSE)</f>
        <v>54</v>
      </c>
      <c r="J130" s="111">
        <f t="shared" si="21"/>
        <v>328</v>
      </c>
    </row>
    <row r="131" spans="2:10" ht="15" customHeight="1">
      <c r="B131" s="114">
        <v>2029</v>
      </c>
      <c r="C131" s="289" t="s">
        <v>97</v>
      </c>
      <c r="D131" s="112">
        <f>VLOOKUP($E$3,'Housing Generation'!$A$3:$DQ$90,91,FALSE)</f>
        <v>58</v>
      </c>
      <c r="E131" s="112">
        <f>VLOOKUP($E$3,'Housing Generation'!$A$3:$DQ$90,92,FALSE)</f>
        <v>58</v>
      </c>
      <c r="F131" s="112">
        <f>VLOOKUP($E$3,'Housing Generation'!$A$3:$DQ$90,93,FALSE)</f>
        <v>58</v>
      </c>
      <c r="G131" s="112">
        <f>VLOOKUP($E$3,'Housing Generation'!$A$3:$DQ$90,94,FALSE)</f>
        <v>57</v>
      </c>
      <c r="H131" s="112">
        <f>VLOOKUP($E$3,'Housing Generation'!$A$3:$DQ$90,95,FALSE)</f>
        <v>57</v>
      </c>
      <c r="I131" s="112">
        <f>VLOOKUP($E$3,'Housing Generation'!$A$3:$DQ$90,96,FALSE)</f>
        <v>57</v>
      </c>
      <c r="J131" s="111">
        <f t="shared" si="21"/>
        <v>345</v>
      </c>
    </row>
    <row r="132" spans="2:10" ht="15" customHeight="1">
      <c r="B132" s="114">
        <v>2030</v>
      </c>
      <c r="C132" s="289" t="s">
        <v>97</v>
      </c>
      <c r="D132" s="112">
        <f>VLOOKUP($E$3,'Housing Generation'!$A$3:$DQ$90,99,FALSE)</f>
        <v>61</v>
      </c>
      <c r="E132" s="112">
        <f>VLOOKUP($E$3,'Housing Generation'!$A$3:$DQ$90,100,FALSE)</f>
        <v>61</v>
      </c>
      <c r="F132" s="112">
        <f>VLOOKUP($E$3,'Housing Generation'!$A$3:$DQ$90,101,FALSE)</f>
        <v>60</v>
      </c>
      <c r="G132" s="112">
        <f>VLOOKUP($E$3,'Housing Generation'!$A$3:$DQ$90,102,FALSE)</f>
        <v>60</v>
      </c>
      <c r="H132" s="112">
        <f>VLOOKUP($E$3,'Housing Generation'!$A$3:$DQ$90,103,FALSE)</f>
        <v>60</v>
      </c>
      <c r="I132" s="112">
        <f>VLOOKUP($E$3,'Housing Generation'!$A$3:$DQ$90,104,FALSE)</f>
        <v>60</v>
      </c>
      <c r="J132" s="111">
        <f t="shared" si="21"/>
        <v>362</v>
      </c>
    </row>
    <row r="133" spans="2:10" ht="15" customHeight="1">
      <c r="B133" s="114">
        <v>2031</v>
      </c>
      <c r="C133" s="289" t="s">
        <v>97</v>
      </c>
      <c r="D133" s="112">
        <f>VLOOKUP($E$3,'Housing Generation'!$A$3:$DQ$90,107,FALSE)</f>
        <v>64</v>
      </c>
      <c r="E133" s="112">
        <f>VLOOKUP($E$3,'Housing Generation'!$A$3:$DQ$90,108,FALSE)</f>
        <v>63</v>
      </c>
      <c r="F133" s="112">
        <f>VLOOKUP($E$3,'Housing Generation'!$A$3:$DQ$90,109,FALSE)</f>
        <v>63</v>
      </c>
      <c r="G133" s="112">
        <f>VLOOKUP($E$3,'Housing Generation'!$A$3:$DQ$90,110,FALSE)</f>
        <v>63</v>
      </c>
      <c r="H133" s="112">
        <f>VLOOKUP($E$3,'Housing Generation'!$A$3:$DQ$90,111,FALSE)</f>
        <v>63</v>
      </c>
      <c r="I133" s="112">
        <f>VLOOKUP($E$3,'Housing Generation'!$A$3:$DQ$90,112,FALSE)</f>
        <v>63</v>
      </c>
      <c r="J133" s="111">
        <f t="shared" si="21"/>
        <v>379</v>
      </c>
    </row>
    <row r="134" spans="2:10" ht="15" customHeight="1">
      <c r="B134" s="114">
        <v>2032</v>
      </c>
      <c r="C134" s="289" t="s">
        <v>97</v>
      </c>
      <c r="D134" s="112">
        <f>VLOOKUP($E$3,'Housing Generation'!$A$3:$DQ$90,115,FALSE)</f>
        <v>66</v>
      </c>
      <c r="E134" s="112">
        <f>VLOOKUP($E$3,'Housing Generation'!$A$3:$DQ$90,116,FALSE)</f>
        <v>66</v>
      </c>
      <c r="F134" s="112">
        <f>VLOOKUP($E$3,'Housing Generation'!$A$3:$DQ$90,117,FALSE)</f>
        <v>66</v>
      </c>
      <c r="G134" s="112">
        <f>VLOOKUP($E$3,'Housing Generation'!$A$3:$DQ$90,118,FALSE)</f>
        <v>66</v>
      </c>
      <c r="H134" s="112">
        <f>VLOOKUP($E$3,'Housing Generation'!$A$3:$DQ$90,119,FALSE)</f>
        <v>66</v>
      </c>
      <c r="I134" s="112">
        <f>VLOOKUP($E$3,'Housing Generation'!$A$3:$DQ$90,120,FALSE)</f>
        <v>66</v>
      </c>
      <c r="J134" s="111">
        <f t="shared" si="21"/>
        <v>396</v>
      </c>
    </row>
    <row r="135" spans="2:10" ht="15"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Corstorphine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66</v>
      </c>
      <c r="D139" s="112">
        <f t="shared" ref="D139:I152" si="23">D121+D103</f>
        <v>88</v>
      </c>
      <c r="E139" s="112">
        <f t="shared" si="23"/>
        <v>69</v>
      </c>
      <c r="F139" s="112">
        <f t="shared" si="23"/>
        <v>81</v>
      </c>
      <c r="G139" s="112">
        <f t="shared" si="23"/>
        <v>88</v>
      </c>
      <c r="H139" s="112">
        <f t="shared" si="23"/>
        <v>72</v>
      </c>
      <c r="I139" s="112">
        <f t="shared" si="23"/>
        <v>78</v>
      </c>
      <c r="J139" s="111">
        <f t="shared" ref="J139:J147" si="24">SUM(C139:I139)</f>
        <v>542</v>
      </c>
    </row>
    <row r="140" spans="2:10" ht="15" customHeight="1">
      <c r="B140" s="114">
        <v>2020</v>
      </c>
      <c r="C140" s="113">
        <f t="shared" si="22"/>
        <v>75</v>
      </c>
      <c r="D140" s="112">
        <f t="shared" si="23"/>
        <v>66</v>
      </c>
      <c r="E140" s="112">
        <f t="shared" si="23"/>
        <v>88</v>
      </c>
      <c r="F140" s="112">
        <f t="shared" si="23"/>
        <v>70</v>
      </c>
      <c r="G140" s="112">
        <f t="shared" si="23"/>
        <v>81</v>
      </c>
      <c r="H140" s="112">
        <f t="shared" si="23"/>
        <v>88</v>
      </c>
      <c r="I140" s="112">
        <f t="shared" si="23"/>
        <v>74</v>
      </c>
      <c r="J140" s="111">
        <f t="shared" si="24"/>
        <v>542</v>
      </c>
    </row>
    <row r="141" spans="2:10" ht="15" customHeight="1">
      <c r="B141" s="114">
        <v>2021</v>
      </c>
      <c r="C141" s="113">
        <f t="shared" si="22"/>
        <v>72</v>
      </c>
      <c r="D141" s="112">
        <f t="shared" si="23"/>
        <v>76</v>
      </c>
      <c r="E141" s="112">
        <f t="shared" si="23"/>
        <v>70</v>
      </c>
      <c r="F141" s="112">
        <f t="shared" si="23"/>
        <v>92</v>
      </c>
      <c r="G141" s="112">
        <f t="shared" si="23"/>
        <v>73</v>
      </c>
      <c r="H141" s="112">
        <f t="shared" si="23"/>
        <v>84</v>
      </c>
      <c r="I141" s="112">
        <f t="shared" si="23"/>
        <v>93</v>
      </c>
      <c r="J141" s="111">
        <f t="shared" si="24"/>
        <v>560</v>
      </c>
    </row>
    <row r="142" spans="2:10" ht="15" customHeight="1">
      <c r="B142" s="114">
        <v>2022</v>
      </c>
      <c r="C142" s="113">
        <f t="shared" si="22"/>
        <v>72</v>
      </c>
      <c r="D142" s="112">
        <f t="shared" si="23"/>
        <v>73</v>
      </c>
      <c r="E142" s="112">
        <f t="shared" si="23"/>
        <v>83</v>
      </c>
      <c r="F142" s="112">
        <f t="shared" si="23"/>
        <v>78</v>
      </c>
      <c r="G142" s="112">
        <f t="shared" si="23"/>
        <v>100</v>
      </c>
      <c r="H142" s="112">
        <f t="shared" si="23"/>
        <v>81</v>
      </c>
      <c r="I142" s="112">
        <f t="shared" si="23"/>
        <v>94</v>
      </c>
      <c r="J142" s="111">
        <f t="shared" si="24"/>
        <v>581</v>
      </c>
    </row>
    <row r="143" spans="2:10" ht="15" customHeight="1">
      <c r="B143" s="114">
        <v>2023</v>
      </c>
      <c r="C143" s="113">
        <f t="shared" si="22"/>
        <v>90</v>
      </c>
      <c r="D143" s="112">
        <f t="shared" si="23"/>
        <v>73</v>
      </c>
      <c r="E143" s="112">
        <f t="shared" si="23"/>
        <v>84</v>
      </c>
      <c r="F143" s="112">
        <f t="shared" si="23"/>
        <v>94</v>
      </c>
      <c r="G143" s="112">
        <f t="shared" si="23"/>
        <v>88</v>
      </c>
      <c r="H143" s="112">
        <f t="shared" si="23"/>
        <v>110</v>
      </c>
      <c r="I143" s="112">
        <f t="shared" si="23"/>
        <v>93</v>
      </c>
      <c r="J143" s="111">
        <f t="shared" si="24"/>
        <v>632</v>
      </c>
    </row>
    <row r="144" spans="2:10" ht="15" customHeight="1">
      <c r="B144" s="114">
        <v>2024</v>
      </c>
      <c r="C144" s="113">
        <f t="shared" si="22"/>
        <v>99</v>
      </c>
      <c r="D144" s="112">
        <f t="shared" si="23"/>
        <v>91</v>
      </c>
      <c r="E144" s="112">
        <f t="shared" si="23"/>
        <v>82</v>
      </c>
      <c r="F144" s="112">
        <f t="shared" si="23"/>
        <v>93</v>
      </c>
      <c r="G144" s="112">
        <f t="shared" si="23"/>
        <v>103</v>
      </c>
      <c r="H144" s="112">
        <f t="shared" si="23"/>
        <v>97</v>
      </c>
      <c r="I144" s="112">
        <f t="shared" si="23"/>
        <v>122</v>
      </c>
      <c r="J144" s="111">
        <f t="shared" si="24"/>
        <v>687</v>
      </c>
    </row>
    <row r="145" spans="2:16" ht="15" customHeight="1">
      <c r="B145" s="114">
        <v>2025</v>
      </c>
      <c r="C145" s="113">
        <f t="shared" si="22"/>
        <v>105</v>
      </c>
      <c r="D145" s="112">
        <f t="shared" si="23"/>
        <v>99</v>
      </c>
      <c r="E145" s="112">
        <f t="shared" si="23"/>
        <v>97</v>
      </c>
      <c r="F145" s="112">
        <f t="shared" si="23"/>
        <v>89</v>
      </c>
      <c r="G145" s="112">
        <f t="shared" si="23"/>
        <v>100</v>
      </c>
      <c r="H145" s="112">
        <f t="shared" si="23"/>
        <v>110</v>
      </c>
      <c r="I145" s="112">
        <f t="shared" si="23"/>
        <v>106</v>
      </c>
      <c r="J145" s="111">
        <f t="shared" si="24"/>
        <v>706</v>
      </c>
    </row>
    <row r="146" spans="2:16" ht="15" customHeight="1">
      <c r="B146" s="114">
        <v>2026</v>
      </c>
      <c r="C146" s="113">
        <f t="shared" si="22"/>
        <v>110</v>
      </c>
      <c r="D146" s="112">
        <f t="shared" si="23"/>
        <v>107</v>
      </c>
      <c r="E146" s="112">
        <f t="shared" si="23"/>
        <v>105</v>
      </c>
      <c r="F146" s="112">
        <f t="shared" si="23"/>
        <v>104</v>
      </c>
      <c r="G146" s="112">
        <f t="shared" si="23"/>
        <v>95</v>
      </c>
      <c r="H146" s="112">
        <f t="shared" si="23"/>
        <v>106</v>
      </c>
      <c r="I146" s="112">
        <f t="shared" si="23"/>
        <v>118</v>
      </c>
      <c r="J146" s="111">
        <f t="shared" si="24"/>
        <v>745</v>
      </c>
    </row>
    <row r="147" spans="2:16" ht="15" customHeight="1">
      <c r="B147" s="114">
        <v>2027</v>
      </c>
      <c r="C147" s="113">
        <f t="shared" si="22"/>
        <v>115</v>
      </c>
      <c r="D147" s="112">
        <f t="shared" si="23"/>
        <v>112</v>
      </c>
      <c r="E147" s="112">
        <f t="shared" si="23"/>
        <v>112</v>
      </c>
      <c r="F147" s="112">
        <f t="shared" si="23"/>
        <v>112</v>
      </c>
      <c r="G147" s="112">
        <f t="shared" si="23"/>
        <v>110</v>
      </c>
      <c r="H147" s="112">
        <f t="shared" si="23"/>
        <v>101</v>
      </c>
      <c r="I147" s="112">
        <f t="shared" si="23"/>
        <v>114</v>
      </c>
      <c r="J147" s="111">
        <f t="shared" si="24"/>
        <v>776</v>
      </c>
    </row>
    <row r="148" spans="2:16" ht="15" customHeight="1">
      <c r="B148" s="114">
        <v>2028</v>
      </c>
      <c r="C148" s="113">
        <f t="shared" si="22"/>
        <v>125</v>
      </c>
      <c r="D148" s="112">
        <f t="shared" si="23"/>
        <v>117</v>
      </c>
      <c r="E148" s="112">
        <f t="shared" si="23"/>
        <v>118</v>
      </c>
      <c r="F148" s="112">
        <f t="shared" si="23"/>
        <v>119</v>
      </c>
      <c r="G148" s="112">
        <f t="shared" si="23"/>
        <v>118</v>
      </c>
      <c r="H148" s="112">
        <f t="shared" si="23"/>
        <v>115</v>
      </c>
      <c r="I148" s="112">
        <f t="shared" si="23"/>
        <v>107</v>
      </c>
      <c r="J148" s="111">
        <f t="shared" ref="J148:J152" si="25">SUM(C148:I148)</f>
        <v>819</v>
      </c>
    </row>
    <row r="149" spans="2:16" ht="15" customHeight="1">
      <c r="B149" s="114">
        <v>2029</v>
      </c>
      <c r="C149" s="113">
        <f t="shared" si="22"/>
        <v>125</v>
      </c>
      <c r="D149" s="112">
        <f t="shared" si="23"/>
        <v>127</v>
      </c>
      <c r="E149" s="112">
        <f t="shared" si="23"/>
        <v>120</v>
      </c>
      <c r="F149" s="112">
        <f t="shared" si="23"/>
        <v>122</v>
      </c>
      <c r="G149" s="112">
        <f t="shared" si="23"/>
        <v>121</v>
      </c>
      <c r="H149" s="112">
        <f t="shared" si="23"/>
        <v>120</v>
      </c>
      <c r="I149" s="112">
        <f t="shared" si="23"/>
        <v>120</v>
      </c>
      <c r="J149" s="111">
        <f t="shared" si="25"/>
        <v>855</v>
      </c>
    </row>
    <row r="150" spans="2:16" ht="15" customHeight="1">
      <c r="B150" s="114">
        <v>2030</v>
      </c>
      <c r="C150" s="113">
        <f t="shared" si="22"/>
        <v>130</v>
      </c>
      <c r="D150" s="112">
        <f t="shared" si="23"/>
        <v>127</v>
      </c>
      <c r="E150" s="112">
        <f t="shared" si="23"/>
        <v>130</v>
      </c>
      <c r="F150" s="112">
        <f t="shared" si="23"/>
        <v>123</v>
      </c>
      <c r="G150" s="112">
        <f t="shared" si="23"/>
        <v>124</v>
      </c>
      <c r="H150" s="112">
        <f t="shared" si="23"/>
        <v>124</v>
      </c>
      <c r="I150" s="112">
        <f t="shared" si="23"/>
        <v>125</v>
      </c>
      <c r="J150" s="111">
        <f t="shared" si="25"/>
        <v>883</v>
      </c>
    </row>
    <row r="151" spans="2:16" ht="15" customHeight="1">
      <c r="B151" s="114">
        <v>2031</v>
      </c>
      <c r="C151" s="113">
        <f t="shared" si="22"/>
        <v>130</v>
      </c>
      <c r="D151" s="112">
        <f t="shared" si="23"/>
        <v>132</v>
      </c>
      <c r="E151" s="112">
        <f t="shared" si="23"/>
        <v>129</v>
      </c>
      <c r="F151" s="112">
        <f t="shared" si="23"/>
        <v>133</v>
      </c>
      <c r="G151" s="112">
        <f t="shared" si="23"/>
        <v>126</v>
      </c>
      <c r="H151" s="112">
        <f t="shared" si="23"/>
        <v>127</v>
      </c>
      <c r="I151" s="112">
        <f t="shared" si="23"/>
        <v>129</v>
      </c>
      <c r="J151" s="111">
        <f t="shared" si="25"/>
        <v>906</v>
      </c>
    </row>
    <row r="152" spans="2:16" ht="15" customHeight="1">
      <c r="B152" s="114">
        <v>2032</v>
      </c>
      <c r="C152" s="113">
        <f t="shared" si="22"/>
        <v>135</v>
      </c>
      <c r="D152" s="112">
        <f t="shared" si="23"/>
        <v>131</v>
      </c>
      <c r="E152" s="112">
        <f t="shared" si="23"/>
        <v>134</v>
      </c>
      <c r="F152" s="112">
        <f t="shared" si="23"/>
        <v>133</v>
      </c>
      <c r="G152" s="112">
        <f t="shared" si="23"/>
        <v>136</v>
      </c>
      <c r="H152" s="112">
        <f t="shared" si="23"/>
        <v>129</v>
      </c>
      <c r="I152" s="112">
        <f t="shared" si="23"/>
        <v>132</v>
      </c>
      <c r="J152" s="111">
        <f t="shared" si="25"/>
        <v>930</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542</v>
      </c>
      <c r="D159" s="108">
        <f>J140</f>
        <v>542</v>
      </c>
      <c r="E159" s="108">
        <f>J141</f>
        <v>560</v>
      </c>
      <c r="F159" s="108">
        <f>J142</f>
        <v>581</v>
      </c>
      <c r="G159" s="108">
        <f>J143</f>
        <v>632</v>
      </c>
      <c r="H159" s="108">
        <f>J144</f>
        <v>687</v>
      </c>
      <c r="I159" s="108">
        <f>J145</f>
        <v>706</v>
      </c>
      <c r="J159" s="108">
        <f>J146</f>
        <v>745</v>
      </c>
      <c r="K159" s="108">
        <f>J147</f>
        <v>776</v>
      </c>
      <c r="L159" s="108">
        <f>J148</f>
        <v>819</v>
      </c>
      <c r="M159" s="108">
        <f>J149</f>
        <v>855</v>
      </c>
      <c r="N159" s="108">
        <f>J150</f>
        <v>883</v>
      </c>
      <c r="O159" s="108">
        <f>J151</f>
        <v>906</v>
      </c>
      <c r="P159" s="108">
        <f>J152</f>
        <v>930</v>
      </c>
    </row>
    <row r="160" spans="2:16" ht="15" customHeight="1">
      <c r="B160" s="107" t="s">
        <v>152</v>
      </c>
      <c r="C160" s="106">
        <f>VLOOKUP(C159,Capacity!$A$1:$C$645,2,TRUE)</f>
        <v>19</v>
      </c>
      <c r="D160" s="106">
        <f>VLOOKUP(D159,Capacity!$A$1:$C$645,2,TRUE)</f>
        <v>19</v>
      </c>
      <c r="E160" s="106">
        <f>VLOOKUP(E159,Capacity!$A$1:$C$645,2,TRUE)</f>
        <v>20</v>
      </c>
      <c r="F160" s="106">
        <f>VLOOKUP(F159,Capacity!$A$1:$C$645,2,TRUE)</f>
        <v>21</v>
      </c>
      <c r="G160" s="106">
        <f>VLOOKUP(G159,Capacity!$A$1:$C$645,2,TRUE)</f>
        <v>22</v>
      </c>
      <c r="H160" s="106">
        <f>VLOOKUP(H159,Capacity!$A$1:$C$645,2,TRUE)</f>
        <v>23</v>
      </c>
      <c r="I160" s="106">
        <f>VLOOKUP(I159,Capacity!$A$1:$C$645,2,TRUE)</f>
        <v>23</v>
      </c>
      <c r="J160" s="106">
        <f>VLOOKUP(J159,Capacity!$A$1:$C$645,2,TRUE)</f>
        <v>23</v>
      </c>
      <c r="K160" s="106">
        <f>VLOOKUP(K159,Capacity!$A$1:$C$645,2,TRUE)</f>
        <v>23</v>
      </c>
      <c r="L160" s="106">
        <f>VLOOKUP(L159,Capacity!$A$1:$C$645,2,TRUE)</f>
        <v>23</v>
      </c>
      <c r="M160" s="106">
        <f>VLOOKUP(M159,Capacity!$A$1:$C$645,2,TRUE)</f>
        <v>23</v>
      </c>
      <c r="N160" s="106">
        <f>VLOOKUP(N159,Capacity!$A$1:$C$645,2,TRUE)</f>
        <v>23</v>
      </c>
      <c r="O160" s="106">
        <f>VLOOKUP(O159,Capacity!$A$1:$C$645,2,TRUE)</f>
        <v>23</v>
      </c>
      <c r="P160" s="106">
        <f>VLOOKUP(P159,Capacity!$A$1:$C$645,2,TRUE)</f>
        <v>23</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53</v>
      </c>
      <c r="D169" s="97">
        <f>VLOOKUP($E$3,'Catchment Births'!$A$1:$U$90,11,FALSE)</f>
        <v>73</v>
      </c>
      <c r="E169" s="97">
        <f>VLOOKUP($E$3,'Catchment Births'!$A$1:$U$90,12,FALSE)</f>
        <v>75</v>
      </c>
      <c r="F169" s="97">
        <f>VLOOKUP($E$3,'Catchment Births'!$A$1:$U$90,13,FALSE)</f>
        <v>79</v>
      </c>
      <c r="G169" s="97">
        <f>VLOOKUP($E$3,'Catchment Births'!$A$1:$U$90,14,FALSE)</f>
        <v>71</v>
      </c>
      <c r="H169" s="97">
        <f>VLOOKUP($E$3,'Catchment Births'!$A$1:$U$90,15,FALSE)</f>
        <v>67</v>
      </c>
      <c r="I169" s="97">
        <f>VLOOKUP($E$3,'Catchment Births'!$A$1:$U$90,16,FALSE)</f>
        <v>67</v>
      </c>
      <c r="J169" s="97">
        <f>VLOOKUP($E$3,'Catchment Births'!$A$1:$U$90,17,FALSE)</f>
        <v>75</v>
      </c>
      <c r="K169" s="97">
        <f>VLOOKUP($E$3,'Catchment Births'!$A$1:$U$90,18,FALSE)</f>
        <v>66</v>
      </c>
      <c r="L169" s="97">
        <f>VLOOKUP($E$3,'Catchment Births'!$A$1:$U$90,19,FALSE)</f>
        <v>81</v>
      </c>
      <c r="M169" s="97">
        <f>VLOOKUP($E$3,'Catchment Births'!$A$1:$U$90,20,FALSE)</f>
        <v>63</v>
      </c>
      <c r="N169" s="97">
        <f>VLOOKUP($E$3,'Catchment Births'!$A$1:$U$90,21,FALSE)</f>
        <v>73</v>
      </c>
    </row>
    <row r="170" spans="2:14" ht="58.5" customHeight="1">
      <c r="B170" s="103" t="str">
        <f>"P1 "&amp;A35&amp;" Catchment Population (Actual)"</f>
        <v>P1 ND Catchment Population (Actual)</v>
      </c>
      <c r="C170" s="102" t="e">
        <v>#REF!</v>
      </c>
      <c r="D170" s="102">
        <v>67</v>
      </c>
      <c r="E170" s="102">
        <v>66</v>
      </c>
      <c r="F170" s="102">
        <v>82</v>
      </c>
      <c r="G170" s="102">
        <v>71</v>
      </c>
      <c r="H170" s="102">
        <v>64</v>
      </c>
      <c r="I170" s="102">
        <v>84</v>
      </c>
      <c r="J170" s="308">
        <f>VLOOKUP(E3,'Catchment Projections'!A1:BU92,42,FALSE)</f>
        <v>76</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84</v>
      </c>
      <c r="J172" s="96" t="e">
        <f>#REF!</f>
        <v>#REF!</v>
      </c>
      <c r="K172" s="96">
        <f>D51</f>
        <v>66</v>
      </c>
      <c r="L172" s="96">
        <f>E51</f>
        <v>77</v>
      </c>
      <c r="M172" s="96">
        <f>F51</f>
        <v>70</v>
      </c>
      <c r="N172" s="96">
        <f>G51</f>
        <v>73</v>
      </c>
    </row>
    <row r="173" spans="2:14" ht="12.75">
      <c r="B173" s="62"/>
      <c r="C173" s="62"/>
      <c r="D173" s="62"/>
      <c r="E173" s="62"/>
      <c r="F173" s="62"/>
      <c r="G173" s="62"/>
      <c r="H173" s="62"/>
      <c r="I173" s="62"/>
      <c r="J173" s="62"/>
      <c r="K173" s="62"/>
    </row>
    <row r="174" spans="2:14" ht="15" customHeight="1">
      <c r="B174" s="64" t="str">
        <f>"Table 5: "&amp;E3&amp;" Roll by Stage, 2002-2018"</f>
        <v>Table 5: Corstorphine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60</v>
      </c>
      <c r="D177" s="93">
        <v>59</v>
      </c>
      <c r="E177" s="93">
        <v>59</v>
      </c>
      <c r="F177" s="93">
        <v>62</v>
      </c>
      <c r="G177" s="93">
        <v>76</v>
      </c>
      <c r="H177" s="93">
        <v>66</v>
      </c>
      <c r="I177" s="93">
        <v>66</v>
      </c>
      <c r="J177" s="92">
        <v>448</v>
      </c>
      <c r="K177" s="62"/>
    </row>
    <row r="178" spans="2:11" ht="15" customHeight="1">
      <c r="B178" s="94">
        <v>2003</v>
      </c>
      <c r="C178" s="93">
        <v>60</v>
      </c>
      <c r="D178" s="93">
        <v>60</v>
      </c>
      <c r="E178" s="93">
        <v>57</v>
      </c>
      <c r="F178" s="93">
        <v>59</v>
      </c>
      <c r="G178" s="93">
        <v>65</v>
      </c>
      <c r="H178" s="93">
        <v>75</v>
      </c>
      <c r="I178" s="93">
        <v>65</v>
      </c>
      <c r="J178" s="92">
        <v>441</v>
      </c>
      <c r="K178" s="62"/>
    </row>
    <row r="179" spans="2:11" customFormat="1" ht="15" customHeight="1">
      <c r="B179" s="94">
        <v>2004</v>
      </c>
      <c r="C179" s="95">
        <v>60</v>
      </c>
      <c r="D179" s="95">
        <v>59</v>
      </c>
      <c r="E179" s="95">
        <v>59</v>
      </c>
      <c r="F179" s="95">
        <v>58</v>
      </c>
      <c r="G179" s="95">
        <v>55</v>
      </c>
      <c r="H179" s="95">
        <v>60</v>
      </c>
      <c r="I179" s="95">
        <v>70</v>
      </c>
      <c r="J179" s="92">
        <v>421</v>
      </c>
      <c r="K179" s="62"/>
    </row>
    <row r="180" spans="2:11" customFormat="1" ht="15" customHeight="1">
      <c r="B180" s="94">
        <v>2005</v>
      </c>
      <c r="C180" s="93">
        <v>84</v>
      </c>
      <c r="D180" s="93">
        <v>60</v>
      </c>
      <c r="E180" s="93">
        <v>58</v>
      </c>
      <c r="F180" s="93">
        <v>61</v>
      </c>
      <c r="G180" s="93">
        <v>58</v>
      </c>
      <c r="H180" s="93">
        <v>57</v>
      </c>
      <c r="I180" s="93">
        <v>60</v>
      </c>
      <c r="J180" s="92">
        <v>438</v>
      </c>
      <c r="K180" s="62"/>
    </row>
    <row r="181" spans="2:11" customFormat="1" ht="15" customHeight="1">
      <c r="B181" s="94">
        <v>2006</v>
      </c>
      <c r="C181" s="93">
        <v>58</v>
      </c>
      <c r="D181" s="93">
        <v>83</v>
      </c>
      <c r="E181" s="93">
        <v>58</v>
      </c>
      <c r="F181" s="93">
        <v>59</v>
      </c>
      <c r="G181" s="93">
        <v>64</v>
      </c>
      <c r="H181" s="93">
        <v>62</v>
      </c>
      <c r="I181" s="93">
        <v>57</v>
      </c>
      <c r="J181" s="92">
        <v>441</v>
      </c>
      <c r="K181" s="62"/>
    </row>
    <row r="182" spans="2:11" customFormat="1" ht="15" customHeight="1">
      <c r="B182" s="94">
        <v>2007</v>
      </c>
      <c r="C182" s="93">
        <v>60</v>
      </c>
      <c r="D182" s="93">
        <v>60</v>
      </c>
      <c r="E182" s="93">
        <v>84</v>
      </c>
      <c r="F182" s="93">
        <v>62</v>
      </c>
      <c r="G182" s="93">
        <v>57</v>
      </c>
      <c r="H182" s="93">
        <v>66</v>
      </c>
      <c r="I182" s="93">
        <v>61</v>
      </c>
      <c r="J182" s="92">
        <v>450</v>
      </c>
      <c r="K182" s="62"/>
    </row>
    <row r="183" spans="2:11" customFormat="1" ht="15" customHeight="1">
      <c r="B183" s="94">
        <v>2008</v>
      </c>
      <c r="C183" s="93">
        <v>71</v>
      </c>
      <c r="D183" s="93">
        <v>60</v>
      </c>
      <c r="E183" s="93">
        <v>60</v>
      </c>
      <c r="F183" s="93">
        <v>85</v>
      </c>
      <c r="G183" s="93">
        <v>62</v>
      </c>
      <c r="H183" s="93">
        <v>55</v>
      </c>
      <c r="I183" s="93">
        <v>65</v>
      </c>
      <c r="J183" s="92">
        <v>458</v>
      </c>
      <c r="K183" s="62"/>
    </row>
    <row r="184" spans="2:11" customFormat="1" ht="15" customHeight="1">
      <c r="B184" s="94">
        <v>2009</v>
      </c>
      <c r="C184" s="93">
        <v>63</v>
      </c>
      <c r="D184" s="93">
        <v>72</v>
      </c>
      <c r="E184" s="93">
        <v>61</v>
      </c>
      <c r="F184" s="93">
        <v>63</v>
      </c>
      <c r="G184" s="93">
        <v>84</v>
      </c>
      <c r="H184" s="93">
        <v>60</v>
      </c>
      <c r="I184" s="93">
        <v>56</v>
      </c>
      <c r="J184" s="94">
        <v>459</v>
      </c>
      <c r="K184" s="62"/>
    </row>
    <row r="185" spans="2:11" customFormat="1" ht="15" customHeight="1">
      <c r="B185" s="94">
        <v>2010</v>
      </c>
      <c r="C185" s="93">
        <v>60</v>
      </c>
      <c r="D185" s="93">
        <v>65</v>
      </c>
      <c r="E185" s="93">
        <v>72</v>
      </c>
      <c r="F185" s="93">
        <v>61</v>
      </c>
      <c r="G185" s="93">
        <v>66</v>
      </c>
      <c r="H185" s="93">
        <v>84</v>
      </c>
      <c r="I185" s="93">
        <v>59</v>
      </c>
      <c r="J185" s="92">
        <v>467</v>
      </c>
      <c r="K185" s="62"/>
    </row>
    <row r="186" spans="2:11" customFormat="1" ht="15" customHeight="1">
      <c r="B186" s="94">
        <v>2011</v>
      </c>
      <c r="C186" s="93">
        <v>70</v>
      </c>
      <c r="D186" s="93">
        <v>59</v>
      </c>
      <c r="E186" s="93">
        <v>65</v>
      </c>
      <c r="F186" s="93">
        <v>76</v>
      </c>
      <c r="G186" s="93">
        <v>61</v>
      </c>
      <c r="H186" s="93">
        <v>63</v>
      </c>
      <c r="I186" s="93">
        <v>76</v>
      </c>
      <c r="J186" s="92">
        <v>470</v>
      </c>
      <c r="K186" s="62"/>
    </row>
    <row r="187" spans="2:11" customFormat="1" ht="15" customHeight="1">
      <c r="B187" s="94">
        <v>2012</v>
      </c>
      <c r="C187" s="93">
        <v>86</v>
      </c>
      <c r="D187" s="93">
        <v>69</v>
      </c>
      <c r="E187" s="93">
        <v>59</v>
      </c>
      <c r="F187" s="93">
        <v>63</v>
      </c>
      <c r="G187" s="93">
        <v>77</v>
      </c>
      <c r="H187" s="93">
        <v>55</v>
      </c>
      <c r="I187" s="93">
        <v>65</v>
      </c>
      <c r="J187" s="92">
        <v>474</v>
      </c>
      <c r="K187" s="62"/>
    </row>
    <row r="188" spans="2:11" customFormat="1" ht="15" customHeight="1">
      <c r="B188" s="94">
        <v>2013</v>
      </c>
      <c r="C188" s="93">
        <v>75</v>
      </c>
      <c r="D188" s="93">
        <v>85</v>
      </c>
      <c r="E188" s="93">
        <v>69</v>
      </c>
      <c r="F188" s="93">
        <v>58</v>
      </c>
      <c r="G188" s="93">
        <v>60</v>
      </c>
      <c r="H188" s="93">
        <v>71</v>
      </c>
      <c r="I188" s="93">
        <v>56</v>
      </c>
      <c r="J188" s="94">
        <v>474</v>
      </c>
      <c r="K188" s="62"/>
    </row>
    <row r="189" spans="2:11" customFormat="1" ht="15" customHeight="1">
      <c r="B189" s="94">
        <v>2014</v>
      </c>
      <c r="C189" s="93">
        <v>69</v>
      </c>
      <c r="D189" s="93">
        <v>74</v>
      </c>
      <c r="E189" s="93">
        <v>86</v>
      </c>
      <c r="F189" s="93">
        <v>70</v>
      </c>
      <c r="G189" s="93">
        <v>58</v>
      </c>
      <c r="H189" s="93">
        <v>60</v>
      </c>
      <c r="I189" s="93">
        <v>73</v>
      </c>
      <c r="J189" s="92">
        <v>490</v>
      </c>
      <c r="K189" s="65"/>
    </row>
    <row r="190" spans="2:11" customFormat="1" ht="15" customHeight="1">
      <c r="B190" s="94">
        <v>2015</v>
      </c>
      <c r="C190" s="93">
        <v>87</v>
      </c>
      <c r="D190" s="93">
        <v>70</v>
      </c>
      <c r="E190" s="93">
        <v>74</v>
      </c>
      <c r="F190" s="93">
        <v>87</v>
      </c>
      <c r="G190" s="93">
        <v>74</v>
      </c>
      <c r="H190" s="93">
        <v>62</v>
      </c>
      <c r="I190" s="93">
        <v>62</v>
      </c>
      <c r="J190" s="92">
        <v>516</v>
      </c>
      <c r="K190" s="65"/>
    </row>
    <row r="191" spans="2:11" customFormat="1" ht="15" customHeight="1">
      <c r="B191" s="94">
        <v>2016</v>
      </c>
      <c r="C191" s="93">
        <v>84</v>
      </c>
      <c r="D191" s="93">
        <v>90</v>
      </c>
      <c r="E191" s="93">
        <v>70</v>
      </c>
      <c r="F191" s="93">
        <v>80</v>
      </c>
      <c r="G191" s="93">
        <v>95</v>
      </c>
      <c r="H191" s="93">
        <v>71</v>
      </c>
      <c r="I191" s="93">
        <v>64</v>
      </c>
      <c r="J191" s="92">
        <v>554</v>
      </c>
      <c r="K191" s="65"/>
    </row>
    <row r="192" spans="2:11" ht="15" customHeight="1">
      <c r="B192" s="94">
        <v>2017</v>
      </c>
      <c r="C192" s="93">
        <f>VLOOKUP($E$3,Rolls!A1:FA90,42,FALSE)</f>
        <v>68</v>
      </c>
      <c r="D192" s="93">
        <f>VLOOKUP($E$3,Rolls!A1:FA90,43,FALSE)</f>
        <v>82</v>
      </c>
      <c r="E192" s="93">
        <f>VLOOKUP($E$3,Rolls!A1:FA90,44,FALSE)</f>
        <v>87</v>
      </c>
      <c r="F192" s="93">
        <f>VLOOKUP($E$3,Rolls!A1:FA90,45,FALSE)</f>
        <v>72</v>
      </c>
      <c r="G192" s="93">
        <f>VLOOKUP($E$3,Rolls!A1:FA90,46,FALSE)</f>
        <v>80</v>
      </c>
      <c r="H192" s="93">
        <f>VLOOKUP($E$3,Rolls!A1:FA90,47,FALSE)</f>
        <v>95</v>
      </c>
      <c r="I192" s="93">
        <f>VLOOKUP($E$3,Rolls!A1:FA90,48,FALSE)</f>
        <v>67</v>
      </c>
      <c r="J192" s="92">
        <f>VLOOKUP($E$3,Rolls!A1:FA90,49,FALSE)</f>
        <v>551</v>
      </c>
      <c r="K192" s="65"/>
    </row>
    <row r="193" spans="2:11" ht="15" customHeight="1">
      <c r="B193" s="94">
        <v>2018</v>
      </c>
      <c r="C193" s="93">
        <f>VLOOKUP($E$3,Rolls!A1:FA90,50,FALSE)</f>
        <v>87</v>
      </c>
      <c r="D193" s="93">
        <f>VLOOKUP($E$3,Rolls!A1:FA90,51,FALSE)</f>
        <v>69</v>
      </c>
      <c r="E193" s="93">
        <f>VLOOKUP($E$3,Rolls!A1:FA90,52,FALSE)</f>
        <v>80</v>
      </c>
      <c r="F193" s="93">
        <f>VLOOKUP($E$3,Rolls!A1:FA90,53,FALSE)</f>
        <v>88</v>
      </c>
      <c r="G193" s="93">
        <f>VLOOKUP($E$3,Rolls!A1:FA90,54,FALSE)</f>
        <v>72</v>
      </c>
      <c r="H193" s="93">
        <f>VLOOKUP($E$3,Rolls!A1:FA90,55,FALSE)</f>
        <v>76</v>
      </c>
      <c r="I193" s="93">
        <f>VLOOKUP($E$3,Rolls!A1:FA90,56,FALSE)</f>
        <v>90</v>
      </c>
      <c r="J193" s="92">
        <f>VLOOKUP($E$3,Rolls!A1:FA90,57,FALSE)</f>
        <v>562</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Q193"/>
  <sheetViews>
    <sheetView topLeftCell="B39" zoomScaleNormal="100" workbookViewId="0">
      <selection activeCell="H60" sqref="H60"/>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23</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Craigentinny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420 Pupils (14 classes)</v>
      </c>
      <c r="G12" s="16"/>
      <c r="H12" s="16"/>
    </row>
    <row r="13" spans="2:10" ht="15" customHeight="1">
      <c r="C13" s="16"/>
      <c r="D13" s="16"/>
      <c r="E13" s="16"/>
      <c r="F13" s="16"/>
      <c r="G13" s="16"/>
      <c r="H13" s="16"/>
    </row>
    <row r="14" spans="2:10" ht="15" customHeight="1">
      <c r="B14" s="15" t="str">
        <f>"Figure 1: "&amp;E3&amp;" Roll, 2002-2015"</f>
        <v>Figure 1: Craigentinny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Craigentinny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59</v>
      </c>
      <c r="E49" s="108">
        <f>VLOOKUP($E$3,'Catchment Projections'!$A$1:$BU$90,46,FALSE)</f>
        <v>49</v>
      </c>
      <c r="F49" s="108">
        <f>VLOOKUP($E$3,'Catchment Projections'!$A$1:$BU$90,47,FALSE)</f>
        <v>54</v>
      </c>
      <c r="G49" s="108">
        <f>VLOOKUP($E$3,'Catchment Projections'!$A$1:$BU$90,48,FALSE)</f>
        <v>48</v>
      </c>
      <c r="H49" s="133">
        <f>VLOOKUP($E$3,'Catchment Projections'!$A$1:$BU$90,49,FALSE)</f>
        <v>51</v>
      </c>
      <c r="I49" s="133">
        <f>VLOOKUP($E$3,'Catchment Projections'!$A$1:$BU$90,50,FALSE)</f>
        <v>52</v>
      </c>
      <c r="J49" s="133">
        <f>VLOOKUP($E$3,'Catchment Projections'!$A$1:$BU$90,51,FALSE)</f>
        <v>52</v>
      </c>
      <c r="K49" s="133">
        <f>VLOOKUP($E$3,'Catchment Projections'!$A$1:$BU$90,52,FALSE)</f>
        <v>53</v>
      </c>
      <c r="L49" s="133">
        <f>VLOOKUP($E$3,'Catchment Projections'!$A$1:$BU$90,53,FALSE)</f>
        <v>53</v>
      </c>
      <c r="M49" s="133">
        <f>VLOOKUP($E$3,'Catchment Projections'!$A$1:$BU$90,54,FALSE)</f>
        <v>53</v>
      </c>
      <c r="N49" s="133">
        <f>VLOOKUP($E$3,'Catchment Projections'!$A$1:$BU$90,55,FALSE)</f>
        <v>53</v>
      </c>
      <c r="O49" s="133">
        <f>VLOOKUP($E$3,'Catchment Projections'!$A$1:$BU$90,56,FALSE)</f>
        <v>53</v>
      </c>
      <c r="P49" s="133">
        <f>VLOOKUP($E$3,'Catchment Projections'!$A$1:$BU$90,57,FALSE)</f>
        <v>53</v>
      </c>
      <c r="Q49" s="133">
        <f>VLOOKUP($E$3,'Catchment Projections'!$A$1:$BU$90,58,FALSE)</f>
        <v>53</v>
      </c>
    </row>
    <row r="50" spans="2:17" ht="15" customHeight="1" thickBot="1">
      <c r="B50" s="410" t="s">
        <v>141</v>
      </c>
      <c r="C50" s="411"/>
      <c r="D50" s="286">
        <f>VLOOKUP(E3,'Housing Generation'!$A$3:$DQ$90,10,FALSE)</f>
        <v>1</v>
      </c>
      <c r="E50" s="286">
        <f>VLOOKUP(E3,'Housing Generation'!$A$3:$DQ$90,18,FALSE)</f>
        <v>1</v>
      </c>
      <c r="F50" s="286">
        <f>VLOOKUP(E3,'Housing Generation'!$A$3:$DQ$90,26,FALSE)</f>
        <v>1</v>
      </c>
      <c r="G50" s="243">
        <f>VLOOKUP(E3,'Housing Generation'!$A$3:$DQ$90,34,FALSE)</f>
        <v>1</v>
      </c>
      <c r="H50" s="133">
        <f>VLOOKUP(E3,'Housing Generation'!$A$3:$DQ$90,42,FALSE)</f>
        <v>2</v>
      </c>
      <c r="I50" s="133">
        <f>VLOOKUP(E3,'Housing Generation'!$A$3:$DQ$90,50,FALSE)</f>
        <v>2</v>
      </c>
      <c r="J50" s="133">
        <f>VLOOKUP(E3,'Housing Generation'!$A$3:$CK$90,58,FALSE)</f>
        <v>2</v>
      </c>
      <c r="K50" s="133">
        <f>VLOOKUP(E3,'Housing Generation'!$A$3:$CK$90,66,FALSE)</f>
        <v>2</v>
      </c>
      <c r="L50" s="133">
        <f>VLOOKUP(E3,'Housing Generation'!$A$3:$DQ$90,74,FALSE)</f>
        <v>3</v>
      </c>
      <c r="M50" s="133">
        <f>VLOOKUP(E3,'Housing Generation'!$A$3:$DQ$90,82,FALSE)</f>
        <v>3</v>
      </c>
      <c r="N50" s="133">
        <f>VLOOKUP(E3,'Housing Generation'!$A$3:$DQ$90,90,FALSE)</f>
        <v>3</v>
      </c>
      <c r="O50" s="133">
        <f>VLOOKUP(E3,'Housing Generation'!$A$3:$DQ$90,98,FALSE)</f>
        <v>3</v>
      </c>
      <c r="P50" s="133">
        <f>VLOOKUP(E3,'Housing Generation'!$A$3:$DQ$90,106,FALSE)</f>
        <v>3</v>
      </c>
      <c r="Q50" s="133">
        <f>VLOOKUP(E3,'Housing Generation'!$A$3:$DQ$90,114,FALSE)</f>
        <v>3</v>
      </c>
    </row>
    <row r="51" spans="2:17" ht="15" customHeight="1" thickTop="1">
      <c r="B51" s="421" t="s">
        <v>130</v>
      </c>
      <c r="C51" s="422"/>
      <c r="D51" s="47">
        <f t="shared" ref="D51:Q51" si="0">SUM(D49:D50)</f>
        <v>60</v>
      </c>
      <c r="E51" s="47">
        <f t="shared" si="0"/>
        <v>50</v>
      </c>
      <c r="F51" s="80">
        <f t="shared" si="0"/>
        <v>55</v>
      </c>
      <c r="G51" s="244">
        <f t="shared" si="0"/>
        <v>49</v>
      </c>
      <c r="H51" s="71">
        <f t="shared" si="0"/>
        <v>53</v>
      </c>
      <c r="I51" s="71">
        <f t="shared" si="0"/>
        <v>54</v>
      </c>
      <c r="J51" s="71">
        <f t="shared" si="0"/>
        <v>54</v>
      </c>
      <c r="K51" s="71">
        <f t="shared" si="0"/>
        <v>55</v>
      </c>
      <c r="L51" s="71">
        <f t="shared" si="0"/>
        <v>56</v>
      </c>
      <c r="M51" s="71">
        <f t="shared" si="0"/>
        <v>56</v>
      </c>
      <c r="N51" s="71">
        <f t="shared" si="0"/>
        <v>56</v>
      </c>
      <c r="O51" s="71">
        <f t="shared" si="0"/>
        <v>56</v>
      </c>
      <c r="P51" s="71">
        <f t="shared" si="0"/>
        <v>56</v>
      </c>
      <c r="Q51" s="71">
        <f t="shared" si="0"/>
        <v>56</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55</v>
      </c>
      <c r="D60" s="358">
        <f>VLOOKUP($E$3,'Catchment Projections'!$A$1:$BZ$90,74,FALSE)</f>
        <v>28</v>
      </c>
      <c r="E60" s="303">
        <f>D60/C60</f>
        <v>0.50909090909090904</v>
      </c>
      <c r="G60" s="132">
        <v>2014</v>
      </c>
      <c r="H60" s="395">
        <f>VLOOKUP($G$60,$B$177:$C$215, 2, FALSE)</f>
        <v>33</v>
      </c>
      <c r="I60" s="120">
        <f>H60-D60</f>
        <v>5</v>
      </c>
      <c r="J60" s="121">
        <f>I60/H60</f>
        <v>0.15151515151515152</v>
      </c>
    </row>
    <row r="61" spans="2:17" ht="15" customHeight="1">
      <c r="B61" s="132">
        <v>2015</v>
      </c>
      <c r="C61" s="359">
        <f>VLOOKUP($E$3,'Catchment Projections'!$A$1:$BZ$90,41,FALSE)</f>
        <v>52</v>
      </c>
      <c r="D61" s="358">
        <f>VLOOKUP($E$3,'Catchment Projections'!$A$1:$BZ$90,75,FALSE)</f>
        <v>33</v>
      </c>
      <c r="E61" s="303">
        <f>D61/C61</f>
        <v>0.63461538461538458</v>
      </c>
      <c r="G61" s="132">
        <v>2015</v>
      </c>
      <c r="H61" s="395">
        <f>VLOOKUP($G$61,$B$177:$C$215, 2, FALSE)</f>
        <v>37</v>
      </c>
      <c r="I61" s="120">
        <f>H61-D61</f>
        <v>4</v>
      </c>
      <c r="J61" s="121">
        <f>I61/H61</f>
        <v>0.10810810810810811</v>
      </c>
    </row>
    <row r="62" spans="2:17" ht="15" customHeight="1">
      <c r="B62" s="131">
        <v>2016</v>
      </c>
      <c r="C62" s="359">
        <f>VLOOKUP($E$3,'Catchment Projections'!$A$1:$BZ$90,42,FALSE)</f>
        <v>51</v>
      </c>
      <c r="D62" s="358">
        <f>VLOOKUP($E$3,'Catchment Projections'!$A$1:$BZ$90,76,FALSE)</f>
        <v>37</v>
      </c>
      <c r="E62" s="57">
        <f>D62/C62</f>
        <v>0.72549019607843135</v>
      </c>
      <c r="G62" s="131">
        <v>2016</v>
      </c>
      <c r="H62" s="395">
        <f>VLOOKUP($G$62,$B$177:$C$215, 2, FALSE)</f>
        <v>45</v>
      </c>
      <c r="I62" s="120">
        <f>H62-D62</f>
        <v>8</v>
      </c>
      <c r="J62" s="121">
        <f>I62/H62</f>
        <v>0.17777777777777778</v>
      </c>
    </row>
    <row r="63" spans="2:17" ht="15" customHeight="1">
      <c r="B63" s="114">
        <v>2017</v>
      </c>
      <c r="C63" s="359">
        <f>VLOOKUP($E$3,'Catchment Projections'!$A$1:$BZ$90,43,FALSE)</f>
        <v>59</v>
      </c>
      <c r="D63" s="358">
        <f>VLOOKUP($E$3,'Catchment Projections'!$A$1:$BZ$90,77,FALSE)</f>
        <v>49</v>
      </c>
      <c r="E63" s="304">
        <f>D63/C63</f>
        <v>0.83050847457627119</v>
      </c>
      <c r="G63" s="114">
        <v>2017</v>
      </c>
      <c r="H63" s="395">
        <f>VLOOKUP($G$63,$B$177:$C$215, 2, FALSE)</f>
        <v>59</v>
      </c>
      <c r="I63" s="120">
        <f>H63-D63</f>
        <v>10</v>
      </c>
      <c r="J63" s="121">
        <f>I63/H63</f>
        <v>0.16949152542372881</v>
      </c>
    </row>
    <row r="64" spans="2:17" ht="15" customHeight="1">
      <c r="B64" s="114">
        <v>2018</v>
      </c>
      <c r="C64" s="359">
        <f>VLOOKUP($E$3,'Catchment Projections'!$A$1:$BZ$90,44,FALSE)</f>
        <v>53</v>
      </c>
      <c r="D64" s="358">
        <f>VLOOKUP($E$3,'Catchment Projections'!$A$1:$BZ$90,78,FALSE)</f>
        <v>35</v>
      </c>
      <c r="E64" s="305">
        <f>D64/C64</f>
        <v>0.660377358490566</v>
      </c>
      <c r="G64" s="114">
        <v>2018</v>
      </c>
      <c r="H64" s="395">
        <f>VLOOKUP($G$64,$B$177:$C$215, 2, FALSE)</f>
        <v>43</v>
      </c>
      <c r="I64" s="120">
        <f>H64-D64</f>
        <v>8</v>
      </c>
      <c r="J64" s="121">
        <f>I64/H64</f>
        <v>0.18604651162790697</v>
      </c>
    </row>
    <row r="65" spans="2:10" ht="15" customHeight="1">
      <c r="B65" s="412" t="s">
        <v>136</v>
      </c>
      <c r="C65" s="413"/>
      <c r="D65" s="414"/>
      <c r="E65" s="137">
        <f>IF((AVERAGE(E62:E64))="#DIV/0!","n/a",(AVERAGE(E62:E64)))</f>
        <v>0.73879200971508963</v>
      </c>
      <c r="G65" s="415" t="s">
        <v>137</v>
      </c>
      <c r="H65" s="416"/>
      <c r="I65" s="138">
        <f>MEDIAN(I60:I64)</f>
        <v>8</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60</v>
      </c>
      <c r="D70" s="408"/>
      <c r="E70" s="122">
        <f>E65</f>
        <v>0.73879200971508963</v>
      </c>
      <c r="F70" s="120">
        <f t="shared" ref="F70:F83" si="1">C70*$E$65</f>
        <v>44.327520582905379</v>
      </c>
      <c r="G70" s="118">
        <f>IF(F70&lt;26,25,IF(F70&gt;135,140,IF(F70&gt;130,135,IF(F70&gt;125,130,IF(F70&gt;120,125,IF(F70&gt;115,120,IF(F70&gt;110,115,IF(F70&gt;105,110,IF(F70&gt;100,105,IF(F70&gt;99,100,IF(F70&gt;90,99,IF(F70&gt;75,90,IF(F70&gt;72,75,IF(F70&gt;66,72,IF(F70&gt;60,66,IF(F70&gt;50,60,IF(F70&gt;30,50,IF(F70&gt;25,30,0))))))))))))))))))</f>
        <v>50</v>
      </c>
      <c r="H70" s="119">
        <f t="shared" ref="H70:H83" si="2">G70-F70</f>
        <v>5.6724794170946211</v>
      </c>
      <c r="I70" s="118" t="str">
        <f>IF(I$65&lt;H70, "NO", "YES")</f>
        <v>YES</v>
      </c>
      <c r="J70" s="117">
        <f t="shared" ref="J70:J83" si="3">IF(I70="YES",G70,(MIN((SUM(F70,$I$65)),G70)))</f>
        <v>50</v>
      </c>
    </row>
    <row r="71" spans="2:10" ht="15" customHeight="1">
      <c r="B71" s="114">
        <v>2020</v>
      </c>
      <c r="C71" s="433">
        <f>E51</f>
        <v>50</v>
      </c>
      <c r="D71" s="408"/>
      <c r="E71" s="121">
        <f>E65</f>
        <v>0.73879200971508963</v>
      </c>
      <c r="F71" s="120">
        <f t="shared" si="1"/>
        <v>36.939600485754482</v>
      </c>
      <c r="G71" s="118">
        <f t="shared" ref="G71:G83" si="4">IF(F71&lt;26,25,IF(F71&gt;135,140,IF(F71&gt;130,135,IF(F71&gt;125,130,IF(F71&gt;120,125,IF(F71&gt;115,120,IF(F71&gt;110,115,IF(F71&gt;105,110,IF(F71&gt;100,105,IF(F71&gt;99,100,IF(F71&gt;90,99,IF(F71&gt;75,90,IF(F71&gt;72,75,IF(F71&gt;66,72,IF(F71&gt;60,66,IF(F71&gt;50,60,IF(F71&gt;30,50,IF(F71&gt;25,30,0))))))))))))))))))</f>
        <v>50</v>
      </c>
      <c r="H71" s="119">
        <f t="shared" si="2"/>
        <v>13.060399514245518</v>
      </c>
      <c r="I71" s="118" t="str">
        <f t="shared" ref="I71:I83" si="5">IF(I$65&lt;H71, "NO", "YES")</f>
        <v>NO</v>
      </c>
      <c r="J71" s="117">
        <f t="shared" si="3"/>
        <v>44.939600485754482</v>
      </c>
    </row>
    <row r="72" spans="2:10" ht="15" customHeight="1">
      <c r="B72" s="114">
        <v>2021</v>
      </c>
      <c r="C72" s="430">
        <f>F51</f>
        <v>55</v>
      </c>
      <c r="D72" s="431"/>
      <c r="E72" s="121">
        <f>E65</f>
        <v>0.73879200971508963</v>
      </c>
      <c r="F72" s="120">
        <f t="shared" si="1"/>
        <v>40.633560534329931</v>
      </c>
      <c r="G72" s="118">
        <f t="shared" si="4"/>
        <v>50</v>
      </c>
      <c r="H72" s="119">
        <f t="shared" si="2"/>
        <v>9.3664394656700694</v>
      </c>
      <c r="I72" s="118" t="str">
        <f t="shared" si="5"/>
        <v>NO</v>
      </c>
      <c r="J72" s="117">
        <f t="shared" si="3"/>
        <v>48.633560534329931</v>
      </c>
    </row>
    <row r="73" spans="2:10" ht="15" customHeight="1">
      <c r="B73" s="114">
        <v>2022</v>
      </c>
      <c r="C73" s="430">
        <f>G51</f>
        <v>49</v>
      </c>
      <c r="D73" s="431"/>
      <c r="E73" s="121">
        <f>E65</f>
        <v>0.73879200971508963</v>
      </c>
      <c r="F73" s="120">
        <f t="shared" si="1"/>
        <v>36.200808476039391</v>
      </c>
      <c r="G73" s="118">
        <f t="shared" si="4"/>
        <v>50</v>
      </c>
      <c r="H73" s="119">
        <f t="shared" si="2"/>
        <v>13.799191523960609</v>
      </c>
      <c r="I73" s="118" t="str">
        <f t="shared" si="5"/>
        <v>NO</v>
      </c>
      <c r="J73" s="117">
        <f t="shared" si="3"/>
        <v>44.200808476039391</v>
      </c>
    </row>
    <row r="74" spans="2:10" ht="15" customHeight="1">
      <c r="B74" s="114">
        <v>2023</v>
      </c>
      <c r="C74" s="430">
        <f>H51</f>
        <v>53</v>
      </c>
      <c r="D74" s="431"/>
      <c r="E74" s="121">
        <f>E65</f>
        <v>0.73879200971508963</v>
      </c>
      <c r="F74" s="120">
        <f t="shared" si="1"/>
        <v>39.155976514899749</v>
      </c>
      <c r="G74" s="118">
        <f t="shared" si="4"/>
        <v>50</v>
      </c>
      <c r="H74" s="119">
        <f t="shared" si="2"/>
        <v>10.844023485100251</v>
      </c>
      <c r="I74" s="118" t="str">
        <f t="shared" si="5"/>
        <v>NO</v>
      </c>
      <c r="J74" s="117">
        <f t="shared" si="3"/>
        <v>47.155976514899749</v>
      </c>
    </row>
    <row r="75" spans="2:10" ht="15" customHeight="1">
      <c r="B75" s="114">
        <v>2024</v>
      </c>
      <c r="C75" s="430">
        <f>I51</f>
        <v>54</v>
      </c>
      <c r="D75" s="431"/>
      <c r="E75" s="121">
        <f>E65</f>
        <v>0.73879200971508963</v>
      </c>
      <c r="F75" s="120">
        <f t="shared" si="1"/>
        <v>39.89476852461484</v>
      </c>
      <c r="G75" s="118">
        <f t="shared" si="4"/>
        <v>50</v>
      </c>
      <c r="H75" s="119">
        <f t="shared" si="2"/>
        <v>10.10523147538516</v>
      </c>
      <c r="I75" s="118" t="str">
        <f t="shared" si="5"/>
        <v>NO</v>
      </c>
      <c r="J75" s="117">
        <f t="shared" si="3"/>
        <v>47.89476852461484</v>
      </c>
    </row>
    <row r="76" spans="2:10" ht="15" customHeight="1">
      <c r="B76" s="114">
        <v>2025</v>
      </c>
      <c r="C76" s="430">
        <f>J51</f>
        <v>54</v>
      </c>
      <c r="D76" s="431"/>
      <c r="E76" s="121">
        <f>E65</f>
        <v>0.73879200971508963</v>
      </c>
      <c r="F76" s="120">
        <f t="shared" si="1"/>
        <v>39.89476852461484</v>
      </c>
      <c r="G76" s="118">
        <f t="shared" si="4"/>
        <v>50</v>
      </c>
      <c r="H76" s="119">
        <f t="shared" si="2"/>
        <v>10.10523147538516</v>
      </c>
      <c r="I76" s="118" t="str">
        <f t="shared" si="5"/>
        <v>NO</v>
      </c>
      <c r="J76" s="117">
        <f t="shared" si="3"/>
        <v>47.89476852461484</v>
      </c>
    </row>
    <row r="77" spans="2:10" ht="15" customHeight="1">
      <c r="B77" s="114">
        <v>2026</v>
      </c>
      <c r="C77" s="430">
        <f>K51</f>
        <v>55</v>
      </c>
      <c r="D77" s="431"/>
      <c r="E77" s="121">
        <f>E65</f>
        <v>0.73879200971508963</v>
      </c>
      <c r="F77" s="120">
        <f t="shared" si="1"/>
        <v>40.633560534329931</v>
      </c>
      <c r="G77" s="118">
        <f t="shared" si="4"/>
        <v>50</v>
      </c>
      <c r="H77" s="119">
        <f t="shared" si="2"/>
        <v>9.3664394656700694</v>
      </c>
      <c r="I77" s="118" t="str">
        <f t="shared" si="5"/>
        <v>NO</v>
      </c>
      <c r="J77" s="117">
        <f t="shared" si="3"/>
        <v>48.633560534329931</v>
      </c>
    </row>
    <row r="78" spans="2:10" ht="15" customHeight="1">
      <c r="B78" s="114">
        <v>2027</v>
      </c>
      <c r="C78" s="430">
        <f>L51</f>
        <v>56</v>
      </c>
      <c r="D78" s="431"/>
      <c r="E78" s="121">
        <f>E65</f>
        <v>0.73879200971508963</v>
      </c>
      <c r="F78" s="120">
        <f t="shared" si="1"/>
        <v>41.372352544045022</v>
      </c>
      <c r="G78" s="118">
        <f t="shared" si="4"/>
        <v>50</v>
      </c>
      <c r="H78" s="119">
        <f t="shared" si="2"/>
        <v>8.6276474559549783</v>
      </c>
      <c r="I78" s="118" t="str">
        <f t="shared" si="5"/>
        <v>NO</v>
      </c>
      <c r="J78" s="117">
        <f t="shared" si="3"/>
        <v>49.372352544045022</v>
      </c>
    </row>
    <row r="79" spans="2:10" ht="15" customHeight="1">
      <c r="B79" s="114">
        <v>2028</v>
      </c>
      <c r="C79" s="430">
        <f>M51</f>
        <v>56</v>
      </c>
      <c r="D79" s="431"/>
      <c r="E79" s="121">
        <f t="shared" ref="E79:E83" si="6">$E$65</f>
        <v>0.73879200971508963</v>
      </c>
      <c r="F79" s="120">
        <f t="shared" si="1"/>
        <v>41.372352544045022</v>
      </c>
      <c r="G79" s="118">
        <f t="shared" si="4"/>
        <v>50</v>
      </c>
      <c r="H79" s="119">
        <f t="shared" si="2"/>
        <v>8.6276474559549783</v>
      </c>
      <c r="I79" s="118" t="str">
        <f t="shared" si="5"/>
        <v>NO</v>
      </c>
      <c r="J79" s="117">
        <f t="shared" si="3"/>
        <v>49.372352544045022</v>
      </c>
    </row>
    <row r="80" spans="2:10" ht="15" customHeight="1">
      <c r="B80" s="114">
        <v>2029</v>
      </c>
      <c r="C80" s="430">
        <f>N51</f>
        <v>56</v>
      </c>
      <c r="D80" s="431"/>
      <c r="E80" s="121">
        <f t="shared" si="6"/>
        <v>0.73879200971508963</v>
      </c>
      <c r="F80" s="120">
        <f t="shared" si="1"/>
        <v>41.372352544045022</v>
      </c>
      <c r="G80" s="118">
        <f t="shared" si="4"/>
        <v>50</v>
      </c>
      <c r="H80" s="119">
        <f t="shared" si="2"/>
        <v>8.6276474559549783</v>
      </c>
      <c r="I80" s="118" t="str">
        <f t="shared" si="5"/>
        <v>NO</v>
      </c>
      <c r="J80" s="117">
        <f t="shared" si="3"/>
        <v>49.372352544045022</v>
      </c>
    </row>
    <row r="81" spans="2:10" ht="15" customHeight="1">
      <c r="B81" s="114">
        <v>2030</v>
      </c>
      <c r="C81" s="430">
        <f>O51</f>
        <v>56</v>
      </c>
      <c r="D81" s="431"/>
      <c r="E81" s="121">
        <f t="shared" si="6"/>
        <v>0.73879200971508963</v>
      </c>
      <c r="F81" s="120">
        <f t="shared" si="1"/>
        <v>41.372352544045022</v>
      </c>
      <c r="G81" s="118">
        <f t="shared" si="4"/>
        <v>50</v>
      </c>
      <c r="H81" s="119">
        <f t="shared" si="2"/>
        <v>8.6276474559549783</v>
      </c>
      <c r="I81" s="118" t="str">
        <f t="shared" si="5"/>
        <v>NO</v>
      </c>
      <c r="J81" s="117">
        <f t="shared" si="3"/>
        <v>49.372352544045022</v>
      </c>
    </row>
    <row r="82" spans="2:10" ht="15" customHeight="1">
      <c r="B82" s="114">
        <v>2031</v>
      </c>
      <c r="C82" s="430">
        <f>P51</f>
        <v>56</v>
      </c>
      <c r="D82" s="431"/>
      <c r="E82" s="121">
        <f t="shared" si="6"/>
        <v>0.73879200971508963</v>
      </c>
      <c r="F82" s="120">
        <f t="shared" si="1"/>
        <v>41.372352544045022</v>
      </c>
      <c r="G82" s="118">
        <f t="shared" si="4"/>
        <v>50</v>
      </c>
      <c r="H82" s="119">
        <f t="shared" si="2"/>
        <v>8.6276474559549783</v>
      </c>
      <c r="I82" s="118" t="str">
        <f t="shared" si="5"/>
        <v>NO</v>
      </c>
      <c r="J82" s="117">
        <f t="shared" si="3"/>
        <v>49.372352544045022</v>
      </c>
    </row>
    <row r="83" spans="2:10" ht="15" customHeight="1">
      <c r="B83" s="114">
        <v>2032</v>
      </c>
      <c r="C83" s="430">
        <f>Q51</f>
        <v>56</v>
      </c>
      <c r="D83" s="431"/>
      <c r="E83" s="121">
        <f t="shared" si="6"/>
        <v>0.73879200971508963</v>
      </c>
      <c r="F83" s="120">
        <f t="shared" si="1"/>
        <v>41.372352544045022</v>
      </c>
      <c r="G83" s="118">
        <f t="shared" si="4"/>
        <v>50</v>
      </c>
      <c r="H83" s="119">
        <f t="shared" si="2"/>
        <v>8.6276474559549783</v>
      </c>
      <c r="I83" s="118" t="str">
        <f t="shared" si="5"/>
        <v>NO</v>
      </c>
      <c r="J83" s="117">
        <f t="shared" si="3"/>
        <v>49.372352544045022</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Craigentinny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43</v>
      </c>
      <c r="D91" s="112">
        <f t="shared" ref="D91:J91" si="7">D188</f>
        <v>39</v>
      </c>
      <c r="E91" s="112">
        <f t="shared" si="7"/>
        <v>20</v>
      </c>
      <c r="F91" s="112">
        <f t="shared" si="7"/>
        <v>30</v>
      </c>
      <c r="G91" s="112">
        <f t="shared" si="7"/>
        <v>18</v>
      </c>
      <c r="H91" s="112">
        <f t="shared" si="7"/>
        <v>15</v>
      </c>
      <c r="I91" s="112">
        <f t="shared" si="7"/>
        <v>22</v>
      </c>
      <c r="J91" s="213">
        <f t="shared" si="7"/>
        <v>187</v>
      </c>
    </row>
    <row r="92" spans="2:10" ht="15" customHeight="1">
      <c r="B92" s="114">
        <v>2014</v>
      </c>
      <c r="C92" s="112">
        <f>C189</f>
        <v>33</v>
      </c>
      <c r="D92" s="112">
        <f t="shared" ref="D92:J92" si="8">D189</f>
        <v>40</v>
      </c>
      <c r="E92" s="112">
        <f t="shared" si="8"/>
        <v>37</v>
      </c>
      <c r="F92" s="112">
        <f t="shared" si="8"/>
        <v>22</v>
      </c>
      <c r="G92" s="112">
        <f t="shared" si="8"/>
        <v>33</v>
      </c>
      <c r="H92" s="112">
        <f t="shared" si="8"/>
        <v>23</v>
      </c>
      <c r="I92" s="112">
        <f t="shared" si="8"/>
        <v>13</v>
      </c>
      <c r="J92" s="213">
        <f t="shared" si="8"/>
        <v>201</v>
      </c>
    </row>
    <row r="93" spans="2:10" ht="15" customHeight="1">
      <c r="B93" s="114">
        <v>2015</v>
      </c>
      <c r="C93" s="112">
        <f>C190</f>
        <v>37</v>
      </c>
      <c r="D93" s="112">
        <f t="shared" ref="D93:J93" si="9">D190</f>
        <v>33</v>
      </c>
      <c r="E93" s="112">
        <f t="shared" si="9"/>
        <v>41</v>
      </c>
      <c r="F93" s="112">
        <f t="shared" si="9"/>
        <v>36</v>
      </c>
      <c r="G93" s="112">
        <f t="shared" si="9"/>
        <v>22</v>
      </c>
      <c r="H93" s="112">
        <f t="shared" si="9"/>
        <v>29</v>
      </c>
      <c r="I93" s="112">
        <f t="shared" si="9"/>
        <v>20</v>
      </c>
      <c r="J93" s="213">
        <f t="shared" si="9"/>
        <v>218</v>
      </c>
    </row>
    <row r="94" spans="2:10" ht="15" customHeight="1">
      <c r="B94" s="114">
        <v>2016</v>
      </c>
      <c r="C94" s="112">
        <f>C191</f>
        <v>45</v>
      </c>
      <c r="D94" s="112">
        <f t="shared" ref="D94:J94" si="10">D191</f>
        <v>42</v>
      </c>
      <c r="E94" s="112">
        <f t="shared" si="10"/>
        <v>32</v>
      </c>
      <c r="F94" s="112">
        <f t="shared" si="10"/>
        <v>38</v>
      </c>
      <c r="G94" s="112">
        <f t="shared" si="10"/>
        <v>42</v>
      </c>
      <c r="H94" s="112">
        <f t="shared" si="10"/>
        <v>22</v>
      </c>
      <c r="I94" s="112">
        <f t="shared" si="10"/>
        <v>31</v>
      </c>
      <c r="J94" s="213">
        <f t="shared" si="10"/>
        <v>252</v>
      </c>
    </row>
    <row r="95" spans="2:10" ht="15" customHeight="1">
      <c r="B95" s="114">
        <v>2017</v>
      </c>
      <c r="C95" s="112">
        <f>C192</f>
        <v>59</v>
      </c>
      <c r="D95" s="112">
        <f t="shared" ref="D95:J95" si="11">D192</f>
        <v>39</v>
      </c>
      <c r="E95" s="112">
        <f t="shared" si="11"/>
        <v>40</v>
      </c>
      <c r="F95" s="112">
        <f t="shared" si="11"/>
        <v>27</v>
      </c>
      <c r="G95" s="112">
        <f t="shared" si="11"/>
        <v>39</v>
      </c>
      <c r="H95" s="112">
        <f t="shared" si="11"/>
        <v>43</v>
      </c>
      <c r="I95" s="112">
        <f t="shared" si="11"/>
        <v>21</v>
      </c>
      <c r="J95" s="213">
        <f t="shared" si="11"/>
        <v>268</v>
      </c>
    </row>
    <row r="96" spans="2:10" ht="15" customHeight="1">
      <c r="B96" s="307">
        <v>2018</v>
      </c>
      <c r="C96" s="112">
        <f t="shared" ref="C96:J96" si="12">C193</f>
        <v>43</v>
      </c>
      <c r="D96" s="112">
        <f t="shared" si="12"/>
        <v>48</v>
      </c>
      <c r="E96" s="112">
        <f t="shared" si="12"/>
        <v>39</v>
      </c>
      <c r="F96" s="112">
        <f t="shared" si="12"/>
        <v>35</v>
      </c>
      <c r="G96" s="112">
        <f t="shared" si="12"/>
        <v>24</v>
      </c>
      <c r="H96" s="112">
        <f t="shared" si="12"/>
        <v>40</v>
      </c>
      <c r="I96" s="112">
        <f t="shared" si="12"/>
        <v>43</v>
      </c>
      <c r="J96" s="213">
        <f t="shared" si="12"/>
        <v>272</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6.9767441860465115E-2</v>
      </c>
      <c r="E98" s="210">
        <f t="shared" ref="E98:I98" si="13">MEDIAN(((D91-E92)/D91),((D92-E93)/D92),((D93-E94)/D93),((D94-E95)/D94),((D95-E96)/D95))</f>
        <v>3.0303030303030304E-2</v>
      </c>
      <c r="F98" s="210">
        <f t="shared" si="13"/>
        <v>7.3170731707317069E-2</v>
      </c>
      <c r="G98" s="210">
        <f t="shared" si="13"/>
        <v>-2.6315789473684209E-2</v>
      </c>
      <c r="H98" s="210">
        <f t="shared" si="13"/>
        <v>-2.3809523809523808E-2</v>
      </c>
      <c r="I98" s="210">
        <f t="shared" si="13"/>
        <v>4.5454545454545456E-2</v>
      </c>
    </row>
    <row r="99" spans="2:10" ht="15" customHeight="1">
      <c r="B99" s="59"/>
      <c r="C99" s="60"/>
      <c r="D99" s="61"/>
      <c r="E99" s="61"/>
      <c r="F99" s="61"/>
      <c r="G99" s="61"/>
      <c r="H99" s="61"/>
      <c r="I99" s="61"/>
      <c r="J99" s="58"/>
    </row>
    <row r="100" spans="2:10" ht="15" customHeight="1">
      <c r="B100" s="15" t="str">
        <f>"Table 4B: "&amp;E3&amp;" Projected Roll by Stage (incorporating Projected P1 and Drop-Off Rates), 2019-2032"</f>
        <v>Table 4B: Craigentinny Primary School Projected Roll by Stage (incorporating Projected P1 and Drop-Off Rates), 2019-2032</v>
      </c>
      <c r="F100" s="14"/>
      <c r="G100" s="14"/>
    </row>
    <row r="101" spans="2:10" ht="15" customHeight="1">
      <c r="F101" s="14"/>
      <c r="G101" s="14"/>
    </row>
    <row r="102" spans="2:10" ht="15" customHeight="1">
      <c r="B102" s="115"/>
      <c r="C102" s="109" t="s">
        <v>1</v>
      </c>
      <c r="D102" s="109" t="s">
        <v>2</v>
      </c>
      <c r="E102" s="109" t="s">
        <v>3</v>
      </c>
      <c r="F102" s="109" t="s">
        <v>4</v>
      </c>
      <c r="G102" s="109" t="s">
        <v>5</v>
      </c>
      <c r="H102" s="109" t="s">
        <v>6</v>
      </c>
      <c r="I102" s="109" t="s">
        <v>7</v>
      </c>
      <c r="J102" s="109" t="s">
        <v>8</v>
      </c>
    </row>
    <row r="103" spans="2:10" ht="15" customHeight="1">
      <c r="B103" s="114">
        <v>2019</v>
      </c>
      <c r="C103" s="113">
        <f t="shared" ref="C103:C116" si="14">J70</f>
        <v>50</v>
      </c>
      <c r="D103" s="324">
        <f>ROUND((C96)-(C96*$D$98),0)</f>
        <v>40</v>
      </c>
      <c r="E103" s="324">
        <f>ROUND((D96)-(D96*$E$98),0)</f>
        <v>47</v>
      </c>
      <c r="F103" s="324">
        <f>ROUND((E96)-(E96*$F$98),0)</f>
        <v>36</v>
      </c>
      <c r="G103" s="324">
        <f>ROUND((F96)-(F96*$G$98),0)</f>
        <v>36</v>
      </c>
      <c r="H103" s="324">
        <f>ROUND((G96)-(G96*$H$98),0)</f>
        <v>25</v>
      </c>
      <c r="I103" s="324">
        <f>ROUND((H96)-(H96*$I$98),0)</f>
        <v>38</v>
      </c>
      <c r="J103" s="111">
        <f t="shared" ref="J103:J116" si="15">SUM(C103:I103)</f>
        <v>272</v>
      </c>
    </row>
    <row r="104" spans="2:10" ht="15" customHeight="1">
      <c r="B104" s="114">
        <v>2020</v>
      </c>
      <c r="C104" s="113">
        <f t="shared" si="14"/>
        <v>44.939600485754482</v>
      </c>
      <c r="D104" s="324">
        <f>ROUND((C103-E50)-(C103*$D$98),0)</f>
        <v>46</v>
      </c>
      <c r="E104" s="112">
        <f t="shared" ref="E104:E116" si="16">ROUND((D103)-(D103*$E$98),0)</f>
        <v>39</v>
      </c>
      <c r="F104" s="112">
        <f t="shared" ref="F104:F116" si="17">ROUND((E103)-(E103*$F$98),0)</f>
        <v>44</v>
      </c>
      <c r="G104" s="112">
        <f t="shared" ref="G104:G116" si="18">ROUND((F103)-(F103*$G$98),0)</f>
        <v>37</v>
      </c>
      <c r="H104" s="112">
        <f t="shared" ref="H104:H116" si="19">ROUND((G103)-(G103*$H$98),0)</f>
        <v>37</v>
      </c>
      <c r="I104" s="112">
        <f t="shared" ref="I104:I116" si="20">ROUND((H103)-(H103*$I$98),0)</f>
        <v>24</v>
      </c>
      <c r="J104" s="111">
        <f t="shared" si="15"/>
        <v>271.93960048575445</v>
      </c>
    </row>
    <row r="105" spans="2:10" ht="15" customHeight="1">
      <c r="B105" s="114">
        <v>2021</v>
      </c>
      <c r="C105" s="113">
        <f t="shared" si="14"/>
        <v>48.633560534329931</v>
      </c>
      <c r="D105" s="324">
        <f>ROUND((C104-F50)-(C104*$D$98),0)</f>
        <v>41</v>
      </c>
      <c r="E105" s="112">
        <f t="shared" si="16"/>
        <v>45</v>
      </c>
      <c r="F105" s="112">
        <f t="shared" si="17"/>
        <v>36</v>
      </c>
      <c r="G105" s="112">
        <f t="shared" si="18"/>
        <v>45</v>
      </c>
      <c r="H105" s="112">
        <f t="shared" si="19"/>
        <v>38</v>
      </c>
      <c r="I105" s="112">
        <f t="shared" si="20"/>
        <v>35</v>
      </c>
      <c r="J105" s="111">
        <f t="shared" si="15"/>
        <v>288.63356053432994</v>
      </c>
    </row>
    <row r="106" spans="2:10" ht="15" customHeight="1">
      <c r="B106" s="114">
        <v>2022</v>
      </c>
      <c r="C106" s="113">
        <f t="shared" si="14"/>
        <v>44.200808476039391</v>
      </c>
      <c r="D106" s="324">
        <f>ROUND((C105-G50)-(C105*$D$98),0)</f>
        <v>44</v>
      </c>
      <c r="E106" s="112">
        <f t="shared" si="16"/>
        <v>40</v>
      </c>
      <c r="F106" s="112">
        <f t="shared" si="17"/>
        <v>42</v>
      </c>
      <c r="G106" s="112">
        <f t="shared" si="18"/>
        <v>37</v>
      </c>
      <c r="H106" s="112">
        <f t="shared" si="19"/>
        <v>46</v>
      </c>
      <c r="I106" s="112">
        <f t="shared" si="20"/>
        <v>36</v>
      </c>
      <c r="J106" s="111">
        <f t="shared" si="15"/>
        <v>289.20080847603936</v>
      </c>
    </row>
    <row r="107" spans="2:10" ht="15" customHeight="1">
      <c r="B107" s="114">
        <v>2023</v>
      </c>
      <c r="C107" s="113">
        <f t="shared" si="14"/>
        <v>47.155976514899749</v>
      </c>
      <c r="D107" s="324">
        <f>ROUND((C106-H50)-(C106*$D$98),0)</f>
        <v>39</v>
      </c>
      <c r="E107" s="112">
        <f t="shared" si="16"/>
        <v>43</v>
      </c>
      <c r="F107" s="112">
        <f t="shared" si="17"/>
        <v>37</v>
      </c>
      <c r="G107" s="112">
        <f t="shared" si="18"/>
        <v>43</v>
      </c>
      <c r="H107" s="112">
        <f t="shared" si="19"/>
        <v>38</v>
      </c>
      <c r="I107" s="112">
        <f t="shared" si="20"/>
        <v>44</v>
      </c>
      <c r="J107" s="111">
        <f t="shared" si="15"/>
        <v>291.15597651489975</v>
      </c>
    </row>
    <row r="108" spans="2:10" ht="15" customHeight="1">
      <c r="B108" s="114">
        <v>2024</v>
      </c>
      <c r="C108" s="113">
        <f t="shared" si="14"/>
        <v>47.89476852461484</v>
      </c>
      <c r="D108" s="324">
        <f>ROUND((C107-I50)-(C107*$D$98),0)</f>
        <v>42</v>
      </c>
      <c r="E108" s="112">
        <f t="shared" si="16"/>
        <v>38</v>
      </c>
      <c r="F108" s="112">
        <f t="shared" si="17"/>
        <v>40</v>
      </c>
      <c r="G108" s="112">
        <f t="shared" si="18"/>
        <v>38</v>
      </c>
      <c r="H108" s="112">
        <f t="shared" si="19"/>
        <v>44</v>
      </c>
      <c r="I108" s="112">
        <f t="shared" si="20"/>
        <v>36</v>
      </c>
      <c r="J108" s="111">
        <f t="shared" si="15"/>
        <v>285.89476852461485</v>
      </c>
    </row>
    <row r="109" spans="2:10" ht="15" customHeight="1">
      <c r="B109" s="114">
        <v>2025</v>
      </c>
      <c r="C109" s="113">
        <f t="shared" si="14"/>
        <v>47.89476852461484</v>
      </c>
      <c r="D109" s="324">
        <f>ROUND((C108-J50)-(C108*$D$98),0)</f>
        <v>43</v>
      </c>
      <c r="E109" s="112">
        <f t="shared" si="16"/>
        <v>41</v>
      </c>
      <c r="F109" s="112">
        <f t="shared" si="17"/>
        <v>35</v>
      </c>
      <c r="G109" s="112">
        <f t="shared" si="18"/>
        <v>41</v>
      </c>
      <c r="H109" s="112">
        <f t="shared" si="19"/>
        <v>39</v>
      </c>
      <c r="I109" s="112">
        <f t="shared" si="20"/>
        <v>42</v>
      </c>
      <c r="J109" s="111">
        <f t="shared" si="15"/>
        <v>288.89476852461485</v>
      </c>
    </row>
    <row r="110" spans="2:10" ht="15" customHeight="1">
      <c r="B110" s="114">
        <v>2026</v>
      </c>
      <c r="C110" s="113">
        <f t="shared" si="14"/>
        <v>48.633560534329931</v>
      </c>
      <c r="D110" s="324">
        <f>ROUND((C109-K50)-(C109*$D$98),0)</f>
        <v>43</v>
      </c>
      <c r="E110" s="112">
        <f t="shared" si="16"/>
        <v>42</v>
      </c>
      <c r="F110" s="112">
        <f t="shared" si="17"/>
        <v>38</v>
      </c>
      <c r="G110" s="112">
        <f t="shared" si="18"/>
        <v>36</v>
      </c>
      <c r="H110" s="112">
        <f t="shared" si="19"/>
        <v>42</v>
      </c>
      <c r="I110" s="112">
        <f t="shared" si="20"/>
        <v>37</v>
      </c>
      <c r="J110" s="111">
        <f t="shared" si="15"/>
        <v>286.63356053432994</v>
      </c>
    </row>
    <row r="111" spans="2:10" ht="15" customHeight="1">
      <c r="B111" s="114">
        <v>2027</v>
      </c>
      <c r="C111" s="113">
        <f t="shared" si="14"/>
        <v>49.372352544045022</v>
      </c>
      <c r="D111" s="324">
        <f>ROUND((C110-L50)-(C110*$D$98),0)</f>
        <v>42</v>
      </c>
      <c r="E111" s="112">
        <f t="shared" si="16"/>
        <v>42</v>
      </c>
      <c r="F111" s="112">
        <f t="shared" si="17"/>
        <v>39</v>
      </c>
      <c r="G111" s="112">
        <f t="shared" si="18"/>
        <v>39</v>
      </c>
      <c r="H111" s="112">
        <f t="shared" si="19"/>
        <v>37</v>
      </c>
      <c r="I111" s="112">
        <f t="shared" si="20"/>
        <v>40</v>
      </c>
      <c r="J111" s="111">
        <f t="shared" si="15"/>
        <v>288.37235254404504</v>
      </c>
    </row>
    <row r="112" spans="2:10" ht="15" customHeight="1">
      <c r="B112" s="114">
        <v>2028</v>
      </c>
      <c r="C112" s="113">
        <f t="shared" si="14"/>
        <v>49.372352544045022</v>
      </c>
      <c r="D112" s="324">
        <f>ROUND((C111-M50)-(C111*$D$98),0)</f>
        <v>43</v>
      </c>
      <c r="E112" s="112">
        <f t="shared" si="16"/>
        <v>41</v>
      </c>
      <c r="F112" s="112">
        <f t="shared" si="17"/>
        <v>39</v>
      </c>
      <c r="G112" s="112">
        <f t="shared" si="18"/>
        <v>40</v>
      </c>
      <c r="H112" s="112">
        <f t="shared" si="19"/>
        <v>40</v>
      </c>
      <c r="I112" s="112">
        <f t="shared" si="20"/>
        <v>35</v>
      </c>
      <c r="J112" s="111">
        <f t="shared" si="15"/>
        <v>287.37235254404504</v>
      </c>
    </row>
    <row r="113" spans="2:10" ht="15" customHeight="1">
      <c r="B113" s="114">
        <v>2029</v>
      </c>
      <c r="C113" s="113">
        <f t="shared" si="14"/>
        <v>49.372352544045022</v>
      </c>
      <c r="D113" s="324">
        <f>ROUND((C112-N50)-(C112*$D$98),0)</f>
        <v>43</v>
      </c>
      <c r="E113" s="112">
        <f t="shared" si="16"/>
        <v>42</v>
      </c>
      <c r="F113" s="112">
        <f t="shared" si="17"/>
        <v>38</v>
      </c>
      <c r="G113" s="112">
        <f t="shared" si="18"/>
        <v>40</v>
      </c>
      <c r="H113" s="112">
        <f t="shared" si="19"/>
        <v>41</v>
      </c>
      <c r="I113" s="112">
        <f t="shared" si="20"/>
        <v>38</v>
      </c>
      <c r="J113" s="111">
        <f t="shared" si="15"/>
        <v>291.37235254404504</v>
      </c>
    </row>
    <row r="114" spans="2:10" ht="15" customHeight="1">
      <c r="B114" s="114">
        <v>2030</v>
      </c>
      <c r="C114" s="113">
        <f t="shared" si="14"/>
        <v>49.372352544045022</v>
      </c>
      <c r="D114" s="324">
        <f>ROUND((C113-O50)-(C113*$D$98),0)</f>
        <v>43</v>
      </c>
      <c r="E114" s="112">
        <f t="shared" si="16"/>
        <v>42</v>
      </c>
      <c r="F114" s="112">
        <f t="shared" si="17"/>
        <v>39</v>
      </c>
      <c r="G114" s="112">
        <f t="shared" si="18"/>
        <v>39</v>
      </c>
      <c r="H114" s="112">
        <f t="shared" si="19"/>
        <v>41</v>
      </c>
      <c r="I114" s="112">
        <f t="shared" si="20"/>
        <v>39</v>
      </c>
      <c r="J114" s="111">
        <f t="shared" si="15"/>
        <v>292.37235254404504</v>
      </c>
    </row>
    <row r="115" spans="2:10" ht="15" customHeight="1">
      <c r="B115" s="114">
        <v>2031</v>
      </c>
      <c r="C115" s="113">
        <f t="shared" si="14"/>
        <v>49.372352544045022</v>
      </c>
      <c r="D115" s="324">
        <f>ROUND((C114-P50)-(C114*$D$98),0)</f>
        <v>43</v>
      </c>
      <c r="E115" s="112">
        <f t="shared" si="16"/>
        <v>42</v>
      </c>
      <c r="F115" s="112">
        <f t="shared" si="17"/>
        <v>39</v>
      </c>
      <c r="G115" s="112">
        <f t="shared" si="18"/>
        <v>40</v>
      </c>
      <c r="H115" s="112">
        <f t="shared" si="19"/>
        <v>40</v>
      </c>
      <c r="I115" s="112">
        <f t="shared" si="20"/>
        <v>39</v>
      </c>
      <c r="J115" s="111">
        <f t="shared" si="15"/>
        <v>292.37235254404504</v>
      </c>
    </row>
    <row r="116" spans="2:10" ht="15" customHeight="1">
      <c r="B116" s="114">
        <v>2032</v>
      </c>
      <c r="C116" s="113">
        <f t="shared" si="14"/>
        <v>49.372352544045022</v>
      </c>
      <c r="D116" s="324">
        <f>ROUND((C115-Q50)-(C115*$D$98),0)</f>
        <v>43</v>
      </c>
      <c r="E116" s="112">
        <f t="shared" si="16"/>
        <v>42</v>
      </c>
      <c r="F116" s="112">
        <f t="shared" si="17"/>
        <v>39</v>
      </c>
      <c r="G116" s="112">
        <f t="shared" si="18"/>
        <v>40</v>
      </c>
      <c r="H116" s="112">
        <f t="shared" si="19"/>
        <v>41</v>
      </c>
      <c r="I116" s="112">
        <f t="shared" si="20"/>
        <v>38</v>
      </c>
      <c r="J116" s="111">
        <f t="shared" si="15"/>
        <v>292.37235254404504</v>
      </c>
    </row>
    <row r="117" spans="2:10" ht="15" hidden="1" customHeight="1">
      <c r="F117" s="14"/>
      <c r="G117" s="14"/>
    </row>
    <row r="118" spans="2:10" ht="15" hidden="1" customHeight="1">
      <c r="B118" s="15" t="str">
        <f>"Table 4C: "&amp;E3&amp;" Projected Pupil Generation from Housing Development, 2019-2032"</f>
        <v>Table 4C: Craigentinny Primary School Projected Pupil Generation from Housing Development, 2019-2032</v>
      </c>
      <c r="F118" s="14"/>
      <c r="G118" s="14"/>
    </row>
    <row r="119" spans="2:10" ht="15" hidden="1" customHeight="1">
      <c r="F119" s="14"/>
      <c r="G119" s="14"/>
    </row>
    <row r="120" spans="2:10" ht="15" hidden="1" customHeight="1">
      <c r="B120" s="115"/>
      <c r="C120" s="109" t="s">
        <v>1</v>
      </c>
      <c r="D120" s="109" t="s">
        <v>2</v>
      </c>
      <c r="E120" s="109" t="s">
        <v>3</v>
      </c>
      <c r="F120" s="109" t="s">
        <v>4</v>
      </c>
      <c r="G120" s="109" t="s">
        <v>5</v>
      </c>
      <c r="H120" s="109" t="s">
        <v>6</v>
      </c>
      <c r="I120" s="109" t="s">
        <v>7</v>
      </c>
      <c r="J120" s="109" t="s">
        <v>8</v>
      </c>
    </row>
    <row r="121" spans="2:10" ht="15" hidden="1" customHeight="1">
      <c r="B121" s="114">
        <v>2019</v>
      </c>
      <c r="C121" s="116" t="s">
        <v>97</v>
      </c>
      <c r="D121" s="112">
        <f>VLOOKUP($E$3,'Housing Generation'!$A$3:$BE$90,11,FALSE)</f>
        <v>1</v>
      </c>
      <c r="E121" s="112">
        <f>VLOOKUP($E$3,'Housing Generation'!$A$3:$BE$90,12,FALSE)</f>
        <v>0</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1</v>
      </c>
    </row>
    <row r="122" spans="2:10" ht="15" hidden="1" customHeight="1">
      <c r="B122" s="114">
        <v>2020</v>
      </c>
      <c r="C122" s="116" t="s">
        <v>97</v>
      </c>
      <c r="D122" s="112">
        <f>VLOOKUP($E$3,'Housing Generation'!$A$3:$BE$90,19,FALSE)</f>
        <v>1</v>
      </c>
      <c r="E122" s="112">
        <f>VLOOKUP($E$3,'Housing Generation'!$A$3:$BE$90,20,FALSE)</f>
        <v>1</v>
      </c>
      <c r="F122" s="112">
        <f>VLOOKUP($E$3,'Housing Generation'!$A$3:$BE$90,21,FALSE)</f>
        <v>1</v>
      </c>
      <c r="G122" s="112">
        <f>VLOOKUP($E$3,'Housing Generation'!$A$3:$BE$90,22,FALSE)</f>
        <v>0</v>
      </c>
      <c r="H122" s="112">
        <f>VLOOKUP($E$3,'Housing Generation'!$A$3:$BE$90,23,FALSE)</f>
        <v>0</v>
      </c>
      <c r="I122" s="112">
        <f>VLOOKUP($E$3,'Housing Generation'!$A$3:$BE$90,24,FALSE)</f>
        <v>0</v>
      </c>
      <c r="J122" s="111">
        <f t="shared" si="21"/>
        <v>3</v>
      </c>
    </row>
    <row r="123" spans="2:10" ht="15" hidden="1" customHeight="1">
      <c r="B123" s="114">
        <v>2021</v>
      </c>
      <c r="C123" s="116" t="s">
        <v>97</v>
      </c>
      <c r="D123" s="112">
        <f>VLOOKUP($E$3,'Housing Generation'!$A$3:$BE$90,27,FALSE)</f>
        <v>1</v>
      </c>
      <c r="E123" s="112">
        <f>VLOOKUP($E$3,'Housing Generation'!$A$3:$BE$90,28,FALSE)</f>
        <v>1</v>
      </c>
      <c r="F123" s="112">
        <f>VLOOKUP($E$3,'Housing Generation'!$A$3:$BE$90,29,FALSE)</f>
        <v>1</v>
      </c>
      <c r="G123" s="112">
        <f>VLOOKUP($E$3,'Housing Generation'!$A$3:$BE$90,30,FALSE)</f>
        <v>0</v>
      </c>
      <c r="H123" s="112">
        <f>VLOOKUP($E$3,'Housing Generation'!$A$3:$BE$90,31,FALSE)</f>
        <v>0</v>
      </c>
      <c r="I123" s="112">
        <f>VLOOKUP($E$3,'Housing Generation'!$A$3:$BE$90,32,FALSE)</f>
        <v>0</v>
      </c>
      <c r="J123" s="111">
        <f t="shared" si="21"/>
        <v>3</v>
      </c>
    </row>
    <row r="124" spans="2:10" ht="15" hidden="1" customHeight="1">
      <c r="B124" s="114">
        <v>2022</v>
      </c>
      <c r="C124" s="116" t="s">
        <v>97</v>
      </c>
      <c r="D124" s="112">
        <f>VLOOKUP($E$3,'Housing Generation'!$A$3:$BE$90,35,FALSE)</f>
        <v>1</v>
      </c>
      <c r="E124" s="112">
        <f>VLOOKUP($E$3,'Housing Generation'!$A$3:$BE$90,36,FALSE)</f>
        <v>1</v>
      </c>
      <c r="F124" s="112">
        <f>VLOOKUP($E$3,'Housing Generation'!$A$3:$BE$90,37,FALSE)</f>
        <v>1</v>
      </c>
      <c r="G124" s="112">
        <f>VLOOKUP($E$3,'Housing Generation'!$A$3:$BE$90,38,FALSE)</f>
        <v>1</v>
      </c>
      <c r="H124" s="112">
        <f>VLOOKUP($E$3,'Housing Generation'!$A$3:$BE$90,39,FALSE)</f>
        <v>1</v>
      </c>
      <c r="I124" s="112">
        <f>VLOOKUP($E$3,'Housing Generation'!$A$3:$BE$90,40,FALSE)</f>
        <v>0</v>
      </c>
      <c r="J124" s="111">
        <f t="shared" si="21"/>
        <v>5</v>
      </c>
    </row>
    <row r="125" spans="2:10" ht="15" hidden="1" customHeight="1">
      <c r="B125" s="114">
        <v>2023</v>
      </c>
      <c r="C125" s="116" t="s">
        <v>97</v>
      </c>
      <c r="D125" s="112">
        <f>VLOOKUP($E$3,'Housing Generation'!$A$3:$BE$90,43,FALSE)</f>
        <v>1</v>
      </c>
      <c r="E125" s="112">
        <f>VLOOKUP($E$3,'Housing Generation'!$A$3:$BE$90,44,FALSE)</f>
        <v>1</v>
      </c>
      <c r="F125" s="112">
        <f>VLOOKUP($E$3,'Housing Generation'!$A$3:$BE$90,45,FALSE)</f>
        <v>1</v>
      </c>
      <c r="G125" s="112">
        <f>VLOOKUP($E$3,'Housing Generation'!$A$3:$BE$90,46,FALSE)</f>
        <v>1</v>
      </c>
      <c r="H125" s="112">
        <f>VLOOKUP($E$3,'Housing Generation'!$A$3:$BE$90,47,FALSE)</f>
        <v>1</v>
      </c>
      <c r="I125" s="112">
        <f>VLOOKUP($E$3,'Housing Generation'!$A$3:$BE$90,48,FALSE)</f>
        <v>1</v>
      </c>
      <c r="J125" s="111">
        <f t="shared" si="21"/>
        <v>6</v>
      </c>
    </row>
    <row r="126" spans="2:10" ht="15" hidden="1" customHeight="1">
      <c r="B126" s="114">
        <v>2024</v>
      </c>
      <c r="C126" s="116" t="s">
        <v>97</v>
      </c>
      <c r="D126" s="112">
        <f>VLOOKUP($E$3,'Housing Generation'!$A$3:$BE$90,51,FALSE)</f>
        <v>2</v>
      </c>
      <c r="E126" s="112">
        <f>VLOOKUP($E$3,'Housing Generation'!$A$3:$BE$90,52,FALSE)</f>
        <v>1</v>
      </c>
      <c r="F126" s="112">
        <f>VLOOKUP($E$3,'Housing Generation'!$A$3:$BE$90,53,FALSE)</f>
        <v>1</v>
      </c>
      <c r="G126" s="112">
        <f>VLOOKUP($E$3,'Housing Generation'!$A$3:$BE$90,54,FALSE)</f>
        <v>1</v>
      </c>
      <c r="H126" s="112">
        <f>VLOOKUP($E$3,'Housing Generation'!$A$3:$BE$90,55,FALSE)</f>
        <v>1</v>
      </c>
      <c r="I126" s="112">
        <f>VLOOKUP($E$3,'Housing Generation'!$A$3:$BE$90,56,FALSE)</f>
        <v>1</v>
      </c>
      <c r="J126" s="111">
        <f t="shared" si="21"/>
        <v>7</v>
      </c>
    </row>
    <row r="127" spans="2:10" ht="15" hidden="1" customHeight="1">
      <c r="B127" s="114">
        <v>2025</v>
      </c>
      <c r="C127" s="240" t="s">
        <v>97</v>
      </c>
      <c r="D127" s="112">
        <f>VLOOKUP($E$3,'Housing Generation'!$A$3:$CK$90,59,FALSE)</f>
        <v>2</v>
      </c>
      <c r="E127" s="112">
        <f>VLOOKUP($E$3,'Housing Generation'!$A$3:$CK$90,60,FALSE)</f>
        <v>2</v>
      </c>
      <c r="F127" s="112">
        <f>VLOOKUP($E$3,'Housing Generation'!$A$3:$CK$90,61,FALSE)</f>
        <v>2</v>
      </c>
      <c r="G127" s="112">
        <f>VLOOKUP($E$3,'Housing Generation'!$A$3:$CK$90,62,FALSE)</f>
        <v>1</v>
      </c>
      <c r="H127" s="112">
        <f>VLOOKUP($E$3,'Housing Generation'!$A$3:$CK$90,63,FALSE)</f>
        <v>1</v>
      </c>
      <c r="I127" s="112">
        <f>VLOOKUP($E$3,'Housing Generation'!$A$3:$CK$90,64,FALSE)</f>
        <v>1</v>
      </c>
      <c r="J127" s="111">
        <f t="shared" si="21"/>
        <v>9</v>
      </c>
    </row>
    <row r="128" spans="2:10" ht="15" hidden="1" customHeight="1">
      <c r="B128" s="114">
        <v>2026</v>
      </c>
      <c r="C128" s="240" t="s">
        <v>97</v>
      </c>
      <c r="D128" s="112">
        <f>VLOOKUP($E$3,'Housing Generation'!$A$3:$CK$90,67,FALSE)</f>
        <v>2</v>
      </c>
      <c r="E128" s="112">
        <f>VLOOKUP($E$3,'Housing Generation'!$A$3:$CK$90,68,FALSE)</f>
        <v>2</v>
      </c>
      <c r="F128" s="112">
        <f>VLOOKUP($E$3,'Housing Generation'!$A$3:$CK$90,69,FALSE)</f>
        <v>2</v>
      </c>
      <c r="G128" s="112">
        <f>VLOOKUP($E$3,'Housing Generation'!$A$3:$CK$90,70,FALSE)</f>
        <v>2</v>
      </c>
      <c r="H128" s="112">
        <f>VLOOKUP($E$3,'Housing Generation'!$A$3:$CK$90,71,FALSE)</f>
        <v>2</v>
      </c>
      <c r="I128" s="112">
        <f>VLOOKUP($E$3,'Housing Generation'!$A$3:$CK$90,72,FALSE)</f>
        <v>1</v>
      </c>
      <c r="J128" s="111">
        <f t="shared" si="21"/>
        <v>11</v>
      </c>
    </row>
    <row r="129" spans="2:10" ht="15" hidden="1" customHeight="1">
      <c r="B129" s="114">
        <v>2027</v>
      </c>
      <c r="C129" s="240" t="s">
        <v>97</v>
      </c>
      <c r="D129" s="112">
        <f>VLOOKUP($E$3,'Housing Generation'!$A$3:$CK$90,75,FALSE)</f>
        <v>2</v>
      </c>
      <c r="E129" s="112">
        <f>VLOOKUP($E$3,'Housing Generation'!$A$3:$CK$90,76,FALSE)</f>
        <v>2</v>
      </c>
      <c r="F129" s="112">
        <f>VLOOKUP($E$3,'Housing Generation'!$A$3:$CK$90,77,FALSE)</f>
        <v>2</v>
      </c>
      <c r="G129" s="112">
        <f>VLOOKUP($E$3,'Housing Generation'!$A$3:$CK$90,78,FALSE)</f>
        <v>2</v>
      </c>
      <c r="H129" s="112">
        <f>VLOOKUP($E$3,'Housing Generation'!$A$3:$CK$90,79,FALSE)</f>
        <v>2</v>
      </c>
      <c r="I129" s="112">
        <f>VLOOKUP($E$3,'Housing Generation'!$A$3:$CK$90,80,FALSE)</f>
        <v>2</v>
      </c>
      <c r="J129" s="111">
        <f t="shared" si="21"/>
        <v>12</v>
      </c>
    </row>
    <row r="130" spans="2:10" ht="15" customHeight="1">
      <c r="B130" s="114">
        <v>2028</v>
      </c>
      <c r="C130" s="289" t="s">
        <v>97</v>
      </c>
      <c r="D130" s="112">
        <f>VLOOKUP($E$3,'Housing Generation'!$A$3:$CK$90,83,FALSE)</f>
        <v>2</v>
      </c>
      <c r="E130" s="112">
        <f>VLOOKUP($E$3,'Housing Generation'!$A$3:$CK$90,84,FALSE)</f>
        <v>2</v>
      </c>
      <c r="F130" s="112">
        <f>VLOOKUP($E$3,'Housing Generation'!$A$3:$CK$90,85,FALSE)</f>
        <v>2</v>
      </c>
      <c r="G130" s="112">
        <f>VLOOKUP($E$3,'Housing Generation'!$A$3:$CK$90,86,FALSE)</f>
        <v>2</v>
      </c>
      <c r="H130" s="112">
        <f>VLOOKUP($E$3,'Housing Generation'!$A$3:$CK$90,87,FALSE)</f>
        <v>2</v>
      </c>
      <c r="I130" s="112">
        <f>VLOOKUP($E$3,'Housing Generation'!$A$3:$CK$90,88,FALSE)</f>
        <v>2</v>
      </c>
      <c r="J130" s="111">
        <f t="shared" si="21"/>
        <v>12</v>
      </c>
    </row>
    <row r="131" spans="2:10" ht="15" customHeight="1">
      <c r="B131" s="114">
        <v>2029</v>
      </c>
      <c r="C131" s="289" t="s">
        <v>97</v>
      </c>
      <c r="D131" s="112">
        <f>VLOOKUP($E$3,'Housing Generation'!$A$3:$DQ$90,91,FALSE)</f>
        <v>2</v>
      </c>
      <c r="E131" s="112">
        <f>VLOOKUP($E$3,'Housing Generation'!$A$3:$DQ$90,92,FALSE)</f>
        <v>2</v>
      </c>
      <c r="F131" s="112">
        <f>VLOOKUP($E$3,'Housing Generation'!$A$3:$DQ$90,93,FALSE)</f>
        <v>2</v>
      </c>
      <c r="G131" s="112">
        <f>VLOOKUP($E$3,'Housing Generation'!$A$3:$DQ$90,94,FALSE)</f>
        <v>2</v>
      </c>
      <c r="H131" s="112">
        <f>VLOOKUP($E$3,'Housing Generation'!$A$3:$DQ$90,95,FALSE)</f>
        <v>2</v>
      </c>
      <c r="I131" s="112">
        <f>VLOOKUP($E$3,'Housing Generation'!$A$3:$DQ$90,96,FALSE)</f>
        <v>2</v>
      </c>
      <c r="J131" s="111">
        <f t="shared" si="21"/>
        <v>12</v>
      </c>
    </row>
    <row r="132" spans="2:10" ht="15" customHeight="1">
      <c r="B132" s="114">
        <v>2030</v>
      </c>
      <c r="C132" s="289" t="s">
        <v>97</v>
      </c>
      <c r="D132" s="112">
        <f>VLOOKUP($E$3,'Housing Generation'!$A$3:$DQ$90,99,FALSE)</f>
        <v>2</v>
      </c>
      <c r="E132" s="112">
        <f>VLOOKUP($E$3,'Housing Generation'!$A$3:$DQ$90,100,FALSE)</f>
        <v>2</v>
      </c>
      <c r="F132" s="112">
        <f>VLOOKUP($E$3,'Housing Generation'!$A$3:$DQ$90,101,FALSE)</f>
        <v>2</v>
      </c>
      <c r="G132" s="112">
        <f>VLOOKUP($E$3,'Housing Generation'!$A$3:$DQ$90,102,FALSE)</f>
        <v>2</v>
      </c>
      <c r="H132" s="112">
        <f>VLOOKUP($E$3,'Housing Generation'!$A$3:$DQ$90,103,FALSE)</f>
        <v>2</v>
      </c>
      <c r="I132" s="112">
        <f>VLOOKUP($E$3,'Housing Generation'!$A$3:$DQ$90,104,FALSE)</f>
        <v>2</v>
      </c>
      <c r="J132" s="111">
        <f t="shared" si="21"/>
        <v>12</v>
      </c>
    </row>
    <row r="133" spans="2:10" ht="15" customHeight="1">
      <c r="B133" s="114">
        <v>2031</v>
      </c>
      <c r="C133" s="289" t="s">
        <v>97</v>
      </c>
      <c r="D133" s="112">
        <f>VLOOKUP($E$3,'Housing Generation'!$A$3:$DQ$90,107,FALSE)</f>
        <v>2</v>
      </c>
      <c r="E133" s="112">
        <f>VLOOKUP($E$3,'Housing Generation'!$A$3:$DQ$90,108,FALSE)</f>
        <v>2</v>
      </c>
      <c r="F133" s="112">
        <f>VLOOKUP($E$3,'Housing Generation'!$A$3:$DQ$90,109,FALSE)</f>
        <v>2</v>
      </c>
      <c r="G133" s="112">
        <f>VLOOKUP($E$3,'Housing Generation'!$A$3:$DQ$90,110,FALSE)</f>
        <v>2</v>
      </c>
      <c r="H133" s="112">
        <f>VLOOKUP($E$3,'Housing Generation'!$A$3:$DQ$90,111,FALSE)</f>
        <v>2</v>
      </c>
      <c r="I133" s="112">
        <f>VLOOKUP($E$3,'Housing Generation'!$A$3:$DQ$90,112,FALSE)</f>
        <v>2</v>
      </c>
      <c r="J133" s="111">
        <f t="shared" si="21"/>
        <v>12</v>
      </c>
    </row>
    <row r="134" spans="2:10" ht="15" customHeight="1">
      <c r="B134" s="114">
        <v>2032</v>
      </c>
      <c r="C134" s="289" t="s">
        <v>97</v>
      </c>
      <c r="D134" s="112">
        <f>VLOOKUP($E$3,'Housing Generation'!$A$3:$DQ$90,115,FALSE)</f>
        <v>2</v>
      </c>
      <c r="E134" s="112">
        <f>VLOOKUP($E$3,'Housing Generation'!$A$3:$DQ$90,116,FALSE)</f>
        <v>2</v>
      </c>
      <c r="F134" s="112">
        <f>VLOOKUP($E$3,'Housing Generation'!$A$3:$DQ$90,117,FALSE)</f>
        <v>2</v>
      </c>
      <c r="G134" s="112">
        <f>VLOOKUP($E$3,'Housing Generation'!$A$3:$DQ$90,118,FALSE)</f>
        <v>2</v>
      </c>
      <c r="H134" s="112">
        <f>VLOOKUP($E$3,'Housing Generation'!$A$3:$DQ$90,119,FALSE)</f>
        <v>2</v>
      </c>
      <c r="I134" s="112">
        <f>VLOOKUP($E$3,'Housing Generation'!$A$3:$DQ$90,120,FALSE)</f>
        <v>2</v>
      </c>
      <c r="J134" s="111">
        <f t="shared" si="21"/>
        <v>12</v>
      </c>
    </row>
    <row r="135" spans="2:10" ht="15" hidden="1"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Craigentinny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50</v>
      </c>
      <c r="D139" s="112">
        <f t="shared" ref="D139:I152" si="23">D121+D103</f>
        <v>41</v>
      </c>
      <c r="E139" s="112">
        <f t="shared" si="23"/>
        <v>47</v>
      </c>
      <c r="F139" s="112">
        <f t="shared" si="23"/>
        <v>36</v>
      </c>
      <c r="G139" s="112">
        <f t="shared" si="23"/>
        <v>36</v>
      </c>
      <c r="H139" s="112">
        <f t="shared" si="23"/>
        <v>25</v>
      </c>
      <c r="I139" s="112">
        <f t="shared" si="23"/>
        <v>38</v>
      </c>
      <c r="J139" s="111">
        <f t="shared" ref="J139:J147" si="24">SUM(C139:I139)</f>
        <v>273</v>
      </c>
    </row>
    <row r="140" spans="2:10" ht="15" customHeight="1">
      <c r="B140" s="114">
        <v>2020</v>
      </c>
      <c r="C140" s="113">
        <f t="shared" si="22"/>
        <v>44.939600485754482</v>
      </c>
      <c r="D140" s="112">
        <f t="shared" si="23"/>
        <v>47</v>
      </c>
      <c r="E140" s="112">
        <f t="shared" si="23"/>
        <v>40</v>
      </c>
      <c r="F140" s="112">
        <f t="shared" si="23"/>
        <v>45</v>
      </c>
      <c r="G140" s="112">
        <f t="shared" si="23"/>
        <v>37</v>
      </c>
      <c r="H140" s="112">
        <f t="shared" si="23"/>
        <v>37</v>
      </c>
      <c r="I140" s="112">
        <f t="shared" si="23"/>
        <v>24</v>
      </c>
      <c r="J140" s="111">
        <f t="shared" si="24"/>
        <v>274.93960048575445</v>
      </c>
    </row>
    <row r="141" spans="2:10" ht="15" customHeight="1">
      <c r="B141" s="114">
        <v>2021</v>
      </c>
      <c r="C141" s="113">
        <f t="shared" si="22"/>
        <v>48.633560534329931</v>
      </c>
      <c r="D141" s="112">
        <f t="shared" si="23"/>
        <v>42</v>
      </c>
      <c r="E141" s="112">
        <f t="shared" si="23"/>
        <v>46</v>
      </c>
      <c r="F141" s="112">
        <f t="shared" si="23"/>
        <v>37</v>
      </c>
      <c r="G141" s="112">
        <f t="shared" si="23"/>
        <v>45</v>
      </c>
      <c r="H141" s="112">
        <f t="shared" si="23"/>
        <v>38</v>
      </c>
      <c r="I141" s="112">
        <f t="shared" si="23"/>
        <v>35</v>
      </c>
      <c r="J141" s="111">
        <f t="shared" si="24"/>
        <v>291.63356053432994</v>
      </c>
    </row>
    <row r="142" spans="2:10" ht="15" customHeight="1">
      <c r="B142" s="114">
        <v>2022</v>
      </c>
      <c r="C142" s="113">
        <f t="shared" si="22"/>
        <v>44.200808476039391</v>
      </c>
      <c r="D142" s="112">
        <f t="shared" si="23"/>
        <v>45</v>
      </c>
      <c r="E142" s="112">
        <f t="shared" si="23"/>
        <v>41</v>
      </c>
      <c r="F142" s="112">
        <f t="shared" si="23"/>
        <v>43</v>
      </c>
      <c r="G142" s="112">
        <f t="shared" si="23"/>
        <v>38</v>
      </c>
      <c r="H142" s="112">
        <f t="shared" si="23"/>
        <v>47</v>
      </c>
      <c r="I142" s="112">
        <f t="shared" si="23"/>
        <v>36</v>
      </c>
      <c r="J142" s="111">
        <f t="shared" si="24"/>
        <v>294.20080847603936</v>
      </c>
    </row>
    <row r="143" spans="2:10" ht="15" customHeight="1">
      <c r="B143" s="114">
        <v>2023</v>
      </c>
      <c r="C143" s="113">
        <f t="shared" si="22"/>
        <v>47.155976514899749</v>
      </c>
      <c r="D143" s="112">
        <f t="shared" si="23"/>
        <v>40</v>
      </c>
      <c r="E143" s="112">
        <f t="shared" si="23"/>
        <v>44</v>
      </c>
      <c r="F143" s="112">
        <f t="shared" si="23"/>
        <v>38</v>
      </c>
      <c r="G143" s="112">
        <f t="shared" si="23"/>
        <v>44</v>
      </c>
      <c r="H143" s="112">
        <f t="shared" si="23"/>
        <v>39</v>
      </c>
      <c r="I143" s="112">
        <f t="shared" si="23"/>
        <v>45</v>
      </c>
      <c r="J143" s="111">
        <f t="shared" si="24"/>
        <v>297.15597651489975</v>
      </c>
    </row>
    <row r="144" spans="2:10" ht="15" customHeight="1">
      <c r="B144" s="114">
        <v>2024</v>
      </c>
      <c r="C144" s="113">
        <f t="shared" si="22"/>
        <v>47.89476852461484</v>
      </c>
      <c r="D144" s="112">
        <f t="shared" si="23"/>
        <v>44</v>
      </c>
      <c r="E144" s="112">
        <f t="shared" si="23"/>
        <v>39</v>
      </c>
      <c r="F144" s="112">
        <f t="shared" si="23"/>
        <v>41</v>
      </c>
      <c r="G144" s="112">
        <f t="shared" si="23"/>
        <v>39</v>
      </c>
      <c r="H144" s="112">
        <f t="shared" si="23"/>
        <v>45</v>
      </c>
      <c r="I144" s="112">
        <f t="shared" si="23"/>
        <v>37</v>
      </c>
      <c r="J144" s="111">
        <f t="shared" si="24"/>
        <v>292.89476852461485</v>
      </c>
    </row>
    <row r="145" spans="2:16" ht="15" customHeight="1">
      <c r="B145" s="114">
        <v>2025</v>
      </c>
      <c r="C145" s="113">
        <f t="shared" si="22"/>
        <v>47.89476852461484</v>
      </c>
      <c r="D145" s="112">
        <f t="shared" si="23"/>
        <v>45</v>
      </c>
      <c r="E145" s="112">
        <f t="shared" si="23"/>
        <v>43</v>
      </c>
      <c r="F145" s="112">
        <f t="shared" si="23"/>
        <v>37</v>
      </c>
      <c r="G145" s="112">
        <f t="shared" si="23"/>
        <v>42</v>
      </c>
      <c r="H145" s="112">
        <f t="shared" si="23"/>
        <v>40</v>
      </c>
      <c r="I145" s="112">
        <f t="shared" si="23"/>
        <v>43</v>
      </c>
      <c r="J145" s="111">
        <f t="shared" si="24"/>
        <v>297.89476852461485</v>
      </c>
    </row>
    <row r="146" spans="2:16" ht="15" customHeight="1">
      <c r="B146" s="114">
        <v>2026</v>
      </c>
      <c r="C146" s="113">
        <f t="shared" si="22"/>
        <v>48.633560534329931</v>
      </c>
      <c r="D146" s="112">
        <f t="shared" si="23"/>
        <v>45</v>
      </c>
      <c r="E146" s="112">
        <f t="shared" si="23"/>
        <v>44</v>
      </c>
      <c r="F146" s="112">
        <f t="shared" si="23"/>
        <v>40</v>
      </c>
      <c r="G146" s="112">
        <f t="shared" si="23"/>
        <v>38</v>
      </c>
      <c r="H146" s="112">
        <f t="shared" si="23"/>
        <v>44</v>
      </c>
      <c r="I146" s="112">
        <f t="shared" si="23"/>
        <v>38</v>
      </c>
      <c r="J146" s="111">
        <f t="shared" si="24"/>
        <v>297.63356053432994</v>
      </c>
    </row>
    <row r="147" spans="2:16" ht="15" customHeight="1">
      <c r="B147" s="114">
        <v>2027</v>
      </c>
      <c r="C147" s="113">
        <f t="shared" si="22"/>
        <v>49.372352544045022</v>
      </c>
      <c r="D147" s="112">
        <f t="shared" si="23"/>
        <v>44</v>
      </c>
      <c r="E147" s="112">
        <f t="shared" si="23"/>
        <v>44</v>
      </c>
      <c r="F147" s="112">
        <f t="shared" si="23"/>
        <v>41</v>
      </c>
      <c r="G147" s="112">
        <f t="shared" si="23"/>
        <v>41</v>
      </c>
      <c r="H147" s="112">
        <f t="shared" si="23"/>
        <v>39</v>
      </c>
      <c r="I147" s="112">
        <f t="shared" si="23"/>
        <v>42</v>
      </c>
      <c r="J147" s="111">
        <f t="shared" si="24"/>
        <v>300.37235254404504</v>
      </c>
    </row>
    <row r="148" spans="2:16" ht="15" customHeight="1">
      <c r="B148" s="114">
        <v>2028</v>
      </c>
      <c r="C148" s="113">
        <f t="shared" si="22"/>
        <v>49.372352544045022</v>
      </c>
      <c r="D148" s="112">
        <f t="shared" si="23"/>
        <v>45</v>
      </c>
      <c r="E148" s="112">
        <f t="shared" si="23"/>
        <v>43</v>
      </c>
      <c r="F148" s="112">
        <f t="shared" si="23"/>
        <v>41</v>
      </c>
      <c r="G148" s="112">
        <f t="shared" si="23"/>
        <v>42</v>
      </c>
      <c r="H148" s="112">
        <f t="shared" si="23"/>
        <v>42</v>
      </c>
      <c r="I148" s="112">
        <f t="shared" si="23"/>
        <v>37</v>
      </c>
      <c r="J148" s="111">
        <f t="shared" ref="J148:J152" si="25">SUM(C148:I148)</f>
        <v>299.37235254404504</v>
      </c>
    </row>
    <row r="149" spans="2:16" ht="15" customHeight="1">
      <c r="B149" s="114">
        <v>2029</v>
      </c>
      <c r="C149" s="113">
        <f t="shared" si="22"/>
        <v>49.372352544045022</v>
      </c>
      <c r="D149" s="112">
        <f t="shared" si="23"/>
        <v>45</v>
      </c>
      <c r="E149" s="112">
        <f t="shared" si="23"/>
        <v>44</v>
      </c>
      <c r="F149" s="112">
        <f t="shared" si="23"/>
        <v>40</v>
      </c>
      <c r="G149" s="112">
        <f t="shared" si="23"/>
        <v>42</v>
      </c>
      <c r="H149" s="112">
        <f t="shared" si="23"/>
        <v>43</v>
      </c>
      <c r="I149" s="112">
        <f t="shared" si="23"/>
        <v>40</v>
      </c>
      <c r="J149" s="111">
        <f t="shared" si="25"/>
        <v>303.37235254404504</v>
      </c>
    </row>
    <row r="150" spans="2:16" ht="15" customHeight="1">
      <c r="B150" s="114">
        <v>2030</v>
      </c>
      <c r="C150" s="113">
        <f t="shared" si="22"/>
        <v>49.372352544045022</v>
      </c>
      <c r="D150" s="112">
        <f t="shared" si="23"/>
        <v>45</v>
      </c>
      <c r="E150" s="112">
        <f t="shared" si="23"/>
        <v>44</v>
      </c>
      <c r="F150" s="112">
        <f t="shared" si="23"/>
        <v>41</v>
      </c>
      <c r="G150" s="112">
        <f t="shared" si="23"/>
        <v>41</v>
      </c>
      <c r="H150" s="112">
        <f t="shared" si="23"/>
        <v>43</v>
      </c>
      <c r="I150" s="112">
        <f t="shared" si="23"/>
        <v>41</v>
      </c>
      <c r="J150" s="111">
        <f t="shared" si="25"/>
        <v>304.37235254404504</v>
      </c>
    </row>
    <row r="151" spans="2:16" ht="15" customHeight="1">
      <c r="B151" s="114">
        <v>2031</v>
      </c>
      <c r="C151" s="113">
        <f t="shared" si="22"/>
        <v>49.372352544045022</v>
      </c>
      <c r="D151" s="112">
        <f t="shared" si="23"/>
        <v>45</v>
      </c>
      <c r="E151" s="112">
        <f t="shared" si="23"/>
        <v>44</v>
      </c>
      <c r="F151" s="112">
        <f t="shared" si="23"/>
        <v>41</v>
      </c>
      <c r="G151" s="112">
        <f t="shared" si="23"/>
        <v>42</v>
      </c>
      <c r="H151" s="112">
        <f t="shared" si="23"/>
        <v>42</v>
      </c>
      <c r="I151" s="112">
        <f t="shared" si="23"/>
        <v>41</v>
      </c>
      <c r="J151" s="111">
        <f t="shared" si="25"/>
        <v>304.37235254404504</v>
      </c>
    </row>
    <row r="152" spans="2:16" ht="15" customHeight="1">
      <c r="B152" s="114">
        <v>2032</v>
      </c>
      <c r="C152" s="113">
        <f t="shared" si="22"/>
        <v>49.372352544045022</v>
      </c>
      <c r="D152" s="112">
        <f t="shared" si="23"/>
        <v>45</v>
      </c>
      <c r="E152" s="112">
        <f t="shared" si="23"/>
        <v>44</v>
      </c>
      <c r="F152" s="112">
        <f t="shared" si="23"/>
        <v>41</v>
      </c>
      <c r="G152" s="112">
        <f t="shared" si="23"/>
        <v>42</v>
      </c>
      <c r="H152" s="112">
        <f t="shared" si="23"/>
        <v>43</v>
      </c>
      <c r="I152" s="112">
        <f t="shared" si="23"/>
        <v>40</v>
      </c>
      <c r="J152" s="111">
        <f t="shared" si="25"/>
        <v>304.37235254404504</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273</v>
      </c>
      <c r="D159" s="108">
        <f>J140</f>
        <v>274.93960048575445</v>
      </c>
      <c r="E159" s="108">
        <f>J141</f>
        <v>291.63356053432994</v>
      </c>
      <c r="F159" s="108">
        <f>J142</f>
        <v>294.20080847603936</v>
      </c>
      <c r="G159" s="108">
        <f>J143</f>
        <v>297.15597651489975</v>
      </c>
      <c r="H159" s="108">
        <f>J144</f>
        <v>292.89476852461485</v>
      </c>
      <c r="I159" s="108">
        <f>J145</f>
        <v>297.89476852461485</v>
      </c>
      <c r="J159" s="108">
        <f>J146</f>
        <v>297.63356053432994</v>
      </c>
      <c r="K159" s="108">
        <f>J147</f>
        <v>300.37235254404504</v>
      </c>
      <c r="L159" s="108">
        <f>J148</f>
        <v>299.37235254404504</v>
      </c>
      <c r="M159" s="108">
        <f>J149</f>
        <v>303.37235254404504</v>
      </c>
      <c r="N159" s="108">
        <f>J150</f>
        <v>304.37235254404504</v>
      </c>
      <c r="O159" s="108">
        <f>J151</f>
        <v>304.37235254404504</v>
      </c>
      <c r="P159" s="108">
        <f>J152</f>
        <v>304.37235254404504</v>
      </c>
    </row>
    <row r="160" spans="2:16" ht="15" customHeight="1">
      <c r="B160" s="107" t="s">
        <v>152</v>
      </c>
      <c r="C160" s="106">
        <f>VLOOKUP(C159,Capacity!$A$1:$C$645,2,TRUE)</f>
        <v>11</v>
      </c>
      <c r="D160" s="106">
        <f>VLOOKUP(D159,Capacity!$A$1:$C$645,2,TRUE)</f>
        <v>11</v>
      </c>
      <c r="E160" s="106">
        <f>VLOOKUP(E159,Capacity!$A$1:$C$645,2,TRUE)</f>
        <v>11</v>
      </c>
      <c r="F160" s="106">
        <f>VLOOKUP(F159,Capacity!$A$1:$C$645,2,TRUE)</f>
        <v>11</v>
      </c>
      <c r="G160" s="106">
        <f>VLOOKUP(G159,Capacity!$A$1:$C$645,2,TRUE)</f>
        <v>12</v>
      </c>
      <c r="H160" s="106">
        <f>VLOOKUP(H159,Capacity!$A$1:$C$645,2,TRUE)</f>
        <v>11</v>
      </c>
      <c r="I160" s="106">
        <f>VLOOKUP(I159,Capacity!$A$1:$C$645,2,TRUE)</f>
        <v>12</v>
      </c>
      <c r="J160" s="106">
        <f>VLOOKUP(J159,Capacity!$A$1:$C$645,2,TRUE)</f>
        <v>12</v>
      </c>
      <c r="K160" s="106">
        <f>VLOOKUP(K159,Capacity!$A$1:$C$645,2,TRUE)</f>
        <v>12</v>
      </c>
      <c r="L160" s="106">
        <f>VLOOKUP(L159,Capacity!$A$1:$C$645,2,TRUE)</f>
        <v>12</v>
      </c>
      <c r="M160" s="106">
        <f>VLOOKUP(M159,Capacity!$A$1:$C$645,2,TRUE)</f>
        <v>12</v>
      </c>
      <c r="N160" s="106">
        <f>VLOOKUP(N159,Capacity!$A$1:$C$645,2,TRUE)</f>
        <v>12</v>
      </c>
      <c r="O160" s="106">
        <f>VLOOKUP(O159,Capacity!$A$1:$C$645,2,TRUE)</f>
        <v>12</v>
      </c>
      <c r="P160" s="106">
        <f>VLOOKUP(P159,Capacity!$A$1:$C$645,2,TRUE)</f>
        <v>12</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76</v>
      </c>
      <c r="D169" s="97">
        <f>VLOOKUP($E$3,'Catchment Births'!$A$1:$U$90,11,FALSE)</f>
        <v>89</v>
      </c>
      <c r="E169" s="97">
        <f>VLOOKUP($E$3,'Catchment Births'!$A$1:$U$90,12,FALSE)</f>
        <v>80</v>
      </c>
      <c r="F169" s="97">
        <f>VLOOKUP($E$3,'Catchment Births'!$A$1:$U$90,13,FALSE)</f>
        <v>84</v>
      </c>
      <c r="G169" s="97">
        <f>VLOOKUP($E$3,'Catchment Births'!$A$1:$U$90,14,FALSE)</f>
        <v>105</v>
      </c>
      <c r="H169" s="97">
        <f>VLOOKUP($E$3,'Catchment Births'!$A$1:$U$90,15,FALSE)</f>
        <v>88</v>
      </c>
      <c r="I169" s="97">
        <f>VLOOKUP($E$3,'Catchment Births'!$A$1:$U$90,16,FALSE)</f>
        <v>106</v>
      </c>
      <c r="J169" s="97">
        <f>VLOOKUP($E$3,'Catchment Births'!$A$1:$U$90,17,FALSE)</f>
        <v>107</v>
      </c>
      <c r="K169" s="97">
        <f>VLOOKUP($E$3,'Catchment Births'!$A$1:$U$90,18,FALSE)</f>
        <v>116</v>
      </c>
      <c r="L169" s="97">
        <f>VLOOKUP($E$3,'Catchment Births'!$A$1:$U$90,19,FALSE)</f>
        <v>105</v>
      </c>
      <c r="M169" s="97">
        <f>VLOOKUP($E$3,'Catchment Births'!$A$1:$U$90,20,FALSE)</f>
        <v>111</v>
      </c>
      <c r="N169" s="97">
        <f>VLOOKUP($E$3,'Catchment Births'!$A$1:$U$90,21,FALSE)</f>
        <v>92</v>
      </c>
    </row>
    <row r="170" spans="2:14" ht="58.5" customHeight="1">
      <c r="B170" s="103" t="str">
        <f>"P1 "&amp;A35&amp;" Catchment Population (Actual)"</f>
        <v>P1 ND Catchment Population (Actual)</v>
      </c>
      <c r="C170" s="102" t="e">
        <v>#REF!</v>
      </c>
      <c r="D170" s="102">
        <v>52</v>
      </c>
      <c r="E170" s="102">
        <v>41</v>
      </c>
      <c r="F170" s="102">
        <v>56</v>
      </c>
      <c r="G170" s="102">
        <v>67</v>
      </c>
      <c r="H170" s="102">
        <v>55</v>
      </c>
      <c r="I170" s="102">
        <v>52</v>
      </c>
      <c r="J170" s="308">
        <f>VLOOKUP(E3,'Catchment Projections'!A1:BU92,42,FALSE)</f>
        <v>51</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52</v>
      </c>
      <c r="J172" s="96" t="e">
        <f>#REF!</f>
        <v>#REF!</v>
      </c>
      <c r="K172" s="96">
        <f>D51</f>
        <v>60</v>
      </c>
      <c r="L172" s="96">
        <f>E51</f>
        <v>50</v>
      </c>
      <c r="M172" s="96">
        <f>F51</f>
        <v>55</v>
      </c>
      <c r="N172" s="96">
        <f>G51</f>
        <v>49</v>
      </c>
    </row>
    <row r="173" spans="2:14" ht="12.75">
      <c r="B173" s="62"/>
      <c r="C173" s="62"/>
      <c r="D173" s="62"/>
      <c r="E173" s="62"/>
      <c r="F173" s="62"/>
      <c r="G173" s="62"/>
      <c r="H173" s="62"/>
      <c r="I173" s="62"/>
      <c r="J173" s="62"/>
      <c r="K173" s="62"/>
    </row>
    <row r="174" spans="2:14" ht="15" customHeight="1">
      <c r="B174" s="64" t="str">
        <f>"Table 5: "&amp;E3&amp;" Roll by Stage, 2002-2018"</f>
        <v>Table 5: Craigentinny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28</v>
      </c>
      <c r="D177" s="93">
        <v>34</v>
      </c>
      <c r="E177" s="93">
        <v>38</v>
      </c>
      <c r="F177" s="93">
        <v>41</v>
      </c>
      <c r="G177" s="93">
        <v>23</v>
      </c>
      <c r="H177" s="93">
        <v>36</v>
      </c>
      <c r="I177" s="93">
        <v>48</v>
      </c>
      <c r="J177" s="92">
        <v>248</v>
      </c>
      <c r="K177" s="62"/>
    </row>
    <row r="178" spans="2:11" ht="15" customHeight="1">
      <c r="B178" s="94">
        <v>2003</v>
      </c>
      <c r="C178" s="93">
        <v>35</v>
      </c>
      <c r="D178" s="93">
        <v>32</v>
      </c>
      <c r="E178" s="93">
        <v>35</v>
      </c>
      <c r="F178" s="93">
        <v>38</v>
      </c>
      <c r="G178" s="93">
        <v>41</v>
      </c>
      <c r="H178" s="93">
        <v>25</v>
      </c>
      <c r="I178" s="93">
        <v>39</v>
      </c>
      <c r="J178" s="92">
        <v>245</v>
      </c>
      <c r="K178" s="62"/>
    </row>
    <row r="179" spans="2:11" customFormat="1" ht="15" customHeight="1">
      <c r="B179" s="94">
        <v>2004</v>
      </c>
      <c r="C179" s="95">
        <v>37</v>
      </c>
      <c r="D179" s="95">
        <v>35</v>
      </c>
      <c r="E179" s="95">
        <v>27</v>
      </c>
      <c r="F179" s="95">
        <v>36</v>
      </c>
      <c r="G179" s="95">
        <v>43</v>
      </c>
      <c r="H179" s="95">
        <v>41</v>
      </c>
      <c r="I179" s="95">
        <v>23</v>
      </c>
      <c r="J179" s="92">
        <v>242</v>
      </c>
      <c r="K179" s="62"/>
    </row>
    <row r="180" spans="2:11" customFormat="1" ht="15" customHeight="1">
      <c r="B180" s="94">
        <v>2005</v>
      </c>
      <c r="C180" s="93">
        <v>24</v>
      </c>
      <c r="D180" s="93">
        <v>33</v>
      </c>
      <c r="E180" s="93">
        <v>32</v>
      </c>
      <c r="F180" s="93">
        <v>23</v>
      </c>
      <c r="G180" s="93">
        <v>33</v>
      </c>
      <c r="H180" s="93">
        <v>36</v>
      </c>
      <c r="I180" s="93">
        <v>40</v>
      </c>
      <c r="J180" s="92">
        <v>221</v>
      </c>
      <c r="K180" s="62"/>
    </row>
    <row r="181" spans="2:11" customFormat="1" ht="15" customHeight="1">
      <c r="B181" s="94">
        <v>2006</v>
      </c>
      <c r="C181" s="93">
        <v>27</v>
      </c>
      <c r="D181" s="93">
        <v>25</v>
      </c>
      <c r="E181" s="93">
        <v>34</v>
      </c>
      <c r="F181" s="93">
        <v>29</v>
      </c>
      <c r="G181" s="93">
        <v>22</v>
      </c>
      <c r="H181" s="93">
        <v>34</v>
      </c>
      <c r="I181" s="93">
        <v>36</v>
      </c>
      <c r="J181" s="92">
        <v>207</v>
      </c>
      <c r="K181" s="62"/>
    </row>
    <row r="182" spans="2:11" customFormat="1" ht="15" customHeight="1">
      <c r="B182" s="94">
        <v>2007</v>
      </c>
      <c r="C182" s="93">
        <v>21</v>
      </c>
      <c r="D182" s="93">
        <v>26</v>
      </c>
      <c r="E182" s="93">
        <v>25</v>
      </c>
      <c r="F182" s="93">
        <v>36</v>
      </c>
      <c r="G182" s="93">
        <v>29</v>
      </c>
      <c r="H182" s="93">
        <v>22</v>
      </c>
      <c r="I182" s="93">
        <v>33</v>
      </c>
      <c r="J182" s="92">
        <v>192</v>
      </c>
      <c r="K182" s="62"/>
    </row>
    <row r="183" spans="2:11" customFormat="1" ht="15" customHeight="1">
      <c r="B183" s="94">
        <v>2008</v>
      </c>
      <c r="C183" s="93">
        <v>18</v>
      </c>
      <c r="D183" s="93">
        <v>23</v>
      </c>
      <c r="E183" s="93">
        <v>22</v>
      </c>
      <c r="F183" s="93">
        <v>27</v>
      </c>
      <c r="G183" s="93">
        <v>33</v>
      </c>
      <c r="H183" s="93">
        <v>29</v>
      </c>
      <c r="I183" s="93">
        <v>20</v>
      </c>
      <c r="J183" s="92">
        <v>172</v>
      </c>
      <c r="K183" s="62"/>
    </row>
    <row r="184" spans="2:11" customFormat="1" ht="15" customHeight="1">
      <c r="B184" s="94">
        <v>2009</v>
      </c>
      <c r="C184" s="93">
        <v>25</v>
      </c>
      <c r="D184" s="93">
        <v>17</v>
      </c>
      <c r="E184" s="93">
        <v>25</v>
      </c>
      <c r="F184" s="93">
        <v>23</v>
      </c>
      <c r="G184" s="93">
        <v>27</v>
      </c>
      <c r="H184" s="93">
        <v>33</v>
      </c>
      <c r="I184" s="93">
        <v>31</v>
      </c>
      <c r="J184" s="94">
        <v>181</v>
      </c>
      <c r="K184" s="62"/>
    </row>
    <row r="185" spans="2:11" customFormat="1" ht="15" customHeight="1">
      <c r="B185" s="94">
        <v>2010</v>
      </c>
      <c r="C185" s="93">
        <v>29</v>
      </c>
      <c r="D185" s="93">
        <v>22</v>
      </c>
      <c r="E185" s="93">
        <v>14</v>
      </c>
      <c r="F185" s="93">
        <v>21</v>
      </c>
      <c r="G185" s="93">
        <v>18</v>
      </c>
      <c r="H185" s="93">
        <v>26</v>
      </c>
      <c r="I185" s="93">
        <v>32</v>
      </c>
      <c r="J185" s="92">
        <v>162</v>
      </c>
      <c r="K185" s="62"/>
    </row>
    <row r="186" spans="2:11" customFormat="1" ht="15" customHeight="1">
      <c r="B186" s="94">
        <v>2011</v>
      </c>
      <c r="C186" s="93">
        <v>16</v>
      </c>
      <c r="D186" s="93">
        <v>32</v>
      </c>
      <c r="E186" s="93">
        <v>20</v>
      </c>
      <c r="F186" s="93">
        <v>16</v>
      </c>
      <c r="G186" s="93">
        <v>20</v>
      </c>
      <c r="H186" s="93">
        <v>23</v>
      </c>
      <c r="I186" s="93">
        <v>25</v>
      </c>
      <c r="J186" s="92">
        <v>152</v>
      </c>
      <c r="K186" s="62"/>
    </row>
    <row r="187" spans="2:11" customFormat="1" ht="15" customHeight="1">
      <c r="B187" s="94">
        <v>2012</v>
      </c>
      <c r="C187" s="93">
        <v>46</v>
      </c>
      <c r="D187" s="93">
        <v>20</v>
      </c>
      <c r="E187" s="93">
        <v>29</v>
      </c>
      <c r="F187" s="93">
        <v>21</v>
      </c>
      <c r="G187" s="93">
        <v>15</v>
      </c>
      <c r="H187" s="93">
        <v>24</v>
      </c>
      <c r="I187" s="93">
        <v>20</v>
      </c>
      <c r="J187" s="92">
        <v>175</v>
      </c>
      <c r="K187" s="62"/>
    </row>
    <row r="188" spans="2:11" customFormat="1" ht="15" customHeight="1">
      <c r="B188" s="94">
        <v>2013</v>
      </c>
      <c r="C188" s="93">
        <v>43</v>
      </c>
      <c r="D188" s="93">
        <v>39</v>
      </c>
      <c r="E188" s="93">
        <v>20</v>
      </c>
      <c r="F188" s="93">
        <v>30</v>
      </c>
      <c r="G188" s="93">
        <v>18</v>
      </c>
      <c r="H188" s="93">
        <v>15</v>
      </c>
      <c r="I188" s="93">
        <v>22</v>
      </c>
      <c r="J188" s="94">
        <v>187</v>
      </c>
      <c r="K188" s="62"/>
    </row>
    <row r="189" spans="2:11" customFormat="1" ht="15" customHeight="1">
      <c r="B189" s="94">
        <v>2014</v>
      </c>
      <c r="C189" s="93">
        <v>33</v>
      </c>
      <c r="D189" s="93">
        <v>40</v>
      </c>
      <c r="E189" s="93">
        <v>37</v>
      </c>
      <c r="F189" s="93">
        <v>22</v>
      </c>
      <c r="G189" s="93">
        <v>33</v>
      </c>
      <c r="H189" s="93">
        <v>23</v>
      </c>
      <c r="I189" s="93">
        <v>13</v>
      </c>
      <c r="J189" s="92">
        <v>201</v>
      </c>
      <c r="K189" s="65"/>
    </row>
    <row r="190" spans="2:11" customFormat="1" ht="15" customHeight="1">
      <c r="B190" s="94">
        <v>2015</v>
      </c>
      <c r="C190" s="93">
        <v>37</v>
      </c>
      <c r="D190" s="93">
        <v>33</v>
      </c>
      <c r="E190" s="93">
        <v>41</v>
      </c>
      <c r="F190" s="93">
        <v>36</v>
      </c>
      <c r="G190" s="93">
        <v>22</v>
      </c>
      <c r="H190" s="93">
        <v>29</v>
      </c>
      <c r="I190" s="93">
        <v>20</v>
      </c>
      <c r="J190" s="92">
        <v>218</v>
      </c>
      <c r="K190" s="65"/>
    </row>
    <row r="191" spans="2:11" customFormat="1" ht="15" customHeight="1">
      <c r="B191" s="94">
        <v>2016</v>
      </c>
      <c r="C191" s="93">
        <v>45</v>
      </c>
      <c r="D191" s="93">
        <v>42</v>
      </c>
      <c r="E191" s="93">
        <v>32</v>
      </c>
      <c r="F191" s="93">
        <v>38</v>
      </c>
      <c r="G191" s="93">
        <v>42</v>
      </c>
      <c r="H191" s="93">
        <v>22</v>
      </c>
      <c r="I191" s="93">
        <v>31</v>
      </c>
      <c r="J191" s="92">
        <v>252</v>
      </c>
      <c r="K191" s="65"/>
    </row>
    <row r="192" spans="2:11" ht="15" customHeight="1">
      <c r="B192" s="94">
        <v>2017</v>
      </c>
      <c r="C192" s="93">
        <f>VLOOKUP($E$3,Rolls!A1:FA90,42,FALSE)</f>
        <v>59</v>
      </c>
      <c r="D192" s="93">
        <f>VLOOKUP($E$3,Rolls!A1:FA90,43,FALSE)</f>
        <v>39</v>
      </c>
      <c r="E192" s="93">
        <f>VLOOKUP($E$3,Rolls!A1:FA90,44,FALSE)</f>
        <v>40</v>
      </c>
      <c r="F192" s="93">
        <f>VLOOKUP($E$3,Rolls!A1:FA90,45,FALSE)</f>
        <v>27</v>
      </c>
      <c r="G192" s="93">
        <f>VLOOKUP($E$3,Rolls!A1:FA90,46,FALSE)</f>
        <v>39</v>
      </c>
      <c r="H192" s="93">
        <f>VLOOKUP($E$3,Rolls!A1:FA90,47,FALSE)</f>
        <v>43</v>
      </c>
      <c r="I192" s="93">
        <f>VLOOKUP($E$3,Rolls!A1:FA90,48,FALSE)</f>
        <v>21</v>
      </c>
      <c r="J192" s="92">
        <f>VLOOKUP($E$3,Rolls!A1:FA90,49,FALSE)</f>
        <v>268</v>
      </c>
      <c r="K192" s="65"/>
    </row>
    <row r="193" spans="2:11" ht="15" customHeight="1">
      <c r="B193" s="94">
        <v>2018</v>
      </c>
      <c r="C193" s="93">
        <f>VLOOKUP($E$3,Rolls!A1:FA90,50,FALSE)</f>
        <v>43</v>
      </c>
      <c r="D193" s="93">
        <f>VLOOKUP($E$3,Rolls!A1:FA90,51,FALSE)</f>
        <v>48</v>
      </c>
      <c r="E193" s="93">
        <f>VLOOKUP($E$3,Rolls!A1:FA90,52,FALSE)</f>
        <v>39</v>
      </c>
      <c r="F193" s="93">
        <f>VLOOKUP($E$3,Rolls!A1:FA90,53,FALSE)</f>
        <v>35</v>
      </c>
      <c r="G193" s="93">
        <f>VLOOKUP($E$3,Rolls!A1:FA90,54,FALSE)</f>
        <v>24</v>
      </c>
      <c r="H193" s="93">
        <f>VLOOKUP($E$3,Rolls!A1:FA90,55,FALSE)</f>
        <v>40</v>
      </c>
      <c r="I193" s="93">
        <f>VLOOKUP($E$3,Rolls!A1:FA90,56,FALSE)</f>
        <v>43</v>
      </c>
      <c r="J193" s="92">
        <f>VLOOKUP($E$3,Rolls!A1:FA90,57,FALSE)</f>
        <v>272</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Q193"/>
  <sheetViews>
    <sheetView topLeftCell="B39" zoomScaleNormal="100" workbookViewId="0">
      <selection activeCell="H60" sqref="H60"/>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24</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Craiglockhart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476 Pupils (17 classes)</v>
      </c>
      <c r="G12" s="16"/>
      <c r="H12" s="16"/>
    </row>
    <row r="13" spans="2:10" ht="15" customHeight="1">
      <c r="C13" s="16"/>
      <c r="D13" s="16"/>
      <c r="E13" s="16"/>
      <c r="F13" s="16"/>
      <c r="G13" s="16"/>
      <c r="H13" s="16"/>
    </row>
    <row r="14" spans="2:10" ht="15" customHeight="1">
      <c r="B14" s="15" t="str">
        <f>"Figure 1: "&amp;E3&amp;" Roll, 2002-2015"</f>
        <v>Figure 1: Craiglockhart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Craiglockhart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41</v>
      </c>
      <c r="E49" s="108">
        <f>VLOOKUP($E$3,'Catchment Projections'!$A$1:$BU$90,46,FALSE)</f>
        <v>43</v>
      </c>
      <c r="F49" s="108">
        <f>VLOOKUP($E$3,'Catchment Projections'!$A$1:$BU$90,47,FALSE)</f>
        <v>46</v>
      </c>
      <c r="G49" s="108">
        <f>VLOOKUP($E$3,'Catchment Projections'!$A$1:$BU$90,48,FALSE)</f>
        <v>31</v>
      </c>
      <c r="H49" s="133">
        <f>VLOOKUP($E$3,'Catchment Projections'!$A$1:$BU$90,49,FALSE)</f>
        <v>40</v>
      </c>
      <c r="I49" s="133">
        <f>VLOOKUP($E$3,'Catchment Projections'!$A$1:$BU$90,50,FALSE)</f>
        <v>41</v>
      </c>
      <c r="J49" s="133">
        <f>VLOOKUP($E$3,'Catchment Projections'!$A$1:$BU$90,51,FALSE)</f>
        <v>41</v>
      </c>
      <c r="K49" s="133">
        <f>VLOOKUP($E$3,'Catchment Projections'!$A$1:$BU$90,52,FALSE)</f>
        <v>42</v>
      </c>
      <c r="L49" s="133">
        <f>VLOOKUP($E$3,'Catchment Projections'!$A$1:$BU$90,53,FALSE)</f>
        <v>42</v>
      </c>
      <c r="M49" s="133">
        <f>VLOOKUP($E$3,'Catchment Projections'!$A$1:$BU$90,54,FALSE)</f>
        <v>42</v>
      </c>
      <c r="N49" s="133">
        <f>VLOOKUP($E$3,'Catchment Projections'!$A$1:$BU$90,55,FALSE)</f>
        <v>42</v>
      </c>
      <c r="O49" s="133">
        <f>VLOOKUP($E$3,'Catchment Projections'!$A$1:$BU$90,56,FALSE)</f>
        <v>43</v>
      </c>
      <c r="P49" s="133">
        <f>VLOOKUP($E$3,'Catchment Projections'!$A$1:$BU$90,57,FALSE)</f>
        <v>43</v>
      </c>
      <c r="Q49" s="133">
        <f>VLOOKUP($E$3,'Catchment Projections'!$A$1:$BU$90,58,FALSE)</f>
        <v>43</v>
      </c>
    </row>
    <row r="50" spans="2:17" ht="15" customHeight="1" thickBot="1">
      <c r="B50" s="410" t="s">
        <v>141</v>
      </c>
      <c r="C50" s="411"/>
      <c r="D50" s="286">
        <f>VLOOKUP(E3,'Housing Generation'!$A$3:$DQ$90,10,FALSE)</f>
        <v>0</v>
      </c>
      <c r="E50" s="286">
        <f>VLOOKUP(E3,'Housing Generation'!$A$3:$DQ$90,18,FALSE)</f>
        <v>0</v>
      </c>
      <c r="F50" s="286">
        <f>VLOOKUP(E3,'Housing Generation'!$A$3:$DQ$90,26,FALSE)</f>
        <v>0</v>
      </c>
      <c r="G50" s="243">
        <f>VLOOKUP(E3,'Housing Generation'!$A$3:$DQ$90,34,FALSE)</f>
        <v>0</v>
      </c>
      <c r="H50" s="133">
        <f>VLOOKUP(E3,'Housing Generation'!$A$3:$DQ$90,42,FALSE)</f>
        <v>0</v>
      </c>
      <c r="I50" s="133">
        <f>VLOOKUP(E3,'Housing Generation'!$A$3:$DQ$90,50,FALSE)</f>
        <v>0</v>
      </c>
      <c r="J50" s="133">
        <f>VLOOKUP(E3,'Housing Generation'!$A$3:$CK$90,58,FALSE)</f>
        <v>0</v>
      </c>
      <c r="K50" s="133">
        <f>VLOOKUP(E3,'Housing Generation'!$A$3:$CK$90,66,FALSE)</f>
        <v>0</v>
      </c>
      <c r="L50" s="133">
        <f>VLOOKUP(E3,'Housing Generation'!$A$3:$DQ$90,74,FALSE)</f>
        <v>0</v>
      </c>
      <c r="M50" s="133">
        <f>VLOOKUP(E3,'Housing Generation'!$A$3:$DQ$90,82,FALSE)</f>
        <v>0</v>
      </c>
      <c r="N50" s="133">
        <f>VLOOKUP(E3,'Housing Generation'!$A$3:$DQ$90,90,FALSE)</f>
        <v>0</v>
      </c>
      <c r="O50" s="133">
        <f>VLOOKUP(E3,'Housing Generation'!$A$3:$DQ$90,98,FALSE)</f>
        <v>0</v>
      </c>
      <c r="P50" s="133">
        <f>VLOOKUP(E3,'Housing Generation'!$A$3:$DQ$90,106,FALSE)</f>
        <v>0</v>
      </c>
      <c r="Q50" s="133">
        <f>VLOOKUP(E3,'Housing Generation'!$A$3:$DQ$90,114,FALSE)</f>
        <v>0</v>
      </c>
    </row>
    <row r="51" spans="2:17" ht="15" customHeight="1" thickTop="1">
      <c r="B51" s="421" t="s">
        <v>130</v>
      </c>
      <c r="C51" s="422"/>
      <c r="D51" s="47">
        <f t="shared" ref="D51:Q51" si="0">SUM(D49:D50)</f>
        <v>41</v>
      </c>
      <c r="E51" s="47">
        <f t="shared" si="0"/>
        <v>43</v>
      </c>
      <c r="F51" s="80">
        <f t="shared" si="0"/>
        <v>46</v>
      </c>
      <c r="G51" s="244">
        <f t="shared" si="0"/>
        <v>31</v>
      </c>
      <c r="H51" s="71">
        <f t="shared" si="0"/>
        <v>40</v>
      </c>
      <c r="I51" s="71">
        <f t="shared" si="0"/>
        <v>41</v>
      </c>
      <c r="J51" s="71">
        <f t="shared" si="0"/>
        <v>41</v>
      </c>
      <c r="K51" s="71">
        <f t="shared" si="0"/>
        <v>42</v>
      </c>
      <c r="L51" s="71">
        <f t="shared" si="0"/>
        <v>42</v>
      </c>
      <c r="M51" s="71">
        <f t="shared" si="0"/>
        <v>42</v>
      </c>
      <c r="N51" s="71">
        <f t="shared" si="0"/>
        <v>42</v>
      </c>
      <c r="O51" s="71">
        <f t="shared" si="0"/>
        <v>43</v>
      </c>
      <c r="P51" s="71">
        <f t="shared" si="0"/>
        <v>43</v>
      </c>
      <c r="Q51" s="71">
        <f t="shared" si="0"/>
        <v>43</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45</v>
      </c>
      <c r="D60" s="358">
        <f>VLOOKUP($E$3,'Catchment Projections'!$A$1:$BZ$90,74,FALSE)</f>
        <v>42</v>
      </c>
      <c r="E60" s="303">
        <f>D60/C60</f>
        <v>0.93333333333333335</v>
      </c>
      <c r="G60" s="132">
        <v>2014</v>
      </c>
      <c r="H60" s="395">
        <f>VLOOKUP($G$60,$B$177:$C$215, 2, FALSE)</f>
        <v>59</v>
      </c>
      <c r="I60" s="120">
        <f>H60-D60</f>
        <v>17</v>
      </c>
      <c r="J60" s="121">
        <f>I60/H60</f>
        <v>0.28813559322033899</v>
      </c>
    </row>
    <row r="61" spans="2:17" ht="15" customHeight="1">
      <c r="B61" s="132">
        <v>2015</v>
      </c>
      <c r="C61" s="359">
        <f>VLOOKUP($E$3,'Catchment Projections'!$A$1:$BZ$90,41,FALSE)</f>
        <v>46</v>
      </c>
      <c r="D61" s="358">
        <f>VLOOKUP($E$3,'Catchment Projections'!$A$1:$BZ$90,75,FALSE)</f>
        <v>43</v>
      </c>
      <c r="E61" s="303">
        <f>D61/C61</f>
        <v>0.93478260869565222</v>
      </c>
      <c r="G61" s="132">
        <v>2015</v>
      </c>
      <c r="H61" s="395">
        <f>VLOOKUP($G$61,$B$177:$C$215, 2, FALSE)</f>
        <v>48</v>
      </c>
      <c r="I61" s="120">
        <f>H61-D61</f>
        <v>5</v>
      </c>
      <c r="J61" s="121">
        <f>I61/H61</f>
        <v>0.10416666666666667</v>
      </c>
    </row>
    <row r="62" spans="2:17" ht="15" customHeight="1">
      <c r="B62" s="131">
        <v>2016</v>
      </c>
      <c r="C62" s="359">
        <f>VLOOKUP($E$3,'Catchment Projections'!$A$1:$BZ$90,42,FALSE)</f>
        <v>60</v>
      </c>
      <c r="D62" s="358">
        <f>VLOOKUP($E$3,'Catchment Projections'!$A$1:$BZ$90,76,FALSE)</f>
        <v>56</v>
      </c>
      <c r="E62" s="57">
        <f>D62/C62</f>
        <v>0.93333333333333335</v>
      </c>
      <c r="G62" s="131">
        <v>2016</v>
      </c>
      <c r="H62" s="395">
        <f>VLOOKUP($G$62,$B$177:$C$215, 2, FALSE)</f>
        <v>77</v>
      </c>
      <c r="I62" s="120">
        <f>H62-D62</f>
        <v>21</v>
      </c>
      <c r="J62" s="121">
        <f>I62/H62</f>
        <v>0.27272727272727271</v>
      </c>
    </row>
    <row r="63" spans="2:17" ht="15" customHeight="1">
      <c r="B63" s="114">
        <v>2017</v>
      </c>
      <c r="C63" s="359">
        <f>VLOOKUP($E$3,'Catchment Projections'!$A$1:$BZ$90,43,FALSE)</f>
        <v>53</v>
      </c>
      <c r="D63" s="358">
        <f>VLOOKUP($E$3,'Catchment Projections'!$A$1:$BZ$90,77,FALSE)</f>
        <v>52</v>
      </c>
      <c r="E63" s="304">
        <f>D63/C63</f>
        <v>0.98113207547169812</v>
      </c>
      <c r="G63" s="114">
        <v>2017</v>
      </c>
      <c r="H63" s="395">
        <f>VLOOKUP($G$63,$B$177:$C$215, 2, FALSE)</f>
        <v>58</v>
      </c>
      <c r="I63" s="120">
        <f>H63-D63</f>
        <v>6</v>
      </c>
      <c r="J63" s="121">
        <f>I63/H63</f>
        <v>0.10344827586206896</v>
      </c>
    </row>
    <row r="64" spans="2:17" ht="15" customHeight="1">
      <c r="B64" s="114">
        <v>2018</v>
      </c>
      <c r="C64" s="359">
        <f>VLOOKUP($E$3,'Catchment Projections'!$A$1:$BZ$90,44,FALSE)</f>
        <v>43</v>
      </c>
      <c r="D64" s="358">
        <f>VLOOKUP($E$3,'Catchment Projections'!$A$1:$BZ$90,78,FALSE)</f>
        <v>40</v>
      </c>
      <c r="E64" s="305">
        <f>D64/C64</f>
        <v>0.93023255813953487</v>
      </c>
      <c r="G64" s="114">
        <v>2018</v>
      </c>
      <c r="H64" s="395">
        <f>VLOOKUP($G$64,$B$177:$C$215, 2, FALSE)</f>
        <v>48</v>
      </c>
      <c r="I64" s="120">
        <f>H64-D64</f>
        <v>8</v>
      </c>
      <c r="J64" s="121">
        <f>I64/H64</f>
        <v>0.16666666666666666</v>
      </c>
    </row>
    <row r="65" spans="2:10" ht="15" customHeight="1">
      <c r="B65" s="412" t="s">
        <v>136</v>
      </c>
      <c r="C65" s="413"/>
      <c r="D65" s="414"/>
      <c r="E65" s="137">
        <f>IF((AVERAGE(E62:E64))="#DIV/0!","n/a",(AVERAGE(E62:E64)))</f>
        <v>0.9482326556481887</v>
      </c>
      <c r="G65" s="415" t="s">
        <v>137</v>
      </c>
      <c r="H65" s="416"/>
      <c r="I65" s="138">
        <f>MEDIAN(I60:I64)</f>
        <v>8</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41</v>
      </c>
      <c r="D70" s="408"/>
      <c r="E70" s="122">
        <f>E65</f>
        <v>0.9482326556481887</v>
      </c>
      <c r="F70" s="120">
        <f t="shared" ref="F70:F83" si="1">C70*$E$65</f>
        <v>38.877538881575738</v>
      </c>
      <c r="G70" s="118">
        <f>IF(F70&lt;26,25,IF(F70&gt;135,140,IF(F70&gt;130,135,IF(F70&gt;125,130,IF(F70&gt;120,125,IF(F70&gt;115,120,IF(F70&gt;110,115,IF(F70&gt;105,110,IF(F70&gt;100,105,IF(F70&gt;99,100,IF(F70&gt;90,99,IF(F70&gt;75,90,IF(F70&gt;72,75,IF(F70&gt;66,72,IF(F70&gt;60,66,IF(F70&gt;50,60,IF(F70&gt;30,50,IF(F70&gt;25,30,0))))))))))))))))))</f>
        <v>50</v>
      </c>
      <c r="H70" s="119">
        <f t="shared" ref="H70:H83" si="2">G70-F70</f>
        <v>11.122461118424262</v>
      </c>
      <c r="I70" s="118" t="str">
        <f>IF(I$65&lt;H70, "NO", "YES")</f>
        <v>NO</v>
      </c>
      <c r="J70" s="117">
        <f t="shared" ref="J70:J83" si="3">IF(I70="YES",G70,(MIN((SUM(F70,$I$65)),G70)))</f>
        <v>46.877538881575738</v>
      </c>
    </row>
    <row r="71" spans="2:10" ht="15" customHeight="1">
      <c r="B71" s="114">
        <v>2020</v>
      </c>
      <c r="C71" s="433">
        <f>E51</f>
        <v>43</v>
      </c>
      <c r="D71" s="408"/>
      <c r="E71" s="121">
        <f>E65</f>
        <v>0.9482326556481887</v>
      </c>
      <c r="F71" s="120">
        <f t="shared" si="1"/>
        <v>40.774004192872113</v>
      </c>
      <c r="G71" s="118">
        <f t="shared" ref="G71:G83" si="4">IF(F71&lt;26,25,IF(F71&gt;135,140,IF(F71&gt;130,135,IF(F71&gt;125,130,IF(F71&gt;120,125,IF(F71&gt;115,120,IF(F71&gt;110,115,IF(F71&gt;105,110,IF(F71&gt;100,105,IF(F71&gt;99,100,IF(F71&gt;90,99,IF(F71&gt;75,90,IF(F71&gt;72,75,IF(F71&gt;66,72,IF(F71&gt;60,66,IF(F71&gt;50,60,IF(F71&gt;30,50,IF(F71&gt;25,30,0))))))))))))))))))</f>
        <v>50</v>
      </c>
      <c r="H71" s="119">
        <f t="shared" si="2"/>
        <v>9.2259958071278874</v>
      </c>
      <c r="I71" s="118" t="str">
        <f t="shared" ref="I71:I83" si="5">IF(I$65&lt;H71, "NO", "YES")</f>
        <v>NO</v>
      </c>
      <c r="J71" s="117">
        <f t="shared" si="3"/>
        <v>48.774004192872113</v>
      </c>
    </row>
    <row r="72" spans="2:10" ht="15" customHeight="1">
      <c r="B72" s="114">
        <v>2021</v>
      </c>
      <c r="C72" s="430">
        <f>F51</f>
        <v>46</v>
      </c>
      <c r="D72" s="431"/>
      <c r="E72" s="121">
        <f>E65</f>
        <v>0.9482326556481887</v>
      </c>
      <c r="F72" s="120">
        <f t="shared" si="1"/>
        <v>43.618702159816678</v>
      </c>
      <c r="G72" s="118">
        <f t="shared" si="4"/>
        <v>50</v>
      </c>
      <c r="H72" s="119">
        <f t="shared" si="2"/>
        <v>6.381297840183322</v>
      </c>
      <c r="I72" s="118" t="str">
        <f t="shared" si="5"/>
        <v>YES</v>
      </c>
      <c r="J72" s="117">
        <f t="shared" si="3"/>
        <v>50</v>
      </c>
    </row>
    <row r="73" spans="2:10" ht="15" customHeight="1">
      <c r="B73" s="114">
        <v>2022</v>
      </c>
      <c r="C73" s="430">
        <f>G51</f>
        <v>31</v>
      </c>
      <c r="D73" s="431"/>
      <c r="E73" s="121">
        <f>E65</f>
        <v>0.9482326556481887</v>
      </c>
      <c r="F73" s="120">
        <f t="shared" si="1"/>
        <v>29.395212325093851</v>
      </c>
      <c r="G73" s="118">
        <f t="shared" si="4"/>
        <v>30</v>
      </c>
      <c r="H73" s="119">
        <f t="shared" si="2"/>
        <v>0.60478767490614871</v>
      </c>
      <c r="I73" s="118" t="str">
        <f t="shared" si="5"/>
        <v>YES</v>
      </c>
      <c r="J73" s="117">
        <f t="shared" si="3"/>
        <v>30</v>
      </c>
    </row>
    <row r="74" spans="2:10" ht="15" customHeight="1">
      <c r="B74" s="114">
        <v>2023</v>
      </c>
      <c r="C74" s="430">
        <f>H51</f>
        <v>40</v>
      </c>
      <c r="D74" s="431"/>
      <c r="E74" s="121">
        <f>E65</f>
        <v>0.9482326556481887</v>
      </c>
      <c r="F74" s="120">
        <f t="shared" si="1"/>
        <v>37.929306225927547</v>
      </c>
      <c r="G74" s="118">
        <f t="shared" si="4"/>
        <v>50</v>
      </c>
      <c r="H74" s="119">
        <f t="shared" si="2"/>
        <v>12.070693774072453</v>
      </c>
      <c r="I74" s="118" t="str">
        <f t="shared" si="5"/>
        <v>NO</v>
      </c>
      <c r="J74" s="117">
        <f t="shared" si="3"/>
        <v>45.929306225927547</v>
      </c>
    </row>
    <row r="75" spans="2:10" ht="15" customHeight="1">
      <c r="B75" s="114">
        <v>2024</v>
      </c>
      <c r="C75" s="430">
        <f>I51</f>
        <v>41</v>
      </c>
      <c r="D75" s="431"/>
      <c r="E75" s="121">
        <f>E65</f>
        <v>0.9482326556481887</v>
      </c>
      <c r="F75" s="120">
        <f t="shared" si="1"/>
        <v>38.877538881575738</v>
      </c>
      <c r="G75" s="118">
        <f t="shared" si="4"/>
        <v>50</v>
      </c>
      <c r="H75" s="119">
        <f t="shared" si="2"/>
        <v>11.122461118424262</v>
      </c>
      <c r="I75" s="118" t="str">
        <f t="shared" si="5"/>
        <v>NO</v>
      </c>
      <c r="J75" s="117">
        <f t="shared" si="3"/>
        <v>46.877538881575738</v>
      </c>
    </row>
    <row r="76" spans="2:10" ht="15" customHeight="1">
      <c r="B76" s="114">
        <v>2025</v>
      </c>
      <c r="C76" s="430">
        <f>J51</f>
        <v>41</v>
      </c>
      <c r="D76" s="431"/>
      <c r="E76" s="121">
        <f>E65</f>
        <v>0.9482326556481887</v>
      </c>
      <c r="F76" s="120">
        <f t="shared" si="1"/>
        <v>38.877538881575738</v>
      </c>
      <c r="G76" s="118">
        <f t="shared" si="4"/>
        <v>50</v>
      </c>
      <c r="H76" s="119">
        <f t="shared" si="2"/>
        <v>11.122461118424262</v>
      </c>
      <c r="I76" s="118" t="str">
        <f t="shared" si="5"/>
        <v>NO</v>
      </c>
      <c r="J76" s="117">
        <f t="shared" si="3"/>
        <v>46.877538881575738</v>
      </c>
    </row>
    <row r="77" spans="2:10" ht="15" customHeight="1">
      <c r="B77" s="114">
        <v>2026</v>
      </c>
      <c r="C77" s="430">
        <f>K51</f>
        <v>42</v>
      </c>
      <c r="D77" s="431"/>
      <c r="E77" s="121">
        <f>E65</f>
        <v>0.9482326556481887</v>
      </c>
      <c r="F77" s="120">
        <f t="shared" si="1"/>
        <v>39.825771537223929</v>
      </c>
      <c r="G77" s="118">
        <f t="shared" si="4"/>
        <v>50</v>
      </c>
      <c r="H77" s="119">
        <f t="shared" si="2"/>
        <v>10.174228462776071</v>
      </c>
      <c r="I77" s="118" t="str">
        <f t="shared" si="5"/>
        <v>NO</v>
      </c>
      <c r="J77" s="117">
        <f t="shared" si="3"/>
        <v>47.825771537223929</v>
      </c>
    </row>
    <row r="78" spans="2:10" ht="15" customHeight="1">
      <c r="B78" s="114">
        <v>2027</v>
      </c>
      <c r="C78" s="430">
        <f>L51</f>
        <v>42</v>
      </c>
      <c r="D78" s="431"/>
      <c r="E78" s="121">
        <f>E65</f>
        <v>0.9482326556481887</v>
      </c>
      <c r="F78" s="120">
        <f t="shared" si="1"/>
        <v>39.825771537223929</v>
      </c>
      <c r="G78" s="118">
        <f t="shared" si="4"/>
        <v>50</v>
      </c>
      <c r="H78" s="119">
        <f t="shared" si="2"/>
        <v>10.174228462776071</v>
      </c>
      <c r="I78" s="118" t="str">
        <f t="shared" si="5"/>
        <v>NO</v>
      </c>
      <c r="J78" s="117">
        <f t="shared" si="3"/>
        <v>47.825771537223929</v>
      </c>
    </row>
    <row r="79" spans="2:10" ht="15" customHeight="1">
      <c r="B79" s="114">
        <v>2028</v>
      </c>
      <c r="C79" s="430">
        <f>M51</f>
        <v>42</v>
      </c>
      <c r="D79" s="431"/>
      <c r="E79" s="121">
        <f t="shared" ref="E79:E83" si="6">$E$65</f>
        <v>0.9482326556481887</v>
      </c>
      <c r="F79" s="120">
        <f t="shared" si="1"/>
        <v>39.825771537223929</v>
      </c>
      <c r="G79" s="118">
        <f t="shared" si="4"/>
        <v>50</v>
      </c>
      <c r="H79" s="119">
        <f t="shared" si="2"/>
        <v>10.174228462776071</v>
      </c>
      <c r="I79" s="118" t="str">
        <f t="shared" si="5"/>
        <v>NO</v>
      </c>
      <c r="J79" s="117">
        <f t="shared" si="3"/>
        <v>47.825771537223929</v>
      </c>
    </row>
    <row r="80" spans="2:10" ht="15" customHeight="1">
      <c r="B80" s="114">
        <v>2029</v>
      </c>
      <c r="C80" s="430">
        <f>N51</f>
        <v>42</v>
      </c>
      <c r="D80" s="431"/>
      <c r="E80" s="121">
        <f t="shared" si="6"/>
        <v>0.9482326556481887</v>
      </c>
      <c r="F80" s="120">
        <f t="shared" si="1"/>
        <v>39.825771537223929</v>
      </c>
      <c r="G80" s="118">
        <f t="shared" si="4"/>
        <v>50</v>
      </c>
      <c r="H80" s="119">
        <f t="shared" si="2"/>
        <v>10.174228462776071</v>
      </c>
      <c r="I80" s="118" t="str">
        <f t="shared" si="5"/>
        <v>NO</v>
      </c>
      <c r="J80" s="117">
        <f t="shared" si="3"/>
        <v>47.825771537223929</v>
      </c>
    </row>
    <row r="81" spans="2:10" ht="15" customHeight="1">
      <c r="B81" s="114">
        <v>2030</v>
      </c>
      <c r="C81" s="430">
        <f>O51</f>
        <v>43</v>
      </c>
      <c r="D81" s="431"/>
      <c r="E81" s="121">
        <f t="shared" si="6"/>
        <v>0.9482326556481887</v>
      </c>
      <c r="F81" s="120">
        <f t="shared" si="1"/>
        <v>40.774004192872113</v>
      </c>
      <c r="G81" s="118">
        <f t="shared" si="4"/>
        <v>50</v>
      </c>
      <c r="H81" s="119">
        <f t="shared" si="2"/>
        <v>9.2259958071278874</v>
      </c>
      <c r="I81" s="118" t="str">
        <f t="shared" si="5"/>
        <v>NO</v>
      </c>
      <c r="J81" s="117">
        <f t="shared" si="3"/>
        <v>48.774004192872113</v>
      </c>
    </row>
    <row r="82" spans="2:10" ht="15" customHeight="1">
      <c r="B82" s="114">
        <v>2031</v>
      </c>
      <c r="C82" s="430">
        <f>P51</f>
        <v>43</v>
      </c>
      <c r="D82" s="431"/>
      <c r="E82" s="121">
        <f t="shared" si="6"/>
        <v>0.9482326556481887</v>
      </c>
      <c r="F82" s="120">
        <f t="shared" si="1"/>
        <v>40.774004192872113</v>
      </c>
      <c r="G82" s="118">
        <f t="shared" si="4"/>
        <v>50</v>
      </c>
      <c r="H82" s="119">
        <f t="shared" si="2"/>
        <v>9.2259958071278874</v>
      </c>
      <c r="I82" s="118" t="str">
        <f t="shared" si="5"/>
        <v>NO</v>
      </c>
      <c r="J82" s="117">
        <f t="shared" si="3"/>
        <v>48.774004192872113</v>
      </c>
    </row>
    <row r="83" spans="2:10" ht="15" customHeight="1">
      <c r="B83" s="114">
        <v>2032</v>
      </c>
      <c r="C83" s="430">
        <f>Q51</f>
        <v>43</v>
      </c>
      <c r="D83" s="431"/>
      <c r="E83" s="121">
        <f t="shared" si="6"/>
        <v>0.9482326556481887</v>
      </c>
      <c r="F83" s="120">
        <f t="shared" si="1"/>
        <v>40.774004192872113</v>
      </c>
      <c r="G83" s="118">
        <f t="shared" si="4"/>
        <v>50</v>
      </c>
      <c r="H83" s="119">
        <f t="shared" si="2"/>
        <v>9.2259958071278874</v>
      </c>
      <c r="I83" s="118" t="str">
        <f t="shared" si="5"/>
        <v>NO</v>
      </c>
      <c r="J83" s="117">
        <f t="shared" si="3"/>
        <v>48.774004192872113</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Craiglockhart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60</v>
      </c>
      <c r="D91" s="112">
        <f t="shared" ref="D91:J91" si="7">D188</f>
        <v>61</v>
      </c>
      <c r="E91" s="112">
        <f t="shared" si="7"/>
        <v>61</v>
      </c>
      <c r="F91" s="112">
        <f t="shared" si="7"/>
        <v>56</v>
      </c>
      <c r="G91" s="112">
        <f t="shared" si="7"/>
        <v>47</v>
      </c>
      <c r="H91" s="112">
        <f t="shared" si="7"/>
        <v>49</v>
      </c>
      <c r="I91" s="112">
        <f t="shared" si="7"/>
        <v>46</v>
      </c>
      <c r="J91" s="213">
        <f t="shared" si="7"/>
        <v>380</v>
      </c>
    </row>
    <row r="92" spans="2:10" ht="15" customHeight="1">
      <c r="B92" s="114">
        <v>2014</v>
      </c>
      <c r="C92" s="112">
        <f>C189</f>
        <v>59</v>
      </c>
      <c r="D92" s="112">
        <f t="shared" ref="D92:J92" si="8">D189</f>
        <v>60</v>
      </c>
      <c r="E92" s="112">
        <f t="shared" si="8"/>
        <v>57</v>
      </c>
      <c r="F92" s="112">
        <f t="shared" si="8"/>
        <v>64</v>
      </c>
      <c r="G92" s="112">
        <f t="shared" si="8"/>
        <v>56</v>
      </c>
      <c r="H92" s="112">
        <f t="shared" si="8"/>
        <v>44</v>
      </c>
      <c r="I92" s="112">
        <f t="shared" si="8"/>
        <v>48</v>
      </c>
      <c r="J92" s="213">
        <f t="shared" si="8"/>
        <v>388</v>
      </c>
    </row>
    <row r="93" spans="2:10" ht="15" customHeight="1">
      <c r="B93" s="114">
        <v>2015</v>
      </c>
      <c r="C93" s="112">
        <f>C190</f>
        <v>48</v>
      </c>
      <c r="D93" s="112">
        <f t="shared" ref="D93:J93" si="9">D190</f>
        <v>60</v>
      </c>
      <c r="E93" s="112">
        <f t="shared" si="9"/>
        <v>60</v>
      </c>
      <c r="F93" s="112">
        <f t="shared" si="9"/>
        <v>58</v>
      </c>
      <c r="G93" s="112">
        <f t="shared" si="9"/>
        <v>61</v>
      </c>
      <c r="H93" s="112">
        <f t="shared" si="9"/>
        <v>54</v>
      </c>
      <c r="I93" s="112">
        <f t="shared" si="9"/>
        <v>43</v>
      </c>
      <c r="J93" s="213">
        <f t="shared" si="9"/>
        <v>384</v>
      </c>
    </row>
    <row r="94" spans="2:10" ht="15" customHeight="1">
      <c r="B94" s="114">
        <v>2016</v>
      </c>
      <c r="C94" s="112">
        <f>C191</f>
        <v>77</v>
      </c>
      <c r="D94" s="112">
        <f t="shared" ref="D94:J94" si="10">D191</f>
        <v>47</v>
      </c>
      <c r="E94" s="112">
        <f t="shared" si="10"/>
        <v>55</v>
      </c>
      <c r="F94" s="112">
        <f t="shared" si="10"/>
        <v>60</v>
      </c>
      <c r="G94" s="112">
        <f t="shared" si="10"/>
        <v>57</v>
      </c>
      <c r="H94" s="112">
        <f t="shared" si="10"/>
        <v>57</v>
      </c>
      <c r="I94" s="112">
        <f t="shared" si="10"/>
        <v>51</v>
      </c>
      <c r="J94" s="213">
        <f t="shared" si="10"/>
        <v>404</v>
      </c>
    </row>
    <row r="95" spans="2:10" ht="15" customHeight="1">
      <c r="B95" s="114">
        <v>2017</v>
      </c>
      <c r="C95" s="112">
        <f>C192</f>
        <v>58</v>
      </c>
      <c r="D95" s="112">
        <f t="shared" ref="D95:J95" si="11">D192</f>
        <v>74</v>
      </c>
      <c r="E95" s="112">
        <f t="shared" si="11"/>
        <v>49</v>
      </c>
      <c r="F95" s="112">
        <f t="shared" si="11"/>
        <v>54</v>
      </c>
      <c r="G95" s="112">
        <f t="shared" si="11"/>
        <v>64</v>
      </c>
      <c r="H95" s="112">
        <f t="shared" si="11"/>
        <v>58</v>
      </c>
      <c r="I95" s="112">
        <f t="shared" si="11"/>
        <v>59</v>
      </c>
      <c r="J95" s="213">
        <f t="shared" si="11"/>
        <v>416</v>
      </c>
    </row>
    <row r="96" spans="2:10" ht="15" customHeight="1">
      <c r="B96" s="307">
        <v>2018</v>
      </c>
      <c r="C96" s="112">
        <f t="shared" ref="C96:J96" si="12">C193</f>
        <v>48</v>
      </c>
      <c r="D96" s="112">
        <f t="shared" si="12"/>
        <v>59</v>
      </c>
      <c r="E96" s="112">
        <f t="shared" si="12"/>
        <v>73</v>
      </c>
      <c r="F96" s="112">
        <f t="shared" si="12"/>
        <v>47</v>
      </c>
      <c r="G96" s="112">
        <f t="shared" si="12"/>
        <v>55</v>
      </c>
      <c r="H96" s="112">
        <f t="shared" si="12"/>
        <v>63</v>
      </c>
      <c r="I96" s="112">
        <f t="shared" si="12"/>
        <v>56</v>
      </c>
      <c r="J96" s="213">
        <f t="shared" si="12"/>
        <v>401</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0</v>
      </c>
      <c r="E98" s="210">
        <f t="shared" ref="E98:I98" si="13">MEDIAN(((D91-E92)/D91),((D92-E93)/D92),((D93-E94)/D93),((D94-E95)/D94),((D95-E96)/D95))</f>
        <v>1.3513513513513514E-2</v>
      </c>
      <c r="F98" s="210">
        <f t="shared" si="13"/>
        <v>0</v>
      </c>
      <c r="G98" s="210">
        <f t="shared" si="13"/>
        <v>0</v>
      </c>
      <c r="H98" s="210">
        <f t="shared" si="13"/>
        <v>3.5714285714285712E-2</v>
      </c>
      <c r="I98" s="210">
        <f t="shared" si="13"/>
        <v>2.2727272727272728E-2</v>
      </c>
    </row>
    <row r="99" spans="2:10" ht="15" customHeight="1">
      <c r="B99" s="59"/>
      <c r="C99" s="60"/>
      <c r="D99" s="61"/>
      <c r="E99" s="61"/>
      <c r="F99" s="61"/>
      <c r="G99" s="61"/>
      <c r="H99" s="61"/>
      <c r="I99" s="61"/>
      <c r="J99" s="58"/>
    </row>
    <row r="100" spans="2:10" ht="15" customHeight="1">
      <c r="B100" s="15" t="str">
        <f>"Table 4B: "&amp;E3&amp;" Projected Roll by Stage (incorporating Projected P1 and Drop-Off Rates), 2019-2032"</f>
        <v>Table 4B: Craiglockhart Primary School Projected Roll by Stage (incorporating Projected P1 and Drop-Off Rates), 2019-2032</v>
      </c>
      <c r="F100" s="14"/>
      <c r="G100" s="14"/>
    </row>
    <row r="101" spans="2:10" ht="15" customHeight="1">
      <c r="F101" s="14"/>
      <c r="G101" s="14"/>
    </row>
    <row r="102" spans="2:10" ht="15" customHeight="1">
      <c r="B102" s="115"/>
      <c r="C102" s="109" t="s">
        <v>1</v>
      </c>
      <c r="D102" s="109" t="s">
        <v>2</v>
      </c>
      <c r="E102" s="109" t="s">
        <v>3</v>
      </c>
      <c r="F102" s="109" t="s">
        <v>4</v>
      </c>
      <c r="G102" s="109" t="s">
        <v>5</v>
      </c>
      <c r="H102" s="109" t="s">
        <v>6</v>
      </c>
      <c r="I102" s="109" t="s">
        <v>7</v>
      </c>
      <c r="J102" s="109" t="s">
        <v>8</v>
      </c>
    </row>
    <row r="103" spans="2:10" ht="15" customHeight="1">
      <c r="B103" s="114">
        <v>2019</v>
      </c>
      <c r="C103" s="113">
        <f t="shared" ref="C103:C116" si="14">J70</f>
        <v>46.877538881575738</v>
      </c>
      <c r="D103" s="324">
        <f>ROUND((C96)-(C96*$D$98),0)</f>
        <v>48</v>
      </c>
      <c r="E103" s="324">
        <f>ROUND((D96)-(D96*$E$98),0)</f>
        <v>58</v>
      </c>
      <c r="F103" s="324">
        <f>ROUND((E96)-(E96*$F$98),0)</f>
        <v>73</v>
      </c>
      <c r="G103" s="324">
        <f>ROUND((F96)-(F96*$G$98),0)</f>
        <v>47</v>
      </c>
      <c r="H103" s="324">
        <f>ROUND((G96)-(G96*$H$98),0)</f>
        <v>53</v>
      </c>
      <c r="I103" s="324">
        <f>ROUND((H96)-(H96*$I$98),0)</f>
        <v>62</v>
      </c>
      <c r="J103" s="111">
        <f t="shared" ref="J103:J116" si="15">SUM(C103:I103)</f>
        <v>387.87753888157573</v>
      </c>
    </row>
    <row r="104" spans="2:10" ht="15" customHeight="1">
      <c r="B104" s="114">
        <v>2020</v>
      </c>
      <c r="C104" s="113">
        <f t="shared" si="14"/>
        <v>48.774004192872113</v>
      </c>
      <c r="D104" s="324">
        <f>ROUND((C103-E50)-(C103*$D$98),0)</f>
        <v>47</v>
      </c>
      <c r="E104" s="112">
        <f t="shared" ref="E104:E116" si="16">ROUND((D103)-(D103*$E$98),0)</f>
        <v>47</v>
      </c>
      <c r="F104" s="112">
        <f t="shared" ref="F104:F116" si="17">ROUND((E103)-(E103*$F$98),0)</f>
        <v>58</v>
      </c>
      <c r="G104" s="112">
        <f t="shared" ref="G104:G116" si="18">ROUND((F103)-(F103*$G$98),0)</f>
        <v>73</v>
      </c>
      <c r="H104" s="112">
        <f t="shared" ref="H104:H116" si="19">ROUND((G103)-(G103*$H$98),0)</f>
        <v>45</v>
      </c>
      <c r="I104" s="112">
        <f t="shared" ref="I104:I116" si="20">ROUND((H103)-(H103*$I$98),0)</f>
        <v>52</v>
      </c>
      <c r="J104" s="111">
        <f t="shared" si="15"/>
        <v>370.7740041928721</v>
      </c>
    </row>
    <row r="105" spans="2:10" ht="15" customHeight="1">
      <c r="B105" s="114">
        <v>2021</v>
      </c>
      <c r="C105" s="113">
        <f t="shared" si="14"/>
        <v>50</v>
      </c>
      <c r="D105" s="324">
        <f>ROUND((C104-F50)-(C104*$D$98),0)</f>
        <v>49</v>
      </c>
      <c r="E105" s="112">
        <f t="shared" si="16"/>
        <v>46</v>
      </c>
      <c r="F105" s="112">
        <f t="shared" si="17"/>
        <v>47</v>
      </c>
      <c r="G105" s="112">
        <f t="shared" si="18"/>
        <v>58</v>
      </c>
      <c r="H105" s="112">
        <f t="shared" si="19"/>
        <v>70</v>
      </c>
      <c r="I105" s="112">
        <f t="shared" si="20"/>
        <v>44</v>
      </c>
      <c r="J105" s="111">
        <f t="shared" si="15"/>
        <v>364</v>
      </c>
    </row>
    <row r="106" spans="2:10" ht="15" customHeight="1">
      <c r="B106" s="114">
        <v>2022</v>
      </c>
      <c r="C106" s="113">
        <f t="shared" si="14"/>
        <v>30</v>
      </c>
      <c r="D106" s="324">
        <f>ROUND((C105-G50)-(C105*$D$98),0)</f>
        <v>50</v>
      </c>
      <c r="E106" s="112">
        <f t="shared" si="16"/>
        <v>48</v>
      </c>
      <c r="F106" s="112">
        <f t="shared" si="17"/>
        <v>46</v>
      </c>
      <c r="G106" s="112">
        <f t="shared" si="18"/>
        <v>47</v>
      </c>
      <c r="H106" s="112">
        <f t="shared" si="19"/>
        <v>56</v>
      </c>
      <c r="I106" s="112">
        <f t="shared" si="20"/>
        <v>68</v>
      </c>
      <c r="J106" s="111">
        <f t="shared" si="15"/>
        <v>345</v>
      </c>
    </row>
    <row r="107" spans="2:10" ht="15" customHeight="1">
      <c r="B107" s="114">
        <v>2023</v>
      </c>
      <c r="C107" s="113">
        <f t="shared" si="14"/>
        <v>45.929306225927547</v>
      </c>
      <c r="D107" s="324">
        <f>ROUND((C106-H50)-(C106*$D$98),0)</f>
        <v>30</v>
      </c>
      <c r="E107" s="112">
        <f t="shared" si="16"/>
        <v>49</v>
      </c>
      <c r="F107" s="112">
        <f t="shared" si="17"/>
        <v>48</v>
      </c>
      <c r="G107" s="112">
        <f t="shared" si="18"/>
        <v>46</v>
      </c>
      <c r="H107" s="112">
        <f t="shared" si="19"/>
        <v>45</v>
      </c>
      <c r="I107" s="112">
        <f t="shared" si="20"/>
        <v>55</v>
      </c>
      <c r="J107" s="111">
        <f t="shared" si="15"/>
        <v>318.92930622592758</v>
      </c>
    </row>
    <row r="108" spans="2:10" ht="15" customHeight="1">
      <c r="B108" s="114">
        <v>2024</v>
      </c>
      <c r="C108" s="113">
        <f t="shared" si="14"/>
        <v>46.877538881575738</v>
      </c>
      <c r="D108" s="324">
        <f>ROUND((C107-I50)-(C107*$D$98),0)</f>
        <v>46</v>
      </c>
      <c r="E108" s="112">
        <f t="shared" si="16"/>
        <v>30</v>
      </c>
      <c r="F108" s="112">
        <f t="shared" si="17"/>
        <v>49</v>
      </c>
      <c r="G108" s="112">
        <f t="shared" si="18"/>
        <v>48</v>
      </c>
      <c r="H108" s="112">
        <f t="shared" si="19"/>
        <v>44</v>
      </c>
      <c r="I108" s="112">
        <f t="shared" si="20"/>
        <v>44</v>
      </c>
      <c r="J108" s="111">
        <f t="shared" si="15"/>
        <v>307.87753888157573</v>
      </c>
    </row>
    <row r="109" spans="2:10" ht="15" customHeight="1">
      <c r="B109" s="114">
        <v>2025</v>
      </c>
      <c r="C109" s="113">
        <f t="shared" si="14"/>
        <v>46.877538881575738</v>
      </c>
      <c r="D109" s="324">
        <f>ROUND((C108-J50)-(C108*$D$98),0)</f>
        <v>47</v>
      </c>
      <c r="E109" s="112">
        <f t="shared" si="16"/>
        <v>45</v>
      </c>
      <c r="F109" s="112">
        <f t="shared" si="17"/>
        <v>30</v>
      </c>
      <c r="G109" s="112">
        <f t="shared" si="18"/>
        <v>49</v>
      </c>
      <c r="H109" s="112">
        <f t="shared" si="19"/>
        <v>46</v>
      </c>
      <c r="I109" s="112">
        <f t="shared" si="20"/>
        <v>43</v>
      </c>
      <c r="J109" s="111">
        <f t="shared" si="15"/>
        <v>306.87753888157573</v>
      </c>
    </row>
    <row r="110" spans="2:10" ht="15" customHeight="1">
      <c r="B110" s="114">
        <v>2026</v>
      </c>
      <c r="C110" s="113">
        <f t="shared" si="14"/>
        <v>47.825771537223929</v>
      </c>
      <c r="D110" s="324">
        <f>ROUND((C109-K50)-(C109*$D$98),0)</f>
        <v>47</v>
      </c>
      <c r="E110" s="112">
        <f t="shared" si="16"/>
        <v>46</v>
      </c>
      <c r="F110" s="112">
        <f t="shared" si="17"/>
        <v>45</v>
      </c>
      <c r="G110" s="112">
        <f t="shared" si="18"/>
        <v>30</v>
      </c>
      <c r="H110" s="112">
        <f t="shared" si="19"/>
        <v>47</v>
      </c>
      <c r="I110" s="112">
        <f t="shared" si="20"/>
        <v>45</v>
      </c>
      <c r="J110" s="111">
        <f t="shared" si="15"/>
        <v>307.82577153722394</v>
      </c>
    </row>
    <row r="111" spans="2:10" ht="15" customHeight="1">
      <c r="B111" s="114">
        <v>2027</v>
      </c>
      <c r="C111" s="113">
        <f t="shared" si="14"/>
        <v>47.825771537223929</v>
      </c>
      <c r="D111" s="324">
        <f>ROUND((C110-L50)-(C110*$D$98),0)</f>
        <v>48</v>
      </c>
      <c r="E111" s="112">
        <f t="shared" si="16"/>
        <v>46</v>
      </c>
      <c r="F111" s="112">
        <f t="shared" si="17"/>
        <v>46</v>
      </c>
      <c r="G111" s="112">
        <f t="shared" si="18"/>
        <v>45</v>
      </c>
      <c r="H111" s="112">
        <f t="shared" si="19"/>
        <v>29</v>
      </c>
      <c r="I111" s="112">
        <f t="shared" si="20"/>
        <v>46</v>
      </c>
      <c r="J111" s="111">
        <f t="shared" si="15"/>
        <v>307.82577153722394</v>
      </c>
    </row>
    <row r="112" spans="2:10" ht="15" customHeight="1">
      <c r="B112" s="114">
        <v>2028</v>
      </c>
      <c r="C112" s="113">
        <f t="shared" si="14"/>
        <v>47.825771537223929</v>
      </c>
      <c r="D112" s="324">
        <f>ROUND((C111-M50)-(C111*$D$98),0)</f>
        <v>48</v>
      </c>
      <c r="E112" s="112">
        <f t="shared" si="16"/>
        <v>47</v>
      </c>
      <c r="F112" s="112">
        <f t="shared" si="17"/>
        <v>46</v>
      </c>
      <c r="G112" s="112">
        <f t="shared" si="18"/>
        <v>46</v>
      </c>
      <c r="H112" s="112">
        <f t="shared" si="19"/>
        <v>43</v>
      </c>
      <c r="I112" s="112">
        <f t="shared" si="20"/>
        <v>28</v>
      </c>
      <c r="J112" s="111">
        <f t="shared" si="15"/>
        <v>305.82577153722394</v>
      </c>
    </row>
    <row r="113" spans="2:10" ht="15" customHeight="1">
      <c r="B113" s="114">
        <v>2029</v>
      </c>
      <c r="C113" s="113">
        <f t="shared" si="14"/>
        <v>47.825771537223929</v>
      </c>
      <c r="D113" s="324">
        <f>ROUND((C112-N50)-(C112*$D$98),0)</f>
        <v>48</v>
      </c>
      <c r="E113" s="112">
        <f t="shared" si="16"/>
        <v>47</v>
      </c>
      <c r="F113" s="112">
        <f t="shared" si="17"/>
        <v>47</v>
      </c>
      <c r="G113" s="112">
        <f t="shared" si="18"/>
        <v>46</v>
      </c>
      <c r="H113" s="112">
        <f t="shared" si="19"/>
        <v>44</v>
      </c>
      <c r="I113" s="112">
        <f t="shared" si="20"/>
        <v>42</v>
      </c>
      <c r="J113" s="111">
        <f t="shared" si="15"/>
        <v>321.82577153722394</v>
      </c>
    </row>
    <row r="114" spans="2:10" ht="15" customHeight="1">
      <c r="B114" s="114">
        <v>2030</v>
      </c>
      <c r="C114" s="113">
        <f t="shared" si="14"/>
        <v>48.774004192872113</v>
      </c>
      <c r="D114" s="324">
        <f>ROUND((C113-O50)-(C113*$D$98),0)</f>
        <v>48</v>
      </c>
      <c r="E114" s="112">
        <f t="shared" si="16"/>
        <v>47</v>
      </c>
      <c r="F114" s="112">
        <f t="shared" si="17"/>
        <v>47</v>
      </c>
      <c r="G114" s="112">
        <f t="shared" si="18"/>
        <v>47</v>
      </c>
      <c r="H114" s="112">
        <f t="shared" si="19"/>
        <v>44</v>
      </c>
      <c r="I114" s="112">
        <f t="shared" si="20"/>
        <v>43</v>
      </c>
      <c r="J114" s="111">
        <f t="shared" si="15"/>
        <v>324.7740041928721</v>
      </c>
    </row>
    <row r="115" spans="2:10" ht="15" customHeight="1">
      <c r="B115" s="114">
        <v>2031</v>
      </c>
      <c r="C115" s="113">
        <f t="shared" si="14"/>
        <v>48.774004192872113</v>
      </c>
      <c r="D115" s="324">
        <f>ROUND((C114-P50)-(C114*$D$98),0)</f>
        <v>49</v>
      </c>
      <c r="E115" s="112">
        <f t="shared" si="16"/>
        <v>47</v>
      </c>
      <c r="F115" s="112">
        <f t="shared" si="17"/>
        <v>47</v>
      </c>
      <c r="G115" s="112">
        <f t="shared" si="18"/>
        <v>47</v>
      </c>
      <c r="H115" s="112">
        <f t="shared" si="19"/>
        <v>45</v>
      </c>
      <c r="I115" s="112">
        <f t="shared" si="20"/>
        <v>43</v>
      </c>
      <c r="J115" s="111">
        <f t="shared" si="15"/>
        <v>326.7740041928721</v>
      </c>
    </row>
    <row r="116" spans="2:10" ht="15" customHeight="1">
      <c r="B116" s="114">
        <v>2032</v>
      </c>
      <c r="C116" s="113">
        <f t="shared" si="14"/>
        <v>48.774004192872113</v>
      </c>
      <c r="D116" s="324">
        <f>ROUND((C115-Q50)-(C115*$D$98),0)</f>
        <v>49</v>
      </c>
      <c r="E116" s="112">
        <f t="shared" si="16"/>
        <v>48</v>
      </c>
      <c r="F116" s="112">
        <f t="shared" si="17"/>
        <v>47</v>
      </c>
      <c r="G116" s="112">
        <f t="shared" si="18"/>
        <v>47</v>
      </c>
      <c r="H116" s="112">
        <f t="shared" si="19"/>
        <v>45</v>
      </c>
      <c r="I116" s="112">
        <f t="shared" si="20"/>
        <v>44</v>
      </c>
      <c r="J116" s="111">
        <f t="shared" si="15"/>
        <v>328.7740041928721</v>
      </c>
    </row>
    <row r="117" spans="2:10" ht="15" hidden="1" customHeight="1">
      <c r="F117" s="14"/>
      <c r="G117" s="14"/>
    </row>
    <row r="118" spans="2:10" ht="15" hidden="1" customHeight="1">
      <c r="B118" s="15" t="str">
        <f>"Table 4C: "&amp;E3&amp;" Projected Pupil Generation from Housing Development, 2019-2032"</f>
        <v>Table 4C: Craiglockhart Primary School Projected Pupil Generation from Housing Development, 2019-2032</v>
      </c>
      <c r="F118" s="14"/>
      <c r="G118" s="14"/>
    </row>
    <row r="119" spans="2:10" ht="15" hidden="1" customHeight="1">
      <c r="F119" s="14"/>
      <c r="G119" s="14"/>
    </row>
    <row r="120" spans="2:10" ht="15" hidden="1" customHeight="1">
      <c r="B120" s="115"/>
      <c r="C120" s="109" t="s">
        <v>1</v>
      </c>
      <c r="D120" s="109" t="s">
        <v>2</v>
      </c>
      <c r="E120" s="109" t="s">
        <v>3</v>
      </c>
      <c r="F120" s="109" t="s">
        <v>4</v>
      </c>
      <c r="G120" s="109" t="s">
        <v>5</v>
      </c>
      <c r="H120" s="109" t="s">
        <v>6</v>
      </c>
      <c r="I120" s="109" t="s">
        <v>7</v>
      </c>
      <c r="J120" s="109" t="s">
        <v>8</v>
      </c>
    </row>
    <row r="121" spans="2:10" ht="15" hidden="1" customHeight="1">
      <c r="B121" s="114">
        <v>2019</v>
      </c>
      <c r="C121" s="116" t="s">
        <v>97</v>
      </c>
      <c r="D121" s="112">
        <f>VLOOKUP($E$3,'Housing Generation'!$A$3:$BE$90,11,FALSE)</f>
        <v>0</v>
      </c>
      <c r="E121" s="112">
        <f>VLOOKUP($E$3,'Housing Generation'!$A$3:$BE$90,12,FALSE)</f>
        <v>0</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0</v>
      </c>
    </row>
    <row r="122" spans="2:10" ht="15" hidden="1" customHeight="1">
      <c r="B122" s="114">
        <v>2020</v>
      </c>
      <c r="C122" s="116" t="s">
        <v>97</v>
      </c>
      <c r="D122" s="112">
        <f>VLOOKUP($E$3,'Housing Generation'!$A$3:$BE$90,19,FALSE)</f>
        <v>0</v>
      </c>
      <c r="E122" s="112">
        <f>VLOOKUP($E$3,'Housing Generation'!$A$3:$BE$90,20,FALSE)</f>
        <v>0</v>
      </c>
      <c r="F122" s="112">
        <f>VLOOKUP($E$3,'Housing Generation'!$A$3:$BE$90,21,FALSE)</f>
        <v>0</v>
      </c>
      <c r="G122" s="112">
        <f>VLOOKUP($E$3,'Housing Generation'!$A$3:$BE$90,22,FALSE)</f>
        <v>0</v>
      </c>
      <c r="H122" s="112">
        <f>VLOOKUP($E$3,'Housing Generation'!$A$3:$BE$90,23,FALSE)</f>
        <v>0</v>
      </c>
      <c r="I122" s="112">
        <f>VLOOKUP($E$3,'Housing Generation'!$A$3:$BE$90,24,FALSE)</f>
        <v>0</v>
      </c>
      <c r="J122" s="111">
        <f t="shared" si="21"/>
        <v>0</v>
      </c>
    </row>
    <row r="123" spans="2:10" ht="15" hidden="1" customHeight="1">
      <c r="B123" s="114">
        <v>2021</v>
      </c>
      <c r="C123" s="116" t="s">
        <v>97</v>
      </c>
      <c r="D123" s="112">
        <f>VLOOKUP($E$3,'Housing Generation'!$A$3:$BE$90,27,FALSE)</f>
        <v>0</v>
      </c>
      <c r="E123" s="112">
        <f>VLOOKUP($E$3,'Housing Generation'!$A$3:$BE$90,28,FALSE)</f>
        <v>0</v>
      </c>
      <c r="F123" s="112">
        <f>VLOOKUP($E$3,'Housing Generation'!$A$3:$BE$90,29,FALSE)</f>
        <v>0</v>
      </c>
      <c r="G123" s="112">
        <f>VLOOKUP($E$3,'Housing Generation'!$A$3:$BE$90,30,FALSE)</f>
        <v>0</v>
      </c>
      <c r="H123" s="112">
        <f>VLOOKUP($E$3,'Housing Generation'!$A$3:$BE$90,31,FALSE)</f>
        <v>0</v>
      </c>
      <c r="I123" s="112">
        <f>VLOOKUP($E$3,'Housing Generation'!$A$3:$BE$90,32,FALSE)</f>
        <v>0</v>
      </c>
      <c r="J123" s="111">
        <f t="shared" si="21"/>
        <v>0</v>
      </c>
    </row>
    <row r="124" spans="2:10" ht="15" hidden="1" customHeight="1">
      <c r="B124" s="114">
        <v>2022</v>
      </c>
      <c r="C124" s="116" t="s">
        <v>97</v>
      </c>
      <c r="D124" s="112">
        <f>VLOOKUP($E$3,'Housing Generation'!$A$3:$BE$90,35,FALSE)</f>
        <v>0</v>
      </c>
      <c r="E124" s="112">
        <f>VLOOKUP($E$3,'Housing Generation'!$A$3:$BE$90,36,FALSE)</f>
        <v>0</v>
      </c>
      <c r="F124" s="112">
        <f>VLOOKUP($E$3,'Housing Generation'!$A$3:$BE$90,37,FALSE)</f>
        <v>0</v>
      </c>
      <c r="G124" s="112">
        <f>VLOOKUP($E$3,'Housing Generation'!$A$3:$BE$90,38,FALSE)</f>
        <v>0</v>
      </c>
      <c r="H124" s="112">
        <f>VLOOKUP($E$3,'Housing Generation'!$A$3:$BE$90,39,FALSE)</f>
        <v>0</v>
      </c>
      <c r="I124" s="112">
        <f>VLOOKUP($E$3,'Housing Generation'!$A$3:$BE$90,40,FALSE)</f>
        <v>0</v>
      </c>
      <c r="J124" s="111">
        <f t="shared" si="21"/>
        <v>0</v>
      </c>
    </row>
    <row r="125" spans="2:10" ht="15" hidden="1" customHeight="1">
      <c r="B125" s="114">
        <v>2023</v>
      </c>
      <c r="C125" s="116" t="s">
        <v>97</v>
      </c>
      <c r="D125" s="112">
        <f>VLOOKUP($E$3,'Housing Generation'!$A$3:$BE$90,43,FALSE)</f>
        <v>0</v>
      </c>
      <c r="E125" s="112">
        <f>VLOOKUP($E$3,'Housing Generation'!$A$3:$BE$90,44,FALSE)</f>
        <v>0</v>
      </c>
      <c r="F125" s="112">
        <f>VLOOKUP($E$3,'Housing Generation'!$A$3:$BE$90,45,FALSE)</f>
        <v>0</v>
      </c>
      <c r="G125" s="112">
        <f>VLOOKUP($E$3,'Housing Generation'!$A$3:$BE$90,46,FALSE)</f>
        <v>0</v>
      </c>
      <c r="H125" s="112">
        <f>VLOOKUP($E$3,'Housing Generation'!$A$3:$BE$90,47,FALSE)</f>
        <v>0</v>
      </c>
      <c r="I125" s="112">
        <f>VLOOKUP($E$3,'Housing Generation'!$A$3:$BE$90,48,FALSE)</f>
        <v>0</v>
      </c>
      <c r="J125" s="111">
        <f t="shared" si="21"/>
        <v>0</v>
      </c>
    </row>
    <row r="126" spans="2:10" ht="15" hidden="1" customHeight="1">
      <c r="B126" s="114">
        <v>2024</v>
      </c>
      <c r="C126" s="116" t="s">
        <v>97</v>
      </c>
      <c r="D126" s="112">
        <f>VLOOKUP($E$3,'Housing Generation'!$A$3:$BE$90,51,FALSE)</f>
        <v>0</v>
      </c>
      <c r="E126" s="112">
        <f>VLOOKUP($E$3,'Housing Generation'!$A$3:$BE$90,52,FALSE)</f>
        <v>0</v>
      </c>
      <c r="F126" s="112">
        <f>VLOOKUP($E$3,'Housing Generation'!$A$3:$BE$90,53,FALSE)</f>
        <v>0</v>
      </c>
      <c r="G126" s="112">
        <f>VLOOKUP($E$3,'Housing Generation'!$A$3:$BE$90,54,FALSE)</f>
        <v>0</v>
      </c>
      <c r="H126" s="112">
        <f>VLOOKUP($E$3,'Housing Generation'!$A$3:$BE$90,55,FALSE)</f>
        <v>0</v>
      </c>
      <c r="I126" s="112">
        <f>VLOOKUP($E$3,'Housing Generation'!$A$3:$BE$90,56,FALSE)</f>
        <v>0</v>
      </c>
      <c r="J126" s="111">
        <f t="shared" si="21"/>
        <v>0</v>
      </c>
    </row>
    <row r="127" spans="2:10" ht="15" hidden="1" customHeight="1">
      <c r="B127" s="114">
        <v>2025</v>
      </c>
      <c r="C127" s="240" t="s">
        <v>97</v>
      </c>
      <c r="D127" s="112">
        <f>VLOOKUP($E$3,'Housing Generation'!$A$3:$CK$90,59,FALSE)</f>
        <v>0</v>
      </c>
      <c r="E127" s="112">
        <f>VLOOKUP($E$3,'Housing Generation'!$A$3:$CK$90,60,FALSE)</f>
        <v>0</v>
      </c>
      <c r="F127" s="112">
        <f>VLOOKUP($E$3,'Housing Generation'!$A$3:$CK$90,61,FALSE)</f>
        <v>0</v>
      </c>
      <c r="G127" s="112">
        <f>VLOOKUP($E$3,'Housing Generation'!$A$3:$CK$90,62,FALSE)</f>
        <v>0</v>
      </c>
      <c r="H127" s="112">
        <f>VLOOKUP($E$3,'Housing Generation'!$A$3:$CK$90,63,FALSE)</f>
        <v>0</v>
      </c>
      <c r="I127" s="112">
        <f>VLOOKUP($E$3,'Housing Generation'!$A$3:$CK$90,64,FALSE)</f>
        <v>0</v>
      </c>
      <c r="J127" s="111">
        <f t="shared" si="21"/>
        <v>0</v>
      </c>
    </row>
    <row r="128" spans="2:10" ht="15" hidden="1" customHeight="1">
      <c r="B128" s="114">
        <v>2026</v>
      </c>
      <c r="C128" s="240" t="s">
        <v>97</v>
      </c>
      <c r="D128" s="112">
        <f>VLOOKUP($E$3,'Housing Generation'!$A$3:$CK$90,67,FALSE)</f>
        <v>0</v>
      </c>
      <c r="E128" s="112">
        <f>VLOOKUP($E$3,'Housing Generation'!$A$3:$CK$90,68,FALSE)</f>
        <v>0</v>
      </c>
      <c r="F128" s="112">
        <f>VLOOKUP($E$3,'Housing Generation'!$A$3:$CK$90,69,FALSE)</f>
        <v>0</v>
      </c>
      <c r="G128" s="112">
        <f>VLOOKUP($E$3,'Housing Generation'!$A$3:$CK$90,70,FALSE)</f>
        <v>0</v>
      </c>
      <c r="H128" s="112">
        <f>VLOOKUP($E$3,'Housing Generation'!$A$3:$CK$90,71,FALSE)</f>
        <v>0</v>
      </c>
      <c r="I128" s="112">
        <f>VLOOKUP($E$3,'Housing Generation'!$A$3:$CK$90,72,FALSE)</f>
        <v>0</v>
      </c>
      <c r="J128" s="111">
        <f t="shared" si="21"/>
        <v>0</v>
      </c>
    </row>
    <row r="129" spans="2:10" ht="15" hidden="1" customHeight="1">
      <c r="B129" s="114">
        <v>2027</v>
      </c>
      <c r="C129" s="240" t="s">
        <v>97</v>
      </c>
      <c r="D129" s="112">
        <f>VLOOKUP($E$3,'Housing Generation'!$A$3:$CK$90,75,FALSE)</f>
        <v>0</v>
      </c>
      <c r="E129" s="112">
        <f>VLOOKUP($E$3,'Housing Generation'!$A$3:$CK$90,76,FALSE)</f>
        <v>0</v>
      </c>
      <c r="F129" s="112">
        <f>VLOOKUP($E$3,'Housing Generation'!$A$3:$CK$90,77,FALSE)</f>
        <v>0</v>
      </c>
      <c r="G129" s="112">
        <f>VLOOKUP($E$3,'Housing Generation'!$A$3:$CK$90,78,FALSE)</f>
        <v>0</v>
      </c>
      <c r="H129" s="112">
        <f>VLOOKUP($E$3,'Housing Generation'!$A$3:$CK$90,79,FALSE)</f>
        <v>0</v>
      </c>
      <c r="I129" s="112">
        <f>VLOOKUP($E$3,'Housing Generation'!$A$3:$CK$90,80,FALSE)</f>
        <v>0</v>
      </c>
      <c r="J129" s="111">
        <f t="shared" si="21"/>
        <v>0</v>
      </c>
    </row>
    <row r="130" spans="2:10" ht="15" customHeight="1">
      <c r="B130" s="114">
        <v>2028</v>
      </c>
      <c r="C130" s="289" t="s">
        <v>97</v>
      </c>
      <c r="D130" s="112">
        <f>VLOOKUP($E$3,'Housing Generation'!$A$3:$CK$90,83,FALSE)</f>
        <v>0</v>
      </c>
      <c r="E130" s="112">
        <f>VLOOKUP($E$3,'Housing Generation'!$A$3:$CK$90,84,FALSE)</f>
        <v>0</v>
      </c>
      <c r="F130" s="112">
        <f>VLOOKUP($E$3,'Housing Generation'!$A$3:$CK$90,85,FALSE)</f>
        <v>0</v>
      </c>
      <c r="G130" s="112">
        <f>VLOOKUP($E$3,'Housing Generation'!$A$3:$CK$90,86,FALSE)</f>
        <v>0</v>
      </c>
      <c r="H130" s="112">
        <f>VLOOKUP($E$3,'Housing Generation'!$A$3:$CK$90,87,FALSE)</f>
        <v>0</v>
      </c>
      <c r="I130" s="112">
        <f>VLOOKUP($E$3,'Housing Generation'!$A$3:$CK$90,88,FALSE)</f>
        <v>0</v>
      </c>
      <c r="J130" s="111">
        <f t="shared" si="21"/>
        <v>0</v>
      </c>
    </row>
    <row r="131" spans="2:10" ht="15" customHeight="1">
      <c r="B131" s="114">
        <v>2029</v>
      </c>
      <c r="C131" s="289" t="s">
        <v>97</v>
      </c>
      <c r="D131" s="112">
        <f>VLOOKUP($E$3,'Housing Generation'!$A$3:$DQ$90,91,FALSE)</f>
        <v>0</v>
      </c>
      <c r="E131" s="112">
        <f>VLOOKUP($E$3,'Housing Generation'!$A$3:$DQ$90,92,FALSE)</f>
        <v>0</v>
      </c>
      <c r="F131" s="112">
        <f>VLOOKUP($E$3,'Housing Generation'!$A$3:$DQ$90,93,FALSE)</f>
        <v>0</v>
      </c>
      <c r="G131" s="112">
        <f>VLOOKUP($E$3,'Housing Generation'!$A$3:$DQ$90,94,FALSE)</f>
        <v>0</v>
      </c>
      <c r="H131" s="112">
        <f>VLOOKUP($E$3,'Housing Generation'!$A$3:$DQ$90,95,FALSE)</f>
        <v>0</v>
      </c>
      <c r="I131" s="112">
        <f>VLOOKUP($E$3,'Housing Generation'!$A$3:$DQ$90,96,FALSE)</f>
        <v>0</v>
      </c>
      <c r="J131" s="111">
        <f t="shared" si="21"/>
        <v>0</v>
      </c>
    </row>
    <row r="132" spans="2:10" ht="15" customHeight="1">
      <c r="B132" s="114">
        <v>2030</v>
      </c>
      <c r="C132" s="289" t="s">
        <v>97</v>
      </c>
      <c r="D132" s="112">
        <f>VLOOKUP($E$3,'Housing Generation'!$A$3:$DQ$90,99,FALSE)</f>
        <v>0</v>
      </c>
      <c r="E132" s="112">
        <f>VLOOKUP($E$3,'Housing Generation'!$A$3:$DQ$90,100,FALSE)</f>
        <v>0</v>
      </c>
      <c r="F132" s="112">
        <f>VLOOKUP($E$3,'Housing Generation'!$A$3:$DQ$90,101,FALSE)</f>
        <v>0</v>
      </c>
      <c r="G132" s="112">
        <f>VLOOKUP($E$3,'Housing Generation'!$A$3:$DQ$90,102,FALSE)</f>
        <v>0</v>
      </c>
      <c r="H132" s="112">
        <f>VLOOKUP($E$3,'Housing Generation'!$A$3:$DQ$90,103,FALSE)</f>
        <v>0</v>
      </c>
      <c r="I132" s="112">
        <f>VLOOKUP($E$3,'Housing Generation'!$A$3:$DQ$90,104,FALSE)</f>
        <v>0</v>
      </c>
      <c r="J132" s="111">
        <f t="shared" si="21"/>
        <v>0</v>
      </c>
    </row>
    <row r="133" spans="2:10" ht="15" customHeight="1">
      <c r="B133" s="114">
        <v>2031</v>
      </c>
      <c r="C133" s="289" t="s">
        <v>97</v>
      </c>
      <c r="D133" s="112">
        <f>VLOOKUP($E$3,'Housing Generation'!$A$3:$DQ$90,107,FALSE)</f>
        <v>0</v>
      </c>
      <c r="E133" s="112">
        <f>VLOOKUP($E$3,'Housing Generation'!$A$3:$DQ$90,108,FALSE)</f>
        <v>0</v>
      </c>
      <c r="F133" s="112">
        <f>VLOOKUP($E$3,'Housing Generation'!$A$3:$DQ$90,109,FALSE)</f>
        <v>0</v>
      </c>
      <c r="G133" s="112">
        <f>VLOOKUP($E$3,'Housing Generation'!$A$3:$DQ$90,110,FALSE)</f>
        <v>0</v>
      </c>
      <c r="H133" s="112">
        <f>VLOOKUP($E$3,'Housing Generation'!$A$3:$DQ$90,111,FALSE)</f>
        <v>0</v>
      </c>
      <c r="I133" s="112">
        <f>VLOOKUP($E$3,'Housing Generation'!$A$3:$DQ$90,112,FALSE)</f>
        <v>0</v>
      </c>
      <c r="J133" s="111">
        <f t="shared" si="21"/>
        <v>0</v>
      </c>
    </row>
    <row r="134" spans="2:10" ht="15" customHeight="1">
      <c r="B134" s="114">
        <v>2032</v>
      </c>
      <c r="C134" s="289" t="s">
        <v>97</v>
      </c>
      <c r="D134" s="112">
        <f>VLOOKUP($E$3,'Housing Generation'!$A$3:$DQ$90,115,FALSE)</f>
        <v>0</v>
      </c>
      <c r="E134" s="112">
        <f>VLOOKUP($E$3,'Housing Generation'!$A$3:$DQ$90,116,FALSE)</f>
        <v>0</v>
      </c>
      <c r="F134" s="112">
        <f>VLOOKUP($E$3,'Housing Generation'!$A$3:$DQ$90,117,FALSE)</f>
        <v>0</v>
      </c>
      <c r="G134" s="112">
        <f>VLOOKUP($E$3,'Housing Generation'!$A$3:$DQ$90,118,FALSE)</f>
        <v>0</v>
      </c>
      <c r="H134" s="112">
        <f>VLOOKUP($E$3,'Housing Generation'!$A$3:$DQ$90,119,FALSE)</f>
        <v>0</v>
      </c>
      <c r="I134" s="112">
        <f>VLOOKUP($E$3,'Housing Generation'!$A$3:$DQ$90,120,FALSE)</f>
        <v>0</v>
      </c>
      <c r="J134" s="111">
        <f t="shared" si="21"/>
        <v>0</v>
      </c>
    </row>
    <row r="135" spans="2:10" ht="15" hidden="1"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Craiglockhart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46.877538881575738</v>
      </c>
      <c r="D139" s="112">
        <f t="shared" ref="D139:I152" si="23">D121+D103</f>
        <v>48</v>
      </c>
      <c r="E139" s="112">
        <f t="shared" si="23"/>
        <v>58</v>
      </c>
      <c r="F139" s="112">
        <f t="shared" si="23"/>
        <v>73</v>
      </c>
      <c r="G139" s="112">
        <f t="shared" si="23"/>
        <v>47</v>
      </c>
      <c r="H139" s="112">
        <f t="shared" si="23"/>
        <v>53</v>
      </c>
      <c r="I139" s="112">
        <f t="shared" si="23"/>
        <v>62</v>
      </c>
      <c r="J139" s="111">
        <f t="shared" ref="J139:J147" si="24">SUM(C139:I139)</f>
        <v>387.87753888157573</v>
      </c>
    </row>
    <row r="140" spans="2:10" ht="15" customHeight="1">
      <c r="B140" s="114">
        <v>2020</v>
      </c>
      <c r="C140" s="113">
        <f t="shared" si="22"/>
        <v>48.774004192872113</v>
      </c>
      <c r="D140" s="112">
        <f t="shared" si="23"/>
        <v>47</v>
      </c>
      <c r="E140" s="112">
        <f t="shared" si="23"/>
        <v>47</v>
      </c>
      <c r="F140" s="112">
        <f t="shared" si="23"/>
        <v>58</v>
      </c>
      <c r="G140" s="112">
        <f t="shared" si="23"/>
        <v>73</v>
      </c>
      <c r="H140" s="112">
        <f t="shared" si="23"/>
        <v>45</v>
      </c>
      <c r="I140" s="112">
        <f t="shared" si="23"/>
        <v>52</v>
      </c>
      <c r="J140" s="111">
        <f t="shared" si="24"/>
        <v>370.7740041928721</v>
      </c>
    </row>
    <row r="141" spans="2:10" ht="15" customHeight="1">
      <c r="B141" s="114">
        <v>2021</v>
      </c>
      <c r="C141" s="113">
        <f t="shared" si="22"/>
        <v>50</v>
      </c>
      <c r="D141" s="112">
        <f t="shared" si="23"/>
        <v>49</v>
      </c>
      <c r="E141" s="112">
        <f t="shared" si="23"/>
        <v>46</v>
      </c>
      <c r="F141" s="112">
        <f t="shared" si="23"/>
        <v>47</v>
      </c>
      <c r="G141" s="112">
        <f t="shared" si="23"/>
        <v>58</v>
      </c>
      <c r="H141" s="112">
        <f t="shared" si="23"/>
        <v>70</v>
      </c>
      <c r="I141" s="112">
        <f t="shared" si="23"/>
        <v>44</v>
      </c>
      <c r="J141" s="111">
        <f t="shared" si="24"/>
        <v>364</v>
      </c>
    </row>
    <row r="142" spans="2:10" ht="15" customHeight="1">
      <c r="B142" s="114">
        <v>2022</v>
      </c>
      <c r="C142" s="113">
        <f t="shared" si="22"/>
        <v>30</v>
      </c>
      <c r="D142" s="112">
        <f t="shared" si="23"/>
        <v>50</v>
      </c>
      <c r="E142" s="112">
        <f t="shared" si="23"/>
        <v>48</v>
      </c>
      <c r="F142" s="112">
        <f t="shared" si="23"/>
        <v>46</v>
      </c>
      <c r="G142" s="112">
        <f t="shared" si="23"/>
        <v>47</v>
      </c>
      <c r="H142" s="112">
        <f t="shared" si="23"/>
        <v>56</v>
      </c>
      <c r="I142" s="112">
        <f t="shared" si="23"/>
        <v>68</v>
      </c>
      <c r="J142" s="111">
        <f t="shared" si="24"/>
        <v>345</v>
      </c>
    </row>
    <row r="143" spans="2:10" ht="15" customHeight="1">
      <c r="B143" s="114">
        <v>2023</v>
      </c>
      <c r="C143" s="113">
        <f t="shared" si="22"/>
        <v>45.929306225927547</v>
      </c>
      <c r="D143" s="112">
        <f t="shared" si="23"/>
        <v>30</v>
      </c>
      <c r="E143" s="112">
        <f t="shared" si="23"/>
        <v>49</v>
      </c>
      <c r="F143" s="112">
        <f t="shared" si="23"/>
        <v>48</v>
      </c>
      <c r="G143" s="112">
        <f t="shared" si="23"/>
        <v>46</v>
      </c>
      <c r="H143" s="112">
        <f t="shared" si="23"/>
        <v>45</v>
      </c>
      <c r="I143" s="112">
        <f t="shared" si="23"/>
        <v>55</v>
      </c>
      <c r="J143" s="111">
        <f t="shared" si="24"/>
        <v>318.92930622592758</v>
      </c>
    </row>
    <row r="144" spans="2:10" ht="15" customHeight="1">
      <c r="B144" s="114">
        <v>2024</v>
      </c>
      <c r="C144" s="113">
        <f t="shared" si="22"/>
        <v>46.877538881575738</v>
      </c>
      <c r="D144" s="112">
        <f t="shared" si="23"/>
        <v>46</v>
      </c>
      <c r="E144" s="112">
        <f t="shared" si="23"/>
        <v>30</v>
      </c>
      <c r="F144" s="112">
        <f t="shared" si="23"/>
        <v>49</v>
      </c>
      <c r="G144" s="112">
        <f t="shared" si="23"/>
        <v>48</v>
      </c>
      <c r="H144" s="112">
        <f t="shared" si="23"/>
        <v>44</v>
      </c>
      <c r="I144" s="112">
        <f t="shared" si="23"/>
        <v>44</v>
      </c>
      <c r="J144" s="111">
        <f t="shared" si="24"/>
        <v>307.87753888157573</v>
      </c>
    </row>
    <row r="145" spans="2:16" ht="15" customHeight="1">
      <c r="B145" s="114">
        <v>2025</v>
      </c>
      <c r="C145" s="113">
        <f t="shared" si="22"/>
        <v>46.877538881575738</v>
      </c>
      <c r="D145" s="112">
        <f t="shared" si="23"/>
        <v>47</v>
      </c>
      <c r="E145" s="112">
        <f t="shared" si="23"/>
        <v>45</v>
      </c>
      <c r="F145" s="112">
        <f t="shared" si="23"/>
        <v>30</v>
      </c>
      <c r="G145" s="112">
        <f t="shared" si="23"/>
        <v>49</v>
      </c>
      <c r="H145" s="112">
        <f t="shared" si="23"/>
        <v>46</v>
      </c>
      <c r="I145" s="112">
        <f t="shared" si="23"/>
        <v>43</v>
      </c>
      <c r="J145" s="111">
        <f t="shared" si="24"/>
        <v>306.87753888157573</v>
      </c>
    </row>
    <row r="146" spans="2:16" ht="15" customHeight="1">
      <c r="B146" s="114">
        <v>2026</v>
      </c>
      <c r="C146" s="113">
        <f t="shared" si="22"/>
        <v>47.825771537223929</v>
      </c>
      <c r="D146" s="112">
        <f t="shared" si="23"/>
        <v>47</v>
      </c>
      <c r="E146" s="112">
        <f t="shared" si="23"/>
        <v>46</v>
      </c>
      <c r="F146" s="112">
        <f t="shared" si="23"/>
        <v>45</v>
      </c>
      <c r="G146" s="112">
        <f t="shared" si="23"/>
        <v>30</v>
      </c>
      <c r="H146" s="112">
        <f t="shared" si="23"/>
        <v>47</v>
      </c>
      <c r="I146" s="112">
        <f t="shared" si="23"/>
        <v>45</v>
      </c>
      <c r="J146" s="111">
        <f t="shared" si="24"/>
        <v>307.82577153722394</v>
      </c>
    </row>
    <row r="147" spans="2:16" ht="15" customHeight="1">
      <c r="B147" s="114">
        <v>2027</v>
      </c>
      <c r="C147" s="113">
        <f t="shared" si="22"/>
        <v>47.825771537223929</v>
      </c>
      <c r="D147" s="112">
        <f t="shared" si="23"/>
        <v>48</v>
      </c>
      <c r="E147" s="112">
        <f t="shared" si="23"/>
        <v>46</v>
      </c>
      <c r="F147" s="112">
        <f t="shared" si="23"/>
        <v>46</v>
      </c>
      <c r="G147" s="112">
        <f t="shared" si="23"/>
        <v>45</v>
      </c>
      <c r="H147" s="112">
        <f t="shared" si="23"/>
        <v>29</v>
      </c>
      <c r="I147" s="112">
        <f t="shared" si="23"/>
        <v>46</v>
      </c>
      <c r="J147" s="111">
        <f t="shared" si="24"/>
        <v>307.82577153722394</v>
      </c>
    </row>
    <row r="148" spans="2:16" ht="15" customHeight="1">
      <c r="B148" s="114">
        <v>2028</v>
      </c>
      <c r="C148" s="113">
        <f t="shared" si="22"/>
        <v>47.825771537223929</v>
      </c>
      <c r="D148" s="112">
        <f t="shared" si="23"/>
        <v>48</v>
      </c>
      <c r="E148" s="112">
        <f t="shared" si="23"/>
        <v>47</v>
      </c>
      <c r="F148" s="112">
        <f t="shared" si="23"/>
        <v>46</v>
      </c>
      <c r="G148" s="112">
        <f t="shared" si="23"/>
        <v>46</v>
      </c>
      <c r="H148" s="112">
        <f t="shared" si="23"/>
        <v>43</v>
      </c>
      <c r="I148" s="112">
        <f t="shared" si="23"/>
        <v>28</v>
      </c>
      <c r="J148" s="111">
        <f t="shared" ref="J148:J152" si="25">SUM(C148:I148)</f>
        <v>305.82577153722394</v>
      </c>
    </row>
    <row r="149" spans="2:16" ht="15" customHeight="1">
      <c r="B149" s="114">
        <v>2029</v>
      </c>
      <c r="C149" s="113">
        <f t="shared" si="22"/>
        <v>47.825771537223929</v>
      </c>
      <c r="D149" s="112">
        <f t="shared" si="23"/>
        <v>48</v>
      </c>
      <c r="E149" s="112">
        <f t="shared" si="23"/>
        <v>47</v>
      </c>
      <c r="F149" s="112">
        <f t="shared" si="23"/>
        <v>47</v>
      </c>
      <c r="G149" s="112">
        <f t="shared" si="23"/>
        <v>46</v>
      </c>
      <c r="H149" s="112">
        <f t="shared" si="23"/>
        <v>44</v>
      </c>
      <c r="I149" s="112">
        <f t="shared" si="23"/>
        <v>42</v>
      </c>
      <c r="J149" s="111">
        <f t="shared" si="25"/>
        <v>321.82577153722394</v>
      </c>
    </row>
    <row r="150" spans="2:16" ht="15" customHeight="1">
      <c r="B150" s="114">
        <v>2030</v>
      </c>
      <c r="C150" s="113">
        <f t="shared" si="22"/>
        <v>48.774004192872113</v>
      </c>
      <c r="D150" s="112">
        <f t="shared" si="23"/>
        <v>48</v>
      </c>
      <c r="E150" s="112">
        <f t="shared" si="23"/>
        <v>47</v>
      </c>
      <c r="F150" s="112">
        <f t="shared" si="23"/>
        <v>47</v>
      </c>
      <c r="G150" s="112">
        <f t="shared" si="23"/>
        <v>47</v>
      </c>
      <c r="H150" s="112">
        <f t="shared" si="23"/>
        <v>44</v>
      </c>
      <c r="I150" s="112">
        <f t="shared" si="23"/>
        <v>43</v>
      </c>
      <c r="J150" s="111">
        <f t="shared" si="25"/>
        <v>324.7740041928721</v>
      </c>
    </row>
    <row r="151" spans="2:16" ht="15" customHeight="1">
      <c r="B151" s="114">
        <v>2031</v>
      </c>
      <c r="C151" s="113">
        <f t="shared" si="22"/>
        <v>48.774004192872113</v>
      </c>
      <c r="D151" s="112">
        <f t="shared" si="23"/>
        <v>49</v>
      </c>
      <c r="E151" s="112">
        <f t="shared" si="23"/>
        <v>47</v>
      </c>
      <c r="F151" s="112">
        <f t="shared" si="23"/>
        <v>47</v>
      </c>
      <c r="G151" s="112">
        <f t="shared" si="23"/>
        <v>47</v>
      </c>
      <c r="H151" s="112">
        <f t="shared" si="23"/>
        <v>45</v>
      </c>
      <c r="I151" s="112">
        <f t="shared" si="23"/>
        <v>43</v>
      </c>
      <c r="J151" s="111">
        <f t="shared" si="25"/>
        <v>326.7740041928721</v>
      </c>
    </row>
    <row r="152" spans="2:16" ht="15" customHeight="1">
      <c r="B152" s="114">
        <v>2032</v>
      </c>
      <c r="C152" s="113">
        <f t="shared" si="22"/>
        <v>48.774004192872113</v>
      </c>
      <c r="D152" s="112">
        <f t="shared" si="23"/>
        <v>49</v>
      </c>
      <c r="E152" s="112">
        <f t="shared" si="23"/>
        <v>48</v>
      </c>
      <c r="F152" s="112">
        <f t="shared" si="23"/>
        <v>47</v>
      </c>
      <c r="G152" s="112">
        <f t="shared" si="23"/>
        <v>47</v>
      </c>
      <c r="H152" s="112">
        <f t="shared" si="23"/>
        <v>45</v>
      </c>
      <c r="I152" s="112">
        <f t="shared" si="23"/>
        <v>44</v>
      </c>
      <c r="J152" s="111">
        <f t="shared" si="25"/>
        <v>328.7740041928721</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387.87753888157573</v>
      </c>
      <c r="D159" s="108">
        <f>J140</f>
        <v>370.7740041928721</v>
      </c>
      <c r="E159" s="108">
        <f>J141</f>
        <v>364</v>
      </c>
      <c r="F159" s="108">
        <f>J142</f>
        <v>345</v>
      </c>
      <c r="G159" s="108">
        <f>J143</f>
        <v>318.92930622592758</v>
      </c>
      <c r="H159" s="108">
        <f>J144</f>
        <v>307.87753888157573</v>
      </c>
      <c r="I159" s="108">
        <f>J145</f>
        <v>306.87753888157573</v>
      </c>
      <c r="J159" s="108">
        <f>J146</f>
        <v>307.82577153722394</v>
      </c>
      <c r="K159" s="108">
        <f>J147</f>
        <v>307.82577153722394</v>
      </c>
      <c r="L159" s="108">
        <f>J148</f>
        <v>305.82577153722394</v>
      </c>
      <c r="M159" s="108">
        <f>J149</f>
        <v>321.82577153722394</v>
      </c>
      <c r="N159" s="108">
        <f>J150</f>
        <v>324.7740041928721</v>
      </c>
      <c r="O159" s="108">
        <f>J151</f>
        <v>326.7740041928721</v>
      </c>
      <c r="P159" s="108">
        <f>J152</f>
        <v>328.7740041928721</v>
      </c>
    </row>
    <row r="160" spans="2:16" ht="15" customHeight="1">
      <c r="B160" s="107" t="s">
        <v>152</v>
      </c>
      <c r="C160" s="106">
        <f>VLOOKUP(C159,Capacity!$A$1:$C$645,2,TRUE)</f>
        <v>14</v>
      </c>
      <c r="D160" s="106">
        <f>VLOOKUP(D159,Capacity!$A$1:$C$645,2,TRUE)</f>
        <v>14</v>
      </c>
      <c r="E160" s="106">
        <f>VLOOKUP(E159,Capacity!$A$1:$C$645,2,TRUE)</f>
        <v>14</v>
      </c>
      <c r="F160" s="106">
        <f>VLOOKUP(F159,Capacity!$A$1:$C$645,2,TRUE)</f>
        <v>14</v>
      </c>
      <c r="G160" s="106">
        <f>VLOOKUP(G159,Capacity!$A$1:$C$645,2,TRUE)</f>
        <v>13</v>
      </c>
      <c r="H160" s="106">
        <f>VLOOKUP(H159,Capacity!$A$1:$C$645,2,TRUE)</f>
        <v>12</v>
      </c>
      <c r="I160" s="106">
        <f>VLOOKUP(I159,Capacity!$A$1:$C$645,2,TRUE)</f>
        <v>12</v>
      </c>
      <c r="J160" s="106">
        <f>VLOOKUP(J159,Capacity!$A$1:$C$645,2,TRUE)</f>
        <v>12</v>
      </c>
      <c r="K160" s="106">
        <f>VLOOKUP(K159,Capacity!$A$1:$C$645,2,TRUE)</f>
        <v>12</v>
      </c>
      <c r="L160" s="106">
        <f>VLOOKUP(L159,Capacity!$A$1:$C$645,2,TRUE)</f>
        <v>12</v>
      </c>
      <c r="M160" s="106">
        <f>VLOOKUP(M159,Capacity!$A$1:$C$645,2,TRUE)</f>
        <v>13</v>
      </c>
      <c r="N160" s="106">
        <f>VLOOKUP(N159,Capacity!$A$1:$C$645,2,TRUE)</f>
        <v>13</v>
      </c>
      <c r="O160" s="106">
        <f>VLOOKUP(O159,Capacity!$A$1:$C$645,2,TRUE)</f>
        <v>13</v>
      </c>
      <c r="P160" s="106">
        <f>VLOOKUP(P159,Capacity!$A$1:$C$645,2,TRUE)</f>
        <v>13</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82</v>
      </c>
      <c r="D169" s="97">
        <f>VLOOKUP($E$3,'Catchment Births'!$A$1:$U$90,11,FALSE)</f>
        <v>61</v>
      </c>
      <c r="E169" s="97">
        <f>VLOOKUP($E$3,'Catchment Births'!$A$1:$U$90,12,FALSE)</f>
        <v>89</v>
      </c>
      <c r="F169" s="97">
        <f>VLOOKUP($E$3,'Catchment Births'!$A$1:$U$90,13,FALSE)</f>
        <v>78</v>
      </c>
      <c r="G169" s="97">
        <f>VLOOKUP($E$3,'Catchment Births'!$A$1:$U$90,14,FALSE)</f>
        <v>111</v>
      </c>
      <c r="H169" s="97">
        <f>VLOOKUP($E$3,'Catchment Births'!$A$1:$U$90,15,FALSE)</f>
        <v>86</v>
      </c>
      <c r="I169" s="97">
        <f>VLOOKUP($E$3,'Catchment Births'!$A$1:$U$90,16,FALSE)</f>
        <v>90</v>
      </c>
      <c r="J169" s="97">
        <f>VLOOKUP($E$3,'Catchment Births'!$A$1:$U$90,17,FALSE)</f>
        <v>94</v>
      </c>
      <c r="K169" s="97">
        <f>VLOOKUP($E$3,'Catchment Births'!$A$1:$U$90,18,FALSE)</f>
        <v>109</v>
      </c>
      <c r="L169" s="97">
        <f>VLOOKUP($E$3,'Catchment Births'!$A$1:$U$90,19,FALSE)</f>
        <v>88</v>
      </c>
      <c r="M169" s="97">
        <f>VLOOKUP($E$3,'Catchment Births'!$A$1:$U$90,20,FALSE)</f>
        <v>78</v>
      </c>
      <c r="N169" s="97">
        <f>VLOOKUP($E$3,'Catchment Births'!$A$1:$U$90,21,FALSE)</f>
        <v>80</v>
      </c>
    </row>
    <row r="170" spans="2:14" ht="58.5" customHeight="1">
      <c r="B170" s="103" t="str">
        <f>"P1 "&amp;A35&amp;" Catchment Population (Actual)"</f>
        <v>P1 ND Catchment Population (Actual)</v>
      </c>
      <c r="C170" s="102" t="e">
        <v>#REF!</v>
      </c>
      <c r="D170" s="102">
        <v>47</v>
      </c>
      <c r="E170" s="102">
        <v>57</v>
      </c>
      <c r="F170" s="102">
        <v>53</v>
      </c>
      <c r="G170" s="102">
        <v>58</v>
      </c>
      <c r="H170" s="102">
        <v>45</v>
      </c>
      <c r="I170" s="102">
        <v>46</v>
      </c>
      <c r="J170" s="308">
        <f>VLOOKUP(E3,'Catchment Projections'!A1:BU92,42,FALSE)</f>
        <v>60</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46</v>
      </c>
      <c r="J172" s="96" t="e">
        <f>#REF!</f>
        <v>#REF!</v>
      </c>
      <c r="K172" s="96">
        <f>D51</f>
        <v>41</v>
      </c>
      <c r="L172" s="96">
        <f>E51</f>
        <v>43</v>
      </c>
      <c r="M172" s="96">
        <f>F51</f>
        <v>46</v>
      </c>
      <c r="N172" s="96">
        <f>G51</f>
        <v>31</v>
      </c>
    </row>
    <row r="173" spans="2:14" ht="12.75">
      <c r="B173" s="62"/>
      <c r="C173" s="62"/>
      <c r="D173" s="62"/>
      <c r="E173" s="62"/>
      <c r="F173" s="62"/>
      <c r="G173" s="62"/>
      <c r="H173" s="62"/>
      <c r="I173" s="62"/>
      <c r="J173" s="62"/>
      <c r="K173" s="62"/>
    </row>
    <row r="174" spans="2:14" ht="15" customHeight="1">
      <c r="B174" s="64" t="str">
        <f>"Table 5: "&amp;E3&amp;" Roll by Stage, 2002-2018"</f>
        <v>Table 5: Craiglockhart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50</v>
      </c>
      <c r="D177" s="93">
        <v>55</v>
      </c>
      <c r="E177" s="93">
        <v>55</v>
      </c>
      <c r="F177" s="93">
        <v>47</v>
      </c>
      <c r="G177" s="93">
        <v>54</v>
      </c>
      <c r="H177" s="93">
        <v>46</v>
      </c>
      <c r="I177" s="93">
        <v>54</v>
      </c>
      <c r="J177" s="92">
        <v>361</v>
      </c>
      <c r="K177" s="62"/>
    </row>
    <row r="178" spans="2:11" ht="15" customHeight="1">
      <c r="B178" s="94">
        <v>2003</v>
      </c>
      <c r="C178" s="93">
        <v>49</v>
      </c>
      <c r="D178" s="93">
        <v>50</v>
      </c>
      <c r="E178" s="93">
        <v>52</v>
      </c>
      <c r="F178" s="93">
        <v>51</v>
      </c>
      <c r="G178" s="93">
        <v>44</v>
      </c>
      <c r="H178" s="93">
        <v>52</v>
      </c>
      <c r="I178" s="93">
        <v>42</v>
      </c>
      <c r="J178" s="92">
        <v>340</v>
      </c>
      <c r="K178" s="62"/>
    </row>
    <row r="179" spans="2:11" customFormat="1" ht="15" customHeight="1">
      <c r="B179" s="94">
        <v>2004</v>
      </c>
      <c r="C179" s="95">
        <v>55</v>
      </c>
      <c r="D179" s="95">
        <v>50</v>
      </c>
      <c r="E179" s="95">
        <v>52</v>
      </c>
      <c r="F179" s="95">
        <v>52</v>
      </c>
      <c r="G179" s="95">
        <v>50</v>
      </c>
      <c r="H179" s="95">
        <v>43</v>
      </c>
      <c r="I179" s="95">
        <v>48</v>
      </c>
      <c r="J179" s="92">
        <v>350</v>
      </c>
      <c r="K179" s="62"/>
    </row>
    <row r="180" spans="2:11" customFormat="1" ht="15" customHeight="1">
      <c r="B180" s="94">
        <v>2005</v>
      </c>
      <c r="C180" s="93">
        <v>58</v>
      </c>
      <c r="D180" s="93">
        <v>53</v>
      </c>
      <c r="E180" s="93">
        <v>48</v>
      </c>
      <c r="F180" s="93">
        <v>44</v>
      </c>
      <c r="G180" s="93">
        <v>50</v>
      </c>
      <c r="H180" s="93">
        <v>46</v>
      </c>
      <c r="I180" s="93">
        <v>42</v>
      </c>
      <c r="J180" s="92">
        <v>341</v>
      </c>
      <c r="K180" s="62"/>
    </row>
    <row r="181" spans="2:11" customFormat="1" ht="15" customHeight="1">
      <c r="B181" s="94">
        <v>2006</v>
      </c>
      <c r="C181" s="93">
        <v>36</v>
      </c>
      <c r="D181" s="93">
        <v>52</v>
      </c>
      <c r="E181" s="93">
        <v>51</v>
      </c>
      <c r="F181" s="93">
        <v>42</v>
      </c>
      <c r="G181" s="93">
        <v>42</v>
      </c>
      <c r="H181" s="93">
        <v>45</v>
      </c>
      <c r="I181" s="93">
        <v>42</v>
      </c>
      <c r="J181" s="92">
        <v>310</v>
      </c>
      <c r="K181" s="62"/>
    </row>
    <row r="182" spans="2:11" customFormat="1" ht="15" customHeight="1">
      <c r="B182" s="94">
        <v>2007</v>
      </c>
      <c r="C182" s="93">
        <v>49</v>
      </c>
      <c r="D182" s="93">
        <v>34</v>
      </c>
      <c r="E182" s="93">
        <v>55</v>
      </c>
      <c r="F182" s="93">
        <v>47</v>
      </c>
      <c r="G182" s="93">
        <v>37</v>
      </c>
      <c r="H182" s="93">
        <v>40</v>
      </c>
      <c r="I182" s="93">
        <v>45</v>
      </c>
      <c r="J182" s="92">
        <v>307</v>
      </c>
      <c r="K182" s="62"/>
    </row>
    <row r="183" spans="2:11" customFormat="1" ht="15" customHeight="1">
      <c r="B183" s="94">
        <v>2008</v>
      </c>
      <c r="C183" s="93">
        <v>51</v>
      </c>
      <c r="D183" s="93">
        <v>49</v>
      </c>
      <c r="E183" s="93">
        <v>35</v>
      </c>
      <c r="F183" s="93">
        <v>47</v>
      </c>
      <c r="G183" s="93">
        <v>49</v>
      </c>
      <c r="H183" s="93">
        <v>29</v>
      </c>
      <c r="I183" s="93">
        <v>41</v>
      </c>
      <c r="J183" s="92">
        <v>301</v>
      </c>
      <c r="K183" s="62"/>
    </row>
    <row r="184" spans="2:11" customFormat="1" ht="15" customHeight="1">
      <c r="B184" s="94">
        <v>2009</v>
      </c>
      <c r="C184" s="93">
        <v>47</v>
      </c>
      <c r="D184" s="93">
        <v>51</v>
      </c>
      <c r="E184" s="93">
        <v>47</v>
      </c>
      <c r="F184" s="93">
        <v>33</v>
      </c>
      <c r="G184" s="93">
        <v>47</v>
      </c>
      <c r="H184" s="93">
        <v>42</v>
      </c>
      <c r="I184" s="93">
        <v>26</v>
      </c>
      <c r="J184" s="94">
        <v>293</v>
      </c>
      <c r="K184" s="62"/>
    </row>
    <row r="185" spans="2:11" customFormat="1" ht="15" customHeight="1">
      <c r="B185" s="94">
        <v>2010</v>
      </c>
      <c r="C185" s="93">
        <v>56</v>
      </c>
      <c r="D185" s="93">
        <v>49</v>
      </c>
      <c r="E185" s="93">
        <v>50</v>
      </c>
      <c r="F185" s="93">
        <v>47</v>
      </c>
      <c r="G185" s="93">
        <v>32</v>
      </c>
      <c r="H185" s="93">
        <v>46</v>
      </c>
      <c r="I185" s="93">
        <v>43</v>
      </c>
      <c r="J185" s="92">
        <v>323</v>
      </c>
      <c r="K185" s="62"/>
    </row>
    <row r="186" spans="2:11" customFormat="1" ht="15" customHeight="1">
      <c r="B186" s="94">
        <v>2011</v>
      </c>
      <c r="C186" s="93">
        <v>60</v>
      </c>
      <c r="D186" s="93">
        <v>55</v>
      </c>
      <c r="E186" s="93">
        <v>49</v>
      </c>
      <c r="F186" s="93">
        <v>52</v>
      </c>
      <c r="G186" s="93">
        <v>49</v>
      </c>
      <c r="H186" s="93">
        <v>33</v>
      </c>
      <c r="I186" s="93">
        <v>44</v>
      </c>
      <c r="J186" s="92">
        <v>342</v>
      </c>
      <c r="K186" s="62"/>
    </row>
    <row r="187" spans="2:11" customFormat="1" ht="15" customHeight="1">
      <c r="B187" s="94">
        <v>2012</v>
      </c>
      <c r="C187" s="93">
        <v>60</v>
      </c>
      <c r="D187" s="93">
        <v>60</v>
      </c>
      <c r="E187" s="93">
        <v>55</v>
      </c>
      <c r="F187" s="93">
        <v>50</v>
      </c>
      <c r="G187" s="93">
        <v>50</v>
      </c>
      <c r="H187" s="93">
        <v>49</v>
      </c>
      <c r="I187" s="93">
        <v>29</v>
      </c>
      <c r="J187" s="92">
        <v>353</v>
      </c>
      <c r="K187" s="62"/>
    </row>
    <row r="188" spans="2:11" customFormat="1" ht="15" customHeight="1">
      <c r="B188" s="94">
        <v>2013</v>
      </c>
      <c r="C188" s="93">
        <v>60</v>
      </c>
      <c r="D188" s="93">
        <v>61</v>
      </c>
      <c r="E188" s="93">
        <v>61</v>
      </c>
      <c r="F188" s="93">
        <v>56</v>
      </c>
      <c r="G188" s="93">
        <v>47</v>
      </c>
      <c r="H188" s="93">
        <v>49</v>
      </c>
      <c r="I188" s="93">
        <v>46</v>
      </c>
      <c r="J188" s="94">
        <v>380</v>
      </c>
      <c r="K188" s="62"/>
    </row>
    <row r="189" spans="2:11" customFormat="1" ht="15" customHeight="1">
      <c r="B189" s="94">
        <v>2014</v>
      </c>
      <c r="C189" s="93">
        <v>59</v>
      </c>
      <c r="D189" s="93">
        <v>60</v>
      </c>
      <c r="E189" s="93">
        <v>57</v>
      </c>
      <c r="F189" s="93">
        <v>64</v>
      </c>
      <c r="G189" s="93">
        <v>56</v>
      </c>
      <c r="H189" s="93">
        <v>44</v>
      </c>
      <c r="I189" s="93">
        <v>48</v>
      </c>
      <c r="J189" s="92">
        <v>388</v>
      </c>
      <c r="K189" s="65"/>
    </row>
    <row r="190" spans="2:11" customFormat="1" ht="15" customHeight="1">
      <c r="B190" s="94">
        <v>2015</v>
      </c>
      <c r="C190" s="93">
        <v>48</v>
      </c>
      <c r="D190" s="93">
        <v>60</v>
      </c>
      <c r="E190" s="93">
        <v>60</v>
      </c>
      <c r="F190" s="93">
        <v>58</v>
      </c>
      <c r="G190" s="93">
        <v>61</v>
      </c>
      <c r="H190" s="93">
        <v>54</v>
      </c>
      <c r="I190" s="93">
        <v>43</v>
      </c>
      <c r="J190" s="92">
        <v>384</v>
      </c>
      <c r="K190" s="65"/>
    </row>
    <row r="191" spans="2:11" customFormat="1" ht="15" customHeight="1">
      <c r="B191" s="94">
        <v>2016</v>
      </c>
      <c r="C191" s="93">
        <v>77</v>
      </c>
      <c r="D191" s="93">
        <v>47</v>
      </c>
      <c r="E191" s="93">
        <v>55</v>
      </c>
      <c r="F191" s="93">
        <v>60</v>
      </c>
      <c r="G191" s="93">
        <v>57</v>
      </c>
      <c r="H191" s="93">
        <v>57</v>
      </c>
      <c r="I191" s="93">
        <v>51</v>
      </c>
      <c r="J191" s="92">
        <v>404</v>
      </c>
      <c r="K191" s="65"/>
    </row>
    <row r="192" spans="2:11" ht="15" customHeight="1">
      <c r="B192" s="94">
        <v>2017</v>
      </c>
      <c r="C192" s="93">
        <f>VLOOKUP($E$3,Rolls!A1:FA90,42,FALSE)</f>
        <v>58</v>
      </c>
      <c r="D192" s="93">
        <f>VLOOKUP($E$3,Rolls!A1:FA90,43,FALSE)</f>
        <v>74</v>
      </c>
      <c r="E192" s="93">
        <f>VLOOKUP($E$3,Rolls!A1:FA90,44,FALSE)</f>
        <v>49</v>
      </c>
      <c r="F192" s="93">
        <f>VLOOKUP($E$3,Rolls!A1:FA90,45,FALSE)</f>
        <v>54</v>
      </c>
      <c r="G192" s="93">
        <f>VLOOKUP($E$3,Rolls!A1:FA90,46,FALSE)</f>
        <v>64</v>
      </c>
      <c r="H192" s="93">
        <f>VLOOKUP($E$3,Rolls!A1:FA90,47,FALSE)</f>
        <v>58</v>
      </c>
      <c r="I192" s="93">
        <f>VLOOKUP($E$3,Rolls!A1:FA90,48,FALSE)</f>
        <v>59</v>
      </c>
      <c r="J192" s="92">
        <f>VLOOKUP($E$3,Rolls!A1:FA90,49,FALSE)</f>
        <v>416</v>
      </c>
      <c r="K192" s="65"/>
    </row>
    <row r="193" spans="2:11" ht="15" customHeight="1">
      <c r="B193" s="94">
        <v>2018</v>
      </c>
      <c r="C193" s="93">
        <f>VLOOKUP($E$3,Rolls!A1:FA90,50,FALSE)</f>
        <v>48</v>
      </c>
      <c r="D193" s="93">
        <f>VLOOKUP($E$3,Rolls!A1:FA90,51,FALSE)</f>
        <v>59</v>
      </c>
      <c r="E193" s="93">
        <f>VLOOKUP($E$3,Rolls!A1:FA90,52,FALSE)</f>
        <v>73</v>
      </c>
      <c r="F193" s="93">
        <f>VLOOKUP($E$3,Rolls!A1:FA90,53,FALSE)</f>
        <v>47</v>
      </c>
      <c r="G193" s="93">
        <f>VLOOKUP($E$3,Rolls!A1:FA90,54,FALSE)</f>
        <v>55</v>
      </c>
      <c r="H193" s="93">
        <f>VLOOKUP($E$3,Rolls!A1:FA90,55,FALSE)</f>
        <v>63</v>
      </c>
      <c r="I193" s="93">
        <f>VLOOKUP($E$3,Rolls!A1:FA90,56,FALSE)</f>
        <v>56</v>
      </c>
      <c r="J193" s="92">
        <f>VLOOKUP($E$3,Rolls!A1:FA90,57,FALSE)</f>
        <v>401</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Q193"/>
  <sheetViews>
    <sheetView topLeftCell="B39" zoomScaleNormal="100" workbookViewId="0">
      <selection activeCell="H60" sqref="H60"/>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82</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Craigour Park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560 Pupils (20 classes)</v>
      </c>
      <c r="G12" s="16"/>
      <c r="H12" s="16"/>
    </row>
    <row r="13" spans="2:10" ht="15" customHeight="1">
      <c r="C13" s="16"/>
      <c r="D13" s="16"/>
      <c r="E13" s="16"/>
      <c r="F13" s="16"/>
      <c r="G13" s="16"/>
      <c r="H13" s="16"/>
    </row>
    <row r="14" spans="2:10" ht="15" customHeight="1">
      <c r="B14" s="15" t="str">
        <f>"Figure 1: "&amp;E3&amp;" Roll, 2002-2015"</f>
        <v>Figure 1: Craigour Park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Craigour Park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82</v>
      </c>
      <c r="E49" s="108">
        <f>VLOOKUP($E$3,'Catchment Projections'!$A$1:$BU$90,46,FALSE)</f>
        <v>74</v>
      </c>
      <c r="F49" s="108">
        <f>VLOOKUP($E$3,'Catchment Projections'!$A$1:$BU$90,47,FALSE)</f>
        <v>76</v>
      </c>
      <c r="G49" s="108">
        <f>VLOOKUP($E$3,'Catchment Projections'!$A$1:$BU$90,48,FALSE)</f>
        <v>62</v>
      </c>
      <c r="H49" s="133">
        <f>VLOOKUP($E$3,'Catchment Projections'!$A$1:$BU$90,49,FALSE)</f>
        <v>72</v>
      </c>
      <c r="I49" s="133">
        <f>VLOOKUP($E$3,'Catchment Projections'!$A$1:$BU$90,50,FALSE)</f>
        <v>73</v>
      </c>
      <c r="J49" s="133">
        <f>VLOOKUP($E$3,'Catchment Projections'!$A$1:$BU$90,51,FALSE)</f>
        <v>74</v>
      </c>
      <c r="K49" s="133">
        <f>VLOOKUP($E$3,'Catchment Projections'!$A$1:$BU$90,52,FALSE)</f>
        <v>74</v>
      </c>
      <c r="L49" s="133">
        <f>VLOOKUP($E$3,'Catchment Projections'!$A$1:$BU$90,53,FALSE)</f>
        <v>74</v>
      </c>
      <c r="M49" s="133">
        <f>VLOOKUP($E$3,'Catchment Projections'!$A$1:$BU$90,54,FALSE)</f>
        <v>75</v>
      </c>
      <c r="N49" s="133">
        <f>VLOOKUP($E$3,'Catchment Projections'!$A$1:$BU$90,55,FALSE)</f>
        <v>75</v>
      </c>
      <c r="O49" s="133">
        <f>VLOOKUP($E$3,'Catchment Projections'!$A$1:$BU$90,56,FALSE)</f>
        <v>75</v>
      </c>
      <c r="P49" s="133">
        <f>VLOOKUP($E$3,'Catchment Projections'!$A$1:$BU$90,57,FALSE)</f>
        <v>75</v>
      </c>
      <c r="Q49" s="133">
        <f>VLOOKUP($E$3,'Catchment Projections'!$A$1:$BU$90,58,FALSE)</f>
        <v>75</v>
      </c>
    </row>
    <row r="50" spans="2:17" ht="15" customHeight="1" thickBot="1">
      <c r="B50" s="410" t="s">
        <v>141</v>
      </c>
      <c r="C50" s="411"/>
      <c r="D50" s="286">
        <f>VLOOKUP(E3,'Housing Generation'!$A$3:$DQ$90,10,FALSE)</f>
        <v>0</v>
      </c>
      <c r="E50" s="286">
        <f>VLOOKUP(E3,'Housing Generation'!$A$3:$DQ$90,18,FALSE)</f>
        <v>1</v>
      </c>
      <c r="F50" s="286">
        <f>VLOOKUP(E3,'Housing Generation'!$A$3:$DQ$90,26,FALSE)</f>
        <v>4</v>
      </c>
      <c r="G50" s="243">
        <f>VLOOKUP(E3,'Housing Generation'!$A$3:$DQ$90,34,FALSE)</f>
        <v>8</v>
      </c>
      <c r="H50" s="133">
        <f>VLOOKUP(E3,'Housing Generation'!$A$3:$DQ$90,42,FALSE)</f>
        <v>10</v>
      </c>
      <c r="I50" s="133">
        <f>VLOOKUP(E3,'Housing Generation'!$A$3:$DQ$90,50,FALSE)</f>
        <v>13</v>
      </c>
      <c r="J50" s="133">
        <f>VLOOKUP(E3,'Housing Generation'!$A$3:$CK$90,58,FALSE)</f>
        <v>16</v>
      </c>
      <c r="K50" s="133">
        <f>VLOOKUP(E3,'Housing Generation'!$A$3:$CK$90,66,FALSE)</f>
        <v>20</v>
      </c>
      <c r="L50" s="133">
        <f>VLOOKUP(E3,'Housing Generation'!$A$3:$DQ$90,74,FALSE)</f>
        <v>22</v>
      </c>
      <c r="M50" s="133">
        <f>VLOOKUP(E3,'Housing Generation'!$A$3:$DQ$90,82,FALSE)</f>
        <v>22</v>
      </c>
      <c r="N50" s="133">
        <f>VLOOKUP(E3,'Housing Generation'!$A$3:$DQ$90,90,FALSE)</f>
        <v>22</v>
      </c>
      <c r="O50" s="133">
        <f>VLOOKUP(E3,'Housing Generation'!$A$3:$DQ$90,98,FALSE)</f>
        <v>22</v>
      </c>
      <c r="P50" s="133">
        <f>VLOOKUP(E3,'Housing Generation'!$A$3:$DQ$90,106,FALSE)</f>
        <v>22</v>
      </c>
      <c r="Q50" s="133">
        <f>VLOOKUP(E3,'Housing Generation'!$A$3:$DQ$90,114,FALSE)</f>
        <v>22</v>
      </c>
    </row>
    <row r="51" spans="2:17" ht="15" customHeight="1" thickTop="1">
      <c r="B51" s="421" t="s">
        <v>130</v>
      </c>
      <c r="C51" s="422"/>
      <c r="D51" s="47">
        <f t="shared" ref="D51:Q51" si="0">SUM(D49:D50)</f>
        <v>82</v>
      </c>
      <c r="E51" s="47">
        <f t="shared" si="0"/>
        <v>75</v>
      </c>
      <c r="F51" s="80">
        <f t="shared" si="0"/>
        <v>80</v>
      </c>
      <c r="G51" s="244">
        <f t="shared" si="0"/>
        <v>70</v>
      </c>
      <c r="H51" s="71">
        <f t="shared" si="0"/>
        <v>82</v>
      </c>
      <c r="I51" s="71">
        <f t="shared" si="0"/>
        <v>86</v>
      </c>
      <c r="J51" s="71">
        <f t="shared" si="0"/>
        <v>90</v>
      </c>
      <c r="K51" s="71">
        <f t="shared" si="0"/>
        <v>94</v>
      </c>
      <c r="L51" s="71">
        <f t="shared" si="0"/>
        <v>96</v>
      </c>
      <c r="M51" s="71">
        <f t="shared" si="0"/>
        <v>97</v>
      </c>
      <c r="N51" s="71">
        <f t="shared" si="0"/>
        <v>97</v>
      </c>
      <c r="O51" s="71">
        <f t="shared" si="0"/>
        <v>97</v>
      </c>
      <c r="P51" s="71">
        <f t="shared" si="0"/>
        <v>97</v>
      </c>
      <c r="Q51" s="71">
        <f t="shared" si="0"/>
        <v>97</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75</v>
      </c>
      <c r="D60" s="358">
        <f>VLOOKUP($E$3,'Catchment Projections'!$A$1:$BZ$90,74,FALSE)</f>
        <v>63</v>
      </c>
      <c r="E60" s="303">
        <f>D60/C60</f>
        <v>0.84</v>
      </c>
      <c r="G60" s="132">
        <v>2014</v>
      </c>
      <c r="H60" s="395">
        <f>VLOOKUP($G$60,$B$177:$C$215, 2, FALSE)</f>
        <v>68</v>
      </c>
      <c r="I60" s="120">
        <f>H60-D60</f>
        <v>5</v>
      </c>
      <c r="J60" s="121">
        <f>I60/H60</f>
        <v>7.3529411764705885E-2</v>
      </c>
    </row>
    <row r="61" spans="2:17" ht="15" customHeight="1">
      <c r="B61" s="132">
        <v>2015</v>
      </c>
      <c r="C61" s="359">
        <f>VLOOKUP($E$3,'Catchment Projections'!$A$1:$BZ$90,41,FALSE)</f>
        <v>73</v>
      </c>
      <c r="D61" s="358">
        <f>VLOOKUP($E$3,'Catchment Projections'!$A$1:$BZ$90,75,FALSE)</f>
        <v>68</v>
      </c>
      <c r="E61" s="303">
        <f>D61/C61</f>
        <v>0.93150684931506844</v>
      </c>
      <c r="G61" s="132">
        <v>2015</v>
      </c>
      <c r="H61" s="395">
        <f>VLOOKUP($G$61,$B$177:$C$215, 2, FALSE)</f>
        <v>77</v>
      </c>
      <c r="I61" s="120">
        <f>H61-D61</f>
        <v>9</v>
      </c>
      <c r="J61" s="121">
        <f>I61/H61</f>
        <v>0.11688311688311688</v>
      </c>
    </row>
    <row r="62" spans="2:17" ht="15" customHeight="1">
      <c r="B62" s="131">
        <v>2016</v>
      </c>
      <c r="C62" s="359">
        <f>VLOOKUP($E$3,'Catchment Projections'!$A$1:$BZ$90,42,FALSE)</f>
        <v>73</v>
      </c>
      <c r="D62" s="358">
        <f>VLOOKUP($E$3,'Catchment Projections'!$A$1:$BZ$90,76,FALSE)</f>
        <v>64</v>
      </c>
      <c r="E62" s="57">
        <f>D62/C62</f>
        <v>0.87671232876712324</v>
      </c>
      <c r="G62" s="131">
        <v>2016</v>
      </c>
      <c r="H62" s="395">
        <f>VLOOKUP($G$62,$B$177:$C$215, 2, FALSE)</f>
        <v>67</v>
      </c>
      <c r="I62" s="120">
        <f>H62-D62</f>
        <v>3</v>
      </c>
      <c r="J62" s="121">
        <f>I62/H62</f>
        <v>4.4776119402985072E-2</v>
      </c>
    </row>
    <row r="63" spans="2:17" ht="15" customHeight="1">
      <c r="B63" s="114">
        <v>2017</v>
      </c>
      <c r="C63" s="359">
        <f>VLOOKUP($E$3,'Catchment Projections'!$A$1:$BZ$90,43,FALSE)</f>
        <v>89</v>
      </c>
      <c r="D63" s="358">
        <f>VLOOKUP($E$3,'Catchment Projections'!$A$1:$BZ$90,77,FALSE)</f>
        <v>79</v>
      </c>
      <c r="E63" s="304">
        <f>D63/C63</f>
        <v>0.88764044943820219</v>
      </c>
      <c r="G63" s="114">
        <v>2017</v>
      </c>
      <c r="H63" s="395">
        <f>VLOOKUP($G$63,$B$177:$C$215, 2, FALSE)</f>
        <v>85</v>
      </c>
      <c r="I63" s="120">
        <f>H63-D63</f>
        <v>6</v>
      </c>
      <c r="J63" s="121">
        <f>I63/H63</f>
        <v>7.0588235294117646E-2</v>
      </c>
    </row>
    <row r="64" spans="2:17" ht="15" customHeight="1">
      <c r="B64" s="114">
        <v>2018</v>
      </c>
      <c r="C64" s="359">
        <f>VLOOKUP($E$3,'Catchment Projections'!$A$1:$BZ$90,44,FALSE)</f>
        <v>78</v>
      </c>
      <c r="D64" s="358">
        <f>VLOOKUP($E$3,'Catchment Projections'!$A$1:$BZ$90,78,FALSE)</f>
        <v>59</v>
      </c>
      <c r="E64" s="305">
        <f>D64/C64</f>
        <v>0.75641025641025639</v>
      </c>
      <c r="G64" s="114">
        <v>2018</v>
      </c>
      <c r="H64" s="395">
        <f>VLOOKUP($G$64,$B$177:$C$215, 2, FALSE)</f>
        <v>61</v>
      </c>
      <c r="I64" s="120">
        <f>H64-D64</f>
        <v>2</v>
      </c>
      <c r="J64" s="121">
        <f>I64/H64</f>
        <v>3.2786885245901641E-2</v>
      </c>
    </row>
    <row r="65" spans="2:10" ht="15" customHeight="1">
      <c r="B65" s="412" t="s">
        <v>136</v>
      </c>
      <c r="C65" s="413"/>
      <c r="D65" s="414"/>
      <c r="E65" s="137">
        <f>IF((AVERAGE(E62:E64))="#DIV/0!","n/a",(AVERAGE(E62:E64)))</f>
        <v>0.84025434487186068</v>
      </c>
      <c r="G65" s="415" t="s">
        <v>137</v>
      </c>
      <c r="H65" s="416"/>
      <c r="I65" s="138">
        <f>MEDIAN(I60:I64)</f>
        <v>5</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82</v>
      </c>
      <c r="D70" s="408"/>
      <c r="E70" s="122">
        <f>E65</f>
        <v>0.84025434487186068</v>
      </c>
      <c r="F70" s="120">
        <f t="shared" ref="F70:F83" si="1">C70*$E$65</f>
        <v>68.900856279492572</v>
      </c>
      <c r="G70" s="118">
        <f>IF(F70&lt;26,25,IF(F70&gt;135,140,IF(F70&gt;130,135,IF(F70&gt;125,130,IF(F70&gt;120,125,IF(F70&gt;115,120,IF(F70&gt;110,115,IF(F70&gt;105,110,IF(F70&gt;100,105,IF(F70&gt;99,100,IF(F70&gt;90,99,IF(F70&gt;75,90,IF(F70&gt;72,75,IF(F70&gt;66,72,IF(F70&gt;60,66,IF(F70&gt;50,60,IF(F70&gt;30,50,IF(F70&gt;25,30,0))))))))))))))))))</f>
        <v>72</v>
      </c>
      <c r="H70" s="119">
        <f t="shared" ref="H70:H83" si="2">G70-F70</f>
        <v>3.0991437205074277</v>
      </c>
      <c r="I70" s="118" t="str">
        <f>IF(I$65&lt;H70, "NO", "YES")</f>
        <v>YES</v>
      </c>
      <c r="J70" s="117">
        <f t="shared" ref="J70:J83" si="3">IF(I70="YES",G70,(MIN((SUM(F70,$I$65)),G70)))</f>
        <v>72</v>
      </c>
    </row>
    <row r="71" spans="2:10" ht="15" customHeight="1">
      <c r="B71" s="114">
        <v>2020</v>
      </c>
      <c r="C71" s="433">
        <f>E51</f>
        <v>75</v>
      </c>
      <c r="D71" s="408"/>
      <c r="E71" s="121">
        <f>E65</f>
        <v>0.84025434487186068</v>
      </c>
      <c r="F71" s="120">
        <f t="shared" si="1"/>
        <v>63.019075865389553</v>
      </c>
      <c r="G71" s="118">
        <f t="shared" ref="G71:G83" si="4">IF(F71&lt;26,25,IF(F71&gt;135,140,IF(F71&gt;130,135,IF(F71&gt;125,130,IF(F71&gt;120,125,IF(F71&gt;115,120,IF(F71&gt;110,115,IF(F71&gt;105,110,IF(F71&gt;100,105,IF(F71&gt;99,100,IF(F71&gt;90,99,IF(F71&gt;75,90,IF(F71&gt;72,75,IF(F71&gt;66,72,IF(F71&gt;60,66,IF(F71&gt;50,60,IF(F71&gt;30,50,IF(F71&gt;25,30,0))))))))))))))))))</f>
        <v>66</v>
      </c>
      <c r="H71" s="119">
        <f t="shared" si="2"/>
        <v>2.9809241346104471</v>
      </c>
      <c r="I71" s="118" t="str">
        <f t="shared" ref="I71:I83" si="5">IF(I$65&lt;H71, "NO", "YES")</f>
        <v>YES</v>
      </c>
      <c r="J71" s="117">
        <f t="shared" si="3"/>
        <v>66</v>
      </c>
    </row>
    <row r="72" spans="2:10" ht="15" customHeight="1">
      <c r="B72" s="114">
        <v>2021</v>
      </c>
      <c r="C72" s="430">
        <f>F51</f>
        <v>80</v>
      </c>
      <c r="D72" s="431"/>
      <c r="E72" s="121">
        <f>E65</f>
        <v>0.84025434487186068</v>
      </c>
      <c r="F72" s="120">
        <f t="shared" si="1"/>
        <v>67.220347589748854</v>
      </c>
      <c r="G72" s="118">
        <f t="shared" si="4"/>
        <v>72</v>
      </c>
      <c r="H72" s="119">
        <f t="shared" si="2"/>
        <v>4.7796524102511455</v>
      </c>
      <c r="I72" s="118" t="str">
        <f t="shared" si="5"/>
        <v>YES</v>
      </c>
      <c r="J72" s="117">
        <f t="shared" si="3"/>
        <v>72</v>
      </c>
    </row>
    <row r="73" spans="2:10" ht="15" customHeight="1">
      <c r="B73" s="114">
        <v>2022</v>
      </c>
      <c r="C73" s="430">
        <f>G51</f>
        <v>70</v>
      </c>
      <c r="D73" s="431"/>
      <c r="E73" s="121">
        <f>E65</f>
        <v>0.84025434487186068</v>
      </c>
      <c r="F73" s="120">
        <f t="shared" si="1"/>
        <v>58.817804141030251</v>
      </c>
      <c r="G73" s="118">
        <f t="shared" si="4"/>
        <v>60</v>
      </c>
      <c r="H73" s="119">
        <f t="shared" si="2"/>
        <v>1.1821958589697488</v>
      </c>
      <c r="I73" s="118" t="str">
        <f t="shared" si="5"/>
        <v>YES</v>
      </c>
      <c r="J73" s="117">
        <f t="shared" si="3"/>
        <v>60</v>
      </c>
    </row>
    <row r="74" spans="2:10" ht="15" customHeight="1">
      <c r="B74" s="114">
        <v>2023</v>
      </c>
      <c r="C74" s="430">
        <f>H51</f>
        <v>82</v>
      </c>
      <c r="D74" s="431"/>
      <c r="E74" s="121">
        <f>E65</f>
        <v>0.84025434487186068</v>
      </c>
      <c r="F74" s="120">
        <f t="shared" si="1"/>
        <v>68.900856279492572</v>
      </c>
      <c r="G74" s="118">
        <f t="shared" si="4"/>
        <v>72</v>
      </c>
      <c r="H74" s="119">
        <f t="shared" si="2"/>
        <v>3.0991437205074277</v>
      </c>
      <c r="I74" s="118" t="str">
        <f t="shared" si="5"/>
        <v>YES</v>
      </c>
      <c r="J74" s="117">
        <f t="shared" si="3"/>
        <v>72</v>
      </c>
    </row>
    <row r="75" spans="2:10" ht="15" customHeight="1">
      <c r="B75" s="114">
        <v>2024</v>
      </c>
      <c r="C75" s="430">
        <f>I51</f>
        <v>86</v>
      </c>
      <c r="D75" s="431"/>
      <c r="E75" s="121">
        <f>E65</f>
        <v>0.84025434487186068</v>
      </c>
      <c r="F75" s="120">
        <f t="shared" si="1"/>
        <v>72.261873658980022</v>
      </c>
      <c r="G75" s="118">
        <f t="shared" si="4"/>
        <v>75</v>
      </c>
      <c r="H75" s="119">
        <f t="shared" si="2"/>
        <v>2.7381263410199779</v>
      </c>
      <c r="I75" s="118" t="str">
        <f t="shared" si="5"/>
        <v>YES</v>
      </c>
      <c r="J75" s="117">
        <f t="shared" si="3"/>
        <v>75</v>
      </c>
    </row>
    <row r="76" spans="2:10" ht="15" customHeight="1">
      <c r="B76" s="114">
        <v>2025</v>
      </c>
      <c r="C76" s="430">
        <f>J51</f>
        <v>90</v>
      </c>
      <c r="D76" s="431"/>
      <c r="E76" s="121">
        <f>E65</f>
        <v>0.84025434487186068</v>
      </c>
      <c r="F76" s="120">
        <f t="shared" si="1"/>
        <v>75.622891038467458</v>
      </c>
      <c r="G76" s="118">
        <f t="shared" si="4"/>
        <v>90</v>
      </c>
      <c r="H76" s="119">
        <f t="shared" si="2"/>
        <v>14.377108961532542</v>
      </c>
      <c r="I76" s="118" t="str">
        <f t="shared" si="5"/>
        <v>NO</v>
      </c>
      <c r="J76" s="117">
        <f t="shared" si="3"/>
        <v>80.622891038467458</v>
      </c>
    </row>
    <row r="77" spans="2:10" ht="15" customHeight="1">
      <c r="B77" s="114">
        <v>2026</v>
      </c>
      <c r="C77" s="430">
        <f>K51</f>
        <v>94</v>
      </c>
      <c r="D77" s="431"/>
      <c r="E77" s="121">
        <f>E65</f>
        <v>0.84025434487186068</v>
      </c>
      <c r="F77" s="120">
        <f t="shared" si="1"/>
        <v>78.983908417954908</v>
      </c>
      <c r="G77" s="118">
        <f t="shared" si="4"/>
        <v>90</v>
      </c>
      <c r="H77" s="119">
        <f t="shared" si="2"/>
        <v>11.016091582045092</v>
      </c>
      <c r="I77" s="118" t="str">
        <f t="shared" si="5"/>
        <v>NO</v>
      </c>
      <c r="J77" s="117">
        <f t="shared" si="3"/>
        <v>83.983908417954908</v>
      </c>
    </row>
    <row r="78" spans="2:10" ht="15" customHeight="1">
      <c r="B78" s="114">
        <v>2027</v>
      </c>
      <c r="C78" s="430">
        <f>L51</f>
        <v>96</v>
      </c>
      <c r="D78" s="431"/>
      <c r="E78" s="121">
        <f>E65</f>
        <v>0.84025434487186068</v>
      </c>
      <c r="F78" s="120">
        <f t="shared" si="1"/>
        <v>80.664417107698625</v>
      </c>
      <c r="G78" s="118">
        <f t="shared" si="4"/>
        <v>90</v>
      </c>
      <c r="H78" s="119">
        <f t="shared" si="2"/>
        <v>9.3355828923013746</v>
      </c>
      <c r="I78" s="118" t="str">
        <f t="shared" si="5"/>
        <v>NO</v>
      </c>
      <c r="J78" s="117">
        <f t="shared" si="3"/>
        <v>85.664417107698625</v>
      </c>
    </row>
    <row r="79" spans="2:10" ht="15" customHeight="1">
      <c r="B79" s="114">
        <v>2028</v>
      </c>
      <c r="C79" s="430">
        <f>M51</f>
        <v>97</v>
      </c>
      <c r="D79" s="431"/>
      <c r="E79" s="121">
        <f t="shared" ref="E79:E83" si="6">$E$65</f>
        <v>0.84025434487186068</v>
      </c>
      <c r="F79" s="120">
        <f t="shared" si="1"/>
        <v>81.504671452570491</v>
      </c>
      <c r="G79" s="118">
        <f t="shared" si="4"/>
        <v>90</v>
      </c>
      <c r="H79" s="119">
        <f t="shared" si="2"/>
        <v>8.4953285474295086</v>
      </c>
      <c r="I79" s="118" t="str">
        <f t="shared" si="5"/>
        <v>NO</v>
      </c>
      <c r="J79" s="117">
        <f t="shared" si="3"/>
        <v>86.504671452570491</v>
      </c>
    </row>
    <row r="80" spans="2:10" ht="15" customHeight="1">
      <c r="B80" s="114">
        <v>2029</v>
      </c>
      <c r="C80" s="430">
        <f>N51</f>
        <v>97</v>
      </c>
      <c r="D80" s="431"/>
      <c r="E80" s="121">
        <f t="shared" si="6"/>
        <v>0.84025434487186068</v>
      </c>
      <c r="F80" s="120">
        <f t="shared" si="1"/>
        <v>81.504671452570491</v>
      </c>
      <c r="G80" s="118">
        <f t="shared" si="4"/>
        <v>90</v>
      </c>
      <c r="H80" s="119">
        <f t="shared" si="2"/>
        <v>8.4953285474295086</v>
      </c>
      <c r="I80" s="118" t="str">
        <f t="shared" si="5"/>
        <v>NO</v>
      </c>
      <c r="J80" s="117">
        <f t="shared" si="3"/>
        <v>86.504671452570491</v>
      </c>
    </row>
    <row r="81" spans="2:10" ht="15" customHeight="1">
      <c r="B81" s="114">
        <v>2030</v>
      </c>
      <c r="C81" s="430">
        <f>O51</f>
        <v>97</v>
      </c>
      <c r="D81" s="431"/>
      <c r="E81" s="121">
        <f t="shared" si="6"/>
        <v>0.84025434487186068</v>
      </c>
      <c r="F81" s="120">
        <f t="shared" si="1"/>
        <v>81.504671452570491</v>
      </c>
      <c r="G81" s="118">
        <f t="shared" si="4"/>
        <v>90</v>
      </c>
      <c r="H81" s="119">
        <f t="shared" si="2"/>
        <v>8.4953285474295086</v>
      </c>
      <c r="I81" s="118" t="str">
        <f t="shared" si="5"/>
        <v>NO</v>
      </c>
      <c r="J81" s="117">
        <f t="shared" si="3"/>
        <v>86.504671452570491</v>
      </c>
    </row>
    <row r="82" spans="2:10" ht="15" customHeight="1">
      <c r="B82" s="114">
        <v>2031</v>
      </c>
      <c r="C82" s="430">
        <f>P51</f>
        <v>97</v>
      </c>
      <c r="D82" s="431"/>
      <c r="E82" s="121">
        <f t="shared" si="6"/>
        <v>0.84025434487186068</v>
      </c>
      <c r="F82" s="120">
        <f t="shared" si="1"/>
        <v>81.504671452570491</v>
      </c>
      <c r="G82" s="118">
        <f t="shared" si="4"/>
        <v>90</v>
      </c>
      <c r="H82" s="119">
        <f t="shared" si="2"/>
        <v>8.4953285474295086</v>
      </c>
      <c r="I82" s="118" t="str">
        <f t="shared" si="5"/>
        <v>NO</v>
      </c>
      <c r="J82" s="117">
        <f t="shared" si="3"/>
        <v>86.504671452570491</v>
      </c>
    </row>
    <row r="83" spans="2:10" ht="15" customHeight="1">
      <c r="B83" s="114">
        <v>2032</v>
      </c>
      <c r="C83" s="430">
        <f>Q51</f>
        <v>97</v>
      </c>
      <c r="D83" s="431"/>
      <c r="E83" s="121">
        <f t="shared" si="6"/>
        <v>0.84025434487186068</v>
      </c>
      <c r="F83" s="120">
        <f t="shared" si="1"/>
        <v>81.504671452570491</v>
      </c>
      <c r="G83" s="118">
        <f t="shared" si="4"/>
        <v>90</v>
      </c>
      <c r="H83" s="119">
        <f t="shared" si="2"/>
        <v>8.4953285474295086</v>
      </c>
      <c r="I83" s="118" t="str">
        <f t="shared" si="5"/>
        <v>NO</v>
      </c>
      <c r="J83" s="117">
        <f t="shared" si="3"/>
        <v>86.504671452570491</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Craigour Park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88</v>
      </c>
      <c r="D91" s="112">
        <f t="shared" ref="D91:J91" si="7">D188</f>
        <v>60</v>
      </c>
      <c r="E91" s="112">
        <f t="shared" si="7"/>
        <v>67</v>
      </c>
      <c r="F91" s="112">
        <f t="shared" si="7"/>
        <v>56</v>
      </c>
      <c r="G91" s="112">
        <f t="shared" si="7"/>
        <v>45</v>
      </c>
      <c r="H91" s="112">
        <f t="shared" si="7"/>
        <v>40</v>
      </c>
      <c r="I91" s="112">
        <f t="shared" si="7"/>
        <v>32</v>
      </c>
      <c r="J91" s="213">
        <f t="shared" si="7"/>
        <v>388</v>
      </c>
    </row>
    <row r="92" spans="2:10" ht="15" customHeight="1">
      <c r="B92" s="114">
        <v>2014</v>
      </c>
      <c r="C92" s="112">
        <f>C189</f>
        <v>68</v>
      </c>
      <c r="D92" s="112">
        <f t="shared" ref="D92:J92" si="8">D189</f>
        <v>86</v>
      </c>
      <c r="E92" s="112">
        <f t="shared" si="8"/>
        <v>58</v>
      </c>
      <c r="F92" s="112">
        <f t="shared" si="8"/>
        <v>64</v>
      </c>
      <c r="G92" s="112">
        <f t="shared" si="8"/>
        <v>59</v>
      </c>
      <c r="H92" s="112">
        <f t="shared" si="8"/>
        <v>42</v>
      </c>
      <c r="I92" s="112">
        <f t="shared" si="8"/>
        <v>38</v>
      </c>
      <c r="J92" s="213">
        <f t="shared" si="8"/>
        <v>415</v>
      </c>
    </row>
    <row r="93" spans="2:10" ht="15" customHeight="1">
      <c r="B93" s="114">
        <v>2015</v>
      </c>
      <c r="C93" s="112">
        <f>C190</f>
        <v>77</v>
      </c>
      <c r="D93" s="112">
        <f t="shared" ref="D93:J93" si="9">D190</f>
        <v>65</v>
      </c>
      <c r="E93" s="112">
        <f t="shared" si="9"/>
        <v>88</v>
      </c>
      <c r="F93" s="112">
        <f t="shared" si="9"/>
        <v>65</v>
      </c>
      <c r="G93" s="112">
        <f t="shared" si="9"/>
        <v>60</v>
      </c>
      <c r="H93" s="112">
        <f t="shared" si="9"/>
        <v>62</v>
      </c>
      <c r="I93" s="112">
        <f t="shared" si="9"/>
        <v>46</v>
      </c>
      <c r="J93" s="213">
        <f t="shared" si="9"/>
        <v>463</v>
      </c>
    </row>
    <row r="94" spans="2:10" ht="15" customHeight="1">
      <c r="B94" s="114">
        <v>2016</v>
      </c>
      <c r="C94" s="112">
        <f>C191</f>
        <v>67</v>
      </c>
      <c r="D94" s="112">
        <f t="shared" ref="D94:J94" si="10">D191</f>
        <v>71</v>
      </c>
      <c r="E94" s="112">
        <f t="shared" si="10"/>
        <v>65</v>
      </c>
      <c r="F94" s="112">
        <f t="shared" si="10"/>
        <v>86</v>
      </c>
      <c r="G94" s="112">
        <f t="shared" si="10"/>
        <v>62</v>
      </c>
      <c r="H94" s="112">
        <f t="shared" si="10"/>
        <v>61</v>
      </c>
      <c r="I94" s="112">
        <f t="shared" si="10"/>
        <v>59</v>
      </c>
      <c r="J94" s="213">
        <f t="shared" si="10"/>
        <v>471</v>
      </c>
    </row>
    <row r="95" spans="2:10" ht="15" customHeight="1">
      <c r="B95" s="114">
        <v>2017</v>
      </c>
      <c r="C95" s="112">
        <f>C192</f>
        <v>85</v>
      </c>
      <c r="D95" s="112">
        <f t="shared" ref="D95:J95" si="11">D192</f>
        <v>68</v>
      </c>
      <c r="E95" s="112">
        <f t="shared" si="11"/>
        <v>68</v>
      </c>
      <c r="F95" s="112">
        <f t="shared" si="11"/>
        <v>64</v>
      </c>
      <c r="G95" s="112">
        <f t="shared" si="11"/>
        <v>84</v>
      </c>
      <c r="H95" s="112">
        <f t="shared" si="11"/>
        <v>64</v>
      </c>
      <c r="I95" s="112">
        <f t="shared" si="11"/>
        <v>62</v>
      </c>
      <c r="J95" s="213">
        <f t="shared" si="11"/>
        <v>495</v>
      </c>
    </row>
    <row r="96" spans="2:10" ht="15" customHeight="1">
      <c r="B96" s="307">
        <v>2018</v>
      </c>
      <c r="C96" s="112">
        <f t="shared" ref="C96:J96" si="12">C193</f>
        <v>61</v>
      </c>
      <c r="D96" s="112">
        <f t="shared" si="12"/>
        <v>80</v>
      </c>
      <c r="E96" s="112">
        <f t="shared" si="12"/>
        <v>60</v>
      </c>
      <c r="F96" s="112">
        <f t="shared" si="12"/>
        <v>65</v>
      </c>
      <c r="G96" s="112">
        <f t="shared" si="12"/>
        <v>62</v>
      </c>
      <c r="H96" s="112">
        <f t="shared" si="12"/>
        <v>87</v>
      </c>
      <c r="I96" s="112">
        <f t="shared" si="12"/>
        <v>62</v>
      </c>
      <c r="J96" s="213">
        <f t="shared" si="12"/>
        <v>477</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4.4117647058823532E-2</v>
      </c>
      <c r="E98" s="210">
        <f t="shared" ref="E98:I98" si="13">MEDIAN(((D91-E92)/D91),((D92-E93)/D92),((D93-E94)/D93),((D94-E95)/D94),((D95-E96)/D95))</f>
        <v>3.3333333333333333E-2</v>
      </c>
      <c r="F98" s="210">
        <f t="shared" si="13"/>
        <v>2.2727272727272728E-2</v>
      </c>
      <c r="G98" s="210">
        <f t="shared" si="13"/>
        <v>3.125E-2</v>
      </c>
      <c r="H98" s="210">
        <f t="shared" si="13"/>
        <v>-3.2258064516129031E-2</v>
      </c>
      <c r="I98" s="210">
        <f t="shared" si="13"/>
        <v>3.125E-2</v>
      </c>
    </row>
    <row r="99" spans="2:10" ht="15" customHeight="1">
      <c r="B99" s="59"/>
      <c r="C99" s="60"/>
      <c r="D99" s="61"/>
      <c r="E99" s="61"/>
      <c r="F99" s="61"/>
      <c r="G99" s="61"/>
      <c r="H99" s="61"/>
      <c r="I99" s="61"/>
      <c r="J99" s="58"/>
    </row>
    <row r="100" spans="2:10" ht="15" customHeight="1">
      <c r="B100" s="15" t="str">
        <f>"Table 4B: "&amp;E3&amp;" Projected Roll by Stage (incorporating Projected P1 and Drop-Off Rates), 2019-2032"</f>
        <v>Table 4B: Craigour Park Primary School Projected Roll by Stage (incorporating Projected P1 and Drop-Off Rates), 2019-2032</v>
      </c>
      <c r="F100" s="14"/>
      <c r="G100" s="14"/>
    </row>
    <row r="101" spans="2:10" ht="15" customHeight="1">
      <c r="F101" s="14"/>
      <c r="G101" s="14"/>
    </row>
    <row r="102" spans="2:10" ht="15" customHeight="1">
      <c r="B102" s="115"/>
      <c r="C102" s="109" t="s">
        <v>1</v>
      </c>
      <c r="D102" s="109" t="s">
        <v>2</v>
      </c>
      <c r="E102" s="109" t="s">
        <v>3</v>
      </c>
      <c r="F102" s="109" t="s">
        <v>4</v>
      </c>
      <c r="G102" s="109" t="s">
        <v>5</v>
      </c>
      <c r="H102" s="109" t="s">
        <v>6</v>
      </c>
      <c r="I102" s="109" t="s">
        <v>7</v>
      </c>
      <c r="J102" s="109" t="s">
        <v>8</v>
      </c>
    </row>
    <row r="103" spans="2:10" ht="15" customHeight="1">
      <c r="B103" s="114">
        <v>2019</v>
      </c>
      <c r="C103" s="113">
        <f t="shared" ref="C103:C116" si="14">J70</f>
        <v>72</v>
      </c>
      <c r="D103" s="324">
        <f>ROUND((C96)-(C96*$D$98),0)</f>
        <v>58</v>
      </c>
      <c r="E103" s="324">
        <f>ROUND((D96)-(D96*$E$98),0)</f>
        <v>77</v>
      </c>
      <c r="F103" s="324">
        <f>ROUND((E96)-(E96*$F$98),0)</f>
        <v>59</v>
      </c>
      <c r="G103" s="324">
        <f>ROUND((F96)-(F96*$G$98),0)</f>
        <v>63</v>
      </c>
      <c r="H103" s="324">
        <f>ROUND((G96)-(G96*$H$98),0)</f>
        <v>64</v>
      </c>
      <c r="I103" s="324">
        <f>ROUND((H96)-(H96*$I$98),0)</f>
        <v>84</v>
      </c>
      <c r="J103" s="111">
        <f t="shared" ref="J103:J116" si="15">SUM(C103:I103)</f>
        <v>477</v>
      </c>
    </row>
    <row r="104" spans="2:10" ht="15" customHeight="1">
      <c r="B104" s="114">
        <v>2020</v>
      </c>
      <c r="C104" s="113">
        <f t="shared" si="14"/>
        <v>66</v>
      </c>
      <c r="D104" s="324">
        <f>ROUND((C103-E50)-(C103*$D$98),0)</f>
        <v>68</v>
      </c>
      <c r="E104" s="112">
        <f t="shared" ref="E104:E116" si="16">ROUND((D103)-(D103*$E$98),0)</f>
        <v>56</v>
      </c>
      <c r="F104" s="112">
        <f t="shared" ref="F104:F116" si="17">ROUND((E103)-(E103*$F$98),0)</f>
        <v>75</v>
      </c>
      <c r="G104" s="112">
        <f t="shared" ref="G104:G116" si="18">ROUND((F103)-(F103*$G$98),0)</f>
        <v>57</v>
      </c>
      <c r="H104" s="112">
        <f t="shared" ref="H104:H116" si="19">ROUND((G103)-(G103*$H$98),0)</f>
        <v>65</v>
      </c>
      <c r="I104" s="112">
        <f t="shared" ref="I104:I116" si="20">ROUND((H103)-(H103*$I$98),0)</f>
        <v>62</v>
      </c>
      <c r="J104" s="111">
        <f t="shared" si="15"/>
        <v>449</v>
      </c>
    </row>
    <row r="105" spans="2:10" ht="15" customHeight="1">
      <c r="B105" s="114">
        <v>2021</v>
      </c>
      <c r="C105" s="113">
        <f t="shared" si="14"/>
        <v>72</v>
      </c>
      <c r="D105" s="324">
        <f>ROUND((C104-F50)-(C104*$D$98),0)</f>
        <v>59</v>
      </c>
      <c r="E105" s="112">
        <f t="shared" si="16"/>
        <v>66</v>
      </c>
      <c r="F105" s="112">
        <f t="shared" si="17"/>
        <v>55</v>
      </c>
      <c r="G105" s="112">
        <f t="shared" si="18"/>
        <v>73</v>
      </c>
      <c r="H105" s="112">
        <f t="shared" si="19"/>
        <v>59</v>
      </c>
      <c r="I105" s="112">
        <f t="shared" si="20"/>
        <v>63</v>
      </c>
      <c r="J105" s="111">
        <f t="shared" si="15"/>
        <v>447</v>
      </c>
    </row>
    <row r="106" spans="2:10" ht="15" customHeight="1">
      <c r="B106" s="114">
        <v>2022</v>
      </c>
      <c r="C106" s="113">
        <f t="shared" si="14"/>
        <v>60</v>
      </c>
      <c r="D106" s="324">
        <f>ROUND((C105-G50)-(C105*$D$98),0)</f>
        <v>61</v>
      </c>
      <c r="E106" s="112">
        <f t="shared" si="16"/>
        <v>57</v>
      </c>
      <c r="F106" s="112">
        <f t="shared" si="17"/>
        <v>65</v>
      </c>
      <c r="G106" s="112">
        <f t="shared" si="18"/>
        <v>53</v>
      </c>
      <c r="H106" s="112">
        <f t="shared" si="19"/>
        <v>75</v>
      </c>
      <c r="I106" s="112">
        <f t="shared" si="20"/>
        <v>57</v>
      </c>
      <c r="J106" s="111">
        <f t="shared" si="15"/>
        <v>428</v>
      </c>
    </row>
    <row r="107" spans="2:10" ht="15" customHeight="1">
      <c r="B107" s="114">
        <v>2023</v>
      </c>
      <c r="C107" s="113">
        <f t="shared" si="14"/>
        <v>72</v>
      </c>
      <c r="D107" s="324">
        <f>ROUND((C106-H50)-(C106*$D$98),0)</f>
        <v>47</v>
      </c>
      <c r="E107" s="112">
        <f t="shared" si="16"/>
        <v>59</v>
      </c>
      <c r="F107" s="112">
        <f t="shared" si="17"/>
        <v>56</v>
      </c>
      <c r="G107" s="112">
        <f t="shared" si="18"/>
        <v>63</v>
      </c>
      <c r="H107" s="112">
        <f t="shared" si="19"/>
        <v>55</v>
      </c>
      <c r="I107" s="112">
        <f t="shared" si="20"/>
        <v>73</v>
      </c>
      <c r="J107" s="111">
        <f t="shared" si="15"/>
        <v>425</v>
      </c>
    </row>
    <row r="108" spans="2:10" ht="15" customHeight="1">
      <c r="B108" s="114">
        <v>2024</v>
      </c>
      <c r="C108" s="113">
        <f t="shared" si="14"/>
        <v>75</v>
      </c>
      <c r="D108" s="324">
        <f>ROUND((C107-I50)-(C107*$D$98),0)</f>
        <v>56</v>
      </c>
      <c r="E108" s="112">
        <f t="shared" si="16"/>
        <v>45</v>
      </c>
      <c r="F108" s="112">
        <f t="shared" si="17"/>
        <v>58</v>
      </c>
      <c r="G108" s="112">
        <f t="shared" si="18"/>
        <v>54</v>
      </c>
      <c r="H108" s="112">
        <f t="shared" si="19"/>
        <v>65</v>
      </c>
      <c r="I108" s="112">
        <f t="shared" si="20"/>
        <v>53</v>
      </c>
      <c r="J108" s="111">
        <f t="shared" si="15"/>
        <v>406</v>
      </c>
    </row>
    <row r="109" spans="2:10" ht="15" customHeight="1">
      <c r="B109" s="114">
        <v>2025</v>
      </c>
      <c r="C109" s="113">
        <f t="shared" si="14"/>
        <v>80.622891038467458</v>
      </c>
      <c r="D109" s="324">
        <f>ROUND((C108-J50)-(C108*$D$98),0)</f>
        <v>56</v>
      </c>
      <c r="E109" s="112">
        <f t="shared" si="16"/>
        <v>54</v>
      </c>
      <c r="F109" s="112">
        <f t="shared" si="17"/>
        <v>44</v>
      </c>
      <c r="G109" s="112">
        <f t="shared" si="18"/>
        <v>56</v>
      </c>
      <c r="H109" s="112">
        <f t="shared" si="19"/>
        <v>56</v>
      </c>
      <c r="I109" s="112">
        <f t="shared" si="20"/>
        <v>63</v>
      </c>
      <c r="J109" s="111">
        <f t="shared" si="15"/>
        <v>409.62289103846746</v>
      </c>
    </row>
    <row r="110" spans="2:10" ht="15" customHeight="1">
      <c r="B110" s="114">
        <v>2026</v>
      </c>
      <c r="C110" s="113">
        <f t="shared" si="14"/>
        <v>83.983908417954908</v>
      </c>
      <c r="D110" s="324">
        <f>ROUND((C109-K50)-(C109*$D$98),0)</f>
        <v>57</v>
      </c>
      <c r="E110" s="112">
        <f t="shared" si="16"/>
        <v>54</v>
      </c>
      <c r="F110" s="112">
        <f t="shared" si="17"/>
        <v>53</v>
      </c>
      <c r="G110" s="112">
        <f t="shared" si="18"/>
        <v>43</v>
      </c>
      <c r="H110" s="112">
        <f t="shared" si="19"/>
        <v>58</v>
      </c>
      <c r="I110" s="112">
        <f t="shared" si="20"/>
        <v>54</v>
      </c>
      <c r="J110" s="111">
        <f t="shared" si="15"/>
        <v>402.98390841795492</v>
      </c>
    </row>
    <row r="111" spans="2:10" ht="15" customHeight="1">
      <c r="B111" s="114">
        <v>2027</v>
      </c>
      <c r="C111" s="113">
        <f t="shared" si="14"/>
        <v>85.664417107698625</v>
      </c>
      <c r="D111" s="324">
        <f>ROUND((C110-L50)-(C110*$D$98),0)</f>
        <v>58</v>
      </c>
      <c r="E111" s="112">
        <f t="shared" si="16"/>
        <v>55</v>
      </c>
      <c r="F111" s="112">
        <f t="shared" si="17"/>
        <v>53</v>
      </c>
      <c r="G111" s="112">
        <f t="shared" si="18"/>
        <v>51</v>
      </c>
      <c r="H111" s="112">
        <f t="shared" si="19"/>
        <v>44</v>
      </c>
      <c r="I111" s="112">
        <f t="shared" si="20"/>
        <v>56</v>
      </c>
      <c r="J111" s="111">
        <f t="shared" si="15"/>
        <v>402.66441710769863</v>
      </c>
    </row>
    <row r="112" spans="2:10" ht="15" customHeight="1">
      <c r="B112" s="114">
        <v>2028</v>
      </c>
      <c r="C112" s="113">
        <f t="shared" si="14"/>
        <v>86.504671452570491</v>
      </c>
      <c r="D112" s="324">
        <f>ROUND((C111-M50)-(C111*$D$98),0)</f>
        <v>60</v>
      </c>
      <c r="E112" s="112">
        <f t="shared" si="16"/>
        <v>56</v>
      </c>
      <c r="F112" s="112">
        <f t="shared" si="17"/>
        <v>54</v>
      </c>
      <c r="G112" s="112">
        <f t="shared" si="18"/>
        <v>51</v>
      </c>
      <c r="H112" s="112">
        <f t="shared" si="19"/>
        <v>53</v>
      </c>
      <c r="I112" s="112">
        <f t="shared" si="20"/>
        <v>43</v>
      </c>
      <c r="J112" s="111">
        <f t="shared" si="15"/>
        <v>403.50467145257051</v>
      </c>
    </row>
    <row r="113" spans="2:10" ht="15" customHeight="1">
      <c r="B113" s="114">
        <v>2029</v>
      </c>
      <c r="C113" s="113">
        <f t="shared" si="14"/>
        <v>86.504671452570491</v>
      </c>
      <c r="D113" s="324">
        <f>ROUND((C112-N50)-(C112*$D$98),0)</f>
        <v>61</v>
      </c>
      <c r="E113" s="112">
        <f t="shared" si="16"/>
        <v>58</v>
      </c>
      <c r="F113" s="112">
        <f t="shared" si="17"/>
        <v>55</v>
      </c>
      <c r="G113" s="112">
        <f t="shared" si="18"/>
        <v>52</v>
      </c>
      <c r="H113" s="112">
        <f t="shared" si="19"/>
        <v>53</v>
      </c>
      <c r="I113" s="112">
        <f t="shared" si="20"/>
        <v>51</v>
      </c>
      <c r="J113" s="111">
        <f t="shared" si="15"/>
        <v>416.50467145257051</v>
      </c>
    </row>
    <row r="114" spans="2:10" ht="15" customHeight="1">
      <c r="B114" s="114">
        <v>2030</v>
      </c>
      <c r="C114" s="113">
        <f t="shared" si="14"/>
        <v>86.504671452570491</v>
      </c>
      <c r="D114" s="324">
        <f>ROUND((C113-O50)-(C113*$D$98),0)</f>
        <v>61</v>
      </c>
      <c r="E114" s="112">
        <f t="shared" si="16"/>
        <v>59</v>
      </c>
      <c r="F114" s="112">
        <f t="shared" si="17"/>
        <v>57</v>
      </c>
      <c r="G114" s="112">
        <f t="shared" si="18"/>
        <v>53</v>
      </c>
      <c r="H114" s="112">
        <f t="shared" si="19"/>
        <v>54</v>
      </c>
      <c r="I114" s="112">
        <f t="shared" si="20"/>
        <v>51</v>
      </c>
      <c r="J114" s="111">
        <f t="shared" si="15"/>
        <v>421.50467145257051</v>
      </c>
    </row>
    <row r="115" spans="2:10" ht="15" customHeight="1">
      <c r="B115" s="114">
        <v>2031</v>
      </c>
      <c r="C115" s="113">
        <f t="shared" si="14"/>
        <v>86.504671452570491</v>
      </c>
      <c r="D115" s="324">
        <f>ROUND((C114-P50)-(C114*$D$98),0)</f>
        <v>61</v>
      </c>
      <c r="E115" s="112">
        <f t="shared" si="16"/>
        <v>59</v>
      </c>
      <c r="F115" s="112">
        <f t="shared" si="17"/>
        <v>58</v>
      </c>
      <c r="G115" s="112">
        <f t="shared" si="18"/>
        <v>55</v>
      </c>
      <c r="H115" s="112">
        <f t="shared" si="19"/>
        <v>55</v>
      </c>
      <c r="I115" s="112">
        <f t="shared" si="20"/>
        <v>52</v>
      </c>
      <c r="J115" s="111">
        <f t="shared" si="15"/>
        <v>426.50467145257051</v>
      </c>
    </row>
    <row r="116" spans="2:10" ht="15" customHeight="1">
      <c r="B116" s="114">
        <v>2032</v>
      </c>
      <c r="C116" s="113">
        <f t="shared" si="14"/>
        <v>86.504671452570491</v>
      </c>
      <c r="D116" s="324">
        <f>ROUND((C115-Q50)-(C115*$D$98),0)</f>
        <v>61</v>
      </c>
      <c r="E116" s="112">
        <f t="shared" si="16"/>
        <v>59</v>
      </c>
      <c r="F116" s="112">
        <f t="shared" si="17"/>
        <v>58</v>
      </c>
      <c r="G116" s="112">
        <f t="shared" si="18"/>
        <v>56</v>
      </c>
      <c r="H116" s="112">
        <f t="shared" si="19"/>
        <v>57</v>
      </c>
      <c r="I116" s="112">
        <f t="shared" si="20"/>
        <v>53</v>
      </c>
      <c r="J116" s="111">
        <f t="shared" si="15"/>
        <v>430.50467145257051</v>
      </c>
    </row>
    <row r="117" spans="2:10" ht="15" customHeight="1">
      <c r="F117" s="14"/>
      <c r="G117" s="14"/>
    </row>
    <row r="118" spans="2:10" ht="15" customHeight="1">
      <c r="B118" s="15" t="str">
        <f>"Table 4C: "&amp;E3&amp;" Projected Pupil Generation from Housing Development, 2019-2032"</f>
        <v>Table 4C: Craigour Park Primary School Projected Pupil Generation from Housing Development, 2019-2032</v>
      </c>
      <c r="F118" s="14"/>
      <c r="G118" s="14"/>
    </row>
    <row r="119" spans="2:10" ht="15" customHeight="1">
      <c r="F119" s="14"/>
      <c r="G119" s="14"/>
    </row>
    <row r="120" spans="2:10" ht="15" customHeight="1">
      <c r="B120" s="115"/>
      <c r="C120" s="109" t="s">
        <v>1</v>
      </c>
      <c r="D120" s="109" t="s">
        <v>2</v>
      </c>
      <c r="E120" s="109" t="s">
        <v>3</v>
      </c>
      <c r="F120" s="109" t="s">
        <v>4</v>
      </c>
      <c r="G120" s="109" t="s">
        <v>5</v>
      </c>
      <c r="H120" s="109" t="s">
        <v>6</v>
      </c>
      <c r="I120" s="109" t="s">
        <v>7</v>
      </c>
      <c r="J120" s="109" t="s">
        <v>8</v>
      </c>
    </row>
    <row r="121" spans="2:10" ht="15" customHeight="1">
      <c r="B121" s="114">
        <v>2019</v>
      </c>
      <c r="C121" s="116" t="s">
        <v>97</v>
      </c>
      <c r="D121" s="112">
        <f>VLOOKUP($E$3,'Housing Generation'!$A$3:$BE$90,11,FALSE)</f>
        <v>0</v>
      </c>
      <c r="E121" s="112">
        <f>VLOOKUP($E$3,'Housing Generation'!$A$3:$BE$90,12,FALSE)</f>
        <v>0</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0</v>
      </c>
    </row>
    <row r="122" spans="2:10" ht="15" customHeight="1">
      <c r="B122" s="114">
        <v>2020</v>
      </c>
      <c r="C122" s="116" t="s">
        <v>97</v>
      </c>
      <c r="D122" s="112">
        <f>VLOOKUP($E$3,'Housing Generation'!$A$3:$BE$90,19,FALSE)</f>
        <v>1</v>
      </c>
      <c r="E122" s="112">
        <f>VLOOKUP($E$3,'Housing Generation'!$A$3:$BE$90,20,FALSE)</f>
        <v>1</v>
      </c>
      <c r="F122" s="112">
        <f>VLOOKUP($E$3,'Housing Generation'!$A$3:$BE$90,21,FALSE)</f>
        <v>1</v>
      </c>
      <c r="G122" s="112">
        <f>VLOOKUP($E$3,'Housing Generation'!$A$3:$BE$90,22,FALSE)</f>
        <v>1</v>
      </c>
      <c r="H122" s="112">
        <f>VLOOKUP($E$3,'Housing Generation'!$A$3:$BE$90,23,FALSE)</f>
        <v>1</v>
      </c>
      <c r="I122" s="112">
        <f>VLOOKUP($E$3,'Housing Generation'!$A$3:$BE$90,24,FALSE)</f>
        <v>0</v>
      </c>
      <c r="J122" s="111">
        <f t="shared" si="21"/>
        <v>5</v>
      </c>
    </row>
    <row r="123" spans="2:10" ht="15" customHeight="1">
      <c r="B123" s="114">
        <v>2021</v>
      </c>
      <c r="C123" s="116" t="s">
        <v>97</v>
      </c>
      <c r="D123" s="112">
        <f>VLOOKUP($E$3,'Housing Generation'!$A$3:$BE$90,27,FALSE)</f>
        <v>4</v>
      </c>
      <c r="E123" s="112">
        <f>VLOOKUP($E$3,'Housing Generation'!$A$3:$BE$90,28,FALSE)</f>
        <v>4</v>
      </c>
      <c r="F123" s="112">
        <f>VLOOKUP($E$3,'Housing Generation'!$A$3:$BE$90,29,FALSE)</f>
        <v>4</v>
      </c>
      <c r="G123" s="112">
        <f>VLOOKUP($E$3,'Housing Generation'!$A$3:$BE$90,30,FALSE)</f>
        <v>4</v>
      </c>
      <c r="H123" s="112">
        <f>VLOOKUP($E$3,'Housing Generation'!$A$3:$BE$90,31,FALSE)</f>
        <v>4</v>
      </c>
      <c r="I123" s="112">
        <f>VLOOKUP($E$3,'Housing Generation'!$A$3:$BE$90,32,FALSE)</f>
        <v>3</v>
      </c>
      <c r="J123" s="111">
        <f t="shared" si="21"/>
        <v>23</v>
      </c>
    </row>
    <row r="124" spans="2:10" ht="15" customHeight="1">
      <c r="B124" s="114">
        <v>2022</v>
      </c>
      <c r="C124" s="116" t="s">
        <v>97</v>
      </c>
      <c r="D124" s="112">
        <f>VLOOKUP($E$3,'Housing Generation'!$A$3:$BE$90,35,FALSE)</f>
        <v>8</v>
      </c>
      <c r="E124" s="112">
        <f>VLOOKUP($E$3,'Housing Generation'!$A$3:$BE$90,36,FALSE)</f>
        <v>8</v>
      </c>
      <c r="F124" s="112">
        <f>VLOOKUP($E$3,'Housing Generation'!$A$3:$BE$90,37,FALSE)</f>
        <v>7</v>
      </c>
      <c r="G124" s="112">
        <f>VLOOKUP($E$3,'Housing Generation'!$A$3:$BE$90,38,FALSE)</f>
        <v>7</v>
      </c>
      <c r="H124" s="112">
        <f>VLOOKUP($E$3,'Housing Generation'!$A$3:$BE$90,39,FALSE)</f>
        <v>7</v>
      </c>
      <c r="I124" s="112">
        <f>VLOOKUP($E$3,'Housing Generation'!$A$3:$BE$90,40,FALSE)</f>
        <v>7</v>
      </c>
      <c r="J124" s="111">
        <f t="shared" si="21"/>
        <v>44</v>
      </c>
    </row>
    <row r="125" spans="2:10" ht="15" customHeight="1">
      <c r="B125" s="114">
        <v>2023</v>
      </c>
      <c r="C125" s="116" t="s">
        <v>97</v>
      </c>
      <c r="D125" s="112">
        <f>VLOOKUP($E$3,'Housing Generation'!$A$3:$BE$90,43,FALSE)</f>
        <v>10</v>
      </c>
      <c r="E125" s="112">
        <f>VLOOKUP($E$3,'Housing Generation'!$A$3:$BE$90,44,FALSE)</f>
        <v>10</v>
      </c>
      <c r="F125" s="112">
        <f>VLOOKUP($E$3,'Housing Generation'!$A$3:$BE$90,45,FALSE)</f>
        <v>10</v>
      </c>
      <c r="G125" s="112">
        <f>VLOOKUP($E$3,'Housing Generation'!$A$3:$BE$90,46,FALSE)</f>
        <v>10</v>
      </c>
      <c r="H125" s="112">
        <f>VLOOKUP($E$3,'Housing Generation'!$A$3:$BE$90,47,FALSE)</f>
        <v>9</v>
      </c>
      <c r="I125" s="112">
        <f>VLOOKUP($E$3,'Housing Generation'!$A$3:$BE$90,48,FALSE)</f>
        <v>9</v>
      </c>
      <c r="J125" s="111">
        <f t="shared" si="21"/>
        <v>58</v>
      </c>
    </row>
    <row r="126" spans="2:10" ht="15" customHeight="1">
      <c r="B126" s="114">
        <v>2024</v>
      </c>
      <c r="C126" s="116" t="s">
        <v>97</v>
      </c>
      <c r="D126" s="112">
        <f>VLOOKUP($E$3,'Housing Generation'!$A$3:$BE$90,51,FALSE)</f>
        <v>13</v>
      </c>
      <c r="E126" s="112">
        <f>VLOOKUP($E$3,'Housing Generation'!$A$3:$BE$90,52,FALSE)</f>
        <v>13</v>
      </c>
      <c r="F126" s="112">
        <f>VLOOKUP($E$3,'Housing Generation'!$A$3:$BE$90,53,FALSE)</f>
        <v>13</v>
      </c>
      <c r="G126" s="112">
        <f>VLOOKUP($E$3,'Housing Generation'!$A$3:$BE$90,54,FALSE)</f>
        <v>12</v>
      </c>
      <c r="H126" s="112">
        <f>VLOOKUP($E$3,'Housing Generation'!$A$3:$BE$90,55,FALSE)</f>
        <v>12</v>
      </c>
      <c r="I126" s="112">
        <f>VLOOKUP($E$3,'Housing Generation'!$A$3:$BE$90,56,FALSE)</f>
        <v>12</v>
      </c>
      <c r="J126" s="111">
        <f t="shared" si="21"/>
        <v>75</v>
      </c>
    </row>
    <row r="127" spans="2:10" ht="15" customHeight="1">
      <c r="B127" s="114">
        <v>2025</v>
      </c>
      <c r="C127" s="240" t="s">
        <v>97</v>
      </c>
      <c r="D127" s="112">
        <f>VLOOKUP($E$3,'Housing Generation'!$A$3:$CK$90,59,FALSE)</f>
        <v>16</v>
      </c>
      <c r="E127" s="112">
        <f>VLOOKUP($E$3,'Housing Generation'!$A$3:$CK$90,60,FALSE)</f>
        <v>16</v>
      </c>
      <c r="F127" s="112">
        <f>VLOOKUP($E$3,'Housing Generation'!$A$3:$CK$90,61,FALSE)</f>
        <v>16</v>
      </c>
      <c r="G127" s="112">
        <f>VLOOKUP($E$3,'Housing Generation'!$A$3:$CK$90,62,FALSE)</f>
        <v>16</v>
      </c>
      <c r="H127" s="112">
        <f>VLOOKUP($E$3,'Housing Generation'!$A$3:$CK$90,63,FALSE)</f>
        <v>16</v>
      </c>
      <c r="I127" s="112">
        <f>VLOOKUP($E$3,'Housing Generation'!$A$3:$CK$90,64,FALSE)</f>
        <v>15</v>
      </c>
      <c r="J127" s="111">
        <f t="shared" si="21"/>
        <v>95</v>
      </c>
    </row>
    <row r="128" spans="2:10" ht="15" customHeight="1">
      <c r="B128" s="114">
        <v>2026</v>
      </c>
      <c r="C128" s="240" t="s">
        <v>97</v>
      </c>
      <c r="D128" s="112">
        <f>VLOOKUP($E$3,'Housing Generation'!$A$3:$CK$90,67,FALSE)</f>
        <v>19</v>
      </c>
      <c r="E128" s="112">
        <f>VLOOKUP($E$3,'Housing Generation'!$A$3:$CK$90,68,FALSE)</f>
        <v>19</v>
      </c>
      <c r="F128" s="112">
        <f>VLOOKUP($E$3,'Housing Generation'!$A$3:$CK$90,69,FALSE)</f>
        <v>19</v>
      </c>
      <c r="G128" s="112">
        <f>VLOOKUP($E$3,'Housing Generation'!$A$3:$CK$90,70,FALSE)</f>
        <v>19</v>
      </c>
      <c r="H128" s="112">
        <f>VLOOKUP($E$3,'Housing Generation'!$A$3:$CK$90,71,FALSE)</f>
        <v>19</v>
      </c>
      <c r="I128" s="112">
        <f>VLOOKUP($E$3,'Housing Generation'!$A$3:$CK$90,72,FALSE)</f>
        <v>19</v>
      </c>
      <c r="J128" s="111">
        <f t="shared" si="21"/>
        <v>114</v>
      </c>
    </row>
    <row r="129" spans="2:10" ht="15" customHeight="1">
      <c r="B129" s="114">
        <v>2027</v>
      </c>
      <c r="C129" s="240" t="s">
        <v>97</v>
      </c>
      <c r="D129" s="112">
        <f>VLOOKUP($E$3,'Housing Generation'!$A$3:$CK$90,75,FALSE)</f>
        <v>22</v>
      </c>
      <c r="E129" s="112">
        <f>VLOOKUP($E$3,'Housing Generation'!$A$3:$CK$90,76,FALSE)</f>
        <v>22</v>
      </c>
      <c r="F129" s="112">
        <f>VLOOKUP($E$3,'Housing Generation'!$A$3:$CK$90,77,FALSE)</f>
        <v>22</v>
      </c>
      <c r="G129" s="112">
        <f>VLOOKUP($E$3,'Housing Generation'!$A$3:$CK$90,78,FALSE)</f>
        <v>22</v>
      </c>
      <c r="H129" s="112">
        <f>VLOOKUP($E$3,'Housing Generation'!$A$3:$CK$90,79,FALSE)</f>
        <v>22</v>
      </c>
      <c r="I129" s="112">
        <f>VLOOKUP($E$3,'Housing Generation'!$A$3:$CK$90,80,FALSE)</f>
        <v>21</v>
      </c>
      <c r="J129" s="111">
        <f t="shared" si="21"/>
        <v>131</v>
      </c>
    </row>
    <row r="130" spans="2:10" ht="15" customHeight="1">
      <c r="B130" s="114">
        <v>2028</v>
      </c>
      <c r="C130" s="289" t="s">
        <v>97</v>
      </c>
      <c r="D130" s="112">
        <f>VLOOKUP($E$3,'Housing Generation'!$A$3:$CK$90,83,FALSE)</f>
        <v>22</v>
      </c>
      <c r="E130" s="112">
        <f>VLOOKUP($E$3,'Housing Generation'!$A$3:$CK$90,84,FALSE)</f>
        <v>22</v>
      </c>
      <c r="F130" s="112">
        <f>VLOOKUP($E$3,'Housing Generation'!$A$3:$CK$90,85,FALSE)</f>
        <v>22</v>
      </c>
      <c r="G130" s="112">
        <f>VLOOKUP($E$3,'Housing Generation'!$A$3:$CK$90,86,FALSE)</f>
        <v>22</v>
      </c>
      <c r="H130" s="112">
        <f>VLOOKUP($E$3,'Housing Generation'!$A$3:$CK$90,87,FALSE)</f>
        <v>22</v>
      </c>
      <c r="I130" s="112">
        <f>VLOOKUP($E$3,'Housing Generation'!$A$3:$CK$90,88,FALSE)</f>
        <v>21</v>
      </c>
      <c r="J130" s="111">
        <f t="shared" si="21"/>
        <v>131</v>
      </c>
    </row>
    <row r="131" spans="2:10" ht="15" customHeight="1">
      <c r="B131" s="114">
        <v>2029</v>
      </c>
      <c r="C131" s="289" t="s">
        <v>97</v>
      </c>
      <c r="D131" s="112">
        <f>VLOOKUP($E$3,'Housing Generation'!$A$3:$DQ$90,91,FALSE)</f>
        <v>22</v>
      </c>
      <c r="E131" s="112">
        <f>VLOOKUP($E$3,'Housing Generation'!$A$3:$DQ$90,92,FALSE)</f>
        <v>22</v>
      </c>
      <c r="F131" s="112">
        <f>VLOOKUP($E$3,'Housing Generation'!$A$3:$DQ$90,93,FALSE)</f>
        <v>22</v>
      </c>
      <c r="G131" s="112">
        <f>VLOOKUP($E$3,'Housing Generation'!$A$3:$DQ$90,94,FALSE)</f>
        <v>22</v>
      </c>
      <c r="H131" s="112">
        <f>VLOOKUP($E$3,'Housing Generation'!$A$3:$DQ$90,95,FALSE)</f>
        <v>22</v>
      </c>
      <c r="I131" s="112">
        <f>VLOOKUP($E$3,'Housing Generation'!$A$3:$DQ$90,96,FALSE)</f>
        <v>21</v>
      </c>
      <c r="J131" s="111">
        <f t="shared" si="21"/>
        <v>131</v>
      </c>
    </row>
    <row r="132" spans="2:10" ht="15" customHeight="1">
      <c r="B132" s="114">
        <v>2030</v>
      </c>
      <c r="C132" s="289" t="s">
        <v>97</v>
      </c>
      <c r="D132" s="112">
        <f>VLOOKUP($E$3,'Housing Generation'!$A$3:$DQ$90,99,FALSE)</f>
        <v>22</v>
      </c>
      <c r="E132" s="112">
        <f>VLOOKUP($E$3,'Housing Generation'!$A$3:$DQ$90,100,FALSE)</f>
        <v>22</v>
      </c>
      <c r="F132" s="112">
        <f>VLOOKUP($E$3,'Housing Generation'!$A$3:$DQ$90,101,FALSE)</f>
        <v>22</v>
      </c>
      <c r="G132" s="112">
        <f>VLOOKUP($E$3,'Housing Generation'!$A$3:$DQ$90,102,FALSE)</f>
        <v>22</v>
      </c>
      <c r="H132" s="112">
        <f>VLOOKUP($E$3,'Housing Generation'!$A$3:$DQ$90,103,FALSE)</f>
        <v>22</v>
      </c>
      <c r="I132" s="112">
        <f>VLOOKUP($E$3,'Housing Generation'!$A$3:$DQ$90,104,FALSE)</f>
        <v>21</v>
      </c>
      <c r="J132" s="111">
        <f t="shared" si="21"/>
        <v>131</v>
      </c>
    </row>
    <row r="133" spans="2:10" ht="15" customHeight="1">
      <c r="B133" s="114">
        <v>2031</v>
      </c>
      <c r="C133" s="289" t="s">
        <v>97</v>
      </c>
      <c r="D133" s="112">
        <f>VLOOKUP($E$3,'Housing Generation'!$A$3:$DQ$90,107,FALSE)</f>
        <v>22</v>
      </c>
      <c r="E133" s="112">
        <f>VLOOKUP($E$3,'Housing Generation'!$A$3:$DQ$90,108,FALSE)</f>
        <v>22</v>
      </c>
      <c r="F133" s="112">
        <f>VLOOKUP($E$3,'Housing Generation'!$A$3:$DQ$90,109,FALSE)</f>
        <v>22</v>
      </c>
      <c r="G133" s="112">
        <f>VLOOKUP($E$3,'Housing Generation'!$A$3:$DQ$90,110,FALSE)</f>
        <v>22</v>
      </c>
      <c r="H133" s="112">
        <f>VLOOKUP($E$3,'Housing Generation'!$A$3:$DQ$90,111,FALSE)</f>
        <v>22</v>
      </c>
      <c r="I133" s="112">
        <f>VLOOKUP($E$3,'Housing Generation'!$A$3:$DQ$90,112,FALSE)</f>
        <v>21</v>
      </c>
      <c r="J133" s="111">
        <f t="shared" si="21"/>
        <v>131</v>
      </c>
    </row>
    <row r="134" spans="2:10" ht="15" customHeight="1">
      <c r="B134" s="114">
        <v>2032</v>
      </c>
      <c r="C134" s="289" t="s">
        <v>97</v>
      </c>
      <c r="D134" s="112">
        <f>VLOOKUP($E$3,'Housing Generation'!$A$3:$DQ$90,115,FALSE)</f>
        <v>22</v>
      </c>
      <c r="E134" s="112">
        <f>VLOOKUP($E$3,'Housing Generation'!$A$3:$DQ$90,116,FALSE)</f>
        <v>22</v>
      </c>
      <c r="F134" s="112">
        <f>VLOOKUP($E$3,'Housing Generation'!$A$3:$DQ$90,117,FALSE)</f>
        <v>22</v>
      </c>
      <c r="G134" s="112">
        <f>VLOOKUP($E$3,'Housing Generation'!$A$3:$DQ$90,118,FALSE)</f>
        <v>22</v>
      </c>
      <c r="H134" s="112">
        <f>VLOOKUP($E$3,'Housing Generation'!$A$3:$DQ$90,119,FALSE)</f>
        <v>22</v>
      </c>
      <c r="I134" s="112">
        <f>VLOOKUP($E$3,'Housing Generation'!$A$3:$DQ$90,120,FALSE)</f>
        <v>21</v>
      </c>
      <c r="J134" s="111">
        <f t="shared" si="21"/>
        <v>131</v>
      </c>
    </row>
    <row r="135" spans="2:10" ht="15"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Craigour Park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72</v>
      </c>
      <c r="D139" s="112">
        <f t="shared" ref="D139:I152" si="23">D121+D103</f>
        <v>58</v>
      </c>
      <c r="E139" s="112">
        <f t="shared" si="23"/>
        <v>77</v>
      </c>
      <c r="F139" s="112">
        <f t="shared" si="23"/>
        <v>59</v>
      </c>
      <c r="G139" s="112">
        <f t="shared" si="23"/>
        <v>63</v>
      </c>
      <c r="H139" s="112">
        <f t="shared" si="23"/>
        <v>64</v>
      </c>
      <c r="I139" s="112">
        <f t="shared" si="23"/>
        <v>84</v>
      </c>
      <c r="J139" s="111">
        <f t="shared" ref="J139:J147" si="24">SUM(C139:I139)</f>
        <v>477</v>
      </c>
    </row>
    <row r="140" spans="2:10" ht="15" customHeight="1">
      <c r="B140" s="114">
        <v>2020</v>
      </c>
      <c r="C140" s="113">
        <f t="shared" si="22"/>
        <v>66</v>
      </c>
      <c r="D140" s="112">
        <f t="shared" si="23"/>
        <v>69</v>
      </c>
      <c r="E140" s="112">
        <f t="shared" si="23"/>
        <v>57</v>
      </c>
      <c r="F140" s="112">
        <f t="shared" si="23"/>
        <v>76</v>
      </c>
      <c r="G140" s="112">
        <f t="shared" si="23"/>
        <v>58</v>
      </c>
      <c r="H140" s="112">
        <f t="shared" si="23"/>
        <v>66</v>
      </c>
      <c r="I140" s="112">
        <f t="shared" si="23"/>
        <v>62</v>
      </c>
      <c r="J140" s="111">
        <f t="shared" si="24"/>
        <v>454</v>
      </c>
    </row>
    <row r="141" spans="2:10" ht="15" customHeight="1">
      <c r="B141" s="114">
        <v>2021</v>
      </c>
      <c r="C141" s="113">
        <f t="shared" si="22"/>
        <v>72</v>
      </c>
      <c r="D141" s="112">
        <f t="shared" si="23"/>
        <v>63</v>
      </c>
      <c r="E141" s="112">
        <f t="shared" si="23"/>
        <v>70</v>
      </c>
      <c r="F141" s="112">
        <f t="shared" si="23"/>
        <v>59</v>
      </c>
      <c r="G141" s="112">
        <f t="shared" si="23"/>
        <v>77</v>
      </c>
      <c r="H141" s="112">
        <f t="shared" si="23"/>
        <v>63</v>
      </c>
      <c r="I141" s="112">
        <f t="shared" si="23"/>
        <v>66</v>
      </c>
      <c r="J141" s="111">
        <f t="shared" si="24"/>
        <v>470</v>
      </c>
    </row>
    <row r="142" spans="2:10" ht="15" customHeight="1">
      <c r="B142" s="114">
        <v>2022</v>
      </c>
      <c r="C142" s="113">
        <f t="shared" si="22"/>
        <v>60</v>
      </c>
      <c r="D142" s="112">
        <f t="shared" si="23"/>
        <v>69</v>
      </c>
      <c r="E142" s="112">
        <f t="shared" si="23"/>
        <v>65</v>
      </c>
      <c r="F142" s="112">
        <f t="shared" si="23"/>
        <v>72</v>
      </c>
      <c r="G142" s="112">
        <f t="shared" si="23"/>
        <v>60</v>
      </c>
      <c r="H142" s="112">
        <f t="shared" si="23"/>
        <v>82</v>
      </c>
      <c r="I142" s="112">
        <f t="shared" si="23"/>
        <v>64</v>
      </c>
      <c r="J142" s="111">
        <f t="shared" si="24"/>
        <v>472</v>
      </c>
    </row>
    <row r="143" spans="2:10" ht="15" customHeight="1">
      <c r="B143" s="114">
        <v>2023</v>
      </c>
      <c r="C143" s="113">
        <f t="shared" si="22"/>
        <v>72</v>
      </c>
      <c r="D143" s="112">
        <f t="shared" si="23"/>
        <v>57</v>
      </c>
      <c r="E143" s="112">
        <f t="shared" si="23"/>
        <v>69</v>
      </c>
      <c r="F143" s="112">
        <f t="shared" si="23"/>
        <v>66</v>
      </c>
      <c r="G143" s="112">
        <f t="shared" si="23"/>
        <v>73</v>
      </c>
      <c r="H143" s="112">
        <f t="shared" si="23"/>
        <v>64</v>
      </c>
      <c r="I143" s="112">
        <f t="shared" si="23"/>
        <v>82</v>
      </c>
      <c r="J143" s="111">
        <f t="shared" si="24"/>
        <v>483</v>
      </c>
    </row>
    <row r="144" spans="2:10" ht="15" customHeight="1">
      <c r="B144" s="114">
        <v>2024</v>
      </c>
      <c r="C144" s="113">
        <f t="shared" si="22"/>
        <v>75</v>
      </c>
      <c r="D144" s="112">
        <f t="shared" si="23"/>
        <v>69</v>
      </c>
      <c r="E144" s="112">
        <f t="shared" si="23"/>
        <v>58</v>
      </c>
      <c r="F144" s="112">
        <f t="shared" si="23"/>
        <v>71</v>
      </c>
      <c r="G144" s="112">
        <f t="shared" si="23"/>
        <v>66</v>
      </c>
      <c r="H144" s="112">
        <f t="shared" si="23"/>
        <v>77</v>
      </c>
      <c r="I144" s="112">
        <f t="shared" si="23"/>
        <v>65</v>
      </c>
      <c r="J144" s="111">
        <f t="shared" si="24"/>
        <v>481</v>
      </c>
    </row>
    <row r="145" spans="2:16" ht="15" customHeight="1">
      <c r="B145" s="114">
        <v>2025</v>
      </c>
      <c r="C145" s="113">
        <f t="shared" si="22"/>
        <v>80.622891038467458</v>
      </c>
      <c r="D145" s="112">
        <f t="shared" si="23"/>
        <v>72</v>
      </c>
      <c r="E145" s="112">
        <f t="shared" si="23"/>
        <v>70</v>
      </c>
      <c r="F145" s="112">
        <f t="shared" si="23"/>
        <v>60</v>
      </c>
      <c r="G145" s="112">
        <f t="shared" si="23"/>
        <v>72</v>
      </c>
      <c r="H145" s="112">
        <f t="shared" si="23"/>
        <v>72</v>
      </c>
      <c r="I145" s="112">
        <f t="shared" si="23"/>
        <v>78</v>
      </c>
      <c r="J145" s="111">
        <f t="shared" si="24"/>
        <v>504.62289103846746</v>
      </c>
    </row>
    <row r="146" spans="2:16" ht="15" customHeight="1">
      <c r="B146" s="114">
        <v>2026</v>
      </c>
      <c r="C146" s="113">
        <f t="shared" si="22"/>
        <v>83.983908417954908</v>
      </c>
      <c r="D146" s="112">
        <f t="shared" si="23"/>
        <v>76</v>
      </c>
      <c r="E146" s="112">
        <f t="shared" si="23"/>
        <v>73</v>
      </c>
      <c r="F146" s="112">
        <f t="shared" si="23"/>
        <v>72</v>
      </c>
      <c r="G146" s="112">
        <f t="shared" si="23"/>
        <v>62</v>
      </c>
      <c r="H146" s="112">
        <f t="shared" si="23"/>
        <v>77</v>
      </c>
      <c r="I146" s="112">
        <f t="shared" si="23"/>
        <v>73</v>
      </c>
      <c r="J146" s="111">
        <f t="shared" si="24"/>
        <v>516.98390841795492</v>
      </c>
    </row>
    <row r="147" spans="2:16" ht="15" customHeight="1">
      <c r="B147" s="114">
        <v>2027</v>
      </c>
      <c r="C147" s="113">
        <f t="shared" si="22"/>
        <v>85.664417107698625</v>
      </c>
      <c r="D147" s="112">
        <f t="shared" si="23"/>
        <v>80</v>
      </c>
      <c r="E147" s="112">
        <f t="shared" si="23"/>
        <v>77</v>
      </c>
      <c r="F147" s="112">
        <f t="shared" si="23"/>
        <v>75</v>
      </c>
      <c r="G147" s="112">
        <f t="shared" si="23"/>
        <v>73</v>
      </c>
      <c r="H147" s="112">
        <f t="shared" si="23"/>
        <v>66</v>
      </c>
      <c r="I147" s="112">
        <f t="shared" si="23"/>
        <v>77</v>
      </c>
      <c r="J147" s="111">
        <f t="shared" si="24"/>
        <v>533.66441710769868</v>
      </c>
    </row>
    <row r="148" spans="2:16" ht="15" customHeight="1">
      <c r="B148" s="114">
        <v>2028</v>
      </c>
      <c r="C148" s="113">
        <f t="shared" si="22"/>
        <v>86.504671452570491</v>
      </c>
      <c r="D148" s="112">
        <f t="shared" si="23"/>
        <v>82</v>
      </c>
      <c r="E148" s="112">
        <f t="shared" si="23"/>
        <v>78</v>
      </c>
      <c r="F148" s="112">
        <f t="shared" si="23"/>
        <v>76</v>
      </c>
      <c r="G148" s="112">
        <f t="shared" si="23"/>
        <v>73</v>
      </c>
      <c r="H148" s="112">
        <f t="shared" si="23"/>
        <v>75</v>
      </c>
      <c r="I148" s="112">
        <f t="shared" si="23"/>
        <v>64</v>
      </c>
      <c r="J148" s="111">
        <f t="shared" ref="J148:J152" si="25">SUM(C148:I148)</f>
        <v>534.50467145257051</v>
      </c>
    </row>
    <row r="149" spans="2:16" ht="15" customHeight="1">
      <c r="B149" s="114">
        <v>2029</v>
      </c>
      <c r="C149" s="113">
        <f t="shared" si="22"/>
        <v>86.504671452570491</v>
      </c>
      <c r="D149" s="112">
        <f t="shared" si="23"/>
        <v>83</v>
      </c>
      <c r="E149" s="112">
        <f t="shared" si="23"/>
        <v>80</v>
      </c>
      <c r="F149" s="112">
        <f t="shared" si="23"/>
        <v>77</v>
      </c>
      <c r="G149" s="112">
        <f t="shared" si="23"/>
        <v>74</v>
      </c>
      <c r="H149" s="112">
        <f t="shared" si="23"/>
        <v>75</v>
      </c>
      <c r="I149" s="112">
        <f t="shared" si="23"/>
        <v>72</v>
      </c>
      <c r="J149" s="111">
        <f t="shared" si="25"/>
        <v>547.50467145257051</v>
      </c>
    </row>
    <row r="150" spans="2:16" ht="15" customHeight="1">
      <c r="B150" s="114">
        <v>2030</v>
      </c>
      <c r="C150" s="113">
        <f t="shared" si="22"/>
        <v>86.504671452570491</v>
      </c>
      <c r="D150" s="112">
        <f t="shared" si="23"/>
        <v>83</v>
      </c>
      <c r="E150" s="112">
        <f t="shared" si="23"/>
        <v>81</v>
      </c>
      <c r="F150" s="112">
        <f t="shared" si="23"/>
        <v>79</v>
      </c>
      <c r="G150" s="112">
        <f t="shared" si="23"/>
        <v>75</v>
      </c>
      <c r="H150" s="112">
        <f t="shared" si="23"/>
        <v>76</v>
      </c>
      <c r="I150" s="112">
        <f t="shared" si="23"/>
        <v>72</v>
      </c>
      <c r="J150" s="111">
        <f t="shared" si="25"/>
        <v>552.50467145257051</v>
      </c>
    </row>
    <row r="151" spans="2:16" ht="15" customHeight="1">
      <c r="B151" s="114">
        <v>2031</v>
      </c>
      <c r="C151" s="113">
        <f t="shared" si="22"/>
        <v>86.504671452570491</v>
      </c>
      <c r="D151" s="112">
        <f t="shared" si="23"/>
        <v>83</v>
      </c>
      <c r="E151" s="112">
        <f t="shared" si="23"/>
        <v>81</v>
      </c>
      <c r="F151" s="112">
        <f t="shared" si="23"/>
        <v>80</v>
      </c>
      <c r="G151" s="112">
        <f t="shared" si="23"/>
        <v>77</v>
      </c>
      <c r="H151" s="112">
        <f t="shared" si="23"/>
        <v>77</v>
      </c>
      <c r="I151" s="112">
        <f t="shared" si="23"/>
        <v>73</v>
      </c>
      <c r="J151" s="111">
        <f t="shared" si="25"/>
        <v>557.50467145257051</v>
      </c>
    </row>
    <row r="152" spans="2:16" ht="15" customHeight="1">
      <c r="B152" s="114">
        <v>2032</v>
      </c>
      <c r="C152" s="113">
        <f t="shared" si="22"/>
        <v>86.504671452570491</v>
      </c>
      <c r="D152" s="112">
        <f t="shared" si="23"/>
        <v>83</v>
      </c>
      <c r="E152" s="112">
        <f t="shared" si="23"/>
        <v>81</v>
      </c>
      <c r="F152" s="112">
        <f t="shared" si="23"/>
        <v>80</v>
      </c>
      <c r="G152" s="112">
        <f t="shared" si="23"/>
        <v>78</v>
      </c>
      <c r="H152" s="112">
        <f t="shared" si="23"/>
        <v>79</v>
      </c>
      <c r="I152" s="112">
        <f t="shared" si="23"/>
        <v>74</v>
      </c>
      <c r="J152" s="111">
        <f t="shared" si="25"/>
        <v>561.50467145257051</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477</v>
      </c>
      <c r="D159" s="108">
        <f>J140</f>
        <v>454</v>
      </c>
      <c r="E159" s="108">
        <f>J141</f>
        <v>470</v>
      </c>
      <c r="F159" s="108">
        <f>J142</f>
        <v>472</v>
      </c>
      <c r="G159" s="108">
        <f>J143</f>
        <v>483</v>
      </c>
      <c r="H159" s="108">
        <f>J144</f>
        <v>481</v>
      </c>
      <c r="I159" s="108">
        <f>J145</f>
        <v>504.62289103846746</v>
      </c>
      <c r="J159" s="108">
        <f>J146</f>
        <v>516.98390841795492</v>
      </c>
      <c r="K159" s="108">
        <f>J147</f>
        <v>533.66441710769868</v>
      </c>
      <c r="L159" s="108">
        <f>J148</f>
        <v>534.50467145257051</v>
      </c>
      <c r="M159" s="108">
        <f>J149</f>
        <v>547.50467145257051</v>
      </c>
      <c r="N159" s="108">
        <f>J150</f>
        <v>552.50467145257051</v>
      </c>
      <c r="O159" s="108">
        <f>J151</f>
        <v>557.50467145257051</v>
      </c>
      <c r="P159" s="108">
        <f>J152</f>
        <v>561.50467145257051</v>
      </c>
    </row>
    <row r="160" spans="2:16" ht="15" customHeight="1">
      <c r="B160" s="107" t="s">
        <v>152</v>
      </c>
      <c r="C160" s="106">
        <f>VLOOKUP(C159,Capacity!$A$1:$C$645,2,TRUE)</f>
        <v>18</v>
      </c>
      <c r="D160" s="106">
        <f>VLOOKUP(D159,Capacity!$A$1:$C$645,2,TRUE)</f>
        <v>16</v>
      </c>
      <c r="E160" s="106">
        <f>VLOOKUP(E159,Capacity!$A$1:$C$645,2,TRUE)</f>
        <v>17</v>
      </c>
      <c r="F160" s="106">
        <f>VLOOKUP(F159,Capacity!$A$1:$C$645,2,TRUE)</f>
        <v>17</v>
      </c>
      <c r="G160" s="106">
        <f>VLOOKUP(G159,Capacity!$A$1:$C$645,2,TRUE)</f>
        <v>18</v>
      </c>
      <c r="H160" s="106">
        <f>VLOOKUP(H159,Capacity!$A$1:$C$645,2,TRUE)</f>
        <v>18</v>
      </c>
      <c r="I160" s="106">
        <f>VLOOKUP(I159,Capacity!$A$1:$C$645,2,TRUE)</f>
        <v>18</v>
      </c>
      <c r="J160" s="106">
        <f>VLOOKUP(J159,Capacity!$A$1:$C$645,2,TRUE)</f>
        <v>19</v>
      </c>
      <c r="K160" s="106">
        <f>VLOOKUP(K159,Capacity!$A$1:$C$645,2,TRUE)</f>
        <v>19</v>
      </c>
      <c r="L160" s="106">
        <f>VLOOKUP(L159,Capacity!$A$1:$C$645,2,TRUE)</f>
        <v>19</v>
      </c>
      <c r="M160" s="106">
        <f>VLOOKUP(M159,Capacity!$A$1:$C$645,2,TRUE)</f>
        <v>20</v>
      </c>
      <c r="N160" s="106">
        <f>VLOOKUP(N159,Capacity!$A$1:$C$645,2,TRUE)</f>
        <v>20</v>
      </c>
      <c r="O160" s="106">
        <f>VLOOKUP(O159,Capacity!$A$1:$C$645,2,TRUE)</f>
        <v>20</v>
      </c>
      <c r="P160" s="106">
        <f>VLOOKUP(P159,Capacity!$A$1:$C$645,2,TRUE)</f>
        <v>21</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97</v>
      </c>
      <c r="D169" s="97">
        <f>VLOOKUP($E$3,'Catchment Births'!$A$1:$U$90,11,FALSE)</f>
        <v>111</v>
      </c>
      <c r="E169" s="97">
        <f>VLOOKUP($E$3,'Catchment Births'!$A$1:$U$90,12,FALSE)</f>
        <v>108</v>
      </c>
      <c r="F169" s="97">
        <f>VLOOKUP($E$3,'Catchment Births'!$A$1:$U$90,13,FALSE)</f>
        <v>84</v>
      </c>
      <c r="G169" s="97">
        <f>VLOOKUP($E$3,'Catchment Births'!$A$1:$U$90,14,FALSE)</f>
        <v>112</v>
      </c>
      <c r="H169" s="97">
        <f>VLOOKUP($E$3,'Catchment Births'!$A$1:$U$90,15,FALSE)</f>
        <v>101</v>
      </c>
      <c r="I169" s="97">
        <f>VLOOKUP($E$3,'Catchment Births'!$A$1:$U$90,16,FALSE)</f>
        <v>109</v>
      </c>
      <c r="J169" s="97">
        <f>VLOOKUP($E$3,'Catchment Births'!$A$1:$U$90,17,FALSE)</f>
        <v>91</v>
      </c>
      <c r="K169" s="97">
        <f>VLOOKUP($E$3,'Catchment Births'!$A$1:$U$90,18,FALSE)</f>
        <v>125</v>
      </c>
      <c r="L169" s="97">
        <f>VLOOKUP($E$3,'Catchment Births'!$A$1:$U$90,19,FALSE)</f>
        <v>91</v>
      </c>
      <c r="M169" s="97">
        <f>VLOOKUP($E$3,'Catchment Births'!$A$1:$U$90,20,FALSE)</f>
        <v>106</v>
      </c>
      <c r="N169" s="97">
        <f>VLOOKUP($E$3,'Catchment Births'!$A$1:$U$90,21,FALSE)</f>
        <v>96</v>
      </c>
    </row>
    <row r="170" spans="2:14" ht="58.5" customHeight="1">
      <c r="B170" s="103" t="str">
        <f>"P1 "&amp;A35&amp;" Catchment Population (Actual)"</f>
        <v>P1 ND Catchment Population (Actual)</v>
      </c>
      <c r="C170" s="102" t="e">
        <v>#REF!</v>
      </c>
      <c r="D170" s="102">
        <v>67</v>
      </c>
      <c r="E170" s="102">
        <v>70</v>
      </c>
      <c r="F170" s="102">
        <v>68</v>
      </c>
      <c r="G170" s="102">
        <v>89</v>
      </c>
      <c r="H170" s="102">
        <v>75</v>
      </c>
      <c r="I170" s="102">
        <v>73</v>
      </c>
      <c r="J170" s="308">
        <f>VLOOKUP(E3,'Catchment Projections'!A1:BU92,42,FALSE)</f>
        <v>73</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73</v>
      </c>
      <c r="J172" s="96" t="e">
        <f>#REF!</f>
        <v>#REF!</v>
      </c>
      <c r="K172" s="96">
        <f>D51</f>
        <v>82</v>
      </c>
      <c r="L172" s="96">
        <f>E51</f>
        <v>75</v>
      </c>
      <c r="M172" s="96">
        <f>F51</f>
        <v>80</v>
      </c>
      <c r="N172" s="96">
        <f>G51</f>
        <v>70</v>
      </c>
    </row>
    <row r="173" spans="2:14" ht="12.75">
      <c r="B173" s="62"/>
      <c r="C173" s="62"/>
      <c r="D173" s="62"/>
      <c r="E173" s="62"/>
      <c r="F173" s="62"/>
      <c r="G173" s="62"/>
      <c r="H173" s="62"/>
      <c r="I173" s="62"/>
      <c r="J173" s="62"/>
      <c r="K173" s="62"/>
    </row>
    <row r="174" spans="2:14" ht="15" customHeight="1">
      <c r="B174" s="64" t="str">
        <f>"Table 5: "&amp;E3&amp;" Roll by Stage, 2002-2018"</f>
        <v>Table 5: Craigour Park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0</v>
      </c>
      <c r="D177" s="93">
        <v>0</v>
      </c>
      <c r="E177" s="93">
        <v>0</v>
      </c>
      <c r="F177" s="93">
        <v>0</v>
      </c>
      <c r="G177" s="93">
        <v>0</v>
      </c>
      <c r="H177" s="93">
        <v>0</v>
      </c>
      <c r="I177" s="93">
        <v>0</v>
      </c>
      <c r="J177" s="92">
        <v>0</v>
      </c>
      <c r="K177" s="62"/>
    </row>
    <row r="178" spans="2:11" ht="15" customHeight="1">
      <c r="B178" s="94">
        <v>2003</v>
      </c>
      <c r="C178" s="93">
        <v>49</v>
      </c>
      <c r="D178" s="93">
        <v>57</v>
      </c>
      <c r="E178" s="93">
        <v>35</v>
      </c>
      <c r="F178" s="93">
        <v>33</v>
      </c>
      <c r="G178" s="93">
        <v>42</v>
      </c>
      <c r="H178" s="93">
        <v>44</v>
      </c>
      <c r="I178" s="93">
        <v>50</v>
      </c>
      <c r="J178" s="92">
        <v>310</v>
      </c>
      <c r="K178" s="62"/>
    </row>
    <row r="179" spans="2:11" customFormat="1" ht="15" customHeight="1">
      <c r="B179" s="94">
        <v>2004</v>
      </c>
      <c r="C179" s="95">
        <v>60</v>
      </c>
      <c r="D179" s="95">
        <v>53</v>
      </c>
      <c r="E179" s="95">
        <v>58</v>
      </c>
      <c r="F179" s="95">
        <v>32</v>
      </c>
      <c r="G179" s="95">
        <v>34</v>
      </c>
      <c r="H179" s="95">
        <v>45</v>
      </c>
      <c r="I179" s="95">
        <v>44</v>
      </c>
      <c r="J179" s="92">
        <v>326</v>
      </c>
      <c r="K179" s="62"/>
    </row>
    <row r="180" spans="2:11" customFormat="1" ht="15" customHeight="1">
      <c r="B180" s="94">
        <v>2005</v>
      </c>
      <c r="C180" s="93">
        <v>43</v>
      </c>
      <c r="D180" s="93">
        <v>60</v>
      </c>
      <c r="E180" s="93">
        <v>58</v>
      </c>
      <c r="F180" s="93">
        <v>62</v>
      </c>
      <c r="G180" s="93">
        <v>39</v>
      </c>
      <c r="H180" s="93">
        <v>39</v>
      </c>
      <c r="I180" s="93">
        <v>48</v>
      </c>
      <c r="J180" s="92">
        <v>349</v>
      </c>
      <c r="K180" s="62"/>
    </row>
    <row r="181" spans="2:11" customFormat="1" ht="15" customHeight="1">
      <c r="B181" s="94">
        <v>2006</v>
      </c>
      <c r="C181" s="93">
        <v>53</v>
      </c>
      <c r="D181" s="93">
        <v>44</v>
      </c>
      <c r="E181" s="93">
        <v>59</v>
      </c>
      <c r="F181" s="93">
        <v>53</v>
      </c>
      <c r="G181" s="93">
        <v>60</v>
      </c>
      <c r="H181" s="93">
        <v>42</v>
      </c>
      <c r="I181" s="93">
        <v>39</v>
      </c>
      <c r="J181" s="92">
        <v>350</v>
      </c>
      <c r="K181" s="62"/>
    </row>
    <row r="182" spans="2:11" customFormat="1" ht="15" customHeight="1">
      <c r="B182" s="94">
        <v>2007</v>
      </c>
      <c r="C182" s="93">
        <v>44</v>
      </c>
      <c r="D182" s="93">
        <v>54</v>
      </c>
      <c r="E182" s="93">
        <v>46</v>
      </c>
      <c r="F182" s="93">
        <v>58</v>
      </c>
      <c r="G182" s="93">
        <v>53</v>
      </c>
      <c r="H182" s="93">
        <v>57</v>
      </c>
      <c r="I182" s="93">
        <v>47</v>
      </c>
      <c r="J182" s="92">
        <v>359</v>
      </c>
      <c r="K182" s="62"/>
    </row>
    <row r="183" spans="2:11" customFormat="1" ht="15" customHeight="1">
      <c r="B183" s="94">
        <v>2008</v>
      </c>
      <c r="C183" s="93">
        <v>49</v>
      </c>
      <c r="D183" s="93">
        <v>43</v>
      </c>
      <c r="E183" s="93">
        <v>54</v>
      </c>
      <c r="F183" s="93">
        <v>40</v>
      </c>
      <c r="G183" s="93">
        <v>58</v>
      </c>
      <c r="H183" s="93">
        <v>55</v>
      </c>
      <c r="I183" s="93">
        <v>53</v>
      </c>
      <c r="J183" s="92">
        <v>352</v>
      </c>
      <c r="K183" s="62"/>
    </row>
    <row r="184" spans="2:11" customFormat="1" ht="15" customHeight="1">
      <c r="B184" s="94">
        <v>2009</v>
      </c>
      <c r="C184" s="93">
        <v>43</v>
      </c>
      <c r="D184" s="93">
        <v>44</v>
      </c>
      <c r="E184" s="93">
        <v>43</v>
      </c>
      <c r="F184" s="93">
        <v>47</v>
      </c>
      <c r="G184" s="93">
        <v>39</v>
      </c>
      <c r="H184" s="93">
        <v>54</v>
      </c>
      <c r="I184" s="93">
        <v>52</v>
      </c>
      <c r="J184" s="94">
        <v>322</v>
      </c>
      <c r="K184" s="62"/>
    </row>
    <row r="185" spans="2:11" customFormat="1" ht="15" customHeight="1">
      <c r="B185" s="94">
        <v>2010</v>
      </c>
      <c r="C185" s="93">
        <v>56</v>
      </c>
      <c r="D185" s="93">
        <v>43</v>
      </c>
      <c r="E185" s="93">
        <v>45</v>
      </c>
      <c r="F185" s="93">
        <v>37</v>
      </c>
      <c r="G185" s="93">
        <v>50</v>
      </c>
      <c r="H185" s="93">
        <v>38</v>
      </c>
      <c r="I185" s="93">
        <v>54</v>
      </c>
      <c r="J185" s="92">
        <v>323</v>
      </c>
      <c r="K185" s="62"/>
    </row>
    <row r="186" spans="2:11" customFormat="1" ht="15" customHeight="1">
      <c r="B186" s="94">
        <v>2011</v>
      </c>
      <c r="C186" s="93">
        <v>67</v>
      </c>
      <c r="D186" s="93">
        <v>54</v>
      </c>
      <c r="E186" s="93">
        <v>46</v>
      </c>
      <c r="F186" s="93">
        <v>45</v>
      </c>
      <c r="G186" s="93">
        <v>34</v>
      </c>
      <c r="H186" s="93">
        <v>50</v>
      </c>
      <c r="I186" s="93">
        <v>33</v>
      </c>
      <c r="J186" s="92">
        <v>329</v>
      </c>
      <c r="K186" s="62"/>
    </row>
    <row r="187" spans="2:11" customFormat="1" ht="15" customHeight="1">
      <c r="B187" s="94">
        <v>2012</v>
      </c>
      <c r="C187" s="93">
        <v>60</v>
      </c>
      <c r="D187" s="93">
        <v>74</v>
      </c>
      <c r="E187" s="93">
        <v>60</v>
      </c>
      <c r="F187" s="93">
        <v>42</v>
      </c>
      <c r="G187" s="93">
        <v>42</v>
      </c>
      <c r="H187" s="93">
        <v>34</v>
      </c>
      <c r="I187" s="93">
        <v>48</v>
      </c>
      <c r="J187" s="92">
        <v>360</v>
      </c>
      <c r="K187" s="62"/>
    </row>
    <row r="188" spans="2:11" customFormat="1" ht="15" customHeight="1">
      <c r="B188" s="94">
        <v>2013</v>
      </c>
      <c r="C188" s="93">
        <v>88</v>
      </c>
      <c r="D188" s="93">
        <v>60</v>
      </c>
      <c r="E188" s="93">
        <v>67</v>
      </c>
      <c r="F188" s="93">
        <v>56</v>
      </c>
      <c r="G188" s="93">
        <v>45</v>
      </c>
      <c r="H188" s="93">
        <v>40</v>
      </c>
      <c r="I188" s="93">
        <v>32</v>
      </c>
      <c r="J188" s="94">
        <v>388</v>
      </c>
      <c r="K188" s="62"/>
    </row>
    <row r="189" spans="2:11" customFormat="1" ht="15" customHeight="1">
      <c r="B189" s="94">
        <v>2014</v>
      </c>
      <c r="C189" s="93">
        <v>68</v>
      </c>
      <c r="D189" s="93">
        <v>86</v>
      </c>
      <c r="E189" s="93">
        <v>58</v>
      </c>
      <c r="F189" s="93">
        <v>64</v>
      </c>
      <c r="G189" s="93">
        <v>59</v>
      </c>
      <c r="H189" s="93">
        <v>42</v>
      </c>
      <c r="I189" s="93">
        <v>38</v>
      </c>
      <c r="J189" s="92">
        <v>415</v>
      </c>
      <c r="K189" s="65"/>
    </row>
    <row r="190" spans="2:11" customFormat="1" ht="15" customHeight="1">
      <c r="B190" s="94">
        <v>2015</v>
      </c>
      <c r="C190" s="93">
        <v>77</v>
      </c>
      <c r="D190" s="93">
        <v>65</v>
      </c>
      <c r="E190" s="93">
        <v>88</v>
      </c>
      <c r="F190" s="93">
        <v>65</v>
      </c>
      <c r="G190" s="93">
        <v>60</v>
      </c>
      <c r="H190" s="93">
        <v>62</v>
      </c>
      <c r="I190" s="93">
        <v>46</v>
      </c>
      <c r="J190" s="92">
        <v>463</v>
      </c>
      <c r="K190" s="65"/>
    </row>
    <row r="191" spans="2:11" customFormat="1" ht="15" customHeight="1">
      <c r="B191" s="94">
        <v>2016</v>
      </c>
      <c r="C191" s="93">
        <v>67</v>
      </c>
      <c r="D191" s="93">
        <v>71</v>
      </c>
      <c r="E191" s="93">
        <v>65</v>
      </c>
      <c r="F191" s="93">
        <v>86</v>
      </c>
      <c r="G191" s="93">
        <v>62</v>
      </c>
      <c r="H191" s="93">
        <v>61</v>
      </c>
      <c r="I191" s="93">
        <v>59</v>
      </c>
      <c r="J191" s="92">
        <v>471</v>
      </c>
      <c r="K191" s="65"/>
    </row>
    <row r="192" spans="2:11" ht="15" customHeight="1">
      <c r="B192" s="94">
        <v>2017</v>
      </c>
      <c r="C192" s="93">
        <f>VLOOKUP($E$3,Rolls!A1:FA90,42,FALSE)</f>
        <v>85</v>
      </c>
      <c r="D192" s="93">
        <f>VLOOKUP($E$3,Rolls!A1:FA90,43,FALSE)</f>
        <v>68</v>
      </c>
      <c r="E192" s="93">
        <f>VLOOKUP($E$3,Rolls!A1:FA90,44,FALSE)</f>
        <v>68</v>
      </c>
      <c r="F192" s="93">
        <f>VLOOKUP($E$3,Rolls!A1:FA90,45,FALSE)</f>
        <v>64</v>
      </c>
      <c r="G192" s="93">
        <f>VLOOKUP($E$3,Rolls!A1:FA90,46,FALSE)</f>
        <v>84</v>
      </c>
      <c r="H192" s="93">
        <f>VLOOKUP($E$3,Rolls!A1:FA90,47,FALSE)</f>
        <v>64</v>
      </c>
      <c r="I192" s="93">
        <f>VLOOKUP($E$3,Rolls!A1:FA90,48,FALSE)</f>
        <v>62</v>
      </c>
      <c r="J192" s="92">
        <f>VLOOKUP($E$3,Rolls!A1:FA90,49,FALSE)</f>
        <v>495</v>
      </c>
      <c r="K192" s="65"/>
    </row>
    <row r="193" spans="2:11" ht="15" customHeight="1">
      <c r="B193" s="94">
        <v>2018</v>
      </c>
      <c r="C193" s="93">
        <f>VLOOKUP($E$3,Rolls!A1:FA90,50,FALSE)</f>
        <v>61</v>
      </c>
      <c r="D193" s="93">
        <f>VLOOKUP($E$3,Rolls!A1:FA90,51,FALSE)</f>
        <v>80</v>
      </c>
      <c r="E193" s="93">
        <f>VLOOKUP($E$3,Rolls!A1:FA90,52,FALSE)</f>
        <v>60</v>
      </c>
      <c r="F193" s="93">
        <f>VLOOKUP($E$3,Rolls!A1:FA90,53,FALSE)</f>
        <v>65</v>
      </c>
      <c r="G193" s="93">
        <f>VLOOKUP($E$3,Rolls!A1:FA90,54,FALSE)</f>
        <v>62</v>
      </c>
      <c r="H193" s="93">
        <f>VLOOKUP($E$3,Rolls!A1:FA90,55,FALSE)</f>
        <v>87</v>
      </c>
      <c r="I193" s="93">
        <f>VLOOKUP($E$3,Rolls!A1:FA90,56,FALSE)</f>
        <v>62</v>
      </c>
      <c r="J193" s="92">
        <f>VLOOKUP($E$3,Rolls!A1:FA90,57,FALSE)</f>
        <v>477</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Q193"/>
  <sheetViews>
    <sheetView topLeftCell="B49" zoomScaleNormal="100" workbookViewId="0">
      <selection activeCell="H60" sqref="H60"/>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76</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Craigroyston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434 Pupils (15 classes)</v>
      </c>
      <c r="G12" s="16"/>
      <c r="H12" s="16"/>
    </row>
    <row r="13" spans="2:10" ht="15" customHeight="1">
      <c r="C13" s="16"/>
      <c r="D13" s="16"/>
      <c r="E13" s="16"/>
      <c r="F13" s="16"/>
      <c r="G13" s="16"/>
      <c r="H13" s="16"/>
    </row>
    <row r="14" spans="2:10" ht="15" customHeight="1">
      <c r="B14" s="15" t="str">
        <f>"Figure 1: "&amp;E3&amp;" Roll, 2002-2015"</f>
        <v>Figure 1: Craigroyston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Craigroyston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65</v>
      </c>
      <c r="E49" s="108">
        <f>VLOOKUP($E$3,'Catchment Projections'!$A$1:$BU$90,46,FALSE)</f>
        <v>60</v>
      </c>
      <c r="F49" s="108">
        <f>VLOOKUP($E$3,'Catchment Projections'!$A$1:$BU$90,47,FALSE)</f>
        <v>69</v>
      </c>
      <c r="G49" s="108">
        <f>VLOOKUP($E$3,'Catchment Projections'!$A$1:$BU$90,48,FALSE)</f>
        <v>81</v>
      </c>
      <c r="H49" s="133">
        <f>VLOOKUP($E$3,'Catchment Projections'!$A$1:$BU$90,49,FALSE)</f>
        <v>71</v>
      </c>
      <c r="I49" s="133">
        <f>VLOOKUP($E$3,'Catchment Projections'!$A$1:$BU$90,50,FALSE)</f>
        <v>72</v>
      </c>
      <c r="J49" s="133">
        <f>VLOOKUP($E$3,'Catchment Projections'!$A$1:$BU$90,51,FALSE)</f>
        <v>73</v>
      </c>
      <c r="K49" s="133">
        <f>VLOOKUP($E$3,'Catchment Projections'!$A$1:$BU$90,52,FALSE)</f>
        <v>74</v>
      </c>
      <c r="L49" s="133">
        <f>VLOOKUP($E$3,'Catchment Projections'!$A$1:$BU$90,53,FALSE)</f>
        <v>74</v>
      </c>
      <c r="M49" s="133">
        <f>VLOOKUP($E$3,'Catchment Projections'!$A$1:$BU$90,54,FALSE)</f>
        <v>74</v>
      </c>
      <c r="N49" s="133">
        <f>VLOOKUP($E$3,'Catchment Projections'!$A$1:$BU$90,55,FALSE)</f>
        <v>74</v>
      </c>
      <c r="O49" s="133">
        <f>VLOOKUP($E$3,'Catchment Projections'!$A$1:$BU$90,56,FALSE)</f>
        <v>74</v>
      </c>
      <c r="P49" s="133">
        <f>VLOOKUP($E$3,'Catchment Projections'!$A$1:$BU$90,57,FALSE)</f>
        <v>74</v>
      </c>
      <c r="Q49" s="133">
        <f>VLOOKUP($E$3,'Catchment Projections'!$A$1:$BU$90,58,FALSE)</f>
        <v>74</v>
      </c>
    </row>
    <row r="50" spans="2:17" ht="15" customHeight="1" thickBot="1">
      <c r="B50" s="410" t="s">
        <v>141</v>
      </c>
      <c r="C50" s="411"/>
      <c r="D50" s="286">
        <f>VLOOKUP(E3,'Housing Generation'!$A$3:$DQ$90,10,FALSE)</f>
        <v>3</v>
      </c>
      <c r="E50" s="286">
        <f>VLOOKUP(E3,'Housing Generation'!$A$3:$DQ$90,18,FALSE)</f>
        <v>3</v>
      </c>
      <c r="F50" s="286">
        <f>VLOOKUP(E3,'Housing Generation'!$A$3:$DQ$90,26,FALSE)</f>
        <v>4</v>
      </c>
      <c r="G50" s="243">
        <f>VLOOKUP(E3,'Housing Generation'!$A$3:$DQ$90,34,FALSE)</f>
        <v>6</v>
      </c>
      <c r="H50" s="133">
        <f>VLOOKUP(E3,'Housing Generation'!$A$3:$DQ$90,42,FALSE)</f>
        <v>7</v>
      </c>
      <c r="I50" s="133">
        <f>VLOOKUP(E3,'Housing Generation'!$A$3:$DQ$90,50,FALSE)</f>
        <v>8</v>
      </c>
      <c r="J50" s="133">
        <f>VLOOKUP(E3,'Housing Generation'!$A$3:$CK$90,58,FALSE)</f>
        <v>9</v>
      </c>
      <c r="K50" s="133">
        <f>VLOOKUP(E3,'Housing Generation'!$A$3:$CK$90,66,FALSE)</f>
        <v>10</v>
      </c>
      <c r="L50" s="133">
        <f>VLOOKUP(E3,'Housing Generation'!$A$3:$DQ$90,74,FALSE)</f>
        <v>11</v>
      </c>
      <c r="M50" s="133">
        <f>VLOOKUP(E3,'Housing Generation'!$A$3:$DQ$90,82,FALSE)</f>
        <v>11</v>
      </c>
      <c r="N50" s="133">
        <f>VLOOKUP(E3,'Housing Generation'!$A$3:$DQ$90,90,FALSE)</f>
        <v>11</v>
      </c>
      <c r="O50" s="133">
        <f>VLOOKUP(E3,'Housing Generation'!$A$3:$DQ$90,98,FALSE)</f>
        <v>11</v>
      </c>
      <c r="P50" s="133">
        <f>VLOOKUP(E3,'Housing Generation'!$A$3:$DQ$90,106,FALSE)</f>
        <v>11</v>
      </c>
      <c r="Q50" s="133">
        <f>VLOOKUP(E3,'Housing Generation'!$A$3:$DQ$90,114,FALSE)</f>
        <v>11</v>
      </c>
    </row>
    <row r="51" spans="2:17" ht="15" customHeight="1" thickTop="1">
      <c r="B51" s="421" t="s">
        <v>130</v>
      </c>
      <c r="C51" s="422"/>
      <c r="D51" s="47">
        <f t="shared" ref="D51:Q51" si="0">SUM(D49:D50)</f>
        <v>68</v>
      </c>
      <c r="E51" s="47">
        <f t="shared" si="0"/>
        <v>63</v>
      </c>
      <c r="F51" s="80">
        <f t="shared" si="0"/>
        <v>73</v>
      </c>
      <c r="G51" s="244">
        <f t="shared" si="0"/>
        <v>87</v>
      </c>
      <c r="H51" s="71">
        <f t="shared" si="0"/>
        <v>78</v>
      </c>
      <c r="I51" s="71">
        <f t="shared" si="0"/>
        <v>80</v>
      </c>
      <c r="J51" s="71">
        <f t="shared" si="0"/>
        <v>82</v>
      </c>
      <c r="K51" s="71">
        <f t="shared" si="0"/>
        <v>84</v>
      </c>
      <c r="L51" s="71">
        <f t="shared" si="0"/>
        <v>85</v>
      </c>
      <c r="M51" s="71">
        <f t="shared" si="0"/>
        <v>85</v>
      </c>
      <c r="N51" s="71">
        <f t="shared" si="0"/>
        <v>85</v>
      </c>
      <c r="O51" s="71">
        <f t="shared" si="0"/>
        <v>85</v>
      </c>
      <c r="P51" s="71">
        <f t="shared" si="0"/>
        <v>85</v>
      </c>
      <c r="Q51" s="71">
        <f t="shared" si="0"/>
        <v>85</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62</v>
      </c>
      <c r="D60" s="358">
        <f>VLOOKUP($E$3,'Catchment Projections'!$A$1:$BZ$90,74,FALSE)</f>
        <v>40</v>
      </c>
      <c r="E60" s="303">
        <f>D60/C60</f>
        <v>0.64516129032258063</v>
      </c>
      <c r="G60" s="132">
        <v>2014</v>
      </c>
      <c r="H60" s="395">
        <f>VLOOKUP($G$60,$B$177:$C$215, 2, FALSE)</f>
        <v>50</v>
      </c>
      <c r="I60" s="120">
        <f>H60-D60</f>
        <v>10</v>
      </c>
      <c r="J60" s="121">
        <f>I60/H60</f>
        <v>0.2</v>
      </c>
    </row>
    <row r="61" spans="2:17" ht="15" customHeight="1">
      <c r="B61" s="132">
        <v>2015</v>
      </c>
      <c r="C61" s="359">
        <f>VLOOKUP($E$3,'Catchment Projections'!$A$1:$BZ$90,41,FALSE)</f>
        <v>60</v>
      </c>
      <c r="D61" s="358">
        <f>VLOOKUP($E$3,'Catchment Projections'!$A$1:$BZ$90,75,FALSE)</f>
        <v>39</v>
      </c>
      <c r="E61" s="303">
        <f>D61/C61</f>
        <v>0.65</v>
      </c>
      <c r="G61" s="132">
        <v>2015</v>
      </c>
      <c r="H61" s="395">
        <f>VLOOKUP($G$61,$B$177:$C$215, 2, FALSE)</f>
        <v>41</v>
      </c>
      <c r="I61" s="120">
        <f>H61-D61</f>
        <v>2</v>
      </c>
      <c r="J61" s="121">
        <f>I61/H61</f>
        <v>4.878048780487805E-2</v>
      </c>
    </row>
    <row r="62" spans="2:17" ht="15" customHeight="1">
      <c r="B62" s="131">
        <v>2016</v>
      </c>
      <c r="C62" s="359">
        <f>VLOOKUP($E$3,'Catchment Projections'!$A$1:$BZ$90,42,FALSE)</f>
        <v>62</v>
      </c>
      <c r="D62" s="358">
        <f>VLOOKUP($E$3,'Catchment Projections'!$A$1:$BZ$90,76,FALSE)</f>
        <v>40</v>
      </c>
      <c r="E62" s="57">
        <f>D62/C62</f>
        <v>0.64516129032258063</v>
      </c>
      <c r="G62" s="131">
        <v>2016</v>
      </c>
      <c r="H62" s="395">
        <f>VLOOKUP($G$62,$B$177:$C$215, 2, FALSE)</f>
        <v>49</v>
      </c>
      <c r="I62" s="120">
        <f>H62-D62</f>
        <v>9</v>
      </c>
      <c r="J62" s="121">
        <f>I62/H62</f>
        <v>0.18367346938775511</v>
      </c>
    </row>
    <row r="63" spans="2:17" ht="15" customHeight="1">
      <c r="B63" s="114">
        <v>2017</v>
      </c>
      <c r="C63" s="359">
        <f>VLOOKUP($E$3,'Catchment Projections'!$A$1:$BZ$90,43,FALSE)</f>
        <v>61</v>
      </c>
      <c r="D63" s="358">
        <f>VLOOKUP($E$3,'Catchment Projections'!$A$1:$BZ$90,77,FALSE)</f>
        <v>42</v>
      </c>
      <c r="E63" s="304">
        <f>D63/C63</f>
        <v>0.68852459016393441</v>
      </c>
      <c r="G63" s="114">
        <v>2017</v>
      </c>
      <c r="H63" s="395">
        <f>VLOOKUP($G$63,$B$177:$C$215, 2, FALSE)</f>
        <v>51</v>
      </c>
      <c r="I63" s="120">
        <f>H63-D63</f>
        <v>9</v>
      </c>
      <c r="J63" s="121">
        <f>I63/H63</f>
        <v>0.17647058823529413</v>
      </c>
    </row>
    <row r="64" spans="2:17" ht="15" customHeight="1">
      <c r="B64" s="114">
        <v>2018</v>
      </c>
      <c r="C64" s="359">
        <f>VLOOKUP($E$3,'Catchment Projections'!$A$1:$BZ$90,44,FALSE)</f>
        <v>77</v>
      </c>
      <c r="D64" s="358">
        <f>VLOOKUP($E$3,'Catchment Projections'!$A$1:$BZ$90,78,FALSE)</f>
        <v>44</v>
      </c>
      <c r="E64" s="305">
        <f>D64/C64</f>
        <v>0.5714285714285714</v>
      </c>
      <c r="G64" s="114">
        <v>2018</v>
      </c>
      <c r="H64" s="395">
        <f>VLOOKUP($G$64,$B$177:$C$215, 2, FALSE)</f>
        <v>50</v>
      </c>
      <c r="I64" s="120">
        <f>H64-D64</f>
        <v>6</v>
      </c>
      <c r="J64" s="121">
        <f>I64/H64</f>
        <v>0.12</v>
      </c>
    </row>
    <row r="65" spans="2:10" ht="15" customHeight="1">
      <c r="B65" s="412" t="s">
        <v>136</v>
      </c>
      <c r="C65" s="413"/>
      <c r="D65" s="414"/>
      <c r="E65" s="137">
        <f>IF((AVERAGE(E62:E64))="#DIV/0!","n/a",(AVERAGE(E62:E64)))</f>
        <v>0.63503815063836211</v>
      </c>
      <c r="G65" s="415" t="s">
        <v>137</v>
      </c>
      <c r="H65" s="416"/>
      <c r="I65" s="138">
        <f>MEDIAN(I60:I64)</f>
        <v>9</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68</v>
      </c>
      <c r="D70" s="408"/>
      <c r="E70" s="122">
        <f>E65</f>
        <v>0.63503815063836211</v>
      </c>
      <c r="F70" s="120">
        <f t="shared" ref="F70:F83" si="1">C70*$E$65</f>
        <v>43.182594243408623</v>
      </c>
      <c r="G70" s="118">
        <f>IF(F70&lt;26,25,IF(F70&gt;135,140,IF(F70&gt;130,135,IF(F70&gt;125,130,IF(F70&gt;120,125,IF(F70&gt;115,120,IF(F70&gt;110,115,IF(F70&gt;105,110,IF(F70&gt;100,105,IF(F70&gt;99,100,IF(F70&gt;90,99,IF(F70&gt;75,90,IF(F70&gt;72,75,IF(F70&gt;66,72,IF(F70&gt;60,66,IF(F70&gt;50,60,IF(F70&gt;30,50,IF(F70&gt;25,30,0))))))))))))))))))</f>
        <v>50</v>
      </c>
      <c r="H70" s="119">
        <f t="shared" ref="H70:H83" si="2">G70-F70</f>
        <v>6.817405756591377</v>
      </c>
      <c r="I70" s="118" t="str">
        <f>IF(I$65&lt;H70, "NO", "YES")</f>
        <v>YES</v>
      </c>
      <c r="J70" s="117">
        <f t="shared" ref="J70:J83" si="3">IF(I70="YES",G70,(MIN((SUM(F70,$I$65)),G70)))</f>
        <v>50</v>
      </c>
    </row>
    <row r="71" spans="2:10" ht="15" customHeight="1">
      <c r="B71" s="114">
        <v>2020</v>
      </c>
      <c r="C71" s="433">
        <f>E51</f>
        <v>63</v>
      </c>
      <c r="D71" s="408"/>
      <c r="E71" s="121">
        <f>E65</f>
        <v>0.63503815063836211</v>
      </c>
      <c r="F71" s="120">
        <f t="shared" si="1"/>
        <v>40.007403490216809</v>
      </c>
      <c r="G71" s="118">
        <f t="shared" ref="G71:G83" si="4">IF(F71&lt;26,25,IF(F71&gt;135,140,IF(F71&gt;130,135,IF(F71&gt;125,130,IF(F71&gt;120,125,IF(F71&gt;115,120,IF(F71&gt;110,115,IF(F71&gt;105,110,IF(F71&gt;100,105,IF(F71&gt;99,100,IF(F71&gt;90,99,IF(F71&gt;75,90,IF(F71&gt;72,75,IF(F71&gt;66,72,IF(F71&gt;60,66,IF(F71&gt;50,60,IF(F71&gt;30,50,IF(F71&gt;25,30,0))))))))))))))))))</f>
        <v>50</v>
      </c>
      <c r="H71" s="119">
        <f t="shared" si="2"/>
        <v>9.9925965097831906</v>
      </c>
      <c r="I71" s="118" t="str">
        <f t="shared" ref="I71:I83" si="5">IF(I$65&lt;H71, "NO", "YES")</f>
        <v>NO</v>
      </c>
      <c r="J71" s="117">
        <f t="shared" si="3"/>
        <v>49.007403490216809</v>
      </c>
    </row>
    <row r="72" spans="2:10" ht="15" customHeight="1">
      <c r="B72" s="114">
        <v>2021</v>
      </c>
      <c r="C72" s="430">
        <f>F51</f>
        <v>73</v>
      </c>
      <c r="D72" s="431"/>
      <c r="E72" s="121">
        <f>E65</f>
        <v>0.63503815063836211</v>
      </c>
      <c r="F72" s="120">
        <f t="shared" si="1"/>
        <v>46.357784996600437</v>
      </c>
      <c r="G72" s="118">
        <f t="shared" si="4"/>
        <v>50</v>
      </c>
      <c r="H72" s="119">
        <f t="shared" si="2"/>
        <v>3.6422150033995635</v>
      </c>
      <c r="I72" s="118" t="str">
        <f t="shared" si="5"/>
        <v>YES</v>
      </c>
      <c r="J72" s="117">
        <f t="shared" si="3"/>
        <v>50</v>
      </c>
    </row>
    <row r="73" spans="2:10" ht="15" customHeight="1">
      <c r="B73" s="114">
        <v>2022</v>
      </c>
      <c r="C73" s="430">
        <f>G51</f>
        <v>87</v>
      </c>
      <c r="D73" s="431"/>
      <c r="E73" s="121">
        <f>E65</f>
        <v>0.63503815063836211</v>
      </c>
      <c r="F73" s="120">
        <f t="shared" si="1"/>
        <v>55.248319105537504</v>
      </c>
      <c r="G73" s="118">
        <f t="shared" si="4"/>
        <v>60</v>
      </c>
      <c r="H73" s="119">
        <f t="shared" si="2"/>
        <v>4.7516808944624955</v>
      </c>
      <c r="I73" s="118" t="str">
        <f t="shared" si="5"/>
        <v>YES</v>
      </c>
      <c r="J73" s="117">
        <f t="shared" si="3"/>
        <v>60</v>
      </c>
    </row>
    <row r="74" spans="2:10" ht="15" customHeight="1">
      <c r="B74" s="114">
        <v>2023</v>
      </c>
      <c r="C74" s="430">
        <f>H51</f>
        <v>78</v>
      </c>
      <c r="D74" s="431"/>
      <c r="E74" s="121">
        <f>E65</f>
        <v>0.63503815063836211</v>
      </c>
      <c r="F74" s="120">
        <f t="shared" si="1"/>
        <v>49.532975749792243</v>
      </c>
      <c r="G74" s="118">
        <f t="shared" si="4"/>
        <v>50</v>
      </c>
      <c r="H74" s="119">
        <f t="shared" si="2"/>
        <v>0.46702425020775706</v>
      </c>
      <c r="I74" s="118" t="str">
        <f t="shared" si="5"/>
        <v>YES</v>
      </c>
      <c r="J74" s="117">
        <f t="shared" si="3"/>
        <v>50</v>
      </c>
    </row>
    <row r="75" spans="2:10" ht="15" customHeight="1">
      <c r="B75" s="114">
        <v>2024</v>
      </c>
      <c r="C75" s="430">
        <f>I51</f>
        <v>80</v>
      </c>
      <c r="D75" s="431"/>
      <c r="E75" s="121">
        <f>E65</f>
        <v>0.63503815063836211</v>
      </c>
      <c r="F75" s="120">
        <f t="shared" si="1"/>
        <v>50.803052051068967</v>
      </c>
      <c r="G75" s="118">
        <f t="shared" si="4"/>
        <v>60</v>
      </c>
      <c r="H75" s="119">
        <f t="shared" si="2"/>
        <v>9.1969479489310331</v>
      </c>
      <c r="I75" s="118" t="str">
        <f t="shared" si="5"/>
        <v>NO</v>
      </c>
      <c r="J75" s="117">
        <f t="shared" si="3"/>
        <v>59.803052051068967</v>
      </c>
    </row>
    <row r="76" spans="2:10" ht="15" customHeight="1">
      <c r="B76" s="114">
        <v>2025</v>
      </c>
      <c r="C76" s="430">
        <f>J51</f>
        <v>82</v>
      </c>
      <c r="D76" s="431"/>
      <c r="E76" s="121">
        <f>E65</f>
        <v>0.63503815063836211</v>
      </c>
      <c r="F76" s="120">
        <f t="shared" si="1"/>
        <v>52.073128352345691</v>
      </c>
      <c r="G76" s="118">
        <f t="shared" si="4"/>
        <v>60</v>
      </c>
      <c r="H76" s="119">
        <f t="shared" si="2"/>
        <v>7.9268716476543091</v>
      </c>
      <c r="I76" s="118" t="str">
        <f t="shared" si="5"/>
        <v>YES</v>
      </c>
      <c r="J76" s="117">
        <f t="shared" si="3"/>
        <v>60</v>
      </c>
    </row>
    <row r="77" spans="2:10" ht="15" customHeight="1">
      <c r="B77" s="114">
        <v>2026</v>
      </c>
      <c r="C77" s="430">
        <f>K51</f>
        <v>84</v>
      </c>
      <c r="D77" s="431"/>
      <c r="E77" s="121">
        <f>E65</f>
        <v>0.63503815063836211</v>
      </c>
      <c r="F77" s="120">
        <f t="shared" si="1"/>
        <v>53.343204653622415</v>
      </c>
      <c r="G77" s="118">
        <f t="shared" si="4"/>
        <v>60</v>
      </c>
      <c r="H77" s="119">
        <f t="shared" si="2"/>
        <v>6.6567953463775851</v>
      </c>
      <c r="I77" s="118" t="str">
        <f t="shared" si="5"/>
        <v>YES</v>
      </c>
      <c r="J77" s="117">
        <f t="shared" si="3"/>
        <v>60</v>
      </c>
    </row>
    <row r="78" spans="2:10" ht="15" customHeight="1">
      <c r="B78" s="114">
        <v>2027</v>
      </c>
      <c r="C78" s="430">
        <f>L51</f>
        <v>85</v>
      </c>
      <c r="D78" s="431"/>
      <c r="E78" s="121">
        <f>E65</f>
        <v>0.63503815063836211</v>
      </c>
      <c r="F78" s="120">
        <f t="shared" si="1"/>
        <v>53.97824280426078</v>
      </c>
      <c r="G78" s="118">
        <f t="shared" si="4"/>
        <v>60</v>
      </c>
      <c r="H78" s="119">
        <f t="shared" si="2"/>
        <v>6.0217571957392195</v>
      </c>
      <c r="I78" s="118" t="str">
        <f t="shared" si="5"/>
        <v>YES</v>
      </c>
      <c r="J78" s="117">
        <f t="shared" si="3"/>
        <v>60</v>
      </c>
    </row>
    <row r="79" spans="2:10" ht="15" customHeight="1">
      <c r="B79" s="114">
        <v>2028</v>
      </c>
      <c r="C79" s="430">
        <f>M51</f>
        <v>85</v>
      </c>
      <c r="D79" s="431"/>
      <c r="E79" s="121">
        <f t="shared" ref="E79:E83" si="6">$E$65</f>
        <v>0.63503815063836211</v>
      </c>
      <c r="F79" s="120">
        <f t="shared" si="1"/>
        <v>53.97824280426078</v>
      </c>
      <c r="G79" s="118">
        <f t="shared" si="4"/>
        <v>60</v>
      </c>
      <c r="H79" s="119">
        <f t="shared" si="2"/>
        <v>6.0217571957392195</v>
      </c>
      <c r="I79" s="118" t="str">
        <f t="shared" si="5"/>
        <v>YES</v>
      </c>
      <c r="J79" s="117">
        <f t="shared" si="3"/>
        <v>60</v>
      </c>
    </row>
    <row r="80" spans="2:10" ht="15" customHeight="1">
      <c r="B80" s="114">
        <v>2029</v>
      </c>
      <c r="C80" s="430">
        <f>N51</f>
        <v>85</v>
      </c>
      <c r="D80" s="431"/>
      <c r="E80" s="121">
        <f t="shared" si="6"/>
        <v>0.63503815063836211</v>
      </c>
      <c r="F80" s="120">
        <f t="shared" si="1"/>
        <v>53.97824280426078</v>
      </c>
      <c r="G80" s="118">
        <f t="shared" si="4"/>
        <v>60</v>
      </c>
      <c r="H80" s="119">
        <f t="shared" si="2"/>
        <v>6.0217571957392195</v>
      </c>
      <c r="I80" s="118" t="str">
        <f t="shared" si="5"/>
        <v>YES</v>
      </c>
      <c r="J80" s="117">
        <f t="shared" si="3"/>
        <v>60</v>
      </c>
    </row>
    <row r="81" spans="2:10" ht="15" customHeight="1">
      <c r="B81" s="114">
        <v>2030</v>
      </c>
      <c r="C81" s="430">
        <f>O51</f>
        <v>85</v>
      </c>
      <c r="D81" s="431"/>
      <c r="E81" s="121">
        <f t="shared" si="6"/>
        <v>0.63503815063836211</v>
      </c>
      <c r="F81" s="120">
        <f t="shared" si="1"/>
        <v>53.97824280426078</v>
      </c>
      <c r="G81" s="118">
        <f t="shared" si="4"/>
        <v>60</v>
      </c>
      <c r="H81" s="119">
        <f t="shared" si="2"/>
        <v>6.0217571957392195</v>
      </c>
      <c r="I81" s="118" t="str">
        <f t="shared" si="5"/>
        <v>YES</v>
      </c>
      <c r="J81" s="117">
        <f t="shared" si="3"/>
        <v>60</v>
      </c>
    </row>
    <row r="82" spans="2:10" ht="15" customHeight="1">
      <c r="B82" s="114">
        <v>2031</v>
      </c>
      <c r="C82" s="430">
        <f>P51</f>
        <v>85</v>
      </c>
      <c r="D82" s="431"/>
      <c r="E82" s="121">
        <f t="shared" si="6"/>
        <v>0.63503815063836211</v>
      </c>
      <c r="F82" s="120">
        <f t="shared" si="1"/>
        <v>53.97824280426078</v>
      </c>
      <c r="G82" s="118">
        <f t="shared" si="4"/>
        <v>60</v>
      </c>
      <c r="H82" s="119">
        <f t="shared" si="2"/>
        <v>6.0217571957392195</v>
      </c>
      <c r="I82" s="118" t="str">
        <f t="shared" si="5"/>
        <v>YES</v>
      </c>
      <c r="J82" s="117">
        <f t="shared" si="3"/>
        <v>60</v>
      </c>
    </row>
    <row r="83" spans="2:10" ht="15" customHeight="1">
      <c r="B83" s="114">
        <v>2032</v>
      </c>
      <c r="C83" s="430">
        <f>Q51</f>
        <v>85</v>
      </c>
      <c r="D83" s="431"/>
      <c r="E83" s="121">
        <f t="shared" si="6"/>
        <v>0.63503815063836211</v>
      </c>
      <c r="F83" s="120">
        <f t="shared" si="1"/>
        <v>53.97824280426078</v>
      </c>
      <c r="G83" s="118">
        <f t="shared" si="4"/>
        <v>60</v>
      </c>
      <c r="H83" s="119">
        <f t="shared" si="2"/>
        <v>6.0217571957392195</v>
      </c>
      <c r="I83" s="118" t="str">
        <f t="shared" si="5"/>
        <v>YES</v>
      </c>
      <c r="J83" s="117">
        <f t="shared" si="3"/>
        <v>60</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Craigroyston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36</v>
      </c>
      <c r="D91" s="112">
        <f t="shared" ref="D91:J91" si="7">D188</f>
        <v>38</v>
      </c>
      <c r="E91" s="112">
        <f t="shared" si="7"/>
        <v>30</v>
      </c>
      <c r="F91" s="112">
        <f t="shared" si="7"/>
        <v>19</v>
      </c>
      <c r="G91" s="112">
        <f t="shared" si="7"/>
        <v>24</v>
      </c>
      <c r="H91" s="112">
        <f t="shared" si="7"/>
        <v>34</v>
      </c>
      <c r="I91" s="112">
        <f t="shared" si="7"/>
        <v>14</v>
      </c>
      <c r="J91" s="213">
        <f t="shared" si="7"/>
        <v>195</v>
      </c>
    </row>
    <row r="92" spans="2:10" ht="15" customHeight="1">
      <c r="B92" s="114">
        <v>2014</v>
      </c>
      <c r="C92" s="112">
        <f>C189</f>
        <v>50</v>
      </c>
      <c r="D92" s="112">
        <f t="shared" ref="D92:J92" si="8">D189</f>
        <v>40</v>
      </c>
      <c r="E92" s="112">
        <f t="shared" si="8"/>
        <v>39</v>
      </c>
      <c r="F92" s="112">
        <f t="shared" si="8"/>
        <v>29</v>
      </c>
      <c r="G92" s="112">
        <f t="shared" si="8"/>
        <v>17</v>
      </c>
      <c r="H92" s="112">
        <f t="shared" si="8"/>
        <v>26</v>
      </c>
      <c r="I92" s="112">
        <f t="shared" si="8"/>
        <v>33</v>
      </c>
      <c r="J92" s="213">
        <f t="shared" si="8"/>
        <v>234</v>
      </c>
    </row>
    <row r="93" spans="2:10" ht="15" customHeight="1">
      <c r="B93" s="114">
        <v>2015</v>
      </c>
      <c r="C93" s="112">
        <f>C190</f>
        <v>41</v>
      </c>
      <c r="D93" s="112">
        <f t="shared" ref="D93:J93" si="9">D190</f>
        <v>45</v>
      </c>
      <c r="E93" s="112">
        <f t="shared" si="9"/>
        <v>38</v>
      </c>
      <c r="F93" s="112">
        <f t="shared" si="9"/>
        <v>31</v>
      </c>
      <c r="G93" s="112">
        <f t="shared" si="9"/>
        <v>25</v>
      </c>
      <c r="H93" s="112">
        <f t="shared" si="9"/>
        <v>18</v>
      </c>
      <c r="I93" s="112">
        <f t="shared" si="9"/>
        <v>23</v>
      </c>
      <c r="J93" s="213">
        <f t="shared" si="9"/>
        <v>221</v>
      </c>
    </row>
    <row r="94" spans="2:10" ht="15" customHeight="1">
      <c r="B94" s="114">
        <v>2016</v>
      </c>
      <c r="C94" s="112">
        <f>C191</f>
        <v>49</v>
      </c>
      <c r="D94" s="112">
        <f t="shared" ref="D94:J94" si="10">D191</f>
        <v>46</v>
      </c>
      <c r="E94" s="112">
        <f t="shared" si="10"/>
        <v>41</v>
      </c>
      <c r="F94" s="112">
        <f t="shared" si="10"/>
        <v>36</v>
      </c>
      <c r="G94" s="112">
        <f t="shared" si="10"/>
        <v>29</v>
      </c>
      <c r="H94" s="112">
        <f t="shared" si="10"/>
        <v>29</v>
      </c>
      <c r="I94" s="112">
        <f t="shared" si="10"/>
        <v>20</v>
      </c>
      <c r="J94" s="213">
        <f t="shared" si="10"/>
        <v>250</v>
      </c>
    </row>
    <row r="95" spans="2:10" ht="15" customHeight="1">
      <c r="B95" s="114">
        <v>2017</v>
      </c>
      <c r="C95" s="112">
        <f>C192</f>
        <v>51</v>
      </c>
      <c r="D95" s="112">
        <f t="shared" ref="D95:J95" si="11">D192</f>
        <v>47</v>
      </c>
      <c r="E95" s="112">
        <f t="shared" si="11"/>
        <v>41</v>
      </c>
      <c r="F95" s="112">
        <f t="shared" si="11"/>
        <v>42</v>
      </c>
      <c r="G95" s="112">
        <f t="shared" si="11"/>
        <v>39</v>
      </c>
      <c r="H95" s="112">
        <f t="shared" si="11"/>
        <v>30</v>
      </c>
      <c r="I95" s="112">
        <f t="shared" si="11"/>
        <v>31</v>
      </c>
      <c r="J95" s="213">
        <f t="shared" si="11"/>
        <v>281</v>
      </c>
    </row>
    <row r="96" spans="2:10" ht="15" customHeight="1">
      <c r="B96" s="307">
        <v>2018</v>
      </c>
      <c r="C96" s="112">
        <f t="shared" ref="C96:J96" si="12">C193</f>
        <v>50</v>
      </c>
      <c r="D96" s="112">
        <f t="shared" si="12"/>
        <v>43</v>
      </c>
      <c r="E96" s="112">
        <f t="shared" si="12"/>
        <v>48</v>
      </c>
      <c r="F96" s="112">
        <f t="shared" si="12"/>
        <v>37</v>
      </c>
      <c r="G96" s="112">
        <f t="shared" si="12"/>
        <v>42</v>
      </c>
      <c r="H96" s="112">
        <f t="shared" si="12"/>
        <v>33</v>
      </c>
      <c r="I96" s="112">
        <f t="shared" si="12"/>
        <v>30</v>
      </c>
      <c r="J96" s="213">
        <f t="shared" si="12"/>
        <v>283</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4.0816326530612242E-2</v>
      </c>
      <c r="E98" s="210">
        <f t="shared" ref="E98:I98" si="13">MEDIAN(((D91-E92)/D91),((D92-E93)/D92),((D93-E94)/D93),((D94-E95)/D94),((D95-E96)/D95))</f>
        <v>0.05</v>
      </c>
      <c r="F98" s="210">
        <f t="shared" si="13"/>
        <v>5.2631578947368418E-2</v>
      </c>
      <c r="G98" s="210">
        <f t="shared" si="13"/>
        <v>6.4516129032258063E-2</v>
      </c>
      <c r="H98" s="210">
        <f t="shared" si="13"/>
        <v>-5.8823529411764705E-2</v>
      </c>
      <c r="I98" s="210">
        <f t="shared" si="13"/>
        <v>0</v>
      </c>
    </row>
    <row r="99" spans="2:10" ht="15" customHeight="1">
      <c r="B99" s="59"/>
      <c r="C99" s="60"/>
      <c r="D99" s="61"/>
      <c r="E99" s="61"/>
      <c r="F99" s="61"/>
      <c r="G99" s="61"/>
      <c r="H99" s="61"/>
      <c r="I99" s="61"/>
      <c r="J99" s="58"/>
    </row>
    <row r="100" spans="2:10" ht="15" customHeight="1">
      <c r="B100" s="15" t="str">
        <f>"Table 4B: "&amp;E3&amp;" Projected Roll by Stage (incorporating Projected P1 and Drop-Off Rates), 2019-2032"</f>
        <v>Table 4B: Craigroyston Primary School Projected Roll by Stage (incorporating Projected P1 and Drop-Off Rates), 2019-2032</v>
      </c>
      <c r="F100" s="14"/>
      <c r="G100" s="14"/>
    </row>
    <row r="101" spans="2:10" ht="15" customHeight="1">
      <c r="F101" s="14"/>
      <c r="G101" s="14"/>
    </row>
    <row r="102" spans="2:10" ht="15" customHeight="1">
      <c r="B102" s="115"/>
      <c r="C102" s="109" t="s">
        <v>1</v>
      </c>
      <c r="D102" s="109" t="s">
        <v>2</v>
      </c>
      <c r="E102" s="109" t="s">
        <v>3</v>
      </c>
      <c r="F102" s="109" t="s">
        <v>4</v>
      </c>
      <c r="G102" s="109" t="s">
        <v>5</v>
      </c>
      <c r="H102" s="109" t="s">
        <v>6</v>
      </c>
      <c r="I102" s="109" t="s">
        <v>7</v>
      </c>
      <c r="J102" s="109" t="s">
        <v>8</v>
      </c>
    </row>
    <row r="103" spans="2:10" ht="15" customHeight="1">
      <c r="B103" s="114">
        <v>2019</v>
      </c>
      <c r="C103" s="113">
        <f t="shared" ref="C103:C116" si="14">J70</f>
        <v>50</v>
      </c>
      <c r="D103" s="324">
        <f>ROUND((C96)-(C96*$D$98),0)</f>
        <v>48</v>
      </c>
      <c r="E103" s="324">
        <f>ROUND((D96)-(D96*$E$98),0)</f>
        <v>41</v>
      </c>
      <c r="F103" s="324">
        <f>ROUND((E96)-(E96*$F$98),0)</f>
        <v>45</v>
      </c>
      <c r="G103" s="324">
        <f>ROUND((F96)-(F96*$G$98),0)</f>
        <v>35</v>
      </c>
      <c r="H103" s="324">
        <f>ROUND((G96)-(G96*$H$98),0)</f>
        <v>44</v>
      </c>
      <c r="I103" s="324">
        <f>ROUND((H96)-(H96*$I$98),0)</f>
        <v>33</v>
      </c>
      <c r="J103" s="111">
        <f t="shared" ref="J103:J116" si="15">SUM(C103:I103)</f>
        <v>296</v>
      </c>
    </row>
    <row r="104" spans="2:10" ht="15" customHeight="1">
      <c r="B104" s="114">
        <v>2020</v>
      </c>
      <c r="C104" s="113">
        <f t="shared" si="14"/>
        <v>49.007403490216809</v>
      </c>
      <c r="D104" s="324">
        <f>ROUND((C103-E50)-(C103*$D$98),0)</f>
        <v>45</v>
      </c>
      <c r="E104" s="112">
        <f t="shared" ref="E104:E116" si="16">ROUND((D103)-(D103*$E$98),0)</f>
        <v>46</v>
      </c>
      <c r="F104" s="112">
        <f t="shared" ref="F104:F116" si="17">ROUND((E103)-(E103*$F$98),0)</f>
        <v>39</v>
      </c>
      <c r="G104" s="112">
        <f t="shared" ref="G104:G116" si="18">ROUND((F103)-(F103*$G$98),0)</f>
        <v>42</v>
      </c>
      <c r="H104" s="112">
        <f t="shared" ref="H104:H116" si="19">ROUND((G103)-(G103*$H$98),0)</f>
        <v>37</v>
      </c>
      <c r="I104" s="112">
        <f t="shared" ref="I104:I116" si="20">ROUND((H103)-(H103*$I$98),0)</f>
        <v>44</v>
      </c>
      <c r="J104" s="111">
        <f t="shared" si="15"/>
        <v>302.0074034902168</v>
      </c>
    </row>
    <row r="105" spans="2:10" ht="15" customHeight="1">
      <c r="B105" s="114">
        <v>2021</v>
      </c>
      <c r="C105" s="113">
        <f t="shared" si="14"/>
        <v>50</v>
      </c>
      <c r="D105" s="324">
        <f>ROUND((C104-F50)-(C104*$D$98),0)</f>
        <v>43</v>
      </c>
      <c r="E105" s="112">
        <f t="shared" si="16"/>
        <v>43</v>
      </c>
      <c r="F105" s="112">
        <f t="shared" si="17"/>
        <v>44</v>
      </c>
      <c r="G105" s="112">
        <f t="shared" si="18"/>
        <v>36</v>
      </c>
      <c r="H105" s="112">
        <f t="shared" si="19"/>
        <v>44</v>
      </c>
      <c r="I105" s="112">
        <f t="shared" si="20"/>
        <v>37</v>
      </c>
      <c r="J105" s="111">
        <f t="shared" si="15"/>
        <v>297</v>
      </c>
    </row>
    <row r="106" spans="2:10" ht="15" customHeight="1">
      <c r="B106" s="114">
        <v>2022</v>
      </c>
      <c r="C106" s="113">
        <f t="shared" si="14"/>
        <v>60</v>
      </c>
      <c r="D106" s="324">
        <f>ROUND((C105-G50)-(C105*$D$98),0)</f>
        <v>42</v>
      </c>
      <c r="E106" s="112">
        <f t="shared" si="16"/>
        <v>41</v>
      </c>
      <c r="F106" s="112">
        <f t="shared" si="17"/>
        <v>41</v>
      </c>
      <c r="G106" s="112">
        <f t="shared" si="18"/>
        <v>41</v>
      </c>
      <c r="H106" s="112">
        <f t="shared" si="19"/>
        <v>38</v>
      </c>
      <c r="I106" s="112">
        <f t="shared" si="20"/>
        <v>44</v>
      </c>
      <c r="J106" s="111">
        <f t="shared" si="15"/>
        <v>307</v>
      </c>
    </row>
    <row r="107" spans="2:10" ht="15" customHeight="1">
      <c r="B107" s="114">
        <v>2023</v>
      </c>
      <c r="C107" s="113">
        <f t="shared" si="14"/>
        <v>50</v>
      </c>
      <c r="D107" s="324">
        <f>ROUND((C106-H50)-(C106*$D$98),0)</f>
        <v>51</v>
      </c>
      <c r="E107" s="112">
        <f t="shared" si="16"/>
        <v>40</v>
      </c>
      <c r="F107" s="112">
        <f t="shared" si="17"/>
        <v>39</v>
      </c>
      <c r="G107" s="112">
        <f t="shared" si="18"/>
        <v>38</v>
      </c>
      <c r="H107" s="112">
        <f t="shared" si="19"/>
        <v>43</v>
      </c>
      <c r="I107" s="112">
        <f t="shared" si="20"/>
        <v>38</v>
      </c>
      <c r="J107" s="111">
        <f t="shared" si="15"/>
        <v>299</v>
      </c>
    </row>
    <row r="108" spans="2:10" ht="15" customHeight="1">
      <c r="B108" s="114">
        <v>2024</v>
      </c>
      <c r="C108" s="113">
        <f t="shared" si="14"/>
        <v>59.803052051068967</v>
      </c>
      <c r="D108" s="324">
        <f>ROUND((C107-I50)-(C107*$D$98),0)</f>
        <v>40</v>
      </c>
      <c r="E108" s="112">
        <f t="shared" si="16"/>
        <v>48</v>
      </c>
      <c r="F108" s="112">
        <f t="shared" si="17"/>
        <v>38</v>
      </c>
      <c r="G108" s="112">
        <f t="shared" si="18"/>
        <v>36</v>
      </c>
      <c r="H108" s="112">
        <f t="shared" si="19"/>
        <v>40</v>
      </c>
      <c r="I108" s="112">
        <f t="shared" si="20"/>
        <v>43</v>
      </c>
      <c r="J108" s="111">
        <f t="shared" si="15"/>
        <v>304.80305205106896</v>
      </c>
    </row>
    <row r="109" spans="2:10" ht="15" customHeight="1">
      <c r="B109" s="114">
        <v>2025</v>
      </c>
      <c r="C109" s="113">
        <f t="shared" si="14"/>
        <v>60</v>
      </c>
      <c r="D109" s="324">
        <f>ROUND((C108-J50)-(C108*$D$98),0)</f>
        <v>48</v>
      </c>
      <c r="E109" s="112">
        <f t="shared" si="16"/>
        <v>38</v>
      </c>
      <c r="F109" s="112">
        <f t="shared" si="17"/>
        <v>45</v>
      </c>
      <c r="G109" s="112">
        <f t="shared" si="18"/>
        <v>36</v>
      </c>
      <c r="H109" s="112">
        <f t="shared" si="19"/>
        <v>38</v>
      </c>
      <c r="I109" s="112">
        <f t="shared" si="20"/>
        <v>40</v>
      </c>
      <c r="J109" s="111">
        <f t="shared" si="15"/>
        <v>305</v>
      </c>
    </row>
    <row r="110" spans="2:10" ht="15" customHeight="1">
      <c r="B110" s="114">
        <v>2026</v>
      </c>
      <c r="C110" s="113">
        <f t="shared" si="14"/>
        <v>60</v>
      </c>
      <c r="D110" s="324">
        <f>ROUND((C109-K50)-(C109*$D$98),0)</f>
        <v>48</v>
      </c>
      <c r="E110" s="112">
        <f t="shared" si="16"/>
        <v>46</v>
      </c>
      <c r="F110" s="112">
        <f t="shared" si="17"/>
        <v>36</v>
      </c>
      <c r="G110" s="112">
        <f t="shared" si="18"/>
        <v>42</v>
      </c>
      <c r="H110" s="112">
        <f t="shared" si="19"/>
        <v>38</v>
      </c>
      <c r="I110" s="112">
        <f t="shared" si="20"/>
        <v>38</v>
      </c>
      <c r="J110" s="111">
        <f t="shared" si="15"/>
        <v>308</v>
      </c>
    </row>
    <row r="111" spans="2:10" ht="15" customHeight="1">
      <c r="B111" s="114">
        <v>2027</v>
      </c>
      <c r="C111" s="113">
        <f t="shared" si="14"/>
        <v>60</v>
      </c>
      <c r="D111" s="324">
        <f>ROUND((C110-L50)-(C110*$D$98),0)</f>
        <v>47</v>
      </c>
      <c r="E111" s="112">
        <f t="shared" si="16"/>
        <v>46</v>
      </c>
      <c r="F111" s="112">
        <f t="shared" si="17"/>
        <v>44</v>
      </c>
      <c r="G111" s="112">
        <f t="shared" si="18"/>
        <v>34</v>
      </c>
      <c r="H111" s="112">
        <f t="shared" si="19"/>
        <v>44</v>
      </c>
      <c r="I111" s="112">
        <f t="shared" si="20"/>
        <v>38</v>
      </c>
      <c r="J111" s="111">
        <f t="shared" si="15"/>
        <v>313</v>
      </c>
    </row>
    <row r="112" spans="2:10" ht="15" customHeight="1">
      <c r="B112" s="114">
        <v>2028</v>
      </c>
      <c r="C112" s="113">
        <f t="shared" si="14"/>
        <v>60</v>
      </c>
      <c r="D112" s="324">
        <f>ROUND((C111-M50)-(C111*$D$98),0)</f>
        <v>47</v>
      </c>
      <c r="E112" s="112">
        <f t="shared" si="16"/>
        <v>45</v>
      </c>
      <c r="F112" s="112">
        <f t="shared" si="17"/>
        <v>44</v>
      </c>
      <c r="G112" s="112">
        <f t="shared" si="18"/>
        <v>41</v>
      </c>
      <c r="H112" s="112">
        <f t="shared" si="19"/>
        <v>36</v>
      </c>
      <c r="I112" s="112">
        <f t="shared" si="20"/>
        <v>44</v>
      </c>
      <c r="J112" s="111">
        <f t="shared" si="15"/>
        <v>317</v>
      </c>
    </row>
    <row r="113" spans="2:10" ht="15" customHeight="1">
      <c r="B113" s="114">
        <v>2029</v>
      </c>
      <c r="C113" s="113">
        <f t="shared" si="14"/>
        <v>60</v>
      </c>
      <c r="D113" s="324">
        <f>ROUND((C112-N50)-(C112*$D$98),0)</f>
        <v>47</v>
      </c>
      <c r="E113" s="112">
        <f t="shared" si="16"/>
        <v>45</v>
      </c>
      <c r="F113" s="112">
        <f t="shared" si="17"/>
        <v>43</v>
      </c>
      <c r="G113" s="112">
        <f t="shared" si="18"/>
        <v>41</v>
      </c>
      <c r="H113" s="112">
        <f t="shared" si="19"/>
        <v>43</v>
      </c>
      <c r="I113" s="112">
        <f t="shared" si="20"/>
        <v>36</v>
      </c>
      <c r="J113" s="111">
        <f t="shared" si="15"/>
        <v>315</v>
      </c>
    </row>
    <row r="114" spans="2:10" ht="15" customHeight="1">
      <c r="B114" s="114">
        <v>2030</v>
      </c>
      <c r="C114" s="113">
        <f t="shared" si="14"/>
        <v>60</v>
      </c>
      <c r="D114" s="324">
        <f>ROUND((C113-O50)-(C113*$D$98),0)</f>
        <v>47</v>
      </c>
      <c r="E114" s="112">
        <f t="shared" si="16"/>
        <v>45</v>
      </c>
      <c r="F114" s="112">
        <f t="shared" si="17"/>
        <v>43</v>
      </c>
      <c r="G114" s="112">
        <f t="shared" si="18"/>
        <v>40</v>
      </c>
      <c r="H114" s="112">
        <f t="shared" si="19"/>
        <v>43</v>
      </c>
      <c r="I114" s="112">
        <f t="shared" si="20"/>
        <v>43</v>
      </c>
      <c r="J114" s="111">
        <f t="shared" si="15"/>
        <v>321</v>
      </c>
    </row>
    <row r="115" spans="2:10" ht="15" customHeight="1">
      <c r="B115" s="114">
        <v>2031</v>
      </c>
      <c r="C115" s="113">
        <f t="shared" si="14"/>
        <v>60</v>
      </c>
      <c r="D115" s="324">
        <f>ROUND((C114-P50)-(C114*$D$98),0)</f>
        <v>47</v>
      </c>
      <c r="E115" s="112">
        <f t="shared" si="16"/>
        <v>45</v>
      </c>
      <c r="F115" s="112">
        <f t="shared" si="17"/>
        <v>43</v>
      </c>
      <c r="G115" s="112">
        <f t="shared" si="18"/>
        <v>40</v>
      </c>
      <c r="H115" s="112">
        <f t="shared" si="19"/>
        <v>42</v>
      </c>
      <c r="I115" s="112">
        <f t="shared" si="20"/>
        <v>43</v>
      </c>
      <c r="J115" s="111">
        <f t="shared" si="15"/>
        <v>320</v>
      </c>
    </row>
    <row r="116" spans="2:10" ht="15" customHeight="1">
      <c r="B116" s="114">
        <v>2032</v>
      </c>
      <c r="C116" s="113">
        <f t="shared" si="14"/>
        <v>60</v>
      </c>
      <c r="D116" s="324">
        <f>ROUND((C115-Q50)-(C115*$D$98),0)</f>
        <v>47</v>
      </c>
      <c r="E116" s="112">
        <f t="shared" si="16"/>
        <v>45</v>
      </c>
      <c r="F116" s="112">
        <f t="shared" si="17"/>
        <v>43</v>
      </c>
      <c r="G116" s="112">
        <f t="shared" si="18"/>
        <v>40</v>
      </c>
      <c r="H116" s="112">
        <f t="shared" si="19"/>
        <v>42</v>
      </c>
      <c r="I116" s="112">
        <f t="shared" si="20"/>
        <v>42</v>
      </c>
      <c r="J116" s="111">
        <f t="shared" si="15"/>
        <v>319</v>
      </c>
    </row>
    <row r="117" spans="2:10" ht="15" hidden="1" customHeight="1">
      <c r="F117" s="14"/>
      <c r="G117" s="14"/>
    </row>
    <row r="118" spans="2:10" ht="15" hidden="1" customHeight="1">
      <c r="B118" s="15" t="str">
        <f>"Table 4C: "&amp;E3&amp;" Projected Pupil Generation from Housing Development, 2019-2032"</f>
        <v>Table 4C: Craigroyston Primary School Projected Pupil Generation from Housing Development, 2019-2032</v>
      </c>
      <c r="F118" s="14"/>
      <c r="G118" s="14"/>
    </row>
    <row r="119" spans="2:10" ht="15" hidden="1" customHeight="1">
      <c r="F119" s="14"/>
      <c r="G119" s="14"/>
    </row>
    <row r="120" spans="2:10" ht="15" hidden="1" customHeight="1">
      <c r="B120" s="115"/>
      <c r="C120" s="109" t="s">
        <v>1</v>
      </c>
      <c r="D120" s="109" t="s">
        <v>2</v>
      </c>
      <c r="E120" s="109" t="s">
        <v>3</v>
      </c>
      <c r="F120" s="109" t="s">
        <v>4</v>
      </c>
      <c r="G120" s="109" t="s">
        <v>5</v>
      </c>
      <c r="H120" s="109" t="s">
        <v>6</v>
      </c>
      <c r="I120" s="109" t="s">
        <v>7</v>
      </c>
      <c r="J120" s="109" t="s">
        <v>8</v>
      </c>
    </row>
    <row r="121" spans="2:10" ht="15" hidden="1" customHeight="1">
      <c r="B121" s="114">
        <v>2019</v>
      </c>
      <c r="C121" s="116" t="s">
        <v>97</v>
      </c>
      <c r="D121" s="112">
        <f>VLOOKUP($E$3,'Housing Generation'!$A$3:$BE$90,11,FALSE)</f>
        <v>3</v>
      </c>
      <c r="E121" s="112">
        <f>VLOOKUP($E$3,'Housing Generation'!$A$3:$BE$90,12,FALSE)</f>
        <v>2</v>
      </c>
      <c r="F121" s="112">
        <f>VLOOKUP($E$3,'Housing Generation'!$A$3:$BE$90,13,FALSE)</f>
        <v>2</v>
      </c>
      <c r="G121" s="112">
        <f>VLOOKUP($E$3,'Housing Generation'!$A$3:$BE$90,14,FALSE)</f>
        <v>2</v>
      </c>
      <c r="H121" s="112">
        <f>VLOOKUP($E$3,'Housing Generation'!$A$3:$BE$90,15,FALSE)</f>
        <v>2</v>
      </c>
      <c r="I121" s="112">
        <f>VLOOKUP($E$3,'Housing Generation'!$A$3:$BE$90,16,FALSE)</f>
        <v>2</v>
      </c>
      <c r="J121" s="111">
        <f t="shared" ref="J121:J134" si="21">SUM(D121:I121)</f>
        <v>13</v>
      </c>
    </row>
    <row r="122" spans="2:10" ht="15" hidden="1" customHeight="1">
      <c r="B122" s="114">
        <v>2020</v>
      </c>
      <c r="C122" s="116" t="s">
        <v>97</v>
      </c>
      <c r="D122" s="112">
        <f>VLOOKUP($E$3,'Housing Generation'!$A$3:$BE$90,19,FALSE)</f>
        <v>3</v>
      </c>
      <c r="E122" s="112">
        <f>VLOOKUP($E$3,'Housing Generation'!$A$3:$BE$90,20,FALSE)</f>
        <v>2</v>
      </c>
      <c r="F122" s="112">
        <f>VLOOKUP($E$3,'Housing Generation'!$A$3:$BE$90,21,FALSE)</f>
        <v>2</v>
      </c>
      <c r="G122" s="112">
        <f>VLOOKUP($E$3,'Housing Generation'!$A$3:$BE$90,22,FALSE)</f>
        <v>2</v>
      </c>
      <c r="H122" s="112">
        <f>VLOOKUP($E$3,'Housing Generation'!$A$3:$BE$90,23,FALSE)</f>
        <v>2</v>
      </c>
      <c r="I122" s="112">
        <f>VLOOKUP($E$3,'Housing Generation'!$A$3:$BE$90,24,FALSE)</f>
        <v>2</v>
      </c>
      <c r="J122" s="111">
        <f t="shared" si="21"/>
        <v>13</v>
      </c>
    </row>
    <row r="123" spans="2:10" ht="15" hidden="1" customHeight="1">
      <c r="B123" s="114">
        <v>2021</v>
      </c>
      <c r="C123" s="116" t="s">
        <v>97</v>
      </c>
      <c r="D123" s="112">
        <f>VLOOKUP($E$3,'Housing Generation'!$A$3:$BE$90,27,FALSE)</f>
        <v>4</v>
      </c>
      <c r="E123" s="112">
        <f>VLOOKUP($E$3,'Housing Generation'!$A$3:$BE$90,28,FALSE)</f>
        <v>4</v>
      </c>
      <c r="F123" s="112">
        <f>VLOOKUP($E$3,'Housing Generation'!$A$3:$BE$90,29,FALSE)</f>
        <v>3</v>
      </c>
      <c r="G123" s="112">
        <f>VLOOKUP($E$3,'Housing Generation'!$A$3:$BE$90,30,FALSE)</f>
        <v>3</v>
      </c>
      <c r="H123" s="112">
        <f>VLOOKUP($E$3,'Housing Generation'!$A$3:$BE$90,31,FALSE)</f>
        <v>3</v>
      </c>
      <c r="I123" s="112">
        <f>VLOOKUP($E$3,'Housing Generation'!$A$3:$BE$90,32,FALSE)</f>
        <v>3</v>
      </c>
      <c r="J123" s="111">
        <f t="shared" si="21"/>
        <v>20</v>
      </c>
    </row>
    <row r="124" spans="2:10" ht="15" hidden="1" customHeight="1">
      <c r="B124" s="114">
        <v>2022</v>
      </c>
      <c r="C124" s="116" t="s">
        <v>97</v>
      </c>
      <c r="D124" s="112">
        <f>VLOOKUP($E$3,'Housing Generation'!$A$3:$BE$90,35,FALSE)</f>
        <v>6</v>
      </c>
      <c r="E124" s="112">
        <f>VLOOKUP($E$3,'Housing Generation'!$A$3:$BE$90,36,FALSE)</f>
        <v>5</v>
      </c>
      <c r="F124" s="112">
        <f>VLOOKUP($E$3,'Housing Generation'!$A$3:$BE$90,37,FALSE)</f>
        <v>5</v>
      </c>
      <c r="G124" s="112">
        <f>VLOOKUP($E$3,'Housing Generation'!$A$3:$BE$90,38,FALSE)</f>
        <v>5</v>
      </c>
      <c r="H124" s="112">
        <f>VLOOKUP($E$3,'Housing Generation'!$A$3:$BE$90,39,FALSE)</f>
        <v>5</v>
      </c>
      <c r="I124" s="112">
        <f>VLOOKUP($E$3,'Housing Generation'!$A$3:$BE$90,40,FALSE)</f>
        <v>5</v>
      </c>
      <c r="J124" s="111">
        <f t="shared" si="21"/>
        <v>31</v>
      </c>
    </row>
    <row r="125" spans="2:10" ht="15" hidden="1" customHeight="1">
      <c r="B125" s="114">
        <v>2023</v>
      </c>
      <c r="C125" s="116" t="s">
        <v>97</v>
      </c>
      <c r="D125" s="112">
        <f>VLOOKUP($E$3,'Housing Generation'!$A$3:$BE$90,43,FALSE)</f>
        <v>7</v>
      </c>
      <c r="E125" s="112">
        <f>VLOOKUP($E$3,'Housing Generation'!$A$3:$BE$90,44,FALSE)</f>
        <v>7</v>
      </c>
      <c r="F125" s="112">
        <f>VLOOKUP($E$3,'Housing Generation'!$A$3:$BE$90,45,FALSE)</f>
        <v>7</v>
      </c>
      <c r="G125" s="112">
        <f>VLOOKUP($E$3,'Housing Generation'!$A$3:$BE$90,46,FALSE)</f>
        <v>7</v>
      </c>
      <c r="H125" s="112">
        <f>VLOOKUP($E$3,'Housing Generation'!$A$3:$BE$90,47,FALSE)</f>
        <v>6</v>
      </c>
      <c r="I125" s="112">
        <f>VLOOKUP($E$3,'Housing Generation'!$A$3:$BE$90,48,FALSE)</f>
        <v>6</v>
      </c>
      <c r="J125" s="111">
        <f t="shared" si="21"/>
        <v>40</v>
      </c>
    </row>
    <row r="126" spans="2:10" ht="15" hidden="1" customHeight="1">
      <c r="B126" s="114">
        <v>2024</v>
      </c>
      <c r="C126" s="116" t="s">
        <v>97</v>
      </c>
      <c r="D126" s="112">
        <f>VLOOKUP($E$3,'Housing Generation'!$A$3:$BE$90,51,FALSE)</f>
        <v>8</v>
      </c>
      <c r="E126" s="112">
        <f>VLOOKUP($E$3,'Housing Generation'!$A$3:$BE$90,52,FALSE)</f>
        <v>8</v>
      </c>
      <c r="F126" s="112">
        <f>VLOOKUP($E$3,'Housing Generation'!$A$3:$BE$90,53,FALSE)</f>
        <v>8</v>
      </c>
      <c r="G126" s="112">
        <f>VLOOKUP($E$3,'Housing Generation'!$A$3:$BE$90,54,FALSE)</f>
        <v>8</v>
      </c>
      <c r="H126" s="112">
        <f>VLOOKUP($E$3,'Housing Generation'!$A$3:$BE$90,55,FALSE)</f>
        <v>7</v>
      </c>
      <c r="I126" s="112">
        <f>VLOOKUP($E$3,'Housing Generation'!$A$3:$BE$90,56,FALSE)</f>
        <v>7</v>
      </c>
      <c r="J126" s="111">
        <f t="shared" si="21"/>
        <v>46</v>
      </c>
    </row>
    <row r="127" spans="2:10" ht="15" hidden="1" customHeight="1">
      <c r="B127" s="114">
        <v>2025</v>
      </c>
      <c r="C127" s="240" t="s">
        <v>97</v>
      </c>
      <c r="D127" s="112">
        <f>VLOOKUP($E$3,'Housing Generation'!$A$3:$CK$90,59,FALSE)</f>
        <v>9</v>
      </c>
      <c r="E127" s="112">
        <f>VLOOKUP($E$3,'Housing Generation'!$A$3:$CK$90,60,FALSE)</f>
        <v>9</v>
      </c>
      <c r="F127" s="112">
        <f>VLOOKUP($E$3,'Housing Generation'!$A$3:$CK$90,61,FALSE)</f>
        <v>9</v>
      </c>
      <c r="G127" s="112">
        <f>VLOOKUP($E$3,'Housing Generation'!$A$3:$CK$90,62,FALSE)</f>
        <v>9</v>
      </c>
      <c r="H127" s="112">
        <f>VLOOKUP($E$3,'Housing Generation'!$A$3:$CK$90,63,FALSE)</f>
        <v>8</v>
      </c>
      <c r="I127" s="112">
        <f>VLOOKUP($E$3,'Housing Generation'!$A$3:$CK$90,64,FALSE)</f>
        <v>8</v>
      </c>
      <c r="J127" s="111">
        <f t="shared" si="21"/>
        <v>52</v>
      </c>
    </row>
    <row r="128" spans="2:10" ht="15" hidden="1" customHeight="1">
      <c r="B128" s="114">
        <v>2026</v>
      </c>
      <c r="C128" s="240" t="s">
        <v>97</v>
      </c>
      <c r="D128" s="112">
        <f>VLOOKUP($E$3,'Housing Generation'!$A$3:$CK$90,67,FALSE)</f>
        <v>10</v>
      </c>
      <c r="E128" s="112">
        <f>VLOOKUP($E$3,'Housing Generation'!$A$3:$CK$90,68,FALSE)</f>
        <v>10</v>
      </c>
      <c r="F128" s="112">
        <f>VLOOKUP($E$3,'Housing Generation'!$A$3:$CK$90,69,FALSE)</f>
        <v>10</v>
      </c>
      <c r="G128" s="112">
        <f>VLOOKUP($E$3,'Housing Generation'!$A$3:$CK$90,70,FALSE)</f>
        <v>10</v>
      </c>
      <c r="H128" s="112">
        <f>VLOOKUP($E$3,'Housing Generation'!$A$3:$CK$90,71,FALSE)</f>
        <v>9</v>
      </c>
      <c r="I128" s="112">
        <f>VLOOKUP($E$3,'Housing Generation'!$A$3:$CK$90,72,FALSE)</f>
        <v>9</v>
      </c>
      <c r="J128" s="111">
        <f t="shared" si="21"/>
        <v>58</v>
      </c>
    </row>
    <row r="129" spans="2:10" ht="15" hidden="1" customHeight="1">
      <c r="B129" s="114">
        <v>2027</v>
      </c>
      <c r="C129" s="240" t="s">
        <v>97</v>
      </c>
      <c r="D129" s="112">
        <f>VLOOKUP($E$3,'Housing Generation'!$A$3:$CK$90,75,FALSE)</f>
        <v>11</v>
      </c>
      <c r="E129" s="112">
        <f>VLOOKUP($E$3,'Housing Generation'!$A$3:$CK$90,76,FALSE)</f>
        <v>11</v>
      </c>
      <c r="F129" s="112">
        <f>VLOOKUP($E$3,'Housing Generation'!$A$3:$CK$90,77,FALSE)</f>
        <v>11</v>
      </c>
      <c r="G129" s="112">
        <f>VLOOKUP($E$3,'Housing Generation'!$A$3:$CK$90,78,FALSE)</f>
        <v>10</v>
      </c>
      <c r="H129" s="112">
        <f>VLOOKUP($E$3,'Housing Generation'!$A$3:$CK$90,79,FALSE)</f>
        <v>10</v>
      </c>
      <c r="I129" s="112">
        <f>VLOOKUP($E$3,'Housing Generation'!$A$3:$CK$90,80,FALSE)</f>
        <v>10</v>
      </c>
      <c r="J129" s="111">
        <f t="shared" si="21"/>
        <v>63</v>
      </c>
    </row>
    <row r="130" spans="2:10" ht="15" customHeight="1">
      <c r="B130" s="114">
        <v>2028</v>
      </c>
      <c r="C130" s="289" t="s">
        <v>97</v>
      </c>
      <c r="D130" s="112">
        <f>VLOOKUP($E$3,'Housing Generation'!$A$3:$CK$90,83,FALSE)</f>
        <v>11</v>
      </c>
      <c r="E130" s="112">
        <f>VLOOKUP($E$3,'Housing Generation'!$A$3:$CK$90,84,FALSE)</f>
        <v>11</v>
      </c>
      <c r="F130" s="112">
        <f>VLOOKUP($E$3,'Housing Generation'!$A$3:$CK$90,85,FALSE)</f>
        <v>11</v>
      </c>
      <c r="G130" s="112">
        <f>VLOOKUP($E$3,'Housing Generation'!$A$3:$CK$90,86,FALSE)</f>
        <v>10</v>
      </c>
      <c r="H130" s="112">
        <f>VLOOKUP($E$3,'Housing Generation'!$A$3:$CK$90,87,FALSE)</f>
        <v>10</v>
      </c>
      <c r="I130" s="112">
        <f>VLOOKUP($E$3,'Housing Generation'!$A$3:$CK$90,88,FALSE)</f>
        <v>10</v>
      </c>
      <c r="J130" s="111">
        <f t="shared" si="21"/>
        <v>63</v>
      </c>
    </row>
    <row r="131" spans="2:10" ht="15" customHeight="1">
      <c r="B131" s="114">
        <v>2029</v>
      </c>
      <c r="C131" s="289" t="s">
        <v>97</v>
      </c>
      <c r="D131" s="112">
        <f>VLOOKUP($E$3,'Housing Generation'!$A$3:$DQ$90,91,FALSE)</f>
        <v>11</v>
      </c>
      <c r="E131" s="112">
        <f>VLOOKUP($E$3,'Housing Generation'!$A$3:$DQ$90,92,FALSE)</f>
        <v>11</v>
      </c>
      <c r="F131" s="112">
        <f>VLOOKUP($E$3,'Housing Generation'!$A$3:$DQ$90,93,FALSE)</f>
        <v>11</v>
      </c>
      <c r="G131" s="112">
        <f>VLOOKUP($E$3,'Housing Generation'!$A$3:$DQ$90,94,FALSE)</f>
        <v>10</v>
      </c>
      <c r="H131" s="112">
        <f>VLOOKUP($E$3,'Housing Generation'!$A$3:$DQ$90,95,FALSE)</f>
        <v>10</v>
      </c>
      <c r="I131" s="112">
        <f>VLOOKUP($E$3,'Housing Generation'!$A$3:$DQ$90,96,FALSE)</f>
        <v>10</v>
      </c>
      <c r="J131" s="111">
        <f t="shared" si="21"/>
        <v>63</v>
      </c>
    </row>
    <row r="132" spans="2:10" ht="15" customHeight="1">
      <c r="B132" s="114">
        <v>2030</v>
      </c>
      <c r="C132" s="289" t="s">
        <v>97</v>
      </c>
      <c r="D132" s="112">
        <f>VLOOKUP($E$3,'Housing Generation'!$A$3:$DQ$90,99,FALSE)</f>
        <v>11</v>
      </c>
      <c r="E132" s="112">
        <f>VLOOKUP($E$3,'Housing Generation'!$A$3:$DQ$90,100,FALSE)</f>
        <v>11</v>
      </c>
      <c r="F132" s="112">
        <f>VLOOKUP($E$3,'Housing Generation'!$A$3:$DQ$90,101,FALSE)</f>
        <v>11</v>
      </c>
      <c r="G132" s="112">
        <f>VLOOKUP($E$3,'Housing Generation'!$A$3:$DQ$90,102,FALSE)</f>
        <v>10</v>
      </c>
      <c r="H132" s="112">
        <f>VLOOKUP($E$3,'Housing Generation'!$A$3:$DQ$90,103,FALSE)</f>
        <v>10</v>
      </c>
      <c r="I132" s="112">
        <f>VLOOKUP($E$3,'Housing Generation'!$A$3:$DQ$90,104,FALSE)</f>
        <v>10</v>
      </c>
      <c r="J132" s="111">
        <f t="shared" si="21"/>
        <v>63</v>
      </c>
    </row>
    <row r="133" spans="2:10" ht="15" customHeight="1">
      <c r="B133" s="114">
        <v>2031</v>
      </c>
      <c r="C133" s="289" t="s">
        <v>97</v>
      </c>
      <c r="D133" s="112">
        <f>VLOOKUP($E$3,'Housing Generation'!$A$3:$DQ$90,107,FALSE)</f>
        <v>11</v>
      </c>
      <c r="E133" s="112">
        <f>VLOOKUP($E$3,'Housing Generation'!$A$3:$DQ$90,108,FALSE)</f>
        <v>11</v>
      </c>
      <c r="F133" s="112">
        <f>VLOOKUP($E$3,'Housing Generation'!$A$3:$DQ$90,109,FALSE)</f>
        <v>11</v>
      </c>
      <c r="G133" s="112">
        <f>VLOOKUP($E$3,'Housing Generation'!$A$3:$DQ$90,110,FALSE)</f>
        <v>10</v>
      </c>
      <c r="H133" s="112">
        <f>VLOOKUP($E$3,'Housing Generation'!$A$3:$DQ$90,111,FALSE)</f>
        <v>10</v>
      </c>
      <c r="I133" s="112">
        <f>VLOOKUP($E$3,'Housing Generation'!$A$3:$DQ$90,112,FALSE)</f>
        <v>10</v>
      </c>
      <c r="J133" s="111">
        <f t="shared" si="21"/>
        <v>63</v>
      </c>
    </row>
    <row r="134" spans="2:10" ht="15" customHeight="1">
      <c r="B134" s="114">
        <v>2032</v>
      </c>
      <c r="C134" s="289" t="s">
        <v>97</v>
      </c>
      <c r="D134" s="112">
        <f>VLOOKUP($E$3,'Housing Generation'!$A$3:$DQ$90,115,FALSE)</f>
        <v>11</v>
      </c>
      <c r="E134" s="112">
        <f>VLOOKUP($E$3,'Housing Generation'!$A$3:$DQ$90,116,FALSE)</f>
        <v>11</v>
      </c>
      <c r="F134" s="112">
        <f>VLOOKUP($E$3,'Housing Generation'!$A$3:$DQ$90,117,FALSE)</f>
        <v>11</v>
      </c>
      <c r="G134" s="112">
        <f>VLOOKUP($E$3,'Housing Generation'!$A$3:$DQ$90,118,FALSE)</f>
        <v>10</v>
      </c>
      <c r="H134" s="112">
        <f>VLOOKUP($E$3,'Housing Generation'!$A$3:$DQ$90,119,FALSE)</f>
        <v>10</v>
      </c>
      <c r="I134" s="112">
        <f>VLOOKUP($E$3,'Housing Generation'!$A$3:$DQ$90,120,FALSE)</f>
        <v>10</v>
      </c>
      <c r="J134" s="111">
        <f t="shared" si="21"/>
        <v>63</v>
      </c>
    </row>
    <row r="135" spans="2:10" ht="15" hidden="1"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Craigroyston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50</v>
      </c>
      <c r="D139" s="112">
        <f t="shared" ref="D139:I152" si="23">D121+D103</f>
        <v>51</v>
      </c>
      <c r="E139" s="112">
        <f t="shared" si="23"/>
        <v>43</v>
      </c>
      <c r="F139" s="112">
        <f t="shared" si="23"/>
        <v>47</v>
      </c>
      <c r="G139" s="112">
        <f t="shared" si="23"/>
        <v>37</v>
      </c>
      <c r="H139" s="112">
        <f t="shared" si="23"/>
        <v>46</v>
      </c>
      <c r="I139" s="112">
        <f t="shared" si="23"/>
        <v>35</v>
      </c>
      <c r="J139" s="111">
        <f t="shared" ref="J139:J147" si="24">SUM(C139:I139)</f>
        <v>309</v>
      </c>
    </row>
    <row r="140" spans="2:10" ht="15" customHeight="1">
      <c r="B140" s="114">
        <v>2020</v>
      </c>
      <c r="C140" s="113">
        <f t="shared" si="22"/>
        <v>49.007403490216809</v>
      </c>
      <c r="D140" s="112">
        <f t="shared" si="23"/>
        <v>48</v>
      </c>
      <c r="E140" s="112">
        <f t="shared" si="23"/>
        <v>48</v>
      </c>
      <c r="F140" s="112">
        <f t="shared" si="23"/>
        <v>41</v>
      </c>
      <c r="G140" s="112">
        <f t="shared" si="23"/>
        <v>44</v>
      </c>
      <c r="H140" s="112">
        <f t="shared" si="23"/>
        <v>39</v>
      </c>
      <c r="I140" s="112">
        <f t="shared" si="23"/>
        <v>46</v>
      </c>
      <c r="J140" s="111">
        <f t="shared" si="24"/>
        <v>315.0074034902168</v>
      </c>
    </row>
    <row r="141" spans="2:10" ht="15" customHeight="1">
      <c r="B141" s="114">
        <v>2021</v>
      </c>
      <c r="C141" s="113">
        <f t="shared" si="22"/>
        <v>50</v>
      </c>
      <c r="D141" s="112">
        <f t="shared" si="23"/>
        <v>47</v>
      </c>
      <c r="E141" s="112">
        <f t="shared" si="23"/>
        <v>47</v>
      </c>
      <c r="F141" s="112">
        <f t="shared" si="23"/>
        <v>47</v>
      </c>
      <c r="G141" s="112">
        <f t="shared" si="23"/>
        <v>39</v>
      </c>
      <c r="H141" s="112">
        <f t="shared" si="23"/>
        <v>47</v>
      </c>
      <c r="I141" s="112">
        <f t="shared" si="23"/>
        <v>40</v>
      </c>
      <c r="J141" s="111">
        <f t="shared" si="24"/>
        <v>317</v>
      </c>
    </row>
    <row r="142" spans="2:10" ht="15" customHeight="1">
      <c r="B142" s="114">
        <v>2022</v>
      </c>
      <c r="C142" s="113">
        <f t="shared" si="22"/>
        <v>60</v>
      </c>
      <c r="D142" s="112">
        <f t="shared" si="23"/>
        <v>48</v>
      </c>
      <c r="E142" s="112">
        <f t="shared" si="23"/>
        <v>46</v>
      </c>
      <c r="F142" s="112">
        <f t="shared" si="23"/>
        <v>46</v>
      </c>
      <c r="G142" s="112">
        <f t="shared" si="23"/>
        <v>46</v>
      </c>
      <c r="H142" s="112">
        <f t="shared" si="23"/>
        <v>43</v>
      </c>
      <c r="I142" s="112">
        <f t="shared" si="23"/>
        <v>49</v>
      </c>
      <c r="J142" s="111">
        <f t="shared" si="24"/>
        <v>338</v>
      </c>
    </row>
    <row r="143" spans="2:10" ht="15" customHeight="1">
      <c r="B143" s="114">
        <v>2023</v>
      </c>
      <c r="C143" s="113">
        <f t="shared" si="22"/>
        <v>50</v>
      </c>
      <c r="D143" s="112">
        <f t="shared" si="23"/>
        <v>58</v>
      </c>
      <c r="E143" s="112">
        <f t="shared" si="23"/>
        <v>47</v>
      </c>
      <c r="F143" s="112">
        <f t="shared" si="23"/>
        <v>46</v>
      </c>
      <c r="G143" s="112">
        <f t="shared" si="23"/>
        <v>45</v>
      </c>
      <c r="H143" s="112">
        <f t="shared" si="23"/>
        <v>49</v>
      </c>
      <c r="I143" s="112">
        <f t="shared" si="23"/>
        <v>44</v>
      </c>
      <c r="J143" s="111">
        <f t="shared" si="24"/>
        <v>339</v>
      </c>
    </row>
    <row r="144" spans="2:10" ht="15" customHeight="1">
      <c r="B144" s="114">
        <v>2024</v>
      </c>
      <c r="C144" s="113">
        <f t="shared" si="22"/>
        <v>59.803052051068967</v>
      </c>
      <c r="D144" s="112">
        <f t="shared" si="23"/>
        <v>48</v>
      </c>
      <c r="E144" s="112">
        <f t="shared" si="23"/>
        <v>56</v>
      </c>
      <c r="F144" s="112">
        <f t="shared" si="23"/>
        <v>46</v>
      </c>
      <c r="G144" s="112">
        <f t="shared" si="23"/>
        <v>44</v>
      </c>
      <c r="H144" s="112">
        <f t="shared" si="23"/>
        <v>47</v>
      </c>
      <c r="I144" s="112">
        <f t="shared" si="23"/>
        <v>50</v>
      </c>
      <c r="J144" s="111">
        <f t="shared" si="24"/>
        <v>350.80305205106896</v>
      </c>
    </row>
    <row r="145" spans="2:16" ht="15" customHeight="1">
      <c r="B145" s="114">
        <v>2025</v>
      </c>
      <c r="C145" s="113">
        <f t="shared" si="22"/>
        <v>60</v>
      </c>
      <c r="D145" s="112">
        <f t="shared" si="23"/>
        <v>57</v>
      </c>
      <c r="E145" s="112">
        <f t="shared" si="23"/>
        <v>47</v>
      </c>
      <c r="F145" s="112">
        <f t="shared" si="23"/>
        <v>54</v>
      </c>
      <c r="G145" s="112">
        <f t="shared" si="23"/>
        <v>45</v>
      </c>
      <c r="H145" s="112">
        <f t="shared" si="23"/>
        <v>46</v>
      </c>
      <c r="I145" s="112">
        <f t="shared" si="23"/>
        <v>48</v>
      </c>
      <c r="J145" s="111">
        <f t="shared" si="24"/>
        <v>357</v>
      </c>
    </row>
    <row r="146" spans="2:16" ht="15" customHeight="1">
      <c r="B146" s="114">
        <v>2026</v>
      </c>
      <c r="C146" s="113">
        <f t="shared" si="22"/>
        <v>60</v>
      </c>
      <c r="D146" s="112">
        <f t="shared" si="23"/>
        <v>58</v>
      </c>
      <c r="E146" s="112">
        <f t="shared" si="23"/>
        <v>56</v>
      </c>
      <c r="F146" s="112">
        <f t="shared" si="23"/>
        <v>46</v>
      </c>
      <c r="G146" s="112">
        <f t="shared" si="23"/>
        <v>52</v>
      </c>
      <c r="H146" s="112">
        <f t="shared" si="23"/>
        <v>47</v>
      </c>
      <c r="I146" s="112">
        <f t="shared" si="23"/>
        <v>47</v>
      </c>
      <c r="J146" s="111">
        <f t="shared" si="24"/>
        <v>366</v>
      </c>
    </row>
    <row r="147" spans="2:16" ht="15" customHeight="1">
      <c r="B147" s="114">
        <v>2027</v>
      </c>
      <c r="C147" s="113">
        <f t="shared" si="22"/>
        <v>60</v>
      </c>
      <c r="D147" s="112">
        <f t="shared" si="23"/>
        <v>58</v>
      </c>
      <c r="E147" s="112">
        <f t="shared" si="23"/>
        <v>57</v>
      </c>
      <c r="F147" s="112">
        <f t="shared" si="23"/>
        <v>55</v>
      </c>
      <c r="G147" s="112">
        <f t="shared" si="23"/>
        <v>44</v>
      </c>
      <c r="H147" s="112">
        <f t="shared" si="23"/>
        <v>54</v>
      </c>
      <c r="I147" s="112">
        <f t="shared" si="23"/>
        <v>48</v>
      </c>
      <c r="J147" s="111">
        <f t="shared" si="24"/>
        <v>376</v>
      </c>
    </row>
    <row r="148" spans="2:16" ht="15" customHeight="1">
      <c r="B148" s="114">
        <v>2028</v>
      </c>
      <c r="C148" s="113">
        <f t="shared" si="22"/>
        <v>60</v>
      </c>
      <c r="D148" s="112">
        <f t="shared" si="23"/>
        <v>58</v>
      </c>
      <c r="E148" s="112">
        <f t="shared" si="23"/>
        <v>56</v>
      </c>
      <c r="F148" s="112">
        <f t="shared" si="23"/>
        <v>55</v>
      </c>
      <c r="G148" s="112">
        <f t="shared" si="23"/>
        <v>51</v>
      </c>
      <c r="H148" s="112">
        <f t="shared" si="23"/>
        <v>46</v>
      </c>
      <c r="I148" s="112">
        <f t="shared" si="23"/>
        <v>54</v>
      </c>
      <c r="J148" s="111">
        <f t="shared" ref="J148:J152" si="25">SUM(C148:I148)</f>
        <v>380</v>
      </c>
    </row>
    <row r="149" spans="2:16" ht="15" customHeight="1">
      <c r="B149" s="114">
        <v>2029</v>
      </c>
      <c r="C149" s="113">
        <f t="shared" si="22"/>
        <v>60</v>
      </c>
      <c r="D149" s="112">
        <f t="shared" si="23"/>
        <v>58</v>
      </c>
      <c r="E149" s="112">
        <f t="shared" si="23"/>
        <v>56</v>
      </c>
      <c r="F149" s="112">
        <f t="shared" si="23"/>
        <v>54</v>
      </c>
      <c r="G149" s="112">
        <f t="shared" si="23"/>
        <v>51</v>
      </c>
      <c r="H149" s="112">
        <f t="shared" si="23"/>
        <v>53</v>
      </c>
      <c r="I149" s="112">
        <f t="shared" si="23"/>
        <v>46</v>
      </c>
      <c r="J149" s="111">
        <f t="shared" si="25"/>
        <v>378</v>
      </c>
    </row>
    <row r="150" spans="2:16" ht="15" customHeight="1">
      <c r="B150" s="114">
        <v>2030</v>
      </c>
      <c r="C150" s="113">
        <f t="shared" si="22"/>
        <v>60</v>
      </c>
      <c r="D150" s="112">
        <f t="shared" si="23"/>
        <v>58</v>
      </c>
      <c r="E150" s="112">
        <f t="shared" si="23"/>
        <v>56</v>
      </c>
      <c r="F150" s="112">
        <f t="shared" si="23"/>
        <v>54</v>
      </c>
      <c r="G150" s="112">
        <f t="shared" si="23"/>
        <v>50</v>
      </c>
      <c r="H150" s="112">
        <f t="shared" si="23"/>
        <v>53</v>
      </c>
      <c r="I150" s="112">
        <f t="shared" si="23"/>
        <v>53</v>
      </c>
      <c r="J150" s="111">
        <f t="shared" si="25"/>
        <v>384</v>
      </c>
    </row>
    <row r="151" spans="2:16" ht="15" customHeight="1">
      <c r="B151" s="114">
        <v>2031</v>
      </c>
      <c r="C151" s="113">
        <f t="shared" si="22"/>
        <v>60</v>
      </c>
      <c r="D151" s="112">
        <f t="shared" si="23"/>
        <v>58</v>
      </c>
      <c r="E151" s="112">
        <f t="shared" si="23"/>
        <v>56</v>
      </c>
      <c r="F151" s="112">
        <f t="shared" si="23"/>
        <v>54</v>
      </c>
      <c r="G151" s="112">
        <f t="shared" si="23"/>
        <v>50</v>
      </c>
      <c r="H151" s="112">
        <f t="shared" si="23"/>
        <v>52</v>
      </c>
      <c r="I151" s="112">
        <f t="shared" si="23"/>
        <v>53</v>
      </c>
      <c r="J151" s="111">
        <f t="shared" si="25"/>
        <v>383</v>
      </c>
    </row>
    <row r="152" spans="2:16" ht="15" customHeight="1">
      <c r="B152" s="114">
        <v>2032</v>
      </c>
      <c r="C152" s="113">
        <f t="shared" si="22"/>
        <v>60</v>
      </c>
      <c r="D152" s="112">
        <f t="shared" si="23"/>
        <v>58</v>
      </c>
      <c r="E152" s="112">
        <f t="shared" si="23"/>
        <v>56</v>
      </c>
      <c r="F152" s="112">
        <f t="shared" si="23"/>
        <v>54</v>
      </c>
      <c r="G152" s="112">
        <f t="shared" si="23"/>
        <v>50</v>
      </c>
      <c r="H152" s="112">
        <f t="shared" si="23"/>
        <v>52</v>
      </c>
      <c r="I152" s="112">
        <f t="shared" si="23"/>
        <v>52</v>
      </c>
      <c r="J152" s="111">
        <f t="shared" si="25"/>
        <v>382</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309</v>
      </c>
      <c r="D159" s="108">
        <f>J140</f>
        <v>315.0074034902168</v>
      </c>
      <c r="E159" s="108">
        <f>J141</f>
        <v>317</v>
      </c>
      <c r="F159" s="108">
        <f>J142</f>
        <v>338</v>
      </c>
      <c r="G159" s="108">
        <f>J143</f>
        <v>339</v>
      </c>
      <c r="H159" s="108">
        <f>J144</f>
        <v>350.80305205106896</v>
      </c>
      <c r="I159" s="108">
        <f>J145</f>
        <v>357</v>
      </c>
      <c r="J159" s="108">
        <f>J146</f>
        <v>366</v>
      </c>
      <c r="K159" s="108">
        <f>J147</f>
        <v>376</v>
      </c>
      <c r="L159" s="108">
        <f>J148</f>
        <v>380</v>
      </c>
      <c r="M159" s="108">
        <f>J149</f>
        <v>378</v>
      </c>
      <c r="N159" s="108">
        <f>J150</f>
        <v>384</v>
      </c>
      <c r="O159" s="108">
        <f>J151</f>
        <v>383</v>
      </c>
      <c r="P159" s="108">
        <f>J152</f>
        <v>382</v>
      </c>
    </row>
    <row r="160" spans="2:16" ht="15" customHeight="1">
      <c r="B160" s="107" t="s">
        <v>152</v>
      </c>
      <c r="C160" s="106">
        <f>VLOOKUP(C159,Capacity!$A$1:$C$645,2,TRUE)</f>
        <v>12</v>
      </c>
      <c r="D160" s="106">
        <f>VLOOKUP(D159,Capacity!$A$1:$C$645,2,TRUE)</f>
        <v>12</v>
      </c>
      <c r="E160" s="106">
        <f>VLOOKUP(E159,Capacity!$A$1:$C$645,2,TRUE)</f>
        <v>13</v>
      </c>
      <c r="F160" s="106">
        <f>VLOOKUP(F159,Capacity!$A$1:$C$645,2,TRUE)</f>
        <v>14</v>
      </c>
      <c r="G160" s="106">
        <f>VLOOKUP(G159,Capacity!$A$1:$C$645,2,TRUE)</f>
        <v>14</v>
      </c>
      <c r="H160" s="106">
        <f>VLOOKUP(H159,Capacity!$A$1:$C$645,2,TRUE)</f>
        <v>14</v>
      </c>
      <c r="I160" s="106">
        <f>VLOOKUP(I159,Capacity!$A$1:$C$645,2,TRUE)</f>
        <v>14</v>
      </c>
      <c r="J160" s="106">
        <f>VLOOKUP(J159,Capacity!$A$1:$C$645,2,TRUE)</f>
        <v>14</v>
      </c>
      <c r="K160" s="106">
        <f>VLOOKUP(K159,Capacity!$A$1:$C$645,2,TRUE)</f>
        <v>14</v>
      </c>
      <c r="L160" s="106">
        <f>VLOOKUP(L159,Capacity!$A$1:$C$645,2,TRUE)</f>
        <v>14</v>
      </c>
      <c r="M160" s="106">
        <f>VLOOKUP(M159,Capacity!$A$1:$C$645,2,TRUE)</f>
        <v>14</v>
      </c>
      <c r="N160" s="106">
        <f>VLOOKUP(N159,Capacity!$A$1:$C$645,2,TRUE)</f>
        <v>14</v>
      </c>
      <c r="O160" s="106">
        <f>VLOOKUP(O159,Capacity!$A$1:$C$645,2,TRUE)</f>
        <v>14</v>
      </c>
      <c r="P160" s="106">
        <f>VLOOKUP(P159,Capacity!$A$1:$C$645,2,TRUE)</f>
        <v>14</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91</v>
      </c>
      <c r="D169" s="97">
        <f>VLOOKUP($E$3,'Catchment Births'!$A$1:$U$90,11,FALSE)</f>
        <v>102</v>
      </c>
      <c r="E169" s="97">
        <f>VLOOKUP($E$3,'Catchment Births'!$A$1:$U$90,12,FALSE)</f>
        <v>107</v>
      </c>
      <c r="F169" s="97">
        <f>VLOOKUP($E$3,'Catchment Births'!$A$1:$U$90,13,FALSE)</f>
        <v>94</v>
      </c>
      <c r="G169" s="97">
        <f>VLOOKUP($E$3,'Catchment Births'!$A$1:$U$90,14,FALSE)</f>
        <v>101</v>
      </c>
      <c r="H169" s="97">
        <f>VLOOKUP($E$3,'Catchment Births'!$A$1:$U$90,15,FALSE)</f>
        <v>93</v>
      </c>
      <c r="I169" s="97">
        <f>VLOOKUP($E$3,'Catchment Births'!$A$1:$U$90,16,FALSE)</f>
        <v>78</v>
      </c>
      <c r="J169" s="97">
        <f>VLOOKUP($E$3,'Catchment Births'!$A$1:$U$90,17,FALSE)</f>
        <v>85</v>
      </c>
      <c r="K169" s="97">
        <f>VLOOKUP($E$3,'Catchment Births'!$A$1:$U$90,18,FALSE)</f>
        <v>81</v>
      </c>
      <c r="L169" s="97">
        <f>VLOOKUP($E$3,'Catchment Births'!$A$1:$U$90,19,FALSE)</f>
        <v>85</v>
      </c>
      <c r="M169" s="97">
        <f>VLOOKUP($E$3,'Catchment Births'!$A$1:$U$90,20,FALSE)</f>
        <v>84</v>
      </c>
      <c r="N169" s="97">
        <f>VLOOKUP($E$3,'Catchment Births'!$A$1:$U$90,21,FALSE)</f>
        <v>77</v>
      </c>
    </row>
    <row r="170" spans="2:14" ht="58.5" customHeight="1">
      <c r="B170" s="103" t="str">
        <f>"P1 "&amp;A35&amp;" Catchment Population (Actual)"</f>
        <v>P1 ND Catchment Population (Actual)</v>
      </c>
      <c r="C170" s="102" t="e">
        <v>#REF!</v>
      </c>
      <c r="D170" s="102">
        <v>51</v>
      </c>
      <c r="E170" s="102">
        <v>43</v>
      </c>
      <c r="F170" s="102">
        <v>58</v>
      </c>
      <c r="G170" s="102">
        <v>68</v>
      </c>
      <c r="H170" s="102">
        <v>62</v>
      </c>
      <c r="I170" s="102">
        <v>60</v>
      </c>
      <c r="J170" s="308">
        <f>VLOOKUP(E3,'Catchment Projections'!A1:BU92,42,FALSE)</f>
        <v>62</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60</v>
      </c>
      <c r="J172" s="96" t="e">
        <f>#REF!</f>
        <v>#REF!</v>
      </c>
      <c r="K172" s="96">
        <f>D51</f>
        <v>68</v>
      </c>
      <c r="L172" s="96">
        <f>E51</f>
        <v>63</v>
      </c>
      <c r="M172" s="96">
        <f>F51</f>
        <v>73</v>
      </c>
      <c r="N172" s="96">
        <f>G51</f>
        <v>87</v>
      </c>
    </row>
    <row r="173" spans="2:14" ht="12.75">
      <c r="B173" s="62"/>
      <c r="C173" s="62"/>
      <c r="D173" s="62"/>
      <c r="E173" s="62"/>
      <c r="F173" s="62"/>
      <c r="G173" s="62"/>
      <c r="H173" s="62"/>
      <c r="I173" s="62"/>
      <c r="J173" s="62"/>
      <c r="K173" s="62"/>
    </row>
    <row r="174" spans="2:14" ht="15" customHeight="1">
      <c r="B174" s="64" t="str">
        <f>"Table 5: "&amp;E3&amp;" Roll by Stage, 2002-2018"</f>
        <v>Table 5: Craigroyston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0</v>
      </c>
      <c r="D177" s="93">
        <v>0</v>
      </c>
      <c r="E177" s="93">
        <v>0</v>
      </c>
      <c r="F177" s="93">
        <v>0</v>
      </c>
      <c r="G177" s="93">
        <v>0</v>
      </c>
      <c r="H177" s="93">
        <v>0</v>
      </c>
      <c r="I177" s="93">
        <v>0</v>
      </c>
      <c r="J177" s="92">
        <v>0</v>
      </c>
      <c r="K177" s="62"/>
    </row>
    <row r="178" spans="2:11" ht="15" customHeight="1">
      <c r="B178" s="94">
        <v>2003</v>
      </c>
      <c r="C178" s="93">
        <v>41</v>
      </c>
      <c r="D178" s="93">
        <v>52</v>
      </c>
      <c r="E178" s="93">
        <v>41</v>
      </c>
      <c r="F178" s="93">
        <v>45</v>
      </c>
      <c r="G178" s="93">
        <v>38</v>
      </c>
      <c r="H178" s="93">
        <v>39</v>
      </c>
      <c r="I178" s="93">
        <v>44</v>
      </c>
      <c r="J178" s="92">
        <v>300</v>
      </c>
      <c r="K178" s="62"/>
    </row>
    <row r="179" spans="2:11" customFormat="1" ht="15" customHeight="1">
      <c r="B179" s="94">
        <v>2004</v>
      </c>
      <c r="C179" s="95">
        <v>40</v>
      </c>
      <c r="D179" s="95">
        <v>33</v>
      </c>
      <c r="E179" s="95">
        <v>44</v>
      </c>
      <c r="F179" s="95">
        <v>38</v>
      </c>
      <c r="G179" s="95">
        <v>39</v>
      </c>
      <c r="H179" s="95">
        <v>34</v>
      </c>
      <c r="I179" s="95">
        <v>37</v>
      </c>
      <c r="J179" s="92">
        <v>265</v>
      </c>
      <c r="K179" s="62"/>
    </row>
    <row r="180" spans="2:11" customFormat="1" ht="15" customHeight="1">
      <c r="B180" s="94">
        <v>2005</v>
      </c>
      <c r="C180" s="93">
        <v>33</v>
      </c>
      <c r="D180" s="93">
        <v>38</v>
      </c>
      <c r="E180" s="93">
        <v>30</v>
      </c>
      <c r="F180" s="93">
        <v>35</v>
      </c>
      <c r="G180" s="93">
        <v>35</v>
      </c>
      <c r="H180" s="93">
        <v>40</v>
      </c>
      <c r="I180" s="93">
        <v>36</v>
      </c>
      <c r="J180" s="92">
        <v>247</v>
      </c>
      <c r="K180" s="62"/>
    </row>
    <row r="181" spans="2:11" customFormat="1" ht="15" customHeight="1">
      <c r="B181" s="94">
        <v>2006</v>
      </c>
      <c r="C181" s="93">
        <v>34</v>
      </c>
      <c r="D181" s="93">
        <v>32</v>
      </c>
      <c r="E181" s="93">
        <v>38</v>
      </c>
      <c r="F181" s="93">
        <v>32</v>
      </c>
      <c r="G181" s="93">
        <v>34</v>
      </c>
      <c r="H181" s="93">
        <v>35</v>
      </c>
      <c r="I181" s="93">
        <v>43</v>
      </c>
      <c r="J181" s="92">
        <v>248</v>
      </c>
      <c r="K181" s="62"/>
    </row>
    <row r="182" spans="2:11" customFormat="1" ht="15" customHeight="1">
      <c r="B182" s="94">
        <v>2007</v>
      </c>
      <c r="C182" s="93">
        <v>38</v>
      </c>
      <c r="D182" s="93">
        <v>33</v>
      </c>
      <c r="E182" s="93">
        <v>31</v>
      </c>
      <c r="F182" s="93">
        <v>40</v>
      </c>
      <c r="G182" s="93">
        <v>30</v>
      </c>
      <c r="H182" s="93">
        <v>36</v>
      </c>
      <c r="I182" s="93">
        <v>37</v>
      </c>
      <c r="J182" s="92">
        <v>245</v>
      </c>
      <c r="K182" s="62"/>
    </row>
    <row r="183" spans="2:11" customFormat="1" ht="15" customHeight="1">
      <c r="B183" s="94">
        <v>2008</v>
      </c>
      <c r="C183" s="93">
        <v>44</v>
      </c>
      <c r="D183" s="93">
        <v>35</v>
      </c>
      <c r="E183" s="93">
        <v>28</v>
      </c>
      <c r="F183" s="93">
        <v>31</v>
      </c>
      <c r="G183" s="93">
        <v>38</v>
      </c>
      <c r="H183" s="93">
        <v>25</v>
      </c>
      <c r="I183" s="93">
        <v>36</v>
      </c>
      <c r="J183" s="92">
        <v>237</v>
      </c>
      <c r="K183" s="62"/>
    </row>
    <row r="184" spans="2:11" customFormat="1" ht="15" customHeight="1">
      <c r="B184" s="94">
        <v>2009</v>
      </c>
      <c r="C184" s="93">
        <v>31</v>
      </c>
      <c r="D184" s="93">
        <v>42</v>
      </c>
      <c r="E184" s="93">
        <v>31</v>
      </c>
      <c r="F184" s="93">
        <v>26</v>
      </c>
      <c r="G184" s="93">
        <v>32</v>
      </c>
      <c r="H184" s="93">
        <v>34</v>
      </c>
      <c r="I184" s="93">
        <v>26</v>
      </c>
      <c r="J184" s="94">
        <v>222</v>
      </c>
      <c r="K184" s="62"/>
    </row>
    <row r="185" spans="2:11" customFormat="1" ht="15" customHeight="1">
      <c r="B185" s="94">
        <v>2010</v>
      </c>
      <c r="C185" s="93">
        <v>27</v>
      </c>
      <c r="D185" s="93">
        <v>30</v>
      </c>
      <c r="E185" s="93">
        <v>40</v>
      </c>
      <c r="F185" s="93">
        <v>20</v>
      </c>
      <c r="G185" s="93">
        <v>25</v>
      </c>
      <c r="H185" s="93">
        <v>33</v>
      </c>
      <c r="I185" s="93">
        <v>36</v>
      </c>
      <c r="J185" s="92">
        <v>211</v>
      </c>
      <c r="K185" s="62"/>
    </row>
    <row r="186" spans="2:11" customFormat="1" ht="15" customHeight="1">
      <c r="B186" s="94">
        <v>2011</v>
      </c>
      <c r="C186" s="93">
        <v>25</v>
      </c>
      <c r="D186" s="93">
        <v>27</v>
      </c>
      <c r="E186" s="93">
        <v>25</v>
      </c>
      <c r="F186" s="93">
        <v>38</v>
      </c>
      <c r="G186" s="93">
        <v>18</v>
      </c>
      <c r="H186" s="93">
        <v>24</v>
      </c>
      <c r="I186" s="93">
        <v>28</v>
      </c>
      <c r="J186" s="92">
        <v>185</v>
      </c>
      <c r="K186" s="62"/>
    </row>
    <row r="187" spans="2:11" customFormat="1" ht="15" customHeight="1">
      <c r="B187" s="94">
        <v>2012</v>
      </c>
      <c r="C187" s="93">
        <v>43</v>
      </c>
      <c r="D187" s="93">
        <v>27</v>
      </c>
      <c r="E187" s="93">
        <v>21</v>
      </c>
      <c r="F187" s="93">
        <v>20</v>
      </c>
      <c r="G187" s="93">
        <v>36</v>
      </c>
      <c r="H187" s="93">
        <v>17</v>
      </c>
      <c r="I187" s="93">
        <v>24</v>
      </c>
      <c r="J187" s="92">
        <v>188</v>
      </c>
      <c r="K187" s="62"/>
    </row>
    <row r="188" spans="2:11" customFormat="1" ht="15" customHeight="1">
      <c r="B188" s="94">
        <v>2013</v>
      </c>
      <c r="C188" s="93">
        <v>36</v>
      </c>
      <c r="D188" s="93">
        <v>38</v>
      </c>
      <c r="E188" s="93">
        <v>30</v>
      </c>
      <c r="F188" s="93">
        <v>19</v>
      </c>
      <c r="G188" s="93">
        <v>24</v>
      </c>
      <c r="H188" s="93">
        <v>34</v>
      </c>
      <c r="I188" s="93">
        <v>14</v>
      </c>
      <c r="J188" s="94">
        <v>195</v>
      </c>
      <c r="K188" s="62"/>
    </row>
    <row r="189" spans="2:11" customFormat="1" ht="15" customHeight="1">
      <c r="B189" s="94">
        <v>2014</v>
      </c>
      <c r="C189" s="93">
        <v>50</v>
      </c>
      <c r="D189" s="93">
        <v>40</v>
      </c>
      <c r="E189" s="93">
        <v>39</v>
      </c>
      <c r="F189" s="93">
        <v>29</v>
      </c>
      <c r="G189" s="93">
        <v>17</v>
      </c>
      <c r="H189" s="93">
        <v>26</v>
      </c>
      <c r="I189" s="93">
        <v>33</v>
      </c>
      <c r="J189" s="92">
        <v>234</v>
      </c>
      <c r="K189" s="65"/>
    </row>
    <row r="190" spans="2:11" customFormat="1" ht="15" customHeight="1">
      <c r="B190" s="94">
        <v>2015</v>
      </c>
      <c r="C190" s="93">
        <v>41</v>
      </c>
      <c r="D190" s="93">
        <v>45</v>
      </c>
      <c r="E190" s="93">
        <v>38</v>
      </c>
      <c r="F190" s="93">
        <v>31</v>
      </c>
      <c r="G190" s="93">
        <v>25</v>
      </c>
      <c r="H190" s="93">
        <v>18</v>
      </c>
      <c r="I190" s="93">
        <v>23</v>
      </c>
      <c r="J190" s="92">
        <v>221</v>
      </c>
      <c r="K190" s="65"/>
    </row>
    <row r="191" spans="2:11" customFormat="1" ht="15" customHeight="1">
      <c r="B191" s="94">
        <v>2016</v>
      </c>
      <c r="C191" s="93">
        <v>49</v>
      </c>
      <c r="D191" s="93">
        <v>46</v>
      </c>
      <c r="E191" s="93">
        <v>41</v>
      </c>
      <c r="F191" s="93">
        <v>36</v>
      </c>
      <c r="G191" s="93">
        <v>29</v>
      </c>
      <c r="H191" s="93">
        <v>29</v>
      </c>
      <c r="I191" s="93">
        <v>20</v>
      </c>
      <c r="J191" s="92">
        <v>250</v>
      </c>
      <c r="K191" s="65"/>
    </row>
    <row r="192" spans="2:11" ht="15" customHeight="1">
      <c r="B192" s="94">
        <v>2017</v>
      </c>
      <c r="C192" s="93">
        <f>VLOOKUP($E$3,Rolls!A1:FA90,42,FALSE)</f>
        <v>51</v>
      </c>
      <c r="D192" s="93">
        <f>VLOOKUP($E$3,Rolls!A1:FA90,43,FALSE)</f>
        <v>47</v>
      </c>
      <c r="E192" s="93">
        <f>VLOOKUP($E$3,Rolls!A1:FA90,44,FALSE)</f>
        <v>41</v>
      </c>
      <c r="F192" s="93">
        <f>VLOOKUP($E$3,Rolls!A1:FA90,45,FALSE)</f>
        <v>42</v>
      </c>
      <c r="G192" s="93">
        <f>VLOOKUP($E$3,Rolls!A1:FA90,46,FALSE)</f>
        <v>39</v>
      </c>
      <c r="H192" s="93">
        <f>VLOOKUP($E$3,Rolls!A1:FA90,47,FALSE)</f>
        <v>30</v>
      </c>
      <c r="I192" s="93">
        <f>VLOOKUP($E$3,Rolls!A1:FA90,48,FALSE)</f>
        <v>31</v>
      </c>
      <c r="J192" s="92">
        <f>VLOOKUP($E$3,Rolls!A1:FA90,49,FALSE)</f>
        <v>281</v>
      </c>
      <c r="K192" s="65"/>
    </row>
    <row r="193" spans="2:11" ht="15" customHeight="1">
      <c r="B193" s="94">
        <v>2018</v>
      </c>
      <c r="C193" s="93">
        <f>VLOOKUP($E$3,Rolls!A1:FA90,50,FALSE)</f>
        <v>50</v>
      </c>
      <c r="D193" s="93">
        <f>VLOOKUP($E$3,Rolls!A1:FA90,51,FALSE)</f>
        <v>43</v>
      </c>
      <c r="E193" s="93">
        <f>VLOOKUP($E$3,Rolls!A1:FA90,52,FALSE)</f>
        <v>48</v>
      </c>
      <c r="F193" s="93">
        <f>VLOOKUP($E$3,Rolls!A1:FA90,53,FALSE)</f>
        <v>37</v>
      </c>
      <c r="G193" s="93">
        <f>VLOOKUP($E$3,Rolls!A1:FA90,54,FALSE)</f>
        <v>42</v>
      </c>
      <c r="H193" s="93">
        <f>VLOOKUP($E$3,Rolls!A1:FA90,55,FALSE)</f>
        <v>33</v>
      </c>
      <c r="I193" s="93">
        <f>VLOOKUP($E$3,Rolls!A1:FA90,56,FALSE)</f>
        <v>30</v>
      </c>
      <c r="J193" s="92">
        <f>VLOOKUP($E$3,Rolls!A1:FA90,57,FALSE)</f>
        <v>283</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25</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Cramond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476 Pupils (17 classes)</v>
      </c>
      <c r="G12" s="16"/>
      <c r="H12" s="16"/>
    </row>
    <row r="13" spans="2:10" ht="15" customHeight="1">
      <c r="C13" s="16"/>
      <c r="D13" s="16"/>
      <c r="E13" s="16"/>
      <c r="F13" s="16"/>
      <c r="G13" s="16"/>
      <c r="H13" s="16"/>
    </row>
    <row r="14" spans="2:10" ht="15" customHeight="1">
      <c r="B14" s="15" t="str">
        <f>"Figure 1: "&amp;E3&amp;" Roll, 2002-2015"</f>
        <v>Figure 1: Cramond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Cramond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62</v>
      </c>
      <c r="E49" s="108">
        <f>VLOOKUP($E$3,'Catchment Projections'!$A$1:$BU$90,46,FALSE)</f>
        <v>64</v>
      </c>
      <c r="F49" s="108">
        <f>VLOOKUP($E$3,'Catchment Projections'!$A$1:$BU$90,47,FALSE)</f>
        <v>64</v>
      </c>
      <c r="G49" s="108">
        <f>VLOOKUP($E$3,'Catchment Projections'!$A$1:$BU$90,48,FALSE)</f>
        <v>54</v>
      </c>
      <c r="H49" s="133">
        <f>VLOOKUP($E$3,'Catchment Projections'!$A$1:$BU$90,49,FALSE)</f>
        <v>61</v>
      </c>
      <c r="I49" s="133">
        <f>VLOOKUP($E$3,'Catchment Projections'!$A$1:$BU$90,50,FALSE)</f>
        <v>62</v>
      </c>
      <c r="J49" s="133">
        <f>VLOOKUP($E$3,'Catchment Projections'!$A$1:$BU$90,51,FALSE)</f>
        <v>63</v>
      </c>
      <c r="K49" s="133">
        <f>VLOOKUP($E$3,'Catchment Projections'!$A$1:$BU$90,52,FALSE)</f>
        <v>63</v>
      </c>
      <c r="L49" s="133">
        <f>VLOOKUP($E$3,'Catchment Projections'!$A$1:$BU$90,53,FALSE)</f>
        <v>64</v>
      </c>
      <c r="M49" s="133">
        <f>VLOOKUP($E$3,'Catchment Projections'!$A$1:$BU$90,54,FALSE)</f>
        <v>64</v>
      </c>
      <c r="N49" s="133">
        <f>VLOOKUP($E$3,'Catchment Projections'!$A$1:$BU$90,55,FALSE)</f>
        <v>64</v>
      </c>
      <c r="O49" s="133">
        <f>VLOOKUP($E$3,'Catchment Projections'!$A$1:$BU$90,56,FALSE)</f>
        <v>64</v>
      </c>
      <c r="P49" s="133">
        <f>VLOOKUP($E$3,'Catchment Projections'!$A$1:$BU$90,57,FALSE)</f>
        <v>64</v>
      </c>
      <c r="Q49" s="133">
        <f>VLOOKUP($E$3,'Catchment Projections'!$A$1:$BU$90,58,FALSE)</f>
        <v>64</v>
      </c>
    </row>
    <row r="50" spans="2:17" ht="15" customHeight="1" thickBot="1">
      <c r="B50" s="410" t="s">
        <v>141</v>
      </c>
      <c r="C50" s="411"/>
      <c r="D50" s="286">
        <f>VLOOKUP(E3,'Housing Generation'!$A$3:$DQ$90,10,FALSE)</f>
        <v>0</v>
      </c>
      <c r="E50" s="286">
        <f>VLOOKUP(E3,'Housing Generation'!$A$3:$DQ$90,18,FALSE)</f>
        <v>0</v>
      </c>
      <c r="F50" s="286">
        <f>VLOOKUP(E3,'Housing Generation'!$A$3:$DQ$90,26,FALSE)</f>
        <v>1</v>
      </c>
      <c r="G50" s="243">
        <f>VLOOKUP(E3,'Housing Generation'!$A$3:$DQ$90,34,FALSE)</f>
        <v>2</v>
      </c>
      <c r="H50" s="133">
        <f>VLOOKUP(E3,'Housing Generation'!$A$3:$DQ$90,42,FALSE)</f>
        <v>4</v>
      </c>
      <c r="I50" s="133">
        <f>VLOOKUP(E3,'Housing Generation'!$A$3:$DQ$90,50,FALSE)</f>
        <v>6</v>
      </c>
      <c r="J50" s="133">
        <f>VLOOKUP(E3,'Housing Generation'!$A$3:$CK$90,58,FALSE)</f>
        <v>8</v>
      </c>
      <c r="K50" s="133">
        <f>VLOOKUP(E3,'Housing Generation'!$A$3:$CK$90,66,FALSE)</f>
        <v>10</v>
      </c>
      <c r="L50" s="133">
        <f>VLOOKUP(E3,'Housing Generation'!$A$3:$DQ$90,74,FALSE)</f>
        <v>12</v>
      </c>
      <c r="M50" s="133">
        <f>VLOOKUP(E3,'Housing Generation'!$A$3:$DQ$90,82,FALSE)</f>
        <v>14</v>
      </c>
      <c r="N50" s="133">
        <f>VLOOKUP(E3,'Housing Generation'!$A$3:$DQ$90,90,FALSE)</f>
        <v>14</v>
      </c>
      <c r="O50" s="133">
        <f>VLOOKUP(E3,'Housing Generation'!$A$3:$DQ$90,98,FALSE)</f>
        <v>14</v>
      </c>
      <c r="P50" s="133">
        <f>VLOOKUP(E3,'Housing Generation'!$A$3:$DQ$90,106,FALSE)</f>
        <v>14</v>
      </c>
      <c r="Q50" s="133">
        <f>VLOOKUP(E3,'Housing Generation'!$A$3:$DQ$90,114,FALSE)</f>
        <v>14</v>
      </c>
    </row>
    <row r="51" spans="2:17" ht="15" customHeight="1" thickTop="1">
      <c r="B51" s="421" t="s">
        <v>130</v>
      </c>
      <c r="C51" s="422"/>
      <c r="D51" s="47">
        <f t="shared" ref="D51:Q51" si="0">SUM(D49:D50)</f>
        <v>62</v>
      </c>
      <c r="E51" s="47">
        <f t="shared" si="0"/>
        <v>64</v>
      </c>
      <c r="F51" s="80">
        <f t="shared" si="0"/>
        <v>65</v>
      </c>
      <c r="G51" s="244">
        <f t="shared" si="0"/>
        <v>56</v>
      </c>
      <c r="H51" s="71">
        <f t="shared" si="0"/>
        <v>65</v>
      </c>
      <c r="I51" s="71">
        <f t="shared" si="0"/>
        <v>68</v>
      </c>
      <c r="J51" s="71">
        <f t="shared" si="0"/>
        <v>71</v>
      </c>
      <c r="K51" s="71">
        <f t="shared" si="0"/>
        <v>73</v>
      </c>
      <c r="L51" s="71">
        <f t="shared" si="0"/>
        <v>76</v>
      </c>
      <c r="M51" s="71">
        <f t="shared" si="0"/>
        <v>78</v>
      </c>
      <c r="N51" s="71">
        <f t="shared" si="0"/>
        <v>78</v>
      </c>
      <c r="O51" s="71">
        <f t="shared" si="0"/>
        <v>78</v>
      </c>
      <c r="P51" s="71">
        <f t="shared" si="0"/>
        <v>78</v>
      </c>
      <c r="Q51" s="71">
        <f t="shared" si="0"/>
        <v>78</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53</v>
      </c>
      <c r="D60" s="358">
        <f>VLOOKUP($E$3,'Catchment Projections'!$A$1:$BZ$90,74,FALSE)</f>
        <v>52</v>
      </c>
      <c r="E60" s="303">
        <f>D60/C60</f>
        <v>0.98113207547169812</v>
      </c>
      <c r="G60" s="132">
        <v>2014</v>
      </c>
      <c r="H60" s="395">
        <f>VLOOKUP($G$60,$B$177:$C$215, 2, FALSE)</f>
        <v>62</v>
      </c>
      <c r="I60" s="120">
        <f>H60-D60</f>
        <v>10</v>
      </c>
      <c r="J60" s="121">
        <f>I60/H60</f>
        <v>0.16129032258064516</v>
      </c>
    </row>
    <row r="61" spans="2:17" ht="15" customHeight="1">
      <c r="B61" s="132">
        <v>2015</v>
      </c>
      <c r="C61" s="359">
        <f>VLOOKUP($E$3,'Catchment Projections'!$A$1:$BZ$90,41,FALSE)</f>
        <v>58</v>
      </c>
      <c r="D61" s="358">
        <f>VLOOKUP($E$3,'Catchment Projections'!$A$1:$BZ$90,75,FALSE)</f>
        <v>57</v>
      </c>
      <c r="E61" s="303">
        <f>D61/C61</f>
        <v>0.98275862068965514</v>
      </c>
      <c r="G61" s="132">
        <v>2015</v>
      </c>
      <c r="H61" s="395">
        <f>VLOOKUP($G$61,$B$177:$C$215, 2, FALSE)</f>
        <v>59</v>
      </c>
      <c r="I61" s="120">
        <f>H61-D61</f>
        <v>2</v>
      </c>
      <c r="J61" s="121">
        <f>I61/H61</f>
        <v>3.3898305084745763E-2</v>
      </c>
    </row>
    <row r="62" spans="2:17" ht="15" customHeight="1">
      <c r="B62" s="131">
        <v>2016</v>
      </c>
      <c r="C62" s="359">
        <f>VLOOKUP($E$3,'Catchment Projections'!$A$1:$BZ$90,42,FALSE)</f>
        <v>57</v>
      </c>
      <c r="D62" s="358">
        <f>VLOOKUP($E$3,'Catchment Projections'!$A$1:$BZ$90,76,FALSE)</f>
        <v>56</v>
      </c>
      <c r="E62" s="57">
        <f>D62/C62</f>
        <v>0.98245614035087714</v>
      </c>
      <c r="G62" s="131">
        <v>2016</v>
      </c>
      <c r="H62" s="395">
        <f>VLOOKUP($G$62,$B$177:$C$215, 2, FALSE)</f>
        <v>58</v>
      </c>
      <c r="I62" s="120">
        <f>H62-D62</f>
        <v>2</v>
      </c>
      <c r="J62" s="121">
        <f>I62/H62</f>
        <v>3.4482758620689655E-2</v>
      </c>
    </row>
    <row r="63" spans="2:17" ht="15" customHeight="1">
      <c r="B63" s="114">
        <v>2017</v>
      </c>
      <c r="C63" s="359">
        <f>VLOOKUP($E$3,'Catchment Projections'!$A$1:$BZ$90,43,FALSE)</f>
        <v>79</v>
      </c>
      <c r="D63" s="358">
        <f>VLOOKUP($E$3,'Catchment Projections'!$A$1:$BZ$90,77,FALSE)</f>
        <v>77</v>
      </c>
      <c r="E63" s="304">
        <f>D63/C63</f>
        <v>0.97468354430379744</v>
      </c>
      <c r="G63" s="114">
        <v>2017</v>
      </c>
      <c r="H63" s="395">
        <f>VLOOKUP($G$63,$B$177:$C$215, 2, FALSE)</f>
        <v>84</v>
      </c>
      <c r="I63" s="120">
        <f>H63-D63</f>
        <v>7</v>
      </c>
      <c r="J63" s="121">
        <f>I63/H63</f>
        <v>8.3333333333333329E-2</v>
      </c>
    </row>
    <row r="64" spans="2:17" ht="15" customHeight="1">
      <c r="B64" s="114">
        <v>2018</v>
      </c>
      <c r="C64" s="359">
        <f>VLOOKUP($E$3,'Catchment Projections'!$A$1:$BZ$90,44,FALSE)</f>
        <v>56</v>
      </c>
      <c r="D64" s="358">
        <f>VLOOKUP($E$3,'Catchment Projections'!$A$1:$BZ$90,78,FALSE)</f>
        <v>54</v>
      </c>
      <c r="E64" s="305">
        <f>D64/C64</f>
        <v>0.9642857142857143</v>
      </c>
      <c r="G64" s="114">
        <v>2018</v>
      </c>
      <c r="H64" s="395">
        <f>VLOOKUP($G$64,$B$177:$C$215, 2, FALSE)</f>
        <v>60</v>
      </c>
      <c r="I64" s="120">
        <f>H64-D64</f>
        <v>6</v>
      </c>
      <c r="J64" s="121">
        <f>I64/H64</f>
        <v>0.1</v>
      </c>
    </row>
    <row r="65" spans="2:10" ht="15" customHeight="1">
      <c r="B65" s="412" t="s">
        <v>136</v>
      </c>
      <c r="C65" s="413"/>
      <c r="D65" s="414"/>
      <c r="E65" s="137">
        <f>IF((AVERAGE(E62:E64))="#DIV/0!","n/a",(AVERAGE(E62:E64)))</f>
        <v>0.97380846631346296</v>
      </c>
      <c r="G65" s="415" t="s">
        <v>137</v>
      </c>
      <c r="H65" s="416"/>
      <c r="I65" s="138">
        <f>MEDIAN(I60:I64)</f>
        <v>6</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62</v>
      </c>
      <c r="D70" s="408"/>
      <c r="E70" s="122">
        <f>E65</f>
        <v>0.97380846631346296</v>
      </c>
      <c r="F70" s="120">
        <f t="shared" ref="F70:F83" si="1">C70*$E$65</f>
        <v>60.376124911434701</v>
      </c>
      <c r="G70" s="118">
        <f>IF(F70&lt;26,25,IF(F70&gt;135,140,IF(F70&gt;130,135,IF(F70&gt;125,130,IF(F70&gt;120,125,IF(F70&gt;115,120,IF(F70&gt;110,115,IF(F70&gt;105,110,IF(F70&gt;100,105,IF(F70&gt;99,100,IF(F70&gt;90,99,IF(F70&gt;75,90,IF(F70&gt;72,75,IF(F70&gt;66,72,IF(F70&gt;60,66,IF(F70&gt;50,60,IF(F70&gt;30,50,IF(F70&gt;25,30,0))))))))))))))))))</f>
        <v>66</v>
      </c>
      <c r="H70" s="119">
        <f t="shared" ref="H70:H83" si="2">G70-F70</f>
        <v>5.6238750885652991</v>
      </c>
      <c r="I70" s="118" t="str">
        <f>IF(I$65&lt;H70, "NO", "YES")</f>
        <v>YES</v>
      </c>
      <c r="J70" s="117">
        <f t="shared" ref="J70:J83" si="3">IF(I70="YES",G70,(MIN((SUM(F70,$I$65)),G70)))</f>
        <v>66</v>
      </c>
    </row>
    <row r="71" spans="2:10" ht="15" customHeight="1">
      <c r="B71" s="114">
        <v>2020</v>
      </c>
      <c r="C71" s="433">
        <f>E51</f>
        <v>64</v>
      </c>
      <c r="D71" s="408"/>
      <c r="E71" s="121">
        <f>E65</f>
        <v>0.97380846631346296</v>
      </c>
      <c r="F71" s="120">
        <f t="shared" si="1"/>
        <v>62.32374184406163</v>
      </c>
      <c r="G71" s="118">
        <f t="shared" ref="G71:G83" si="4">IF(F71&lt;26,25,IF(F71&gt;135,140,IF(F71&gt;130,135,IF(F71&gt;125,130,IF(F71&gt;120,125,IF(F71&gt;115,120,IF(F71&gt;110,115,IF(F71&gt;105,110,IF(F71&gt;100,105,IF(F71&gt;99,100,IF(F71&gt;90,99,IF(F71&gt;75,90,IF(F71&gt;72,75,IF(F71&gt;66,72,IF(F71&gt;60,66,IF(F71&gt;50,60,IF(F71&gt;30,50,IF(F71&gt;25,30,0))))))))))))))))))</f>
        <v>66</v>
      </c>
      <c r="H71" s="119">
        <f t="shared" si="2"/>
        <v>3.6762581559383705</v>
      </c>
      <c r="I71" s="118" t="str">
        <f t="shared" ref="I71:I83" si="5">IF(I$65&lt;H71, "NO", "YES")</f>
        <v>YES</v>
      </c>
      <c r="J71" s="117">
        <f t="shared" si="3"/>
        <v>66</v>
      </c>
    </row>
    <row r="72" spans="2:10" ht="15" customHeight="1">
      <c r="B72" s="114">
        <v>2021</v>
      </c>
      <c r="C72" s="430">
        <f>F51</f>
        <v>65</v>
      </c>
      <c r="D72" s="431"/>
      <c r="E72" s="121">
        <f>E65</f>
        <v>0.97380846631346296</v>
      </c>
      <c r="F72" s="120">
        <f t="shared" si="1"/>
        <v>63.297550310375094</v>
      </c>
      <c r="G72" s="118">
        <f t="shared" si="4"/>
        <v>66</v>
      </c>
      <c r="H72" s="119">
        <f t="shared" si="2"/>
        <v>2.7024496896249062</v>
      </c>
      <c r="I72" s="118" t="str">
        <f t="shared" si="5"/>
        <v>YES</v>
      </c>
      <c r="J72" s="117">
        <f t="shared" si="3"/>
        <v>66</v>
      </c>
    </row>
    <row r="73" spans="2:10" ht="15" customHeight="1">
      <c r="B73" s="114">
        <v>2022</v>
      </c>
      <c r="C73" s="430">
        <f>G51</f>
        <v>56</v>
      </c>
      <c r="D73" s="431"/>
      <c r="E73" s="121">
        <f>E65</f>
        <v>0.97380846631346296</v>
      </c>
      <c r="F73" s="120">
        <f t="shared" si="1"/>
        <v>54.533274113553929</v>
      </c>
      <c r="G73" s="118">
        <f t="shared" si="4"/>
        <v>60</v>
      </c>
      <c r="H73" s="119">
        <f t="shared" si="2"/>
        <v>5.4667258864460706</v>
      </c>
      <c r="I73" s="118" t="str">
        <f t="shared" si="5"/>
        <v>YES</v>
      </c>
      <c r="J73" s="117">
        <f t="shared" si="3"/>
        <v>60</v>
      </c>
    </row>
    <row r="74" spans="2:10" ht="15" customHeight="1">
      <c r="B74" s="114">
        <v>2023</v>
      </c>
      <c r="C74" s="430">
        <f>H51</f>
        <v>65</v>
      </c>
      <c r="D74" s="431"/>
      <c r="E74" s="121">
        <f>E65</f>
        <v>0.97380846631346296</v>
      </c>
      <c r="F74" s="120">
        <f t="shared" si="1"/>
        <v>63.297550310375094</v>
      </c>
      <c r="G74" s="118">
        <f t="shared" si="4"/>
        <v>66</v>
      </c>
      <c r="H74" s="119">
        <f t="shared" si="2"/>
        <v>2.7024496896249062</v>
      </c>
      <c r="I74" s="118" t="str">
        <f t="shared" si="5"/>
        <v>YES</v>
      </c>
      <c r="J74" s="117">
        <f t="shared" si="3"/>
        <v>66</v>
      </c>
    </row>
    <row r="75" spans="2:10" ht="15" customHeight="1">
      <c r="B75" s="114">
        <v>2024</v>
      </c>
      <c r="C75" s="430">
        <f>I51</f>
        <v>68</v>
      </c>
      <c r="D75" s="431"/>
      <c r="E75" s="121">
        <f>E65</f>
        <v>0.97380846631346296</v>
      </c>
      <c r="F75" s="120">
        <f t="shared" si="1"/>
        <v>66.218975709315487</v>
      </c>
      <c r="G75" s="118">
        <f t="shared" si="4"/>
        <v>72</v>
      </c>
      <c r="H75" s="119">
        <f t="shared" si="2"/>
        <v>5.7810242906845133</v>
      </c>
      <c r="I75" s="118" t="str">
        <f t="shared" si="5"/>
        <v>YES</v>
      </c>
      <c r="J75" s="117">
        <f t="shared" si="3"/>
        <v>72</v>
      </c>
    </row>
    <row r="76" spans="2:10" ht="15" customHeight="1">
      <c r="B76" s="114">
        <v>2025</v>
      </c>
      <c r="C76" s="430">
        <f>J51</f>
        <v>71</v>
      </c>
      <c r="D76" s="431"/>
      <c r="E76" s="121">
        <f>E65</f>
        <v>0.97380846631346296</v>
      </c>
      <c r="F76" s="120">
        <f t="shared" si="1"/>
        <v>69.140401108255872</v>
      </c>
      <c r="G76" s="118">
        <f t="shared" si="4"/>
        <v>72</v>
      </c>
      <c r="H76" s="119">
        <f t="shared" si="2"/>
        <v>2.8595988917441275</v>
      </c>
      <c r="I76" s="118" t="str">
        <f t="shared" si="5"/>
        <v>YES</v>
      </c>
      <c r="J76" s="117">
        <f t="shared" si="3"/>
        <v>72</v>
      </c>
    </row>
    <row r="77" spans="2:10" ht="15" customHeight="1">
      <c r="B77" s="114">
        <v>2026</v>
      </c>
      <c r="C77" s="430">
        <f>K51</f>
        <v>73</v>
      </c>
      <c r="D77" s="431"/>
      <c r="E77" s="121">
        <f>E65</f>
        <v>0.97380846631346296</v>
      </c>
      <c r="F77" s="120">
        <f t="shared" si="1"/>
        <v>71.088018040882801</v>
      </c>
      <c r="G77" s="118">
        <f t="shared" si="4"/>
        <v>72</v>
      </c>
      <c r="H77" s="119">
        <f t="shared" si="2"/>
        <v>0.91198195911719893</v>
      </c>
      <c r="I77" s="118" t="str">
        <f t="shared" si="5"/>
        <v>YES</v>
      </c>
      <c r="J77" s="117">
        <f t="shared" si="3"/>
        <v>72</v>
      </c>
    </row>
    <row r="78" spans="2:10" ht="15" customHeight="1">
      <c r="B78" s="114">
        <v>2027</v>
      </c>
      <c r="C78" s="430">
        <f>L51</f>
        <v>76</v>
      </c>
      <c r="D78" s="431"/>
      <c r="E78" s="121">
        <f>E65</f>
        <v>0.97380846631346296</v>
      </c>
      <c r="F78" s="120">
        <f t="shared" si="1"/>
        <v>74.009443439823187</v>
      </c>
      <c r="G78" s="118">
        <f t="shared" si="4"/>
        <v>75</v>
      </c>
      <c r="H78" s="119">
        <f t="shared" si="2"/>
        <v>0.99055656017681315</v>
      </c>
      <c r="I78" s="118" t="str">
        <f t="shared" si="5"/>
        <v>YES</v>
      </c>
      <c r="J78" s="117">
        <f t="shared" si="3"/>
        <v>75</v>
      </c>
    </row>
    <row r="79" spans="2:10" ht="15" customHeight="1">
      <c r="B79" s="114">
        <v>2028</v>
      </c>
      <c r="C79" s="430">
        <f>M51</f>
        <v>78</v>
      </c>
      <c r="D79" s="431"/>
      <c r="E79" s="121">
        <f t="shared" ref="E79:E83" si="6">$E$65</f>
        <v>0.97380846631346296</v>
      </c>
      <c r="F79" s="120">
        <f t="shared" si="1"/>
        <v>75.957060372450115</v>
      </c>
      <c r="G79" s="118">
        <f t="shared" si="4"/>
        <v>90</v>
      </c>
      <c r="H79" s="119">
        <f t="shared" si="2"/>
        <v>14.042939627549885</v>
      </c>
      <c r="I79" s="118" t="str">
        <f t="shared" si="5"/>
        <v>NO</v>
      </c>
      <c r="J79" s="117">
        <f t="shared" si="3"/>
        <v>81.957060372450115</v>
      </c>
    </row>
    <row r="80" spans="2:10" ht="15" customHeight="1">
      <c r="B80" s="114">
        <v>2029</v>
      </c>
      <c r="C80" s="430">
        <f>N51</f>
        <v>78</v>
      </c>
      <c r="D80" s="431"/>
      <c r="E80" s="121">
        <f t="shared" si="6"/>
        <v>0.97380846631346296</v>
      </c>
      <c r="F80" s="120">
        <f t="shared" si="1"/>
        <v>75.957060372450115</v>
      </c>
      <c r="G80" s="118">
        <f t="shared" si="4"/>
        <v>90</v>
      </c>
      <c r="H80" s="119">
        <f t="shared" si="2"/>
        <v>14.042939627549885</v>
      </c>
      <c r="I80" s="118" t="str">
        <f t="shared" si="5"/>
        <v>NO</v>
      </c>
      <c r="J80" s="117">
        <f t="shared" si="3"/>
        <v>81.957060372450115</v>
      </c>
    </row>
    <row r="81" spans="2:10" ht="15" customHeight="1">
      <c r="B81" s="114">
        <v>2030</v>
      </c>
      <c r="C81" s="430">
        <f>O51</f>
        <v>78</v>
      </c>
      <c r="D81" s="431"/>
      <c r="E81" s="121">
        <f t="shared" si="6"/>
        <v>0.97380846631346296</v>
      </c>
      <c r="F81" s="120">
        <f t="shared" si="1"/>
        <v>75.957060372450115</v>
      </c>
      <c r="G81" s="118">
        <f t="shared" si="4"/>
        <v>90</v>
      </c>
      <c r="H81" s="119">
        <f t="shared" si="2"/>
        <v>14.042939627549885</v>
      </c>
      <c r="I81" s="118" t="str">
        <f t="shared" si="5"/>
        <v>NO</v>
      </c>
      <c r="J81" s="117">
        <f t="shared" si="3"/>
        <v>81.957060372450115</v>
      </c>
    </row>
    <row r="82" spans="2:10" ht="15" customHeight="1">
      <c r="B82" s="114">
        <v>2031</v>
      </c>
      <c r="C82" s="430">
        <f>P51</f>
        <v>78</v>
      </c>
      <c r="D82" s="431"/>
      <c r="E82" s="121">
        <f t="shared" si="6"/>
        <v>0.97380846631346296</v>
      </c>
      <c r="F82" s="120">
        <f t="shared" si="1"/>
        <v>75.957060372450115</v>
      </c>
      <c r="G82" s="118">
        <f t="shared" si="4"/>
        <v>90</v>
      </c>
      <c r="H82" s="119">
        <f t="shared" si="2"/>
        <v>14.042939627549885</v>
      </c>
      <c r="I82" s="118" t="str">
        <f t="shared" si="5"/>
        <v>NO</v>
      </c>
      <c r="J82" s="117">
        <f t="shared" si="3"/>
        <v>81.957060372450115</v>
      </c>
    </row>
    <row r="83" spans="2:10" ht="15" customHeight="1">
      <c r="B83" s="114">
        <v>2032</v>
      </c>
      <c r="C83" s="430">
        <f>Q51</f>
        <v>78</v>
      </c>
      <c r="D83" s="431"/>
      <c r="E83" s="121">
        <f t="shared" si="6"/>
        <v>0.97380846631346296</v>
      </c>
      <c r="F83" s="120">
        <f t="shared" si="1"/>
        <v>75.957060372450115</v>
      </c>
      <c r="G83" s="118">
        <f t="shared" si="4"/>
        <v>90</v>
      </c>
      <c r="H83" s="119">
        <f t="shared" si="2"/>
        <v>14.042939627549885</v>
      </c>
      <c r="I83" s="118" t="str">
        <f t="shared" si="5"/>
        <v>NO</v>
      </c>
      <c r="J83" s="117">
        <f t="shared" si="3"/>
        <v>81.957060372450115</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Cramond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60</v>
      </c>
      <c r="D91" s="112">
        <f t="shared" ref="D91:J91" si="7">D188</f>
        <v>60</v>
      </c>
      <c r="E91" s="112">
        <f t="shared" si="7"/>
        <v>59</v>
      </c>
      <c r="F91" s="112">
        <f t="shared" si="7"/>
        <v>60</v>
      </c>
      <c r="G91" s="112">
        <f t="shared" si="7"/>
        <v>54</v>
      </c>
      <c r="H91" s="112">
        <f t="shared" si="7"/>
        <v>52</v>
      </c>
      <c r="I91" s="112">
        <f t="shared" si="7"/>
        <v>49</v>
      </c>
      <c r="J91" s="213">
        <f t="shared" si="7"/>
        <v>394</v>
      </c>
    </row>
    <row r="92" spans="2:10" ht="15" customHeight="1">
      <c r="B92" s="114">
        <v>2014</v>
      </c>
      <c r="C92" s="112">
        <f>C189</f>
        <v>62</v>
      </c>
      <c r="D92" s="112">
        <f t="shared" ref="D92:J92" si="8">D189</f>
        <v>61</v>
      </c>
      <c r="E92" s="112">
        <f t="shared" si="8"/>
        <v>60</v>
      </c>
      <c r="F92" s="112">
        <f t="shared" si="8"/>
        <v>58</v>
      </c>
      <c r="G92" s="112">
        <f t="shared" si="8"/>
        <v>62</v>
      </c>
      <c r="H92" s="112">
        <f t="shared" si="8"/>
        <v>50</v>
      </c>
      <c r="I92" s="112">
        <f t="shared" si="8"/>
        <v>49</v>
      </c>
      <c r="J92" s="213">
        <f t="shared" si="8"/>
        <v>402</v>
      </c>
    </row>
    <row r="93" spans="2:10" ht="15" customHeight="1">
      <c r="B93" s="114">
        <v>2015</v>
      </c>
      <c r="C93" s="112">
        <f>C190</f>
        <v>59</v>
      </c>
      <c r="D93" s="112">
        <f t="shared" ref="D93:J93" si="9">D190</f>
        <v>60</v>
      </c>
      <c r="E93" s="112">
        <f t="shared" si="9"/>
        <v>59</v>
      </c>
      <c r="F93" s="112">
        <f t="shared" si="9"/>
        <v>61</v>
      </c>
      <c r="G93" s="112">
        <f t="shared" si="9"/>
        <v>56</v>
      </c>
      <c r="H93" s="112">
        <f t="shared" si="9"/>
        <v>53</v>
      </c>
      <c r="I93" s="112">
        <f t="shared" si="9"/>
        <v>48</v>
      </c>
      <c r="J93" s="213">
        <f t="shared" si="9"/>
        <v>396</v>
      </c>
    </row>
    <row r="94" spans="2:10" ht="15" customHeight="1">
      <c r="B94" s="114">
        <v>2016</v>
      </c>
      <c r="C94" s="112">
        <f>C191</f>
        <v>58</v>
      </c>
      <c r="D94" s="112">
        <f t="shared" ref="D94:J94" si="10">D191</f>
        <v>59</v>
      </c>
      <c r="E94" s="112">
        <f t="shared" si="10"/>
        <v>56</v>
      </c>
      <c r="F94" s="112">
        <f t="shared" si="10"/>
        <v>61</v>
      </c>
      <c r="G94" s="112">
        <f t="shared" si="10"/>
        <v>63</v>
      </c>
      <c r="H94" s="112">
        <f t="shared" si="10"/>
        <v>51</v>
      </c>
      <c r="I94" s="112">
        <f t="shared" si="10"/>
        <v>54</v>
      </c>
      <c r="J94" s="213">
        <f t="shared" si="10"/>
        <v>402</v>
      </c>
    </row>
    <row r="95" spans="2:10" ht="15" customHeight="1">
      <c r="B95" s="114">
        <v>2017</v>
      </c>
      <c r="C95" s="112">
        <f>C192</f>
        <v>84</v>
      </c>
      <c r="D95" s="112">
        <f t="shared" ref="D95:J95" si="11">D192</f>
        <v>60</v>
      </c>
      <c r="E95" s="112">
        <f t="shared" si="11"/>
        <v>60</v>
      </c>
      <c r="F95" s="112">
        <f t="shared" si="11"/>
        <v>61</v>
      </c>
      <c r="G95" s="112">
        <f t="shared" si="11"/>
        <v>59</v>
      </c>
      <c r="H95" s="112">
        <f t="shared" si="11"/>
        <v>61</v>
      </c>
      <c r="I95" s="112">
        <f t="shared" si="11"/>
        <v>51</v>
      </c>
      <c r="J95" s="213">
        <f t="shared" si="11"/>
        <v>436</v>
      </c>
    </row>
    <row r="96" spans="2:10" ht="15" customHeight="1">
      <c r="B96" s="307">
        <v>2018</v>
      </c>
      <c r="C96" s="112">
        <f t="shared" ref="C96:J96" si="12">C193</f>
        <v>60</v>
      </c>
      <c r="D96" s="112">
        <f t="shared" si="12"/>
        <v>83</v>
      </c>
      <c r="E96" s="112">
        <f t="shared" si="12"/>
        <v>58</v>
      </c>
      <c r="F96" s="112">
        <f t="shared" si="12"/>
        <v>62</v>
      </c>
      <c r="G96" s="112">
        <f t="shared" si="12"/>
        <v>58</v>
      </c>
      <c r="H96" s="112">
        <f t="shared" si="12"/>
        <v>58</v>
      </c>
      <c r="I96" s="112">
        <f t="shared" si="12"/>
        <v>62</v>
      </c>
      <c r="J96" s="213">
        <f t="shared" si="12"/>
        <v>441</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0</v>
      </c>
      <c r="E98" s="210">
        <f t="shared" ref="E98:I98" si="13">MEDIAN(((D91-E92)/D91),((D92-E93)/D92),((D93-E94)/D93),((D94-E95)/D94),((D95-E96)/D95))</f>
        <v>3.2786885245901641E-2</v>
      </c>
      <c r="F98" s="210">
        <f t="shared" si="13"/>
        <v>-3.3333333333333333E-2</v>
      </c>
      <c r="G98" s="210">
        <f t="shared" si="13"/>
        <v>3.2786885245901641E-2</v>
      </c>
      <c r="H98" s="210">
        <f t="shared" si="13"/>
        <v>7.407407407407407E-2</v>
      </c>
      <c r="I98" s="210">
        <f t="shared" si="13"/>
        <v>0</v>
      </c>
    </row>
    <row r="99" spans="2:10" ht="15" customHeight="1">
      <c r="B99" s="59"/>
      <c r="C99" s="60"/>
      <c r="D99" s="61"/>
      <c r="E99" s="61"/>
      <c r="F99" s="61"/>
      <c r="G99" s="61"/>
      <c r="H99" s="61"/>
      <c r="I99" s="61"/>
      <c r="J99" s="58"/>
    </row>
    <row r="100" spans="2:10" ht="15" customHeight="1">
      <c r="B100" s="15" t="str">
        <f>"Table 4B: "&amp;E3&amp;" Projected Roll by Stage (incorporating Projected P1 and Drop-Off Rates), 2019-2032"</f>
        <v>Table 4B: Cramond Primary School Projected Roll by Stage (incorporating Projected P1 and Drop-Off Rates), 2019-2032</v>
      </c>
      <c r="F100" s="14"/>
      <c r="G100" s="14"/>
    </row>
    <row r="101" spans="2:10" ht="15" customHeight="1">
      <c r="F101" s="14"/>
      <c r="G101" s="14"/>
    </row>
    <row r="102" spans="2:10" ht="15" customHeight="1">
      <c r="B102" s="115"/>
      <c r="C102" s="109" t="s">
        <v>1</v>
      </c>
      <c r="D102" s="109" t="s">
        <v>2</v>
      </c>
      <c r="E102" s="109" t="s">
        <v>3</v>
      </c>
      <c r="F102" s="109" t="s">
        <v>4</v>
      </c>
      <c r="G102" s="109" t="s">
        <v>5</v>
      </c>
      <c r="H102" s="109" t="s">
        <v>6</v>
      </c>
      <c r="I102" s="109" t="s">
        <v>7</v>
      </c>
      <c r="J102" s="109" t="s">
        <v>8</v>
      </c>
    </row>
    <row r="103" spans="2:10" ht="15" customHeight="1">
      <c r="B103" s="114">
        <v>2019</v>
      </c>
      <c r="C103" s="113">
        <f t="shared" ref="C103:C116" si="14">J70</f>
        <v>66</v>
      </c>
      <c r="D103" s="324">
        <f>ROUND((C96)-(C96*$D$98),0)</f>
        <v>60</v>
      </c>
      <c r="E103" s="324">
        <f>ROUND((D96)-(D96*$E$98),0)</f>
        <v>80</v>
      </c>
      <c r="F103" s="324">
        <f>ROUND((E96)-(E96*$F$98),0)</f>
        <v>60</v>
      </c>
      <c r="G103" s="324">
        <f>ROUND((F96)-(F96*$G$98),0)</f>
        <v>60</v>
      </c>
      <c r="H103" s="324">
        <f>ROUND((G96)-(G96*$H$98),0)</f>
        <v>54</v>
      </c>
      <c r="I103" s="324">
        <f>ROUND((H96)-(H96*$I$98),0)</f>
        <v>58</v>
      </c>
      <c r="J103" s="111">
        <f t="shared" ref="J103:J116" si="15">SUM(C103:I103)</f>
        <v>438</v>
      </c>
    </row>
    <row r="104" spans="2:10" ht="15" customHeight="1">
      <c r="B104" s="114">
        <v>2020</v>
      </c>
      <c r="C104" s="113">
        <f t="shared" si="14"/>
        <v>66</v>
      </c>
      <c r="D104" s="324">
        <f>ROUND((C103-E50)-(C103*$D$98),0)</f>
        <v>66</v>
      </c>
      <c r="E104" s="112">
        <f t="shared" ref="E104:E116" si="16">ROUND((D103)-(D103*$E$98),0)</f>
        <v>58</v>
      </c>
      <c r="F104" s="112">
        <f t="shared" ref="F104:F116" si="17">ROUND((E103)-(E103*$F$98),0)</f>
        <v>83</v>
      </c>
      <c r="G104" s="112">
        <f t="shared" ref="G104:G116" si="18">ROUND((F103)-(F103*$G$98),0)</f>
        <v>58</v>
      </c>
      <c r="H104" s="112">
        <f t="shared" ref="H104:H116" si="19">ROUND((G103)-(G103*$H$98),0)</f>
        <v>56</v>
      </c>
      <c r="I104" s="112">
        <f t="shared" ref="I104:I116" si="20">ROUND((H103)-(H103*$I$98),0)</f>
        <v>54</v>
      </c>
      <c r="J104" s="111">
        <f t="shared" si="15"/>
        <v>441</v>
      </c>
    </row>
    <row r="105" spans="2:10" ht="15" customHeight="1">
      <c r="B105" s="114">
        <v>2021</v>
      </c>
      <c r="C105" s="113">
        <f t="shared" si="14"/>
        <v>66</v>
      </c>
      <c r="D105" s="324">
        <f>ROUND((C104-F50)-(C104*$D$98),0)</f>
        <v>65</v>
      </c>
      <c r="E105" s="112">
        <f t="shared" si="16"/>
        <v>64</v>
      </c>
      <c r="F105" s="112">
        <f t="shared" si="17"/>
        <v>60</v>
      </c>
      <c r="G105" s="112">
        <f t="shared" si="18"/>
        <v>80</v>
      </c>
      <c r="H105" s="112">
        <f t="shared" si="19"/>
        <v>54</v>
      </c>
      <c r="I105" s="112">
        <f t="shared" si="20"/>
        <v>56</v>
      </c>
      <c r="J105" s="111">
        <f t="shared" si="15"/>
        <v>445</v>
      </c>
    </row>
    <row r="106" spans="2:10" ht="15" customHeight="1">
      <c r="B106" s="114">
        <v>2022</v>
      </c>
      <c r="C106" s="113">
        <f t="shared" si="14"/>
        <v>60</v>
      </c>
      <c r="D106" s="324">
        <f>ROUND((C105-G50)-(C105*$D$98),0)</f>
        <v>64</v>
      </c>
      <c r="E106" s="112">
        <f t="shared" si="16"/>
        <v>63</v>
      </c>
      <c r="F106" s="112">
        <f t="shared" si="17"/>
        <v>66</v>
      </c>
      <c r="G106" s="112">
        <f t="shared" si="18"/>
        <v>58</v>
      </c>
      <c r="H106" s="112">
        <f t="shared" si="19"/>
        <v>74</v>
      </c>
      <c r="I106" s="112">
        <f t="shared" si="20"/>
        <v>54</v>
      </c>
      <c r="J106" s="111">
        <f t="shared" si="15"/>
        <v>439</v>
      </c>
    </row>
    <row r="107" spans="2:10" ht="15" customHeight="1">
      <c r="B107" s="114">
        <v>2023</v>
      </c>
      <c r="C107" s="113">
        <f t="shared" si="14"/>
        <v>66</v>
      </c>
      <c r="D107" s="324">
        <f>ROUND((C106-H50)-(C106*$D$98),0)</f>
        <v>56</v>
      </c>
      <c r="E107" s="112">
        <f t="shared" si="16"/>
        <v>62</v>
      </c>
      <c r="F107" s="112">
        <f t="shared" si="17"/>
        <v>65</v>
      </c>
      <c r="G107" s="112">
        <f t="shared" si="18"/>
        <v>64</v>
      </c>
      <c r="H107" s="112">
        <f t="shared" si="19"/>
        <v>54</v>
      </c>
      <c r="I107" s="112">
        <f t="shared" si="20"/>
        <v>74</v>
      </c>
      <c r="J107" s="111">
        <f t="shared" si="15"/>
        <v>441</v>
      </c>
    </row>
    <row r="108" spans="2:10" ht="15" customHeight="1">
      <c r="B108" s="114">
        <v>2024</v>
      </c>
      <c r="C108" s="113">
        <f t="shared" si="14"/>
        <v>72</v>
      </c>
      <c r="D108" s="324">
        <f>ROUND((C107-I50)-(C107*$D$98),0)</f>
        <v>60</v>
      </c>
      <c r="E108" s="112">
        <f t="shared" si="16"/>
        <v>54</v>
      </c>
      <c r="F108" s="112">
        <f t="shared" si="17"/>
        <v>64</v>
      </c>
      <c r="G108" s="112">
        <f t="shared" si="18"/>
        <v>63</v>
      </c>
      <c r="H108" s="112">
        <f t="shared" si="19"/>
        <v>59</v>
      </c>
      <c r="I108" s="112">
        <f t="shared" si="20"/>
        <v>54</v>
      </c>
      <c r="J108" s="111">
        <f t="shared" si="15"/>
        <v>426</v>
      </c>
    </row>
    <row r="109" spans="2:10" ht="15" customHeight="1">
      <c r="B109" s="114">
        <v>2025</v>
      </c>
      <c r="C109" s="113">
        <f t="shared" si="14"/>
        <v>72</v>
      </c>
      <c r="D109" s="324">
        <f>ROUND((C108-J50)-(C108*$D$98),0)</f>
        <v>64</v>
      </c>
      <c r="E109" s="112">
        <f t="shared" si="16"/>
        <v>58</v>
      </c>
      <c r="F109" s="112">
        <f t="shared" si="17"/>
        <v>56</v>
      </c>
      <c r="G109" s="112">
        <f t="shared" si="18"/>
        <v>62</v>
      </c>
      <c r="H109" s="112">
        <f t="shared" si="19"/>
        <v>58</v>
      </c>
      <c r="I109" s="112">
        <f t="shared" si="20"/>
        <v>59</v>
      </c>
      <c r="J109" s="111">
        <f t="shared" si="15"/>
        <v>429</v>
      </c>
    </row>
    <row r="110" spans="2:10" ht="15" customHeight="1">
      <c r="B110" s="114">
        <v>2026</v>
      </c>
      <c r="C110" s="113">
        <f t="shared" si="14"/>
        <v>72</v>
      </c>
      <c r="D110" s="324">
        <f>ROUND((C109-K50)-(C109*$D$98),0)</f>
        <v>62</v>
      </c>
      <c r="E110" s="112">
        <f t="shared" si="16"/>
        <v>62</v>
      </c>
      <c r="F110" s="112">
        <f t="shared" si="17"/>
        <v>60</v>
      </c>
      <c r="G110" s="112">
        <f t="shared" si="18"/>
        <v>54</v>
      </c>
      <c r="H110" s="112">
        <f t="shared" si="19"/>
        <v>57</v>
      </c>
      <c r="I110" s="112">
        <f t="shared" si="20"/>
        <v>58</v>
      </c>
      <c r="J110" s="111">
        <f t="shared" si="15"/>
        <v>425</v>
      </c>
    </row>
    <row r="111" spans="2:10" ht="15" customHeight="1">
      <c r="B111" s="114">
        <v>2027</v>
      </c>
      <c r="C111" s="113">
        <f t="shared" si="14"/>
        <v>75</v>
      </c>
      <c r="D111" s="324">
        <f>ROUND((C110-L50)-(C110*$D$98),0)</f>
        <v>60</v>
      </c>
      <c r="E111" s="112">
        <f t="shared" si="16"/>
        <v>60</v>
      </c>
      <c r="F111" s="112">
        <f t="shared" si="17"/>
        <v>64</v>
      </c>
      <c r="G111" s="112">
        <f t="shared" si="18"/>
        <v>58</v>
      </c>
      <c r="H111" s="112">
        <f t="shared" si="19"/>
        <v>50</v>
      </c>
      <c r="I111" s="112">
        <f t="shared" si="20"/>
        <v>57</v>
      </c>
      <c r="J111" s="111">
        <f t="shared" si="15"/>
        <v>424</v>
      </c>
    </row>
    <row r="112" spans="2:10" ht="15" customHeight="1">
      <c r="B112" s="114">
        <v>2028</v>
      </c>
      <c r="C112" s="113">
        <f t="shared" si="14"/>
        <v>81.957060372450115</v>
      </c>
      <c r="D112" s="324">
        <f>ROUND((C111-M50)-(C111*$D$98),0)</f>
        <v>61</v>
      </c>
      <c r="E112" s="112">
        <f t="shared" si="16"/>
        <v>58</v>
      </c>
      <c r="F112" s="112">
        <f t="shared" si="17"/>
        <v>62</v>
      </c>
      <c r="G112" s="112">
        <f t="shared" si="18"/>
        <v>62</v>
      </c>
      <c r="H112" s="112">
        <f t="shared" si="19"/>
        <v>54</v>
      </c>
      <c r="I112" s="112">
        <f t="shared" si="20"/>
        <v>50</v>
      </c>
      <c r="J112" s="111">
        <f t="shared" si="15"/>
        <v>428.95706037245009</v>
      </c>
    </row>
    <row r="113" spans="2:10" ht="15" customHeight="1">
      <c r="B113" s="114">
        <v>2029</v>
      </c>
      <c r="C113" s="113">
        <f t="shared" si="14"/>
        <v>81.957060372450115</v>
      </c>
      <c r="D113" s="324">
        <f>ROUND((C112-N50)-(C112*$D$98),0)</f>
        <v>68</v>
      </c>
      <c r="E113" s="112">
        <f t="shared" si="16"/>
        <v>59</v>
      </c>
      <c r="F113" s="112">
        <f t="shared" si="17"/>
        <v>60</v>
      </c>
      <c r="G113" s="112">
        <f t="shared" si="18"/>
        <v>60</v>
      </c>
      <c r="H113" s="112">
        <f t="shared" si="19"/>
        <v>57</v>
      </c>
      <c r="I113" s="112">
        <f t="shared" si="20"/>
        <v>54</v>
      </c>
      <c r="J113" s="111">
        <f t="shared" si="15"/>
        <v>439.95706037245009</v>
      </c>
    </row>
    <row r="114" spans="2:10" ht="15" customHeight="1">
      <c r="B114" s="114">
        <v>2030</v>
      </c>
      <c r="C114" s="113">
        <f t="shared" si="14"/>
        <v>81.957060372450115</v>
      </c>
      <c r="D114" s="324">
        <f>ROUND((C113-O50)-(C113*$D$98),0)</f>
        <v>68</v>
      </c>
      <c r="E114" s="112">
        <f t="shared" si="16"/>
        <v>66</v>
      </c>
      <c r="F114" s="112">
        <f t="shared" si="17"/>
        <v>61</v>
      </c>
      <c r="G114" s="112">
        <f t="shared" si="18"/>
        <v>58</v>
      </c>
      <c r="H114" s="112">
        <f t="shared" si="19"/>
        <v>56</v>
      </c>
      <c r="I114" s="112">
        <f t="shared" si="20"/>
        <v>57</v>
      </c>
      <c r="J114" s="111">
        <f t="shared" si="15"/>
        <v>447.95706037245009</v>
      </c>
    </row>
    <row r="115" spans="2:10" ht="15" customHeight="1">
      <c r="B115" s="114">
        <v>2031</v>
      </c>
      <c r="C115" s="113">
        <f t="shared" si="14"/>
        <v>81.957060372450115</v>
      </c>
      <c r="D115" s="324">
        <f>ROUND((C114-P50)-(C114*$D$98),0)</f>
        <v>68</v>
      </c>
      <c r="E115" s="112">
        <f t="shared" si="16"/>
        <v>66</v>
      </c>
      <c r="F115" s="112">
        <f t="shared" si="17"/>
        <v>68</v>
      </c>
      <c r="G115" s="112">
        <f t="shared" si="18"/>
        <v>59</v>
      </c>
      <c r="H115" s="112">
        <f t="shared" si="19"/>
        <v>54</v>
      </c>
      <c r="I115" s="112">
        <f t="shared" si="20"/>
        <v>56</v>
      </c>
      <c r="J115" s="111">
        <f t="shared" si="15"/>
        <v>452.95706037245009</v>
      </c>
    </row>
    <row r="116" spans="2:10" ht="15" customHeight="1">
      <c r="B116" s="114">
        <v>2032</v>
      </c>
      <c r="C116" s="113">
        <f t="shared" si="14"/>
        <v>81.957060372450115</v>
      </c>
      <c r="D116" s="324">
        <f>ROUND((C115-Q50)-(C115*$D$98),0)</f>
        <v>68</v>
      </c>
      <c r="E116" s="112">
        <f t="shared" si="16"/>
        <v>66</v>
      </c>
      <c r="F116" s="112">
        <f t="shared" si="17"/>
        <v>68</v>
      </c>
      <c r="G116" s="112">
        <f t="shared" si="18"/>
        <v>66</v>
      </c>
      <c r="H116" s="112">
        <f t="shared" si="19"/>
        <v>55</v>
      </c>
      <c r="I116" s="112">
        <f t="shared" si="20"/>
        <v>54</v>
      </c>
      <c r="J116" s="111">
        <f t="shared" si="15"/>
        <v>458.95706037245009</v>
      </c>
    </row>
    <row r="117" spans="2:10" ht="15" customHeight="1">
      <c r="F117" s="14"/>
      <c r="G117" s="14"/>
    </row>
    <row r="118" spans="2:10" ht="15" customHeight="1">
      <c r="B118" s="15" t="str">
        <f>"Table 4C: "&amp;E3&amp;" Projected Pupil Generation from Housing Development, 2019-2032"</f>
        <v>Table 4C: Cramond Primary School Projected Pupil Generation from Housing Development, 2019-2032</v>
      </c>
      <c r="F118" s="14"/>
      <c r="G118" s="14"/>
    </row>
    <row r="119" spans="2:10" ht="15" customHeight="1">
      <c r="F119" s="14"/>
      <c r="G119" s="14"/>
    </row>
    <row r="120" spans="2:10" ht="15" customHeight="1">
      <c r="B120" s="115"/>
      <c r="C120" s="109" t="s">
        <v>1</v>
      </c>
      <c r="D120" s="109" t="s">
        <v>2</v>
      </c>
      <c r="E120" s="109" t="s">
        <v>3</v>
      </c>
      <c r="F120" s="109" t="s">
        <v>4</v>
      </c>
      <c r="G120" s="109" t="s">
        <v>5</v>
      </c>
      <c r="H120" s="109" t="s">
        <v>6</v>
      </c>
      <c r="I120" s="109" t="s">
        <v>7</v>
      </c>
      <c r="J120" s="109" t="s">
        <v>8</v>
      </c>
    </row>
    <row r="121" spans="2:10" ht="15" customHeight="1">
      <c r="B121" s="114">
        <v>2019</v>
      </c>
      <c r="C121" s="116" t="s">
        <v>97</v>
      </c>
      <c r="D121" s="112">
        <f>VLOOKUP($E$3,'Housing Generation'!$A$3:$BE$90,11,FALSE)</f>
        <v>0</v>
      </c>
      <c r="E121" s="112">
        <f>VLOOKUP($E$3,'Housing Generation'!$A$3:$BE$90,12,FALSE)</f>
        <v>0</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0</v>
      </c>
    </row>
    <row r="122" spans="2:10" ht="15" customHeight="1">
      <c r="B122" s="114">
        <v>2020</v>
      </c>
      <c r="C122" s="116" t="s">
        <v>97</v>
      </c>
      <c r="D122" s="112">
        <f>VLOOKUP($E$3,'Housing Generation'!$A$3:$BE$90,19,FALSE)</f>
        <v>0</v>
      </c>
      <c r="E122" s="112">
        <f>VLOOKUP($E$3,'Housing Generation'!$A$3:$BE$90,20,FALSE)</f>
        <v>0</v>
      </c>
      <c r="F122" s="112">
        <f>VLOOKUP($E$3,'Housing Generation'!$A$3:$BE$90,21,FALSE)</f>
        <v>0</v>
      </c>
      <c r="G122" s="112">
        <f>VLOOKUP($E$3,'Housing Generation'!$A$3:$BE$90,22,FALSE)</f>
        <v>0</v>
      </c>
      <c r="H122" s="112">
        <f>VLOOKUP($E$3,'Housing Generation'!$A$3:$BE$90,23,FALSE)</f>
        <v>0</v>
      </c>
      <c r="I122" s="112">
        <f>VLOOKUP($E$3,'Housing Generation'!$A$3:$BE$90,24,FALSE)</f>
        <v>0</v>
      </c>
      <c r="J122" s="111">
        <f t="shared" si="21"/>
        <v>0</v>
      </c>
    </row>
    <row r="123" spans="2:10" ht="15" customHeight="1">
      <c r="B123" s="114">
        <v>2021</v>
      </c>
      <c r="C123" s="116" t="s">
        <v>97</v>
      </c>
      <c r="D123" s="112">
        <f>VLOOKUP($E$3,'Housing Generation'!$A$3:$BE$90,27,FALSE)</f>
        <v>1</v>
      </c>
      <c r="E123" s="112">
        <f>VLOOKUP($E$3,'Housing Generation'!$A$3:$BE$90,28,FALSE)</f>
        <v>1</v>
      </c>
      <c r="F123" s="112">
        <f>VLOOKUP($E$3,'Housing Generation'!$A$3:$BE$90,29,FALSE)</f>
        <v>1</v>
      </c>
      <c r="G123" s="112">
        <f>VLOOKUP($E$3,'Housing Generation'!$A$3:$BE$90,30,FALSE)</f>
        <v>0</v>
      </c>
      <c r="H123" s="112">
        <f>VLOOKUP($E$3,'Housing Generation'!$A$3:$BE$90,31,FALSE)</f>
        <v>0</v>
      </c>
      <c r="I123" s="112">
        <f>VLOOKUP($E$3,'Housing Generation'!$A$3:$BE$90,32,FALSE)</f>
        <v>0</v>
      </c>
      <c r="J123" s="111">
        <f t="shared" si="21"/>
        <v>3</v>
      </c>
    </row>
    <row r="124" spans="2:10" ht="15" customHeight="1">
      <c r="B124" s="114">
        <v>2022</v>
      </c>
      <c r="C124" s="116" t="s">
        <v>97</v>
      </c>
      <c r="D124" s="112">
        <f>VLOOKUP($E$3,'Housing Generation'!$A$3:$BE$90,35,FALSE)</f>
        <v>2</v>
      </c>
      <c r="E124" s="112">
        <f>VLOOKUP($E$3,'Housing Generation'!$A$3:$BE$90,36,FALSE)</f>
        <v>2</v>
      </c>
      <c r="F124" s="112">
        <f>VLOOKUP($E$3,'Housing Generation'!$A$3:$BE$90,37,FALSE)</f>
        <v>2</v>
      </c>
      <c r="G124" s="112">
        <f>VLOOKUP($E$3,'Housing Generation'!$A$3:$BE$90,38,FALSE)</f>
        <v>1</v>
      </c>
      <c r="H124" s="112">
        <f>VLOOKUP($E$3,'Housing Generation'!$A$3:$BE$90,39,FALSE)</f>
        <v>1</v>
      </c>
      <c r="I124" s="112">
        <f>VLOOKUP($E$3,'Housing Generation'!$A$3:$BE$90,40,FALSE)</f>
        <v>1</v>
      </c>
      <c r="J124" s="111">
        <f t="shared" si="21"/>
        <v>9</v>
      </c>
    </row>
    <row r="125" spans="2:10" ht="15" customHeight="1">
      <c r="B125" s="114">
        <v>2023</v>
      </c>
      <c r="C125" s="116" t="s">
        <v>97</v>
      </c>
      <c r="D125" s="112">
        <f>VLOOKUP($E$3,'Housing Generation'!$A$3:$BE$90,43,FALSE)</f>
        <v>4</v>
      </c>
      <c r="E125" s="112">
        <f>VLOOKUP($E$3,'Housing Generation'!$A$3:$BE$90,44,FALSE)</f>
        <v>4</v>
      </c>
      <c r="F125" s="112">
        <f>VLOOKUP($E$3,'Housing Generation'!$A$3:$BE$90,45,FALSE)</f>
        <v>4</v>
      </c>
      <c r="G125" s="112">
        <f>VLOOKUP($E$3,'Housing Generation'!$A$3:$BE$90,46,FALSE)</f>
        <v>3</v>
      </c>
      <c r="H125" s="112">
        <f>VLOOKUP($E$3,'Housing Generation'!$A$3:$BE$90,47,FALSE)</f>
        <v>3</v>
      </c>
      <c r="I125" s="112">
        <f>VLOOKUP($E$3,'Housing Generation'!$A$3:$BE$90,48,FALSE)</f>
        <v>3</v>
      </c>
      <c r="J125" s="111">
        <f t="shared" si="21"/>
        <v>21</v>
      </c>
    </row>
    <row r="126" spans="2:10" ht="15" customHeight="1">
      <c r="B126" s="114">
        <v>2024</v>
      </c>
      <c r="C126" s="116" t="s">
        <v>97</v>
      </c>
      <c r="D126" s="112">
        <f>VLOOKUP($E$3,'Housing Generation'!$A$3:$BE$90,51,FALSE)</f>
        <v>6</v>
      </c>
      <c r="E126" s="112">
        <f>VLOOKUP($E$3,'Housing Generation'!$A$3:$BE$90,52,FALSE)</f>
        <v>6</v>
      </c>
      <c r="F126" s="112">
        <f>VLOOKUP($E$3,'Housing Generation'!$A$3:$BE$90,53,FALSE)</f>
        <v>6</v>
      </c>
      <c r="G126" s="112">
        <f>VLOOKUP($E$3,'Housing Generation'!$A$3:$BE$90,54,FALSE)</f>
        <v>5</v>
      </c>
      <c r="H126" s="112">
        <f>VLOOKUP($E$3,'Housing Generation'!$A$3:$BE$90,55,FALSE)</f>
        <v>5</v>
      </c>
      <c r="I126" s="112">
        <f>VLOOKUP($E$3,'Housing Generation'!$A$3:$BE$90,56,FALSE)</f>
        <v>5</v>
      </c>
      <c r="J126" s="111">
        <f t="shared" si="21"/>
        <v>33</v>
      </c>
    </row>
    <row r="127" spans="2:10" ht="15" customHeight="1">
      <c r="B127" s="114">
        <v>2025</v>
      </c>
      <c r="C127" s="240" t="s">
        <v>97</v>
      </c>
      <c r="D127" s="112">
        <f>VLOOKUP($E$3,'Housing Generation'!$A$3:$CK$90,59,FALSE)</f>
        <v>8</v>
      </c>
      <c r="E127" s="112">
        <f>VLOOKUP($E$3,'Housing Generation'!$A$3:$CK$90,60,FALSE)</f>
        <v>8</v>
      </c>
      <c r="F127" s="112">
        <f>VLOOKUP($E$3,'Housing Generation'!$A$3:$CK$90,61,FALSE)</f>
        <v>8</v>
      </c>
      <c r="G127" s="112">
        <f>VLOOKUP($E$3,'Housing Generation'!$A$3:$CK$90,62,FALSE)</f>
        <v>7</v>
      </c>
      <c r="H127" s="112">
        <f>VLOOKUP($E$3,'Housing Generation'!$A$3:$CK$90,63,FALSE)</f>
        <v>7</v>
      </c>
      <c r="I127" s="112">
        <f>VLOOKUP($E$3,'Housing Generation'!$A$3:$CK$90,64,FALSE)</f>
        <v>7</v>
      </c>
      <c r="J127" s="111">
        <f t="shared" si="21"/>
        <v>45</v>
      </c>
    </row>
    <row r="128" spans="2:10" ht="15" customHeight="1">
      <c r="B128" s="114">
        <v>2026</v>
      </c>
      <c r="C128" s="240" t="s">
        <v>97</v>
      </c>
      <c r="D128" s="112">
        <f>VLOOKUP($E$3,'Housing Generation'!$A$3:$CK$90,67,FALSE)</f>
        <v>10</v>
      </c>
      <c r="E128" s="112">
        <f>VLOOKUP($E$3,'Housing Generation'!$A$3:$CK$90,68,FALSE)</f>
        <v>10</v>
      </c>
      <c r="F128" s="112">
        <f>VLOOKUP($E$3,'Housing Generation'!$A$3:$CK$90,69,FALSE)</f>
        <v>10</v>
      </c>
      <c r="G128" s="112">
        <f>VLOOKUP($E$3,'Housing Generation'!$A$3:$CK$90,70,FALSE)</f>
        <v>9</v>
      </c>
      <c r="H128" s="112">
        <f>VLOOKUP($E$3,'Housing Generation'!$A$3:$CK$90,71,FALSE)</f>
        <v>9</v>
      </c>
      <c r="I128" s="112">
        <f>VLOOKUP($E$3,'Housing Generation'!$A$3:$CK$90,72,FALSE)</f>
        <v>9</v>
      </c>
      <c r="J128" s="111">
        <f t="shared" si="21"/>
        <v>57</v>
      </c>
    </row>
    <row r="129" spans="2:10" ht="15" customHeight="1">
      <c r="B129" s="114">
        <v>2027</v>
      </c>
      <c r="C129" s="240" t="s">
        <v>97</v>
      </c>
      <c r="D129" s="112">
        <f>VLOOKUP($E$3,'Housing Generation'!$A$3:$CK$90,75,FALSE)</f>
        <v>12</v>
      </c>
      <c r="E129" s="112">
        <f>VLOOKUP($E$3,'Housing Generation'!$A$3:$CK$90,76,FALSE)</f>
        <v>12</v>
      </c>
      <c r="F129" s="112">
        <f>VLOOKUP($E$3,'Housing Generation'!$A$3:$CK$90,77,FALSE)</f>
        <v>12</v>
      </c>
      <c r="G129" s="112">
        <f>VLOOKUP($E$3,'Housing Generation'!$A$3:$CK$90,78,FALSE)</f>
        <v>11</v>
      </c>
      <c r="H129" s="112">
        <f>VLOOKUP($E$3,'Housing Generation'!$A$3:$CK$90,79,FALSE)</f>
        <v>11</v>
      </c>
      <c r="I129" s="112">
        <f>VLOOKUP($E$3,'Housing Generation'!$A$3:$CK$90,80,FALSE)</f>
        <v>11</v>
      </c>
      <c r="J129" s="111">
        <f t="shared" si="21"/>
        <v>69</v>
      </c>
    </row>
    <row r="130" spans="2:10" ht="15" customHeight="1">
      <c r="B130" s="114">
        <v>2028</v>
      </c>
      <c r="C130" s="289" t="s">
        <v>97</v>
      </c>
      <c r="D130" s="112">
        <f>VLOOKUP($E$3,'Housing Generation'!$A$3:$CK$90,83,FALSE)</f>
        <v>13</v>
      </c>
      <c r="E130" s="112">
        <f>VLOOKUP($E$3,'Housing Generation'!$A$3:$CK$90,84,FALSE)</f>
        <v>13</v>
      </c>
      <c r="F130" s="112">
        <f>VLOOKUP($E$3,'Housing Generation'!$A$3:$CK$90,85,FALSE)</f>
        <v>13</v>
      </c>
      <c r="G130" s="112">
        <f>VLOOKUP($E$3,'Housing Generation'!$A$3:$CK$90,86,FALSE)</f>
        <v>13</v>
      </c>
      <c r="H130" s="112">
        <f>VLOOKUP($E$3,'Housing Generation'!$A$3:$CK$90,87,FALSE)</f>
        <v>13</v>
      </c>
      <c r="I130" s="112">
        <f>VLOOKUP($E$3,'Housing Generation'!$A$3:$CK$90,88,FALSE)</f>
        <v>13</v>
      </c>
      <c r="J130" s="111">
        <f t="shared" si="21"/>
        <v>78</v>
      </c>
    </row>
    <row r="131" spans="2:10" ht="15" customHeight="1">
      <c r="B131" s="114">
        <v>2029</v>
      </c>
      <c r="C131" s="289" t="s">
        <v>97</v>
      </c>
      <c r="D131" s="112">
        <f>VLOOKUP($E$3,'Housing Generation'!$A$3:$DQ$90,91,FALSE)</f>
        <v>13</v>
      </c>
      <c r="E131" s="112">
        <f>VLOOKUP($E$3,'Housing Generation'!$A$3:$DQ$90,92,FALSE)</f>
        <v>13</v>
      </c>
      <c r="F131" s="112">
        <f>VLOOKUP($E$3,'Housing Generation'!$A$3:$DQ$90,93,FALSE)</f>
        <v>13</v>
      </c>
      <c r="G131" s="112">
        <f>VLOOKUP($E$3,'Housing Generation'!$A$3:$DQ$90,94,FALSE)</f>
        <v>13</v>
      </c>
      <c r="H131" s="112">
        <f>VLOOKUP($E$3,'Housing Generation'!$A$3:$DQ$90,95,FALSE)</f>
        <v>13</v>
      </c>
      <c r="I131" s="112">
        <f>VLOOKUP($E$3,'Housing Generation'!$A$3:$DQ$90,96,FALSE)</f>
        <v>13</v>
      </c>
      <c r="J131" s="111">
        <f t="shared" si="21"/>
        <v>78</v>
      </c>
    </row>
    <row r="132" spans="2:10" ht="15" customHeight="1">
      <c r="B132" s="114">
        <v>2030</v>
      </c>
      <c r="C132" s="289" t="s">
        <v>97</v>
      </c>
      <c r="D132" s="112">
        <f>VLOOKUP($E$3,'Housing Generation'!$A$3:$DQ$90,99,FALSE)</f>
        <v>13</v>
      </c>
      <c r="E132" s="112">
        <f>VLOOKUP($E$3,'Housing Generation'!$A$3:$DQ$90,100,FALSE)</f>
        <v>13</v>
      </c>
      <c r="F132" s="112">
        <f>VLOOKUP($E$3,'Housing Generation'!$A$3:$DQ$90,101,FALSE)</f>
        <v>13</v>
      </c>
      <c r="G132" s="112">
        <f>VLOOKUP($E$3,'Housing Generation'!$A$3:$DQ$90,102,FALSE)</f>
        <v>13</v>
      </c>
      <c r="H132" s="112">
        <f>VLOOKUP($E$3,'Housing Generation'!$A$3:$DQ$90,103,FALSE)</f>
        <v>13</v>
      </c>
      <c r="I132" s="112">
        <f>VLOOKUP($E$3,'Housing Generation'!$A$3:$DQ$90,104,FALSE)</f>
        <v>13</v>
      </c>
      <c r="J132" s="111">
        <f t="shared" si="21"/>
        <v>78</v>
      </c>
    </row>
    <row r="133" spans="2:10" ht="15" customHeight="1">
      <c r="B133" s="114">
        <v>2031</v>
      </c>
      <c r="C133" s="289" t="s">
        <v>97</v>
      </c>
      <c r="D133" s="112">
        <f>VLOOKUP($E$3,'Housing Generation'!$A$3:$DQ$90,107,FALSE)</f>
        <v>13</v>
      </c>
      <c r="E133" s="112">
        <f>VLOOKUP($E$3,'Housing Generation'!$A$3:$DQ$90,108,FALSE)</f>
        <v>13</v>
      </c>
      <c r="F133" s="112">
        <f>VLOOKUP($E$3,'Housing Generation'!$A$3:$DQ$90,109,FALSE)</f>
        <v>13</v>
      </c>
      <c r="G133" s="112">
        <f>VLOOKUP($E$3,'Housing Generation'!$A$3:$DQ$90,110,FALSE)</f>
        <v>13</v>
      </c>
      <c r="H133" s="112">
        <f>VLOOKUP($E$3,'Housing Generation'!$A$3:$DQ$90,111,FALSE)</f>
        <v>13</v>
      </c>
      <c r="I133" s="112">
        <f>VLOOKUP($E$3,'Housing Generation'!$A$3:$DQ$90,112,FALSE)</f>
        <v>13</v>
      </c>
      <c r="J133" s="111">
        <f t="shared" si="21"/>
        <v>78</v>
      </c>
    </row>
    <row r="134" spans="2:10" ht="15" customHeight="1">
      <c r="B134" s="114">
        <v>2032</v>
      </c>
      <c r="C134" s="289" t="s">
        <v>97</v>
      </c>
      <c r="D134" s="112">
        <f>VLOOKUP($E$3,'Housing Generation'!$A$3:$DQ$90,115,FALSE)</f>
        <v>13</v>
      </c>
      <c r="E134" s="112">
        <f>VLOOKUP($E$3,'Housing Generation'!$A$3:$DQ$90,116,FALSE)</f>
        <v>13</v>
      </c>
      <c r="F134" s="112">
        <f>VLOOKUP($E$3,'Housing Generation'!$A$3:$DQ$90,117,FALSE)</f>
        <v>13</v>
      </c>
      <c r="G134" s="112">
        <f>VLOOKUP($E$3,'Housing Generation'!$A$3:$DQ$90,118,FALSE)</f>
        <v>13</v>
      </c>
      <c r="H134" s="112">
        <f>VLOOKUP($E$3,'Housing Generation'!$A$3:$DQ$90,119,FALSE)</f>
        <v>13</v>
      </c>
      <c r="I134" s="112">
        <f>VLOOKUP($E$3,'Housing Generation'!$A$3:$DQ$90,120,FALSE)</f>
        <v>13</v>
      </c>
      <c r="J134" s="111">
        <f t="shared" si="21"/>
        <v>78</v>
      </c>
    </row>
    <row r="135" spans="2:10" ht="15"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Cramond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66</v>
      </c>
      <c r="D139" s="112">
        <f t="shared" ref="D139:I152" si="23">D121+D103</f>
        <v>60</v>
      </c>
      <c r="E139" s="112">
        <f t="shared" si="23"/>
        <v>80</v>
      </c>
      <c r="F139" s="112">
        <f t="shared" si="23"/>
        <v>60</v>
      </c>
      <c r="G139" s="112">
        <f t="shared" si="23"/>
        <v>60</v>
      </c>
      <c r="H139" s="112">
        <f t="shared" si="23"/>
        <v>54</v>
      </c>
      <c r="I139" s="112">
        <f t="shared" si="23"/>
        <v>58</v>
      </c>
      <c r="J139" s="111">
        <f t="shared" ref="J139:J147" si="24">SUM(C139:I139)</f>
        <v>438</v>
      </c>
    </row>
    <row r="140" spans="2:10" ht="15" customHeight="1">
      <c r="B140" s="114">
        <v>2020</v>
      </c>
      <c r="C140" s="113">
        <f t="shared" si="22"/>
        <v>66</v>
      </c>
      <c r="D140" s="112">
        <f t="shared" si="23"/>
        <v>66</v>
      </c>
      <c r="E140" s="112">
        <f t="shared" si="23"/>
        <v>58</v>
      </c>
      <c r="F140" s="112">
        <f t="shared" si="23"/>
        <v>83</v>
      </c>
      <c r="G140" s="112">
        <f t="shared" si="23"/>
        <v>58</v>
      </c>
      <c r="H140" s="112">
        <f t="shared" si="23"/>
        <v>56</v>
      </c>
      <c r="I140" s="112">
        <f t="shared" si="23"/>
        <v>54</v>
      </c>
      <c r="J140" s="111">
        <f t="shared" si="24"/>
        <v>441</v>
      </c>
    </row>
    <row r="141" spans="2:10" ht="15" customHeight="1">
      <c r="B141" s="114">
        <v>2021</v>
      </c>
      <c r="C141" s="113">
        <f t="shared" si="22"/>
        <v>66</v>
      </c>
      <c r="D141" s="112">
        <f t="shared" si="23"/>
        <v>66</v>
      </c>
      <c r="E141" s="112">
        <f t="shared" si="23"/>
        <v>65</v>
      </c>
      <c r="F141" s="112">
        <f t="shared" si="23"/>
        <v>61</v>
      </c>
      <c r="G141" s="112">
        <f t="shared" si="23"/>
        <v>80</v>
      </c>
      <c r="H141" s="112">
        <f t="shared" si="23"/>
        <v>54</v>
      </c>
      <c r="I141" s="112">
        <f t="shared" si="23"/>
        <v>56</v>
      </c>
      <c r="J141" s="111">
        <f t="shared" si="24"/>
        <v>448</v>
      </c>
    </row>
    <row r="142" spans="2:10" ht="15" customHeight="1">
      <c r="B142" s="114">
        <v>2022</v>
      </c>
      <c r="C142" s="113">
        <f t="shared" si="22"/>
        <v>60</v>
      </c>
      <c r="D142" s="112">
        <f t="shared" si="23"/>
        <v>66</v>
      </c>
      <c r="E142" s="112">
        <f t="shared" si="23"/>
        <v>65</v>
      </c>
      <c r="F142" s="112">
        <f t="shared" si="23"/>
        <v>68</v>
      </c>
      <c r="G142" s="112">
        <f t="shared" si="23"/>
        <v>59</v>
      </c>
      <c r="H142" s="112">
        <f t="shared" si="23"/>
        <v>75</v>
      </c>
      <c r="I142" s="112">
        <f t="shared" si="23"/>
        <v>55</v>
      </c>
      <c r="J142" s="111">
        <f t="shared" si="24"/>
        <v>448</v>
      </c>
    </row>
    <row r="143" spans="2:10" ht="15" customHeight="1">
      <c r="B143" s="114">
        <v>2023</v>
      </c>
      <c r="C143" s="113">
        <f t="shared" si="22"/>
        <v>66</v>
      </c>
      <c r="D143" s="112">
        <f t="shared" si="23"/>
        <v>60</v>
      </c>
      <c r="E143" s="112">
        <f t="shared" si="23"/>
        <v>66</v>
      </c>
      <c r="F143" s="112">
        <f t="shared" si="23"/>
        <v>69</v>
      </c>
      <c r="G143" s="112">
        <f t="shared" si="23"/>
        <v>67</v>
      </c>
      <c r="H143" s="112">
        <f t="shared" si="23"/>
        <v>57</v>
      </c>
      <c r="I143" s="112">
        <f t="shared" si="23"/>
        <v>77</v>
      </c>
      <c r="J143" s="111">
        <f t="shared" si="24"/>
        <v>462</v>
      </c>
    </row>
    <row r="144" spans="2:10" ht="15" customHeight="1">
      <c r="B144" s="114">
        <v>2024</v>
      </c>
      <c r="C144" s="113">
        <f t="shared" si="22"/>
        <v>72</v>
      </c>
      <c r="D144" s="112">
        <f t="shared" si="23"/>
        <v>66</v>
      </c>
      <c r="E144" s="112">
        <f t="shared" si="23"/>
        <v>60</v>
      </c>
      <c r="F144" s="112">
        <f t="shared" si="23"/>
        <v>70</v>
      </c>
      <c r="G144" s="112">
        <f t="shared" si="23"/>
        <v>68</v>
      </c>
      <c r="H144" s="112">
        <f t="shared" si="23"/>
        <v>64</v>
      </c>
      <c r="I144" s="112">
        <f t="shared" si="23"/>
        <v>59</v>
      </c>
      <c r="J144" s="111">
        <f t="shared" si="24"/>
        <v>459</v>
      </c>
    </row>
    <row r="145" spans="2:16" ht="15" customHeight="1">
      <c r="B145" s="114">
        <v>2025</v>
      </c>
      <c r="C145" s="113">
        <f t="shared" si="22"/>
        <v>72</v>
      </c>
      <c r="D145" s="112">
        <f t="shared" si="23"/>
        <v>72</v>
      </c>
      <c r="E145" s="112">
        <f t="shared" si="23"/>
        <v>66</v>
      </c>
      <c r="F145" s="112">
        <f t="shared" si="23"/>
        <v>64</v>
      </c>
      <c r="G145" s="112">
        <f t="shared" si="23"/>
        <v>69</v>
      </c>
      <c r="H145" s="112">
        <f t="shared" si="23"/>
        <v>65</v>
      </c>
      <c r="I145" s="112">
        <f t="shared" si="23"/>
        <v>66</v>
      </c>
      <c r="J145" s="111">
        <f t="shared" si="24"/>
        <v>474</v>
      </c>
    </row>
    <row r="146" spans="2:16" ht="15" customHeight="1">
      <c r="B146" s="114">
        <v>2026</v>
      </c>
      <c r="C146" s="113">
        <f t="shared" si="22"/>
        <v>72</v>
      </c>
      <c r="D146" s="112">
        <f t="shared" si="23"/>
        <v>72</v>
      </c>
      <c r="E146" s="112">
        <f t="shared" si="23"/>
        <v>72</v>
      </c>
      <c r="F146" s="112">
        <f t="shared" si="23"/>
        <v>70</v>
      </c>
      <c r="G146" s="112">
        <f t="shared" si="23"/>
        <v>63</v>
      </c>
      <c r="H146" s="112">
        <f t="shared" si="23"/>
        <v>66</v>
      </c>
      <c r="I146" s="112">
        <f t="shared" si="23"/>
        <v>67</v>
      </c>
      <c r="J146" s="111">
        <f t="shared" si="24"/>
        <v>482</v>
      </c>
    </row>
    <row r="147" spans="2:16" ht="15" customHeight="1">
      <c r="B147" s="114">
        <v>2027</v>
      </c>
      <c r="C147" s="113">
        <f t="shared" si="22"/>
        <v>75</v>
      </c>
      <c r="D147" s="112">
        <f t="shared" si="23"/>
        <v>72</v>
      </c>
      <c r="E147" s="112">
        <f t="shared" si="23"/>
        <v>72</v>
      </c>
      <c r="F147" s="112">
        <f t="shared" si="23"/>
        <v>76</v>
      </c>
      <c r="G147" s="112">
        <f t="shared" si="23"/>
        <v>69</v>
      </c>
      <c r="H147" s="112">
        <f t="shared" si="23"/>
        <v>61</v>
      </c>
      <c r="I147" s="112">
        <f t="shared" si="23"/>
        <v>68</v>
      </c>
      <c r="J147" s="111">
        <f t="shared" si="24"/>
        <v>493</v>
      </c>
    </row>
    <row r="148" spans="2:16" ht="15" customHeight="1">
      <c r="B148" s="114">
        <v>2028</v>
      </c>
      <c r="C148" s="113">
        <f t="shared" si="22"/>
        <v>81.957060372450115</v>
      </c>
      <c r="D148" s="112">
        <f t="shared" si="23"/>
        <v>74</v>
      </c>
      <c r="E148" s="112">
        <f t="shared" si="23"/>
        <v>71</v>
      </c>
      <c r="F148" s="112">
        <f t="shared" si="23"/>
        <v>75</v>
      </c>
      <c r="G148" s="112">
        <f t="shared" si="23"/>
        <v>75</v>
      </c>
      <c r="H148" s="112">
        <f t="shared" si="23"/>
        <v>67</v>
      </c>
      <c r="I148" s="112">
        <f t="shared" si="23"/>
        <v>63</v>
      </c>
      <c r="J148" s="111">
        <f t="shared" ref="J148:J152" si="25">SUM(C148:I148)</f>
        <v>506.95706037245009</v>
      </c>
    </row>
    <row r="149" spans="2:16" ht="15" customHeight="1">
      <c r="B149" s="114">
        <v>2029</v>
      </c>
      <c r="C149" s="113">
        <f t="shared" si="22"/>
        <v>81.957060372450115</v>
      </c>
      <c r="D149" s="112">
        <f t="shared" si="23"/>
        <v>81</v>
      </c>
      <c r="E149" s="112">
        <f t="shared" si="23"/>
        <v>72</v>
      </c>
      <c r="F149" s="112">
        <f t="shared" si="23"/>
        <v>73</v>
      </c>
      <c r="G149" s="112">
        <f t="shared" si="23"/>
        <v>73</v>
      </c>
      <c r="H149" s="112">
        <f t="shared" si="23"/>
        <v>70</v>
      </c>
      <c r="I149" s="112">
        <f t="shared" si="23"/>
        <v>67</v>
      </c>
      <c r="J149" s="111">
        <f t="shared" si="25"/>
        <v>517.95706037245009</v>
      </c>
    </row>
    <row r="150" spans="2:16" ht="15" customHeight="1">
      <c r="B150" s="114">
        <v>2030</v>
      </c>
      <c r="C150" s="113">
        <f t="shared" si="22"/>
        <v>81.957060372450115</v>
      </c>
      <c r="D150" s="112">
        <f t="shared" si="23"/>
        <v>81</v>
      </c>
      <c r="E150" s="112">
        <f t="shared" si="23"/>
        <v>79</v>
      </c>
      <c r="F150" s="112">
        <f t="shared" si="23"/>
        <v>74</v>
      </c>
      <c r="G150" s="112">
        <f t="shared" si="23"/>
        <v>71</v>
      </c>
      <c r="H150" s="112">
        <f t="shared" si="23"/>
        <v>69</v>
      </c>
      <c r="I150" s="112">
        <f t="shared" si="23"/>
        <v>70</v>
      </c>
      <c r="J150" s="111">
        <f t="shared" si="25"/>
        <v>525.95706037245009</v>
      </c>
    </row>
    <row r="151" spans="2:16" ht="15" customHeight="1">
      <c r="B151" s="114">
        <v>2031</v>
      </c>
      <c r="C151" s="113">
        <f t="shared" si="22"/>
        <v>81.957060372450115</v>
      </c>
      <c r="D151" s="112">
        <f t="shared" si="23"/>
        <v>81</v>
      </c>
      <c r="E151" s="112">
        <f t="shared" si="23"/>
        <v>79</v>
      </c>
      <c r="F151" s="112">
        <f t="shared" si="23"/>
        <v>81</v>
      </c>
      <c r="G151" s="112">
        <f t="shared" si="23"/>
        <v>72</v>
      </c>
      <c r="H151" s="112">
        <f t="shared" si="23"/>
        <v>67</v>
      </c>
      <c r="I151" s="112">
        <f t="shared" si="23"/>
        <v>69</v>
      </c>
      <c r="J151" s="111">
        <f t="shared" si="25"/>
        <v>530.95706037245009</v>
      </c>
    </row>
    <row r="152" spans="2:16" ht="15" customHeight="1">
      <c r="B152" s="114">
        <v>2032</v>
      </c>
      <c r="C152" s="113">
        <f t="shared" si="22"/>
        <v>81.957060372450115</v>
      </c>
      <c r="D152" s="112">
        <f t="shared" si="23"/>
        <v>81</v>
      </c>
      <c r="E152" s="112">
        <f t="shared" si="23"/>
        <v>79</v>
      </c>
      <c r="F152" s="112">
        <f t="shared" si="23"/>
        <v>81</v>
      </c>
      <c r="G152" s="112">
        <f t="shared" si="23"/>
        <v>79</v>
      </c>
      <c r="H152" s="112">
        <f t="shared" si="23"/>
        <v>68</v>
      </c>
      <c r="I152" s="112">
        <f t="shared" si="23"/>
        <v>67</v>
      </c>
      <c r="J152" s="111">
        <f t="shared" si="25"/>
        <v>536.95706037245009</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438</v>
      </c>
      <c r="D159" s="108">
        <f>J140</f>
        <v>441</v>
      </c>
      <c r="E159" s="108">
        <f>J141</f>
        <v>448</v>
      </c>
      <c r="F159" s="108">
        <f>J142</f>
        <v>448</v>
      </c>
      <c r="G159" s="108">
        <f>J143</f>
        <v>462</v>
      </c>
      <c r="H159" s="108">
        <f>J144</f>
        <v>459</v>
      </c>
      <c r="I159" s="108">
        <f>J145</f>
        <v>474</v>
      </c>
      <c r="J159" s="108">
        <f>J146</f>
        <v>482</v>
      </c>
      <c r="K159" s="108">
        <f>J147</f>
        <v>493</v>
      </c>
      <c r="L159" s="108">
        <f>J148</f>
        <v>506.95706037245009</v>
      </c>
      <c r="M159" s="108">
        <f>J149</f>
        <v>517.95706037245009</v>
      </c>
      <c r="N159" s="108">
        <f>J150</f>
        <v>525.95706037245009</v>
      </c>
      <c r="O159" s="108">
        <f>J151</f>
        <v>530.95706037245009</v>
      </c>
      <c r="P159" s="108">
        <f>J152</f>
        <v>536.95706037245009</v>
      </c>
    </row>
    <row r="160" spans="2:16" ht="15" customHeight="1">
      <c r="B160" s="107" t="s">
        <v>152</v>
      </c>
      <c r="C160" s="106">
        <f>VLOOKUP(C159,Capacity!$A$1:$C$645,2,TRUE)</f>
        <v>16</v>
      </c>
      <c r="D160" s="106">
        <f>VLOOKUP(D159,Capacity!$A$1:$C$645,2,TRUE)</f>
        <v>16</v>
      </c>
      <c r="E160" s="106">
        <f>VLOOKUP(E159,Capacity!$A$1:$C$645,2,TRUE)</f>
        <v>16</v>
      </c>
      <c r="F160" s="106">
        <f>VLOOKUP(F159,Capacity!$A$1:$C$645,2,TRUE)</f>
        <v>16</v>
      </c>
      <c r="G160" s="106">
        <f>VLOOKUP(G159,Capacity!$A$1:$C$645,2,TRUE)</f>
        <v>16</v>
      </c>
      <c r="H160" s="106">
        <f>VLOOKUP(H159,Capacity!$A$1:$C$645,2,TRUE)</f>
        <v>16</v>
      </c>
      <c r="I160" s="106">
        <f>VLOOKUP(I159,Capacity!$A$1:$C$645,2,TRUE)</f>
        <v>17</v>
      </c>
      <c r="J160" s="106">
        <f>VLOOKUP(J159,Capacity!$A$1:$C$645,2,TRUE)</f>
        <v>18</v>
      </c>
      <c r="K160" s="106">
        <f>VLOOKUP(K159,Capacity!$A$1:$C$645,2,TRUE)</f>
        <v>18</v>
      </c>
      <c r="L160" s="106">
        <f>VLOOKUP(L159,Capacity!$A$1:$C$645,2,TRUE)</f>
        <v>19</v>
      </c>
      <c r="M160" s="106">
        <f>VLOOKUP(M159,Capacity!$A$1:$C$645,2,TRUE)</f>
        <v>19</v>
      </c>
      <c r="N160" s="106">
        <f>VLOOKUP(N159,Capacity!$A$1:$C$645,2,TRUE)</f>
        <v>19</v>
      </c>
      <c r="O160" s="106">
        <f>VLOOKUP(O159,Capacity!$A$1:$C$645,2,TRUE)</f>
        <v>19</v>
      </c>
      <c r="P160" s="106">
        <f>VLOOKUP(P159,Capacity!$A$1:$C$645,2,TRUE)</f>
        <v>19</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46</v>
      </c>
      <c r="D169" s="97">
        <f>VLOOKUP($E$3,'Catchment Births'!$A$1:$U$90,11,FALSE)</f>
        <v>33</v>
      </c>
      <c r="E169" s="97">
        <f>VLOOKUP($E$3,'Catchment Births'!$A$1:$U$90,12,FALSE)</f>
        <v>32</v>
      </c>
      <c r="F169" s="97">
        <f>VLOOKUP($E$3,'Catchment Births'!$A$1:$U$90,13,FALSE)</f>
        <v>51</v>
      </c>
      <c r="G169" s="97">
        <f>VLOOKUP($E$3,'Catchment Births'!$A$1:$U$90,14,FALSE)</f>
        <v>46</v>
      </c>
      <c r="H169" s="97">
        <f>VLOOKUP($E$3,'Catchment Births'!$A$1:$U$90,15,FALSE)</f>
        <v>36</v>
      </c>
      <c r="I169" s="97">
        <f>VLOOKUP($E$3,'Catchment Births'!$A$1:$U$90,16,FALSE)</f>
        <v>44</v>
      </c>
      <c r="J169" s="97">
        <f>VLOOKUP($E$3,'Catchment Births'!$A$1:$U$90,17,FALSE)</f>
        <v>47</v>
      </c>
      <c r="K169" s="97">
        <f>VLOOKUP($E$3,'Catchment Births'!$A$1:$U$90,18,FALSE)</f>
        <v>44</v>
      </c>
      <c r="L169" s="97">
        <f>VLOOKUP($E$3,'Catchment Births'!$A$1:$U$90,19,FALSE)</f>
        <v>53</v>
      </c>
      <c r="M169" s="97">
        <f>VLOOKUP($E$3,'Catchment Births'!$A$1:$U$90,20,FALSE)</f>
        <v>45</v>
      </c>
      <c r="N169" s="97">
        <f>VLOOKUP($E$3,'Catchment Births'!$A$1:$U$90,21,FALSE)</f>
        <v>46</v>
      </c>
    </row>
    <row r="170" spans="2:14" ht="58.5" customHeight="1">
      <c r="B170" s="103" t="str">
        <f>"P1 "&amp;A35&amp;" Catchment Population (Actual)"</f>
        <v>P1 ND Catchment Population (Actual)</v>
      </c>
      <c r="C170" s="102" t="e">
        <v>#REF!</v>
      </c>
      <c r="D170" s="102">
        <v>52</v>
      </c>
      <c r="E170" s="102">
        <v>53</v>
      </c>
      <c r="F170" s="102">
        <v>50</v>
      </c>
      <c r="G170" s="102">
        <v>55</v>
      </c>
      <c r="H170" s="102">
        <v>53</v>
      </c>
      <c r="I170" s="102">
        <v>58</v>
      </c>
      <c r="J170" s="308">
        <f>VLOOKUP(E3,'Catchment Projections'!A1:BU92,42,FALSE)</f>
        <v>57</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58</v>
      </c>
      <c r="J172" s="96" t="e">
        <f>#REF!</f>
        <v>#REF!</v>
      </c>
      <c r="K172" s="96">
        <f>D51</f>
        <v>62</v>
      </c>
      <c r="L172" s="96">
        <f>E51</f>
        <v>64</v>
      </c>
      <c r="M172" s="96">
        <f>F51</f>
        <v>65</v>
      </c>
      <c r="N172" s="96">
        <f>G51</f>
        <v>56</v>
      </c>
    </row>
    <row r="173" spans="2:14" ht="12.75">
      <c r="B173" s="62"/>
      <c r="C173" s="62"/>
      <c r="D173" s="62"/>
      <c r="E173" s="62"/>
      <c r="F173" s="62"/>
      <c r="G173" s="62"/>
      <c r="H173" s="62"/>
      <c r="I173" s="62"/>
      <c r="J173" s="62"/>
      <c r="K173" s="62"/>
    </row>
    <row r="174" spans="2:14" ht="15" customHeight="1">
      <c r="B174" s="64" t="str">
        <f>"Table 5: "&amp;E3&amp;" Roll by Stage, 2002-2018"</f>
        <v>Table 5: Cramond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56</v>
      </c>
      <c r="D177" s="93">
        <v>48</v>
      </c>
      <c r="E177" s="93">
        <v>63</v>
      </c>
      <c r="F177" s="93">
        <v>38</v>
      </c>
      <c r="G177" s="93">
        <v>44</v>
      </c>
      <c r="H177" s="93">
        <v>40</v>
      </c>
      <c r="I177" s="93">
        <v>46</v>
      </c>
      <c r="J177" s="92">
        <v>335</v>
      </c>
      <c r="K177" s="62"/>
    </row>
    <row r="178" spans="2:11" ht="15" customHeight="1">
      <c r="B178" s="94">
        <v>2003</v>
      </c>
      <c r="C178" s="93">
        <v>58</v>
      </c>
      <c r="D178" s="93">
        <v>53</v>
      </c>
      <c r="E178" s="93">
        <v>48</v>
      </c>
      <c r="F178" s="93">
        <v>51</v>
      </c>
      <c r="G178" s="93">
        <v>38</v>
      </c>
      <c r="H178" s="93">
        <v>40</v>
      </c>
      <c r="I178" s="93">
        <v>39</v>
      </c>
      <c r="J178" s="92">
        <v>327</v>
      </c>
      <c r="K178" s="62"/>
    </row>
    <row r="179" spans="2:11" customFormat="1" ht="15" customHeight="1">
      <c r="B179" s="94">
        <v>2004</v>
      </c>
      <c r="C179" s="95">
        <v>47</v>
      </c>
      <c r="D179" s="95">
        <v>55</v>
      </c>
      <c r="E179" s="95">
        <v>50</v>
      </c>
      <c r="F179" s="95">
        <v>48</v>
      </c>
      <c r="G179" s="95">
        <v>55</v>
      </c>
      <c r="H179" s="95">
        <v>38</v>
      </c>
      <c r="I179" s="95">
        <v>37</v>
      </c>
      <c r="J179" s="92">
        <v>330</v>
      </c>
      <c r="K179" s="62"/>
    </row>
    <row r="180" spans="2:11" customFormat="1" ht="15" customHeight="1">
      <c r="B180" s="94">
        <v>2005</v>
      </c>
      <c r="C180" s="93">
        <v>50</v>
      </c>
      <c r="D180" s="93">
        <v>50</v>
      </c>
      <c r="E180" s="93">
        <v>54</v>
      </c>
      <c r="F180" s="93">
        <v>52</v>
      </c>
      <c r="G180" s="93">
        <v>49</v>
      </c>
      <c r="H180" s="93">
        <v>52</v>
      </c>
      <c r="I180" s="93">
        <v>37</v>
      </c>
      <c r="J180" s="92">
        <v>344</v>
      </c>
      <c r="K180" s="62"/>
    </row>
    <row r="181" spans="2:11" customFormat="1" ht="15" customHeight="1">
      <c r="B181" s="94">
        <v>2006</v>
      </c>
      <c r="C181" s="93">
        <v>58</v>
      </c>
      <c r="D181" s="93">
        <v>51</v>
      </c>
      <c r="E181" s="93">
        <v>52</v>
      </c>
      <c r="F181" s="93">
        <v>54</v>
      </c>
      <c r="G181" s="93">
        <v>54</v>
      </c>
      <c r="H181" s="93">
        <v>41</v>
      </c>
      <c r="I181" s="93">
        <v>50</v>
      </c>
      <c r="J181" s="92">
        <v>360</v>
      </c>
      <c r="K181" s="62"/>
    </row>
    <row r="182" spans="2:11" customFormat="1" ht="15" customHeight="1">
      <c r="B182" s="94">
        <v>2007</v>
      </c>
      <c r="C182" s="93">
        <v>49</v>
      </c>
      <c r="D182" s="93">
        <v>60</v>
      </c>
      <c r="E182" s="93">
        <v>48</v>
      </c>
      <c r="F182" s="93">
        <v>49</v>
      </c>
      <c r="G182" s="93">
        <v>57</v>
      </c>
      <c r="H182" s="93">
        <v>54</v>
      </c>
      <c r="I182" s="93">
        <v>38</v>
      </c>
      <c r="J182" s="92">
        <v>355</v>
      </c>
      <c r="K182" s="62"/>
    </row>
    <row r="183" spans="2:11" customFormat="1" ht="15" customHeight="1">
      <c r="B183" s="94">
        <v>2008</v>
      </c>
      <c r="C183" s="93">
        <v>60</v>
      </c>
      <c r="D183" s="93">
        <v>50</v>
      </c>
      <c r="E183" s="93">
        <v>60</v>
      </c>
      <c r="F183" s="93">
        <v>47</v>
      </c>
      <c r="G183" s="93">
        <v>48</v>
      </c>
      <c r="H183" s="93">
        <v>55</v>
      </c>
      <c r="I183" s="93">
        <v>51</v>
      </c>
      <c r="J183" s="92">
        <v>371</v>
      </c>
      <c r="K183" s="62"/>
    </row>
    <row r="184" spans="2:11" customFormat="1" ht="15" customHeight="1">
      <c r="B184" s="94">
        <v>2009</v>
      </c>
      <c r="C184" s="93">
        <v>50</v>
      </c>
      <c r="D184" s="93">
        <v>60</v>
      </c>
      <c r="E184" s="93">
        <v>53</v>
      </c>
      <c r="F184" s="93">
        <v>62</v>
      </c>
      <c r="G184" s="93">
        <v>49</v>
      </c>
      <c r="H184" s="93">
        <v>48</v>
      </c>
      <c r="I184" s="93">
        <v>53</v>
      </c>
      <c r="J184" s="94">
        <v>375</v>
      </c>
      <c r="K184" s="62"/>
    </row>
    <row r="185" spans="2:11" customFormat="1" ht="15" customHeight="1">
      <c r="B185" s="94">
        <v>2010</v>
      </c>
      <c r="C185" s="93">
        <v>55</v>
      </c>
      <c r="D185" s="93">
        <v>55</v>
      </c>
      <c r="E185" s="93">
        <v>59</v>
      </c>
      <c r="F185" s="93">
        <v>51</v>
      </c>
      <c r="G185" s="93">
        <v>64</v>
      </c>
      <c r="H185" s="93">
        <v>45</v>
      </c>
      <c r="I185" s="93">
        <v>45</v>
      </c>
      <c r="J185" s="92">
        <v>374</v>
      </c>
      <c r="K185" s="62"/>
    </row>
    <row r="186" spans="2:11" customFormat="1" ht="15" customHeight="1">
      <c r="B186" s="94">
        <v>2011</v>
      </c>
      <c r="C186" s="93">
        <v>60</v>
      </c>
      <c r="D186" s="93">
        <v>54</v>
      </c>
      <c r="E186" s="93">
        <v>56</v>
      </c>
      <c r="F186" s="93">
        <v>62</v>
      </c>
      <c r="G186" s="93">
        <v>50</v>
      </c>
      <c r="H186" s="93">
        <v>61</v>
      </c>
      <c r="I186" s="93">
        <v>48</v>
      </c>
      <c r="J186" s="92">
        <v>391</v>
      </c>
      <c r="K186" s="62"/>
    </row>
    <row r="187" spans="2:11" customFormat="1" ht="15" customHeight="1">
      <c r="B187" s="94">
        <v>2012</v>
      </c>
      <c r="C187" s="93">
        <v>60</v>
      </c>
      <c r="D187" s="93">
        <v>57</v>
      </c>
      <c r="E187" s="93">
        <v>58</v>
      </c>
      <c r="F187" s="93">
        <v>58</v>
      </c>
      <c r="G187" s="93">
        <v>59</v>
      </c>
      <c r="H187" s="93">
        <v>47</v>
      </c>
      <c r="I187" s="93">
        <v>57</v>
      </c>
      <c r="J187" s="92">
        <v>396</v>
      </c>
      <c r="K187" s="62"/>
    </row>
    <row r="188" spans="2:11" customFormat="1" ht="15" customHeight="1">
      <c r="B188" s="94">
        <v>2013</v>
      </c>
      <c r="C188" s="93">
        <v>60</v>
      </c>
      <c r="D188" s="93">
        <v>60</v>
      </c>
      <c r="E188" s="93">
        <v>59</v>
      </c>
      <c r="F188" s="93">
        <v>60</v>
      </c>
      <c r="G188" s="93">
        <v>54</v>
      </c>
      <c r="H188" s="93">
        <v>52</v>
      </c>
      <c r="I188" s="93">
        <v>49</v>
      </c>
      <c r="J188" s="94">
        <v>394</v>
      </c>
      <c r="K188" s="62"/>
    </row>
    <row r="189" spans="2:11" customFormat="1" ht="15" customHeight="1">
      <c r="B189" s="94">
        <v>2014</v>
      </c>
      <c r="C189" s="93">
        <v>62</v>
      </c>
      <c r="D189" s="93">
        <v>61</v>
      </c>
      <c r="E189" s="93">
        <v>60</v>
      </c>
      <c r="F189" s="93">
        <v>58</v>
      </c>
      <c r="G189" s="93">
        <v>62</v>
      </c>
      <c r="H189" s="93">
        <v>50</v>
      </c>
      <c r="I189" s="93">
        <v>49</v>
      </c>
      <c r="J189" s="92">
        <v>402</v>
      </c>
      <c r="K189" s="65"/>
    </row>
    <row r="190" spans="2:11" customFormat="1" ht="15" customHeight="1">
      <c r="B190" s="94">
        <v>2015</v>
      </c>
      <c r="C190" s="93">
        <v>59</v>
      </c>
      <c r="D190" s="93">
        <v>60</v>
      </c>
      <c r="E190" s="93">
        <v>59</v>
      </c>
      <c r="F190" s="93">
        <v>61</v>
      </c>
      <c r="G190" s="93">
        <v>56</v>
      </c>
      <c r="H190" s="93">
        <v>53</v>
      </c>
      <c r="I190" s="93">
        <v>48</v>
      </c>
      <c r="J190" s="92">
        <v>396</v>
      </c>
      <c r="K190" s="65"/>
    </row>
    <row r="191" spans="2:11" customFormat="1" ht="15" customHeight="1">
      <c r="B191" s="94">
        <v>2016</v>
      </c>
      <c r="C191" s="93">
        <v>58</v>
      </c>
      <c r="D191" s="93">
        <v>59</v>
      </c>
      <c r="E191" s="93">
        <v>56</v>
      </c>
      <c r="F191" s="93">
        <v>61</v>
      </c>
      <c r="G191" s="93">
        <v>63</v>
      </c>
      <c r="H191" s="93">
        <v>51</v>
      </c>
      <c r="I191" s="93">
        <v>54</v>
      </c>
      <c r="J191" s="92">
        <v>402</v>
      </c>
      <c r="K191" s="65"/>
    </row>
    <row r="192" spans="2:11" ht="15" customHeight="1">
      <c r="B192" s="94">
        <v>2017</v>
      </c>
      <c r="C192" s="93">
        <f>VLOOKUP($E$3,Rolls!A1:FA90,42,FALSE)</f>
        <v>84</v>
      </c>
      <c r="D192" s="93">
        <f>VLOOKUP($E$3,Rolls!A1:FA90,43,FALSE)</f>
        <v>60</v>
      </c>
      <c r="E192" s="93">
        <f>VLOOKUP($E$3,Rolls!A1:FA90,44,FALSE)</f>
        <v>60</v>
      </c>
      <c r="F192" s="93">
        <f>VLOOKUP($E$3,Rolls!A1:FA90,45,FALSE)</f>
        <v>61</v>
      </c>
      <c r="G192" s="93">
        <f>VLOOKUP($E$3,Rolls!A1:FA90,46,FALSE)</f>
        <v>59</v>
      </c>
      <c r="H192" s="93">
        <f>VLOOKUP($E$3,Rolls!A1:FA90,47,FALSE)</f>
        <v>61</v>
      </c>
      <c r="I192" s="93">
        <f>VLOOKUP($E$3,Rolls!A1:FA90,48,FALSE)</f>
        <v>51</v>
      </c>
      <c r="J192" s="92">
        <f>VLOOKUP($E$3,Rolls!A1:FA90,49,FALSE)</f>
        <v>436</v>
      </c>
      <c r="K192" s="65"/>
    </row>
    <row r="193" spans="2:11" ht="15" customHeight="1">
      <c r="B193" s="94">
        <v>2018</v>
      </c>
      <c r="C193" s="93">
        <f>VLOOKUP($E$3,Rolls!A1:FA90,50,FALSE)</f>
        <v>60</v>
      </c>
      <c r="D193" s="93">
        <f>VLOOKUP($E$3,Rolls!A1:FA90,51,FALSE)</f>
        <v>83</v>
      </c>
      <c r="E193" s="93">
        <f>VLOOKUP($E$3,Rolls!A1:FA90,52,FALSE)</f>
        <v>58</v>
      </c>
      <c r="F193" s="93">
        <f>VLOOKUP($E$3,Rolls!A1:FA90,53,FALSE)</f>
        <v>62</v>
      </c>
      <c r="G193" s="93">
        <f>VLOOKUP($E$3,Rolls!A1:FA90,54,FALSE)</f>
        <v>58</v>
      </c>
      <c r="H193" s="93">
        <f>VLOOKUP($E$3,Rolls!A1:FA90,55,FALSE)</f>
        <v>58</v>
      </c>
      <c r="I193" s="93">
        <f>VLOOKUP($E$3,Rolls!A1:FA90,56,FALSE)</f>
        <v>62</v>
      </c>
      <c r="J193" s="92">
        <f>VLOOKUP($E$3,Rolls!A1:FA90,57,FALSE)</f>
        <v>441</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77</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Currie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546 Pupils (19 classes)</v>
      </c>
      <c r="G12" s="16"/>
      <c r="H12" s="16"/>
    </row>
    <row r="13" spans="2:10" ht="15" customHeight="1">
      <c r="C13" s="16"/>
      <c r="D13" s="16"/>
      <c r="E13" s="16"/>
      <c r="F13" s="16"/>
      <c r="G13" s="16"/>
      <c r="H13" s="16"/>
    </row>
    <row r="14" spans="2:10" ht="15" customHeight="1">
      <c r="B14" s="15" t="str">
        <f>"Figure 1: "&amp;E3&amp;" Roll, 2002-2015"</f>
        <v>Figure 1: Currie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Currie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91</v>
      </c>
      <c r="E49" s="108">
        <f>VLOOKUP($E$3,'Catchment Projections'!$A$1:$BU$90,46,FALSE)</f>
        <v>98</v>
      </c>
      <c r="F49" s="108">
        <f>VLOOKUP($E$3,'Catchment Projections'!$A$1:$BU$90,47,FALSE)</f>
        <v>87</v>
      </c>
      <c r="G49" s="108">
        <f>VLOOKUP($E$3,'Catchment Projections'!$A$1:$BU$90,48,FALSE)</f>
        <v>83</v>
      </c>
      <c r="H49" s="133">
        <f>VLOOKUP($E$3,'Catchment Projections'!$A$1:$BU$90,49,FALSE)</f>
        <v>90</v>
      </c>
      <c r="I49" s="133">
        <f>VLOOKUP($E$3,'Catchment Projections'!$A$1:$BU$90,50,FALSE)</f>
        <v>91</v>
      </c>
      <c r="J49" s="133">
        <f>VLOOKUP($E$3,'Catchment Projections'!$A$1:$BU$90,51,FALSE)</f>
        <v>92</v>
      </c>
      <c r="K49" s="133">
        <f>VLOOKUP($E$3,'Catchment Projections'!$A$1:$BU$90,52,FALSE)</f>
        <v>93</v>
      </c>
      <c r="L49" s="133">
        <f>VLOOKUP($E$3,'Catchment Projections'!$A$1:$BU$90,53,FALSE)</f>
        <v>94</v>
      </c>
      <c r="M49" s="133">
        <f>VLOOKUP($E$3,'Catchment Projections'!$A$1:$BU$90,54,FALSE)</f>
        <v>94</v>
      </c>
      <c r="N49" s="133">
        <f>VLOOKUP($E$3,'Catchment Projections'!$A$1:$BU$90,55,FALSE)</f>
        <v>95</v>
      </c>
      <c r="O49" s="133">
        <f>VLOOKUP($E$3,'Catchment Projections'!$A$1:$BU$90,56,FALSE)</f>
        <v>95</v>
      </c>
      <c r="P49" s="133">
        <f>VLOOKUP($E$3,'Catchment Projections'!$A$1:$BU$90,57,FALSE)</f>
        <v>95</v>
      </c>
      <c r="Q49" s="133">
        <f>VLOOKUP($E$3,'Catchment Projections'!$A$1:$BU$90,58,FALSE)</f>
        <v>95</v>
      </c>
    </row>
    <row r="50" spans="2:17" ht="15" customHeight="1" thickBot="1">
      <c r="B50" s="410" t="s">
        <v>141</v>
      </c>
      <c r="C50" s="411"/>
      <c r="D50" s="286">
        <f>VLOOKUP(E3,'Housing Generation'!$A$3:$DQ$90,10,FALSE)</f>
        <v>3</v>
      </c>
      <c r="E50" s="286">
        <f>VLOOKUP(E3,'Housing Generation'!$A$3:$DQ$90,18,FALSE)</f>
        <v>4</v>
      </c>
      <c r="F50" s="286">
        <f>VLOOKUP(E3,'Housing Generation'!$A$3:$DQ$90,26,FALSE)</f>
        <v>6</v>
      </c>
      <c r="G50" s="243">
        <f>VLOOKUP(E3,'Housing Generation'!$A$3:$DQ$90,34,FALSE)</f>
        <v>7</v>
      </c>
      <c r="H50" s="133">
        <f>VLOOKUP(E3,'Housing Generation'!$A$3:$DQ$90,42,FALSE)</f>
        <v>7</v>
      </c>
      <c r="I50" s="133">
        <f>VLOOKUP(E3,'Housing Generation'!$A$3:$DQ$90,50,FALSE)</f>
        <v>7</v>
      </c>
      <c r="J50" s="133">
        <f>VLOOKUP(E3,'Housing Generation'!$A$3:$CK$90,58,FALSE)</f>
        <v>7</v>
      </c>
      <c r="K50" s="133">
        <f>VLOOKUP(E3,'Housing Generation'!$A$3:$CK$90,66,FALSE)</f>
        <v>7</v>
      </c>
      <c r="L50" s="133">
        <f>VLOOKUP(E3,'Housing Generation'!$A$3:$DQ$90,74,FALSE)</f>
        <v>7</v>
      </c>
      <c r="M50" s="133">
        <f>VLOOKUP(E3,'Housing Generation'!$A$3:$DQ$90,82,FALSE)</f>
        <v>7</v>
      </c>
      <c r="N50" s="133">
        <f>VLOOKUP(E3,'Housing Generation'!$A$3:$DQ$90,90,FALSE)</f>
        <v>7</v>
      </c>
      <c r="O50" s="133">
        <f>VLOOKUP(E3,'Housing Generation'!$A$3:$DQ$90,98,FALSE)</f>
        <v>7</v>
      </c>
      <c r="P50" s="133">
        <f>VLOOKUP(E3,'Housing Generation'!$A$3:$DQ$90,106,FALSE)</f>
        <v>7</v>
      </c>
      <c r="Q50" s="133">
        <f>VLOOKUP(E3,'Housing Generation'!$A$3:$DQ$90,114,FALSE)</f>
        <v>7</v>
      </c>
    </row>
    <row r="51" spans="2:17" ht="15" customHeight="1" thickTop="1">
      <c r="B51" s="421" t="s">
        <v>130</v>
      </c>
      <c r="C51" s="422"/>
      <c r="D51" s="47">
        <f t="shared" ref="D51:Q51" si="0">SUM(D49:D50)</f>
        <v>94</v>
      </c>
      <c r="E51" s="47">
        <f t="shared" si="0"/>
        <v>102</v>
      </c>
      <c r="F51" s="80">
        <f t="shared" si="0"/>
        <v>93</v>
      </c>
      <c r="G51" s="244">
        <f t="shared" si="0"/>
        <v>90</v>
      </c>
      <c r="H51" s="71">
        <f t="shared" si="0"/>
        <v>97</v>
      </c>
      <c r="I51" s="71">
        <f t="shared" si="0"/>
        <v>98</v>
      </c>
      <c r="J51" s="71">
        <f t="shared" si="0"/>
        <v>99</v>
      </c>
      <c r="K51" s="71">
        <f t="shared" si="0"/>
        <v>100</v>
      </c>
      <c r="L51" s="71">
        <f t="shared" si="0"/>
        <v>101</v>
      </c>
      <c r="M51" s="71">
        <f t="shared" si="0"/>
        <v>101</v>
      </c>
      <c r="N51" s="71">
        <f t="shared" si="0"/>
        <v>102</v>
      </c>
      <c r="O51" s="71">
        <f t="shared" si="0"/>
        <v>102</v>
      </c>
      <c r="P51" s="71">
        <f t="shared" si="0"/>
        <v>102</v>
      </c>
      <c r="Q51" s="71">
        <f t="shared" si="0"/>
        <v>102</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58</v>
      </c>
      <c r="D60" s="358">
        <f>VLOOKUP($E$3,'Catchment Projections'!$A$1:$BZ$90,74,FALSE)</f>
        <v>48</v>
      </c>
      <c r="E60" s="303">
        <f>D60/C60</f>
        <v>0.82758620689655171</v>
      </c>
      <c r="G60" s="132">
        <v>2014</v>
      </c>
      <c r="H60" s="395">
        <f>VLOOKUP($G$60,$B$177:$C$215, 2, FALSE)</f>
        <v>57</v>
      </c>
      <c r="I60" s="120">
        <f>H60-D60</f>
        <v>9</v>
      </c>
      <c r="J60" s="121">
        <f>I60/H60</f>
        <v>0.15789473684210525</v>
      </c>
    </row>
    <row r="61" spans="2:17" ht="15" customHeight="1">
      <c r="B61" s="132">
        <v>2015</v>
      </c>
      <c r="C61" s="359">
        <f>VLOOKUP($E$3,'Catchment Projections'!$A$1:$BZ$90,41,FALSE)</f>
        <v>67</v>
      </c>
      <c r="D61" s="358">
        <f>VLOOKUP($E$3,'Catchment Projections'!$A$1:$BZ$90,75,FALSE)</f>
        <v>61</v>
      </c>
      <c r="E61" s="303">
        <f>D61/C61</f>
        <v>0.91044776119402981</v>
      </c>
      <c r="G61" s="132">
        <v>2015</v>
      </c>
      <c r="H61" s="395">
        <f>VLOOKUP($G$61,$B$177:$C$215, 2, FALSE)</f>
        <v>64</v>
      </c>
      <c r="I61" s="120">
        <f>H61-D61</f>
        <v>3</v>
      </c>
      <c r="J61" s="121">
        <f>I61/H61</f>
        <v>4.6875E-2</v>
      </c>
    </row>
    <row r="62" spans="2:17" ht="15" customHeight="1">
      <c r="B62" s="131">
        <v>2016</v>
      </c>
      <c r="C62" s="359">
        <f>VLOOKUP($E$3,'Catchment Projections'!$A$1:$BZ$90,42,FALSE)</f>
        <v>57</v>
      </c>
      <c r="D62" s="358">
        <f>VLOOKUP($E$3,'Catchment Projections'!$A$1:$BZ$90,76,FALSE)</f>
        <v>52</v>
      </c>
      <c r="E62" s="57">
        <f>D62/C62</f>
        <v>0.91228070175438591</v>
      </c>
      <c r="G62" s="131">
        <v>2016</v>
      </c>
      <c r="H62" s="395">
        <f>VLOOKUP($G$62,$B$177:$C$215, 2, FALSE)</f>
        <v>63</v>
      </c>
      <c r="I62" s="120">
        <f>H62-D62</f>
        <v>11</v>
      </c>
      <c r="J62" s="121">
        <f>I62/H62</f>
        <v>0.17460317460317459</v>
      </c>
    </row>
    <row r="63" spans="2:17" ht="15" customHeight="1">
      <c r="B63" s="114">
        <v>2017</v>
      </c>
      <c r="C63" s="359">
        <f>VLOOKUP($E$3,'Catchment Projections'!$A$1:$BZ$90,43,FALSE)</f>
        <v>71</v>
      </c>
      <c r="D63" s="358">
        <f>VLOOKUP($E$3,'Catchment Projections'!$A$1:$BZ$90,77,FALSE)</f>
        <v>67</v>
      </c>
      <c r="E63" s="304">
        <f>D63/C63</f>
        <v>0.94366197183098588</v>
      </c>
      <c r="G63" s="114">
        <v>2017</v>
      </c>
      <c r="H63" s="395">
        <f>VLOOKUP($G$63,$B$177:$C$215, 2, FALSE)</f>
        <v>69</v>
      </c>
      <c r="I63" s="120">
        <f>H63-D63</f>
        <v>2</v>
      </c>
      <c r="J63" s="121">
        <f>I63/H63</f>
        <v>2.8985507246376812E-2</v>
      </c>
    </row>
    <row r="64" spans="2:17" ht="15" customHeight="1">
      <c r="B64" s="114">
        <v>2018</v>
      </c>
      <c r="C64" s="359">
        <f>VLOOKUP($E$3,'Catchment Projections'!$A$1:$BZ$90,44,FALSE)</f>
        <v>87</v>
      </c>
      <c r="D64" s="358">
        <f>VLOOKUP($E$3,'Catchment Projections'!$A$1:$BZ$90,78,FALSE)</f>
        <v>81</v>
      </c>
      <c r="E64" s="305">
        <f>D64/C64</f>
        <v>0.93103448275862066</v>
      </c>
      <c r="G64" s="114">
        <v>2018</v>
      </c>
      <c r="H64" s="395">
        <f>VLOOKUP($G$64,$B$177:$C$215, 2, FALSE)</f>
        <v>87</v>
      </c>
      <c r="I64" s="120">
        <f>H64-D64</f>
        <v>6</v>
      </c>
      <c r="J64" s="121">
        <f>I64/H64</f>
        <v>6.8965517241379309E-2</v>
      </c>
    </row>
    <row r="65" spans="2:10" ht="15" customHeight="1">
      <c r="B65" s="412" t="s">
        <v>136</v>
      </c>
      <c r="C65" s="413"/>
      <c r="D65" s="414"/>
      <c r="E65" s="137">
        <f>IF((AVERAGE(E62:E64))="#DIV/0!","n/a",(AVERAGE(E62:E64)))</f>
        <v>0.92899238544799745</v>
      </c>
      <c r="G65" s="415" t="s">
        <v>137</v>
      </c>
      <c r="H65" s="416"/>
      <c r="I65" s="138">
        <f>MEDIAN(I60:I64)</f>
        <v>6</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94</v>
      </c>
      <c r="D70" s="408"/>
      <c r="E70" s="122">
        <f>E65</f>
        <v>0.92899238544799745</v>
      </c>
      <c r="F70" s="120">
        <f t="shared" ref="F70:F83" si="1">C70*$E$65</f>
        <v>87.325284232111756</v>
      </c>
      <c r="G70" s="118">
        <f>IF(F70&lt;26,25,IF(F70&gt;135,140,IF(F70&gt;130,135,IF(F70&gt;125,130,IF(F70&gt;120,125,IF(F70&gt;115,120,IF(F70&gt;110,115,IF(F70&gt;105,110,IF(F70&gt;100,105,IF(F70&gt;99,100,IF(F70&gt;90,99,IF(F70&gt;75,90,IF(F70&gt;72,75,IF(F70&gt;66,72,IF(F70&gt;60,66,IF(F70&gt;50,60,IF(F70&gt;30,50,IF(F70&gt;25,30,0))))))))))))))))))</f>
        <v>90</v>
      </c>
      <c r="H70" s="119">
        <f t="shared" ref="H70:H83" si="2">G70-F70</f>
        <v>2.6747157678882445</v>
      </c>
      <c r="I70" s="118" t="str">
        <f>IF(I$65&lt;H70, "NO", "YES")</f>
        <v>YES</v>
      </c>
      <c r="J70" s="117">
        <f t="shared" ref="J70:J83" si="3">IF(I70="YES",G70,(MIN((SUM(F70,$I$65)),G70)))</f>
        <v>90</v>
      </c>
    </row>
    <row r="71" spans="2:10" ht="15" customHeight="1">
      <c r="B71" s="114">
        <v>2020</v>
      </c>
      <c r="C71" s="433">
        <f>E51</f>
        <v>102</v>
      </c>
      <c r="D71" s="408"/>
      <c r="E71" s="121">
        <f>E65</f>
        <v>0.92899238544799745</v>
      </c>
      <c r="F71" s="120">
        <f t="shared" si="1"/>
        <v>94.75722331569574</v>
      </c>
      <c r="G71" s="118">
        <f t="shared" ref="G71:G83" si="4">IF(F71&lt;26,25,IF(F71&gt;135,140,IF(F71&gt;130,135,IF(F71&gt;125,130,IF(F71&gt;120,125,IF(F71&gt;115,120,IF(F71&gt;110,115,IF(F71&gt;105,110,IF(F71&gt;100,105,IF(F71&gt;99,100,IF(F71&gt;90,99,IF(F71&gt;75,90,IF(F71&gt;72,75,IF(F71&gt;66,72,IF(F71&gt;60,66,IF(F71&gt;50,60,IF(F71&gt;30,50,IF(F71&gt;25,30,0))))))))))))))))))</f>
        <v>99</v>
      </c>
      <c r="H71" s="119">
        <f t="shared" si="2"/>
        <v>4.2427766843042605</v>
      </c>
      <c r="I71" s="118" t="str">
        <f t="shared" ref="I71:I83" si="5">IF(I$65&lt;H71, "NO", "YES")</f>
        <v>YES</v>
      </c>
      <c r="J71" s="117">
        <f t="shared" si="3"/>
        <v>99</v>
      </c>
    </row>
    <row r="72" spans="2:10" ht="15" customHeight="1">
      <c r="B72" s="114">
        <v>2021</v>
      </c>
      <c r="C72" s="430">
        <f>F51</f>
        <v>93</v>
      </c>
      <c r="D72" s="431"/>
      <c r="E72" s="121">
        <f>E65</f>
        <v>0.92899238544799745</v>
      </c>
      <c r="F72" s="120">
        <f t="shared" si="1"/>
        <v>86.396291846663757</v>
      </c>
      <c r="G72" s="118">
        <f t="shared" si="4"/>
        <v>90</v>
      </c>
      <c r="H72" s="119">
        <f t="shared" si="2"/>
        <v>3.6037081533362425</v>
      </c>
      <c r="I72" s="118" t="str">
        <f t="shared" si="5"/>
        <v>YES</v>
      </c>
      <c r="J72" s="117">
        <f t="shared" si="3"/>
        <v>90</v>
      </c>
    </row>
    <row r="73" spans="2:10" ht="15" customHeight="1">
      <c r="B73" s="114">
        <v>2022</v>
      </c>
      <c r="C73" s="430">
        <f>G51</f>
        <v>90</v>
      </c>
      <c r="D73" s="431"/>
      <c r="E73" s="121">
        <f>E65</f>
        <v>0.92899238544799745</v>
      </c>
      <c r="F73" s="120">
        <f t="shared" si="1"/>
        <v>83.609314690319763</v>
      </c>
      <c r="G73" s="118">
        <f t="shared" si="4"/>
        <v>90</v>
      </c>
      <c r="H73" s="119">
        <f t="shared" si="2"/>
        <v>6.3906853096802365</v>
      </c>
      <c r="I73" s="118" t="str">
        <f t="shared" si="5"/>
        <v>NO</v>
      </c>
      <c r="J73" s="117">
        <f t="shared" si="3"/>
        <v>89.609314690319763</v>
      </c>
    </row>
    <row r="74" spans="2:10" ht="15" customHeight="1">
      <c r="B74" s="114">
        <v>2023</v>
      </c>
      <c r="C74" s="430">
        <f>H51</f>
        <v>97</v>
      </c>
      <c r="D74" s="431"/>
      <c r="E74" s="121">
        <f>E65</f>
        <v>0.92899238544799745</v>
      </c>
      <c r="F74" s="120">
        <f t="shared" si="1"/>
        <v>90.11226138845575</v>
      </c>
      <c r="G74" s="118">
        <f t="shared" si="4"/>
        <v>99</v>
      </c>
      <c r="H74" s="119">
        <f t="shared" si="2"/>
        <v>8.8877386115442505</v>
      </c>
      <c r="I74" s="118" t="str">
        <f t="shared" si="5"/>
        <v>NO</v>
      </c>
      <c r="J74" s="117">
        <f t="shared" si="3"/>
        <v>96.11226138845575</v>
      </c>
    </row>
    <row r="75" spans="2:10" ht="15" customHeight="1">
      <c r="B75" s="114">
        <v>2024</v>
      </c>
      <c r="C75" s="430">
        <f>I51</f>
        <v>98</v>
      </c>
      <c r="D75" s="431"/>
      <c r="E75" s="121">
        <f>E65</f>
        <v>0.92899238544799745</v>
      </c>
      <c r="F75" s="120">
        <f t="shared" si="1"/>
        <v>91.041253773903748</v>
      </c>
      <c r="G75" s="118">
        <f t="shared" si="4"/>
        <v>99</v>
      </c>
      <c r="H75" s="119">
        <f t="shared" si="2"/>
        <v>7.9587462260962525</v>
      </c>
      <c r="I75" s="118" t="str">
        <f t="shared" si="5"/>
        <v>NO</v>
      </c>
      <c r="J75" s="117">
        <f t="shared" si="3"/>
        <v>97.041253773903748</v>
      </c>
    </row>
    <row r="76" spans="2:10" ht="15" customHeight="1">
      <c r="B76" s="114">
        <v>2025</v>
      </c>
      <c r="C76" s="430">
        <f>J51</f>
        <v>99</v>
      </c>
      <c r="D76" s="431"/>
      <c r="E76" s="121">
        <f>E65</f>
        <v>0.92899238544799745</v>
      </c>
      <c r="F76" s="120">
        <f t="shared" si="1"/>
        <v>91.970246159351746</v>
      </c>
      <c r="G76" s="118">
        <f t="shared" si="4"/>
        <v>99</v>
      </c>
      <c r="H76" s="119">
        <f t="shared" si="2"/>
        <v>7.0297538406482545</v>
      </c>
      <c r="I76" s="118" t="str">
        <f t="shared" si="5"/>
        <v>NO</v>
      </c>
      <c r="J76" s="117">
        <f t="shared" si="3"/>
        <v>97.970246159351746</v>
      </c>
    </row>
    <row r="77" spans="2:10" ht="15" customHeight="1">
      <c r="B77" s="114">
        <v>2026</v>
      </c>
      <c r="C77" s="430">
        <f>K51</f>
        <v>100</v>
      </c>
      <c r="D77" s="431"/>
      <c r="E77" s="121">
        <f>E65</f>
        <v>0.92899238544799745</v>
      </c>
      <c r="F77" s="120">
        <f t="shared" si="1"/>
        <v>92.899238544799744</v>
      </c>
      <c r="G77" s="118">
        <f t="shared" si="4"/>
        <v>99</v>
      </c>
      <c r="H77" s="119">
        <f t="shared" si="2"/>
        <v>6.1007614552002565</v>
      </c>
      <c r="I77" s="118" t="str">
        <f t="shared" si="5"/>
        <v>NO</v>
      </c>
      <c r="J77" s="117">
        <f t="shared" si="3"/>
        <v>98.899238544799744</v>
      </c>
    </row>
    <row r="78" spans="2:10" ht="15" customHeight="1">
      <c r="B78" s="114">
        <v>2027</v>
      </c>
      <c r="C78" s="430">
        <f>L51</f>
        <v>101</v>
      </c>
      <c r="D78" s="431"/>
      <c r="E78" s="121">
        <f>E65</f>
        <v>0.92899238544799745</v>
      </c>
      <c r="F78" s="120">
        <f t="shared" si="1"/>
        <v>93.828230930247742</v>
      </c>
      <c r="G78" s="118">
        <f t="shared" si="4"/>
        <v>99</v>
      </c>
      <c r="H78" s="119">
        <f t="shared" si="2"/>
        <v>5.1717690697522585</v>
      </c>
      <c r="I78" s="118" t="str">
        <f t="shared" si="5"/>
        <v>YES</v>
      </c>
      <c r="J78" s="117">
        <f t="shared" si="3"/>
        <v>99</v>
      </c>
    </row>
    <row r="79" spans="2:10" ht="15" customHeight="1">
      <c r="B79" s="114">
        <v>2028</v>
      </c>
      <c r="C79" s="430">
        <f>M51</f>
        <v>101</v>
      </c>
      <c r="D79" s="431"/>
      <c r="E79" s="121">
        <f t="shared" ref="E79:E83" si="6">$E$65</f>
        <v>0.92899238544799745</v>
      </c>
      <c r="F79" s="120">
        <f t="shared" si="1"/>
        <v>93.828230930247742</v>
      </c>
      <c r="G79" s="118">
        <f t="shared" si="4"/>
        <v>99</v>
      </c>
      <c r="H79" s="119">
        <f t="shared" si="2"/>
        <v>5.1717690697522585</v>
      </c>
      <c r="I79" s="118" t="str">
        <f t="shared" si="5"/>
        <v>YES</v>
      </c>
      <c r="J79" s="117">
        <f t="shared" si="3"/>
        <v>99</v>
      </c>
    </row>
    <row r="80" spans="2:10" ht="15" customHeight="1">
      <c r="B80" s="114">
        <v>2029</v>
      </c>
      <c r="C80" s="430">
        <f>N51</f>
        <v>102</v>
      </c>
      <c r="D80" s="431"/>
      <c r="E80" s="121">
        <f t="shared" si="6"/>
        <v>0.92899238544799745</v>
      </c>
      <c r="F80" s="120">
        <f t="shared" si="1"/>
        <v>94.75722331569574</v>
      </c>
      <c r="G80" s="118">
        <f t="shared" si="4"/>
        <v>99</v>
      </c>
      <c r="H80" s="119">
        <f t="shared" si="2"/>
        <v>4.2427766843042605</v>
      </c>
      <c r="I80" s="118" t="str">
        <f t="shared" si="5"/>
        <v>YES</v>
      </c>
      <c r="J80" s="117">
        <f t="shared" si="3"/>
        <v>99</v>
      </c>
    </row>
    <row r="81" spans="2:10" ht="15" customHeight="1">
      <c r="B81" s="114">
        <v>2030</v>
      </c>
      <c r="C81" s="430">
        <f>O51</f>
        <v>102</v>
      </c>
      <c r="D81" s="431"/>
      <c r="E81" s="121">
        <f t="shared" si="6"/>
        <v>0.92899238544799745</v>
      </c>
      <c r="F81" s="120">
        <f t="shared" si="1"/>
        <v>94.75722331569574</v>
      </c>
      <c r="G81" s="118">
        <f t="shared" si="4"/>
        <v>99</v>
      </c>
      <c r="H81" s="119">
        <f t="shared" si="2"/>
        <v>4.2427766843042605</v>
      </c>
      <c r="I81" s="118" t="str">
        <f t="shared" si="5"/>
        <v>YES</v>
      </c>
      <c r="J81" s="117">
        <f t="shared" si="3"/>
        <v>99</v>
      </c>
    </row>
    <row r="82" spans="2:10" ht="15" customHeight="1">
      <c r="B82" s="114">
        <v>2031</v>
      </c>
      <c r="C82" s="430">
        <f>P51</f>
        <v>102</v>
      </c>
      <c r="D82" s="431"/>
      <c r="E82" s="121">
        <f t="shared" si="6"/>
        <v>0.92899238544799745</v>
      </c>
      <c r="F82" s="120">
        <f t="shared" si="1"/>
        <v>94.75722331569574</v>
      </c>
      <c r="G82" s="118">
        <f t="shared" si="4"/>
        <v>99</v>
      </c>
      <c r="H82" s="119">
        <f t="shared" si="2"/>
        <v>4.2427766843042605</v>
      </c>
      <c r="I82" s="118" t="str">
        <f t="shared" si="5"/>
        <v>YES</v>
      </c>
      <c r="J82" s="117">
        <f t="shared" si="3"/>
        <v>99</v>
      </c>
    </row>
    <row r="83" spans="2:10" ht="15" customHeight="1">
      <c r="B83" s="114">
        <v>2032</v>
      </c>
      <c r="C83" s="430">
        <f>Q51</f>
        <v>102</v>
      </c>
      <c r="D83" s="431"/>
      <c r="E83" s="121">
        <f t="shared" si="6"/>
        <v>0.92899238544799745</v>
      </c>
      <c r="F83" s="120">
        <f t="shared" si="1"/>
        <v>94.75722331569574</v>
      </c>
      <c r="G83" s="118">
        <f t="shared" si="4"/>
        <v>99</v>
      </c>
      <c r="H83" s="119">
        <f t="shared" si="2"/>
        <v>4.2427766843042605</v>
      </c>
      <c r="I83" s="118" t="str">
        <f t="shared" si="5"/>
        <v>YES</v>
      </c>
      <c r="J83" s="117">
        <f t="shared" si="3"/>
        <v>99</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Currie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63</v>
      </c>
      <c r="D91" s="112">
        <f t="shared" ref="D91:J91" si="7">D188</f>
        <v>59</v>
      </c>
      <c r="E91" s="112">
        <f t="shared" si="7"/>
        <v>60</v>
      </c>
      <c r="F91" s="112">
        <f t="shared" si="7"/>
        <v>60</v>
      </c>
      <c r="G91" s="112">
        <f t="shared" si="7"/>
        <v>41</v>
      </c>
      <c r="H91" s="112">
        <f t="shared" si="7"/>
        <v>47</v>
      </c>
      <c r="I91" s="112">
        <f t="shared" si="7"/>
        <v>43</v>
      </c>
      <c r="J91" s="213">
        <f t="shared" si="7"/>
        <v>373</v>
      </c>
    </row>
    <row r="92" spans="2:10" ht="15" customHeight="1">
      <c r="B92" s="114">
        <v>2014</v>
      </c>
      <c r="C92" s="112">
        <f>C189</f>
        <v>57</v>
      </c>
      <c r="D92" s="112">
        <f t="shared" ref="D92:J92" si="8">D189</f>
        <v>63</v>
      </c>
      <c r="E92" s="112">
        <f t="shared" si="8"/>
        <v>60</v>
      </c>
      <c r="F92" s="112">
        <f t="shared" si="8"/>
        <v>60</v>
      </c>
      <c r="G92" s="112">
        <f t="shared" si="8"/>
        <v>61</v>
      </c>
      <c r="H92" s="112">
        <f t="shared" si="8"/>
        <v>41</v>
      </c>
      <c r="I92" s="112">
        <f t="shared" si="8"/>
        <v>47</v>
      </c>
      <c r="J92" s="213">
        <f t="shared" si="8"/>
        <v>389</v>
      </c>
    </row>
    <row r="93" spans="2:10" ht="15" customHeight="1">
      <c r="B93" s="114">
        <v>2015</v>
      </c>
      <c r="C93" s="112">
        <f>C190</f>
        <v>64</v>
      </c>
      <c r="D93" s="112">
        <f t="shared" ref="D93:J93" si="9">D190</f>
        <v>53</v>
      </c>
      <c r="E93" s="112">
        <f t="shared" si="9"/>
        <v>63</v>
      </c>
      <c r="F93" s="112">
        <f t="shared" si="9"/>
        <v>61</v>
      </c>
      <c r="G93" s="112">
        <f t="shared" si="9"/>
        <v>58</v>
      </c>
      <c r="H93" s="112">
        <f t="shared" si="9"/>
        <v>62</v>
      </c>
      <c r="I93" s="112">
        <f t="shared" si="9"/>
        <v>45</v>
      </c>
      <c r="J93" s="213">
        <f t="shared" si="9"/>
        <v>406</v>
      </c>
    </row>
    <row r="94" spans="2:10" ht="15" customHeight="1">
      <c r="B94" s="114">
        <v>2016</v>
      </c>
      <c r="C94" s="112">
        <f>C191</f>
        <v>63</v>
      </c>
      <c r="D94" s="112">
        <f t="shared" ref="D94:J94" si="10">D191</f>
        <v>66</v>
      </c>
      <c r="E94" s="112">
        <f t="shared" si="10"/>
        <v>53</v>
      </c>
      <c r="F94" s="112">
        <f t="shared" si="10"/>
        <v>64</v>
      </c>
      <c r="G94" s="112">
        <f t="shared" si="10"/>
        <v>63</v>
      </c>
      <c r="H94" s="112">
        <f t="shared" si="10"/>
        <v>58</v>
      </c>
      <c r="I94" s="112">
        <f t="shared" si="10"/>
        <v>59</v>
      </c>
      <c r="J94" s="213">
        <f t="shared" si="10"/>
        <v>426</v>
      </c>
    </row>
    <row r="95" spans="2:10" ht="15" customHeight="1">
      <c r="B95" s="114">
        <v>2017</v>
      </c>
      <c r="C95" s="112">
        <f>C192</f>
        <v>69</v>
      </c>
      <c r="D95" s="112">
        <f t="shared" ref="D95:J95" si="11">D192</f>
        <v>61</v>
      </c>
      <c r="E95" s="112">
        <f t="shared" si="11"/>
        <v>68</v>
      </c>
      <c r="F95" s="112">
        <f t="shared" si="11"/>
        <v>57</v>
      </c>
      <c r="G95" s="112">
        <f t="shared" si="11"/>
        <v>64</v>
      </c>
      <c r="H95" s="112">
        <f t="shared" si="11"/>
        <v>65</v>
      </c>
      <c r="I95" s="112">
        <f t="shared" si="11"/>
        <v>55</v>
      </c>
      <c r="J95" s="213">
        <f t="shared" si="11"/>
        <v>439</v>
      </c>
    </row>
    <row r="96" spans="2:10" ht="15" customHeight="1">
      <c r="B96" s="307">
        <v>2018</v>
      </c>
      <c r="C96" s="112">
        <f t="shared" ref="C96:J96" si="12">C193</f>
        <v>87</v>
      </c>
      <c r="D96" s="112">
        <f t="shared" si="12"/>
        <v>70</v>
      </c>
      <c r="E96" s="112">
        <f t="shared" si="12"/>
        <v>63</v>
      </c>
      <c r="F96" s="112">
        <f t="shared" si="12"/>
        <v>75</v>
      </c>
      <c r="G96" s="112">
        <f t="shared" si="12"/>
        <v>61</v>
      </c>
      <c r="H96" s="112">
        <f t="shared" si="12"/>
        <v>65</v>
      </c>
      <c r="I96" s="112">
        <f t="shared" si="12"/>
        <v>63</v>
      </c>
      <c r="J96" s="213">
        <f t="shared" si="12"/>
        <v>484</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0</v>
      </c>
      <c r="E98" s="210">
        <f t="shared" ref="E98:I98" si="13">MEDIAN(((D91-E92)/D91),((D92-E93)/D92),((D93-E94)/D93),((D94-E95)/D94),((D95-E96)/D95))</f>
        <v>-1.6949152542372881E-2</v>
      </c>
      <c r="F98" s="210">
        <f t="shared" si="13"/>
        <v>-1.6666666666666666E-2</v>
      </c>
      <c r="G98" s="210">
        <f t="shared" si="13"/>
        <v>-1.6666666666666666E-2</v>
      </c>
      <c r="H98" s="210">
        <f t="shared" si="13"/>
        <v>-1.5625E-2</v>
      </c>
      <c r="I98" s="210">
        <f t="shared" si="13"/>
        <v>3.0769230769230771E-2</v>
      </c>
    </row>
    <row r="99" spans="2:10" ht="18.75">
      <c r="B99" s="59"/>
      <c r="C99" s="60"/>
      <c r="D99" s="61"/>
      <c r="E99" s="61"/>
      <c r="F99" s="61"/>
      <c r="G99" s="61"/>
      <c r="H99" s="61"/>
      <c r="I99" s="61"/>
      <c r="J99" s="58"/>
    </row>
    <row r="100" spans="2:10">
      <c r="B100" s="15" t="str">
        <f>"Table 4B: "&amp;E3&amp;" Projected Roll by Stage (incorporating Projected P1 and Drop-Off Rates), 2019-2032"</f>
        <v>Table 4B: Currie Primary School Projected Roll by Stage (incorporating Projected P1 and Drop-Off Rates), 2019-2032</v>
      </c>
      <c r="F100" s="14"/>
      <c r="G100" s="14"/>
    </row>
    <row r="101" spans="2:10" ht="12.75">
      <c r="F101" s="14"/>
      <c r="G101" s="14"/>
    </row>
    <row r="102" spans="2:10">
      <c r="B102" s="115"/>
      <c r="C102" s="109" t="s">
        <v>1</v>
      </c>
      <c r="D102" s="109" t="s">
        <v>2</v>
      </c>
      <c r="E102" s="109" t="s">
        <v>3</v>
      </c>
      <c r="F102" s="109" t="s">
        <v>4</v>
      </c>
      <c r="G102" s="109" t="s">
        <v>5</v>
      </c>
      <c r="H102" s="109" t="s">
        <v>6</v>
      </c>
      <c r="I102" s="109" t="s">
        <v>7</v>
      </c>
      <c r="J102" s="109" t="s">
        <v>8</v>
      </c>
    </row>
    <row r="103" spans="2:10">
      <c r="B103" s="114">
        <v>2019</v>
      </c>
      <c r="C103" s="113">
        <f t="shared" ref="C103:C116" si="14">J70</f>
        <v>90</v>
      </c>
      <c r="D103" s="324">
        <f>ROUND((C96)-(C96*$D$98),0)</f>
        <v>87</v>
      </c>
      <c r="E103" s="324">
        <f>ROUND((D96)-(D96*$E$98),0)</f>
        <v>71</v>
      </c>
      <c r="F103" s="324">
        <f>ROUND((E96)-(E96*$F$98),0)</f>
        <v>64</v>
      </c>
      <c r="G103" s="324">
        <f>ROUND((F96)-(F96*$G$98),0)</f>
        <v>76</v>
      </c>
      <c r="H103" s="324">
        <f>ROUND((G96)-(G96*$H$98),0)</f>
        <v>62</v>
      </c>
      <c r="I103" s="324">
        <f>ROUND((H96)-(H96*$I$98),0)</f>
        <v>63</v>
      </c>
      <c r="J103" s="111">
        <f t="shared" ref="J103:J116" si="15">SUM(C103:I103)</f>
        <v>513</v>
      </c>
    </row>
    <row r="104" spans="2:10">
      <c r="B104" s="114">
        <v>2020</v>
      </c>
      <c r="C104" s="113">
        <f t="shared" si="14"/>
        <v>99</v>
      </c>
      <c r="D104" s="324">
        <f>ROUND((C103-E50)-(C103*$D$98),0)</f>
        <v>86</v>
      </c>
      <c r="E104" s="112">
        <f t="shared" ref="E104:E116" si="16">ROUND((D103)-(D103*$E$98),0)</f>
        <v>88</v>
      </c>
      <c r="F104" s="112">
        <f t="shared" ref="F104:F116" si="17">ROUND((E103)-(E103*$F$98),0)</f>
        <v>72</v>
      </c>
      <c r="G104" s="112">
        <f t="shared" ref="G104:G116" si="18">ROUND((F103)-(F103*$G$98),0)</f>
        <v>65</v>
      </c>
      <c r="H104" s="112">
        <f t="shared" ref="H104:H116" si="19">ROUND((G103)-(G103*$H$98),0)</f>
        <v>77</v>
      </c>
      <c r="I104" s="112">
        <f t="shared" ref="I104:I116" si="20">ROUND((H103)-(H103*$I$98),0)</f>
        <v>60</v>
      </c>
      <c r="J104" s="111">
        <f t="shared" si="15"/>
        <v>547</v>
      </c>
    </row>
    <row r="105" spans="2:10">
      <c r="B105" s="114">
        <v>2021</v>
      </c>
      <c r="C105" s="113">
        <f t="shared" si="14"/>
        <v>90</v>
      </c>
      <c r="D105" s="324">
        <f>ROUND((C104-F50)-(C104*$D$98),0)</f>
        <v>93</v>
      </c>
      <c r="E105" s="112">
        <f t="shared" si="16"/>
        <v>87</v>
      </c>
      <c r="F105" s="112">
        <f t="shared" si="17"/>
        <v>89</v>
      </c>
      <c r="G105" s="112">
        <f t="shared" si="18"/>
        <v>73</v>
      </c>
      <c r="H105" s="112">
        <f t="shared" si="19"/>
        <v>66</v>
      </c>
      <c r="I105" s="112">
        <f t="shared" si="20"/>
        <v>75</v>
      </c>
      <c r="J105" s="111">
        <f t="shared" si="15"/>
        <v>573</v>
      </c>
    </row>
    <row r="106" spans="2:10">
      <c r="B106" s="114">
        <v>2022</v>
      </c>
      <c r="C106" s="113">
        <f t="shared" si="14"/>
        <v>89.609314690319763</v>
      </c>
      <c r="D106" s="324">
        <f>ROUND((C105-G50)-(C105*$D$98),0)</f>
        <v>83</v>
      </c>
      <c r="E106" s="112">
        <f t="shared" si="16"/>
        <v>95</v>
      </c>
      <c r="F106" s="112">
        <f t="shared" si="17"/>
        <v>88</v>
      </c>
      <c r="G106" s="112">
        <f t="shared" si="18"/>
        <v>90</v>
      </c>
      <c r="H106" s="112">
        <f t="shared" si="19"/>
        <v>74</v>
      </c>
      <c r="I106" s="112">
        <f t="shared" si="20"/>
        <v>64</v>
      </c>
      <c r="J106" s="111">
        <f t="shared" si="15"/>
        <v>583.60931469031971</v>
      </c>
    </row>
    <row r="107" spans="2:10">
      <c r="B107" s="114">
        <v>2023</v>
      </c>
      <c r="C107" s="113">
        <f t="shared" si="14"/>
        <v>96.11226138845575</v>
      </c>
      <c r="D107" s="324">
        <f>ROUND((C106-H50)-(C106*$D$98),0)</f>
        <v>83</v>
      </c>
      <c r="E107" s="112">
        <f t="shared" si="16"/>
        <v>84</v>
      </c>
      <c r="F107" s="112">
        <f t="shared" si="17"/>
        <v>97</v>
      </c>
      <c r="G107" s="112">
        <f t="shared" si="18"/>
        <v>89</v>
      </c>
      <c r="H107" s="112">
        <f t="shared" si="19"/>
        <v>91</v>
      </c>
      <c r="I107" s="112">
        <f t="shared" si="20"/>
        <v>72</v>
      </c>
      <c r="J107" s="111">
        <f t="shared" si="15"/>
        <v>612.11226138845575</v>
      </c>
    </row>
    <row r="108" spans="2:10">
      <c r="B108" s="114">
        <v>2024</v>
      </c>
      <c r="C108" s="113">
        <f t="shared" si="14"/>
        <v>97.041253773903748</v>
      </c>
      <c r="D108" s="324">
        <f>ROUND((C107-I50)-(C107*$D$98),0)</f>
        <v>89</v>
      </c>
      <c r="E108" s="112">
        <f t="shared" si="16"/>
        <v>84</v>
      </c>
      <c r="F108" s="112">
        <f t="shared" si="17"/>
        <v>85</v>
      </c>
      <c r="G108" s="112">
        <f t="shared" si="18"/>
        <v>99</v>
      </c>
      <c r="H108" s="112">
        <f t="shared" si="19"/>
        <v>90</v>
      </c>
      <c r="I108" s="112">
        <f t="shared" si="20"/>
        <v>88</v>
      </c>
      <c r="J108" s="111">
        <f t="shared" si="15"/>
        <v>632.04125377390369</v>
      </c>
    </row>
    <row r="109" spans="2:10">
      <c r="B109" s="114">
        <v>2025</v>
      </c>
      <c r="C109" s="113">
        <f t="shared" si="14"/>
        <v>97.970246159351746</v>
      </c>
      <c r="D109" s="324">
        <f>ROUND((C108-J50)-(C108*$D$98),0)</f>
        <v>90</v>
      </c>
      <c r="E109" s="112">
        <f t="shared" si="16"/>
        <v>91</v>
      </c>
      <c r="F109" s="112">
        <f t="shared" si="17"/>
        <v>85</v>
      </c>
      <c r="G109" s="112">
        <f t="shared" si="18"/>
        <v>86</v>
      </c>
      <c r="H109" s="112">
        <f t="shared" si="19"/>
        <v>101</v>
      </c>
      <c r="I109" s="112">
        <f t="shared" si="20"/>
        <v>87</v>
      </c>
      <c r="J109" s="111">
        <f t="shared" si="15"/>
        <v>637.97024615935175</v>
      </c>
    </row>
    <row r="110" spans="2:10">
      <c r="B110" s="114">
        <v>2026</v>
      </c>
      <c r="C110" s="113">
        <f t="shared" si="14"/>
        <v>98.899238544799744</v>
      </c>
      <c r="D110" s="324">
        <f>ROUND((C109-K50)-(C109*$D$98),0)</f>
        <v>91</v>
      </c>
      <c r="E110" s="112">
        <f t="shared" si="16"/>
        <v>92</v>
      </c>
      <c r="F110" s="112">
        <f t="shared" si="17"/>
        <v>93</v>
      </c>
      <c r="G110" s="112">
        <f t="shared" si="18"/>
        <v>86</v>
      </c>
      <c r="H110" s="112">
        <f t="shared" si="19"/>
        <v>87</v>
      </c>
      <c r="I110" s="112">
        <f t="shared" si="20"/>
        <v>98</v>
      </c>
      <c r="J110" s="111">
        <f t="shared" si="15"/>
        <v>645.8992385447998</v>
      </c>
    </row>
    <row r="111" spans="2:10">
      <c r="B111" s="114">
        <v>2027</v>
      </c>
      <c r="C111" s="113">
        <f t="shared" si="14"/>
        <v>99</v>
      </c>
      <c r="D111" s="324">
        <f>ROUND((C110-L50)-(C110*$D$98),0)</f>
        <v>92</v>
      </c>
      <c r="E111" s="112">
        <f t="shared" si="16"/>
        <v>93</v>
      </c>
      <c r="F111" s="112">
        <f t="shared" si="17"/>
        <v>94</v>
      </c>
      <c r="G111" s="112">
        <f t="shared" si="18"/>
        <v>95</v>
      </c>
      <c r="H111" s="112">
        <f t="shared" si="19"/>
        <v>87</v>
      </c>
      <c r="I111" s="112">
        <f t="shared" si="20"/>
        <v>84</v>
      </c>
      <c r="J111" s="111">
        <f t="shared" si="15"/>
        <v>644</v>
      </c>
    </row>
    <row r="112" spans="2:10">
      <c r="B112" s="114">
        <v>2028</v>
      </c>
      <c r="C112" s="113">
        <f t="shared" si="14"/>
        <v>99</v>
      </c>
      <c r="D112" s="324">
        <f>ROUND((C111-M50)-(C111*$D$98),0)</f>
        <v>92</v>
      </c>
      <c r="E112" s="112">
        <f t="shared" si="16"/>
        <v>94</v>
      </c>
      <c r="F112" s="112">
        <f t="shared" si="17"/>
        <v>95</v>
      </c>
      <c r="G112" s="112">
        <f t="shared" si="18"/>
        <v>96</v>
      </c>
      <c r="H112" s="112">
        <f t="shared" si="19"/>
        <v>96</v>
      </c>
      <c r="I112" s="112">
        <f t="shared" si="20"/>
        <v>84</v>
      </c>
      <c r="J112" s="111">
        <f t="shared" si="15"/>
        <v>656</v>
      </c>
    </row>
    <row r="113" spans="2:10" ht="15" customHeight="1">
      <c r="B113" s="114">
        <v>2029</v>
      </c>
      <c r="C113" s="113">
        <f t="shared" si="14"/>
        <v>99</v>
      </c>
      <c r="D113" s="324">
        <f>ROUND((C112-N50)-(C112*$D$98),0)</f>
        <v>92</v>
      </c>
      <c r="E113" s="112">
        <f t="shared" si="16"/>
        <v>94</v>
      </c>
      <c r="F113" s="112">
        <f t="shared" si="17"/>
        <v>96</v>
      </c>
      <c r="G113" s="112">
        <f t="shared" si="18"/>
        <v>97</v>
      </c>
      <c r="H113" s="112">
        <f t="shared" si="19"/>
        <v>98</v>
      </c>
      <c r="I113" s="112">
        <f t="shared" si="20"/>
        <v>93</v>
      </c>
      <c r="J113" s="111">
        <f t="shared" si="15"/>
        <v>669</v>
      </c>
    </row>
    <row r="114" spans="2:10" ht="15" customHeight="1">
      <c r="B114" s="114">
        <v>2030</v>
      </c>
      <c r="C114" s="113">
        <f t="shared" si="14"/>
        <v>99</v>
      </c>
      <c r="D114" s="324">
        <f>ROUND((C113-O50)-(C113*$D$98),0)</f>
        <v>92</v>
      </c>
      <c r="E114" s="112">
        <f t="shared" si="16"/>
        <v>94</v>
      </c>
      <c r="F114" s="112">
        <f t="shared" si="17"/>
        <v>96</v>
      </c>
      <c r="G114" s="112">
        <f t="shared" si="18"/>
        <v>98</v>
      </c>
      <c r="H114" s="112">
        <f t="shared" si="19"/>
        <v>99</v>
      </c>
      <c r="I114" s="112">
        <f t="shared" si="20"/>
        <v>95</v>
      </c>
      <c r="J114" s="111">
        <f t="shared" si="15"/>
        <v>673</v>
      </c>
    </row>
    <row r="115" spans="2:10" ht="15" customHeight="1">
      <c r="B115" s="114">
        <v>2031</v>
      </c>
      <c r="C115" s="113">
        <f t="shared" si="14"/>
        <v>99</v>
      </c>
      <c r="D115" s="324">
        <f>ROUND((C114-P50)-(C114*$D$98),0)</f>
        <v>92</v>
      </c>
      <c r="E115" s="112">
        <f t="shared" si="16"/>
        <v>94</v>
      </c>
      <c r="F115" s="112">
        <f t="shared" si="17"/>
        <v>96</v>
      </c>
      <c r="G115" s="112">
        <f t="shared" si="18"/>
        <v>98</v>
      </c>
      <c r="H115" s="112">
        <f t="shared" si="19"/>
        <v>100</v>
      </c>
      <c r="I115" s="112">
        <f t="shared" si="20"/>
        <v>96</v>
      </c>
      <c r="J115" s="111">
        <f t="shared" si="15"/>
        <v>675</v>
      </c>
    </row>
    <row r="116" spans="2:10" ht="15" customHeight="1">
      <c r="B116" s="114">
        <v>2032</v>
      </c>
      <c r="C116" s="113">
        <f t="shared" si="14"/>
        <v>99</v>
      </c>
      <c r="D116" s="324">
        <f>ROUND((C115-Q50)-(C115*$D$98),0)</f>
        <v>92</v>
      </c>
      <c r="E116" s="112">
        <f t="shared" si="16"/>
        <v>94</v>
      </c>
      <c r="F116" s="112">
        <f t="shared" si="17"/>
        <v>96</v>
      </c>
      <c r="G116" s="112">
        <f t="shared" si="18"/>
        <v>98</v>
      </c>
      <c r="H116" s="112">
        <f t="shared" si="19"/>
        <v>100</v>
      </c>
      <c r="I116" s="112">
        <f t="shared" si="20"/>
        <v>97</v>
      </c>
      <c r="J116" s="111">
        <f t="shared" si="15"/>
        <v>676</v>
      </c>
    </row>
    <row r="117" spans="2:10" ht="15" hidden="1" customHeight="1">
      <c r="F117" s="14"/>
      <c r="G117" s="14"/>
    </row>
    <row r="118" spans="2:10" ht="15" hidden="1" customHeight="1">
      <c r="B118" s="15" t="str">
        <f>"Table 4C: "&amp;E3&amp;" Projected Pupil Generation from Housing Development, 2019-2032"</f>
        <v>Table 4C: Currie Primary School Projected Pupil Generation from Housing Development, 2019-2032</v>
      </c>
      <c r="F118" s="14"/>
      <c r="G118" s="14"/>
    </row>
    <row r="119" spans="2:10" ht="15" hidden="1" customHeight="1">
      <c r="F119" s="14"/>
      <c r="G119" s="14"/>
    </row>
    <row r="120" spans="2:10" ht="15" hidden="1" customHeight="1">
      <c r="B120" s="115"/>
      <c r="C120" s="109" t="s">
        <v>1</v>
      </c>
      <c r="D120" s="109" t="s">
        <v>2</v>
      </c>
      <c r="E120" s="109" t="s">
        <v>3</v>
      </c>
      <c r="F120" s="109" t="s">
        <v>4</v>
      </c>
      <c r="G120" s="109" t="s">
        <v>5</v>
      </c>
      <c r="H120" s="109" t="s">
        <v>6</v>
      </c>
      <c r="I120" s="109" t="s">
        <v>7</v>
      </c>
      <c r="J120" s="109" t="s">
        <v>8</v>
      </c>
    </row>
    <row r="121" spans="2:10" ht="15" hidden="1" customHeight="1">
      <c r="B121" s="114">
        <v>2019</v>
      </c>
      <c r="C121" s="116" t="s">
        <v>97</v>
      </c>
      <c r="D121" s="112">
        <f>VLOOKUP($E$3,'Housing Generation'!$A$3:$BE$90,11,FALSE)</f>
        <v>3</v>
      </c>
      <c r="E121" s="112">
        <f>VLOOKUP($E$3,'Housing Generation'!$A$3:$BE$90,12,FALSE)</f>
        <v>2</v>
      </c>
      <c r="F121" s="112">
        <f>VLOOKUP($E$3,'Housing Generation'!$A$3:$BE$90,13,FALSE)</f>
        <v>2</v>
      </c>
      <c r="G121" s="112">
        <f>VLOOKUP($E$3,'Housing Generation'!$A$3:$BE$90,14,FALSE)</f>
        <v>2</v>
      </c>
      <c r="H121" s="112">
        <f>VLOOKUP($E$3,'Housing Generation'!$A$3:$BE$90,15,FALSE)</f>
        <v>2</v>
      </c>
      <c r="I121" s="112">
        <f>VLOOKUP($E$3,'Housing Generation'!$A$3:$BE$90,16,FALSE)</f>
        <v>2</v>
      </c>
      <c r="J121" s="111">
        <f t="shared" ref="J121:J134" si="21">SUM(D121:I121)</f>
        <v>13</v>
      </c>
    </row>
    <row r="122" spans="2:10" ht="15" hidden="1" customHeight="1">
      <c r="B122" s="114">
        <v>2020</v>
      </c>
      <c r="C122" s="116" t="s">
        <v>97</v>
      </c>
      <c r="D122" s="112">
        <f>VLOOKUP($E$3,'Housing Generation'!$A$3:$BE$90,19,FALSE)</f>
        <v>4</v>
      </c>
      <c r="E122" s="112">
        <f>VLOOKUP($E$3,'Housing Generation'!$A$3:$BE$90,20,FALSE)</f>
        <v>4</v>
      </c>
      <c r="F122" s="112">
        <f>VLOOKUP($E$3,'Housing Generation'!$A$3:$BE$90,21,FALSE)</f>
        <v>4</v>
      </c>
      <c r="G122" s="112">
        <f>VLOOKUP($E$3,'Housing Generation'!$A$3:$BE$90,22,FALSE)</f>
        <v>4</v>
      </c>
      <c r="H122" s="112">
        <f>VLOOKUP($E$3,'Housing Generation'!$A$3:$BE$90,23,FALSE)</f>
        <v>4</v>
      </c>
      <c r="I122" s="112">
        <f>VLOOKUP($E$3,'Housing Generation'!$A$3:$BE$90,24,FALSE)</f>
        <v>3</v>
      </c>
      <c r="J122" s="111">
        <f t="shared" si="21"/>
        <v>23</v>
      </c>
    </row>
    <row r="123" spans="2:10" ht="15" hidden="1" customHeight="1">
      <c r="B123" s="114">
        <v>2021</v>
      </c>
      <c r="C123" s="116" t="s">
        <v>97</v>
      </c>
      <c r="D123" s="112">
        <f>VLOOKUP($E$3,'Housing Generation'!$A$3:$BE$90,27,FALSE)</f>
        <v>6</v>
      </c>
      <c r="E123" s="112">
        <f>VLOOKUP($E$3,'Housing Generation'!$A$3:$BE$90,28,FALSE)</f>
        <v>5</v>
      </c>
      <c r="F123" s="112">
        <f>VLOOKUP($E$3,'Housing Generation'!$A$3:$BE$90,29,FALSE)</f>
        <v>5</v>
      </c>
      <c r="G123" s="112">
        <f>VLOOKUP($E$3,'Housing Generation'!$A$3:$BE$90,30,FALSE)</f>
        <v>5</v>
      </c>
      <c r="H123" s="112">
        <f>VLOOKUP($E$3,'Housing Generation'!$A$3:$BE$90,31,FALSE)</f>
        <v>5</v>
      </c>
      <c r="I123" s="112">
        <f>VLOOKUP($E$3,'Housing Generation'!$A$3:$BE$90,32,FALSE)</f>
        <v>5</v>
      </c>
      <c r="J123" s="111">
        <f t="shared" si="21"/>
        <v>31</v>
      </c>
    </row>
    <row r="124" spans="2:10" ht="15" hidden="1" customHeight="1">
      <c r="B124" s="114">
        <v>2022</v>
      </c>
      <c r="C124" s="116" t="s">
        <v>97</v>
      </c>
      <c r="D124" s="112">
        <f>VLOOKUP($E$3,'Housing Generation'!$A$3:$BE$90,35,FALSE)</f>
        <v>6</v>
      </c>
      <c r="E124" s="112">
        <f>VLOOKUP($E$3,'Housing Generation'!$A$3:$BE$90,36,FALSE)</f>
        <v>6</v>
      </c>
      <c r="F124" s="112">
        <f>VLOOKUP($E$3,'Housing Generation'!$A$3:$BE$90,37,FALSE)</f>
        <v>6</v>
      </c>
      <c r="G124" s="112">
        <f>VLOOKUP($E$3,'Housing Generation'!$A$3:$BE$90,38,FALSE)</f>
        <v>6</v>
      </c>
      <c r="H124" s="112">
        <f>VLOOKUP($E$3,'Housing Generation'!$A$3:$BE$90,39,FALSE)</f>
        <v>6</v>
      </c>
      <c r="I124" s="112">
        <f>VLOOKUP($E$3,'Housing Generation'!$A$3:$BE$90,40,FALSE)</f>
        <v>6</v>
      </c>
      <c r="J124" s="111">
        <f t="shared" si="21"/>
        <v>36</v>
      </c>
    </row>
    <row r="125" spans="2:10" ht="15" hidden="1" customHeight="1">
      <c r="B125" s="114">
        <v>2023</v>
      </c>
      <c r="C125" s="116" t="s">
        <v>97</v>
      </c>
      <c r="D125" s="112">
        <f>VLOOKUP($E$3,'Housing Generation'!$A$3:$BE$90,43,FALSE)</f>
        <v>7</v>
      </c>
      <c r="E125" s="112">
        <f>VLOOKUP($E$3,'Housing Generation'!$A$3:$BE$90,44,FALSE)</f>
        <v>7</v>
      </c>
      <c r="F125" s="112">
        <f>VLOOKUP($E$3,'Housing Generation'!$A$3:$BE$90,45,FALSE)</f>
        <v>7</v>
      </c>
      <c r="G125" s="112">
        <f>VLOOKUP($E$3,'Housing Generation'!$A$3:$BE$90,46,FALSE)</f>
        <v>7</v>
      </c>
      <c r="H125" s="112">
        <f>VLOOKUP($E$3,'Housing Generation'!$A$3:$BE$90,47,FALSE)</f>
        <v>7</v>
      </c>
      <c r="I125" s="112">
        <f>VLOOKUP($E$3,'Housing Generation'!$A$3:$BE$90,48,FALSE)</f>
        <v>7</v>
      </c>
      <c r="J125" s="111">
        <f t="shared" si="21"/>
        <v>42</v>
      </c>
    </row>
    <row r="126" spans="2:10" ht="15" hidden="1" customHeight="1">
      <c r="B126" s="114">
        <v>2024</v>
      </c>
      <c r="C126" s="116" t="s">
        <v>97</v>
      </c>
      <c r="D126" s="112">
        <f>VLOOKUP($E$3,'Housing Generation'!$A$3:$BE$90,51,FALSE)</f>
        <v>7</v>
      </c>
      <c r="E126" s="112">
        <f>VLOOKUP($E$3,'Housing Generation'!$A$3:$BE$90,52,FALSE)</f>
        <v>7</v>
      </c>
      <c r="F126" s="112">
        <f>VLOOKUP($E$3,'Housing Generation'!$A$3:$BE$90,53,FALSE)</f>
        <v>7</v>
      </c>
      <c r="G126" s="112">
        <f>VLOOKUP($E$3,'Housing Generation'!$A$3:$BE$90,54,FALSE)</f>
        <v>7</v>
      </c>
      <c r="H126" s="112">
        <f>VLOOKUP($E$3,'Housing Generation'!$A$3:$BE$90,55,FALSE)</f>
        <v>7</v>
      </c>
      <c r="I126" s="112">
        <f>VLOOKUP($E$3,'Housing Generation'!$A$3:$BE$90,56,FALSE)</f>
        <v>7</v>
      </c>
      <c r="J126" s="111">
        <f t="shared" si="21"/>
        <v>42</v>
      </c>
    </row>
    <row r="127" spans="2:10" ht="15" hidden="1" customHeight="1">
      <c r="B127" s="114">
        <v>2025</v>
      </c>
      <c r="C127" s="240" t="s">
        <v>97</v>
      </c>
      <c r="D127" s="112">
        <f>VLOOKUP($E$3,'Housing Generation'!$A$3:$CK$90,59,FALSE)</f>
        <v>7</v>
      </c>
      <c r="E127" s="112">
        <f>VLOOKUP($E$3,'Housing Generation'!$A$3:$CK$90,60,FALSE)</f>
        <v>7</v>
      </c>
      <c r="F127" s="112">
        <f>VLOOKUP($E$3,'Housing Generation'!$A$3:$CK$90,61,FALSE)</f>
        <v>7</v>
      </c>
      <c r="G127" s="112">
        <f>VLOOKUP($E$3,'Housing Generation'!$A$3:$CK$90,62,FALSE)</f>
        <v>7</v>
      </c>
      <c r="H127" s="112">
        <f>VLOOKUP($E$3,'Housing Generation'!$A$3:$CK$90,63,FALSE)</f>
        <v>7</v>
      </c>
      <c r="I127" s="112">
        <f>VLOOKUP($E$3,'Housing Generation'!$A$3:$CK$90,64,FALSE)</f>
        <v>7</v>
      </c>
      <c r="J127" s="111">
        <f t="shared" si="21"/>
        <v>42</v>
      </c>
    </row>
    <row r="128" spans="2:10" ht="15" hidden="1" customHeight="1">
      <c r="B128" s="114">
        <v>2026</v>
      </c>
      <c r="C128" s="240" t="s">
        <v>97</v>
      </c>
      <c r="D128" s="112">
        <f>VLOOKUP($E$3,'Housing Generation'!$A$3:$CK$90,67,FALSE)</f>
        <v>7</v>
      </c>
      <c r="E128" s="112">
        <f>VLOOKUP($E$3,'Housing Generation'!$A$3:$CK$90,68,FALSE)</f>
        <v>7</v>
      </c>
      <c r="F128" s="112">
        <f>VLOOKUP($E$3,'Housing Generation'!$A$3:$CK$90,69,FALSE)</f>
        <v>7</v>
      </c>
      <c r="G128" s="112">
        <f>VLOOKUP($E$3,'Housing Generation'!$A$3:$CK$90,70,FALSE)</f>
        <v>7</v>
      </c>
      <c r="H128" s="112">
        <f>VLOOKUP($E$3,'Housing Generation'!$A$3:$CK$90,71,FALSE)</f>
        <v>7</v>
      </c>
      <c r="I128" s="112">
        <f>VLOOKUP($E$3,'Housing Generation'!$A$3:$CK$90,72,FALSE)</f>
        <v>7</v>
      </c>
      <c r="J128" s="111">
        <f t="shared" si="21"/>
        <v>42</v>
      </c>
    </row>
    <row r="129" spans="2:10" ht="15" hidden="1" customHeight="1">
      <c r="B129" s="114">
        <v>2027</v>
      </c>
      <c r="C129" s="240" t="s">
        <v>97</v>
      </c>
      <c r="D129" s="112">
        <f>VLOOKUP($E$3,'Housing Generation'!$A$3:$CK$90,75,FALSE)</f>
        <v>7</v>
      </c>
      <c r="E129" s="112">
        <f>VLOOKUP($E$3,'Housing Generation'!$A$3:$CK$90,76,FALSE)</f>
        <v>7</v>
      </c>
      <c r="F129" s="112">
        <f>VLOOKUP($E$3,'Housing Generation'!$A$3:$CK$90,77,FALSE)</f>
        <v>7</v>
      </c>
      <c r="G129" s="112">
        <f>VLOOKUP($E$3,'Housing Generation'!$A$3:$CK$90,78,FALSE)</f>
        <v>7</v>
      </c>
      <c r="H129" s="112">
        <f>VLOOKUP($E$3,'Housing Generation'!$A$3:$CK$90,79,FALSE)</f>
        <v>7</v>
      </c>
      <c r="I129" s="112">
        <f>VLOOKUP($E$3,'Housing Generation'!$A$3:$CK$90,80,FALSE)</f>
        <v>7</v>
      </c>
      <c r="J129" s="111">
        <f t="shared" si="21"/>
        <v>42</v>
      </c>
    </row>
    <row r="130" spans="2:10" ht="15" customHeight="1">
      <c r="B130" s="114">
        <v>2028</v>
      </c>
      <c r="C130" s="289" t="s">
        <v>97</v>
      </c>
      <c r="D130" s="112">
        <f>VLOOKUP($E$3,'Housing Generation'!$A$3:$CK$90,83,FALSE)</f>
        <v>7</v>
      </c>
      <c r="E130" s="112">
        <f>VLOOKUP($E$3,'Housing Generation'!$A$3:$CK$90,84,FALSE)</f>
        <v>7</v>
      </c>
      <c r="F130" s="112">
        <f>VLOOKUP($E$3,'Housing Generation'!$A$3:$CK$90,85,FALSE)</f>
        <v>7</v>
      </c>
      <c r="G130" s="112">
        <f>VLOOKUP($E$3,'Housing Generation'!$A$3:$CK$90,86,FALSE)</f>
        <v>7</v>
      </c>
      <c r="H130" s="112">
        <f>VLOOKUP($E$3,'Housing Generation'!$A$3:$CK$90,87,FALSE)</f>
        <v>7</v>
      </c>
      <c r="I130" s="112">
        <f>VLOOKUP($E$3,'Housing Generation'!$A$3:$CK$90,88,FALSE)</f>
        <v>7</v>
      </c>
      <c r="J130" s="111">
        <f t="shared" si="21"/>
        <v>42</v>
      </c>
    </row>
    <row r="131" spans="2:10" ht="15" customHeight="1">
      <c r="B131" s="114">
        <v>2029</v>
      </c>
      <c r="C131" s="289" t="s">
        <v>97</v>
      </c>
      <c r="D131" s="112">
        <f>VLOOKUP($E$3,'Housing Generation'!$A$3:$DQ$90,91,FALSE)</f>
        <v>7</v>
      </c>
      <c r="E131" s="112">
        <f>VLOOKUP($E$3,'Housing Generation'!$A$3:$DQ$90,92,FALSE)</f>
        <v>7</v>
      </c>
      <c r="F131" s="112">
        <f>VLOOKUP($E$3,'Housing Generation'!$A$3:$DQ$90,93,FALSE)</f>
        <v>7</v>
      </c>
      <c r="G131" s="112">
        <f>VLOOKUP($E$3,'Housing Generation'!$A$3:$DQ$90,94,FALSE)</f>
        <v>7</v>
      </c>
      <c r="H131" s="112">
        <f>VLOOKUP($E$3,'Housing Generation'!$A$3:$DQ$90,95,FALSE)</f>
        <v>7</v>
      </c>
      <c r="I131" s="112">
        <f>VLOOKUP($E$3,'Housing Generation'!$A$3:$DQ$90,96,FALSE)</f>
        <v>7</v>
      </c>
      <c r="J131" s="111">
        <f t="shared" si="21"/>
        <v>42</v>
      </c>
    </row>
    <row r="132" spans="2:10" ht="15" customHeight="1">
      <c r="B132" s="114">
        <v>2030</v>
      </c>
      <c r="C132" s="289" t="s">
        <v>97</v>
      </c>
      <c r="D132" s="112">
        <f>VLOOKUP($E$3,'Housing Generation'!$A$3:$DQ$90,99,FALSE)</f>
        <v>7</v>
      </c>
      <c r="E132" s="112">
        <f>VLOOKUP($E$3,'Housing Generation'!$A$3:$DQ$90,100,FALSE)</f>
        <v>7</v>
      </c>
      <c r="F132" s="112">
        <f>VLOOKUP($E$3,'Housing Generation'!$A$3:$DQ$90,101,FALSE)</f>
        <v>7</v>
      </c>
      <c r="G132" s="112">
        <f>VLOOKUP($E$3,'Housing Generation'!$A$3:$DQ$90,102,FALSE)</f>
        <v>7</v>
      </c>
      <c r="H132" s="112">
        <f>VLOOKUP($E$3,'Housing Generation'!$A$3:$DQ$90,103,FALSE)</f>
        <v>7</v>
      </c>
      <c r="I132" s="112">
        <f>VLOOKUP($E$3,'Housing Generation'!$A$3:$DQ$90,104,FALSE)</f>
        <v>7</v>
      </c>
      <c r="J132" s="111">
        <f t="shared" si="21"/>
        <v>42</v>
      </c>
    </row>
    <row r="133" spans="2:10" ht="15" customHeight="1">
      <c r="B133" s="114">
        <v>2031</v>
      </c>
      <c r="C133" s="289" t="s">
        <v>97</v>
      </c>
      <c r="D133" s="112">
        <f>VLOOKUP($E$3,'Housing Generation'!$A$3:$DQ$90,107,FALSE)</f>
        <v>7</v>
      </c>
      <c r="E133" s="112">
        <f>VLOOKUP($E$3,'Housing Generation'!$A$3:$DQ$90,108,FALSE)</f>
        <v>7</v>
      </c>
      <c r="F133" s="112">
        <f>VLOOKUP($E$3,'Housing Generation'!$A$3:$DQ$90,109,FALSE)</f>
        <v>7</v>
      </c>
      <c r="G133" s="112">
        <f>VLOOKUP($E$3,'Housing Generation'!$A$3:$DQ$90,110,FALSE)</f>
        <v>7</v>
      </c>
      <c r="H133" s="112">
        <f>VLOOKUP($E$3,'Housing Generation'!$A$3:$DQ$90,111,FALSE)</f>
        <v>7</v>
      </c>
      <c r="I133" s="112">
        <f>VLOOKUP($E$3,'Housing Generation'!$A$3:$DQ$90,112,FALSE)</f>
        <v>7</v>
      </c>
      <c r="J133" s="111">
        <f t="shared" si="21"/>
        <v>42</v>
      </c>
    </row>
    <row r="134" spans="2:10" ht="15" customHeight="1">
      <c r="B134" s="114">
        <v>2032</v>
      </c>
      <c r="C134" s="289" t="s">
        <v>97</v>
      </c>
      <c r="D134" s="112">
        <f>VLOOKUP($E$3,'Housing Generation'!$A$3:$DQ$90,115,FALSE)</f>
        <v>7</v>
      </c>
      <c r="E134" s="112">
        <f>VLOOKUP($E$3,'Housing Generation'!$A$3:$DQ$90,116,FALSE)</f>
        <v>7</v>
      </c>
      <c r="F134" s="112">
        <f>VLOOKUP($E$3,'Housing Generation'!$A$3:$DQ$90,117,FALSE)</f>
        <v>7</v>
      </c>
      <c r="G134" s="112">
        <f>VLOOKUP($E$3,'Housing Generation'!$A$3:$DQ$90,118,FALSE)</f>
        <v>7</v>
      </c>
      <c r="H134" s="112">
        <f>VLOOKUP($E$3,'Housing Generation'!$A$3:$DQ$90,119,FALSE)</f>
        <v>7</v>
      </c>
      <c r="I134" s="112">
        <f>VLOOKUP($E$3,'Housing Generation'!$A$3:$DQ$90,120,FALSE)</f>
        <v>7</v>
      </c>
      <c r="J134" s="111">
        <f t="shared" si="21"/>
        <v>42</v>
      </c>
    </row>
    <row r="135" spans="2:10" ht="15" hidden="1"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Currie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90</v>
      </c>
      <c r="D139" s="112">
        <f t="shared" ref="D139:I152" si="23">D121+D103</f>
        <v>90</v>
      </c>
      <c r="E139" s="112">
        <f t="shared" si="23"/>
        <v>73</v>
      </c>
      <c r="F139" s="112">
        <f t="shared" si="23"/>
        <v>66</v>
      </c>
      <c r="G139" s="112">
        <f t="shared" si="23"/>
        <v>78</v>
      </c>
      <c r="H139" s="112">
        <f t="shared" si="23"/>
        <v>64</v>
      </c>
      <c r="I139" s="112">
        <f t="shared" si="23"/>
        <v>65</v>
      </c>
      <c r="J139" s="111">
        <f t="shared" ref="J139:J147" si="24">SUM(C139:I139)</f>
        <v>526</v>
      </c>
    </row>
    <row r="140" spans="2:10" ht="15" customHeight="1">
      <c r="B140" s="114">
        <v>2020</v>
      </c>
      <c r="C140" s="113">
        <f t="shared" si="22"/>
        <v>99</v>
      </c>
      <c r="D140" s="112">
        <f t="shared" si="23"/>
        <v>90</v>
      </c>
      <c r="E140" s="112">
        <f t="shared" si="23"/>
        <v>92</v>
      </c>
      <c r="F140" s="112">
        <f t="shared" si="23"/>
        <v>76</v>
      </c>
      <c r="G140" s="112">
        <f t="shared" si="23"/>
        <v>69</v>
      </c>
      <c r="H140" s="112">
        <f t="shared" si="23"/>
        <v>81</v>
      </c>
      <c r="I140" s="112">
        <f t="shared" si="23"/>
        <v>63</v>
      </c>
      <c r="J140" s="111">
        <f t="shared" si="24"/>
        <v>570</v>
      </c>
    </row>
    <row r="141" spans="2:10" ht="15" customHeight="1">
      <c r="B141" s="114">
        <v>2021</v>
      </c>
      <c r="C141" s="113">
        <f t="shared" si="22"/>
        <v>90</v>
      </c>
      <c r="D141" s="112">
        <f t="shared" si="23"/>
        <v>99</v>
      </c>
      <c r="E141" s="112">
        <f t="shared" si="23"/>
        <v>92</v>
      </c>
      <c r="F141" s="112">
        <f t="shared" si="23"/>
        <v>94</v>
      </c>
      <c r="G141" s="112">
        <f t="shared" si="23"/>
        <v>78</v>
      </c>
      <c r="H141" s="112">
        <f t="shared" si="23"/>
        <v>71</v>
      </c>
      <c r="I141" s="112">
        <f t="shared" si="23"/>
        <v>80</v>
      </c>
      <c r="J141" s="111">
        <f t="shared" si="24"/>
        <v>604</v>
      </c>
    </row>
    <row r="142" spans="2:10" ht="15" customHeight="1">
      <c r="B142" s="114">
        <v>2022</v>
      </c>
      <c r="C142" s="113">
        <f t="shared" si="22"/>
        <v>89.609314690319763</v>
      </c>
      <c r="D142" s="112">
        <f t="shared" si="23"/>
        <v>89</v>
      </c>
      <c r="E142" s="112">
        <f t="shared" si="23"/>
        <v>101</v>
      </c>
      <c r="F142" s="112">
        <f t="shared" si="23"/>
        <v>94</v>
      </c>
      <c r="G142" s="112">
        <f t="shared" si="23"/>
        <v>96</v>
      </c>
      <c r="H142" s="112">
        <f t="shared" si="23"/>
        <v>80</v>
      </c>
      <c r="I142" s="112">
        <f t="shared" si="23"/>
        <v>70</v>
      </c>
      <c r="J142" s="111">
        <f t="shared" si="24"/>
        <v>619.60931469031971</v>
      </c>
    </row>
    <row r="143" spans="2:10" ht="15" customHeight="1">
      <c r="B143" s="114">
        <v>2023</v>
      </c>
      <c r="C143" s="113">
        <f t="shared" si="22"/>
        <v>96.11226138845575</v>
      </c>
      <c r="D143" s="112">
        <f t="shared" si="23"/>
        <v>90</v>
      </c>
      <c r="E143" s="112">
        <f t="shared" si="23"/>
        <v>91</v>
      </c>
      <c r="F143" s="112">
        <f t="shared" si="23"/>
        <v>104</v>
      </c>
      <c r="G143" s="112">
        <f t="shared" si="23"/>
        <v>96</v>
      </c>
      <c r="H143" s="112">
        <f t="shared" si="23"/>
        <v>98</v>
      </c>
      <c r="I143" s="112">
        <f t="shared" si="23"/>
        <v>79</v>
      </c>
      <c r="J143" s="111">
        <f t="shared" si="24"/>
        <v>654.11226138845575</v>
      </c>
    </row>
    <row r="144" spans="2:10" ht="15" customHeight="1">
      <c r="B144" s="114">
        <v>2024</v>
      </c>
      <c r="C144" s="113">
        <f t="shared" si="22"/>
        <v>97.041253773903748</v>
      </c>
      <c r="D144" s="112">
        <f t="shared" si="23"/>
        <v>96</v>
      </c>
      <c r="E144" s="112">
        <f t="shared" si="23"/>
        <v>91</v>
      </c>
      <c r="F144" s="112">
        <f t="shared" si="23"/>
        <v>92</v>
      </c>
      <c r="G144" s="112">
        <f t="shared" si="23"/>
        <v>106</v>
      </c>
      <c r="H144" s="112">
        <f t="shared" si="23"/>
        <v>97</v>
      </c>
      <c r="I144" s="112">
        <f t="shared" si="23"/>
        <v>95</v>
      </c>
      <c r="J144" s="111">
        <f t="shared" si="24"/>
        <v>674.04125377390369</v>
      </c>
    </row>
    <row r="145" spans="2:16" ht="15" customHeight="1">
      <c r="B145" s="114">
        <v>2025</v>
      </c>
      <c r="C145" s="113">
        <f t="shared" si="22"/>
        <v>97.970246159351746</v>
      </c>
      <c r="D145" s="112">
        <f t="shared" si="23"/>
        <v>97</v>
      </c>
      <c r="E145" s="112">
        <f t="shared" si="23"/>
        <v>98</v>
      </c>
      <c r="F145" s="112">
        <f t="shared" si="23"/>
        <v>92</v>
      </c>
      <c r="G145" s="112">
        <f t="shared" si="23"/>
        <v>93</v>
      </c>
      <c r="H145" s="112">
        <f t="shared" si="23"/>
        <v>108</v>
      </c>
      <c r="I145" s="112">
        <f t="shared" si="23"/>
        <v>94</v>
      </c>
      <c r="J145" s="111">
        <f t="shared" si="24"/>
        <v>679.97024615935175</v>
      </c>
    </row>
    <row r="146" spans="2:16" ht="15" customHeight="1">
      <c r="B146" s="114">
        <v>2026</v>
      </c>
      <c r="C146" s="113">
        <f t="shared" si="22"/>
        <v>98.899238544799744</v>
      </c>
      <c r="D146" s="112">
        <f t="shared" si="23"/>
        <v>98</v>
      </c>
      <c r="E146" s="112">
        <f t="shared" si="23"/>
        <v>99</v>
      </c>
      <c r="F146" s="112">
        <f t="shared" si="23"/>
        <v>100</v>
      </c>
      <c r="G146" s="112">
        <f t="shared" si="23"/>
        <v>93</v>
      </c>
      <c r="H146" s="112">
        <f t="shared" si="23"/>
        <v>94</v>
      </c>
      <c r="I146" s="112">
        <f t="shared" si="23"/>
        <v>105</v>
      </c>
      <c r="J146" s="111">
        <f t="shared" si="24"/>
        <v>687.8992385447998</v>
      </c>
    </row>
    <row r="147" spans="2:16" ht="15" customHeight="1">
      <c r="B147" s="114">
        <v>2027</v>
      </c>
      <c r="C147" s="113">
        <f t="shared" si="22"/>
        <v>99</v>
      </c>
      <c r="D147" s="112">
        <f t="shared" si="23"/>
        <v>99</v>
      </c>
      <c r="E147" s="112">
        <f t="shared" si="23"/>
        <v>100</v>
      </c>
      <c r="F147" s="112">
        <f t="shared" si="23"/>
        <v>101</v>
      </c>
      <c r="G147" s="112">
        <f t="shared" si="23"/>
        <v>102</v>
      </c>
      <c r="H147" s="112">
        <f t="shared" si="23"/>
        <v>94</v>
      </c>
      <c r="I147" s="112">
        <f t="shared" si="23"/>
        <v>91</v>
      </c>
      <c r="J147" s="111">
        <f t="shared" si="24"/>
        <v>686</v>
      </c>
    </row>
    <row r="148" spans="2:16" ht="15" customHeight="1">
      <c r="B148" s="114">
        <v>2028</v>
      </c>
      <c r="C148" s="113">
        <f t="shared" si="22"/>
        <v>99</v>
      </c>
      <c r="D148" s="112">
        <f t="shared" si="23"/>
        <v>99</v>
      </c>
      <c r="E148" s="112">
        <f t="shared" si="23"/>
        <v>101</v>
      </c>
      <c r="F148" s="112">
        <f t="shared" si="23"/>
        <v>102</v>
      </c>
      <c r="G148" s="112">
        <f t="shared" si="23"/>
        <v>103</v>
      </c>
      <c r="H148" s="112">
        <f t="shared" si="23"/>
        <v>103</v>
      </c>
      <c r="I148" s="112">
        <f t="shared" si="23"/>
        <v>91</v>
      </c>
      <c r="J148" s="111">
        <f t="shared" ref="J148:J152" si="25">SUM(C148:I148)</f>
        <v>698</v>
      </c>
    </row>
    <row r="149" spans="2:16" ht="15" customHeight="1">
      <c r="B149" s="114">
        <v>2029</v>
      </c>
      <c r="C149" s="113">
        <f t="shared" si="22"/>
        <v>99</v>
      </c>
      <c r="D149" s="112">
        <f t="shared" si="23"/>
        <v>99</v>
      </c>
      <c r="E149" s="112">
        <f t="shared" si="23"/>
        <v>101</v>
      </c>
      <c r="F149" s="112">
        <f t="shared" si="23"/>
        <v>103</v>
      </c>
      <c r="G149" s="112">
        <f t="shared" si="23"/>
        <v>104</v>
      </c>
      <c r="H149" s="112">
        <f t="shared" si="23"/>
        <v>105</v>
      </c>
      <c r="I149" s="112">
        <f t="shared" si="23"/>
        <v>100</v>
      </c>
      <c r="J149" s="111">
        <f t="shared" si="25"/>
        <v>711</v>
      </c>
    </row>
    <row r="150" spans="2:16" ht="15" customHeight="1">
      <c r="B150" s="114">
        <v>2030</v>
      </c>
      <c r="C150" s="113">
        <f t="shared" si="22"/>
        <v>99</v>
      </c>
      <c r="D150" s="112">
        <f t="shared" si="23"/>
        <v>99</v>
      </c>
      <c r="E150" s="112">
        <f t="shared" si="23"/>
        <v>101</v>
      </c>
      <c r="F150" s="112">
        <f t="shared" si="23"/>
        <v>103</v>
      </c>
      <c r="G150" s="112">
        <f t="shared" si="23"/>
        <v>105</v>
      </c>
      <c r="H150" s="112">
        <f t="shared" si="23"/>
        <v>106</v>
      </c>
      <c r="I150" s="112">
        <f t="shared" si="23"/>
        <v>102</v>
      </c>
      <c r="J150" s="111">
        <f t="shared" si="25"/>
        <v>715</v>
      </c>
    </row>
    <row r="151" spans="2:16" ht="15" customHeight="1">
      <c r="B151" s="114">
        <v>2031</v>
      </c>
      <c r="C151" s="113">
        <f t="shared" si="22"/>
        <v>99</v>
      </c>
      <c r="D151" s="112">
        <f t="shared" si="23"/>
        <v>99</v>
      </c>
      <c r="E151" s="112">
        <f t="shared" si="23"/>
        <v>101</v>
      </c>
      <c r="F151" s="112">
        <f t="shared" si="23"/>
        <v>103</v>
      </c>
      <c r="G151" s="112">
        <f t="shared" si="23"/>
        <v>105</v>
      </c>
      <c r="H151" s="112">
        <f t="shared" si="23"/>
        <v>107</v>
      </c>
      <c r="I151" s="112">
        <f t="shared" si="23"/>
        <v>103</v>
      </c>
      <c r="J151" s="111">
        <f t="shared" si="25"/>
        <v>717</v>
      </c>
    </row>
    <row r="152" spans="2:16" ht="15" customHeight="1">
      <c r="B152" s="114">
        <v>2032</v>
      </c>
      <c r="C152" s="113">
        <f t="shared" si="22"/>
        <v>99</v>
      </c>
      <c r="D152" s="112">
        <f t="shared" si="23"/>
        <v>99</v>
      </c>
      <c r="E152" s="112">
        <f t="shared" si="23"/>
        <v>101</v>
      </c>
      <c r="F152" s="112">
        <f t="shared" si="23"/>
        <v>103</v>
      </c>
      <c r="G152" s="112">
        <f t="shared" si="23"/>
        <v>105</v>
      </c>
      <c r="H152" s="112">
        <f t="shared" si="23"/>
        <v>107</v>
      </c>
      <c r="I152" s="112">
        <f t="shared" si="23"/>
        <v>104</v>
      </c>
      <c r="J152" s="111">
        <f t="shared" si="25"/>
        <v>718</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526</v>
      </c>
      <c r="D159" s="108">
        <f>J140</f>
        <v>570</v>
      </c>
      <c r="E159" s="108">
        <f>J141</f>
        <v>604</v>
      </c>
      <c r="F159" s="108">
        <f>J142</f>
        <v>619.60931469031971</v>
      </c>
      <c r="G159" s="108">
        <f>J143</f>
        <v>654.11226138845575</v>
      </c>
      <c r="H159" s="108">
        <f>J144</f>
        <v>674.04125377390369</v>
      </c>
      <c r="I159" s="108">
        <f>J145</f>
        <v>679.97024615935175</v>
      </c>
      <c r="J159" s="108">
        <f>J146</f>
        <v>687.8992385447998</v>
      </c>
      <c r="K159" s="108">
        <f>J147</f>
        <v>686</v>
      </c>
      <c r="L159" s="108">
        <f>J148</f>
        <v>698</v>
      </c>
      <c r="M159" s="108">
        <f>J149</f>
        <v>711</v>
      </c>
      <c r="N159" s="108">
        <f>J150</f>
        <v>715</v>
      </c>
      <c r="O159" s="108">
        <f>J151</f>
        <v>717</v>
      </c>
      <c r="P159" s="108">
        <f>J152</f>
        <v>718</v>
      </c>
    </row>
    <row r="160" spans="2:16" ht="15" customHeight="1">
      <c r="B160" s="107" t="s">
        <v>152</v>
      </c>
      <c r="C160" s="106">
        <f>VLOOKUP(C159,Capacity!$A$1:$C$645,2,TRUE)</f>
        <v>19</v>
      </c>
      <c r="D160" s="106">
        <f>VLOOKUP(D159,Capacity!$A$1:$C$645,2,TRUE)</f>
        <v>21</v>
      </c>
      <c r="E160" s="106">
        <f>VLOOKUP(E159,Capacity!$A$1:$C$645,2,TRUE)</f>
        <v>21</v>
      </c>
      <c r="F160" s="106">
        <f>VLOOKUP(F159,Capacity!$A$1:$C$645,2,TRUE)</f>
        <v>21</v>
      </c>
      <c r="G160" s="106">
        <f>VLOOKUP(G159,Capacity!$A$1:$C$645,2,TRUE)</f>
        <v>23</v>
      </c>
      <c r="H160" s="106">
        <f>VLOOKUP(H159,Capacity!$A$1:$C$645,2,TRUE)</f>
        <v>23</v>
      </c>
      <c r="I160" s="106">
        <f>VLOOKUP(I159,Capacity!$A$1:$C$645,2,TRUE)</f>
        <v>23</v>
      </c>
      <c r="J160" s="106">
        <f>VLOOKUP(J159,Capacity!$A$1:$C$645,2,TRUE)</f>
        <v>23</v>
      </c>
      <c r="K160" s="106">
        <f>VLOOKUP(K159,Capacity!$A$1:$C$645,2,TRUE)</f>
        <v>23</v>
      </c>
      <c r="L160" s="106">
        <f>VLOOKUP(L159,Capacity!$A$1:$C$645,2,TRUE)</f>
        <v>23</v>
      </c>
      <c r="M160" s="106">
        <f>VLOOKUP(M159,Capacity!$A$1:$C$645,2,TRUE)</f>
        <v>23</v>
      </c>
      <c r="N160" s="106">
        <f>VLOOKUP(N159,Capacity!$A$1:$C$645,2,TRUE)</f>
        <v>23</v>
      </c>
      <c r="O160" s="106">
        <f>VLOOKUP(O159,Capacity!$A$1:$C$645,2,TRUE)</f>
        <v>23</v>
      </c>
      <c r="P160" s="106">
        <f>VLOOKUP(P159,Capacity!$A$1:$C$645,2,TRUE)</f>
        <v>23</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35</v>
      </c>
      <c r="D169" s="97">
        <f>VLOOKUP($E$3,'Catchment Births'!$A$1:$U$90,11,FALSE)</f>
        <v>56</v>
      </c>
      <c r="E169" s="97">
        <f>VLOOKUP($E$3,'Catchment Births'!$A$1:$U$90,12,FALSE)</f>
        <v>44</v>
      </c>
      <c r="F169" s="97">
        <f>VLOOKUP($E$3,'Catchment Births'!$A$1:$U$90,13,FALSE)</f>
        <v>53</v>
      </c>
      <c r="G169" s="97">
        <f>VLOOKUP($E$3,'Catchment Births'!$A$1:$U$90,14,FALSE)</f>
        <v>53</v>
      </c>
      <c r="H169" s="97">
        <f>VLOOKUP($E$3,'Catchment Births'!$A$1:$U$90,15,FALSE)</f>
        <v>48</v>
      </c>
      <c r="I169" s="97">
        <f>VLOOKUP($E$3,'Catchment Births'!$A$1:$U$90,16,FALSE)</f>
        <v>48</v>
      </c>
      <c r="J169" s="97">
        <f>VLOOKUP($E$3,'Catchment Births'!$A$1:$U$90,17,FALSE)</f>
        <v>40</v>
      </c>
      <c r="K169" s="97">
        <f>VLOOKUP($E$3,'Catchment Births'!$A$1:$U$90,18,FALSE)</f>
        <v>46</v>
      </c>
      <c r="L169" s="97">
        <f>VLOOKUP($E$3,'Catchment Births'!$A$1:$U$90,19,FALSE)</f>
        <v>52</v>
      </c>
      <c r="M169" s="97">
        <f>VLOOKUP($E$3,'Catchment Births'!$A$1:$U$90,20,FALSE)</f>
        <v>63</v>
      </c>
      <c r="N169" s="97">
        <f>VLOOKUP($E$3,'Catchment Births'!$A$1:$U$90,21,FALSE)</f>
        <v>68</v>
      </c>
    </row>
    <row r="170" spans="2:14" ht="58.5" customHeight="1">
      <c r="B170" s="103" t="str">
        <f>"P1 "&amp;A35&amp;" Catchment Population (Actual)"</f>
        <v>P1 ND Catchment Population (Actual)</v>
      </c>
      <c r="C170" s="102" t="e">
        <v>#REF!</v>
      </c>
      <c r="D170" s="102">
        <v>63</v>
      </c>
      <c r="E170" s="102">
        <v>59</v>
      </c>
      <c r="F170" s="102">
        <v>59</v>
      </c>
      <c r="G170" s="102">
        <v>65</v>
      </c>
      <c r="H170" s="102">
        <v>58</v>
      </c>
      <c r="I170" s="102">
        <v>67</v>
      </c>
      <c r="J170" s="308">
        <f>VLOOKUP(E3,'Catchment Projections'!A1:BU92,42,FALSE)</f>
        <v>57</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67</v>
      </c>
      <c r="J172" s="96" t="e">
        <f>#REF!</f>
        <v>#REF!</v>
      </c>
      <c r="K172" s="96">
        <f>D51</f>
        <v>94</v>
      </c>
      <c r="L172" s="96">
        <f>E51</f>
        <v>102</v>
      </c>
      <c r="M172" s="96">
        <f>F51</f>
        <v>93</v>
      </c>
      <c r="N172" s="96">
        <f>G51</f>
        <v>90</v>
      </c>
    </row>
    <row r="173" spans="2:14" ht="12.75">
      <c r="B173" s="62"/>
      <c r="C173" s="62"/>
      <c r="D173" s="62"/>
      <c r="E173" s="62"/>
      <c r="F173" s="62"/>
      <c r="G173" s="62"/>
      <c r="H173" s="62"/>
      <c r="I173" s="62"/>
      <c r="J173" s="62"/>
      <c r="K173" s="62"/>
    </row>
    <row r="174" spans="2:14" ht="15" customHeight="1">
      <c r="B174" s="64" t="str">
        <f>"Table 5: "&amp;E3&amp;" Roll by Stage, 2002-2018"</f>
        <v>Table 5: Currie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0</v>
      </c>
      <c r="D177" s="93">
        <v>0</v>
      </c>
      <c r="E177" s="93">
        <v>0</v>
      </c>
      <c r="F177" s="93">
        <v>0</v>
      </c>
      <c r="G177" s="93">
        <v>0</v>
      </c>
      <c r="H177" s="93">
        <v>0</v>
      </c>
      <c r="I177" s="93">
        <v>0</v>
      </c>
      <c r="J177" s="92">
        <v>0</v>
      </c>
      <c r="K177" s="62"/>
    </row>
    <row r="178" spans="2:11" ht="15" customHeight="1">
      <c r="B178" s="94">
        <v>2003</v>
      </c>
      <c r="C178" s="93">
        <v>0</v>
      </c>
      <c r="D178" s="93">
        <v>0</v>
      </c>
      <c r="E178" s="93">
        <v>0</v>
      </c>
      <c r="F178" s="93">
        <v>0</v>
      </c>
      <c r="G178" s="93">
        <v>0</v>
      </c>
      <c r="H178" s="93">
        <v>0</v>
      </c>
      <c r="I178" s="93">
        <v>0</v>
      </c>
      <c r="J178" s="92">
        <v>0</v>
      </c>
      <c r="K178" s="62"/>
    </row>
    <row r="179" spans="2:11" customFormat="1" ht="15" customHeight="1">
      <c r="B179" s="94">
        <v>2004</v>
      </c>
      <c r="C179" s="95">
        <v>0</v>
      </c>
      <c r="D179" s="95">
        <v>0</v>
      </c>
      <c r="E179" s="95">
        <v>0</v>
      </c>
      <c r="F179" s="95">
        <v>0</v>
      </c>
      <c r="G179" s="95">
        <v>0</v>
      </c>
      <c r="H179" s="95">
        <v>0</v>
      </c>
      <c r="I179" s="95">
        <v>0</v>
      </c>
      <c r="J179" s="92">
        <v>0</v>
      </c>
      <c r="K179" s="62"/>
    </row>
    <row r="180" spans="2:11" customFormat="1" ht="15" customHeight="1">
      <c r="B180" s="94">
        <v>2005</v>
      </c>
      <c r="C180" s="93">
        <v>48</v>
      </c>
      <c r="D180" s="93">
        <v>42</v>
      </c>
      <c r="E180" s="93">
        <v>58</v>
      </c>
      <c r="F180" s="93">
        <v>60</v>
      </c>
      <c r="G180" s="93">
        <v>49</v>
      </c>
      <c r="H180" s="93">
        <v>75</v>
      </c>
      <c r="I180" s="93">
        <v>62</v>
      </c>
      <c r="J180" s="92">
        <v>394</v>
      </c>
      <c r="K180" s="62"/>
    </row>
    <row r="181" spans="2:11" customFormat="1" ht="15" customHeight="1">
      <c r="B181" s="94">
        <v>2006</v>
      </c>
      <c r="C181" s="93">
        <v>50</v>
      </c>
      <c r="D181" s="93">
        <v>49</v>
      </c>
      <c r="E181" s="93">
        <v>39</v>
      </c>
      <c r="F181" s="93">
        <v>55</v>
      </c>
      <c r="G181" s="93">
        <v>62</v>
      </c>
      <c r="H181" s="93">
        <v>45</v>
      </c>
      <c r="I181" s="93">
        <v>72</v>
      </c>
      <c r="J181" s="92">
        <v>372</v>
      </c>
      <c r="K181" s="62"/>
    </row>
    <row r="182" spans="2:11" customFormat="1" ht="15" customHeight="1">
      <c r="B182" s="94">
        <v>2007</v>
      </c>
      <c r="C182" s="93">
        <v>45</v>
      </c>
      <c r="D182" s="93">
        <v>50</v>
      </c>
      <c r="E182" s="93">
        <v>49</v>
      </c>
      <c r="F182" s="93">
        <v>42</v>
      </c>
      <c r="G182" s="93">
        <v>56</v>
      </c>
      <c r="H182" s="93">
        <v>60</v>
      </c>
      <c r="I182" s="93">
        <v>51</v>
      </c>
      <c r="J182" s="92">
        <v>353</v>
      </c>
      <c r="K182" s="62"/>
    </row>
    <row r="183" spans="2:11" customFormat="1" ht="15" customHeight="1">
      <c r="B183" s="94">
        <v>2008</v>
      </c>
      <c r="C183" s="93">
        <v>42</v>
      </c>
      <c r="D183" s="93">
        <v>42</v>
      </c>
      <c r="E183" s="93">
        <v>49</v>
      </c>
      <c r="F183" s="93">
        <v>49</v>
      </c>
      <c r="G183" s="93">
        <v>42</v>
      </c>
      <c r="H183" s="93">
        <v>53</v>
      </c>
      <c r="I183" s="93">
        <v>63</v>
      </c>
      <c r="J183" s="92">
        <v>340</v>
      </c>
      <c r="K183" s="62"/>
    </row>
    <row r="184" spans="2:11" customFormat="1" ht="15" customHeight="1">
      <c r="B184" s="94">
        <v>2009</v>
      </c>
      <c r="C184" s="93">
        <v>37</v>
      </c>
      <c r="D184" s="93">
        <v>48</v>
      </c>
      <c r="E184" s="93">
        <v>44</v>
      </c>
      <c r="F184" s="93">
        <v>50</v>
      </c>
      <c r="G184" s="93">
        <v>50</v>
      </c>
      <c r="H184" s="93">
        <v>45</v>
      </c>
      <c r="I184" s="93">
        <v>52</v>
      </c>
      <c r="J184" s="94">
        <v>326</v>
      </c>
      <c r="K184" s="62"/>
    </row>
    <row r="185" spans="2:11" customFormat="1" ht="15" customHeight="1">
      <c r="B185" s="94">
        <v>2010</v>
      </c>
      <c r="C185" s="93">
        <v>57</v>
      </c>
      <c r="D185" s="93">
        <v>36</v>
      </c>
      <c r="E185" s="93">
        <v>46</v>
      </c>
      <c r="F185" s="93">
        <v>45</v>
      </c>
      <c r="G185" s="93">
        <v>49</v>
      </c>
      <c r="H185" s="93">
        <v>50</v>
      </c>
      <c r="I185" s="93">
        <v>41</v>
      </c>
      <c r="J185" s="92">
        <v>324</v>
      </c>
      <c r="K185" s="62"/>
    </row>
    <row r="186" spans="2:11" customFormat="1" ht="15" customHeight="1">
      <c r="B186" s="94">
        <v>2011</v>
      </c>
      <c r="C186" s="93">
        <v>55</v>
      </c>
      <c r="D186" s="93">
        <v>58</v>
      </c>
      <c r="E186" s="93">
        <v>37</v>
      </c>
      <c r="F186" s="93">
        <v>47</v>
      </c>
      <c r="G186" s="93">
        <v>42</v>
      </c>
      <c r="H186" s="93">
        <v>47</v>
      </c>
      <c r="I186" s="93">
        <v>48</v>
      </c>
      <c r="J186" s="92">
        <v>334</v>
      </c>
      <c r="K186" s="62"/>
    </row>
    <row r="187" spans="2:11" customFormat="1" ht="15" customHeight="1">
      <c r="B187" s="94">
        <v>2012</v>
      </c>
      <c r="C187" s="93">
        <v>57</v>
      </c>
      <c r="D187" s="93">
        <v>58</v>
      </c>
      <c r="E187" s="93">
        <v>62</v>
      </c>
      <c r="F187" s="93">
        <v>39</v>
      </c>
      <c r="G187" s="93">
        <v>46</v>
      </c>
      <c r="H187" s="93">
        <v>43</v>
      </c>
      <c r="I187" s="93">
        <v>49</v>
      </c>
      <c r="J187" s="92">
        <v>354</v>
      </c>
      <c r="K187" s="62"/>
    </row>
    <row r="188" spans="2:11" customFormat="1" ht="15" customHeight="1">
      <c r="B188" s="94">
        <v>2013</v>
      </c>
      <c r="C188" s="93">
        <v>63</v>
      </c>
      <c r="D188" s="93">
        <v>59</v>
      </c>
      <c r="E188" s="93">
        <v>60</v>
      </c>
      <c r="F188" s="93">
        <v>60</v>
      </c>
      <c r="G188" s="93">
        <v>41</v>
      </c>
      <c r="H188" s="93">
        <v>47</v>
      </c>
      <c r="I188" s="93">
        <v>43</v>
      </c>
      <c r="J188" s="94">
        <v>373</v>
      </c>
      <c r="K188" s="62"/>
    </row>
    <row r="189" spans="2:11" customFormat="1" ht="15" customHeight="1">
      <c r="B189" s="94">
        <v>2014</v>
      </c>
      <c r="C189" s="93">
        <v>57</v>
      </c>
      <c r="D189" s="93">
        <v>63</v>
      </c>
      <c r="E189" s="93">
        <v>60</v>
      </c>
      <c r="F189" s="93">
        <v>60</v>
      </c>
      <c r="G189" s="93">
        <v>61</v>
      </c>
      <c r="H189" s="93">
        <v>41</v>
      </c>
      <c r="I189" s="93">
        <v>47</v>
      </c>
      <c r="J189" s="92">
        <v>389</v>
      </c>
      <c r="K189" s="65"/>
    </row>
    <row r="190" spans="2:11" customFormat="1" ht="15" customHeight="1">
      <c r="B190" s="94">
        <v>2015</v>
      </c>
      <c r="C190" s="93">
        <v>64</v>
      </c>
      <c r="D190" s="93">
        <v>53</v>
      </c>
      <c r="E190" s="93">
        <v>63</v>
      </c>
      <c r="F190" s="93">
        <v>61</v>
      </c>
      <c r="G190" s="93">
        <v>58</v>
      </c>
      <c r="H190" s="93">
        <v>62</v>
      </c>
      <c r="I190" s="93">
        <v>45</v>
      </c>
      <c r="J190" s="92">
        <v>406</v>
      </c>
      <c r="K190" s="65"/>
    </row>
    <row r="191" spans="2:11" customFormat="1" ht="15" customHeight="1">
      <c r="B191" s="94">
        <v>2016</v>
      </c>
      <c r="C191" s="93">
        <v>63</v>
      </c>
      <c r="D191" s="93">
        <v>66</v>
      </c>
      <c r="E191" s="93">
        <v>53</v>
      </c>
      <c r="F191" s="93">
        <v>64</v>
      </c>
      <c r="G191" s="93">
        <v>63</v>
      </c>
      <c r="H191" s="93">
        <v>58</v>
      </c>
      <c r="I191" s="93">
        <v>59</v>
      </c>
      <c r="J191" s="92">
        <v>426</v>
      </c>
      <c r="K191" s="65"/>
    </row>
    <row r="192" spans="2:11" ht="15" customHeight="1">
      <c r="B192" s="94">
        <v>2017</v>
      </c>
      <c r="C192" s="93">
        <f>VLOOKUP($E$3,Rolls!A1:FA90,42,FALSE)</f>
        <v>69</v>
      </c>
      <c r="D192" s="93">
        <f>VLOOKUP($E$3,Rolls!A1:FA90,43,FALSE)</f>
        <v>61</v>
      </c>
      <c r="E192" s="93">
        <f>VLOOKUP($E$3,Rolls!A1:FA90,44,FALSE)</f>
        <v>68</v>
      </c>
      <c r="F192" s="93">
        <f>VLOOKUP($E$3,Rolls!A1:FA90,45,FALSE)</f>
        <v>57</v>
      </c>
      <c r="G192" s="93">
        <f>VLOOKUP($E$3,Rolls!A1:FA90,46,FALSE)</f>
        <v>64</v>
      </c>
      <c r="H192" s="93">
        <f>VLOOKUP($E$3,Rolls!A1:FA90,47,FALSE)</f>
        <v>65</v>
      </c>
      <c r="I192" s="93">
        <f>VLOOKUP($E$3,Rolls!A1:FA90,48,FALSE)</f>
        <v>55</v>
      </c>
      <c r="J192" s="92">
        <f>VLOOKUP($E$3,Rolls!A1:FA90,49,FALSE)</f>
        <v>439</v>
      </c>
      <c r="K192" s="65"/>
    </row>
    <row r="193" spans="2:11" ht="15" customHeight="1">
      <c r="B193" s="94">
        <v>2018</v>
      </c>
      <c r="C193" s="93">
        <f>VLOOKUP($E$3,Rolls!A1:FA90,50,FALSE)</f>
        <v>87</v>
      </c>
      <c r="D193" s="93">
        <f>VLOOKUP($E$3,Rolls!A1:FA90,51,FALSE)</f>
        <v>70</v>
      </c>
      <c r="E193" s="93">
        <f>VLOOKUP($E$3,Rolls!A1:FA90,52,FALSE)</f>
        <v>63</v>
      </c>
      <c r="F193" s="93">
        <f>VLOOKUP($E$3,Rolls!A1:FA90,53,FALSE)</f>
        <v>75</v>
      </c>
      <c r="G193" s="93">
        <f>VLOOKUP($E$3,Rolls!A1:FA90,54,FALSE)</f>
        <v>61</v>
      </c>
      <c r="H193" s="93">
        <f>VLOOKUP($E$3,Rolls!A1:FA90,55,FALSE)</f>
        <v>65</v>
      </c>
      <c r="I193" s="93">
        <f>VLOOKUP($E$3,Rolls!A1:FA90,56,FALSE)</f>
        <v>63</v>
      </c>
      <c r="J193" s="92">
        <f>VLOOKUP($E$3,Rolls!A1:FA90,57,FALSE)</f>
        <v>484</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26</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Dalmeny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112 Pupils (5 classes)</v>
      </c>
      <c r="G12" s="16"/>
      <c r="H12" s="16"/>
    </row>
    <row r="13" spans="2:10" ht="15" customHeight="1">
      <c r="C13" s="16"/>
      <c r="D13" s="16"/>
      <c r="E13" s="16"/>
      <c r="F13" s="16"/>
      <c r="G13" s="16"/>
      <c r="H13" s="16"/>
    </row>
    <row r="14" spans="2:10" ht="15" customHeight="1">
      <c r="B14" s="15" t="str">
        <f>"Figure 1: "&amp;E3&amp;" Roll, 2002-2015"</f>
        <v>Figure 1: Dalmeny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Dalmeny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9</v>
      </c>
      <c r="E49" s="108">
        <f>VLOOKUP($E$3,'Catchment Projections'!$A$1:$BU$90,46,FALSE)</f>
        <v>13</v>
      </c>
      <c r="F49" s="108">
        <f>VLOOKUP($E$3,'Catchment Projections'!$A$1:$BU$90,47,FALSE)</f>
        <v>18</v>
      </c>
      <c r="G49" s="108">
        <f>VLOOKUP($E$3,'Catchment Projections'!$A$1:$BU$90,48,FALSE)</f>
        <v>26</v>
      </c>
      <c r="H49" s="133">
        <f>VLOOKUP($E$3,'Catchment Projections'!$A$1:$BU$90,49,FALSE)</f>
        <v>19</v>
      </c>
      <c r="I49" s="133">
        <f>VLOOKUP($E$3,'Catchment Projections'!$A$1:$BU$90,50,FALSE)</f>
        <v>20</v>
      </c>
      <c r="J49" s="133">
        <f>VLOOKUP($E$3,'Catchment Projections'!$A$1:$BU$90,51,FALSE)</f>
        <v>20</v>
      </c>
      <c r="K49" s="133">
        <f>VLOOKUP($E$3,'Catchment Projections'!$A$1:$BU$90,52,FALSE)</f>
        <v>20</v>
      </c>
      <c r="L49" s="133">
        <f>VLOOKUP($E$3,'Catchment Projections'!$A$1:$BU$90,53,FALSE)</f>
        <v>20</v>
      </c>
      <c r="M49" s="133">
        <f>VLOOKUP($E$3,'Catchment Projections'!$A$1:$BU$90,54,FALSE)</f>
        <v>20</v>
      </c>
      <c r="N49" s="133">
        <f>VLOOKUP($E$3,'Catchment Projections'!$A$1:$BU$90,55,FALSE)</f>
        <v>20</v>
      </c>
      <c r="O49" s="133">
        <f>VLOOKUP($E$3,'Catchment Projections'!$A$1:$BU$90,56,FALSE)</f>
        <v>20</v>
      </c>
      <c r="P49" s="133">
        <f>VLOOKUP($E$3,'Catchment Projections'!$A$1:$BU$90,57,FALSE)</f>
        <v>20</v>
      </c>
      <c r="Q49" s="133">
        <f>VLOOKUP($E$3,'Catchment Projections'!$A$1:$BU$90,58,FALSE)</f>
        <v>20</v>
      </c>
    </row>
    <row r="50" spans="2:17" ht="15" customHeight="1" thickBot="1">
      <c r="B50" s="410" t="s">
        <v>141</v>
      </c>
      <c r="C50" s="411"/>
      <c r="D50" s="286">
        <f>VLOOKUP(E3,'Housing Generation'!$A$3:$DQ$90,10,FALSE)</f>
        <v>1</v>
      </c>
      <c r="E50" s="286">
        <f>VLOOKUP(E3,'Housing Generation'!$A$3:$DQ$90,18,FALSE)</f>
        <v>1</v>
      </c>
      <c r="F50" s="286">
        <f>VLOOKUP(E3,'Housing Generation'!$A$3:$DQ$90,26,FALSE)</f>
        <v>1</v>
      </c>
      <c r="G50" s="243">
        <f>VLOOKUP(E3,'Housing Generation'!$A$3:$DQ$90,34,FALSE)</f>
        <v>1</v>
      </c>
      <c r="H50" s="133">
        <f>VLOOKUP(E3,'Housing Generation'!$A$3:$DQ$90,42,FALSE)</f>
        <v>1</v>
      </c>
      <c r="I50" s="133">
        <f>VLOOKUP(E3,'Housing Generation'!$A$3:$DQ$90,50,FALSE)</f>
        <v>1</v>
      </c>
      <c r="J50" s="133">
        <f>VLOOKUP(E3,'Housing Generation'!$A$3:$CK$90,58,FALSE)</f>
        <v>1</v>
      </c>
      <c r="K50" s="133">
        <f>VLOOKUP(E3,'Housing Generation'!$A$3:$CK$90,66,FALSE)</f>
        <v>1</v>
      </c>
      <c r="L50" s="133">
        <f>VLOOKUP(E3,'Housing Generation'!$A$3:$DQ$90,74,FALSE)</f>
        <v>1</v>
      </c>
      <c r="M50" s="133">
        <f>VLOOKUP(E3,'Housing Generation'!$A$3:$DQ$90,82,FALSE)</f>
        <v>1</v>
      </c>
      <c r="N50" s="133">
        <f>VLOOKUP(E3,'Housing Generation'!$A$3:$DQ$90,90,FALSE)</f>
        <v>1</v>
      </c>
      <c r="O50" s="133">
        <f>VLOOKUP(E3,'Housing Generation'!$A$3:$DQ$90,98,FALSE)</f>
        <v>1</v>
      </c>
      <c r="P50" s="133">
        <f>VLOOKUP(E3,'Housing Generation'!$A$3:$DQ$90,106,FALSE)</f>
        <v>1</v>
      </c>
      <c r="Q50" s="133">
        <f>VLOOKUP(E3,'Housing Generation'!$A$3:$DQ$90,114,FALSE)</f>
        <v>1</v>
      </c>
    </row>
    <row r="51" spans="2:17" ht="15" customHeight="1" thickTop="1">
      <c r="B51" s="421" t="s">
        <v>130</v>
      </c>
      <c r="C51" s="422"/>
      <c r="D51" s="47">
        <f t="shared" ref="D51:Q51" si="0">SUM(D49:D50)</f>
        <v>10</v>
      </c>
      <c r="E51" s="47">
        <f t="shared" si="0"/>
        <v>14</v>
      </c>
      <c r="F51" s="80">
        <f t="shared" si="0"/>
        <v>19</v>
      </c>
      <c r="G51" s="244">
        <f t="shared" si="0"/>
        <v>27</v>
      </c>
      <c r="H51" s="71">
        <f t="shared" si="0"/>
        <v>20</v>
      </c>
      <c r="I51" s="71">
        <f t="shared" si="0"/>
        <v>21</v>
      </c>
      <c r="J51" s="71">
        <f t="shared" si="0"/>
        <v>21</v>
      </c>
      <c r="K51" s="71">
        <f t="shared" si="0"/>
        <v>21</v>
      </c>
      <c r="L51" s="71">
        <f t="shared" si="0"/>
        <v>21</v>
      </c>
      <c r="M51" s="71">
        <f t="shared" si="0"/>
        <v>21</v>
      </c>
      <c r="N51" s="71">
        <f t="shared" si="0"/>
        <v>21</v>
      </c>
      <c r="O51" s="71">
        <f t="shared" si="0"/>
        <v>21</v>
      </c>
      <c r="P51" s="71">
        <f t="shared" si="0"/>
        <v>21</v>
      </c>
      <c r="Q51" s="71">
        <f t="shared" si="0"/>
        <v>21</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10</v>
      </c>
      <c r="D60" s="358">
        <f>VLOOKUP($E$3,'Catchment Projections'!$A$1:$BZ$90,74,FALSE)</f>
        <v>10</v>
      </c>
      <c r="E60" s="303">
        <f>D60/C60</f>
        <v>1</v>
      </c>
      <c r="G60" s="132">
        <v>2014</v>
      </c>
      <c r="H60" s="395">
        <f>VLOOKUP($G$60,$B$177:$C$215, 2, FALSE)</f>
        <v>16</v>
      </c>
      <c r="I60" s="120">
        <f>H60-D60</f>
        <v>6</v>
      </c>
      <c r="J60" s="121">
        <f>I60/H60</f>
        <v>0.375</v>
      </c>
    </row>
    <row r="61" spans="2:17" ht="15" customHeight="1">
      <c r="B61" s="132">
        <v>2015</v>
      </c>
      <c r="C61" s="359">
        <f>VLOOKUP($E$3,'Catchment Projections'!$A$1:$BZ$90,41,FALSE)</f>
        <v>5</v>
      </c>
      <c r="D61" s="358">
        <f>VLOOKUP($E$3,'Catchment Projections'!$A$1:$BZ$90,75,FALSE)</f>
        <v>3</v>
      </c>
      <c r="E61" s="303">
        <f>D61/C61</f>
        <v>0.6</v>
      </c>
      <c r="G61" s="132">
        <v>2015</v>
      </c>
      <c r="H61" s="395">
        <f>VLOOKUP($G$61,$B$177:$C$215, 2, FALSE)</f>
        <v>13</v>
      </c>
      <c r="I61" s="120">
        <f>H61-D61</f>
        <v>10</v>
      </c>
      <c r="J61" s="121">
        <f>I61/H61</f>
        <v>0.76923076923076927</v>
      </c>
    </row>
    <row r="62" spans="2:17" ht="15" customHeight="1">
      <c r="B62" s="131">
        <v>2016</v>
      </c>
      <c r="C62" s="359">
        <f>VLOOKUP($E$3,'Catchment Projections'!$A$1:$BZ$90,42,FALSE)</f>
        <v>7</v>
      </c>
      <c r="D62" s="358">
        <f>VLOOKUP($E$3,'Catchment Projections'!$A$1:$BZ$90,76,FALSE)</f>
        <v>7</v>
      </c>
      <c r="E62" s="57">
        <f>D62/C62</f>
        <v>1</v>
      </c>
      <c r="G62" s="131">
        <v>2016</v>
      </c>
      <c r="H62" s="395">
        <f>VLOOKUP($G$62,$B$177:$C$215, 2, FALSE)</f>
        <v>10</v>
      </c>
      <c r="I62" s="120">
        <f>H62-D62</f>
        <v>3</v>
      </c>
      <c r="J62" s="121">
        <f>I62/H62</f>
        <v>0.3</v>
      </c>
    </row>
    <row r="63" spans="2:17" ht="15" customHeight="1">
      <c r="B63" s="114">
        <v>2017</v>
      </c>
      <c r="C63" s="359">
        <f>VLOOKUP($E$3,'Catchment Projections'!$A$1:$BZ$90,43,FALSE)</f>
        <v>5</v>
      </c>
      <c r="D63" s="358">
        <f>VLOOKUP($E$3,'Catchment Projections'!$A$1:$BZ$90,77,FALSE)</f>
        <v>4</v>
      </c>
      <c r="E63" s="304">
        <f>D63/C63</f>
        <v>0.8</v>
      </c>
      <c r="G63" s="114">
        <v>2017</v>
      </c>
      <c r="H63" s="395">
        <f>VLOOKUP($G$63,$B$177:$C$215, 2, FALSE)</f>
        <v>7</v>
      </c>
      <c r="I63" s="120">
        <f>H63-D63</f>
        <v>3</v>
      </c>
      <c r="J63" s="121">
        <f>I63/H63</f>
        <v>0.42857142857142855</v>
      </c>
    </row>
    <row r="64" spans="2:17" ht="15" customHeight="1">
      <c r="B64" s="114">
        <v>2018</v>
      </c>
      <c r="C64" s="359">
        <f>VLOOKUP($E$3,'Catchment Projections'!$A$1:$BZ$90,44,FALSE)</f>
        <v>10</v>
      </c>
      <c r="D64" s="358">
        <f>VLOOKUP($E$3,'Catchment Projections'!$A$1:$BZ$90,78,FALSE)</f>
        <v>10</v>
      </c>
      <c r="E64" s="305">
        <f>D64/C64</f>
        <v>1</v>
      </c>
      <c r="G64" s="114">
        <v>2018</v>
      </c>
      <c r="H64" s="395">
        <f>VLOOKUP($G$64,$B$177:$C$215, 2, FALSE)</f>
        <v>24</v>
      </c>
      <c r="I64" s="120">
        <f>H64-D64</f>
        <v>14</v>
      </c>
      <c r="J64" s="121">
        <f>I64/H64</f>
        <v>0.58333333333333337</v>
      </c>
    </row>
    <row r="65" spans="2:10" ht="15" customHeight="1">
      <c r="B65" s="412" t="s">
        <v>136</v>
      </c>
      <c r="C65" s="413"/>
      <c r="D65" s="414"/>
      <c r="E65" s="137">
        <f>IF((AVERAGE(E62:E64))="#DIV/0!","n/a",(AVERAGE(E62:E64)))</f>
        <v>0.93333333333333324</v>
      </c>
      <c r="G65" s="415" t="s">
        <v>137</v>
      </c>
      <c r="H65" s="416"/>
      <c r="I65" s="138">
        <f>MEDIAN(I60:I64)</f>
        <v>6</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10</v>
      </c>
      <c r="D70" s="408"/>
      <c r="E70" s="122">
        <f>E65</f>
        <v>0.93333333333333324</v>
      </c>
      <c r="F70" s="120">
        <f t="shared" ref="F70:F83" si="1">C70*$E$65</f>
        <v>9.3333333333333321</v>
      </c>
      <c r="G70" s="118">
        <f>IF(F70&lt;26,25,IF(F70&gt;135,140,IF(F70&gt;130,135,IF(F70&gt;125,130,IF(F70&gt;120,125,IF(F70&gt;115,120,IF(F70&gt;110,115,IF(F70&gt;105,110,IF(F70&gt;100,105,IF(F70&gt;99,100,IF(F70&gt;90,99,IF(F70&gt;75,90,IF(F70&gt;72,75,IF(F70&gt;66,72,IF(F70&gt;60,66,IF(F70&gt;50,60,IF(F70&gt;30,50,IF(F70&gt;25,30,0))))))))))))))))))</f>
        <v>25</v>
      </c>
      <c r="H70" s="119">
        <f t="shared" ref="H70:H83" si="2">G70-F70</f>
        <v>15.666666666666668</v>
      </c>
      <c r="I70" s="118" t="str">
        <f>IF(I$65&lt;H70, "NO", "YES")</f>
        <v>NO</v>
      </c>
      <c r="J70" s="117">
        <f t="shared" ref="J70:J83" si="3">IF(I70="YES",G70,(MIN((SUM(F70,$I$65)),G70)))</f>
        <v>15.333333333333332</v>
      </c>
    </row>
    <row r="71" spans="2:10" ht="15" customHeight="1">
      <c r="B71" s="114">
        <v>2020</v>
      </c>
      <c r="C71" s="433">
        <f>E51</f>
        <v>14</v>
      </c>
      <c r="D71" s="408"/>
      <c r="E71" s="121">
        <f>E65</f>
        <v>0.93333333333333324</v>
      </c>
      <c r="F71" s="120">
        <f t="shared" si="1"/>
        <v>13.066666666666665</v>
      </c>
      <c r="G71" s="118">
        <f t="shared" ref="G71:G83" si="4">IF(F71&lt;26,25,IF(F71&gt;135,140,IF(F71&gt;130,135,IF(F71&gt;125,130,IF(F71&gt;120,125,IF(F71&gt;115,120,IF(F71&gt;110,115,IF(F71&gt;105,110,IF(F71&gt;100,105,IF(F71&gt;99,100,IF(F71&gt;90,99,IF(F71&gt;75,90,IF(F71&gt;72,75,IF(F71&gt;66,72,IF(F71&gt;60,66,IF(F71&gt;50,60,IF(F71&gt;30,50,IF(F71&gt;25,30,0))))))))))))))))))</f>
        <v>25</v>
      </c>
      <c r="H71" s="119">
        <f t="shared" si="2"/>
        <v>11.933333333333335</v>
      </c>
      <c r="I71" s="118" t="str">
        <f t="shared" ref="I71:I83" si="5">IF(I$65&lt;H71, "NO", "YES")</f>
        <v>NO</v>
      </c>
      <c r="J71" s="117">
        <f t="shared" si="3"/>
        <v>19.066666666666663</v>
      </c>
    </row>
    <row r="72" spans="2:10" ht="15" customHeight="1">
      <c r="B72" s="114">
        <v>2021</v>
      </c>
      <c r="C72" s="430">
        <f>F51</f>
        <v>19</v>
      </c>
      <c r="D72" s="431"/>
      <c r="E72" s="121">
        <f>E65</f>
        <v>0.93333333333333324</v>
      </c>
      <c r="F72" s="120">
        <f t="shared" si="1"/>
        <v>17.733333333333331</v>
      </c>
      <c r="G72" s="118">
        <f t="shared" si="4"/>
        <v>25</v>
      </c>
      <c r="H72" s="119">
        <f t="shared" si="2"/>
        <v>7.2666666666666693</v>
      </c>
      <c r="I72" s="118" t="str">
        <f t="shared" si="5"/>
        <v>NO</v>
      </c>
      <c r="J72" s="117">
        <f t="shared" si="3"/>
        <v>23.733333333333331</v>
      </c>
    </row>
    <row r="73" spans="2:10" ht="15" customHeight="1">
      <c r="B73" s="114">
        <v>2022</v>
      </c>
      <c r="C73" s="430">
        <f>G51</f>
        <v>27</v>
      </c>
      <c r="D73" s="431"/>
      <c r="E73" s="121">
        <f>E65</f>
        <v>0.93333333333333324</v>
      </c>
      <c r="F73" s="120">
        <f t="shared" si="1"/>
        <v>25.199999999999996</v>
      </c>
      <c r="G73" s="118">
        <f t="shared" si="4"/>
        <v>25</v>
      </c>
      <c r="H73" s="119">
        <f t="shared" si="2"/>
        <v>-0.19999999999999574</v>
      </c>
      <c r="I73" s="118" t="str">
        <f t="shared" si="5"/>
        <v>YES</v>
      </c>
      <c r="J73" s="117">
        <f t="shared" si="3"/>
        <v>25</v>
      </c>
    </row>
    <row r="74" spans="2:10" ht="15" customHeight="1">
      <c r="B74" s="114">
        <v>2023</v>
      </c>
      <c r="C74" s="430">
        <f>H51</f>
        <v>20</v>
      </c>
      <c r="D74" s="431"/>
      <c r="E74" s="121">
        <f>E65</f>
        <v>0.93333333333333324</v>
      </c>
      <c r="F74" s="120">
        <f t="shared" si="1"/>
        <v>18.666666666666664</v>
      </c>
      <c r="G74" s="118">
        <f t="shared" si="4"/>
        <v>25</v>
      </c>
      <c r="H74" s="119">
        <f t="shared" si="2"/>
        <v>6.3333333333333357</v>
      </c>
      <c r="I74" s="118" t="str">
        <f t="shared" si="5"/>
        <v>NO</v>
      </c>
      <c r="J74" s="117">
        <f t="shared" si="3"/>
        <v>24.666666666666664</v>
      </c>
    </row>
    <row r="75" spans="2:10" ht="15" customHeight="1">
      <c r="B75" s="114">
        <v>2024</v>
      </c>
      <c r="C75" s="430">
        <f>I51</f>
        <v>21</v>
      </c>
      <c r="D75" s="431"/>
      <c r="E75" s="121">
        <f>E65</f>
        <v>0.93333333333333324</v>
      </c>
      <c r="F75" s="120">
        <f t="shared" si="1"/>
        <v>19.599999999999998</v>
      </c>
      <c r="G75" s="118">
        <f t="shared" si="4"/>
        <v>25</v>
      </c>
      <c r="H75" s="119">
        <f t="shared" si="2"/>
        <v>5.4000000000000021</v>
      </c>
      <c r="I75" s="118" t="str">
        <f t="shared" si="5"/>
        <v>YES</v>
      </c>
      <c r="J75" s="117">
        <f t="shared" si="3"/>
        <v>25</v>
      </c>
    </row>
    <row r="76" spans="2:10" ht="15" customHeight="1">
      <c r="B76" s="114">
        <v>2025</v>
      </c>
      <c r="C76" s="430">
        <f>J51</f>
        <v>21</v>
      </c>
      <c r="D76" s="431"/>
      <c r="E76" s="121">
        <f>E65</f>
        <v>0.93333333333333324</v>
      </c>
      <c r="F76" s="120">
        <f t="shared" si="1"/>
        <v>19.599999999999998</v>
      </c>
      <c r="G76" s="118">
        <f t="shared" si="4"/>
        <v>25</v>
      </c>
      <c r="H76" s="119">
        <f t="shared" si="2"/>
        <v>5.4000000000000021</v>
      </c>
      <c r="I76" s="118" t="str">
        <f t="shared" si="5"/>
        <v>YES</v>
      </c>
      <c r="J76" s="117">
        <f t="shared" si="3"/>
        <v>25</v>
      </c>
    </row>
    <row r="77" spans="2:10" ht="15" customHeight="1">
      <c r="B77" s="114">
        <v>2026</v>
      </c>
      <c r="C77" s="430">
        <f>K51</f>
        <v>21</v>
      </c>
      <c r="D77" s="431"/>
      <c r="E77" s="121">
        <f>E65</f>
        <v>0.93333333333333324</v>
      </c>
      <c r="F77" s="120">
        <f t="shared" si="1"/>
        <v>19.599999999999998</v>
      </c>
      <c r="G77" s="118">
        <f t="shared" si="4"/>
        <v>25</v>
      </c>
      <c r="H77" s="119">
        <f t="shared" si="2"/>
        <v>5.4000000000000021</v>
      </c>
      <c r="I77" s="118" t="str">
        <f t="shared" si="5"/>
        <v>YES</v>
      </c>
      <c r="J77" s="117">
        <f t="shared" si="3"/>
        <v>25</v>
      </c>
    </row>
    <row r="78" spans="2:10" ht="15" customHeight="1">
      <c r="B78" s="114">
        <v>2027</v>
      </c>
      <c r="C78" s="430">
        <f>L51</f>
        <v>21</v>
      </c>
      <c r="D78" s="431"/>
      <c r="E78" s="121">
        <f>E65</f>
        <v>0.93333333333333324</v>
      </c>
      <c r="F78" s="120">
        <f t="shared" si="1"/>
        <v>19.599999999999998</v>
      </c>
      <c r="G78" s="118">
        <f t="shared" si="4"/>
        <v>25</v>
      </c>
      <c r="H78" s="119">
        <f t="shared" si="2"/>
        <v>5.4000000000000021</v>
      </c>
      <c r="I78" s="118" t="str">
        <f t="shared" si="5"/>
        <v>YES</v>
      </c>
      <c r="J78" s="117">
        <f t="shared" si="3"/>
        <v>25</v>
      </c>
    </row>
    <row r="79" spans="2:10" ht="15" customHeight="1">
      <c r="B79" s="114">
        <v>2028</v>
      </c>
      <c r="C79" s="430">
        <f>M51</f>
        <v>21</v>
      </c>
      <c r="D79" s="431"/>
      <c r="E79" s="121">
        <f t="shared" ref="E79:E83" si="6">$E$65</f>
        <v>0.93333333333333324</v>
      </c>
      <c r="F79" s="120">
        <f t="shared" si="1"/>
        <v>19.599999999999998</v>
      </c>
      <c r="G79" s="118">
        <f t="shared" si="4"/>
        <v>25</v>
      </c>
      <c r="H79" s="119">
        <f t="shared" si="2"/>
        <v>5.4000000000000021</v>
      </c>
      <c r="I79" s="118" t="str">
        <f t="shared" si="5"/>
        <v>YES</v>
      </c>
      <c r="J79" s="117">
        <f t="shared" si="3"/>
        <v>25</v>
      </c>
    </row>
    <row r="80" spans="2:10" ht="15" customHeight="1">
      <c r="B80" s="114">
        <v>2029</v>
      </c>
      <c r="C80" s="430">
        <f>N51</f>
        <v>21</v>
      </c>
      <c r="D80" s="431"/>
      <c r="E80" s="121">
        <f t="shared" si="6"/>
        <v>0.93333333333333324</v>
      </c>
      <c r="F80" s="120">
        <f t="shared" si="1"/>
        <v>19.599999999999998</v>
      </c>
      <c r="G80" s="118">
        <f t="shared" si="4"/>
        <v>25</v>
      </c>
      <c r="H80" s="119">
        <f t="shared" si="2"/>
        <v>5.4000000000000021</v>
      </c>
      <c r="I80" s="118" t="str">
        <f t="shared" si="5"/>
        <v>YES</v>
      </c>
      <c r="J80" s="117">
        <f t="shared" si="3"/>
        <v>25</v>
      </c>
    </row>
    <row r="81" spans="2:10" ht="15" customHeight="1">
      <c r="B81" s="114">
        <v>2030</v>
      </c>
      <c r="C81" s="430">
        <f>O51</f>
        <v>21</v>
      </c>
      <c r="D81" s="431"/>
      <c r="E81" s="121">
        <f t="shared" si="6"/>
        <v>0.93333333333333324</v>
      </c>
      <c r="F81" s="120">
        <f t="shared" si="1"/>
        <v>19.599999999999998</v>
      </c>
      <c r="G81" s="118">
        <f t="shared" si="4"/>
        <v>25</v>
      </c>
      <c r="H81" s="119">
        <f t="shared" si="2"/>
        <v>5.4000000000000021</v>
      </c>
      <c r="I81" s="118" t="str">
        <f t="shared" si="5"/>
        <v>YES</v>
      </c>
      <c r="J81" s="117">
        <f t="shared" si="3"/>
        <v>25</v>
      </c>
    </row>
    <row r="82" spans="2:10" ht="15" customHeight="1">
      <c r="B82" s="114">
        <v>2031</v>
      </c>
      <c r="C82" s="430">
        <f>P51</f>
        <v>21</v>
      </c>
      <c r="D82" s="431"/>
      <c r="E82" s="121">
        <f t="shared" si="6"/>
        <v>0.93333333333333324</v>
      </c>
      <c r="F82" s="120">
        <f t="shared" si="1"/>
        <v>19.599999999999998</v>
      </c>
      <c r="G82" s="118">
        <f t="shared" si="4"/>
        <v>25</v>
      </c>
      <c r="H82" s="119">
        <f t="shared" si="2"/>
        <v>5.4000000000000021</v>
      </c>
      <c r="I82" s="118" t="str">
        <f t="shared" si="5"/>
        <v>YES</v>
      </c>
      <c r="J82" s="117">
        <f t="shared" si="3"/>
        <v>25</v>
      </c>
    </row>
    <row r="83" spans="2:10" ht="15" customHeight="1">
      <c r="B83" s="114">
        <v>2032</v>
      </c>
      <c r="C83" s="430">
        <f>Q51</f>
        <v>21</v>
      </c>
      <c r="D83" s="431"/>
      <c r="E83" s="121">
        <f t="shared" si="6"/>
        <v>0.93333333333333324</v>
      </c>
      <c r="F83" s="120">
        <f t="shared" si="1"/>
        <v>19.599999999999998</v>
      </c>
      <c r="G83" s="118">
        <f t="shared" si="4"/>
        <v>25</v>
      </c>
      <c r="H83" s="119">
        <f t="shared" si="2"/>
        <v>5.4000000000000021</v>
      </c>
      <c r="I83" s="118" t="str">
        <f t="shared" si="5"/>
        <v>YES</v>
      </c>
      <c r="J83" s="117">
        <f t="shared" si="3"/>
        <v>25</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Dalmeny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15</v>
      </c>
      <c r="D91" s="112">
        <f t="shared" ref="D91:J91" si="7">D188</f>
        <v>19</v>
      </c>
      <c r="E91" s="112">
        <f t="shared" si="7"/>
        <v>18</v>
      </c>
      <c r="F91" s="112">
        <f t="shared" si="7"/>
        <v>11</v>
      </c>
      <c r="G91" s="112">
        <f t="shared" si="7"/>
        <v>16</v>
      </c>
      <c r="H91" s="112">
        <f t="shared" si="7"/>
        <v>11</v>
      </c>
      <c r="I91" s="112">
        <f t="shared" si="7"/>
        <v>8</v>
      </c>
      <c r="J91" s="213">
        <f t="shared" si="7"/>
        <v>98</v>
      </c>
    </row>
    <row r="92" spans="2:10" ht="15" customHeight="1">
      <c r="B92" s="114">
        <v>2014</v>
      </c>
      <c r="C92" s="112">
        <f>C189</f>
        <v>16</v>
      </c>
      <c r="D92" s="112">
        <f t="shared" ref="D92:J92" si="8">D189</f>
        <v>12</v>
      </c>
      <c r="E92" s="112">
        <f t="shared" si="8"/>
        <v>20</v>
      </c>
      <c r="F92" s="112">
        <f t="shared" si="8"/>
        <v>20</v>
      </c>
      <c r="G92" s="112">
        <f t="shared" si="8"/>
        <v>12</v>
      </c>
      <c r="H92" s="112">
        <f t="shared" si="8"/>
        <v>17</v>
      </c>
      <c r="I92" s="112">
        <f t="shared" si="8"/>
        <v>14</v>
      </c>
      <c r="J92" s="213">
        <f t="shared" si="8"/>
        <v>111</v>
      </c>
    </row>
    <row r="93" spans="2:10" ht="15" customHeight="1">
      <c r="B93" s="114">
        <v>2015</v>
      </c>
      <c r="C93" s="112">
        <f>C190</f>
        <v>13</v>
      </c>
      <c r="D93" s="112">
        <f t="shared" ref="D93:J93" si="9">D190</f>
        <v>14</v>
      </c>
      <c r="E93" s="112">
        <f t="shared" si="9"/>
        <v>9</v>
      </c>
      <c r="F93" s="112">
        <f t="shared" si="9"/>
        <v>19</v>
      </c>
      <c r="G93" s="112">
        <f t="shared" si="9"/>
        <v>19</v>
      </c>
      <c r="H93" s="112">
        <f t="shared" si="9"/>
        <v>15</v>
      </c>
      <c r="I93" s="112">
        <f t="shared" si="9"/>
        <v>15</v>
      </c>
      <c r="J93" s="213">
        <f t="shared" si="9"/>
        <v>104</v>
      </c>
    </row>
    <row r="94" spans="2:10" ht="15" customHeight="1">
      <c r="B94" s="114">
        <v>2016</v>
      </c>
      <c r="C94" s="112">
        <f>C191</f>
        <v>10</v>
      </c>
      <c r="D94" s="112">
        <f t="shared" ref="D94:J94" si="10">D191</f>
        <v>15</v>
      </c>
      <c r="E94" s="112">
        <f t="shared" si="10"/>
        <v>15</v>
      </c>
      <c r="F94" s="112">
        <f t="shared" si="10"/>
        <v>11</v>
      </c>
      <c r="G94" s="112">
        <f t="shared" si="10"/>
        <v>14</v>
      </c>
      <c r="H94" s="112">
        <f t="shared" si="10"/>
        <v>18</v>
      </c>
      <c r="I94" s="112">
        <f t="shared" si="10"/>
        <v>12</v>
      </c>
      <c r="J94" s="213">
        <f t="shared" si="10"/>
        <v>95</v>
      </c>
    </row>
    <row r="95" spans="2:10" ht="15" customHeight="1">
      <c r="B95" s="114">
        <v>2017</v>
      </c>
      <c r="C95" s="112">
        <f>C192</f>
        <v>7</v>
      </c>
      <c r="D95" s="112">
        <f t="shared" ref="D95:J95" si="11">D192</f>
        <v>11</v>
      </c>
      <c r="E95" s="112">
        <f t="shared" si="11"/>
        <v>15</v>
      </c>
      <c r="F95" s="112">
        <f t="shared" si="11"/>
        <v>13</v>
      </c>
      <c r="G95" s="112">
        <f t="shared" si="11"/>
        <v>10</v>
      </c>
      <c r="H95" s="112">
        <f t="shared" si="11"/>
        <v>10</v>
      </c>
      <c r="I95" s="112">
        <f t="shared" si="11"/>
        <v>13</v>
      </c>
      <c r="J95" s="213">
        <f t="shared" si="11"/>
        <v>79</v>
      </c>
    </row>
    <row r="96" spans="2:10" ht="15" customHeight="1">
      <c r="B96" s="307">
        <v>2018</v>
      </c>
      <c r="C96" s="112">
        <f t="shared" ref="C96:J96" si="12">C193</f>
        <v>24</v>
      </c>
      <c r="D96" s="112">
        <f t="shared" si="12"/>
        <v>7</v>
      </c>
      <c r="E96" s="112">
        <f t="shared" si="12"/>
        <v>10</v>
      </c>
      <c r="F96" s="112">
        <f t="shared" si="12"/>
        <v>15</v>
      </c>
      <c r="G96" s="112">
        <f t="shared" si="12"/>
        <v>12</v>
      </c>
      <c r="H96" s="112">
        <f t="shared" si="12"/>
        <v>13</v>
      </c>
      <c r="I96" s="112">
        <f t="shared" si="12"/>
        <v>10</v>
      </c>
      <c r="J96" s="213">
        <f t="shared" si="12"/>
        <v>91</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0</v>
      </c>
      <c r="E98" s="210">
        <f t="shared" ref="E98:I98" si="13">MEDIAN(((D91-E92)/D91),((D92-E93)/D92),((D93-E94)/D93),((D94-E95)/D94),((D95-E96)/D95))</f>
        <v>0</v>
      </c>
      <c r="F98" s="210">
        <f t="shared" si="13"/>
        <v>0</v>
      </c>
      <c r="G98" s="210">
        <f t="shared" si="13"/>
        <v>7.6923076923076927E-2</v>
      </c>
      <c r="H98" s="210">
        <f t="shared" si="13"/>
        <v>-6.25E-2</v>
      </c>
      <c r="I98" s="210">
        <f t="shared" si="13"/>
        <v>0.11764705882352941</v>
      </c>
    </row>
    <row r="99" spans="2:10" ht="18.75">
      <c r="B99" s="59"/>
      <c r="C99" s="60"/>
      <c r="D99" s="61"/>
      <c r="E99" s="61"/>
      <c r="F99" s="61"/>
      <c r="G99" s="61"/>
      <c r="H99" s="61"/>
      <c r="I99" s="61"/>
      <c r="J99" s="58"/>
    </row>
    <row r="100" spans="2:10">
      <c r="B100" s="15" t="str">
        <f>"Table 4B: "&amp;E3&amp;" Projected Roll by Stage (incorporating Projected P1 and Drop-Off Rates), 2019-2032"</f>
        <v>Table 4B: Dalmeny Primary School Projected Roll by Stage (incorporating Projected P1 and Drop-Off Rates), 2019-2032</v>
      </c>
      <c r="F100" s="14"/>
      <c r="G100" s="14"/>
    </row>
    <row r="101" spans="2:10" ht="12.75">
      <c r="F101" s="14"/>
      <c r="G101" s="14"/>
    </row>
    <row r="102" spans="2:10">
      <c r="B102" s="115"/>
      <c r="C102" s="109" t="s">
        <v>1</v>
      </c>
      <c r="D102" s="109" t="s">
        <v>2</v>
      </c>
      <c r="E102" s="109" t="s">
        <v>3</v>
      </c>
      <c r="F102" s="109" t="s">
        <v>4</v>
      </c>
      <c r="G102" s="109" t="s">
        <v>5</v>
      </c>
      <c r="H102" s="109" t="s">
        <v>6</v>
      </c>
      <c r="I102" s="109" t="s">
        <v>7</v>
      </c>
      <c r="J102" s="109" t="s">
        <v>8</v>
      </c>
    </row>
    <row r="103" spans="2:10">
      <c r="B103" s="114">
        <v>2019</v>
      </c>
      <c r="C103" s="113">
        <f t="shared" ref="C103:C116" si="14">J70</f>
        <v>15.333333333333332</v>
      </c>
      <c r="D103" s="324">
        <f>ROUND((C96)-(C96*$D$98),0)</f>
        <v>24</v>
      </c>
      <c r="E103" s="324">
        <f>ROUND((D96)-(D96*$E$98),0)</f>
        <v>7</v>
      </c>
      <c r="F103" s="324">
        <f>ROUND((E96)-(E96*$F$98),0)</f>
        <v>10</v>
      </c>
      <c r="G103" s="324">
        <f>ROUND((F96)-(F96*$G$98),0)</f>
        <v>14</v>
      </c>
      <c r="H103" s="324">
        <f>ROUND((G96)-(G96*$H$98),0)</f>
        <v>13</v>
      </c>
      <c r="I103" s="324">
        <f>ROUND((H96)-(H96*$I$98),0)</f>
        <v>11</v>
      </c>
      <c r="J103" s="111">
        <f t="shared" ref="J103:J116" si="15">SUM(C103:I103)</f>
        <v>94.333333333333329</v>
      </c>
    </row>
    <row r="104" spans="2:10">
      <c r="B104" s="114">
        <v>2020</v>
      </c>
      <c r="C104" s="113">
        <f t="shared" si="14"/>
        <v>19.066666666666663</v>
      </c>
      <c r="D104" s="324">
        <f>ROUND((C103-E50)-(C103*$D$98),0)</f>
        <v>14</v>
      </c>
      <c r="E104" s="112">
        <f t="shared" ref="E104:E116" si="16">ROUND((D103)-(D103*$E$98),0)</f>
        <v>24</v>
      </c>
      <c r="F104" s="112">
        <f t="shared" ref="F104:F116" si="17">ROUND((E103)-(E103*$F$98),0)</f>
        <v>7</v>
      </c>
      <c r="G104" s="112">
        <f t="shared" ref="G104:G116" si="18">ROUND((F103)-(F103*$G$98),0)</f>
        <v>9</v>
      </c>
      <c r="H104" s="112">
        <f t="shared" ref="H104:H116" si="19">ROUND((G103)-(G103*$H$98),0)</f>
        <v>15</v>
      </c>
      <c r="I104" s="112">
        <f t="shared" ref="I104:I116" si="20">ROUND((H103)-(H103*$I$98),0)</f>
        <v>11</v>
      </c>
      <c r="J104" s="111">
        <f t="shared" si="15"/>
        <v>99.066666666666663</v>
      </c>
    </row>
    <row r="105" spans="2:10">
      <c r="B105" s="114">
        <v>2021</v>
      </c>
      <c r="C105" s="113">
        <f t="shared" si="14"/>
        <v>23.733333333333331</v>
      </c>
      <c r="D105" s="324">
        <f>ROUND((C104-F50)-(C104*$D$98),0)</f>
        <v>18</v>
      </c>
      <c r="E105" s="112">
        <f t="shared" si="16"/>
        <v>14</v>
      </c>
      <c r="F105" s="112">
        <f t="shared" si="17"/>
        <v>24</v>
      </c>
      <c r="G105" s="112">
        <f t="shared" si="18"/>
        <v>6</v>
      </c>
      <c r="H105" s="112">
        <f t="shared" si="19"/>
        <v>10</v>
      </c>
      <c r="I105" s="112">
        <f t="shared" si="20"/>
        <v>13</v>
      </c>
      <c r="J105" s="111">
        <f t="shared" si="15"/>
        <v>108.73333333333333</v>
      </c>
    </row>
    <row r="106" spans="2:10">
      <c r="B106" s="114">
        <v>2022</v>
      </c>
      <c r="C106" s="113">
        <f t="shared" si="14"/>
        <v>25</v>
      </c>
      <c r="D106" s="324">
        <f>ROUND((C105-G50)-(C105*$D$98),0)</f>
        <v>23</v>
      </c>
      <c r="E106" s="112">
        <f t="shared" si="16"/>
        <v>18</v>
      </c>
      <c r="F106" s="112">
        <f t="shared" si="17"/>
        <v>14</v>
      </c>
      <c r="G106" s="112">
        <f t="shared" si="18"/>
        <v>22</v>
      </c>
      <c r="H106" s="112">
        <f t="shared" si="19"/>
        <v>6</v>
      </c>
      <c r="I106" s="112">
        <f t="shared" si="20"/>
        <v>9</v>
      </c>
      <c r="J106" s="111">
        <f t="shared" si="15"/>
        <v>117</v>
      </c>
    </row>
    <row r="107" spans="2:10">
      <c r="B107" s="114">
        <v>2023</v>
      </c>
      <c r="C107" s="113">
        <f t="shared" si="14"/>
        <v>24.666666666666664</v>
      </c>
      <c r="D107" s="324">
        <f>ROUND((C106-H50)-(C106*$D$98),0)</f>
        <v>24</v>
      </c>
      <c r="E107" s="112">
        <f t="shared" si="16"/>
        <v>23</v>
      </c>
      <c r="F107" s="112">
        <f t="shared" si="17"/>
        <v>18</v>
      </c>
      <c r="G107" s="112">
        <f t="shared" si="18"/>
        <v>13</v>
      </c>
      <c r="H107" s="112">
        <f t="shared" si="19"/>
        <v>23</v>
      </c>
      <c r="I107" s="112">
        <f t="shared" si="20"/>
        <v>5</v>
      </c>
      <c r="J107" s="111">
        <f t="shared" si="15"/>
        <v>130.66666666666666</v>
      </c>
    </row>
    <row r="108" spans="2:10">
      <c r="B108" s="114">
        <v>2024</v>
      </c>
      <c r="C108" s="113">
        <f t="shared" si="14"/>
        <v>25</v>
      </c>
      <c r="D108" s="324">
        <f>ROUND((C107-I50)-(C107*$D$98),0)</f>
        <v>24</v>
      </c>
      <c r="E108" s="112">
        <f t="shared" si="16"/>
        <v>24</v>
      </c>
      <c r="F108" s="112">
        <f t="shared" si="17"/>
        <v>23</v>
      </c>
      <c r="G108" s="112">
        <f t="shared" si="18"/>
        <v>17</v>
      </c>
      <c r="H108" s="112">
        <f t="shared" si="19"/>
        <v>14</v>
      </c>
      <c r="I108" s="112">
        <f t="shared" si="20"/>
        <v>20</v>
      </c>
      <c r="J108" s="111">
        <f t="shared" si="15"/>
        <v>147</v>
      </c>
    </row>
    <row r="109" spans="2:10">
      <c r="B109" s="114">
        <v>2025</v>
      </c>
      <c r="C109" s="113">
        <f t="shared" si="14"/>
        <v>25</v>
      </c>
      <c r="D109" s="324">
        <f>ROUND((C108-J50)-(C108*$D$98),0)</f>
        <v>24</v>
      </c>
      <c r="E109" s="112">
        <f t="shared" si="16"/>
        <v>24</v>
      </c>
      <c r="F109" s="112">
        <f t="shared" si="17"/>
        <v>24</v>
      </c>
      <c r="G109" s="112">
        <f t="shared" si="18"/>
        <v>21</v>
      </c>
      <c r="H109" s="112">
        <f t="shared" si="19"/>
        <v>18</v>
      </c>
      <c r="I109" s="112">
        <f t="shared" si="20"/>
        <v>12</v>
      </c>
      <c r="J109" s="111">
        <f t="shared" si="15"/>
        <v>148</v>
      </c>
    </row>
    <row r="110" spans="2:10">
      <c r="B110" s="114">
        <v>2026</v>
      </c>
      <c r="C110" s="113">
        <f t="shared" si="14"/>
        <v>25</v>
      </c>
      <c r="D110" s="324">
        <f>ROUND((C109-K50)-(C109*$D$98),0)</f>
        <v>24</v>
      </c>
      <c r="E110" s="112">
        <f t="shared" si="16"/>
        <v>24</v>
      </c>
      <c r="F110" s="112">
        <f t="shared" si="17"/>
        <v>24</v>
      </c>
      <c r="G110" s="112">
        <f t="shared" si="18"/>
        <v>22</v>
      </c>
      <c r="H110" s="112">
        <f t="shared" si="19"/>
        <v>22</v>
      </c>
      <c r="I110" s="112">
        <f t="shared" si="20"/>
        <v>16</v>
      </c>
      <c r="J110" s="111">
        <f t="shared" si="15"/>
        <v>157</v>
      </c>
    </row>
    <row r="111" spans="2:10">
      <c r="B111" s="114">
        <v>2027</v>
      </c>
      <c r="C111" s="113">
        <f t="shared" si="14"/>
        <v>25</v>
      </c>
      <c r="D111" s="324">
        <f>ROUND((C110-L50)-(C110*$D$98),0)</f>
        <v>24</v>
      </c>
      <c r="E111" s="112">
        <f t="shared" si="16"/>
        <v>24</v>
      </c>
      <c r="F111" s="112">
        <f t="shared" si="17"/>
        <v>24</v>
      </c>
      <c r="G111" s="112">
        <f t="shared" si="18"/>
        <v>22</v>
      </c>
      <c r="H111" s="112">
        <f t="shared" si="19"/>
        <v>23</v>
      </c>
      <c r="I111" s="112">
        <f t="shared" si="20"/>
        <v>19</v>
      </c>
      <c r="J111" s="111">
        <f t="shared" si="15"/>
        <v>161</v>
      </c>
    </row>
    <row r="112" spans="2:10">
      <c r="B112" s="114">
        <v>2028</v>
      </c>
      <c r="C112" s="113">
        <f t="shared" si="14"/>
        <v>25</v>
      </c>
      <c r="D112" s="324">
        <f>ROUND((C111-M50)-(C111*$D$98),0)</f>
        <v>24</v>
      </c>
      <c r="E112" s="112">
        <f t="shared" si="16"/>
        <v>24</v>
      </c>
      <c r="F112" s="112">
        <f t="shared" si="17"/>
        <v>24</v>
      </c>
      <c r="G112" s="112">
        <f t="shared" si="18"/>
        <v>22</v>
      </c>
      <c r="H112" s="112">
        <f t="shared" si="19"/>
        <v>23</v>
      </c>
      <c r="I112" s="112">
        <f t="shared" si="20"/>
        <v>20</v>
      </c>
      <c r="J112" s="111">
        <f t="shared" si="15"/>
        <v>162</v>
      </c>
    </row>
    <row r="113" spans="2:10" ht="15" customHeight="1">
      <c r="B113" s="114">
        <v>2029</v>
      </c>
      <c r="C113" s="113">
        <f t="shared" si="14"/>
        <v>25</v>
      </c>
      <c r="D113" s="324">
        <f>ROUND((C112-N50)-(C112*$D$98),0)</f>
        <v>24</v>
      </c>
      <c r="E113" s="112">
        <f t="shared" si="16"/>
        <v>24</v>
      </c>
      <c r="F113" s="112">
        <f t="shared" si="17"/>
        <v>24</v>
      </c>
      <c r="G113" s="112">
        <f t="shared" si="18"/>
        <v>22</v>
      </c>
      <c r="H113" s="112">
        <f t="shared" si="19"/>
        <v>23</v>
      </c>
      <c r="I113" s="112">
        <f t="shared" si="20"/>
        <v>20</v>
      </c>
      <c r="J113" s="111">
        <f t="shared" si="15"/>
        <v>162</v>
      </c>
    </row>
    <row r="114" spans="2:10" ht="15" customHeight="1">
      <c r="B114" s="114">
        <v>2030</v>
      </c>
      <c r="C114" s="113">
        <f t="shared" si="14"/>
        <v>25</v>
      </c>
      <c r="D114" s="324">
        <f>ROUND((C113-O50)-(C113*$D$98),0)</f>
        <v>24</v>
      </c>
      <c r="E114" s="112">
        <f t="shared" si="16"/>
        <v>24</v>
      </c>
      <c r="F114" s="112">
        <f t="shared" si="17"/>
        <v>24</v>
      </c>
      <c r="G114" s="112">
        <f t="shared" si="18"/>
        <v>22</v>
      </c>
      <c r="H114" s="112">
        <f t="shared" si="19"/>
        <v>23</v>
      </c>
      <c r="I114" s="112">
        <f t="shared" si="20"/>
        <v>20</v>
      </c>
      <c r="J114" s="111">
        <f t="shared" si="15"/>
        <v>162</v>
      </c>
    </row>
    <row r="115" spans="2:10" ht="15" customHeight="1">
      <c r="B115" s="114">
        <v>2031</v>
      </c>
      <c r="C115" s="113">
        <f t="shared" si="14"/>
        <v>25</v>
      </c>
      <c r="D115" s="324">
        <f>ROUND((C114-P50)-(C114*$D$98),0)</f>
        <v>24</v>
      </c>
      <c r="E115" s="112">
        <f t="shared" si="16"/>
        <v>24</v>
      </c>
      <c r="F115" s="112">
        <f t="shared" si="17"/>
        <v>24</v>
      </c>
      <c r="G115" s="112">
        <f t="shared" si="18"/>
        <v>22</v>
      </c>
      <c r="H115" s="112">
        <f t="shared" si="19"/>
        <v>23</v>
      </c>
      <c r="I115" s="112">
        <f t="shared" si="20"/>
        <v>20</v>
      </c>
      <c r="J115" s="111">
        <f t="shared" si="15"/>
        <v>162</v>
      </c>
    </row>
    <row r="116" spans="2:10" ht="15" customHeight="1">
      <c r="B116" s="114">
        <v>2032</v>
      </c>
      <c r="C116" s="113">
        <f t="shared" si="14"/>
        <v>25</v>
      </c>
      <c r="D116" s="324">
        <f>ROUND((C115-Q50)-(C115*$D$98),0)</f>
        <v>24</v>
      </c>
      <c r="E116" s="112">
        <f t="shared" si="16"/>
        <v>24</v>
      </c>
      <c r="F116" s="112">
        <f t="shared" si="17"/>
        <v>24</v>
      </c>
      <c r="G116" s="112">
        <f t="shared" si="18"/>
        <v>22</v>
      </c>
      <c r="H116" s="112">
        <f t="shared" si="19"/>
        <v>23</v>
      </c>
      <c r="I116" s="112">
        <f t="shared" si="20"/>
        <v>20</v>
      </c>
      <c r="J116" s="111">
        <f t="shared" si="15"/>
        <v>162</v>
      </c>
    </row>
    <row r="117" spans="2:10" ht="15" hidden="1" customHeight="1">
      <c r="F117" s="14"/>
      <c r="G117" s="14"/>
    </row>
    <row r="118" spans="2:10" ht="15" hidden="1" customHeight="1">
      <c r="B118" s="15" t="str">
        <f>"Table 4C: "&amp;E3&amp;" Projected Pupil Generation from Housing Development, 2019-2032"</f>
        <v>Table 4C: Dalmeny Primary School Projected Pupil Generation from Housing Development, 2019-2032</v>
      </c>
      <c r="F118" s="14"/>
      <c r="G118" s="14"/>
    </row>
    <row r="119" spans="2:10" ht="15" hidden="1" customHeight="1">
      <c r="F119" s="14"/>
      <c r="G119" s="14"/>
    </row>
    <row r="120" spans="2:10" ht="15" hidden="1" customHeight="1">
      <c r="B120" s="115"/>
      <c r="C120" s="109" t="s">
        <v>1</v>
      </c>
      <c r="D120" s="109" t="s">
        <v>2</v>
      </c>
      <c r="E120" s="109" t="s">
        <v>3</v>
      </c>
      <c r="F120" s="109" t="s">
        <v>4</v>
      </c>
      <c r="G120" s="109" t="s">
        <v>5</v>
      </c>
      <c r="H120" s="109" t="s">
        <v>6</v>
      </c>
      <c r="I120" s="109" t="s">
        <v>7</v>
      </c>
      <c r="J120" s="109" t="s">
        <v>8</v>
      </c>
    </row>
    <row r="121" spans="2:10" ht="15" hidden="1" customHeight="1">
      <c r="B121" s="114">
        <v>2019</v>
      </c>
      <c r="C121" s="116" t="s">
        <v>97</v>
      </c>
      <c r="D121" s="112">
        <f>VLOOKUP($E$3,'Housing Generation'!$A$3:$BE$90,11,FALSE)</f>
        <v>1</v>
      </c>
      <c r="E121" s="112">
        <f>VLOOKUP($E$3,'Housing Generation'!$A$3:$BE$90,12,FALSE)</f>
        <v>1</v>
      </c>
      <c r="F121" s="112">
        <f>VLOOKUP($E$3,'Housing Generation'!$A$3:$BE$90,13,FALSE)</f>
        <v>1</v>
      </c>
      <c r="G121" s="112">
        <f>VLOOKUP($E$3,'Housing Generation'!$A$3:$BE$90,14,FALSE)</f>
        <v>0</v>
      </c>
      <c r="H121" s="112">
        <f>VLOOKUP($E$3,'Housing Generation'!$A$3:$BE$90,15,FALSE)</f>
        <v>0</v>
      </c>
      <c r="I121" s="112">
        <f>VLOOKUP($E$3,'Housing Generation'!$A$3:$BE$90,16,FALSE)</f>
        <v>0</v>
      </c>
      <c r="J121" s="111">
        <f t="shared" ref="J121:J134" si="21">SUM(D121:I121)</f>
        <v>3</v>
      </c>
    </row>
    <row r="122" spans="2:10" ht="15" hidden="1" customHeight="1">
      <c r="B122" s="114">
        <v>2020</v>
      </c>
      <c r="C122" s="116" t="s">
        <v>97</v>
      </c>
      <c r="D122" s="112">
        <f>VLOOKUP($E$3,'Housing Generation'!$A$3:$BE$90,19,FALSE)</f>
        <v>1</v>
      </c>
      <c r="E122" s="112">
        <f>VLOOKUP($E$3,'Housing Generation'!$A$3:$BE$90,20,FALSE)</f>
        <v>1</v>
      </c>
      <c r="F122" s="112">
        <f>VLOOKUP($E$3,'Housing Generation'!$A$3:$BE$90,21,FALSE)</f>
        <v>1</v>
      </c>
      <c r="G122" s="112">
        <f>VLOOKUP($E$3,'Housing Generation'!$A$3:$BE$90,22,FALSE)</f>
        <v>0</v>
      </c>
      <c r="H122" s="112">
        <f>VLOOKUP($E$3,'Housing Generation'!$A$3:$BE$90,23,FALSE)</f>
        <v>0</v>
      </c>
      <c r="I122" s="112">
        <f>VLOOKUP($E$3,'Housing Generation'!$A$3:$BE$90,24,FALSE)</f>
        <v>0</v>
      </c>
      <c r="J122" s="111">
        <f t="shared" si="21"/>
        <v>3</v>
      </c>
    </row>
    <row r="123" spans="2:10" ht="15" hidden="1" customHeight="1">
      <c r="B123" s="114">
        <v>2021</v>
      </c>
      <c r="C123" s="116" t="s">
        <v>97</v>
      </c>
      <c r="D123" s="112">
        <f>VLOOKUP($E$3,'Housing Generation'!$A$3:$BE$90,27,FALSE)</f>
        <v>1</v>
      </c>
      <c r="E123" s="112">
        <f>VLOOKUP($E$3,'Housing Generation'!$A$3:$BE$90,28,FALSE)</f>
        <v>1</v>
      </c>
      <c r="F123" s="112">
        <f>VLOOKUP($E$3,'Housing Generation'!$A$3:$BE$90,29,FALSE)</f>
        <v>1</v>
      </c>
      <c r="G123" s="112">
        <f>VLOOKUP($E$3,'Housing Generation'!$A$3:$BE$90,30,FALSE)</f>
        <v>0</v>
      </c>
      <c r="H123" s="112">
        <f>VLOOKUP($E$3,'Housing Generation'!$A$3:$BE$90,31,FALSE)</f>
        <v>0</v>
      </c>
      <c r="I123" s="112">
        <f>VLOOKUP($E$3,'Housing Generation'!$A$3:$BE$90,32,FALSE)</f>
        <v>0</v>
      </c>
      <c r="J123" s="111">
        <f t="shared" si="21"/>
        <v>3</v>
      </c>
    </row>
    <row r="124" spans="2:10" ht="15" hidden="1" customHeight="1">
      <c r="B124" s="114">
        <v>2022</v>
      </c>
      <c r="C124" s="116" t="s">
        <v>97</v>
      </c>
      <c r="D124" s="112">
        <f>VLOOKUP($E$3,'Housing Generation'!$A$3:$BE$90,35,FALSE)</f>
        <v>1</v>
      </c>
      <c r="E124" s="112">
        <f>VLOOKUP($E$3,'Housing Generation'!$A$3:$BE$90,36,FALSE)</f>
        <v>1</v>
      </c>
      <c r="F124" s="112">
        <f>VLOOKUP($E$3,'Housing Generation'!$A$3:$BE$90,37,FALSE)</f>
        <v>1</v>
      </c>
      <c r="G124" s="112">
        <f>VLOOKUP($E$3,'Housing Generation'!$A$3:$BE$90,38,FALSE)</f>
        <v>0</v>
      </c>
      <c r="H124" s="112">
        <f>VLOOKUP($E$3,'Housing Generation'!$A$3:$BE$90,39,FALSE)</f>
        <v>0</v>
      </c>
      <c r="I124" s="112">
        <f>VLOOKUP($E$3,'Housing Generation'!$A$3:$BE$90,40,FALSE)</f>
        <v>0</v>
      </c>
      <c r="J124" s="111">
        <f t="shared" si="21"/>
        <v>3</v>
      </c>
    </row>
    <row r="125" spans="2:10" ht="15" hidden="1" customHeight="1">
      <c r="B125" s="114">
        <v>2023</v>
      </c>
      <c r="C125" s="116" t="s">
        <v>97</v>
      </c>
      <c r="D125" s="112">
        <f>VLOOKUP($E$3,'Housing Generation'!$A$3:$BE$90,43,FALSE)</f>
        <v>1</v>
      </c>
      <c r="E125" s="112">
        <f>VLOOKUP($E$3,'Housing Generation'!$A$3:$BE$90,44,FALSE)</f>
        <v>1</v>
      </c>
      <c r="F125" s="112">
        <f>VLOOKUP($E$3,'Housing Generation'!$A$3:$BE$90,45,FALSE)</f>
        <v>1</v>
      </c>
      <c r="G125" s="112">
        <f>VLOOKUP($E$3,'Housing Generation'!$A$3:$BE$90,46,FALSE)</f>
        <v>0</v>
      </c>
      <c r="H125" s="112">
        <f>VLOOKUP($E$3,'Housing Generation'!$A$3:$BE$90,47,FALSE)</f>
        <v>0</v>
      </c>
      <c r="I125" s="112">
        <f>VLOOKUP($E$3,'Housing Generation'!$A$3:$BE$90,48,FALSE)</f>
        <v>0</v>
      </c>
      <c r="J125" s="111">
        <f t="shared" si="21"/>
        <v>3</v>
      </c>
    </row>
    <row r="126" spans="2:10" ht="15" hidden="1" customHeight="1">
      <c r="B126" s="114">
        <v>2024</v>
      </c>
      <c r="C126" s="116" t="s">
        <v>97</v>
      </c>
      <c r="D126" s="112">
        <f>VLOOKUP($E$3,'Housing Generation'!$A$3:$BE$90,51,FALSE)</f>
        <v>1</v>
      </c>
      <c r="E126" s="112">
        <f>VLOOKUP($E$3,'Housing Generation'!$A$3:$BE$90,52,FALSE)</f>
        <v>1</v>
      </c>
      <c r="F126" s="112">
        <f>VLOOKUP($E$3,'Housing Generation'!$A$3:$BE$90,53,FALSE)</f>
        <v>1</v>
      </c>
      <c r="G126" s="112">
        <f>VLOOKUP($E$3,'Housing Generation'!$A$3:$BE$90,54,FALSE)</f>
        <v>0</v>
      </c>
      <c r="H126" s="112">
        <f>VLOOKUP($E$3,'Housing Generation'!$A$3:$BE$90,55,FALSE)</f>
        <v>0</v>
      </c>
      <c r="I126" s="112">
        <f>VLOOKUP($E$3,'Housing Generation'!$A$3:$BE$90,56,FALSE)</f>
        <v>0</v>
      </c>
      <c r="J126" s="111">
        <f t="shared" si="21"/>
        <v>3</v>
      </c>
    </row>
    <row r="127" spans="2:10" ht="15" hidden="1" customHeight="1">
      <c r="B127" s="114">
        <v>2025</v>
      </c>
      <c r="C127" s="240" t="s">
        <v>97</v>
      </c>
      <c r="D127" s="112">
        <f>VLOOKUP($E$3,'Housing Generation'!$A$3:$CK$90,59,FALSE)</f>
        <v>1</v>
      </c>
      <c r="E127" s="112">
        <f>VLOOKUP($E$3,'Housing Generation'!$A$3:$CK$90,60,FALSE)</f>
        <v>1</v>
      </c>
      <c r="F127" s="112">
        <f>VLOOKUP($E$3,'Housing Generation'!$A$3:$CK$90,61,FALSE)</f>
        <v>1</v>
      </c>
      <c r="G127" s="112">
        <f>VLOOKUP($E$3,'Housing Generation'!$A$3:$CK$90,62,FALSE)</f>
        <v>0</v>
      </c>
      <c r="H127" s="112">
        <f>VLOOKUP($E$3,'Housing Generation'!$A$3:$CK$90,63,FALSE)</f>
        <v>0</v>
      </c>
      <c r="I127" s="112">
        <f>VLOOKUP($E$3,'Housing Generation'!$A$3:$CK$90,64,FALSE)</f>
        <v>0</v>
      </c>
      <c r="J127" s="111">
        <f t="shared" si="21"/>
        <v>3</v>
      </c>
    </row>
    <row r="128" spans="2:10" ht="15" hidden="1" customHeight="1">
      <c r="B128" s="114">
        <v>2026</v>
      </c>
      <c r="C128" s="240" t="s">
        <v>97</v>
      </c>
      <c r="D128" s="112">
        <f>VLOOKUP($E$3,'Housing Generation'!$A$3:$CK$90,67,FALSE)</f>
        <v>1</v>
      </c>
      <c r="E128" s="112">
        <f>VLOOKUP($E$3,'Housing Generation'!$A$3:$CK$90,68,FALSE)</f>
        <v>1</v>
      </c>
      <c r="F128" s="112">
        <f>VLOOKUP($E$3,'Housing Generation'!$A$3:$CK$90,69,FALSE)</f>
        <v>1</v>
      </c>
      <c r="G128" s="112">
        <f>VLOOKUP($E$3,'Housing Generation'!$A$3:$CK$90,70,FALSE)</f>
        <v>0</v>
      </c>
      <c r="H128" s="112">
        <f>VLOOKUP($E$3,'Housing Generation'!$A$3:$CK$90,71,FALSE)</f>
        <v>0</v>
      </c>
      <c r="I128" s="112">
        <f>VLOOKUP($E$3,'Housing Generation'!$A$3:$CK$90,72,FALSE)</f>
        <v>0</v>
      </c>
      <c r="J128" s="111">
        <f t="shared" si="21"/>
        <v>3</v>
      </c>
    </row>
    <row r="129" spans="2:10" ht="15" hidden="1" customHeight="1">
      <c r="B129" s="114">
        <v>2027</v>
      </c>
      <c r="C129" s="240" t="s">
        <v>97</v>
      </c>
      <c r="D129" s="112">
        <f>VLOOKUP($E$3,'Housing Generation'!$A$3:$CK$90,75,FALSE)</f>
        <v>1</v>
      </c>
      <c r="E129" s="112">
        <f>VLOOKUP($E$3,'Housing Generation'!$A$3:$CK$90,76,FALSE)</f>
        <v>1</v>
      </c>
      <c r="F129" s="112">
        <f>VLOOKUP($E$3,'Housing Generation'!$A$3:$CK$90,77,FALSE)</f>
        <v>1</v>
      </c>
      <c r="G129" s="112">
        <f>VLOOKUP($E$3,'Housing Generation'!$A$3:$CK$90,78,FALSE)</f>
        <v>0</v>
      </c>
      <c r="H129" s="112">
        <f>VLOOKUP($E$3,'Housing Generation'!$A$3:$CK$90,79,FALSE)</f>
        <v>0</v>
      </c>
      <c r="I129" s="112">
        <f>VLOOKUP($E$3,'Housing Generation'!$A$3:$CK$90,80,FALSE)</f>
        <v>0</v>
      </c>
      <c r="J129" s="111">
        <f t="shared" si="21"/>
        <v>3</v>
      </c>
    </row>
    <row r="130" spans="2:10" ht="15" customHeight="1">
      <c r="B130" s="114">
        <v>2028</v>
      </c>
      <c r="C130" s="289" t="s">
        <v>97</v>
      </c>
      <c r="D130" s="112">
        <f>VLOOKUP($E$3,'Housing Generation'!$A$3:$CK$90,83,FALSE)</f>
        <v>1</v>
      </c>
      <c r="E130" s="112">
        <f>VLOOKUP($E$3,'Housing Generation'!$A$3:$CK$90,84,FALSE)</f>
        <v>1</v>
      </c>
      <c r="F130" s="112">
        <f>VLOOKUP($E$3,'Housing Generation'!$A$3:$CK$90,85,FALSE)</f>
        <v>1</v>
      </c>
      <c r="G130" s="112">
        <f>VLOOKUP($E$3,'Housing Generation'!$A$3:$CK$90,86,FALSE)</f>
        <v>0</v>
      </c>
      <c r="H130" s="112">
        <f>VLOOKUP($E$3,'Housing Generation'!$A$3:$CK$90,87,FALSE)</f>
        <v>0</v>
      </c>
      <c r="I130" s="112">
        <f>VLOOKUP($E$3,'Housing Generation'!$A$3:$CK$90,88,FALSE)</f>
        <v>0</v>
      </c>
      <c r="J130" s="111">
        <f t="shared" si="21"/>
        <v>3</v>
      </c>
    </row>
    <row r="131" spans="2:10" ht="15" customHeight="1">
      <c r="B131" s="114">
        <v>2029</v>
      </c>
      <c r="C131" s="289" t="s">
        <v>97</v>
      </c>
      <c r="D131" s="112">
        <f>VLOOKUP($E$3,'Housing Generation'!$A$3:$DQ$90,91,FALSE)</f>
        <v>1</v>
      </c>
      <c r="E131" s="112">
        <f>VLOOKUP($E$3,'Housing Generation'!$A$3:$DQ$90,92,FALSE)</f>
        <v>1</v>
      </c>
      <c r="F131" s="112">
        <f>VLOOKUP($E$3,'Housing Generation'!$A$3:$DQ$90,93,FALSE)</f>
        <v>1</v>
      </c>
      <c r="G131" s="112">
        <f>VLOOKUP($E$3,'Housing Generation'!$A$3:$DQ$90,94,FALSE)</f>
        <v>0</v>
      </c>
      <c r="H131" s="112">
        <f>VLOOKUP($E$3,'Housing Generation'!$A$3:$DQ$90,95,FALSE)</f>
        <v>0</v>
      </c>
      <c r="I131" s="112">
        <f>VLOOKUP($E$3,'Housing Generation'!$A$3:$DQ$90,96,FALSE)</f>
        <v>0</v>
      </c>
      <c r="J131" s="111">
        <f t="shared" si="21"/>
        <v>3</v>
      </c>
    </row>
    <row r="132" spans="2:10" ht="15" customHeight="1">
      <c r="B132" s="114">
        <v>2030</v>
      </c>
      <c r="C132" s="289" t="s">
        <v>97</v>
      </c>
      <c r="D132" s="112">
        <f>VLOOKUP($E$3,'Housing Generation'!$A$3:$DQ$90,99,FALSE)</f>
        <v>1</v>
      </c>
      <c r="E132" s="112">
        <f>VLOOKUP($E$3,'Housing Generation'!$A$3:$DQ$90,100,FALSE)</f>
        <v>1</v>
      </c>
      <c r="F132" s="112">
        <f>VLOOKUP($E$3,'Housing Generation'!$A$3:$DQ$90,101,FALSE)</f>
        <v>1</v>
      </c>
      <c r="G132" s="112">
        <f>VLOOKUP($E$3,'Housing Generation'!$A$3:$DQ$90,102,FALSE)</f>
        <v>0</v>
      </c>
      <c r="H132" s="112">
        <f>VLOOKUP($E$3,'Housing Generation'!$A$3:$DQ$90,103,FALSE)</f>
        <v>0</v>
      </c>
      <c r="I132" s="112">
        <f>VLOOKUP($E$3,'Housing Generation'!$A$3:$DQ$90,104,FALSE)</f>
        <v>0</v>
      </c>
      <c r="J132" s="111">
        <f t="shared" si="21"/>
        <v>3</v>
      </c>
    </row>
    <row r="133" spans="2:10" ht="15" customHeight="1">
      <c r="B133" s="114">
        <v>2031</v>
      </c>
      <c r="C133" s="289" t="s">
        <v>97</v>
      </c>
      <c r="D133" s="112">
        <f>VLOOKUP($E$3,'Housing Generation'!$A$3:$DQ$90,107,FALSE)</f>
        <v>1</v>
      </c>
      <c r="E133" s="112">
        <f>VLOOKUP($E$3,'Housing Generation'!$A$3:$DQ$90,108,FALSE)</f>
        <v>1</v>
      </c>
      <c r="F133" s="112">
        <f>VLOOKUP($E$3,'Housing Generation'!$A$3:$DQ$90,109,FALSE)</f>
        <v>1</v>
      </c>
      <c r="G133" s="112">
        <f>VLOOKUP($E$3,'Housing Generation'!$A$3:$DQ$90,110,FALSE)</f>
        <v>0</v>
      </c>
      <c r="H133" s="112">
        <f>VLOOKUP($E$3,'Housing Generation'!$A$3:$DQ$90,111,FALSE)</f>
        <v>0</v>
      </c>
      <c r="I133" s="112">
        <f>VLOOKUP($E$3,'Housing Generation'!$A$3:$DQ$90,112,FALSE)</f>
        <v>0</v>
      </c>
      <c r="J133" s="111">
        <f t="shared" si="21"/>
        <v>3</v>
      </c>
    </row>
    <row r="134" spans="2:10" ht="15" customHeight="1">
      <c r="B134" s="114">
        <v>2032</v>
      </c>
      <c r="C134" s="289" t="s">
        <v>97</v>
      </c>
      <c r="D134" s="112">
        <f>VLOOKUP($E$3,'Housing Generation'!$A$3:$DQ$90,115,FALSE)</f>
        <v>1</v>
      </c>
      <c r="E134" s="112">
        <f>VLOOKUP($E$3,'Housing Generation'!$A$3:$DQ$90,116,FALSE)</f>
        <v>1</v>
      </c>
      <c r="F134" s="112">
        <f>VLOOKUP($E$3,'Housing Generation'!$A$3:$DQ$90,117,FALSE)</f>
        <v>1</v>
      </c>
      <c r="G134" s="112">
        <f>VLOOKUP($E$3,'Housing Generation'!$A$3:$DQ$90,118,FALSE)</f>
        <v>0</v>
      </c>
      <c r="H134" s="112">
        <f>VLOOKUP($E$3,'Housing Generation'!$A$3:$DQ$90,119,FALSE)</f>
        <v>0</v>
      </c>
      <c r="I134" s="112">
        <f>VLOOKUP($E$3,'Housing Generation'!$A$3:$DQ$90,120,FALSE)</f>
        <v>0</v>
      </c>
      <c r="J134" s="111">
        <f t="shared" si="21"/>
        <v>3</v>
      </c>
    </row>
    <row r="135" spans="2:10" ht="15" hidden="1"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Dalmeny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15.333333333333332</v>
      </c>
      <c r="D139" s="112">
        <f t="shared" ref="D139:I152" si="23">D121+D103</f>
        <v>25</v>
      </c>
      <c r="E139" s="112">
        <f t="shared" si="23"/>
        <v>8</v>
      </c>
      <c r="F139" s="112">
        <f t="shared" si="23"/>
        <v>11</v>
      </c>
      <c r="G139" s="112">
        <f t="shared" si="23"/>
        <v>14</v>
      </c>
      <c r="H139" s="112">
        <f t="shared" si="23"/>
        <v>13</v>
      </c>
      <c r="I139" s="112">
        <f t="shared" si="23"/>
        <v>11</v>
      </c>
      <c r="J139" s="111">
        <f t="shared" ref="J139:J147" si="24">SUM(C139:I139)</f>
        <v>97.333333333333329</v>
      </c>
    </row>
    <row r="140" spans="2:10" ht="15" customHeight="1">
      <c r="B140" s="114">
        <v>2020</v>
      </c>
      <c r="C140" s="113">
        <f t="shared" si="22"/>
        <v>19.066666666666663</v>
      </c>
      <c r="D140" s="112">
        <f t="shared" si="23"/>
        <v>15</v>
      </c>
      <c r="E140" s="112">
        <f t="shared" si="23"/>
        <v>25</v>
      </c>
      <c r="F140" s="112">
        <f t="shared" si="23"/>
        <v>8</v>
      </c>
      <c r="G140" s="112">
        <f t="shared" si="23"/>
        <v>9</v>
      </c>
      <c r="H140" s="112">
        <f t="shared" si="23"/>
        <v>15</v>
      </c>
      <c r="I140" s="112">
        <f t="shared" si="23"/>
        <v>11</v>
      </c>
      <c r="J140" s="111">
        <f t="shared" si="24"/>
        <v>102.06666666666666</v>
      </c>
    </row>
    <row r="141" spans="2:10" ht="15" customHeight="1">
      <c r="B141" s="114">
        <v>2021</v>
      </c>
      <c r="C141" s="113">
        <f t="shared" si="22"/>
        <v>23.733333333333331</v>
      </c>
      <c r="D141" s="112">
        <f t="shared" si="23"/>
        <v>19</v>
      </c>
      <c r="E141" s="112">
        <f t="shared" si="23"/>
        <v>15</v>
      </c>
      <c r="F141" s="112">
        <f t="shared" si="23"/>
        <v>25</v>
      </c>
      <c r="G141" s="112">
        <f t="shared" si="23"/>
        <v>6</v>
      </c>
      <c r="H141" s="112">
        <f t="shared" si="23"/>
        <v>10</v>
      </c>
      <c r="I141" s="112">
        <f t="shared" si="23"/>
        <v>13</v>
      </c>
      <c r="J141" s="111">
        <f t="shared" si="24"/>
        <v>111.73333333333333</v>
      </c>
    </row>
    <row r="142" spans="2:10" ht="15" customHeight="1">
      <c r="B142" s="114">
        <v>2022</v>
      </c>
      <c r="C142" s="113">
        <f t="shared" si="22"/>
        <v>25</v>
      </c>
      <c r="D142" s="112">
        <f t="shared" si="23"/>
        <v>24</v>
      </c>
      <c r="E142" s="112">
        <f t="shared" si="23"/>
        <v>19</v>
      </c>
      <c r="F142" s="112">
        <f t="shared" si="23"/>
        <v>15</v>
      </c>
      <c r="G142" s="112">
        <f t="shared" si="23"/>
        <v>22</v>
      </c>
      <c r="H142" s="112">
        <f t="shared" si="23"/>
        <v>6</v>
      </c>
      <c r="I142" s="112">
        <f t="shared" si="23"/>
        <v>9</v>
      </c>
      <c r="J142" s="111">
        <f t="shared" si="24"/>
        <v>120</v>
      </c>
    </row>
    <row r="143" spans="2:10" ht="15" customHeight="1">
      <c r="B143" s="114">
        <v>2023</v>
      </c>
      <c r="C143" s="113">
        <f t="shared" si="22"/>
        <v>24.666666666666664</v>
      </c>
      <c r="D143" s="112">
        <f t="shared" si="23"/>
        <v>25</v>
      </c>
      <c r="E143" s="112">
        <f t="shared" si="23"/>
        <v>24</v>
      </c>
      <c r="F143" s="112">
        <f t="shared" si="23"/>
        <v>19</v>
      </c>
      <c r="G143" s="112">
        <f t="shared" si="23"/>
        <v>13</v>
      </c>
      <c r="H143" s="112">
        <f t="shared" si="23"/>
        <v>23</v>
      </c>
      <c r="I143" s="112">
        <f t="shared" si="23"/>
        <v>5</v>
      </c>
      <c r="J143" s="111">
        <f t="shared" si="24"/>
        <v>133.66666666666666</v>
      </c>
    </row>
    <row r="144" spans="2:10" ht="15" customHeight="1">
      <c r="B144" s="114">
        <v>2024</v>
      </c>
      <c r="C144" s="113">
        <f t="shared" si="22"/>
        <v>25</v>
      </c>
      <c r="D144" s="112">
        <f t="shared" si="23"/>
        <v>25</v>
      </c>
      <c r="E144" s="112">
        <f t="shared" si="23"/>
        <v>25</v>
      </c>
      <c r="F144" s="112">
        <f t="shared" si="23"/>
        <v>24</v>
      </c>
      <c r="G144" s="112">
        <f t="shared" si="23"/>
        <v>17</v>
      </c>
      <c r="H144" s="112">
        <f t="shared" si="23"/>
        <v>14</v>
      </c>
      <c r="I144" s="112">
        <f t="shared" si="23"/>
        <v>20</v>
      </c>
      <c r="J144" s="111">
        <f t="shared" si="24"/>
        <v>150</v>
      </c>
    </row>
    <row r="145" spans="2:16" ht="15" customHeight="1">
      <c r="B145" s="114">
        <v>2025</v>
      </c>
      <c r="C145" s="113">
        <f t="shared" si="22"/>
        <v>25</v>
      </c>
      <c r="D145" s="112">
        <f t="shared" si="23"/>
        <v>25</v>
      </c>
      <c r="E145" s="112">
        <f t="shared" si="23"/>
        <v>25</v>
      </c>
      <c r="F145" s="112">
        <f t="shared" si="23"/>
        <v>25</v>
      </c>
      <c r="G145" s="112">
        <f t="shared" si="23"/>
        <v>21</v>
      </c>
      <c r="H145" s="112">
        <f t="shared" si="23"/>
        <v>18</v>
      </c>
      <c r="I145" s="112">
        <f t="shared" si="23"/>
        <v>12</v>
      </c>
      <c r="J145" s="111">
        <f t="shared" si="24"/>
        <v>151</v>
      </c>
    </row>
    <row r="146" spans="2:16" ht="15" customHeight="1">
      <c r="B146" s="114">
        <v>2026</v>
      </c>
      <c r="C146" s="113">
        <f t="shared" si="22"/>
        <v>25</v>
      </c>
      <c r="D146" s="112">
        <f t="shared" si="23"/>
        <v>25</v>
      </c>
      <c r="E146" s="112">
        <f t="shared" si="23"/>
        <v>25</v>
      </c>
      <c r="F146" s="112">
        <f t="shared" si="23"/>
        <v>25</v>
      </c>
      <c r="G146" s="112">
        <f t="shared" si="23"/>
        <v>22</v>
      </c>
      <c r="H146" s="112">
        <f t="shared" si="23"/>
        <v>22</v>
      </c>
      <c r="I146" s="112">
        <f t="shared" si="23"/>
        <v>16</v>
      </c>
      <c r="J146" s="111">
        <f t="shared" si="24"/>
        <v>160</v>
      </c>
    </row>
    <row r="147" spans="2:16" ht="15" customHeight="1">
      <c r="B147" s="114">
        <v>2027</v>
      </c>
      <c r="C147" s="113">
        <f t="shared" si="22"/>
        <v>25</v>
      </c>
      <c r="D147" s="112">
        <f t="shared" si="23"/>
        <v>25</v>
      </c>
      <c r="E147" s="112">
        <f t="shared" si="23"/>
        <v>25</v>
      </c>
      <c r="F147" s="112">
        <f t="shared" si="23"/>
        <v>25</v>
      </c>
      <c r="G147" s="112">
        <f t="shared" si="23"/>
        <v>22</v>
      </c>
      <c r="H147" s="112">
        <f t="shared" si="23"/>
        <v>23</v>
      </c>
      <c r="I147" s="112">
        <f t="shared" si="23"/>
        <v>19</v>
      </c>
      <c r="J147" s="111">
        <f t="shared" si="24"/>
        <v>164</v>
      </c>
    </row>
    <row r="148" spans="2:16" ht="15" customHeight="1">
      <c r="B148" s="114">
        <v>2028</v>
      </c>
      <c r="C148" s="113">
        <f t="shared" si="22"/>
        <v>25</v>
      </c>
      <c r="D148" s="112">
        <f t="shared" si="23"/>
        <v>25</v>
      </c>
      <c r="E148" s="112">
        <f t="shared" si="23"/>
        <v>25</v>
      </c>
      <c r="F148" s="112">
        <f t="shared" si="23"/>
        <v>25</v>
      </c>
      <c r="G148" s="112">
        <f t="shared" si="23"/>
        <v>22</v>
      </c>
      <c r="H148" s="112">
        <f t="shared" si="23"/>
        <v>23</v>
      </c>
      <c r="I148" s="112">
        <f t="shared" si="23"/>
        <v>20</v>
      </c>
      <c r="J148" s="111">
        <f t="shared" ref="J148:J152" si="25">SUM(C148:I148)</f>
        <v>165</v>
      </c>
    </row>
    <row r="149" spans="2:16" ht="15" customHeight="1">
      <c r="B149" s="114">
        <v>2029</v>
      </c>
      <c r="C149" s="113">
        <f t="shared" si="22"/>
        <v>25</v>
      </c>
      <c r="D149" s="112">
        <f t="shared" si="23"/>
        <v>25</v>
      </c>
      <c r="E149" s="112">
        <f t="shared" si="23"/>
        <v>25</v>
      </c>
      <c r="F149" s="112">
        <f t="shared" si="23"/>
        <v>25</v>
      </c>
      <c r="G149" s="112">
        <f t="shared" si="23"/>
        <v>22</v>
      </c>
      <c r="H149" s="112">
        <f t="shared" si="23"/>
        <v>23</v>
      </c>
      <c r="I149" s="112">
        <f t="shared" si="23"/>
        <v>20</v>
      </c>
      <c r="J149" s="111">
        <f t="shared" si="25"/>
        <v>165</v>
      </c>
    </row>
    <row r="150" spans="2:16" ht="15" customHeight="1">
      <c r="B150" s="114">
        <v>2030</v>
      </c>
      <c r="C150" s="113">
        <f t="shared" si="22"/>
        <v>25</v>
      </c>
      <c r="D150" s="112">
        <f t="shared" si="23"/>
        <v>25</v>
      </c>
      <c r="E150" s="112">
        <f t="shared" si="23"/>
        <v>25</v>
      </c>
      <c r="F150" s="112">
        <f t="shared" si="23"/>
        <v>25</v>
      </c>
      <c r="G150" s="112">
        <f t="shared" si="23"/>
        <v>22</v>
      </c>
      <c r="H150" s="112">
        <f t="shared" si="23"/>
        <v>23</v>
      </c>
      <c r="I150" s="112">
        <f t="shared" si="23"/>
        <v>20</v>
      </c>
      <c r="J150" s="111">
        <f t="shared" si="25"/>
        <v>165</v>
      </c>
    </row>
    <row r="151" spans="2:16" ht="15" customHeight="1">
      <c r="B151" s="114">
        <v>2031</v>
      </c>
      <c r="C151" s="113">
        <f t="shared" si="22"/>
        <v>25</v>
      </c>
      <c r="D151" s="112">
        <f t="shared" si="23"/>
        <v>25</v>
      </c>
      <c r="E151" s="112">
        <f t="shared" si="23"/>
        <v>25</v>
      </c>
      <c r="F151" s="112">
        <f t="shared" si="23"/>
        <v>25</v>
      </c>
      <c r="G151" s="112">
        <f t="shared" si="23"/>
        <v>22</v>
      </c>
      <c r="H151" s="112">
        <f t="shared" si="23"/>
        <v>23</v>
      </c>
      <c r="I151" s="112">
        <f t="shared" si="23"/>
        <v>20</v>
      </c>
      <c r="J151" s="111">
        <f t="shared" si="25"/>
        <v>165</v>
      </c>
    </row>
    <row r="152" spans="2:16" ht="15" customHeight="1">
      <c r="B152" s="114">
        <v>2032</v>
      </c>
      <c r="C152" s="113">
        <f t="shared" si="22"/>
        <v>25</v>
      </c>
      <c r="D152" s="112">
        <f t="shared" si="23"/>
        <v>25</v>
      </c>
      <c r="E152" s="112">
        <f t="shared" si="23"/>
        <v>25</v>
      </c>
      <c r="F152" s="112">
        <f t="shared" si="23"/>
        <v>25</v>
      </c>
      <c r="G152" s="112">
        <f t="shared" si="23"/>
        <v>22</v>
      </c>
      <c r="H152" s="112">
        <f t="shared" si="23"/>
        <v>23</v>
      </c>
      <c r="I152" s="112">
        <f t="shared" si="23"/>
        <v>20</v>
      </c>
      <c r="J152" s="111">
        <f t="shared" si="25"/>
        <v>165</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97.333333333333329</v>
      </c>
      <c r="D159" s="108">
        <f>J140</f>
        <v>102.06666666666666</v>
      </c>
      <c r="E159" s="108">
        <f>J141</f>
        <v>111.73333333333333</v>
      </c>
      <c r="F159" s="108">
        <f>J142</f>
        <v>120</v>
      </c>
      <c r="G159" s="108">
        <f>J143</f>
        <v>133.66666666666666</v>
      </c>
      <c r="H159" s="108">
        <f>J144</f>
        <v>150</v>
      </c>
      <c r="I159" s="108">
        <f>J145</f>
        <v>151</v>
      </c>
      <c r="J159" s="108">
        <f>J146</f>
        <v>160</v>
      </c>
      <c r="K159" s="108">
        <f>J147</f>
        <v>164</v>
      </c>
      <c r="L159" s="108">
        <f>J148</f>
        <v>165</v>
      </c>
      <c r="M159" s="108">
        <f>J149</f>
        <v>165</v>
      </c>
      <c r="N159" s="108">
        <f>J150</f>
        <v>165</v>
      </c>
      <c r="O159" s="108">
        <f>J151</f>
        <v>165</v>
      </c>
      <c r="P159" s="108">
        <f>J152</f>
        <v>165</v>
      </c>
    </row>
    <row r="160" spans="2:16" ht="15" customHeight="1">
      <c r="B160" s="107" t="s">
        <v>152</v>
      </c>
      <c r="C160" s="106">
        <f>VLOOKUP(C159,Capacity!$A$1:$C$645,2,TRUE)</f>
        <v>5</v>
      </c>
      <c r="D160" s="106">
        <f>VLOOKUP(D159,Capacity!$A$1:$C$645,2,TRUE)</f>
        <v>5</v>
      </c>
      <c r="E160" s="106">
        <f>VLOOKUP(E159,Capacity!$A$1:$C$645,2,TRUE)</f>
        <v>5</v>
      </c>
      <c r="F160" s="106">
        <f>VLOOKUP(F159,Capacity!$A$1:$C$645,2,TRUE)</f>
        <v>6</v>
      </c>
      <c r="G160" s="106">
        <f>VLOOKUP(G159,Capacity!$A$1:$C$645,2,TRUE)</f>
        <v>6</v>
      </c>
      <c r="H160" s="106">
        <f>VLOOKUP(H159,Capacity!$A$1:$C$645,2,TRUE)</f>
        <v>7</v>
      </c>
      <c r="I160" s="106">
        <f>VLOOKUP(I159,Capacity!$A$1:$C$645,2,TRUE)</f>
        <v>7</v>
      </c>
      <c r="J160" s="106">
        <f>VLOOKUP(J159,Capacity!$A$1:$C$645,2,TRUE)</f>
        <v>7</v>
      </c>
      <c r="K160" s="106">
        <f>VLOOKUP(K159,Capacity!$A$1:$C$645,2,TRUE)</f>
        <v>7</v>
      </c>
      <c r="L160" s="106">
        <f>VLOOKUP(L159,Capacity!$A$1:$C$645,2,TRUE)</f>
        <v>7</v>
      </c>
      <c r="M160" s="106">
        <f>VLOOKUP(M159,Capacity!$A$1:$C$645,2,TRUE)</f>
        <v>7</v>
      </c>
      <c r="N160" s="106">
        <f>VLOOKUP(N159,Capacity!$A$1:$C$645,2,TRUE)</f>
        <v>7</v>
      </c>
      <c r="O160" s="106">
        <f>VLOOKUP(O159,Capacity!$A$1:$C$645,2,TRUE)</f>
        <v>7</v>
      </c>
      <c r="P160" s="106">
        <f>VLOOKUP(P159,Capacity!$A$1:$C$645,2,TRUE)</f>
        <v>7</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12</v>
      </c>
      <c r="D169" s="97">
        <f>VLOOKUP($E$3,'Catchment Births'!$A$1:$U$90,11,FALSE)</f>
        <v>7</v>
      </c>
      <c r="E169" s="97">
        <f>VLOOKUP($E$3,'Catchment Births'!$A$1:$U$90,12,FALSE)</f>
        <v>7</v>
      </c>
      <c r="F169" s="97">
        <f>VLOOKUP($E$3,'Catchment Births'!$A$1:$U$90,13,FALSE)</f>
        <v>8</v>
      </c>
      <c r="G169" s="97">
        <f>VLOOKUP($E$3,'Catchment Births'!$A$1:$U$90,14,FALSE)</f>
        <v>12</v>
      </c>
      <c r="H169" s="97">
        <f>VLOOKUP($E$3,'Catchment Births'!$A$1:$U$90,15,FALSE)</f>
        <v>4</v>
      </c>
      <c r="I169" s="97">
        <f>VLOOKUP($E$3,'Catchment Births'!$A$1:$U$90,16,FALSE)</f>
        <v>19</v>
      </c>
      <c r="J169" s="97">
        <f>VLOOKUP($E$3,'Catchment Births'!$A$1:$U$90,17,FALSE)</f>
        <v>9</v>
      </c>
      <c r="K169" s="97">
        <f>VLOOKUP($E$3,'Catchment Births'!$A$1:$U$90,18,FALSE)</f>
        <v>9</v>
      </c>
      <c r="L169" s="97">
        <f>VLOOKUP($E$3,'Catchment Births'!$A$1:$U$90,19,FALSE)</f>
        <v>11</v>
      </c>
      <c r="M169" s="97">
        <f>VLOOKUP($E$3,'Catchment Births'!$A$1:$U$90,20,FALSE)</f>
        <v>8</v>
      </c>
      <c r="N169" s="97">
        <f>VLOOKUP($E$3,'Catchment Births'!$A$1:$U$90,21,FALSE)</f>
        <v>13</v>
      </c>
    </row>
    <row r="170" spans="2:14" ht="58.5" customHeight="1">
      <c r="B170" s="103" t="str">
        <f>"P1 "&amp;A35&amp;" Catchment Population (Actual)"</f>
        <v>P1 ND Catchment Population (Actual)</v>
      </c>
      <c r="C170" s="102" t="e">
        <v>#REF!</v>
      </c>
      <c r="D170" s="102">
        <v>6</v>
      </c>
      <c r="E170" s="102">
        <v>9</v>
      </c>
      <c r="F170" s="102">
        <v>12</v>
      </c>
      <c r="G170" s="102">
        <v>7</v>
      </c>
      <c r="H170" s="102">
        <v>10</v>
      </c>
      <c r="I170" s="102">
        <v>5</v>
      </c>
      <c r="J170" s="308">
        <f>VLOOKUP(E3,'Catchment Projections'!A1:BU92,42,FALSE)</f>
        <v>7</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5</v>
      </c>
      <c r="J172" s="96" t="e">
        <f>#REF!</f>
        <v>#REF!</v>
      </c>
      <c r="K172" s="96">
        <f>D51</f>
        <v>10</v>
      </c>
      <c r="L172" s="96">
        <f>E51</f>
        <v>14</v>
      </c>
      <c r="M172" s="96">
        <f>F51</f>
        <v>19</v>
      </c>
      <c r="N172" s="96">
        <f>G51</f>
        <v>27</v>
      </c>
    </row>
    <row r="173" spans="2:14" ht="12.75">
      <c r="B173" s="62"/>
      <c r="C173" s="62"/>
      <c r="D173" s="62"/>
      <c r="E173" s="62"/>
      <c r="F173" s="62"/>
      <c r="G173" s="62"/>
      <c r="H173" s="62"/>
      <c r="I173" s="62"/>
      <c r="J173" s="62"/>
      <c r="K173" s="62"/>
    </row>
    <row r="174" spans="2:14" ht="15" customHeight="1">
      <c r="B174" s="64" t="str">
        <f>"Table 5: "&amp;E3&amp;" Roll by Stage, 2002-2018"</f>
        <v>Table 5: Dalmeny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15</v>
      </c>
      <c r="D177" s="93">
        <v>11</v>
      </c>
      <c r="E177" s="93">
        <v>18</v>
      </c>
      <c r="F177" s="93">
        <v>16</v>
      </c>
      <c r="G177" s="93">
        <v>12</v>
      </c>
      <c r="H177" s="93">
        <v>12</v>
      </c>
      <c r="I177" s="93">
        <v>9</v>
      </c>
      <c r="J177" s="92">
        <v>93</v>
      </c>
      <c r="K177" s="62"/>
    </row>
    <row r="178" spans="2:11" ht="15" customHeight="1">
      <c r="B178" s="94">
        <v>2003</v>
      </c>
      <c r="C178" s="93">
        <v>17</v>
      </c>
      <c r="D178" s="93">
        <v>19</v>
      </c>
      <c r="E178" s="93">
        <v>11</v>
      </c>
      <c r="F178" s="93">
        <v>21</v>
      </c>
      <c r="G178" s="93">
        <v>15</v>
      </c>
      <c r="H178" s="93">
        <v>12</v>
      </c>
      <c r="I178" s="93">
        <v>12</v>
      </c>
      <c r="J178" s="92">
        <v>107</v>
      </c>
      <c r="K178" s="62"/>
    </row>
    <row r="179" spans="2:11" customFormat="1" ht="15" customHeight="1">
      <c r="B179" s="94">
        <v>2004</v>
      </c>
      <c r="C179" s="95">
        <v>18</v>
      </c>
      <c r="D179" s="95">
        <v>18</v>
      </c>
      <c r="E179" s="95">
        <v>18</v>
      </c>
      <c r="F179" s="95">
        <v>10</v>
      </c>
      <c r="G179" s="95">
        <v>20</v>
      </c>
      <c r="H179" s="95">
        <v>12</v>
      </c>
      <c r="I179" s="95">
        <v>7</v>
      </c>
      <c r="J179" s="92">
        <v>103</v>
      </c>
      <c r="K179" s="62"/>
    </row>
    <row r="180" spans="2:11" customFormat="1" ht="15" customHeight="1">
      <c r="B180" s="94">
        <v>2005</v>
      </c>
      <c r="C180" s="93">
        <v>17</v>
      </c>
      <c r="D180" s="93">
        <v>17</v>
      </c>
      <c r="E180" s="93">
        <v>21</v>
      </c>
      <c r="F180" s="93">
        <v>15</v>
      </c>
      <c r="G180" s="93">
        <v>9</v>
      </c>
      <c r="H180" s="93">
        <v>19</v>
      </c>
      <c r="I180" s="93">
        <v>9</v>
      </c>
      <c r="J180" s="92">
        <v>107</v>
      </c>
      <c r="K180" s="62"/>
    </row>
    <row r="181" spans="2:11" customFormat="1" ht="15" customHeight="1">
      <c r="B181" s="94">
        <v>2006</v>
      </c>
      <c r="C181" s="93">
        <v>18</v>
      </c>
      <c r="D181" s="93">
        <v>13</v>
      </c>
      <c r="E181" s="93">
        <v>18</v>
      </c>
      <c r="F181" s="93">
        <v>17</v>
      </c>
      <c r="G181" s="93">
        <v>14</v>
      </c>
      <c r="H181" s="93">
        <v>8</v>
      </c>
      <c r="I181" s="93">
        <v>17</v>
      </c>
      <c r="J181" s="92">
        <v>105</v>
      </c>
      <c r="K181" s="62"/>
    </row>
    <row r="182" spans="2:11" customFormat="1" ht="15" customHeight="1">
      <c r="B182" s="94">
        <v>2007</v>
      </c>
      <c r="C182" s="93">
        <v>15</v>
      </c>
      <c r="D182" s="93">
        <v>19</v>
      </c>
      <c r="E182" s="93">
        <v>17</v>
      </c>
      <c r="F182" s="93">
        <v>15</v>
      </c>
      <c r="G182" s="93">
        <v>18</v>
      </c>
      <c r="H182" s="93">
        <v>11</v>
      </c>
      <c r="I182" s="93">
        <v>7</v>
      </c>
      <c r="J182" s="92">
        <v>102</v>
      </c>
      <c r="K182" s="62"/>
    </row>
    <row r="183" spans="2:11" customFormat="1" ht="15" customHeight="1">
      <c r="B183" s="94">
        <v>2008</v>
      </c>
      <c r="C183" s="93">
        <v>15</v>
      </c>
      <c r="D183" s="93">
        <v>17</v>
      </c>
      <c r="E183" s="93">
        <v>19</v>
      </c>
      <c r="F183" s="93">
        <v>15</v>
      </c>
      <c r="G183" s="93">
        <v>13</v>
      </c>
      <c r="H183" s="93">
        <v>18</v>
      </c>
      <c r="I183" s="93">
        <v>11</v>
      </c>
      <c r="J183" s="92">
        <v>108</v>
      </c>
      <c r="K183" s="62"/>
    </row>
    <row r="184" spans="2:11" customFormat="1" ht="15" customHeight="1">
      <c r="B184" s="94">
        <v>2009</v>
      </c>
      <c r="C184" s="93">
        <v>19</v>
      </c>
      <c r="D184" s="93">
        <v>15</v>
      </c>
      <c r="E184" s="93">
        <v>15</v>
      </c>
      <c r="F184" s="93">
        <v>20</v>
      </c>
      <c r="G184" s="93">
        <v>14</v>
      </c>
      <c r="H184" s="93">
        <v>14</v>
      </c>
      <c r="I184" s="93">
        <v>17</v>
      </c>
      <c r="J184" s="94">
        <v>114</v>
      </c>
      <c r="K184" s="62"/>
    </row>
    <row r="185" spans="2:11" customFormat="1" ht="15" customHeight="1">
      <c r="B185" s="94">
        <v>2010</v>
      </c>
      <c r="C185" s="93">
        <v>13</v>
      </c>
      <c r="D185" s="93">
        <v>19</v>
      </c>
      <c r="E185" s="93">
        <v>15</v>
      </c>
      <c r="F185" s="93">
        <v>15</v>
      </c>
      <c r="G185" s="93">
        <v>18</v>
      </c>
      <c r="H185" s="93">
        <v>14</v>
      </c>
      <c r="I185" s="93">
        <v>13</v>
      </c>
      <c r="J185" s="92">
        <v>107</v>
      </c>
      <c r="K185" s="62"/>
    </row>
    <row r="186" spans="2:11" customFormat="1" ht="15" customHeight="1">
      <c r="B186" s="94">
        <v>2011</v>
      </c>
      <c r="C186" s="93">
        <v>21</v>
      </c>
      <c r="D186" s="93">
        <v>12</v>
      </c>
      <c r="E186" s="93">
        <v>17</v>
      </c>
      <c r="F186" s="93">
        <v>11</v>
      </c>
      <c r="G186" s="93">
        <v>14</v>
      </c>
      <c r="H186" s="93">
        <v>17</v>
      </c>
      <c r="I186" s="93">
        <v>11</v>
      </c>
      <c r="J186" s="92">
        <v>103</v>
      </c>
      <c r="K186" s="62"/>
    </row>
    <row r="187" spans="2:11" customFormat="1" ht="15" customHeight="1">
      <c r="B187" s="94">
        <v>2012</v>
      </c>
      <c r="C187" s="93">
        <v>18</v>
      </c>
      <c r="D187" s="93">
        <v>21</v>
      </c>
      <c r="E187" s="93">
        <v>13</v>
      </c>
      <c r="F187" s="93">
        <v>18</v>
      </c>
      <c r="G187" s="93">
        <v>12</v>
      </c>
      <c r="H187" s="93">
        <v>8</v>
      </c>
      <c r="I187" s="93">
        <v>15</v>
      </c>
      <c r="J187" s="92">
        <v>105</v>
      </c>
      <c r="K187" s="62"/>
    </row>
    <row r="188" spans="2:11" customFormat="1" ht="15" customHeight="1">
      <c r="B188" s="94">
        <v>2013</v>
      </c>
      <c r="C188" s="93">
        <v>15</v>
      </c>
      <c r="D188" s="93">
        <v>19</v>
      </c>
      <c r="E188" s="93">
        <v>18</v>
      </c>
      <c r="F188" s="93">
        <v>11</v>
      </c>
      <c r="G188" s="93">
        <v>16</v>
      </c>
      <c r="H188" s="93">
        <v>11</v>
      </c>
      <c r="I188" s="93">
        <v>8</v>
      </c>
      <c r="J188" s="94">
        <v>98</v>
      </c>
      <c r="K188" s="62"/>
    </row>
    <row r="189" spans="2:11" customFormat="1" ht="15" customHeight="1">
      <c r="B189" s="94">
        <v>2014</v>
      </c>
      <c r="C189" s="93">
        <v>16</v>
      </c>
      <c r="D189" s="93">
        <v>12</v>
      </c>
      <c r="E189" s="93">
        <v>20</v>
      </c>
      <c r="F189" s="93">
        <v>20</v>
      </c>
      <c r="G189" s="93">
        <v>12</v>
      </c>
      <c r="H189" s="93">
        <v>17</v>
      </c>
      <c r="I189" s="93">
        <v>14</v>
      </c>
      <c r="J189" s="92">
        <v>111</v>
      </c>
      <c r="K189" s="65"/>
    </row>
    <row r="190" spans="2:11" customFormat="1" ht="15" customHeight="1">
      <c r="B190" s="94">
        <v>2015</v>
      </c>
      <c r="C190" s="93">
        <v>13</v>
      </c>
      <c r="D190" s="93">
        <v>14</v>
      </c>
      <c r="E190" s="93">
        <v>9</v>
      </c>
      <c r="F190" s="93">
        <v>19</v>
      </c>
      <c r="G190" s="93">
        <v>19</v>
      </c>
      <c r="H190" s="93">
        <v>15</v>
      </c>
      <c r="I190" s="93">
        <v>15</v>
      </c>
      <c r="J190" s="92">
        <v>104</v>
      </c>
      <c r="K190" s="65"/>
    </row>
    <row r="191" spans="2:11" customFormat="1" ht="15" customHeight="1">
      <c r="B191" s="94">
        <v>2016</v>
      </c>
      <c r="C191" s="93">
        <v>10</v>
      </c>
      <c r="D191" s="93">
        <v>15</v>
      </c>
      <c r="E191" s="93">
        <v>15</v>
      </c>
      <c r="F191" s="93">
        <v>11</v>
      </c>
      <c r="G191" s="93">
        <v>14</v>
      </c>
      <c r="H191" s="93">
        <v>18</v>
      </c>
      <c r="I191" s="93">
        <v>12</v>
      </c>
      <c r="J191" s="92">
        <v>95</v>
      </c>
      <c r="K191" s="65"/>
    </row>
    <row r="192" spans="2:11" ht="15" customHeight="1">
      <c r="B192" s="94">
        <v>2017</v>
      </c>
      <c r="C192" s="93">
        <f>VLOOKUP($E$3,Rolls!A1:FA90,42,FALSE)</f>
        <v>7</v>
      </c>
      <c r="D192" s="93">
        <f>VLOOKUP($E$3,Rolls!A1:FA90,43,FALSE)</f>
        <v>11</v>
      </c>
      <c r="E192" s="93">
        <f>VLOOKUP($E$3,Rolls!A1:FA90,44,FALSE)</f>
        <v>15</v>
      </c>
      <c r="F192" s="93">
        <f>VLOOKUP($E$3,Rolls!A1:FA90,45,FALSE)</f>
        <v>13</v>
      </c>
      <c r="G192" s="93">
        <f>VLOOKUP($E$3,Rolls!A1:FA90,46,FALSE)</f>
        <v>10</v>
      </c>
      <c r="H192" s="93">
        <f>VLOOKUP($E$3,Rolls!A1:FA90,47,FALSE)</f>
        <v>10</v>
      </c>
      <c r="I192" s="93">
        <f>VLOOKUP($E$3,Rolls!A1:FA90,48,FALSE)</f>
        <v>13</v>
      </c>
      <c r="J192" s="92">
        <f>VLOOKUP($E$3,Rolls!A1:FA90,49,FALSE)</f>
        <v>79</v>
      </c>
      <c r="K192" s="65"/>
    </row>
    <row r="193" spans="2:11" ht="15" customHeight="1">
      <c r="B193" s="94">
        <v>2018</v>
      </c>
      <c r="C193" s="93">
        <f>VLOOKUP($E$3,Rolls!A1:FA90,50,FALSE)</f>
        <v>24</v>
      </c>
      <c r="D193" s="93">
        <f>VLOOKUP($E$3,Rolls!A1:FA90,51,FALSE)</f>
        <v>7</v>
      </c>
      <c r="E193" s="93">
        <f>VLOOKUP($E$3,Rolls!A1:FA90,52,FALSE)</f>
        <v>10</v>
      </c>
      <c r="F193" s="93">
        <f>VLOOKUP($E$3,Rolls!A1:FA90,53,FALSE)</f>
        <v>15</v>
      </c>
      <c r="G193" s="93">
        <f>VLOOKUP($E$3,Rolls!A1:FA90,54,FALSE)</f>
        <v>12</v>
      </c>
      <c r="H193" s="93">
        <f>VLOOKUP($E$3,Rolls!A1:FA90,55,FALSE)</f>
        <v>13</v>
      </c>
      <c r="I193" s="93">
        <f>VLOOKUP($E$3,Rolls!A1:FA90,56,FALSE)</f>
        <v>10</v>
      </c>
      <c r="J193" s="92">
        <f>VLOOKUP($E$3,Rolls!A1:FA90,57,FALSE)</f>
        <v>91</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pageSetUpPr fitToPage="1"/>
  </sheetPr>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27</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Dalry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420 Pupils (14 classes)</v>
      </c>
      <c r="G12" s="16"/>
      <c r="H12" s="16"/>
    </row>
    <row r="13" spans="2:10" ht="15" customHeight="1">
      <c r="C13" s="16"/>
      <c r="D13" s="16"/>
      <c r="E13" s="16"/>
      <c r="F13" s="16"/>
      <c r="G13" s="16"/>
      <c r="H13" s="16"/>
    </row>
    <row r="14" spans="2:10" ht="15" customHeight="1">
      <c r="B14" s="15" t="str">
        <f>"Figure 1: "&amp;E3&amp;" Roll, 2002-2015"</f>
        <v>Figure 1: Dalry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Dalry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38</v>
      </c>
      <c r="E49" s="108">
        <f>VLOOKUP($E$3,'Catchment Projections'!$A$1:$BU$90,46,FALSE)</f>
        <v>52</v>
      </c>
      <c r="F49" s="108">
        <f>VLOOKUP($E$3,'Catchment Projections'!$A$1:$BU$90,47,FALSE)</f>
        <v>48</v>
      </c>
      <c r="G49" s="108">
        <f>VLOOKUP($E$3,'Catchment Projections'!$A$1:$BU$90,48,FALSE)</f>
        <v>41</v>
      </c>
      <c r="H49" s="133">
        <f>VLOOKUP($E$3,'Catchment Projections'!$A$1:$BU$90,49,FALSE)</f>
        <v>48</v>
      </c>
      <c r="I49" s="133">
        <f>VLOOKUP($E$3,'Catchment Projections'!$A$1:$BU$90,50,FALSE)</f>
        <v>48</v>
      </c>
      <c r="J49" s="133">
        <f>VLOOKUP($E$3,'Catchment Projections'!$A$1:$BU$90,51,FALSE)</f>
        <v>49</v>
      </c>
      <c r="K49" s="133">
        <f>VLOOKUP($E$3,'Catchment Projections'!$A$1:$BU$90,52,FALSE)</f>
        <v>49</v>
      </c>
      <c r="L49" s="133">
        <f>VLOOKUP($E$3,'Catchment Projections'!$A$1:$BU$90,53,FALSE)</f>
        <v>49</v>
      </c>
      <c r="M49" s="133">
        <f>VLOOKUP($E$3,'Catchment Projections'!$A$1:$BU$90,54,FALSE)</f>
        <v>49</v>
      </c>
      <c r="N49" s="133">
        <f>VLOOKUP($E$3,'Catchment Projections'!$A$1:$BU$90,55,FALSE)</f>
        <v>49</v>
      </c>
      <c r="O49" s="133">
        <f>VLOOKUP($E$3,'Catchment Projections'!$A$1:$BU$90,56,FALSE)</f>
        <v>49</v>
      </c>
      <c r="P49" s="133">
        <f>VLOOKUP($E$3,'Catchment Projections'!$A$1:$BU$90,57,FALSE)</f>
        <v>50</v>
      </c>
      <c r="Q49" s="133">
        <f>VLOOKUP($E$3,'Catchment Projections'!$A$1:$BU$90,58,FALSE)</f>
        <v>49</v>
      </c>
    </row>
    <row r="50" spans="2:17" ht="15" customHeight="1" thickBot="1">
      <c r="B50" s="410" t="s">
        <v>141</v>
      </c>
      <c r="C50" s="411"/>
      <c r="D50" s="286">
        <f>VLOOKUP(E3,'Housing Generation'!$A$3:$DQ$90,10,FALSE)</f>
        <v>0</v>
      </c>
      <c r="E50" s="286">
        <f>VLOOKUP(E3,'Housing Generation'!$A$3:$DQ$90,18,FALSE)</f>
        <v>1</v>
      </c>
      <c r="F50" s="286">
        <f>VLOOKUP(E3,'Housing Generation'!$A$3:$DQ$90,26,FALSE)</f>
        <v>1</v>
      </c>
      <c r="G50" s="243">
        <f>VLOOKUP(E3,'Housing Generation'!$A$3:$DQ$90,34,FALSE)</f>
        <v>2</v>
      </c>
      <c r="H50" s="133">
        <f>VLOOKUP(E3,'Housing Generation'!$A$3:$DQ$90,42,FALSE)</f>
        <v>2</v>
      </c>
      <c r="I50" s="133">
        <f>VLOOKUP(E3,'Housing Generation'!$A$3:$DQ$90,50,FALSE)</f>
        <v>3</v>
      </c>
      <c r="J50" s="133">
        <f>VLOOKUP(E3,'Housing Generation'!$A$3:$CK$90,58,FALSE)</f>
        <v>4</v>
      </c>
      <c r="K50" s="133">
        <f>VLOOKUP(E3,'Housing Generation'!$A$3:$CK$90,66,FALSE)</f>
        <v>4</v>
      </c>
      <c r="L50" s="133">
        <f>VLOOKUP(E3,'Housing Generation'!$A$3:$DQ$90,74,FALSE)</f>
        <v>4</v>
      </c>
      <c r="M50" s="133">
        <f>VLOOKUP(E3,'Housing Generation'!$A$3:$DQ$90,82,FALSE)</f>
        <v>4</v>
      </c>
      <c r="N50" s="133">
        <f>VLOOKUP(E3,'Housing Generation'!$A$3:$DQ$90,90,FALSE)</f>
        <v>4</v>
      </c>
      <c r="O50" s="133">
        <f>VLOOKUP(E3,'Housing Generation'!$A$3:$DQ$90,98,FALSE)</f>
        <v>4</v>
      </c>
      <c r="P50" s="133">
        <f>VLOOKUP(E3,'Housing Generation'!$A$3:$DQ$90,106,FALSE)</f>
        <v>4</v>
      </c>
      <c r="Q50" s="133">
        <f>VLOOKUP(E3,'Housing Generation'!$A$3:$DQ$90,114,FALSE)</f>
        <v>4</v>
      </c>
    </row>
    <row r="51" spans="2:17" ht="15" customHeight="1" thickTop="1">
      <c r="B51" s="421" t="s">
        <v>130</v>
      </c>
      <c r="C51" s="422"/>
      <c r="D51" s="47">
        <f t="shared" ref="D51:Q51" si="0">SUM(D49:D50)</f>
        <v>38</v>
      </c>
      <c r="E51" s="47">
        <f t="shared" si="0"/>
        <v>53</v>
      </c>
      <c r="F51" s="80">
        <f t="shared" si="0"/>
        <v>49</v>
      </c>
      <c r="G51" s="244">
        <f t="shared" si="0"/>
        <v>43</v>
      </c>
      <c r="H51" s="71">
        <f t="shared" si="0"/>
        <v>50</v>
      </c>
      <c r="I51" s="71">
        <f t="shared" si="0"/>
        <v>51</v>
      </c>
      <c r="J51" s="71">
        <f t="shared" si="0"/>
        <v>53</v>
      </c>
      <c r="K51" s="71">
        <f t="shared" si="0"/>
        <v>53</v>
      </c>
      <c r="L51" s="71">
        <f t="shared" si="0"/>
        <v>53</v>
      </c>
      <c r="M51" s="71">
        <f t="shared" si="0"/>
        <v>53</v>
      </c>
      <c r="N51" s="71">
        <f t="shared" si="0"/>
        <v>53</v>
      </c>
      <c r="O51" s="71">
        <f t="shared" si="0"/>
        <v>53</v>
      </c>
      <c r="P51" s="71">
        <f t="shared" si="0"/>
        <v>54</v>
      </c>
      <c r="Q51" s="71">
        <f t="shared" si="0"/>
        <v>53</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45</v>
      </c>
      <c r="D60" s="358">
        <f>VLOOKUP($E$3,'Catchment Projections'!$A$1:$BZ$90,74,FALSE)</f>
        <v>33</v>
      </c>
      <c r="E60" s="303">
        <f>D60/C60</f>
        <v>0.73333333333333328</v>
      </c>
      <c r="G60" s="132">
        <v>2014</v>
      </c>
      <c r="H60" s="395">
        <f>VLOOKUP($G$60,$B$177:$C$215, 2, FALSE)</f>
        <v>41</v>
      </c>
      <c r="I60" s="120">
        <f>H60-D60</f>
        <v>8</v>
      </c>
      <c r="J60" s="121">
        <f>I60/H60</f>
        <v>0.1951219512195122</v>
      </c>
    </row>
    <row r="61" spans="2:17" ht="15" customHeight="1">
      <c r="B61" s="132">
        <v>2015</v>
      </c>
      <c r="C61" s="359">
        <f>VLOOKUP($E$3,'Catchment Projections'!$A$1:$BZ$90,41,FALSE)</f>
        <v>43</v>
      </c>
      <c r="D61" s="358">
        <f>VLOOKUP($E$3,'Catchment Projections'!$A$1:$BZ$90,75,FALSE)</f>
        <v>35</v>
      </c>
      <c r="E61" s="303">
        <f>D61/C61</f>
        <v>0.81395348837209303</v>
      </c>
      <c r="G61" s="132">
        <v>2015</v>
      </c>
      <c r="H61" s="395">
        <f>VLOOKUP($G$61,$B$177:$C$215, 2, FALSE)</f>
        <v>49</v>
      </c>
      <c r="I61" s="120">
        <f>H61-D61</f>
        <v>14</v>
      </c>
      <c r="J61" s="121">
        <f>I61/H61</f>
        <v>0.2857142857142857</v>
      </c>
    </row>
    <row r="62" spans="2:17" ht="15" customHeight="1">
      <c r="B62" s="131">
        <v>2016</v>
      </c>
      <c r="C62" s="359">
        <f>VLOOKUP($E$3,'Catchment Projections'!$A$1:$BZ$90,42,FALSE)</f>
        <v>51</v>
      </c>
      <c r="D62" s="358">
        <f>VLOOKUP($E$3,'Catchment Projections'!$A$1:$BZ$90,76,FALSE)</f>
        <v>34</v>
      </c>
      <c r="E62" s="57">
        <f>D62/C62</f>
        <v>0.66666666666666663</v>
      </c>
      <c r="G62" s="131">
        <v>2016</v>
      </c>
      <c r="H62" s="395">
        <f>VLOOKUP($G$62,$B$177:$C$215, 2, FALSE)</f>
        <v>42</v>
      </c>
      <c r="I62" s="120">
        <f>H62-D62</f>
        <v>8</v>
      </c>
      <c r="J62" s="121">
        <f>I62/H62</f>
        <v>0.19047619047619047</v>
      </c>
    </row>
    <row r="63" spans="2:17" ht="15" customHeight="1">
      <c r="B63" s="114">
        <v>2017</v>
      </c>
      <c r="C63" s="359">
        <f>VLOOKUP($E$3,'Catchment Projections'!$A$1:$BZ$90,43,FALSE)</f>
        <v>51</v>
      </c>
      <c r="D63" s="358">
        <f>VLOOKUP($E$3,'Catchment Projections'!$A$1:$BZ$90,77,FALSE)</f>
        <v>41</v>
      </c>
      <c r="E63" s="304">
        <f>D63/C63</f>
        <v>0.80392156862745101</v>
      </c>
      <c r="G63" s="114">
        <v>2017</v>
      </c>
      <c r="H63" s="395">
        <f>VLOOKUP($G$63,$B$177:$C$215, 2, FALSE)</f>
        <v>47</v>
      </c>
      <c r="I63" s="120">
        <f>H63-D63</f>
        <v>6</v>
      </c>
      <c r="J63" s="121">
        <f>I63/H63</f>
        <v>0.1276595744680851</v>
      </c>
    </row>
    <row r="64" spans="2:17" ht="15" customHeight="1">
      <c r="B64" s="114">
        <v>2018</v>
      </c>
      <c r="C64" s="359">
        <f>VLOOKUP($E$3,'Catchment Projections'!$A$1:$BZ$90,44,FALSE)</f>
        <v>49</v>
      </c>
      <c r="D64" s="358">
        <f>VLOOKUP($E$3,'Catchment Projections'!$A$1:$BZ$90,78,FALSE)</f>
        <v>38</v>
      </c>
      <c r="E64" s="305">
        <f>D64/C64</f>
        <v>0.77551020408163263</v>
      </c>
      <c r="G64" s="114">
        <v>2018</v>
      </c>
      <c r="H64" s="395">
        <f>VLOOKUP($G$64,$B$177:$C$215, 2, FALSE)</f>
        <v>52</v>
      </c>
      <c r="I64" s="120">
        <f>H64-D64</f>
        <v>14</v>
      </c>
      <c r="J64" s="121">
        <f>I64/H64</f>
        <v>0.26923076923076922</v>
      </c>
    </row>
    <row r="65" spans="2:10" ht="15" customHeight="1">
      <c r="B65" s="412" t="s">
        <v>136</v>
      </c>
      <c r="C65" s="413"/>
      <c r="D65" s="414"/>
      <c r="E65" s="137">
        <f>IF((AVERAGE(E62:E64))="#DIV/0!","n/a",(AVERAGE(E62:E64)))</f>
        <v>0.74869947979191676</v>
      </c>
      <c r="G65" s="415" t="s">
        <v>137</v>
      </c>
      <c r="H65" s="416"/>
      <c r="I65" s="138">
        <f>MEDIAN(I60:I64)</f>
        <v>8</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38</v>
      </c>
      <c r="D70" s="408"/>
      <c r="E70" s="122">
        <f>E65</f>
        <v>0.74869947979191676</v>
      </c>
      <c r="F70" s="120">
        <f t="shared" ref="F70:F83" si="1">C70*$E$65</f>
        <v>28.450580232092836</v>
      </c>
      <c r="G70" s="118">
        <f>IF(F70&lt;26,25,IF(F70&gt;135,140,IF(F70&gt;130,135,IF(F70&gt;125,130,IF(F70&gt;120,125,IF(F70&gt;115,120,IF(F70&gt;110,115,IF(F70&gt;105,110,IF(F70&gt;100,105,IF(F70&gt;99,100,IF(F70&gt;90,99,IF(F70&gt;75,90,IF(F70&gt;72,75,IF(F70&gt;66,72,IF(F70&gt;60,66,IF(F70&gt;50,60,IF(F70&gt;30,50,IF(F70&gt;25,30,0))))))))))))))))))</f>
        <v>30</v>
      </c>
      <c r="H70" s="119">
        <f t="shared" ref="H70:H83" si="2">G70-F70</f>
        <v>1.549419767907164</v>
      </c>
      <c r="I70" s="118" t="str">
        <f>IF(I$65&lt;H70, "NO", "YES")</f>
        <v>YES</v>
      </c>
      <c r="J70" s="117">
        <f t="shared" ref="J70:J83" si="3">IF(I70="YES",G70,(MIN((SUM(F70,$I$65)),G70)))</f>
        <v>30</v>
      </c>
    </row>
    <row r="71" spans="2:10" ht="15" customHeight="1">
      <c r="B71" s="114">
        <v>2020</v>
      </c>
      <c r="C71" s="433">
        <f>E51</f>
        <v>53</v>
      </c>
      <c r="D71" s="408"/>
      <c r="E71" s="121">
        <f>E65</f>
        <v>0.74869947979191676</v>
      </c>
      <c r="F71" s="120">
        <f t="shared" si="1"/>
        <v>39.681072428971589</v>
      </c>
      <c r="G71" s="118">
        <f t="shared" ref="G71:G83" si="4">IF(F71&lt;26,25,IF(F71&gt;135,140,IF(F71&gt;130,135,IF(F71&gt;125,130,IF(F71&gt;120,125,IF(F71&gt;115,120,IF(F71&gt;110,115,IF(F71&gt;105,110,IF(F71&gt;100,105,IF(F71&gt;99,100,IF(F71&gt;90,99,IF(F71&gt;75,90,IF(F71&gt;72,75,IF(F71&gt;66,72,IF(F71&gt;60,66,IF(F71&gt;50,60,IF(F71&gt;30,50,IF(F71&gt;25,30,0))))))))))))))))))</f>
        <v>50</v>
      </c>
      <c r="H71" s="119">
        <f t="shared" si="2"/>
        <v>10.318927571028411</v>
      </c>
      <c r="I71" s="118" t="str">
        <f t="shared" ref="I71:I83" si="5">IF(I$65&lt;H71, "NO", "YES")</f>
        <v>NO</v>
      </c>
      <c r="J71" s="117">
        <f t="shared" si="3"/>
        <v>47.681072428971589</v>
      </c>
    </row>
    <row r="72" spans="2:10" ht="15" customHeight="1">
      <c r="B72" s="114">
        <v>2021</v>
      </c>
      <c r="C72" s="430">
        <f>F51</f>
        <v>49</v>
      </c>
      <c r="D72" s="431"/>
      <c r="E72" s="121">
        <f>E65</f>
        <v>0.74869947979191676</v>
      </c>
      <c r="F72" s="120">
        <f t="shared" si="1"/>
        <v>36.686274509803923</v>
      </c>
      <c r="G72" s="118">
        <f t="shared" si="4"/>
        <v>50</v>
      </c>
      <c r="H72" s="119">
        <f t="shared" si="2"/>
        <v>13.313725490196077</v>
      </c>
      <c r="I72" s="118" t="str">
        <f t="shared" si="5"/>
        <v>NO</v>
      </c>
      <c r="J72" s="117">
        <f t="shared" si="3"/>
        <v>44.686274509803923</v>
      </c>
    </row>
    <row r="73" spans="2:10" ht="15" customHeight="1">
      <c r="B73" s="114">
        <v>2022</v>
      </c>
      <c r="C73" s="430">
        <f>G51</f>
        <v>43</v>
      </c>
      <c r="D73" s="431"/>
      <c r="E73" s="121">
        <f>E65</f>
        <v>0.74869947979191676</v>
      </c>
      <c r="F73" s="120">
        <f t="shared" si="1"/>
        <v>32.194077631052423</v>
      </c>
      <c r="G73" s="118">
        <f t="shared" si="4"/>
        <v>50</v>
      </c>
      <c r="H73" s="119">
        <f t="shared" si="2"/>
        <v>17.805922368947577</v>
      </c>
      <c r="I73" s="118" t="str">
        <f t="shared" si="5"/>
        <v>NO</v>
      </c>
      <c r="J73" s="117">
        <f t="shared" si="3"/>
        <v>40.194077631052423</v>
      </c>
    </row>
    <row r="74" spans="2:10" ht="15" customHeight="1">
      <c r="B74" s="114">
        <v>2023</v>
      </c>
      <c r="C74" s="430">
        <f>H51</f>
        <v>50</v>
      </c>
      <c r="D74" s="431"/>
      <c r="E74" s="121">
        <f>E65</f>
        <v>0.74869947979191676</v>
      </c>
      <c r="F74" s="120">
        <f t="shared" si="1"/>
        <v>37.434973989595839</v>
      </c>
      <c r="G74" s="118">
        <f t="shared" si="4"/>
        <v>50</v>
      </c>
      <c r="H74" s="119">
        <f t="shared" si="2"/>
        <v>12.565026010404161</v>
      </c>
      <c r="I74" s="118" t="str">
        <f t="shared" si="5"/>
        <v>NO</v>
      </c>
      <c r="J74" s="117">
        <f t="shared" si="3"/>
        <v>45.434973989595839</v>
      </c>
    </row>
    <row r="75" spans="2:10" ht="15" customHeight="1">
      <c r="B75" s="114">
        <v>2024</v>
      </c>
      <c r="C75" s="430">
        <f>I51</f>
        <v>51</v>
      </c>
      <c r="D75" s="431"/>
      <c r="E75" s="121">
        <f>E65</f>
        <v>0.74869947979191676</v>
      </c>
      <c r="F75" s="120">
        <f t="shared" si="1"/>
        <v>38.183673469387756</v>
      </c>
      <c r="G75" s="118">
        <f t="shared" si="4"/>
        <v>50</v>
      </c>
      <c r="H75" s="119">
        <f t="shared" si="2"/>
        <v>11.816326530612244</v>
      </c>
      <c r="I75" s="118" t="str">
        <f t="shared" si="5"/>
        <v>NO</v>
      </c>
      <c r="J75" s="117">
        <f t="shared" si="3"/>
        <v>46.183673469387756</v>
      </c>
    </row>
    <row r="76" spans="2:10" ht="15" customHeight="1">
      <c r="B76" s="114">
        <v>2025</v>
      </c>
      <c r="C76" s="430">
        <f>J51</f>
        <v>53</v>
      </c>
      <c r="D76" s="431"/>
      <c r="E76" s="121">
        <f>E65</f>
        <v>0.74869947979191676</v>
      </c>
      <c r="F76" s="120">
        <f t="shared" si="1"/>
        <v>39.681072428971589</v>
      </c>
      <c r="G76" s="118">
        <f t="shared" si="4"/>
        <v>50</v>
      </c>
      <c r="H76" s="119">
        <f t="shared" si="2"/>
        <v>10.318927571028411</v>
      </c>
      <c r="I76" s="118" t="str">
        <f t="shared" si="5"/>
        <v>NO</v>
      </c>
      <c r="J76" s="117">
        <f t="shared" si="3"/>
        <v>47.681072428971589</v>
      </c>
    </row>
    <row r="77" spans="2:10" ht="15" customHeight="1">
      <c r="B77" s="114">
        <v>2026</v>
      </c>
      <c r="C77" s="430">
        <f>K51</f>
        <v>53</v>
      </c>
      <c r="D77" s="431"/>
      <c r="E77" s="121">
        <f>E65</f>
        <v>0.74869947979191676</v>
      </c>
      <c r="F77" s="120">
        <f t="shared" si="1"/>
        <v>39.681072428971589</v>
      </c>
      <c r="G77" s="118">
        <f t="shared" si="4"/>
        <v>50</v>
      </c>
      <c r="H77" s="119">
        <f t="shared" si="2"/>
        <v>10.318927571028411</v>
      </c>
      <c r="I77" s="118" t="str">
        <f t="shared" si="5"/>
        <v>NO</v>
      </c>
      <c r="J77" s="117">
        <f t="shared" si="3"/>
        <v>47.681072428971589</v>
      </c>
    </row>
    <row r="78" spans="2:10" ht="15" customHeight="1">
      <c r="B78" s="114">
        <v>2027</v>
      </c>
      <c r="C78" s="430">
        <f>L51</f>
        <v>53</v>
      </c>
      <c r="D78" s="431"/>
      <c r="E78" s="121">
        <f>E65</f>
        <v>0.74869947979191676</v>
      </c>
      <c r="F78" s="120">
        <f t="shared" si="1"/>
        <v>39.681072428971589</v>
      </c>
      <c r="G78" s="118">
        <f t="shared" si="4"/>
        <v>50</v>
      </c>
      <c r="H78" s="119">
        <f t="shared" si="2"/>
        <v>10.318927571028411</v>
      </c>
      <c r="I78" s="118" t="str">
        <f t="shared" si="5"/>
        <v>NO</v>
      </c>
      <c r="J78" s="117">
        <f t="shared" si="3"/>
        <v>47.681072428971589</v>
      </c>
    </row>
    <row r="79" spans="2:10" ht="15" customHeight="1">
      <c r="B79" s="114">
        <v>2028</v>
      </c>
      <c r="C79" s="430">
        <f>M51</f>
        <v>53</v>
      </c>
      <c r="D79" s="431"/>
      <c r="E79" s="121">
        <f t="shared" ref="E79:E83" si="6">$E$65</f>
        <v>0.74869947979191676</v>
      </c>
      <c r="F79" s="120">
        <f t="shared" si="1"/>
        <v>39.681072428971589</v>
      </c>
      <c r="G79" s="118">
        <f t="shared" si="4"/>
        <v>50</v>
      </c>
      <c r="H79" s="119">
        <f t="shared" si="2"/>
        <v>10.318927571028411</v>
      </c>
      <c r="I79" s="118" t="str">
        <f t="shared" si="5"/>
        <v>NO</v>
      </c>
      <c r="J79" s="117">
        <f t="shared" si="3"/>
        <v>47.681072428971589</v>
      </c>
    </row>
    <row r="80" spans="2:10" ht="15" customHeight="1">
      <c r="B80" s="114">
        <v>2029</v>
      </c>
      <c r="C80" s="430">
        <f>N51</f>
        <v>53</v>
      </c>
      <c r="D80" s="431"/>
      <c r="E80" s="121">
        <f t="shared" si="6"/>
        <v>0.74869947979191676</v>
      </c>
      <c r="F80" s="120">
        <f t="shared" si="1"/>
        <v>39.681072428971589</v>
      </c>
      <c r="G80" s="118">
        <f t="shared" si="4"/>
        <v>50</v>
      </c>
      <c r="H80" s="119">
        <f t="shared" si="2"/>
        <v>10.318927571028411</v>
      </c>
      <c r="I80" s="118" t="str">
        <f t="shared" si="5"/>
        <v>NO</v>
      </c>
      <c r="J80" s="117">
        <f t="shared" si="3"/>
        <v>47.681072428971589</v>
      </c>
    </row>
    <row r="81" spans="2:10" ht="15" customHeight="1">
      <c r="B81" s="114">
        <v>2030</v>
      </c>
      <c r="C81" s="430">
        <f>O51</f>
        <v>53</v>
      </c>
      <c r="D81" s="431"/>
      <c r="E81" s="121">
        <f t="shared" si="6"/>
        <v>0.74869947979191676</v>
      </c>
      <c r="F81" s="120">
        <f t="shared" si="1"/>
        <v>39.681072428971589</v>
      </c>
      <c r="G81" s="118">
        <f t="shared" si="4"/>
        <v>50</v>
      </c>
      <c r="H81" s="119">
        <f t="shared" si="2"/>
        <v>10.318927571028411</v>
      </c>
      <c r="I81" s="118" t="str">
        <f t="shared" si="5"/>
        <v>NO</v>
      </c>
      <c r="J81" s="117">
        <f t="shared" si="3"/>
        <v>47.681072428971589</v>
      </c>
    </row>
    <row r="82" spans="2:10" ht="15" customHeight="1">
      <c r="B82" s="114">
        <v>2031</v>
      </c>
      <c r="C82" s="430">
        <f>P51</f>
        <v>54</v>
      </c>
      <c r="D82" s="431"/>
      <c r="E82" s="121">
        <f t="shared" si="6"/>
        <v>0.74869947979191676</v>
      </c>
      <c r="F82" s="120">
        <f t="shared" si="1"/>
        <v>40.429771908763506</v>
      </c>
      <c r="G82" s="118">
        <f t="shared" si="4"/>
        <v>50</v>
      </c>
      <c r="H82" s="119">
        <f t="shared" si="2"/>
        <v>9.5702280912364941</v>
      </c>
      <c r="I82" s="118" t="str">
        <f t="shared" si="5"/>
        <v>NO</v>
      </c>
      <c r="J82" s="117">
        <f t="shared" si="3"/>
        <v>48.429771908763506</v>
      </c>
    </row>
    <row r="83" spans="2:10" ht="15" customHeight="1">
      <c r="B83" s="114">
        <v>2032</v>
      </c>
      <c r="C83" s="430">
        <f>Q51</f>
        <v>53</v>
      </c>
      <c r="D83" s="431"/>
      <c r="E83" s="121">
        <f t="shared" si="6"/>
        <v>0.74869947979191676</v>
      </c>
      <c r="F83" s="120">
        <f t="shared" si="1"/>
        <v>39.681072428971589</v>
      </c>
      <c r="G83" s="118">
        <f t="shared" si="4"/>
        <v>50</v>
      </c>
      <c r="H83" s="119">
        <f t="shared" si="2"/>
        <v>10.318927571028411</v>
      </c>
      <c r="I83" s="118" t="str">
        <f t="shared" si="5"/>
        <v>NO</v>
      </c>
      <c r="J83" s="117">
        <f t="shared" si="3"/>
        <v>47.681072428971589</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Dalry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44</v>
      </c>
      <c r="D91" s="112">
        <f t="shared" ref="D91:J91" si="7">D188</f>
        <v>38</v>
      </c>
      <c r="E91" s="112">
        <f t="shared" si="7"/>
        <v>50</v>
      </c>
      <c r="F91" s="112">
        <f t="shared" si="7"/>
        <v>40</v>
      </c>
      <c r="G91" s="112">
        <f t="shared" si="7"/>
        <v>38</v>
      </c>
      <c r="H91" s="112">
        <f t="shared" si="7"/>
        <v>39</v>
      </c>
      <c r="I91" s="112">
        <f t="shared" si="7"/>
        <v>28</v>
      </c>
      <c r="J91" s="213">
        <f t="shared" si="7"/>
        <v>277</v>
      </c>
    </row>
    <row r="92" spans="2:10" ht="15" customHeight="1">
      <c r="B92" s="114">
        <v>2014</v>
      </c>
      <c r="C92" s="112">
        <f>C189</f>
        <v>41</v>
      </c>
      <c r="D92" s="112">
        <f t="shared" ref="D92:J92" si="8">D189</f>
        <v>43</v>
      </c>
      <c r="E92" s="112">
        <f t="shared" si="8"/>
        <v>30</v>
      </c>
      <c r="F92" s="112">
        <f t="shared" si="8"/>
        <v>46</v>
      </c>
      <c r="G92" s="112">
        <f t="shared" si="8"/>
        <v>38</v>
      </c>
      <c r="H92" s="112">
        <f t="shared" si="8"/>
        <v>30</v>
      </c>
      <c r="I92" s="112">
        <f t="shared" si="8"/>
        <v>39</v>
      </c>
      <c r="J92" s="213">
        <f t="shared" si="8"/>
        <v>267</v>
      </c>
    </row>
    <row r="93" spans="2:10" ht="15" customHeight="1">
      <c r="B93" s="114">
        <v>2015</v>
      </c>
      <c r="C93" s="112">
        <f>C190</f>
        <v>49</v>
      </c>
      <c r="D93" s="112">
        <f t="shared" ref="D93:J93" si="9">D190</f>
        <v>36</v>
      </c>
      <c r="E93" s="112">
        <f t="shared" si="9"/>
        <v>44</v>
      </c>
      <c r="F93" s="112">
        <f t="shared" si="9"/>
        <v>24</v>
      </c>
      <c r="G93" s="112">
        <f t="shared" si="9"/>
        <v>46</v>
      </c>
      <c r="H93" s="112">
        <f t="shared" si="9"/>
        <v>35</v>
      </c>
      <c r="I93" s="112">
        <f t="shared" si="9"/>
        <v>30</v>
      </c>
      <c r="J93" s="213">
        <f t="shared" si="9"/>
        <v>264</v>
      </c>
    </row>
    <row r="94" spans="2:10" ht="15" customHeight="1">
      <c r="B94" s="114">
        <v>2016</v>
      </c>
      <c r="C94" s="112">
        <f>C191</f>
        <v>42</v>
      </c>
      <c r="D94" s="112">
        <f t="shared" ref="D94:J94" si="10">D191</f>
        <v>52</v>
      </c>
      <c r="E94" s="112">
        <f t="shared" si="10"/>
        <v>33</v>
      </c>
      <c r="F94" s="112">
        <f t="shared" si="10"/>
        <v>38</v>
      </c>
      <c r="G94" s="112">
        <f t="shared" si="10"/>
        <v>21</v>
      </c>
      <c r="H94" s="112">
        <f t="shared" si="10"/>
        <v>43</v>
      </c>
      <c r="I94" s="112">
        <f t="shared" si="10"/>
        <v>32</v>
      </c>
      <c r="J94" s="213">
        <f t="shared" si="10"/>
        <v>261</v>
      </c>
    </row>
    <row r="95" spans="2:10" ht="15" customHeight="1">
      <c r="B95" s="114">
        <v>2017</v>
      </c>
      <c r="C95" s="112">
        <f>C192</f>
        <v>47</v>
      </c>
      <c r="D95" s="112">
        <f t="shared" ref="D95:J95" si="11">D192</f>
        <v>31</v>
      </c>
      <c r="E95" s="112">
        <f t="shared" si="11"/>
        <v>52</v>
      </c>
      <c r="F95" s="112">
        <f t="shared" si="11"/>
        <v>32</v>
      </c>
      <c r="G95" s="112">
        <f t="shared" si="11"/>
        <v>31</v>
      </c>
      <c r="H95" s="112">
        <f t="shared" si="11"/>
        <v>20</v>
      </c>
      <c r="I95" s="112">
        <f t="shared" si="11"/>
        <v>36</v>
      </c>
      <c r="J95" s="213">
        <f t="shared" si="11"/>
        <v>249</v>
      </c>
    </row>
    <row r="96" spans="2:10" ht="15" customHeight="1">
      <c r="B96" s="307">
        <v>2018</v>
      </c>
      <c r="C96" s="112">
        <f t="shared" ref="C96:J96" si="12">C193</f>
        <v>52</v>
      </c>
      <c r="D96" s="112">
        <f t="shared" si="12"/>
        <v>40</v>
      </c>
      <c r="E96" s="112">
        <f t="shared" si="12"/>
        <v>30</v>
      </c>
      <c r="F96" s="112">
        <f t="shared" si="12"/>
        <v>47</v>
      </c>
      <c r="G96" s="112">
        <f t="shared" si="12"/>
        <v>28</v>
      </c>
      <c r="H96" s="112">
        <f t="shared" si="12"/>
        <v>29</v>
      </c>
      <c r="I96" s="112">
        <f t="shared" si="12"/>
        <v>21</v>
      </c>
      <c r="J96" s="213">
        <f t="shared" si="12"/>
        <v>247</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0.12195121951219512</v>
      </c>
      <c r="E98" s="210">
        <f t="shared" ref="E98:I98" si="13">MEDIAN(((D91-E92)/D91),((D92-E93)/D92),((D93-E94)/D93),((D94-E95)/D94),((D95-E96)/D95))</f>
        <v>3.2258064516129031E-2</v>
      </c>
      <c r="F98" s="210">
        <f t="shared" si="13"/>
        <v>9.6153846153846159E-2</v>
      </c>
      <c r="G98" s="210">
        <f t="shared" si="13"/>
        <v>0.125</v>
      </c>
      <c r="H98" s="210">
        <f t="shared" si="13"/>
        <v>6.5217391304347824E-2</v>
      </c>
      <c r="I98" s="210">
        <f t="shared" si="13"/>
        <v>0</v>
      </c>
    </row>
    <row r="99" spans="2:10" ht="18.75">
      <c r="B99" s="59"/>
      <c r="C99" s="60"/>
      <c r="D99" s="61"/>
      <c r="E99" s="61"/>
      <c r="F99" s="61"/>
      <c r="G99" s="61"/>
      <c r="H99" s="61"/>
      <c r="I99" s="61"/>
      <c r="J99" s="58"/>
    </row>
    <row r="100" spans="2:10">
      <c r="B100" s="15" t="str">
        <f>"Table 4B: "&amp;E3&amp;" Projected Roll by Stage (incorporating Projected P1 and Drop-Off Rates), 2019-2032"</f>
        <v>Table 4B: Dalry Primary School Projected Roll by Stage (incorporating Projected P1 and Drop-Off Rates), 2019-2032</v>
      </c>
      <c r="F100" s="14"/>
      <c r="G100" s="14"/>
    </row>
    <row r="101" spans="2:10" ht="12.75">
      <c r="F101" s="14"/>
      <c r="G101" s="14"/>
    </row>
    <row r="102" spans="2:10">
      <c r="B102" s="115"/>
      <c r="C102" s="109" t="s">
        <v>1</v>
      </c>
      <c r="D102" s="109" t="s">
        <v>2</v>
      </c>
      <c r="E102" s="109" t="s">
        <v>3</v>
      </c>
      <c r="F102" s="109" t="s">
        <v>4</v>
      </c>
      <c r="G102" s="109" t="s">
        <v>5</v>
      </c>
      <c r="H102" s="109" t="s">
        <v>6</v>
      </c>
      <c r="I102" s="109" t="s">
        <v>7</v>
      </c>
      <c r="J102" s="109" t="s">
        <v>8</v>
      </c>
    </row>
    <row r="103" spans="2:10">
      <c r="B103" s="114">
        <v>2019</v>
      </c>
      <c r="C103" s="113">
        <f t="shared" ref="C103:C116" si="14">J70</f>
        <v>30</v>
      </c>
      <c r="D103" s="324">
        <f>ROUND((C96)-(C96*$D$98),0)</f>
        <v>46</v>
      </c>
      <c r="E103" s="324">
        <f>ROUND((D96)-(D96*$E$98),0)</f>
        <v>39</v>
      </c>
      <c r="F103" s="324">
        <f>ROUND((E96)-(E96*$F$98),0)</f>
        <v>27</v>
      </c>
      <c r="G103" s="324">
        <f>ROUND((F96)-(F96*$G$98),0)</f>
        <v>41</v>
      </c>
      <c r="H103" s="324">
        <f>ROUND((G96)-(G96*$H$98),0)</f>
        <v>26</v>
      </c>
      <c r="I103" s="324">
        <f>ROUND((H96)-(H96*$I$98),0)</f>
        <v>29</v>
      </c>
      <c r="J103" s="111">
        <f t="shared" ref="J103:J116" si="15">SUM(C103:I103)</f>
        <v>238</v>
      </c>
    </row>
    <row r="104" spans="2:10">
      <c r="B104" s="114">
        <v>2020</v>
      </c>
      <c r="C104" s="113">
        <f t="shared" si="14"/>
        <v>47.681072428971589</v>
      </c>
      <c r="D104" s="324">
        <f>ROUND((C103-E50)-(C103*$D$98),0)</f>
        <v>25</v>
      </c>
      <c r="E104" s="112">
        <f t="shared" ref="E104:E116" si="16">ROUND((D103)-(D103*$E$98),0)</f>
        <v>45</v>
      </c>
      <c r="F104" s="112">
        <f t="shared" ref="F104:F116" si="17">ROUND((E103)-(E103*$F$98),0)</f>
        <v>35</v>
      </c>
      <c r="G104" s="112">
        <f t="shared" ref="G104:G116" si="18">ROUND((F103)-(F103*$G$98),0)</f>
        <v>24</v>
      </c>
      <c r="H104" s="112">
        <f t="shared" ref="H104:H116" si="19">ROUND((G103)-(G103*$H$98),0)</f>
        <v>38</v>
      </c>
      <c r="I104" s="112">
        <f t="shared" ref="I104:I116" si="20">ROUND((H103)-(H103*$I$98),0)</f>
        <v>26</v>
      </c>
      <c r="J104" s="111">
        <f t="shared" si="15"/>
        <v>240.68107242897159</v>
      </c>
    </row>
    <row r="105" spans="2:10">
      <c r="B105" s="114">
        <v>2021</v>
      </c>
      <c r="C105" s="113">
        <f t="shared" si="14"/>
        <v>44.686274509803923</v>
      </c>
      <c r="D105" s="324">
        <f>ROUND((C104-F50)-(C104*$D$98),0)</f>
        <v>41</v>
      </c>
      <c r="E105" s="112">
        <f t="shared" si="16"/>
        <v>24</v>
      </c>
      <c r="F105" s="112">
        <f t="shared" si="17"/>
        <v>41</v>
      </c>
      <c r="G105" s="112">
        <f t="shared" si="18"/>
        <v>31</v>
      </c>
      <c r="H105" s="112">
        <f t="shared" si="19"/>
        <v>22</v>
      </c>
      <c r="I105" s="112">
        <f t="shared" si="20"/>
        <v>38</v>
      </c>
      <c r="J105" s="111">
        <f t="shared" si="15"/>
        <v>241.68627450980392</v>
      </c>
    </row>
    <row r="106" spans="2:10">
      <c r="B106" s="114">
        <v>2022</v>
      </c>
      <c r="C106" s="113">
        <f t="shared" si="14"/>
        <v>40.194077631052423</v>
      </c>
      <c r="D106" s="324">
        <f>ROUND((C105-G50)-(C105*$D$98),0)</f>
        <v>37</v>
      </c>
      <c r="E106" s="112">
        <f t="shared" si="16"/>
        <v>40</v>
      </c>
      <c r="F106" s="112">
        <f t="shared" si="17"/>
        <v>22</v>
      </c>
      <c r="G106" s="112">
        <f t="shared" si="18"/>
        <v>36</v>
      </c>
      <c r="H106" s="112">
        <f t="shared" si="19"/>
        <v>29</v>
      </c>
      <c r="I106" s="112">
        <f t="shared" si="20"/>
        <v>22</v>
      </c>
      <c r="J106" s="111">
        <f t="shared" si="15"/>
        <v>226.19407763105244</v>
      </c>
    </row>
    <row r="107" spans="2:10">
      <c r="B107" s="114">
        <v>2023</v>
      </c>
      <c r="C107" s="113">
        <f t="shared" si="14"/>
        <v>45.434973989595839</v>
      </c>
      <c r="D107" s="324">
        <f>ROUND((C106-H50)-(C106*$D$98),0)</f>
        <v>33</v>
      </c>
      <c r="E107" s="112">
        <f t="shared" si="16"/>
        <v>36</v>
      </c>
      <c r="F107" s="112">
        <f t="shared" si="17"/>
        <v>36</v>
      </c>
      <c r="G107" s="112">
        <f t="shared" si="18"/>
        <v>19</v>
      </c>
      <c r="H107" s="112">
        <f t="shared" si="19"/>
        <v>34</v>
      </c>
      <c r="I107" s="112">
        <f t="shared" si="20"/>
        <v>29</v>
      </c>
      <c r="J107" s="111">
        <f t="shared" si="15"/>
        <v>232.43497398959585</v>
      </c>
    </row>
    <row r="108" spans="2:10">
      <c r="B108" s="114">
        <v>2024</v>
      </c>
      <c r="C108" s="113">
        <f t="shared" si="14"/>
        <v>46.183673469387756</v>
      </c>
      <c r="D108" s="324">
        <f>ROUND((C107-I50)-(C107*$D$98),0)</f>
        <v>37</v>
      </c>
      <c r="E108" s="112">
        <f t="shared" si="16"/>
        <v>32</v>
      </c>
      <c r="F108" s="112">
        <f t="shared" si="17"/>
        <v>33</v>
      </c>
      <c r="G108" s="112">
        <f t="shared" si="18"/>
        <v>32</v>
      </c>
      <c r="H108" s="112">
        <f t="shared" si="19"/>
        <v>18</v>
      </c>
      <c r="I108" s="112">
        <f t="shared" si="20"/>
        <v>34</v>
      </c>
      <c r="J108" s="111">
        <f t="shared" si="15"/>
        <v>232.18367346938777</v>
      </c>
    </row>
    <row r="109" spans="2:10">
      <c r="B109" s="114">
        <v>2025</v>
      </c>
      <c r="C109" s="113">
        <f t="shared" si="14"/>
        <v>47.681072428971589</v>
      </c>
      <c r="D109" s="324">
        <f>ROUND((C108-J50)-(C108*$D$98),0)</f>
        <v>37</v>
      </c>
      <c r="E109" s="112">
        <f t="shared" si="16"/>
        <v>36</v>
      </c>
      <c r="F109" s="112">
        <f t="shared" si="17"/>
        <v>29</v>
      </c>
      <c r="G109" s="112">
        <f t="shared" si="18"/>
        <v>29</v>
      </c>
      <c r="H109" s="112">
        <f t="shared" si="19"/>
        <v>30</v>
      </c>
      <c r="I109" s="112">
        <f t="shared" si="20"/>
        <v>18</v>
      </c>
      <c r="J109" s="111">
        <f t="shared" si="15"/>
        <v>226.68107242897159</v>
      </c>
    </row>
    <row r="110" spans="2:10">
      <c r="B110" s="114">
        <v>2026</v>
      </c>
      <c r="C110" s="113">
        <f t="shared" si="14"/>
        <v>47.681072428971589</v>
      </c>
      <c r="D110" s="324">
        <f>ROUND((C109-K50)-(C109*$D$98),0)</f>
        <v>38</v>
      </c>
      <c r="E110" s="112">
        <f t="shared" si="16"/>
        <v>36</v>
      </c>
      <c r="F110" s="112">
        <f t="shared" si="17"/>
        <v>33</v>
      </c>
      <c r="G110" s="112">
        <f t="shared" si="18"/>
        <v>25</v>
      </c>
      <c r="H110" s="112">
        <f t="shared" si="19"/>
        <v>27</v>
      </c>
      <c r="I110" s="112">
        <f t="shared" si="20"/>
        <v>30</v>
      </c>
      <c r="J110" s="111">
        <f t="shared" si="15"/>
        <v>236.68107242897159</v>
      </c>
    </row>
    <row r="111" spans="2:10">
      <c r="B111" s="114">
        <v>2027</v>
      </c>
      <c r="C111" s="113">
        <f t="shared" si="14"/>
        <v>47.681072428971589</v>
      </c>
      <c r="D111" s="324">
        <f>ROUND((C110-L50)-(C110*$D$98),0)</f>
        <v>38</v>
      </c>
      <c r="E111" s="112">
        <f t="shared" si="16"/>
        <v>37</v>
      </c>
      <c r="F111" s="112">
        <f t="shared" si="17"/>
        <v>33</v>
      </c>
      <c r="G111" s="112">
        <f t="shared" si="18"/>
        <v>29</v>
      </c>
      <c r="H111" s="112">
        <f t="shared" si="19"/>
        <v>23</v>
      </c>
      <c r="I111" s="112">
        <f t="shared" si="20"/>
        <v>27</v>
      </c>
      <c r="J111" s="111">
        <f t="shared" si="15"/>
        <v>234.68107242897159</v>
      </c>
    </row>
    <row r="112" spans="2:10">
      <c r="B112" s="114">
        <v>2028</v>
      </c>
      <c r="C112" s="113">
        <f t="shared" si="14"/>
        <v>47.681072428971589</v>
      </c>
      <c r="D112" s="324">
        <f>ROUND((C111-M50)-(C111*$D$98),0)</f>
        <v>38</v>
      </c>
      <c r="E112" s="112">
        <f t="shared" si="16"/>
        <v>37</v>
      </c>
      <c r="F112" s="112">
        <f t="shared" si="17"/>
        <v>33</v>
      </c>
      <c r="G112" s="112">
        <f t="shared" si="18"/>
        <v>29</v>
      </c>
      <c r="H112" s="112">
        <f t="shared" si="19"/>
        <v>27</v>
      </c>
      <c r="I112" s="112">
        <f t="shared" si="20"/>
        <v>23</v>
      </c>
      <c r="J112" s="111">
        <f t="shared" si="15"/>
        <v>234.68107242897159</v>
      </c>
    </row>
    <row r="113" spans="2:10" ht="15" customHeight="1">
      <c r="B113" s="114">
        <v>2029</v>
      </c>
      <c r="C113" s="113">
        <f t="shared" si="14"/>
        <v>47.681072428971589</v>
      </c>
      <c r="D113" s="324">
        <f>ROUND((C112-N50)-(C112*$D$98),0)</f>
        <v>38</v>
      </c>
      <c r="E113" s="112">
        <f t="shared" si="16"/>
        <v>37</v>
      </c>
      <c r="F113" s="112">
        <f t="shared" si="17"/>
        <v>33</v>
      </c>
      <c r="G113" s="112">
        <f t="shared" si="18"/>
        <v>29</v>
      </c>
      <c r="H113" s="112">
        <f t="shared" si="19"/>
        <v>27</v>
      </c>
      <c r="I113" s="112">
        <f t="shared" si="20"/>
        <v>27</v>
      </c>
      <c r="J113" s="111">
        <f t="shared" si="15"/>
        <v>238.68107242897159</v>
      </c>
    </row>
    <row r="114" spans="2:10" ht="15" customHeight="1">
      <c r="B114" s="114">
        <v>2030</v>
      </c>
      <c r="C114" s="113">
        <f t="shared" si="14"/>
        <v>47.681072428971589</v>
      </c>
      <c r="D114" s="324">
        <f>ROUND((C113-O50)-(C113*$D$98),0)</f>
        <v>38</v>
      </c>
      <c r="E114" s="112">
        <f t="shared" si="16"/>
        <v>37</v>
      </c>
      <c r="F114" s="112">
        <f t="shared" si="17"/>
        <v>33</v>
      </c>
      <c r="G114" s="112">
        <f t="shared" si="18"/>
        <v>29</v>
      </c>
      <c r="H114" s="112">
        <f t="shared" si="19"/>
        <v>27</v>
      </c>
      <c r="I114" s="112">
        <f t="shared" si="20"/>
        <v>27</v>
      </c>
      <c r="J114" s="111">
        <f t="shared" si="15"/>
        <v>238.68107242897159</v>
      </c>
    </row>
    <row r="115" spans="2:10" ht="15" customHeight="1">
      <c r="B115" s="114">
        <v>2031</v>
      </c>
      <c r="C115" s="113">
        <f t="shared" si="14"/>
        <v>48.429771908763506</v>
      </c>
      <c r="D115" s="324">
        <f>ROUND((C114-P50)-(C114*$D$98),0)</f>
        <v>38</v>
      </c>
      <c r="E115" s="112">
        <f t="shared" si="16"/>
        <v>37</v>
      </c>
      <c r="F115" s="112">
        <f t="shared" si="17"/>
        <v>33</v>
      </c>
      <c r="G115" s="112">
        <f t="shared" si="18"/>
        <v>29</v>
      </c>
      <c r="H115" s="112">
        <f t="shared" si="19"/>
        <v>27</v>
      </c>
      <c r="I115" s="112">
        <f t="shared" si="20"/>
        <v>27</v>
      </c>
      <c r="J115" s="111">
        <f t="shared" si="15"/>
        <v>239.42977190876351</v>
      </c>
    </row>
    <row r="116" spans="2:10" ht="15" customHeight="1">
      <c r="B116" s="114">
        <v>2032</v>
      </c>
      <c r="C116" s="113">
        <f t="shared" si="14"/>
        <v>47.681072428971589</v>
      </c>
      <c r="D116" s="324">
        <f>ROUND((C115-Q50)-(C115*$D$98),0)</f>
        <v>39</v>
      </c>
      <c r="E116" s="112">
        <f t="shared" si="16"/>
        <v>37</v>
      </c>
      <c r="F116" s="112">
        <f t="shared" si="17"/>
        <v>33</v>
      </c>
      <c r="G116" s="112">
        <f t="shared" si="18"/>
        <v>29</v>
      </c>
      <c r="H116" s="112">
        <f t="shared" si="19"/>
        <v>27</v>
      </c>
      <c r="I116" s="112">
        <f t="shared" si="20"/>
        <v>27</v>
      </c>
      <c r="J116" s="111">
        <f t="shared" si="15"/>
        <v>239.68107242897159</v>
      </c>
    </row>
    <row r="117" spans="2:10" ht="15" hidden="1" customHeight="1">
      <c r="F117" s="14"/>
      <c r="G117" s="14"/>
    </row>
    <row r="118" spans="2:10" ht="15" hidden="1" customHeight="1">
      <c r="B118" s="15" t="str">
        <f>"Table 4C: "&amp;E3&amp;" Projected Pupil Generation from Housing Development, 2019-2032"</f>
        <v>Table 4C: Dalry Primary School Projected Pupil Generation from Housing Development, 2019-2032</v>
      </c>
      <c r="F118" s="14"/>
      <c r="G118" s="14"/>
    </row>
    <row r="119" spans="2:10" ht="15" hidden="1" customHeight="1">
      <c r="F119" s="14"/>
      <c r="G119" s="14"/>
    </row>
    <row r="120" spans="2:10" ht="15" hidden="1" customHeight="1">
      <c r="B120" s="115"/>
      <c r="C120" s="109" t="s">
        <v>1</v>
      </c>
      <c r="D120" s="109" t="s">
        <v>2</v>
      </c>
      <c r="E120" s="109" t="s">
        <v>3</v>
      </c>
      <c r="F120" s="109" t="s">
        <v>4</v>
      </c>
      <c r="G120" s="109" t="s">
        <v>5</v>
      </c>
      <c r="H120" s="109" t="s">
        <v>6</v>
      </c>
      <c r="I120" s="109" t="s">
        <v>7</v>
      </c>
      <c r="J120" s="109" t="s">
        <v>8</v>
      </c>
    </row>
    <row r="121" spans="2:10" ht="15" hidden="1" customHeight="1">
      <c r="B121" s="114">
        <v>2019</v>
      </c>
      <c r="C121" s="116" t="s">
        <v>97</v>
      </c>
      <c r="D121" s="112">
        <f>VLOOKUP($E$3,'Housing Generation'!$A$3:$BE$90,11,FALSE)</f>
        <v>0</v>
      </c>
      <c r="E121" s="112">
        <f>VLOOKUP($E$3,'Housing Generation'!$A$3:$BE$90,12,FALSE)</f>
        <v>0</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0</v>
      </c>
    </row>
    <row r="122" spans="2:10" ht="15" hidden="1" customHeight="1">
      <c r="B122" s="114">
        <v>2020</v>
      </c>
      <c r="C122" s="116" t="s">
        <v>97</v>
      </c>
      <c r="D122" s="112">
        <f>VLOOKUP($E$3,'Housing Generation'!$A$3:$BE$90,19,FALSE)</f>
        <v>0</v>
      </c>
      <c r="E122" s="112">
        <f>VLOOKUP($E$3,'Housing Generation'!$A$3:$BE$90,20,FALSE)</f>
        <v>0</v>
      </c>
      <c r="F122" s="112">
        <f>VLOOKUP($E$3,'Housing Generation'!$A$3:$BE$90,21,FALSE)</f>
        <v>0</v>
      </c>
      <c r="G122" s="112">
        <f>VLOOKUP($E$3,'Housing Generation'!$A$3:$BE$90,22,FALSE)</f>
        <v>0</v>
      </c>
      <c r="H122" s="112">
        <f>VLOOKUP($E$3,'Housing Generation'!$A$3:$BE$90,23,FALSE)</f>
        <v>0</v>
      </c>
      <c r="I122" s="112">
        <f>VLOOKUP($E$3,'Housing Generation'!$A$3:$BE$90,24,FALSE)</f>
        <v>0</v>
      </c>
      <c r="J122" s="111">
        <f t="shared" si="21"/>
        <v>0</v>
      </c>
    </row>
    <row r="123" spans="2:10" ht="15" hidden="1" customHeight="1">
      <c r="B123" s="114">
        <v>2021</v>
      </c>
      <c r="C123" s="116" t="s">
        <v>97</v>
      </c>
      <c r="D123" s="112">
        <f>VLOOKUP($E$3,'Housing Generation'!$A$3:$BE$90,27,FALSE)</f>
        <v>1</v>
      </c>
      <c r="E123" s="112">
        <f>VLOOKUP($E$3,'Housing Generation'!$A$3:$BE$90,28,FALSE)</f>
        <v>0</v>
      </c>
      <c r="F123" s="112">
        <f>VLOOKUP($E$3,'Housing Generation'!$A$3:$BE$90,29,FALSE)</f>
        <v>0</v>
      </c>
      <c r="G123" s="112">
        <f>VLOOKUP($E$3,'Housing Generation'!$A$3:$BE$90,30,FALSE)</f>
        <v>0</v>
      </c>
      <c r="H123" s="112">
        <f>VLOOKUP($E$3,'Housing Generation'!$A$3:$BE$90,31,FALSE)</f>
        <v>0</v>
      </c>
      <c r="I123" s="112">
        <f>VLOOKUP($E$3,'Housing Generation'!$A$3:$BE$90,32,FALSE)</f>
        <v>0</v>
      </c>
      <c r="J123" s="111">
        <f t="shared" si="21"/>
        <v>1</v>
      </c>
    </row>
    <row r="124" spans="2:10" ht="15" hidden="1" customHeight="1">
      <c r="B124" s="114">
        <v>2022</v>
      </c>
      <c r="C124" s="116" t="s">
        <v>97</v>
      </c>
      <c r="D124" s="112">
        <f>VLOOKUP($E$3,'Housing Generation'!$A$3:$BE$90,35,FALSE)</f>
        <v>2</v>
      </c>
      <c r="E124" s="112">
        <f>VLOOKUP($E$3,'Housing Generation'!$A$3:$BE$90,36,FALSE)</f>
        <v>2</v>
      </c>
      <c r="F124" s="112">
        <f>VLOOKUP($E$3,'Housing Generation'!$A$3:$BE$90,37,FALSE)</f>
        <v>1</v>
      </c>
      <c r="G124" s="112">
        <f>VLOOKUP($E$3,'Housing Generation'!$A$3:$BE$90,38,FALSE)</f>
        <v>1</v>
      </c>
      <c r="H124" s="112">
        <f>VLOOKUP($E$3,'Housing Generation'!$A$3:$BE$90,39,FALSE)</f>
        <v>1</v>
      </c>
      <c r="I124" s="112">
        <f>VLOOKUP($E$3,'Housing Generation'!$A$3:$BE$90,40,FALSE)</f>
        <v>1</v>
      </c>
      <c r="J124" s="111">
        <f t="shared" si="21"/>
        <v>8</v>
      </c>
    </row>
    <row r="125" spans="2:10" ht="15" hidden="1" customHeight="1">
      <c r="B125" s="114">
        <v>2023</v>
      </c>
      <c r="C125" s="116" t="s">
        <v>97</v>
      </c>
      <c r="D125" s="112">
        <f>VLOOKUP($E$3,'Housing Generation'!$A$3:$BE$90,43,FALSE)</f>
        <v>2</v>
      </c>
      <c r="E125" s="112">
        <f>VLOOKUP($E$3,'Housing Generation'!$A$3:$BE$90,44,FALSE)</f>
        <v>2</v>
      </c>
      <c r="F125" s="112">
        <f>VLOOKUP($E$3,'Housing Generation'!$A$3:$BE$90,45,FALSE)</f>
        <v>2</v>
      </c>
      <c r="G125" s="112">
        <f>VLOOKUP($E$3,'Housing Generation'!$A$3:$BE$90,46,FALSE)</f>
        <v>2</v>
      </c>
      <c r="H125" s="112">
        <f>VLOOKUP($E$3,'Housing Generation'!$A$3:$BE$90,47,FALSE)</f>
        <v>2</v>
      </c>
      <c r="I125" s="112">
        <f>VLOOKUP($E$3,'Housing Generation'!$A$3:$BE$90,48,FALSE)</f>
        <v>1</v>
      </c>
      <c r="J125" s="111">
        <f t="shared" si="21"/>
        <v>11</v>
      </c>
    </row>
    <row r="126" spans="2:10" ht="15" hidden="1" customHeight="1">
      <c r="B126" s="114">
        <v>2024</v>
      </c>
      <c r="C126" s="116" t="s">
        <v>97</v>
      </c>
      <c r="D126" s="112">
        <f>VLOOKUP($E$3,'Housing Generation'!$A$3:$BE$90,51,FALSE)</f>
        <v>3</v>
      </c>
      <c r="E126" s="112">
        <f>VLOOKUP($E$3,'Housing Generation'!$A$3:$BE$90,52,FALSE)</f>
        <v>3</v>
      </c>
      <c r="F126" s="112">
        <f>VLOOKUP($E$3,'Housing Generation'!$A$3:$BE$90,53,FALSE)</f>
        <v>3</v>
      </c>
      <c r="G126" s="112">
        <f>VLOOKUP($E$3,'Housing Generation'!$A$3:$BE$90,54,FALSE)</f>
        <v>3</v>
      </c>
      <c r="H126" s="112">
        <f>VLOOKUP($E$3,'Housing Generation'!$A$3:$BE$90,55,FALSE)</f>
        <v>2</v>
      </c>
      <c r="I126" s="112">
        <f>VLOOKUP($E$3,'Housing Generation'!$A$3:$BE$90,56,FALSE)</f>
        <v>2</v>
      </c>
      <c r="J126" s="111">
        <f t="shared" si="21"/>
        <v>16</v>
      </c>
    </row>
    <row r="127" spans="2:10" ht="15" hidden="1" customHeight="1">
      <c r="B127" s="114">
        <v>2025</v>
      </c>
      <c r="C127" s="240" t="s">
        <v>97</v>
      </c>
      <c r="D127" s="112">
        <f>VLOOKUP($E$3,'Housing Generation'!$A$3:$CK$90,59,FALSE)</f>
        <v>3</v>
      </c>
      <c r="E127" s="112">
        <f>VLOOKUP($E$3,'Housing Generation'!$A$3:$CK$90,60,FALSE)</f>
        <v>3</v>
      </c>
      <c r="F127" s="112">
        <f>VLOOKUP($E$3,'Housing Generation'!$A$3:$CK$90,61,FALSE)</f>
        <v>3</v>
      </c>
      <c r="G127" s="112">
        <f>VLOOKUP($E$3,'Housing Generation'!$A$3:$CK$90,62,FALSE)</f>
        <v>3</v>
      </c>
      <c r="H127" s="112">
        <f>VLOOKUP($E$3,'Housing Generation'!$A$3:$CK$90,63,FALSE)</f>
        <v>3</v>
      </c>
      <c r="I127" s="112">
        <f>VLOOKUP($E$3,'Housing Generation'!$A$3:$CK$90,64,FALSE)</f>
        <v>3</v>
      </c>
      <c r="J127" s="111">
        <f t="shared" si="21"/>
        <v>18</v>
      </c>
    </row>
    <row r="128" spans="2:10" ht="15" hidden="1" customHeight="1">
      <c r="B128" s="114">
        <v>2026</v>
      </c>
      <c r="C128" s="240" t="s">
        <v>97</v>
      </c>
      <c r="D128" s="112">
        <f>VLOOKUP($E$3,'Housing Generation'!$A$3:$CK$90,67,FALSE)</f>
        <v>4</v>
      </c>
      <c r="E128" s="112">
        <f>VLOOKUP($E$3,'Housing Generation'!$A$3:$CK$90,68,FALSE)</f>
        <v>4</v>
      </c>
      <c r="F128" s="112">
        <f>VLOOKUP($E$3,'Housing Generation'!$A$3:$CK$90,69,FALSE)</f>
        <v>4</v>
      </c>
      <c r="G128" s="112">
        <f>VLOOKUP($E$3,'Housing Generation'!$A$3:$CK$90,70,FALSE)</f>
        <v>3</v>
      </c>
      <c r="H128" s="112">
        <f>VLOOKUP($E$3,'Housing Generation'!$A$3:$CK$90,71,FALSE)</f>
        <v>3</v>
      </c>
      <c r="I128" s="112">
        <f>VLOOKUP($E$3,'Housing Generation'!$A$3:$CK$90,72,FALSE)</f>
        <v>3</v>
      </c>
      <c r="J128" s="111">
        <f t="shared" si="21"/>
        <v>21</v>
      </c>
    </row>
    <row r="129" spans="2:10" ht="15" hidden="1" customHeight="1">
      <c r="B129" s="114">
        <v>2027</v>
      </c>
      <c r="C129" s="240" t="s">
        <v>97</v>
      </c>
      <c r="D129" s="112">
        <f>VLOOKUP($E$3,'Housing Generation'!$A$3:$CK$90,75,FALSE)</f>
        <v>4</v>
      </c>
      <c r="E129" s="112">
        <f>VLOOKUP($E$3,'Housing Generation'!$A$3:$CK$90,76,FALSE)</f>
        <v>4</v>
      </c>
      <c r="F129" s="112">
        <f>VLOOKUP($E$3,'Housing Generation'!$A$3:$CK$90,77,FALSE)</f>
        <v>4</v>
      </c>
      <c r="G129" s="112">
        <f>VLOOKUP($E$3,'Housing Generation'!$A$3:$CK$90,78,FALSE)</f>
        <v>4</v>
      </c>
      <c r="H129" s="112">
        <f>VLOOKUP($E$3,'Housing Generation'!$A$3:$CK$90,79,FALSE)</f>
        <v>4</v>
      </c>
      <c r="I129" s="112">
        <f>VLOOKUP($E$3,'Housing Generation'!$A$3:$CK$90,80,FALSE)</f>
        <v>4</v>
      </c>
      <c r="J129" s="111">
        <f t="shared" si="21"/>
        <v>24</v>
      </c>
    </row>
    <row r="130" spans="2:10" ht="15" customHeight="1">
      <c r="B130" s="114">
        <v>2028</v>
      </c>
      <c r="C130" s="289" t="s">
        <v>97</v>
      </c>
      <c r="D130" s="112">
        <f>VLOOKUP($E$3,'Housing Generation'!$A$3:$CK$90,83,FALSE)</f>
        <v>4</v>
      </c>
      <c r="E130" s="112">
        <f>VLOOKUP($E$3,'Housing Generation'!$A$3:$CK$90,84,FALSE)</f>
        <v>4</v>
      </c>
      <c r="F130" s="112">
        <f>VLOOKUP($E$3,'Housing Generation'!$A$3:$CK$90,85,FALSE)</f>
        <v>4</v>
      </c>
      <c r="G130" s="112">
        <f>VLOOKUP($E$3,'Housing Generation'!$A$3:$CK$90,86,FALSE)</f>
        <v>4</v>
      </c>
      <c r="H130" s="112">
        <f>VLOOKUP($E$3,'Housing Generation'!$A$3:$CK$90,87,FALSE)</f>
        <v>4</v>
      </c>
      <c r="I130" s="112">
        <f>VLOOKUP($E$3,'Housing Generation'!$A$3:$CK$90,88,FALSE)</f>
        <v>4</v>
      </c>
      <c r="J130" s="111">
        <f t="shared" si="21"/>
        <v>24</v>
      </c>
    </row>
    <row r="131" spans="2:10" ht="15" customHeight="1">
      <c r="B131" s="114">
        <v>2029</v>
      </c>
      <c r="C131" s="289" t="s">
        <v>97</v>
      </c>
      <c r="D131" s="112">
        <f>VLOOKUP($E$3,'Housing Generation'!$A$3:$DQ$90,91,FALSE)</f>
        <v>4</v>
      </c>
      <c r="E131" s="112">
        <f>VLOOKUP($E$3,'Housing Generation'!$A$3:$DQ$90,92,FALSE)</f>
        <v>4</v>
      </c>
      <c r="F131" s="112">
        <f>VLOOKUP($E$3,'Housing Generation'!$A$3:$DQ$90,93,FALSE)</f>
        <v>4</v>
      </c>
      <c r="G131" s="112">
        <f>VLOOKUP($E$3,'Housing Generation'!$A$3:$DQ$90,94,FALSE)</f>
        <v>4</v>
      </c>
      <c r="H131" s="112">
        <f>VLOOKUP($E$3,'Housing Generation'!$A$3:$DQ$90,95,FALSE)</f>
        <v>4</v>
      </c>
      <c r="I131" s="112">
        <f>VLOOKUP($E$3,'Housing Generation'!$A$3:$DQ$90,96,FALSE)</f>
        <v>4</v>
      </c>
      <c r="J131" s="111">
        <f t="shared" si="21"/>
        <v>24</v>
      </c>
    </row>
    <row r="132" spans="2:10" ht="15" customHeight="1">
      <c r="B132" s="114">
        <v>2030</v>
      </c>
      <c r="C132" s="289" t="s">
        <v>97</v>
      </c>
      <c r="D132" s="112">
        <f>VLOOKUP($E$3,'Housing Generation'!$A$3:$DQ$90,99,FALSE)</f>
        <v>4</v>
      </c>
      <c r="E132" s="112">
        <f>VLOOKUP($E$3,'Housing Generation'!$A$3:$DQ$90,100,FALSE)</f>
        <v>4</v>
      </c>
      <c r="F132" s="112">
        <f>VLOOKUP($E$3,'Housing Generation'!$A$3:$DQ$90,101,FALSE)</f>
        <v>4</v>
      </c>
      <c r="G132" s="112">
        <f>VLOOKUP($E$3,'Housing Generation'!$A$3:$DQ$90,102,FALSE)</f>
        <v>4</v>
      </c>
      <c r="H132" s="112">
        <f>VLOOKUP($E$3,'Housing Generation'!$A$3:$DQ$90,103,FALSE)</f>
        <v>4</v>
      </c>
      <c r="I132" s="112">
        <f>VLOOKUP($E$3,'Housing Generation'!$A$3:$DQ$90,104,FALSE)</f>
        <v>4</v>
      </c>
      <c r="J132" s="111">
        <f t="shared" si="21"/>
        <v>24</v>
      </c>
    </row>
    <row r="133" spans="2:10" ht="15" customHeight="1">
      <c r="B133" s="114">
        <v>2031</v>
      </c>
      <c r="C133" s="289" t="s">
        <v>97</v>
      </c>
      <c r="D133" s="112">
        <f>VLOOKUP($E$3,'Housing Generation'!$A$3:$DQ$90,107,FALSE)</f>
        <v>4</v>
      </c>
      <c r="E133" s="112">
        <f>VLOOKUP($E$3,'Housing Generation'!$A$3:$DQ$90,108,FALSE)</f>
        <v>4</v>
      </c>
      <c r="F133" s="112">
        <f>VLOOKUP($E$3,'Housing Generation'!$A$3:$DQ$90,109,FALSE)</f>
        <v>4</v>
      </c>
      <c r="G133" s="112">
        <f>VLOOKUP($E$3,'Housing Generation'!$A$3:$DQ$90,110,FALSE)</f>
        <v>4</v>
      </c>
      <c r="H133" s="112">
        <f>VLOOKUP($E$3,'Housing Generation'!$A$3:$DQ$90,111,FALSE)</f>
        <v>4</v>
      </c>
      <c r="I133" s="112">
        <f>VLOOKUP($E$3,'Housing Generation'!$A$3:$DQ$90,112,FALSE)</f>
        <v>4</v>
      </c>
      <c r="J133" s="111">
        <f t="shared" si="21"/>
        <v>24</v>
      </c>
    </row>
    <row r="134" spans="2:10" ht="15" customHeight="1">
      <c r="B134" s="114">
        <v>2032</v>
      </c>
      <c r="C134" s="289" t="s">
        <v>97</v>
      </c>
      <c r="D134" s="112">
        <f>VLOOKUP($E$3,'Housing Generation'!$A$3:$DQ$90,115,FALSE)</f>
        <v>4</v>
      </c>
      <c r="E134" s="112">
        <f>VLOOKUP($E$3,'Housing Generation'!$A$3:$DQ$90,116,FALSE)</f>
        <v>4</v>
      </c>
      <c r="F134" s="112">
        <f>VLOOKUP($E$3,'Housing Generation'!$A$3:$DQ$90,117,FALSE)</f>
        <v>4</v>
      </c>
      <c r="G134" s="112">
        <f>VLOOKUP($E$3,'Housing Generation'!$A$3:$DQ$90,118,FALSE)</f>
        <v>4</v>
      </c>
      <c r="H134" s="112">
        <f>VLOOKUP($E$3,'Housing Generation'!$A$3:$DQ$90,119,FALSE)</f>
        <v>4</v>
      </c>
      <c r="I134" s="112">
        <f>VLOOKUP($E$3,'Housing Generation'!$A$3:$DQ$90,120,FALSE)</f>
        <v>4</v>
      </c>
      <c r="J134" s="111">
        <f t="shared" si="21"/>
        <v>24</v>
      </c>
    </row>
    <row r="135" spans="2:10" ht="15" hidden="1"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Dalry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30</v>
      </c>
      <c r="D139" s="112">
        <f t="shared" ref="D139:I152" si="23">D121+D103</f>
        <v>46</v>
      </c>
      <c r="E139" s="112">
        <f t="shared" si="23"/>
        <v>39</v>
      </c>
      <c r="F139" s="112">
        <f t="shared" si="23"/>
        <v>27</v>
      </c>
      <c r="G139" s="112">
        <f t="shared" si="23"/>
        <v>41</v>
      </c>
      <c r="H139" s="112">
        <f t="shared" si="23"/>
        <v>26</v>
      </c>
      <c r="I139" s="112">
        <f t="shared" si="23"/>
        <v>29</v>
      </c>
      <c r="J139" s="111">
        <f t="shared" ref="J139:J147" si="24">SUM(C139:I139)</f>
        <v>238</v>
      </c>
    </row>
    <row r="140" spans="2:10" ht="15" customHeight="1">
      <c r="B140" s="114">
        <v>2020</v>
      </c>
      <c r="C140" s="113">
        <f t="shared" si="22"/>
        <v>47.681072428971589</v>
      </c>
      <c r="D140" s="112">
        <f t="shared" si="23"/>
        <v>25</v>
      </c>
      <c r="E140" s="112">
        <f t="shared" si="23"/>
        <v>45</v>
      </c>
      <c r="F140" s="112">
        <f t="shared" si="23"/>
        <v>35</v>
      </c>
      <c r="G140" s="112">
        <f t="shared" si="23"/>
        <v>24</v>
      </c>
      <c r="H140" s="112">
        <f t="shared" si="23"/>
        <v>38</v>
      </c>
      <c r="I140" s="112">
        <f t="shared" si="23"/>
        <v>26</v>
      </c>
      <c r="J140" s="111">
        <f t="shared" si="24"/>
        <v>240.68107242897159</v>
      </c>
    </row>
    <row r="141" spans="2:10" ht="15" customHeight="1">
      <c r="B141" s="114">
        <v>2021</v>
      </c>
      <c r="C141" s="113">
        <f t="shared" si="22"/>
        <v>44.686274509803923</v>
      </c>
      <c r="D141" s="112">
        <f t="shared" si="23"/>
        <v>42</v>
      </c>
      <c r="E141" s="112">
        <f t="shared" si="23"/>
        <v>24</v>
      </c>
      <c r="F141" s="112">
        <f t="shared" si="23"/>
        <v>41</v>
      </c>
      <c r="G141" s="112">
        <f t="shared" si="23"/>
        <v>31</v>
      </c>
      <c r="H141" s="112">
        <f t="shared" si="23"/>
        <v>22</v>
      </c>
      <c r="I141" s="112">
        <f t="shared" si="23"/>
        <v>38</v>
      </c>
      <c r="J141" s="111">
        <f t="shared" si="24"/>
        <v>242.68627450980392</v>
      </c>
    </row>
    <row r="142" spans="2:10" ht="15" customHeight="1">
      <c r="B142" s="114">
        <v>2022</v>
      </c>
      <c r="C142" s="113">
        <f t="shared" si="22"/>
        <v>40.194077631052423</v>
      </c>
      <c r="D142" s="112">
        <f t="shared" si="23"/>
        <v>39</v>
      </c>
      <c r="E142" s="112">
        <f t="shared" si="23"/>
        <v>42</v>
      </c>
      <c r="F142" s="112">
        <f t="shared" si="23"/>
        <v>23</v>
      </c>
      <c r="G142" s="112">
        <f t="shared" si="23"/>
        <v>37</v>
      </c>
      <c r="H142" s="112">
        <f t="shared" si="23"/>
        <v>30</v>
      </c>
      <c r="I142" s="112">
        <f t="shared" si="23"/>
        <v>23</v>
      </c>
      <c r="J142" s="111">
        <f t="shared" si="24"/>
        <v>234.19407763105244</v>
      </c>
    </row>
    <row r="143" spans="2:10" ht="15" customHeight="1">
      <c r="B143" s="114">
        <v>2023</v>
      </c>
      <c r="C143" s="113">
        <f t="shared" si="22"/>
        <v>45.434973989595839</v>
      </c>
      <c r="D143" s="112">
        <f t="shared" si="23"/>
        <v>35</v>
      </c>
      <c r="E143" s="112">
        <f t="shared" si="23"/>
        <v>38</v>
      </c>
      <c r="F143" s="112">
        <f t="shared" si="23"/>
        <v>38</v>
      </c>
      <c r="G143" s="112">
        <f t="shared" si="23"/>
        <v>21</v>
      </c>
      <c r="H143" s="112">
        <f t="shared" si="23"/>
        <v>36</v>
      </c>
      <c r="I143" s="112">
        <f t="shared" si="23"/>
        <v>30</v>
      </c>
      <c r="J143" s="111">
        <f t="shared" si="24"/>
        <v>243.43497398959585</v>
      </c>
    </row>
    <row r="144" spans="2:10" ht="15" customHeight="1">
      <c r="B144" s="114">
        <v>2024</v>
      </c>
      <c r="C144" s="113">
        <f t="shared" si="22"/>
        <v>46.183673469387756</v>
      </c>
      <c r="D144" s="112">
        <f t="shared" si="23"/>
        <v>40</v>
      </c>
      <c r="E144" s="112">
        <f t="shared" si="23"/>
        <v>35</v>
      </c>
      <c r="F144" s="112">
        <f t="shared" si="23"/>
        <v>36</v>
      </c>
      <c r="G144" s="112">
        <f t="shared" si="23"/>
        <v>35</v>
      </c>
      <c r="H144" s="112">
        <f t="shared" si="23"/>
        <v>20</v>
      </c>
      <c r="I144" s="112">
        <f t="shared" si="23"/>
        <v>36</v>
      </c>
      <c r="J144" s="111">
        <f t="shared" si="24"/>
        <v>248.18367346938777</v>
      </c>
    </row>
    <row r="145" spans="2:16" ht="15" customHeight="1">
      <c r="B145" s="114">
        <v>2025</v>
      </c>
      <c r="C145" s="113">
        <f t="shared" si="22"/>
        <v>47.681072428971589</v>
      </c>
      <c r="D145" s="112">
        <f t="shared" si="23"/>
        <v>40</v>
      </c>
      <c r="E145" s="112">
        <f t="shared" si="23"/>
        <v>39</v>
      </c>
      <c r="F145" s="112">
        <f t="shared" si="23"/>
        <v>32</v>
      </c>
      <c r="G145" s="112">
        <f t="shared" si="23"/>
        <v>32</v>
      </c>
      <c r="H145" s="112">
        <f t="shared" si="23"/>
        <v>33</v>
      </c>
      <c r="I145" s="112">
        <f t="shared" si="23"/>
        <v>21</v>
      </c>
      <c r="J145" s="111">
        <f t="shared" si="24"/>
        <v>244.68107242897159</v>
      </c>
    </row>
    <row r="146" spans="2:16" ht="15" customHeight="1">
      <c r="B146" s="114">
        <v>2026</v>
      </c>
      <c r="C146" s="113">
        <f t="shared" si="22"/>
        <v>47.681072428971589</v>
      </c>
      <c r="D146" s="112">
        <f t="shared" si="23"/>
        <v>42</v>
      </c>
      <c r="E146" s="112">
        <f t="shared" si="23"/>
        <v>40</v>
      </c>
      <c r="F146" s="112">
        <f t="shared" si="23"/>
        <v>37</v>
      </c>
      <c r="G146" s="112">
        <f t="shared" si="23"/>
        <v>28</v>
      </c>
      <c r="H146" s="112">
        <f t="shared" si="23"/>
        <v>30</v>
      </c>
      <c r="I146" s="112">
        <f t="shared" si="23"/>
        <v>33</v>
      </c>
      <c r="J146" s="111">
        <f t="shared" si="24"/>
        <v>257.68107242897156</v>
      </c>
    </row>
    <row r="147" spans="2:16" ht="15" customHeight="1">
      <c r="B147" s="114">
        <v>2027</v>
      </c>
      <c r="C147" s="113">
        <f t="shared" si="22"/>
        <v>47.681072428971589</v>
      </c>
      <c r="D147" s="112">
        <f t="shared" si="23"/>
        <v>42</v>
      </c>
      <c r="E147" s="112">
        <f t="shared" si="23"/>
        <v>41</v>
      </c>
      <c r="F147" s="112">
        <f t="shared" si="23"/>
        <v>37</v>
      </c>
      <c r="G147" s="112">
        <f t="shared" si="23"/>
        <v>33</v>
      </c>
      <c r="H147" s="112">
        <f t="shared" si="23"/>
        <v>27</v>
      </c>
      <c r="I147" s="112">
        <f t="shared" si="23"/>
        <v>31</v>
      </c>
      <c r="J147" s="111">
        <f t="shared" si="24"/>
        <v>258.68107242897156</v>
      </c>
    </row>
    <row r="148" spans="2:16" ht="15" customHeight="1">
      <c r="B148" s="114">
        <v>2028</v>
      </c>
      <c r="C148" s="113">
        <f t="shared" si="22"/>
        <v>47.681072428971589</v>
      </c>
      <c r="D148" s="112">
        <f t="shared" si="23"/>
        <v>42</v>
      </c>
      <c r="E148" s="112">
        <f t="shared" si="23"/>
        <v>41</v>
      </c>
      <c r="F148" s="112">
        <f t="shared" si="23"/>
        <v>37</v>
      </c>
      <c r="G148" s="112">
        <f t="shared" si="23"/>
        <v>33</v>
      </c>
      <c r="H148" s="112">
        <f t="shared" si="23"/>
        <v>31</v>
      </c>
      <c r="I148" s="112">
        <f t="shared" si="23"/>
        <v>27</v>
      </c>
      <c r="J148" s="111">
        <f t="shared" ref="J148:J152" si="25">SUM(C148:I148)</f>
        <v>258.68107242897156</v>
      </c>
    </row>
    <row r="149" spans="2:16" ht="15" customHeight="1">
      <c r="B149" s="114">
        <v>2029</v>
      </c>
      <c r="C149" s="113">
        <f t="shared" si="22"/>
        <v>47.681072428971589</v>
      </c>
      <c r="D149" s="112">
        <f t="shared" si="23"/>
        <v>42</v>
      </c>
      <c r="E149" s="112">
        <f t="shared" si="23"/>
        <v>41</v>
      </c>
      <c r="F149" s="112">
        <f t="shared" si="23"/>
        <v>37</v>
      </c>
      <c r="G149" s="112">
        <f t="shared" si="23"/>
        <v>33</v>
      </c>
      <c r="H149" s="112">
        <f t="shared" si="23"/>
        <v>31</v>
      </c>
      <c r="I149" s="112">
        <f t="shared" si="23"/>
        <v>31</v>
      </c>
      <c r="J149" s="111">
        <f t="shared" si="25"/>
        <v>262.68107242897156</v>
      </c>
    </row>
    <row r="150" spans="2:16" ht="15" customHeight="1">
      <c r="B150" s="114">
        <v>2030</v>
      </c>
      <c r="C150" s="113">
        <f t="shared" si="22"/>
        <v>47.681072428971589</v>
      </c>
      <c r="D150" s="112">
        <f t="shared" si="23"/>
        <v>42</v>
      </c>
      <c r="E150" s="112">
        <f t="shared" si="23"/>
        <v>41</v>
      </c>
      <c r="F150" s="112">
        <f t="shared" si="23"/>
        <v>37</v>
      </c>
      <c r="G150" s="112">
        <f t="shared" si="23"/>
        <v>33</v>
      </c>
      <c r="H150" s="112">
        <f t="shared" si="23"/>
        <v>31</v>
      </c>
      <c r="I150" s="112">
        <f t="shared" si="23"/>
        <v>31</v>
      </c>
      <c r="J150" s="111">
        <f t="shared" si="25"/>
        <v>262.68107242897156</v>
      </c>
    </row>
    <row r="151" spans="2:16" ht="15" customHeight="1">
      <c r="B151" s="114">
        <v>2031</v>
      </c>
      <c r="C151" s="113">
        <f t="shared" si="22"/>
        <v>48.429771908763506</v>
      </c>
      <c r="D151" s="112">
        <f t="shared" si="23"/>
        <v>42</v>
      </c>
      <c r="E151" s="112">
        <f t="shared" si="23"/>
        <v>41</v>
      </c>
      <c r="F151" s="112">
        <f t="shared" si="23"/>
        <v>37</v>
      </c>
      <c r="G151" s="112">
        <f t="shared" si="23"/>
        <v>33</v>
      </c>
      <c r="H151" s="112">
        <f t="shared" si="23"/>
        <v>31</v>
      </c>
      <c r="I151" s="112">
        <f t="shared" si="23"/>
        <v>31</v>
      </c>
      <c r="J151" s="111">
        <f t="shared" si="25"/>
        <v>263.42977190876354</v>
      </c>
    </row>
    <row r="152" spans="2:16" ht="15" customHeight="1">
      <c r="B152" s="114">
        <v>2032</v>
      </c>
      <c r="C152" s="113">
        <f t="shared" si="22"/>
        <v>47.681072428971589</v>
      </c>
      <c r="D152" s="112">
        <f t="shared" si="23"/>
        <v>43</v>
      </c>
      <c r="E152" s="112">
        <f t="shared" si="23"/>
        <v>41</v>
      </c>
      <c r="F152" s="112">
        <f t="shared" si="23"/>
        <v>37</v>
      </c>
      <c r="G152" s="112">
        <f t="shared" si="23"/>
        <v>33</v>
      </c>
      <c r="H152" s="112">
        <f t="shared" si="23"/>
        <v>31</v>
      </c>
      <c r="I152" s="112">
        <f t="shared" si="23"/>
        <v>31</v>
      </c>
      <c r="J152" s="111">
        <f t="shared" si="25"/>
        <v>263.68107242897156</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238</v>
      </c>
      <c r="D159" s="108">
        <f>J140</f>
        <v>240.68107242897159</v>
      </c>
      <c r="E159" s="108">
        <f>J141</f>
        <v>242.68627450980392</v>
      </c>
      <c r="F159" s="108">
        <f>J142</f>
        <v>234.19407763105244</v>
      </c>
      <c r="G159" s="108">
        <f>J143</f>
        <v>243.43497398959585</v>
      </c>
      <c r="H159" s="108">
        <f>J144</f>
        <v>248.18367346938777</v>
      </c>
      <c r="I159" s="108">
        <f>J145</f>
        <v>244.68107242897159</v>
      </c>
      <c r="J159" s="108">
        <f>J146</f>
        <v>257.68107242897156</v>
      </c>
      <c r="K159" s="108">
        <f>J147</f>
        <v>258.68107242897156</v>
      </c>
      <c r="L159" s="108">
        <f>J148</f>
        <v>258.68107242897156</v>
      </c>
      <c r="M159" s="108">
        <f>J149</f>
        <v>262.68107242897156</v>
      </c>
      <c r="N159" s="108">
        <f>J150</f>
        <v>262.68107242897156</v>
      </c>
      <c r="O159" s="108">
        <f>J151</f>
        <v>263.42977190876354</v>
      </c>
      <c r="P159" s="108">
        <f>J152</f>
        <v>263.68107242897156</v>
      </c>
    </row>
    <row r="160" spans="2:16" ht="15" customHeight="1">
      <c r="B160" s="107" t="s">
        <v>152</v>
      </c>
      <c r="C160" s="106">
        <f>VLOOKUP(C159,Capacity!$A$1:$C$645,2,TRUE)</f>
        <v>10</v>
      </c>
      <c r="D160" s="106">
        <f>VLOOKUP(D159,Capacity!$A$1:$C$645,2,TRUE)</f>
        <v>10</v>
      </c>
      <c r="E160" s="106">
        <f>VLOOKUP(E159,Capacity!$A$1:$C$645,2,TRUE)</f>
        <v>10</v>
      </c>
      <c r="F160" s="106">
        <f>VLOOKUP(F159,Capacity!$A$1:$C$645,2,TRUE)</f>
        <v>10</v>
      </c>
      <c r="G160" s="106">
        <f>VLOOKUP(G159,Capacity!$A$1:$C$645,2,TRUE)</f>
        <v>10</v>
      </c>
      <c r="H160" s="106">
        <f>VLOOKUP(H159,Capacity!$A$1:$C$645,2,TRUE)</f>
        <v>10</v>
      </c>
      <c r="I160" s="106">
        <f>VLOOKUP(I159,Capacity!$A$1:$C$645,2,TRUE)</f>
        <v>10</v>
      </c>
      <c r="J160" s="106">
        <f>VLOOKUP(J159,Capacity!$A$1:$C$645,2,TRUE)</f>
        <v>10</v>
      </c>
      <c r="K160" s="106">
        <f>VLOOKUP(K159,Capacity!$A$1:$C$645,2,TRUE)</f>
        <v>10</v>
      </c>
      <c r="L160" s="106">
        <f>VLOOKUP(L159,Capacity!$A$1:$C$645,2,TRUE)</f>
        <v>10</v>
      </c>
      <c r="M160" s="106">
        <f>VLOOKUP(M159,Capacity!$A$1:$C$645,2,TRUE)</f>
        <v>11</v>
      </c>
      <c r="N160" s="106">
        <f>VLOOKUP(N159,Capacity!$A$1:$C$645,2,TRUE)</f>
        <v>11</v>
      </c>
      <c r="O160" s="106">
        <f>VLOOKUP(O159,Capacity!$A$1:$C$645,2,TRUE)</f>
        <v>11</v>
      </c>
      <c r="P160" s="106">
        <f>VLOOKUP(P159,Capacity!$A$1:$C$645,2,TRUE)</f>
        <v>11</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76</v>
      </c>
      <c r="D169" s="97">
        <f>VLOOKUP($E$3,'Catchment Births'!$A$1:$U$90,11,FALSE)</f>
        <v>94</v>
      </c>
      <c r="E169" s="97">
        <f>VLOOKUP($E$3,'Catchment Births'!$A$1:$U$90,12,FALSE)</f>
        <v>104</v>
      </c>
      <c r="F169" s="97">
        <f>VLOOKUP($E$3,'Catchment Births'!$A$1:$U$90,13,FALSE)</f>
        <v>114</v>
      </c>
      <c r="G169" s="97">
        <f>VLOOKUP($E$3,'Catchment Births'!$A$1:$U$90,14,FALSE)</f>
        <v>115</v>
      </c>
      <c r="H169" s="97">
        <f>VLOOKUP($E$3,'Catchment Births'!$A$1:$U$90,15,FALSE)</f>
        <v>118</v>
      </c>
      <c r="I169" s="97">
        <f>VLOOKUP($E$3,'Catchment Births'!$A$1:$U$90,16,FALSE)</f>
        <v>145</v>
      </c>
      <c r="J169" s="97">
        <f>VLOOKUP($E$3,'Catchment Births'!$A$1:$U$90,17,FALSE)</f>
        <v>134</v>
      </c>
      <c r="K169" s="97">
        <f>VLOOKUP($E$3,'Catchment Births'!$A$1:$U$90,18,FALSE)</f>
        <v>142</v>
      </c>
      <c r="L169" s="97">
        <f>VLOOKUP($E$3,'Catchment Births'!$A$1:$U$90,19,FALSE)</f>
        <v>121</v>
      </c>
      <c r="M169" s="97">
        <f>VLOOKUP($E$3,'Catchment Births'!$A$1:$U$90,20,FALSE)</f>
        <v>104</v>
      </c>
      <c r="N169" s="97">
        <f>VLOOKUP($E$3,'Catchment Births'!$A$1:$U$90,21,FALSE)</f>
        <v>141</v>
      </c>
    </row>
    <row r="170" spans="2:14" ht="58.5" customHeight="1">
      <c r="B170" s="103" t="str">
        <f>"P1 "&amp;A35&amp;" Catchment Population (Actual)"</f>
        <v>P1 ND Catchment Population (Actual)</v>
      </c>
      <c r="C170" s="102" t="e">
        <v>#REF!</v>
      </c>
      <c r="D170" s="102">
        <v>32</v>
      </c>
      <c r="E170" s="102">
        <v>58</v>
      </c>
      <c r="F170" s="102">
        <v>41</v>
      </c>
      <c r="G170" s="102">
        <v>35</v>
      </c>
      <c r="H170" s="102">
        <v>45</v>
      </c>
      <c r="I170" s="102">
        <v>43</v>
      </c>
      <c r="J170" s="308">
        <f>VLOOKUP(E3,'Catchment Projections'!A1:BU92,42,FALSE)</f>
        <v>51</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43</v>
      </c>
      <c r="J172" s="96" t="e">
        <f>#REF!</f>
        <v>#REF!</v>
      </c>
      <c r="K172" s="96">
        <f>D51</f>
        <v>38</v>
      </c>
      <c r="L172" s="96">
        <f>E51</f>
        <v>53</v>
      </c>
      <c r="M172" s="96">
        <f>F51</f>
        <v>49</v>
      </c>
      <c r="N172" s="96">
        <f>G51</f>
        <v>43</v>
      </c>
    </row>
    <row r="173" spans="2:14" ht="12.75">
      <c r="B173" s="62"/>
      <c r="C173" s="62"/>
      <c r="D173" s="62"/>
      <c r="E173" s="62"/>
      <c r="F173" s="62"/>
      <c r="G173" s="62"/>
      <c r="H173" s="62"/>
      <c r="I173" s="62"/>
      <c r="J173" s="62"/>
      <c r="K173" s="62"/>
    </row>
    <row r="174" spans="2:14" ht="15" customHeight="1">
      <c r="B174" s="64" t="str">
        <f>"Table 5: "&amp;E3&amp;" Roll by Stage, 2002-2018"</f>
        <v>Table 5: Dalry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33</v>
      </c>
      <c r="D177" s="93">
        <v>31</v>
      </c>
      <c r="E177" s="93">
        <v>30</v>
      </c>
      <c r="F177" s="93">
        <v>20</v>
      </c>
      <c r="G177" s="93">
        <v>33</v>
      </c>
      <c r="H177" s="93">
        <v>36</v>
      </c>
      <c r="I177" s="93">
        <v>38</v>
      </c>
      <c r="J177" s="92">
        <v>221</v>
      </c>
      <c r="K177" s="62"/>
    </row>
    <row r="178" spans="2:11" ht="15" customHeight="1">
      <c r="B178" s="94">
        <v>2003</v>
      </c>
      <c r="C178" s="93">
        <v>32</v>
      </c>
      <c r="D178" s="93">
        <v>30</v>
      </c>
      <c r="E178" s="93">
        <v>32</v>
      </c>
      <c r="F178" s="93">
        <v>28</v>
      </c>
      <c r="G178" s="93">
        <v>23</v>
      </c>
      <c r="H178" s="93">
        <v>30</v>
      </c>
      <c r="I178" s="93">
        <v>37</v>
      </c>
      <c r="J178" s="92">
        <v>212</v>
      </c>
      <c r="K178" s="62"/>
    </row>
    <row r="179" spans="2:11" customFormat="1" ht="15" customHeight="1">
      <c r="B179" s="94">
        <v>2004</v>
      </c>
      <c r="C179" s="95">
        <v>36</v>
      </c>
      <c r="D179" s="95">
        <v>35</v>
      </c>
      <c r="E179" s="95">
        <v>34</v>
      </c>
      <c r="F179" s="95">
        <v>33</v>
      </c>
      <c r="G179" s="95">
        <v>35</v>
      </c>
      <c r="H179" s="95">
        <v>22</v>
      </c>
      <c r="I179" s="95">
        <v>40</v>
      </c>
      <c r="J179" s="92">
        <v>235</v>
      </c>
      <c r="K179" s="62"/>
    </row>
    <row r="180" spans="2:11" customFormat="1" ht="15" customHeight="1">
      <c r="B180" s="94">
        <v>2005</v>
      </c>
      <c r="C180" s="93">
        <v>26</v>
      </c>
      <c r="D180" s="93">
        <v>39</v>
      </c>
      <c r="E180" s="93">
        <v>44</v>
      </c>
      <c r="F180" s="93">
        <v>35</v>
      </c>
      <c r="G180" s="93">
        <v>35</v>
      </c>
      <c r="H180" s="93">
        <v>32</v>
      </c>
      <c r="I180" s="93">
        <v>24</v>
      </c>
      <c r="J180" s="92">
        <v>235</v>
      </c>
      <c r="K180" s="62"/>
    </row>
    <row r="181" spans="2:11" customFormat="1" ht="15" customHeight="1">
      <c r="B181" s="94">
        <v>2006</v>
      </c>
      <c r="C181" s="93">
        <v>30</v>
      </c>
      <c r="D181" s="93">
        <v>29</v>
      </c>
      <c r="E181" s="93">
        <v>38</v>
      </c>
      <c r="F181" s="93">
        <v>44</v>
      </c>
      <c r="G181" s="93">
        <v>29</v>
      </c>
      <c r="H181" s="93">
        <v>36</v>
      </c>
      <c r="I181" s="93">
        <v>35</v>
      </c>
      <c r="J181" s="92">
        <v>241</v>
      </c>
      <c r="K181" s="62"/>
    </row>
    <row r="182" spans="2:11" customFormat="1" ht="15" customHeight="1">
      <c r="B182" s="94">
        <v>2007</v>
      </c>
      <c r="C182" s="93">
        <v>38</v>
      </c>
      <c r="D182" s="93">
        <v>34</v>
      </c>
      <c r="E182" s="93">
        <v>25</v>
      </c>
      <c r="F182" s="93">
        <v>39</v>
      </c>
      <c r="G182" s="93">
        <v>40</v>
      </c>
      <c r="H182" s="93">
        <v>31</v>
      </c>
      <c r="I182" s="93">
        <v>39</v>
      </c>
      <c r="J182" s="92">
        <v>246</v>
      </c>
      <c r="K182" s="62"/>
    </row>
    <row r="183" spans="2:11" customFormat="1" ht="15" customHeight="1">
      <c r="B183" s="94">
        <v>2008</v>
      </c>
      <c r="C183" s="93">
        <v>46</v>
      </c>
      <c r="D183" s="93">
        <v>39</v>
      </c>
      <c r="E183" s="93">
        <v>34</v>
      </c>
      <c r="F183" s="93">
        <v>29</v>
      </c>
      <c r="G183" s="93">
        <v>37</v>
      </c>
      <c r="H183" s="93">
        <v>38</v>
      </c>
      <c r="I183" s="93">
        <v>29</v>
      </c>
      <c r="J183" s="92">
        <v>252</v>
      </c>
      <c r="K183" s="62"/>
    </row>
    <row r="184" spans="2:11" customFormat="1" ht="15" customHeight="1">
      <c r="B184" s="94">
        <v>2009</v>
      </c>
      <c r="C184" s="93">
        <v>41</v>
      </c>
      <c r="D184" s="93">
        <v>43</v>
      </c>
      <c r="E184" s="93">
        <v>31</v>
      </c>
      <c r="F184" s="93">
        <v>31</v>
      </c>
      <c r="G184" s="93">
        <v>27</v>
      </c>
      <c r="H184" s="93">
        <v>40</v>
      </c>
      <c r="I184" s="93">
        <v>34</v>
      </c>
      <c r="J184" s="94">
        <v>247</v>
      </c>
      <c r="K184" s="62"/>
    </row>
    <row r="185" spans="2:11" customFormat="1" ht="15" customHeight="1">
      <c r="B185" s="94">
        <v>2010</v>
      </c>
      <c r="C185" s="93">
        <v>42</v>
      </c>
      <c r="D185" s="93">
        <v>45</v>
      </c>
      <c r="E185" s="93">
        <v>42</v>
      </c>
      <c r="F185" s="93">
        <v>29</v>
      </c>
      <c r="G185" s="93">
        <v>31</v>
      </c>
      <c r="H185" s="93">
        <v>29</v>
      </c>
      <c r="I185" s="93">
        <v>38</v>
      </c>
      <c r="J185" s="92">
        <v>256</v>
      </c>
      <c r="K185" s="62"/>
    </row>
    <row r="186" spans="2:11" customFormat="1" ht="15" customHeight="1">
      <c r="B186" s="94">
        <v>2011</v>
      </c>
      <c r="C186" s="93">
        <v>63</v>
      </c>
      <c r="D186" s="93">
        <v>43</v>
      </c>
      <c r="E186" s="93">
        <v>34</v>
      </c>
      <c r="F186" s="93">
        <v>35</v>
      </c>
      <c r="G186" s="93">
        <v>24</v>
      </c>
      <c r="H186" s="93">
        <v>30</v>
      </c>
      <c r="I186" s="93">
        <v>26</v>
      </c>
      <c r="J186" s="92">
        <v>255</v>
      </c>
      <c r="K186" s="62"/>
    </row>
    <row r="187" spans="2:11" customFormat="1" ht="15" customHeight="1">
      <c r="B187" s="94">
        <v>2012</v>
      </c>
      <c r="C187" s="93">
        <v>41</v>
      </c>
      <c r="D187" s="93">
        <v>57</v>
      </c>
      <c r="E187" s="93">
        <v>45</v>
      </c>
      <c r="F187" s="93">
        <v>38</v>
      </c>
      <c r="G187" s="93">
        <v>39</v>
      </c>
      <c r="H187" s="93">
        <v>28</v>
      </c>
      <c r="I187" s="93">
        <v>29</v>
      </c>
      <c r="J187" s="92">
        <v>277</v>
      </c>
      <c r="K187" s="62"/>
    </row>
    <row r="188" spans="2:11" customFormat="1" ht="15" customHeight="1">
      <c r="B188" s="94">
        <v>2013</v>
      </c>
      <c r="C188" s="93">
        <v>44</v>
      </c>
      <c r="D188" s="93">
        <v>38</v>
      </c>
      <c r="E188" s="93">
        <v>50</v>
      </c>
      <c r="F188" s="93">
        <v>40</v>
      </c>
      <c r="G188" s="93">
        <v>38</v>
      </c>
      <c r="H188" s="93">
        <v>39</v>
      </c>
      <c r="I188" s="93">
        <v>28</v>
      </c>
      <c r="J188" s="94">
        <v>277</v>
      </c>
      <c r="K188" s="62"/>
    </row>
    <row r="189" spans="2:11" customFormat="1" ht="15" customHeight="1">
      <c r="B189" s="94">
        <v>2014</v>
      </c>
      <c r="C189" s="93">
        <v>41</v>
      </c>
      <c r="D189" s="93">
        <v>43</v>
      </c>
      <c r="E189" s="93">
        <v>30</v>
      </c>
      <c r="F189" s="93">
        <v>46</v>
      </c>
      <c r="G189" s="93">
        <v>38</v>
      </c>
      <c r="H189" s="93">
        <v>30</v>
      </c>
      <c r="I189" s="93">
        <v>39</v>
      </c>
      <c r="J189" s="92">
        <v>267</v>
      </c>
      <c r="K189" s="65"/>
    </row>
    <row r="190" spans="2:11" customFormat="1" ht="15" customHeight="1">
      <c r="B190" s="94">
        <v>2015</v>
      </c>
      <c r="C190" s="93">
        <v>49</v>
      </c>
      <c r="D190" s="93">
        <v>36</v>
      </c>
      <c r="E190" s="93">
        <v>44</v>
      </c>
      <c r="F190" s="93">
        <v>24</v>
      </c>
      <c r="G190" s="93">
        <v>46</v>
      </c>
      <c r="H190" s="93">
        <v>35</v>
      </c>
      <c r="I190" s="93">
        <v>30</v>
      </c>
      <c r="J190" s="92">
        <v>264</v>
      </c>
      <c r="K190" s="65"/>
    </row>
    <row r="191" spans="2:11" customFormat="1" ht="15" customHeight="1">
      <c r="B191" s="94">
        <v>2016</v>
      </c>
      <c r="C191" s="93">
        <v>42</v>
      </c>
      <c r="D191" s="93">
        <v>52</v>
      </c>
      <c r="E191" s="93">
        <v>33</v>
      </c>
      <c r="F191" s="93">
        <v>38</v>
      </c>
      <c r="G191" s="93">
        <v>21</v>
      </c>
      <c r="H191" s="93">
        <v>43</v>
      </c>
      <c r="I191" s="93">
        <v>32</v>
      </c>
      <c r="J191" s="92">
        <v>261</v>
      </c>
      <c r="K191" s="65"/>
    </row>
    <row r="192" spans="2:11" ht="15" customHeight="1">
      <c r="B192" s="94">
        <v>2017</v>
      </c>
      <c r="C192" s="93">
        <f>VLOOKUP($E$3,Rolls!A1:FA90,42,FALSE)</f>
        <v>47</v>
      </c>
      <c r="D192" s="93">
        <f>VLOOKUP($E$3,Rolls!A1:FA90,43,FALSE)</f>
        <v>31</v>
      </c>
      <c r="E192" s="93">
        <f>VLOOKUP($E$3,Rolls!A1:FA90,44,FALSE)</f>
        <v>52</v>
      </c>
      <c r="F192" s="93">
        <f>VLOOKUP($E$3,Rolls!A1:FA90,45,FALSE)</f>
        <v>32</v>
      </c>
      <c r="G192" s="93">
        <f>VLOOKUP($E$3,Rolls!A1:FA90,46,FALSE)</f>
        <v>31</v>
      </c>
      <c r="H192" s="93">
        <f>VLOOKUP($E$3,Rolls!A1:FA90,47,FALSE)</f>
        <v>20</v>
      </c>
      <c r="I192" s="93">
        <f>VLOOKUP($E$3,Rolls!A1:FA90,48,FALSE)</f>
        <v>36</v>
      </c>
      <c r="J192" s="92">
        <f>VLOOKUP($E$3,Rolls!A1:FA90,49,FALSE)</f>
        <v>249</v>
      </c>
      <c r="K192" s="65"/>
    </row>
    <row r="193" spans="2:11" ht="15" customHeight="1">
      <c r="B193" s="94">
        <v>2018</v>
      </c>
      <c r="C193" s="93">
        <f>VLOOKUP($E$3,Rolls!A1:FA90,50,FALSE)</f>
        <v>52</v>
      </c>
      <c r="D193" s="93">
        <f>VLOOKUP($E$3,Rolls!A1:FA90,51,FALSE)</f>
        <v>40</v>
      </c>
      <c r="E193" s="93">
        <f>VLOOKUP($E$3,Rolls!A1:FA90,52,FALSE)</f>
        <v>30</v>
      </c>
      <c r="F193" s="93">
        <f>VLOOKUP($E$3,Rolls!A1:FA90,53,FALSE)</f>
        <v>47</v>
      </c>
      <c r="G193" s="93">
        <f>VLOOKUP($E$3,Rolls!A1:FA90,54,FALSE)</f>
        <v>28</v>
      </c>
      <c r="H193" s="93">
        <f>VLOOKUP($E$3,Rolls!A1:FA90,55,FALSE)</f>
        <v>29</v>
      </c>
      <c r="I193" s="93">
        <f>VLOOKUP($E$3,Rolls!A1:FA90,56,FALSE)</f>
        <v>21</v>
      </c>
      <c r="J193" s="92">
        <f>VLOOKUP($E$3,Rolls!A1:FA90,57,FALSE)</f>
        <v>247</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0866141732283472" right="0.70866141732283472" top="0.74803149606299213" bottom="0.74803149606299213" header="0.31496062992125984" footer="0.31496062992125984"/>
  <pageSetup paperSize="9" scale="72" fitToHeight="2" orientation="portrait" r:id="rId1"/>
  <colBreaks count="1" manualBreakCount="1">
    <brk id="10" max="1048575" man="1"/>
  </colBreaks>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pageSetUpPr fitToPage="1"/>
  </sheetPr>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28</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Davidson's Mains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630 Pupils (21 classes)</v>
      </c>
      <c r="G12" s="16"/>
      <c r="H12" s="16"/>
    </row>
    <row r="13" spans="2:10" ht="15" customHeight="1">
      <c r="C13" s="16"/>
      <c r="D13" s="16"/>
      <c r="E13" s="16"/>
      <c r="F13" s="16"/>
      <c r="G13" s="16"/>
      <c r="H13" s="16"/>
    </row>
    <row r="14" spans="2:10" ht="15" customHeight="1">
      <c r="B14" s="15" t="str">
        <f>"Figure 1: "&amp;E3&amp;" Roll, 2002-2015"</f>
        <v>Figure 1: Davidson's Mains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Davidson's Mains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70</v>
      </c>
      <c r="E49" s="108">
        <f>VLOOKUP($E$3,'Catchment Projections'!$A$1:$BU$90,46,FALSE)</f>
        <v>68</v>
      </c>
      <c r="F49" s="108">
        <f>VLOOKUP($E$3,'Catchment Projections'!$A$1:$BU$90,47,FALSE)</f>
        <v>62</v>
      </c>
      <c r="G49" s="108">
        <f>VLOOKUP($E$3,'Catchment Projections'!$A$1:$BU$90,48,FALSE)</f>
        <v>58</v>
      </c>
      <c r="H49" s="133">
        <f>VLOOKUP($E$3,'Catchment Projections'!$A$1:$BU$90,49,FALSE)</f>
        <v>63</v>
      </c>
      <c r="I49" s="133">
        <f>VLOOKUP($E$3,'Catchment Projections'!$A$1:$BU$90,50,FALSE)</f>
        <v>64</v>
      </c>
      <c r="J49" s="133">
        <f>VLOOKUP($E$3,'Catchment Projections'!$A$1:$BU$90,51,FALSE)</f>
        <v>65</v>
      </c>
      <c r="K49" s="133">
        <f>VLOOKUP($E$3,'Catchment Projections'!$A$1:$BU$90,52,FALSE)</f>
        <v>66</v>
      </c>
      <c r="L49" s="133">
        <f>VLOOKUP($E$3,'Catchment Projections'!$A$1:$BU$90,53,FALSE)</f>
        <v>66</v>
      </c>
      <c r="M49" s="133">
        <f>VLOOKUP($E$3,'Catchment Projections'!$A$1:$BU$90,54,FALSE)</f>
        <v>67</v>
      </c>
      <c r="N49" s="133">
        <f>VLOOKUP($E$3,'Catchment Projections'!$A$1:$BU$90,55,FALSE)</f>
        <v>67</v>
      </c>
      <c r="O49" s="133">
        <f>VLOOKUP($E$3,'Catchment Projections'!$A$1:$BU$90,56,FALSE)</f>
        <v>67</v>
      </c>
      <c r="P49" s="133">
        <f>VLOOKUP($E$3,'Catchment Projections'!$A$1:$BU$90,57,FALSE)</f>
        <v>67</v>
      </c>
      <c r="Q49" s="133">
        <f>VLOOKUP($E$3,'Catchment Projections'!$A$1:$BU$90,58,FALSE)</f>
        <v>67</v>
      </c>
    </row>
    <row r="50" spans="2:17" ht="15" customHeight="1" thickBot="1">
      <c r="B50" s="410" t="s">
        <v>141</v>
      </c>
      <c r="C50" s="411"/>
      <c r="D50" s="286">
        <f>VLOOKUP(E3,'Housing Generation'!$A$3:$DQ$90,10,FALSE)</f>
        <v>0</v>
      </c>
      <c r="E50" s="286">
        <f>VLOOKUP(E3,'Housing Generation'!$A$3:$DQ$90,18,FALSE)</f>
        <v>0</v>
      </c>
      <c r="F50" s="286">
        <f>VLOOKUP(E3,'Housing Generation'!$A$3:$DQ$90,26,FALSE)</f>
        <v>0</v>
      </c>
      <c r="G50" s="243">
        <f>VLOOKUP(E3,'Housing Generation'!$A$3:$DQ$90,34,FALSE)</f>
        <v>0</v>
      </c>
      <c r="H50" s="133">
        <f>VLOOKUP(E3,'Housing Generation'!$A$3:$DQ$90,42,FALSE)</f>
        <v>0</v>
      </c>
      <c r="I50" s="133">
        <f>VLOOKUP(E3,'Housing Generation'!$A$3:$DQ$90,50,FALSE)</f>
        <v>0</v>
      </c>
      <c r="J50" s="133">
        <f>VLOOKUP(E3,'Housing Generation'!$A$3:$CK$90,58,FALSE)</f>
        <v>0</v>
      </c>
      <c r="K50" s="133">
        <f>VLOOKUP(E3,'Housing Generation'!$A$3:$CK$90,66,FALSE)</f>
        <v>0</v>
      </c>
      <c r="L50" s="133">
        <f>VLOOKUP(E3,'Housing Generation'!$A$3:$DQ$90,74,FALSE)</f>
        <v>0</v>
      </c>
      <c r="M50" s="133">
        <f>VLOOKUP(E3,'Housing Generation'!$A$3:$DQ$90,82,FALSE)</f>
        <v>0</v>
      </c>
      <c r="N50" s="133">
        <f>VLOOKUP(E3,'Housing Generation'!$A$3:$DQ$90,90,FALSE)</f>
        <v>0</v>
      </c>
      <c r="O50" s="133">
        <f>VLOOKUP(E3,'Housing Generation'!$A$3:$DQ$90,98,FALSE)</f>
        <v>0</v>
      </c>
      <c r="P50" s="133">
        <f>VLOOKUP(E3,'Housing Generation'!$A$3:$DQ$90,106,FALSE)</f>
        <v>0</v>
      </c>
      <c r="Q50" s="133">
        <f>VLOOKUP(E3,'Housing Generation'!$A$3:$DQ$90,114,FALSE)</f>
        <v>0</v>
      </c>
    </row>
    <row r="51" spans="2:17" ht="15" customHeight="1" thickTop="1">
      <c r="B51" s="421" t="s">
        <v>130</v>
      </c>
      <c r="C51" s="422"/>
      <c r="D51" s="47">
        <f t="shared" ref="D51:Q51" si="0">SUM(D49:D50)</f>
        <v>70</v>
      </c>
      <c r="E51" s="47">
        <f t="shared" si="0"/>
        <v>68</v>
      </c>
      <c r="F51" s="80">
        <f t="shared" si="0"/>
        <v>62</v>
      </c>
      <c r="G51" s="244">
        <f t="shared" si="0"/>
        <v>58</v>
      </c>
      <c r="H51" s="71">
        <f t="shared" si="0"/>
        <v>63</v>
      </c>
      <c r="I51" s="71">
        <f t="shared" si="0"/>
        <v>64</v>
      </c>
      <c r="J51" s="71">
        <f t="shared" si="0"/>
        <v>65</v>
      </c>
      <c r="K51" s="71">
        <f t="shared" si="0"/>
        <v>66</v>
      </c>
      <c r="L51" s="71">
        <f t="shared" si="0"/>
        <v>66</v>
      </c>
      <c r="M51" s="71">
        <f t="shared" si="0"/>
        <v>67</v>
      </c>
      <c r="N51" s="71">
        <f t="shared" si="0"/>
        <v>67</v>
      </c>
      <c r="O51" s="71">
        <f t="shared" si="0"/>
        <v>67</v>
      </c>
      <c r="P51" s="71">
        <f t="shared" si="0"/>
        <v>67</v>
      </c>
      <c r="Q51" s="71">
        <f t="shared" si="0"/>
        <v>67</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72</v>
      </c>
      <c r="D60" s="358">
        <f>VLOOKUP($E$3,'Catchment Projections'!$A$1:$BZ$90,74,FALSE)</f>
        <v>66</v>
      </c>
      <c r="E60" s="303">
        <f>D60/C60</f>
        <v>0.91666666666666663</v>
      </c>
      <c r="G60" s="132">
        <v>2014</v>
      </c>
      <c r="H60" s="395">
        <f>VLOOKUP($G$60,$B$177:$C$215, 2, FALSE)</f>
        <v>75</v>
      </c>
      <c r="I60" s="120">
        <f>H60-D60</f>
        <v>9</v>
      </c>
      <c r="J60" s="121">
        <f>I60/H60</f>
        <v>0.12</v>
      </c>
    </row>
    <row r="61" spans="2:17" ht="15" customHeight="1">
      <c r="B61" s="132">
        <v>2015</v>
      </c>
      <c r="C61" s="359">
        <f>VLOOKUP($E$3,'Catchment Projections'!$A$1:$BZ$90,41,FALSE)</f>
        <v>79</v>
      </c>
      <c r="D61" s="358">
        <f>VLOOKUP($E$3,'Catchment Projections'!$A$1:$BZ$90,75,FALSE)</f>
        <v>79</v>
      </c>
      <c r="E61" s="303">
        <f>D61/C61</f>
        <v>1</v>
      </c>
      <c r="G61" s="132">
        <v>2015</v>
      </c>
      <c r="H61" s="395">
        <f>VLOOKUP($G$61,$B$177:$C$215, 2, FALSE)</f>
        <v>82</v>
      </c>
      <c r="I61" s="120">
        <f>H61-D61</f>
        <v>3</v>
      </c>
      <c r="J61" s="121">
        <f>I61/H61</f>
        <v>3.6585365853658534E-2</v>
      </c>
    </row>
    <row r="62" spans="2:17" ht="15" customHeight="1">
      <c r="B62" s="131">
        <v>2016</v>
      </c>
      <c r="C62" s="359">
        <f>VLOOKUP($E$3,'Catchment Projections'!$A$1:$BZ$90,42,FALSE)</f>
        <v>63</v>
      </c>
      <c r="D62" s="358">
        <f>VLOOKUP($E$3,'Catchment Projections'!$A$1:$BZ$90,76,FALSE)</f>
        <v>62</v>
      </c>
      <c r="E62" s="57">
        <f>D62/C62</f>
        <v>0.98412698412698407</v>
      </c>
      <c r="G62" s="131">
        <v>2016</v>
      </c>
      <c r="H62" s="395">
        <f>VLOOKUP($G$62,$B$177:$C$215, 2, FALSE)</f>
        <v>66</v>
      </c>
      <c r="I62" s="120">
        <f>H62-D62</f>
        <v>4</v>
      </c>
      <c r="J62" s="121">
        <f>I62/H62</f>
        <v>6.0606060606060608E-2</v>
      </c>
    </row>
    <row r="63" spans="2:17" ht="15" customHeight="1">
      <c r="B63" s="114">
        <v>2017</v>
      </c>
      <c r="C63" s="359">
        <f>VLOOKUP($E$3,'Catchment Projections'!$A$1:$BZ$90,43,FALSE)</f>
        <v>77</v>
      </c>
      <c r="D63" s="358">
        <f>VLOOKUP($E$3,'Catchment Projections'!$A$1:$BZ$90,77,FALSE)</f>
        <v>74</v>
      </c>
      <c r="E63" s="304">
        <f>D63/C63</f>
        <v>0.96103896103896103</v>
      </c>
      <c r="G63" s="114">
        <v>2017</v>
      </c>
      <c r="H63" s="395">
        <f>VLOOKUP($G$63,$B$177:$C$215, 2, FALSE)</f>
        <v>75</v>
      </c>
      <c r="I63" s="120">
        <f>H63-D63</f>
        <v>1</v>
      </c>
      <c r="J63" s="121">
        <f>I63/H63</f>
        <v>1.3333333333333334E-2</v>
      </c>
    </row>
    <row r="64" spans="2:17" ht="15" customHeight="1">
      <c r="B64" s="114">
        <v>2018</v>
      </c>
      <c r="C64" s="359">
        <f>VLOOKUP($E$3,'Catchment Projections'!$A$1:$BZ$90,44,FALSE)</f>
        <v>61</v>
      </c>
      <c r="D64" s="358">
        <f>VLOOKUP($E$3,'Catchment Projections'!$A$1:$BZ$90,78,FALSE)</f>
        <v>59</v>
      </c>
      <c r="E64" s="305">
        <f>D64/C64</f>
        <v>0.96721311475409832</v>
      </c>
      <c r="G64" s="114">
        <v>2018</v>
      </c>
      <c r="H64" s="395">
        <f>VLOOKUP($G$64,$B$177:$C$215, 2, FALSE)</f>
        <v>73</v>
      </c>
      <c r="I64" s="120">
        <f>H64-D64</f>
        <v>14</v>
      </c>
      <c r="J64" s="121">
        <f>I64/H64</f>
        <v>0.19178082191780821</v>
      </c>
    </row>
    <row r="65" spans="2:10" ht="15" customHeight="1">
      <c r="B65" s="412" t="s">
        <v>136</v>
      </c>
      <c r="C65" s="413"/>
      <c r="D65" s="414"/>
      <c r="E65" s="137">
        <f>IF((AVERAGE(E62:E64))="#DIV/0!","n/a",(AVERAGE(E62:E64)))</f>
        <v>0.97079301997334788</v>
      </c>
      <c r="G65" s="415" t="s">
        <v>137</v>
      </c>
      <c r="H65" s="416"/>
      <c r="I65" s="138">
        <f>MEDIAN(I60:I64)</f>
        <v>4</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70</v>
      </c>
      <c r="D70" s="408"/>
      <c r="E70" s="122">
        <f>E65</f>
        <v>0.97079301997334788</v>
      </c>
      <c r="F70" s="120">
        <f t="shared" ref="F70:F83" si="1">C70*$E$65</f>
        <v>67.955511398134348</v>
      </c>
      <c r="G70" s="118">
        <f>IF(F70&lt;26,25,IF(F70&gt;135,140,IF(F70&gt;130,135,IF(F70&gt;125,130,IF(F70&gt;120,125,IF(F70&gt;115,120,IF(F70&gt;110,115,IF(F70&gt;105,110,IF(F70&gt;100,105,IF(F70&gt;99,100,IF(F70&gt;90,99,IF(F70&gt;75,90,IF(F70&gt;72,75,IF(F70&gt;66,72,IF(F70&gt;60,66,IF(F70&gt;50,60,IF(F70&gt;30,50,IF(F70&gt;25,30,0))))))))))))))))))</f>
        <v>72</v>
      </c>
      <c r="H70" s="119">
        <f t="shared" ref="H70:H83" si="2">G70-F70</f>
        <v>4.0444886018656518</v>
      </c>
      <c r="I70" s="118" t="str">
        <f>IF(I$65&lt;H70, "NO", "YES")</f>
        <v>NO</v>
      </c>
      <c r="J70" s="117">
        <f t="shared" ref="J70:J83" si="3">IF(I70="YES",G70,(MIN((SUM(F70,$I$65)),G70)))</f>
        <v>71.955511398134348</v>
      </c>
    </row>
    <row r="71" spans="2:10" ht="15" customHeight="1">
      <c r="B71" s="114">
        <v>2020</v>
      </c>
      <c r="C71" s="433">
        <f>E51</f>
        <v>68</v>
      </c>
      <c r="D71" s="408"/>
      <c r="E71" s="121">
        <f>E65</f>
        <v>0.97079301997334788</v>
      </c>
      <c r="F71" s="120">
        <f t="shared" si="1"/>
        <v>66.013925358187663</v>
      </c>
      <c r="G71" s="118">
        <f t="shared" ref="G71:G83" si="4">IF(F71&lt;26,25,IF(F71&gt;135,140,IF(F71&gt;130,135,IF(F71&gt;125,130,IF(F71&gt;120,125,IF(F71&gt;115,120,IF(F71&gt;110,115,IF(F71&gt;105,110,IF(F71&gt;100,105,IF(F71&gt;99,100,IF(F71&gt;90,99,IF(F71&gt;75,90,IF(F71&gt;72,75,IF(F71&gt;66,72,IF(F71&gt;60,66,IF(F71&gt;50,60,IF(F71&gt;30,50,IF(F71&gt;25,30,0))))))))))))))))))</f>
        <v>72</v>
      </c>
      <c r="H71" s="119">
        <f t="shared" si="2"/>
        <v>5.9860746418123369</v>
      </c>
      <c r="I71" s="118" t="str">
        <f t="shared" ref="I71:I83" si="5">IF(I$65&lt;H71, "NO", "YES")</f>
        <v>NO</v>
      </c>
      <c r="J71" s="117">
        <f t="shared" si="3"/>
        <v>70.013925358187663</v>
      </c>
    </row>
    <row r="72" spans="2:10" ht="15" customHeight="1">
      <c r="B72" s="114">
        <v>2021</v>
      </c>
      <c r="C72" s="430">
        <f>F51</f>
        <v>62</v>
      </c>
      <c r="D72" s="431"/>
      <c r="E72" s="121">
        <f>E65</f>
        <v>0.97079301997334788</v>
      </c>
      <c r="F72" s="120">
        <f t="shared" si="1"/>
        <v>60.189167238347565</v>
      </c>
      <c r="G72" s="118">
        <f t="shared" si="4"/>
        <v>66</v>
      </c>
      <c r="H72" s="119">
        <f t="shared" si="2"/>
        <v>5.8108327616524349</v>
      </c>
      <c r="I72" s="118" t="str">
        <f t="shared" si="5"/>
        <v>NO</v>
      </c>
      <c r="J72" s="117">
        <f t="shared" si="3"/>
        <v>64.189167238347565</v>
      </c>
    </row>
    <row r="73" spans="2:10" ht="15" customHeight="1">
      <c r="B73" s="114">
        <v>2022</v>
      </c>
      <c r="C73" s="430">
        <f>G51</f>
        <v>58</v>
      </c>
      <c r="D73" s="431"/>
      <c r="E73" s="121">
        <f>E65</f>
        <v>0.97079301997334788</v>
      </c>
      <c r="F73" s="120">
        <f t="shared" si="1"/>
        <v>56.305995158454181</v>
      </c>
      <c r="G73" s="118">
        <f t="shared" si="4"/>
        <v>60</v>
      </c>
      <c r="H73" s="119">
        <f t="shared" si="2"/>
        <v>3.6940048415458193</v>
      </c>
      <c r="I73" s="118" t="str">
        <f t="shared" si="5"/>
        <v>YES</v>
      </c>
      <c r="J73" s="117">
        <f t="shared" si="3"/>
        <v>60</v>
      </c>
    </row>
    <row r="74" spans="2:10" ht="15" customHeight="1">
      <c r="B74" s="114">
        <v>2023</v>
      </c>
      <c r="C74" s="430">
        <f>H51</f>
        <v>63</v>
      </c>
      <c r="D74" s="431"/>
      <c r="E74" s="121">
        <f>E65</f>
        <v>0.97079301997334788</v>
      </c>
      <c r="F74" s="120">
        <f t="shared" si="1"/>
        <v>61.159960258320915</v>
      </c>
      <c r="G74" s="118">
        <f t="shared" si="4"/>
        <v>66</v>
      </c>
      <c r="H74" s="119">
        <f t="shared" si="2"/>
        <v>4.8400397416790852</v>
      </c>
      <c r="I74" s="118" t="str">
        <f t="shared" si="5"/>
        <v>NO</v>
      </c>
      <c r="J74" s="117">
        <f t="shared" si="3"/>
        <v>65.159960258320922</v>
      </c>
    </row>
    <row r="75" spans="2:10" ht="15" customHeight="1">
      <c r="B75" s="114">
        <v>2024</v>
      </c>
      <c r="C75" s="430">
        <f>I51</f>
        <v>64</v>
      </c>
      <c r="D75" s="431"/>
      <c r="E75" s="121">
        <f>E65</f>
        <v>0.97079301997334788</v>
      </c>
      <c r="F75" s="120">
        <f t="shared" si="1"/>
        <v>62.130753278294264</v>
      </c>
      <c r="G75" s="118">
        <f t="shared" si="4"/>
        <v>66</v>
      </c>
      <c r="H75" s="119">
        <f t="shared" si="2"/>
        <v>3.8692467217057356</v>
      </c>
      <c r="I75" s="118" t="str">
        <f t="shared" si="5"/>
        <v>YES</v>
      </c>
      <c r="J75" s="117">
        <f t="shared" si="3"/>
        <v>66</v>
      </c>
    </row>
    <row r="76" spans="2:10" ht="15" customHeight="1">
      <c r="B76" s="114">
        <v>2025</v>
      </c>
      <c r="C76" s="430">
        <f>J51</f>
        <v>65</v>
      </c>
      <c r="D76" s="431"/>
      <c r="E76" s="121">
        <f>E65</f>
        <v>0.97079301997334788</v>
      </c>
      <c r="F76" s="120">
        <f t="shared" si="1"/>
        <v>63.101546298267614</v>
      </c>
      <c r="G76" s="118">
        <f t="shared" si="4"/>
        <v>66</v>
      </c>
      <c r="H76" s="119">
        <f t="shared" si="2"/>
        <v>2.8984537017323859</v>
      </c>
      <c r="I76" s="118" t="str">
        <f t="shared" si="5"/>
        <v>YES</v>
      </c>
      <c r="J76" s="117">
        <f t="shared" si="3"/>
        <v>66</v>
      </c>
    </row>
    <row r="77" spans="2:10" ht="15" customHeight="1">
      <c r="B77" s="114">
        <v>2026</v>
      </c>
      <c r="C77" s="430">
        <f>K51</f>
        <v>66</v>
      </c>
      <c r="D77" s="431"/>
      <c r="E77" s="121">
        <f>E65</f>
        <v>0.97079301997334788</v>
      </c>
      <c r="F77" s="120">
        <f t="shared" si="1"/>
        <v>64.072339318240964</v>
      </c>
      <c r="G77" s="118">
        <f t="shared" si="4"/>
        <v>66</v>
      </c>
      <c r="H77" s="119">
        <f t="shared" si="2"/>
        <v>1.9276606817590363</v>
      </c>
      <c r="I77" s="118" t="str">
        <f t="shared" si="5"/>
        <v>YES</v>
      </c>
      <c r="J77" s="117">
        <f t="shared" si="3"/>
        <v>66</v>
      </c>
    </row>
    <row r="78" spans="2:10" ht="15" customHeight="1">
      <c r="B78" s="114">
        <v>2027</v>
      </c>
      <c r="C78" s="430">
        <f>L51</f>
        <v>66</v>
      </c>
      <c r="D78" s="431"/>
      <c r="E78" s="121">
        <f>E65</f>
        <v>0.97079301997334788</v>
      </c>
      <c r="F78" s="120">
        <f t="shared" si="1"/>
        <v>64.072339318240964</v>
      </c>
      <c r="G78" s="118">
        <f t="shared" si="4"/>
        <v>66</v>
      </c>
      <c r="H78" s="119">
        <f t="shared" si="2"/>
        <v>1.9276606817590363</v>
      </c>
      <c r="I78" s="118" t="str">
        <f t="shared" si="5"/>
        <v>YES</v>
      </c>
      <c r="J78" s="117">
        <f t="shared" si="3"/>
        <v>66</v>
      </c>
    </row>
    <row r="79" spans="2:10" ht="15" customHeight="1">
      <c r="B79" s="114">
        <v>2028</v>
      </c>
      <c r="C79" s="430">
        <f>M51</f>
        <v>67</v>
      </c>
      <c r="D79" s="431"/>
      <c r="E79" s="121">
        <f t="shared" ref="E79:E83" si="6">$E$65</f>
        <v>0.97079301997334788</v>
      </c>
      <c r="F79" s="120">
        <f t="shared" si="1"/>
        <v>65.043132338214306</v>
      </c>
      <c r="G79" s="118">
        <f t="shared" si="4"/>
        <v>66</v>
      </c>
      <c r="H79" s="119">
        <f t="shared" si="2"/>
        <v>0.95686766178569371</v>
      </c>
      <c r="I79" s="118" t="str">
        <f t="shared" si="5"/>
        <v>YES</v>
      </c>
      <c r="J79" s="117">
        <f t="shared" si="3"/>
        <v>66</v>
      </c>
    </row>
    <row r="80" spans="2:10" ht="15" customHeight="1">
      <c r="B80" s="114">
        <v>2029</v>
      </c>
      <c r="C80" s="430">
        <f>N51</f>
        <v>67</v>
      </c>
      <c r="D80" s="431"/>
      <c r="E80" s="121">
        <f t="shared" si="6"/>
        <v>0.97079301997334788</v>
      </c>
      <c r="F80" s="120">
        <f t="shared" si="1"/>
        <v>65.043132338214306</v>
      </c>
      <c r="G80" s="118">
        <f t="shared" si="4"/>
        <v>66</v>
      </c>
      <c r="H80" s="119">
        <f t="shared" si="2"/>
        <v>0.95686766178569371</v>
      </c>
      <c r="I80" s="118" t="str">
        <f t="shared" si="5"/>
        <v>YES</v>
      </c>
      <c r="J80" s="117">
        <f t="shared" si="3"/>
        <v>66</v>
      </c>
    </row>
    <row r="81" spans="2:10" ht="15" customHeight="1">
      <c r="B81" s="114">
        <v>2030</v>
      </c>
      <c r="C81" s="430">
        <f>O51</f>
        <v>67</v>
      </c>
      <c r="D81" s="431"/>
      <c r="E81" s="121">
        <f t="shared" si="6"/>
        <v>0.97079301997334788</v>
      </c>
      <c r="F81" s="120">
        <f t="shared" si="1"/>
        <v>65.043132338214306</v>
      </c>
      <c r="G81" s="118">
        <f t="shared" si="4"/>
        <v>66</v>
      </c>
      <c r="H81" s="119">
        <f t="shared" si="2"/>
        <v>0.95686766178569371</v>
      </c>
      <c r="I81" s="118" t="str">
        <f t="shared" si="5"/>
        <v>YES</v>
      </c>
      <c r="J81" s="117">
        <f t="shared" si="3"/>
        <v>66</v>
      </c>
    </row>
    <row r="82" spans="2:10" ht="15" customHeight="1">
      <c r="B82" s="114">
        <v>2031</v>
      </c>
      <c r="C82" s="430">
        <f>P51</f>
        <v>67</v>
      </c>
      <c r="D82" s="431"/>
      <c r="E82" s="121">
        <f t="shared" si="6"/>
        <v>0.97079301997334788</v>
      </c>
      <c r="F82" s="120">
        <f t="shared" si="1"/>
        <v>65.043132338214306</v>
      </c>
      <c r="G82" s="118">
        <f t="shared" si="4"/>
        <v>66</v>
      </c>
      <c r="H82" s="119">
        <f t="shared" si="2"/>
        <v>0.95686766178569371</v>
      </c>
      <c r="I82" s="118" t="str">
        <f t="shared" si="5"/>
        <v>YES</v>
      </c>
      <c r="J82" s="117">
        <f t="shared" si="3"/>
        <v>66</v>
      </c>
    </row>
    <row r="83" spans="2:10" ht="15" customHeight="1">
      <c r="B83" s="114">
        <v>2032</v>
      </c>
      <c r="C83" s="430">
        <f>Q51</f>
        <v>67</v>
      </c>
      <c r="D83" s="431"/>
      <c r="E83" s="121">
        <f t="shared" si="6"/>
        <v>0.97079301997334788</v>
      </c>
      <c r="F83" s="120">
        <f t="shared" si="1"/>
        <v>65.043132338214306</v>
      </c>
      <c r="G83" s="118">
        <f t="shared" si="4"/>
        <v>66</v>
      </c>
      <c r="H83" s="119">
        <f t="shared" si="2"/>
        <v>0.95686766178569371</v>
      </c>
      <c r="I83" s="118" t="str">
        <f t="shared" si="5"/>
        <v>YES</v>
      </c>
      <c r="J83" s="117">
        <f t="shared" si="3"/>
        <v>66</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Davidson's Mains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85</v>
      </c>
      <c r="D91" s="112">
        <f t="shared" ref="D91:J91" si="7">D188</f>
        <v>75</v>
      </c>
      <c r="E91" s="112">
        <f t="shared" si="7"/>
        <v>60</v>
      </c>
      <c r="F91" s="112">
        <f t="shared" si="7"/>
        <v>69</v>
      </c>
      <c r="G91" s="112">
        <f t="shared" si="7"/>
        <v>70</v>
      </c>
      <c r="H91" s="112">
        <f t="shared" si="7"/>
        <v>65</v>
      </c>
      <c r="I91" s="112">
        <f t="shared" si="7"/>
        <v>64</v>
      </c>
      <c r="J91" s="213">
        <f t="shared" si="7"/>
        <v>488</v>
      </c>
    </row>
    <row r="92" spans="2:10" ht="15" customHeight="1">
      <c r="B92" s="114">
        <v>2014</v>
      </c>
      <c r="C92" s="112">
        <f>C189</f>
        <v>75</v>
      </c>
      <c r="D92" s="112">
        <f t="shared" ref="D92:J92" si="8">D189</f>
        <v>90</v>
      </c>
      <c r="E92" s="112">
        <f t="shared" si="8"/>
        <v>74</v>
      </c>
      <c r="F92" s="112">
        <f t="shared" si="8"/>
        <v>63</v>
      </c>
      <c r="G92" s="112">
        <f t="shared" si="8"/>
        <v>71</v>
      </c>
      <c r="H92" s="112">
        <f t="shared" si="8"/>
        <v>71</v>
      </c>
      <c r="I92" s="112">
        <f t="shared" si="8"/>
        <v>61</v>
      </c>
      <c r="J92" s="213">
        <f t="shared" si="8"/>
        <v>505</v>
      </c>
    </row>
    <row r="93" spans="2:10" ht="15" customHeight="1">
      <c r="B93" s="114">
        <v>2015</v>
      </c>
      <c r="C93" s="112">
        <f>C190</f>
        <v>82</v>
      </c>
      <c r="D93" s="112">
        <f t="shared" ref="D93:J93" si="9">D190</f>
        <v>77</v>
      </c>
      <c r="E93" s="112">
        <f t="shared" si="9"/>
        <v>90</v>
      </c>
      <c r="F93" s="112">
        <f t="shared" si="9"/>
        <v>81</v>
      </c>
      <c r="G93" s="112">
        <f t="shared" si="9"/>
        <v>65</v>
      </c>
      <c r="H93" s="112">
        <f t="shared" si="9"/>
        <v>75</v>
      </c>
      <c r="I93" s="112">
        <f t="shared" si="9"/>
        <v>73</v>
      </c>
      <c r="J93" s="213">
        <f t="shared" si="9"/>
        <v>543</v>
      </c>
    </row>
    <row r="94" spans="2:10" ht="15" customHeight="1">
      <c r="B94" s="114">
        <v>2016</v>
      </c>
      <c r="C94" s="112">
        <f>C191</f>
        <v>66</v>
      </c>
      <c r="D94" s="112">
        <f t="shared" ref="D94:J94" si="10">D191</f>
        <v>87</v>
      </c>
      <c r="E94" s="112">
        <f t="shared" si="10"/>
        <v>87</v>
      </c>
      <c r="F94" s="112">
        <f t="shared" si="10"/>
        <v>94</v>
      </c>
      <c r="G94" s="112">
        <f t="shared" si="10"/>
        <v>85</v>
      </c>
      <c r="H94" s="112">
        <f t="shared" si="10"/>
        <v>63</v>
      </c>
      <c r="I94" s="112">
        <f t="shared" si="10"/>
        <v>77</v>
      </c>
      <c r="J94" s="213">
        <f t="shared" si="10"/>
        <v>559</v>
      </c>
    </row>
    <row r="95" spans="2:10" ht="15" customHeight="1">
      <c r="B95" s="114">
        <v>2017</v>
      </c>
      <c r="C95" s="112">
        <f>C192</f>
        <v>75</v>
      </c>
      <c r="D95" s="112">
        <f t="shared" ref="D95:J95" si="11">D192</f>
        <v>67</v>
      </c>
      <c r="E95" s="112">
        <f t="shared" si="11"/>
        <v>87</v>
      </c>
      <c r="F95" s="112">
        <f t="shared" si="11"/>
        <v>87</v>
      </c>
      <c r="G95" s="112">
        <f t="shared" si="11"/>
        <v>91</v>
      </c>
      <c r="H95" s="112">
        <f t="shared" si="11"/>
        <v>86</v>
      </c>
      <c r="I95" s="112">
        <f t="shared" si="11"/>
        <v>64</v>
      </c>
      <c r="J95" s="213">
        <f t="shared" si="11"/>
        <v>557</v>
      </c>
    </row>
    <row r="96" spans="2:10" ht="15" customHeight="1">
      <c r="B96" s="307">
        <v>2018</v>
      </c>
      <c r="C96" s="112">
        <f t="shared" ref="C96:J96" si="12">C193</f>
        <v>73</v>
      </c>
      <c r="D96" s="112">
        <f t="shared" si="12"/>
        <v>74</v>
      </c>
      <c r="E96" s="112">
        <f t="shared" si="12"/>
        <v>65</v>
      </c>
      <c r="F96" s="112">
        <f t="shared" si="12"/>
        <v>94</v>
      </c>
      <c r="G96" s="112">
        <f t="shared" si="12"/>
        <v>86</v>
      </c>
      <c r="H96" s="112">
        <f t="shared" si="12"/>
        <v>90</v>
      </c>
      <c r="I96" s="112">
        <f t="shared" si="12"/>
        <v>88</v>
      </c>
      <c r="J96" s="213">
        <f t="shared" si="12"/>
        <v>570</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-2.6666666666666668E-2</v>
      </c>
      <c r="E98" s="210">
        <f t="shared" ref="E98:I98" si="13">MEDIAN(((D91-E92)/D91),((D92-E93)/D92),((D93-E94)/D93),((D94-E95)/D94),((D95-E96)/D95))</f>
        <v>0</v>
      </c>
      <c r="F98" s="210">
        <f t="shared" si="13"/>
        <v>-0.05</v>
      </c>
      <c r="G98" s="210">
        <f t="shared" si="13"/>
        <v>-2.8985507246376812E-2</v>
      </c>
      <c r="H98" s="210">
        <f t="shared" si="13"/>
        <v>-1.1764705882352941E-2</v>
      </c>
      <c r="I98" s="210">
        <f t="shared" si="13"/>
        <v>-2.3255813953488372E-2</v>
      </c>
    </row>
    <row r="99" spans="2:10" ht="18.75">
      <c r="B99" s="59"/>
      <c r="C99" s="60"/>
      <c r="D99" s="61"/>
      <c r="E99" s="61"/>
      <c r="F99" s="61"/>
      <c r="G99" s="61"/>
      <c r="H99" s="61"/>
      <c r="I99" s="61"/>
      <c r="J99" s="58"/>
    </row>
    <row r="100" spans="2:10">
      <c r="B100" s="15" t="str">
        <f>"Table 4B: "&amp;E3&amp;" Projected Roll by Stage (incorporating Projected P1 and Drop-Off Rates), 2019-2032"</f>
        <v>Table 4B: Davidson's Mains Primary School Projected Roll by Stage (incorporating Projected P1 and Drop-Off Rates), 2019-2032</v>
      </c>
      <c r="F100" s="14"/>
      <c r="G100" s="14"/>
    </row>
    <row r="101" spans="2:10" ht="12.75">
      <c r="F101" s="14"/>
      <c r="G101" s="14"/>
    </row>
    <row r="102" spans="2:10">
      <c r="B102" s="115"/>
      <c r="C102" s="109" t="s">
        <v>1</v>
      </c>
      <c r="D102" s="109" t="s">
        <v>2</v>
      </c>
      <c r="E102" s="109" t="s">
        <v>3</v>
      </c>
      <c r="F102" s="109" t="s">
        <v>4</v>
      </c>
      <c r="G102" s="109" t="s">
        <v>5</v>
      </c>
      <c r="H102" s="109" t="s">
        <v>6</v>
      </c>
      <c r="I102" s="109" t="s">
        <v>7</v>
      </c>
      <c r="J102" s="109" t="s">
        <v>8</v>
      </c>
    </row>
    <row r="103" spans="2:10">
      <c r="B103" s="114">
        <v>2019</v>
      </c>
      <c r="C103" s="113">
        <f t="shared" ref="C103:C116" si="14">J70</f>
        <v>71.955511398134348</v>
      </c>
      <c r="D103" s="324">
        <f>ROUND((C96)-(C96*$D$98),0)</f>
        <v>75</v>
      </c>
      <c r="E103" s="324">
        <f>ROUND((D96)-(D96*$E$98),0)</f>
        <v>74</v>
      </c>
      <c r="F103" s="324">
        <f>ROUND((E96)-(E96*$F$98),0)</f>
        <v>68</v>
      </c>
      <c r="G103" s="324">
        <f>ROUND((F96)-(F96*$G$98),0)</f>
        <v>97</v>
      </c>
      <c r="H103" s="324">
        <f>ROUND((G96)-(G96*$H$98),0)</f>
        <v>87</v>
      </c>
      <c r="I103" s="324">
        <f>ROUND((H96)-(H96*$I$98),0)</f>
        <v>92</v>
      </c>
      <c r="J103" s="111">
        <f t="shared" ref="J103:J116" si="15">SUM(C103:I103)</f>
        <v>564.95551139813438</v>
      </c>
    </row>
    <row r="104" spans="2:10">
      <c r="B104" s="114">
        <v>2020</v>
      </c>
      <c r="C104" s="113">
        <f t="shared" si="14"/>
        <v>70.013925358187663</v>
      </c>
      <c r="D104" s="324">
        <f>ROUND((C103-E50)-(C103*$D$98),0)</f>
        <v>74</v>
      </c>
      <c r="E104" s="112">
        <f t="shared" ref="E104:E116" si="16">ROUND((D103)-(D103*$E$98),0)</f>
        <v>75</v>
      </c>
      <c r="F104" s="112">
        <f t="shared" ref="F104:F116" si="17">ROUND((E103)-(E103*$F$98),0)</f>
        <v>78</v>
      </c>
      <c r="G104" s="112">
        <f t="shared" ref="G104:G116" si="18">ROUND((F103)-(F103*$G$98),0)</f>
        <v>70</v>
      </c>
      <c r="H104" s="112">
        <f t="shared" ref="H104:H116" si="19">ROUND((G103)-(G103*$H$98),0)</f>
        <v>98</v>
      </c>
      <c r="I104" s="112">
        <f t="shared" ref="I104:I116" si="20">ROUND((H103)-(H103*$I$98),0)</f>
        <v>89</v>
      </c>
      <c r="J104" s="111">
        <f t="shared" si="15"/>
        <v>554.01392535818763</v>
      </c>
    </row>
    <row r="105" spans="2:10">
      <c r="B105" s="114">
        <v>2021</v>
      </c>
      <c r="C105" s="113">
        <f t="shared" si="14"/>
        <v>64.189167238347565</v>
      </c>
      <c r="D105" s="324">
        <f>ROUND((C104-F50)-(C104*$D$98),0)</f>
        <v>72</v>
      </c>
      <c r="E105" s="112">
        <f t="shared" si="16"/>
        <v>74</v>
      </c>
      <c r="F105" s="112">
        <f t="shared" si="17"/>
        <v>79</v>
      </c>
      <c r="G105" s="112">
        <f t="shared" si="18"/>
        <v>80</v>
      </c>
      <c r="H105" s="112">
        <f t="shared" si="19"/>
        <v>71</v>
      </c>
      <c r="I105" s="112">
        <f t="shared" si="20"/>
        <v>100</v>
      </c>
      <c r="J105" s="111">
        <f t="shared" si="15"/>
        <v>540.18916723834764</v>
      </c>
    </row>
    <row r="106" spans="2:10">
      <c r="B106" s="114">
        <v>2022</v>
      </c>
      <c r="C106" s="113">
        <f t="shared" si="14"/>
        <v>60</v>
      </c>
      <c r="D106" s="324">
        <f>ROUND((C105-G50)-(C105*$D$98),0)</f>
        <v>66</v>
      </c>
      <c r="E106" s="112">
        <f t="shared" si="16"/>
        <v>72</v>
      </c>
      <c r="F106" s="112">
        <f t="shared" si="17"/>
        <v>78</v>
      </c>
      <c r="G106" s="112">
        <f t="shared" si="18"/>
        <v>81</v>
      </c>
      <c r="H106" s="112">
        <f t="shared" si="19"/>
        <v>81</v>
      </c>
      <c r="I106" s="112">
        <f t="shared" si="20"/>
        <v>73</v>
      </c>
      <c r="J106" s="111">
        <f t="shared" si="15"/>
        <v>511</v>
      </c>
    </row>
    <row r="107" spans="2:10">
      <c r="B107" s="114">
        <v>2023</v>
      </c>
      <c r="C107" s="113">
        <f t="shared" si="14"/>
        <v>65.159960258320922</v>
      </c>
      <c r="D107" s="324">
        <f>ROUND((C106-H50)-(C106*$D$98),0)</f>
        <v>62</v>
      </c>
      <c r="E107" s="112">
        <f t="shared" si="16"/>
        <v>66</v>
      </c>
      <c r="F107" s="112">
        <f t="shared" si="17"/>
        <v>76</v>
      </c>
      <c r="G107" s="112">
        <f t="shared" si="18"/>
        <v>80</v>
      </c>
      <c r="H107" s="112">
        <f t="shared" si="19"/>
        <v>82</v>
      </c>
      <c r="I107" s="112">
        <f t="shared" si="20"/>
        <v>83</v>
      </c>
      <c r="J107" s="111">
        <f t="shared" si="15"/>
        <v>514.15996025832089</v>
      </c>
    </row>
    <row r="108" spans="2:10">
      <c r="B108" s="114">
        <v>2024</v>
      </c>
      <c r="C108" s="113">
        <f t="shared" si="14"/>
        <v>66</v>
      </c>
      <c r="D108" s="324">
        <f>ROUND((C107-I50)-(C107*$D$98),0)</f>
        <v>67</v>
      </c>
      <c r="E108" s="112">
        <f t="shared" si="16"/>
        <v>62</v>
      </c>
      <c r="F108" s="112">
        <f t="shared" si="17"/>
        <v>69</v>
      </c>
      <c r="G108" s="112">
        <f t="shared" si="18"/>
        <v>78</v>
      </c>
      <c r="H108" s="112">
        <f t="shared" si="19"/>
        <v>81</v>
      </c>
      <c r="I108" s="112">
        <f t="shared" si="20"/>
        <v>84</v>
      </c>
      <c r="J108" s="111">
        <f t="shared" si="15"/>
        <v>507</v>
      </c>
    </row>
    <row r="109" spans="2:10">
      <c r="B109" s="114">
        <v>2025</v>
      </c>
      <c r="C109" s="113">
        <f t="shared" si="14"/>
        <v>66</v>
      </c>
      <c r="D109" s="324">
        <f>ROUND((C108-J50)-(C108*$D$98),0)</f>
        <v>68</v>
      </c>
      <c r="E109" s="112">
        <f t="shared" si="16"/>
        <v>67</v>
      </c>
      <c r="F109" s="112">
        <f t="shared" si="17"/>
        <v>65</v>
      </c>
      <c r="G109" s="112">
        <f t="shared" si="18"/>
        <v>71</v>
      </c>
      <c r="H109" s="112">
        <f t="shared" si="19"/>
        <v>79</v>
      </c>
      <c r="I109" s="112">
        <f t="shared" si="20"/>
        <v>83</v>
      </c>
      <c r="J109" s="111">
        <f t="shared" si="15"/>
        <v>499</v>
      </c>
    </row>
    <row r="110" spans="2:10">
      <c r="B110" s="114">
        <v>2026</v>
      </c>
      <c r="C110" s="113">
        <f t="shared" si="14"/>
        <v>66</v>
      </c>
      <c r="D110" s="324">
        <f>ROUND((C109-K50)-(C109*$D$98),0)</f>
        <v>68</v>
      </c>
      <c r="E110" s="112">
        <f t="shared" si="16"/>
        <v>68</v>
      </c>
      <c r="F110" s="112">
        <f t="shared" si="17"/>
        <v>70</v>
      </c>
      <c r="G110" s="112">
        <f t="shared" si="18"/>
        <v>67</v>
      </c>
      <c r="H110" s="112">
        <f t="shared" si="19"/>
        <v>72</v>
      </c>
      <c r="I110" s="112">
        <f t="shared" si="20"/>
        <v>81</v>
      </c>
      <c r="J110" s="111">
        <f t="shared" si="15"/>
        <v>492</v>
      </c>
    </row>
    <row r="111" spans="2:10">
      <c r="B111" s="114">
        <v>2027</v>
      </c>
      <c r="C111" s="113">
        <f t="shared" si="14"/>
        <v>66</v>
      </c>
      <c r="D111" s="324">
        <f>ROUND((C110-L50)-(C110*$D$98),0)</f>
        <v>68</v>
      </c>
      <c r="E111" s="112">
        <f t="shared" si="16"/>
        <v>68</v>
      </c>
      <c r="F111" s="112">
        <f t="shared" si="17"/>
        <v>71</v>
      </c>
      <c r="G111" s="112">
        <f t="shared" si="18"/>
        <v>72</v>
      </c>
      <c r="H111" s="112">
        <f t="shared" si="19"/>
        <v>68</v>
      </c>
      <c r="I111" s="112">
        <f t="shared" si="20"/>
        <v>74</v>
      </c>
      <c r="J111" s="111">
        <f t="shared" si="15"/>
        <v>487</v>
      </c>
    </row>
    <row r="112" spans="2:10">
      <c r="B112" s="114">
        <v>2028</v>
      </c>
      <c r="C112" s="113">
        <f t="shared" si="14"/>
        <v>66</v>
      </c>
      <c r="D112" s="324">
        <f>ROUND((C111-M50)-(C111*$D$98),0)</f>
        <v>68</v>
      </c>
      <c r="E112" s="112">
        <f t="shared" si="16"/>
        <v>68</v>
      </c>
      <c r="F112" s="112">
        <f t="shared" si="17"/>
        <v>71</v>
      </c>
      <c r="G112" s="112">
        <f t="shared" si="18"/>
        <v>73</v>
      </c>
      <c r="H112" s="112">
        <f t="shared" si="19"/>
        <v>73</v>
      </c>
      <c r="I112" s="112">
        <f t="shared" si="20"/>
        <v>70</v>
      </c>
      <c r="J112" s="111">
        <f t="shared" si="15"/>
        <v>489</v>
      </c>
    </row>
    <row r="113" spans="2:10" ht="15" customHeight="1">
      <c r="B113" s="114">
        <v>2029</v>
      </c>
      <c r="C113" s="113">
        <f t="shared" si="14"/>
        <v>66</v>
      </c>
      <c r="D113" s="324">
        <f>ROUND((C112-N50)-(C112*$D$98),0)</f>
        <v>68</v>
      </c>
      <c r="E113" s="112">
        <f t="shared" si="16"/>
        <v>68</v>
      </c>
      <c r="F113" s="112">
        <f t="shared" si="17"/>
        <v>71</v>
      </c>
      <c r="G113" s="112">
        <f t="shared" si="18"/>
        <v>73</v>
      </c>
      <c r="H113" s="112">
        <f t="shared" si="19"/>
        <v>74</v>
      </c>
      <c r="I113" s="112">
        <f t="shared" si="20"/>
        <v>75</v>
      </c>
      <c r="J113" s="111">
        <f t="shared" si="15"/>
        <v>495</v>
      </c>
    </row>
    <row r="114" spans="2:10" ht="15" customHeight="1">
      <c r="B114" s="114">
        <v>2030</v>
      </c>
      <c r="C114" s="113">
        <f t="shared" si="14"/>
        <v>66</v>
      </c>
      <c r="D114" s="324">
        <f>ROUND((C113-O50)-(C113*$D$98),0)</f>
        <v>68</v>
      </c>
      <c r="E114" s="112">
        <f t="shared" si="16"/>
        <v>68</v>
      </c>
      <c r="F114" s="112">
        <f t="shared" si="17"/>
        <v>71</v>
      </c>
      <c r="G114" s="112">
        <f t="shared" si="18"/>
        <v>73</v>
      </c>
      <c r="H114" s="112">
        <f t="shared" si="19"/>
        <v>74</v>
      </c>
      <c r="I114" s="112">
        <f t="shared" si="20"/>
        <v>76</v>
      </c>
      <c r="J114" s="111">
        <f t="shared" si="15"/>
        <v>496</v>
      </c>
    </row>
    <row r="115" spans="2:10" ht="15" customHeight="1">
      <c r="B115" s="114">
        <v>2031</v>
      </c>
      <c r="C115" s="113">
        <f t="shared" si="14"/>
        <v>66</v>
      </c>
      <c r="D115" s="324">
        <f>ROUND((C114-P50)-(C114*$D$98),0)</f>
        <v>68</v>
      </c>
      <c r="E115" s="112">
        <f t="shared" si="16"/>
        <v>68</v>
      </c>
      <c r="F115" s="112">
        <f t="shared" si="17"/>
        <v>71</v>
      </c>
      <c r="G115" s="112">
        <f t="shared" si="18"/>
        <v>73</v>
      </c>
      <c r="H115" s="112">
        <f t="shared" si="19"/>
        <v>74</v>
      </c>
      <c r="I115" s="112">
        <f t="shared" si="20"/>
        <v>76</v>
      </c>
      <c r="J115" s="111">
        <f t="shared" si="15"/>
        <v>496</v>
      </c>
    </row>
    <row r="116" spans="2:10" ht="15" customHeight="1">
      <c r="B116" s="114">
        <v>2032</v>
      </c>
      <c r="C116" s="113">
        <f t="shared" si="14"/>
        <v>66</v>
      </c>
      <c r="D116" s="324">
        <f>ROUND((C115-Q50)-(C115*$D$98),0)</f>
        <v>68</v>
      </c>
      <c r="E116" s="112">
        <f t="shared" si="16"/>
        <v>68</v>
      </c>
      <c r="F116" s="112">
        <f t="shared" si="17"/>
        <v>71</v>
      </c>
      <c r="G116" s="112">
        <f t="shared" si="18"/>
        <v>73</v>
      </c>
      <c r="H116" s="112">
        <f t="shared" si="19"/>
        <v>74</v>
      </c>
      <c r="I116" s="112">
        <f t="shared" si="20"/>
        <v>76</v>
      </c>
      <c r="J116" s="111">
        <f t="shared" si="15"/>
        <v>496</v>
      </c>
    </row>
    <row r="117" spans="2:10" ht="15" hidden="1" customHeight="1">
      <c r="F117" s="14"/>
      <c r="G117" s="14"/>
    </row>
    <row r="118" spans="2:10" ht="15" hidden="1" customHeight="1">
      <c r="B118" s="15" t="str">
        <f>"Table 4C: "&amp;E3&amp;" Projected Pupil Generation from Housing Development, 2019-2032"</f>
        <v>Table 4C: Davidson's Mains Primary School Projected Pupil Generation from Housing Development, 2019-2032</v>
      </c>
      <c r="F118" s="14"/>
      <c r="G118" s="14"/>
    </row>
    <row r="119" spans="2:10" ht="15" hidden="1" customHeight="1">
      <c r="F119" s="14"/>
      <c r="G119" s="14"/>
    </row>
    <row r="120" spans="2:10" ht="15" hidden="1" customHeight="1">
      <c r="B120" s="115"/>
      <c r="C120" s="109" t="s">
        <v>1</v>
      </c>
      <c r="D120" s="109" t="s">
        <v>2</v>
      </c>
      <c r="E120" s="109" t="s">
        <v>3</v>
      </c>
      <c r="F120" s="109" t="s">
        <v>4</v>
      </c>
      <c r="G120" s="109" t="s">
        <v>5</v>
      </c>
      <c r="H120" s="109" t="s">
        <v>6</v>
      </c>
      <c r="I120" s="109" t="s">
        <v>7</v>
      </c>
      <c r="J120" s="109" t="s">
        <v>8</v>
      </c>
    </row>
    <row r="121" spans="2:10" ht="15" hidden="1" customHeight="1">
      <c r="B121" s="114">
        <v>2019</v>
      </c>
      <c r="C121" s="116" t="s">
        <v>97</v>
      </c>
      <c r="D121" s="112">
        <f>VLOOKUP($E$3,'Housing Generation'!$A$3:$BE$90,11,FALSE)</f>
        <v>0</v>
      </c>
      <c r="E121" s="112">
        <f>VLOOKUP($E$3,'Housing Generation'!$A$3:$BE$90,12,FALSE)</f>
        <v>0</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0</v>
      </c>
    </row>
    <row r="122" spans="2:10" ht="15" hidden="1" customHeight="1">
      <c r="B122" s="114">
        <v>2020</v>
      </c>
      <c r="C122" s="116" t="s">
        <v>97</v>
      </c>
      <c r="D122" s="112">
        <f>VLOOKUP($E$3,'Housing Generation'!$A$3:$BE$90,19,FALSE)</f>
        <v>0</v>
      </c>
      <c r="E122" s="112">
        <f>VLOOKUP($E$3,'Housing Generation'!$A$3:$BE$90,20,FALSE)</f>
        <v>0</v>
      </c>
      <c r="F122" s="112">
        <f>VLOOKUP($E$3,'Housing Generation'!$A$3:$BE$90,21,FALSE)</f>
        <v>0</v>
      </c>
      <c r="G122" s="112">
        <f>VLOOKUP($E$3,'Housing Generation'!$A$3:$BE$90,22,FALSE)</f>
        <v>0</v>
      </c>
      <c r="H122" s="112">
        <f>VLOOKUP($E$3,'Housing Generation'!$A$3:$BE$90,23,FALSE)</f>
        <v>0</v>
      </c>
      <c r="I122" s="112">
        <f>VLOOKUP($E$3,'Housing Generation'!$A$3:$BE$90,24,FALSE)</f>
        <v>0</v>
      </c>
      <c r="J122" s="111">
        <f t="shared" si="21"/>
        <v>0</v>
      </c>
    </row>
    <row r="123" spans="2:10" ht="15" hidden="1" customHeight="1">
      <c r="B123" s="114">
        <v>2021</v>
      </c>
      <c r="C123" s="116" t="s">
        <v>97</v>
      </c>
      <c r="D123" s="112">
        <f>VLOOKUP($E$3,'Housing Generation'!$A$3:$BE$90,27,FALSE)</f>
        <v>0</v>
      </c>
      <c r="E123" s="112">
        <f>VLOOKUP($E$3,'Housing Generation'!$A$3:$BE$90,28,FALSE)</f>
        <v>0</v>
      </c>
      <c r="F123" s="112">
        <f>VLOOKUP($E$3,'Housing Generation'!$A$3:$BE$90,29,FALSE)</f>
        <v>0</v>
      </c>
      <c r="G123" s="112">
        <f>VLOOKUP($E$3,'Housing Generation'!$A$3:$BE$90,30,FALSE)</f>
        <v>0</v>
      </c>
      <c r="H123" s="112">
        <f>VLOOKUP($E$3,'Housing Generation'!$A$3:$BE$90,31,FALSE)</f>
        <v>0</v>
      </c>
      <c r="I123" s="112">
        <f>VLOOKUP($E$3,'Housing Generation'!$A$3:$BE$90,32,FALSE)</f>
        <v>0</v>
      </c>
      <c r="J123" s="111">
        <f t="shared" si="21"/>
        <v>0</v>
      </c>
    </row>
    <row r="124" spans="2:10" ht="15" hidden="1" customHeight="1">
      <c r="B124" s="114">
        <v>2022</v>
      </c>
      <c r="C124" s="116" t="s">
        <v>97</v>
      </c>
      <c r="D124" s="112">
        <f>VLOOKUP($E$3,'Housing Generation'!$A$3:$BE$90,35,FALSE)</f>
        <v>0</v>
      </c>
      <c r="E124" s="112">
        <f>VLOOKUP($E$3,'Housing Generation'!$A$3:$BE$90,36,FALSE)</f>
        <v>0</v>
      </c>
      <c r="F124" s="112">
        <f>VLOOKUP($E$3,'Housing Generation'!$A$3:$BE$90,37,FALSE)</f>
        <v>0</v>
      </c>
      <c r="G124" s="112">
        <f>VLOOKUP($E$3,'Housing Generation'!$A$3:$BE$90,38,FALSE)</f>
        <v>0</v>
      </c>
      <c r="H124" s="112">
        <f>VLOOKUP($E$3,'Housing Generation'!$A$3:$BE$90,39,FALSE)</f>
        <v>0</v>
      </c>
      <c r="I124" s="112">
        <f>VLOOKUP($E$3,'Housing Generation'!$A$3:$BE$90,40,FALSE)</f>
        <v>0</v>
      </c>
      <c r="J124" s="111">
        <f t="shared" si="21"/>
        <v>0</v>
      </c>
    </row>
    <row r="125" spans="2:10" ht="15" hidden="1" customHeight="1">
      <c r="B125" s="114">
        <v>2023</v>
      </c>
      <c r="C125" s="116" t="s">
        <v>97</v>
      </c>
      <c r="D125" s="112">
        <f>VLOOKUP($E$3,'Housing Generation'!$A$3:$BE$90,43,FALSE)</f>
        <v>0</v>
      </c>
      <c r="E125" s="112">
        <f>VLOOKUP($E$3,'Housing Generation'!$A$3:$BE$90,44,FALSE)</f>
        <v>0</v>
      </c>
      <c r="F125" s="112">
        <f>VLOOKUP($E$3,'Housing Generation'!$A$3:$BE$90,45,FALSE)</f>
        <v>0</v>
      </c>
      <c r="G125" s="112">
        <f>VLOOKUP($E$3,'Housing Generation'!$A$3:$BE$90,46,FALSE)</f>
        <v>0</v>
      </c>
      <c r="H125" s="112">
        <f>VLOOKUP($E$3,'Housing Generation'!$A$3:$BE$90,47,FALSE)</f>
        <v>0</v>
      </c>
      <c r="I125" s="112">
        <f>VLOOKUP($E$3,'Housing Generation'!$A$3:$BE$90,48,FALSE)</f>
        <v>0</v>
      </c>
      <c r="J125" s="111">
        <f t="shared" si="21"/>
        <v>0</v>
      </c>
    </row>
    <row r="126" spans="2:10" ht="15" hidden="1" customHeight="1">
      <c r="B126" s="114">
        <v>2024</v>
      </c>
      <c r="C126" s="116" t="s">
        <v>97</v>
      </c>
      <c r="D126" s="112">
        <f>VLOOKUP($E$3,'Housing Generation'!$A$3:$BE$90,51,FALSE)</f>
        <v>0</v>
      </c>
      <c r="E126" s="112">
        <f>VLOOKUP($E$3,'Housing Generation'!$A$3:$BE$90,52,FALSE)</f>
        <v>0</v>
      </c>
      <c r="F126" s="112">
        <f>VLOOKUP($E$3,'Housing Generation'!$A$3:$BE$90,53,FALSE)</f>
        <v>0</v>
      </c>
      <c r="G126" s="112">
        <f>VLOOKUP($E$3,'Housing Generation'!$A$3:$BE$90,54,FALSE)</f>
        <v>0</v>
      </c>
      <c r="H126" s="112">
        <f>VLOOKUP($E$3,'Housing Generation'!$A$3:$BE$90,55,FALSE)</f>
        <v>0</v>
      </c>
      <c r="I126" s="112">
        <f>VLOOKUP($E$3,'Housing Generation'!$A$3:$BE$90,56,FALSE)</f>
        <v>0</v>
      </c>
      <c r="J126" s="111">
        <f t="shared" si="21"/>
        <v>0</v>
      </c>
    </row>
    <row r="127" spans="2:10" ht="15" hidden="1" customHeight="1">
      <c r="B127" s="114">
        <v>2025</v>
      </c>
      <c r="C127" s="240" t="s">
        <v>97</v>
      </c>
      <c r="D127" s="112">
        <f>VLOOKUP($E$3,'Housing Generation'!$A$3:$CK$90,59,FALSE)</f>
        <v>0</v>
      </c>
      <c r="E127" s="112">
        <f>VLOOKUP($E$3,'Housing Generation'!$A$3:$CK$90,60,FALSE)</f>
        <v>0</v>
      </c>
      <c r="F127" s="112">
        <f>VLOOKUP($E$3,'Housing Generation'!$A$3:$CK$90,61,FALSE)</f>
        <v>0</v>
      </c>
      <c r="G127" s="112">
        <f>VLOOKUP($E$3,'Housing Generation'!$A$3:$CK$90,62,FALSE)</f>
        <v>0</v>
      </c>
      <c r="H127" s="112">
        <f>VLOOKUP($E$3,'Housing Generation'!$A$3:$CK$90,63,FALSE)</f>
        <v>0</v>
      </c>
      <c r="I127" s="112">
        <f>VLOOKUP($E$3,'Housing Generation'!$A$3:$CK$90,64,FALSE)</f>
        <v>0</v>
      </c>
      <c r="J127" s="111">
        <f t="shared" si="21"/>
        <v>0</v>
      </c>
    </row>
    <row r="128" spans="2:10" ht="15" hidden="1" customHeight="1">
      <c r="B128" s="114">
        <v>2026</v>
      </c>
      <c r="C128" s="240" t="s">
        <v>97</v>
      </c>
      <c r="D128" s="112">
        <f>VLOOKUP($E$3,'Housing Generation'!$A$3:$CK$90,67,FALSE)</f>
        <v>0</v>
      </c>
      <c r="E128" s="112">
        <f>VLOOKUP($E$3,'Housing Generation'!$A$3:$CK$90,68,FALSE)</f>
        <v>0</v>
      </c>
      <c r="F128" s="112">
        <f>VLOOKUP($E$3,'Housing Generation'!$A$3:$CK$90,69,FALSE)</f>
        <v>0</v>
      </c>
      <c r="G128" s="112">
        <f>VLOOKUP($E$3,'Housing Generation'!$A$3:$CK$90,70,FALSE)</f>
        <v>0</v>
      </c>
      <c r="H128" s="112">
        <f>VLOOKUP($E$3,'Housing Generation'!$A$3:$CK$90,71,FALSE)</f>
        <v>0</v>
      </c>
      <c r="I128" s="112">
        <f>VLOOKUP($E$3,'Housing Generation'!$A$3:$CK$90,72,FALSE)</f>
        <v>0</v>
      </c>
      <c r="J128" s="111">
        <f t="shared" si="21"/>
        <v>0</v>
      </c>
    </row>
    <row r="129" spans="2:10" ht="15" hidden="1" customHeight="1">
      <c r="B129" s="114">
        <v>2027</v>
      </c>
      <c r="C129" s="240" t="s">
        <v>97</v>
      </c>
      <c r="D129" s="112">
        <f>VLOOKUP($E$3,'Housing Generation'!$A$3:$CK$90,75,FALSE)</f>
        <v>0</v>
      </c>
      <c r="E129" s="112">
        <f>VLOOKUP($E$3,'Housing Generation'!$A$3:$CK$90,76,FALSE)</f>
        <v>0</v>
      </c>
      <c r="F129" s="112">
        <f>VLOOKUP($E$3,'Housing Generation'!$A$3:$CK$90,77,FALSE)</f>
        <v>0</v>
      </c>
      <c r="G129" s="112">
        <f>VLOOKUP($E$3,'Housing Generation'!$A$3:$CK$90,78,FALSE)</f>
        <v>0</v>
      </c>
      <c r="H129" s="112">
        <f>VLOOKUP($E$3,'Housing Generation'!$A$3:$CK$90,79,FALSE)</f>
        <v>0</v>
      </c>
      <c r="I129" s="112">
        <f>VLOOKUP($E$3,'Housing Generation'!$A$3:$CK$90,80,FALSE)</f>
        <v>0</v>
      </c>
      <c r="J129" s="111">
        <f t="shared" si="21"/>
        <v>0</v>
      </c>
    </row>
    <row r="130" spans="2:10" ht="15" customHeight="1">
      <c r="B130" s="114">
        <v>2028</v>
      </c>
      <c r="C130" s="289" t="s">
        <v>97</v>
      </c>
      <c r="D130" s="112">
        <f>VLOOKUP($E$3,'Housing Generation'!$A$3:$CK$90,83,FALSE)</f>
        <v>0</v>
      </c>
      <c r="E130" s="112">
        <f>VLOOKUP($E$3,'Housing Generation'!$A$3:$CK$90,84,FALSE)</f>
        <v>0</v>
      </c>
      <c r="F130" s="112">
        <f>VLOOKUP($E$3,'Housing Generation'!$A$3:$CK$90,85,FALSE)</f>
        <v>0</v>
      </c>
      <c r="G130" s="112">
        <f>VLOOKUP($E$3,'Housing Generation'!$A$3:$CK$90,86,FALSE)</f>
        <v>0</v>
      </c>
      <c r="H130" s="112">
        <f>VLOOKUP($E$3,'Housing Generation'!$A$3:$CK$90,87,FALSE)</f>
        <v>0</v>
      </c>
      <c r="I130" s="112">
        <f>VLOOKUP($E$3,'Housing Generation'!$A$3:$CK$90,88,FALSE)</f>
        <v>0</v>
      </c>
      <c r="J130" s="111">
        <f t="shared" si="21"/>
        <v>0</v>
      </c>
    </row>
    <row r="131" spans="2:10" ht="15" customHeight="1">
      <c r="B131" s="114">
        <v>2029</v>
      </c>
      <c r="C131" s="289" t="s">
        <v>97</v>
      </c>
      <c r="D131" s="112">
        <f>VLOOKUP($E$3,'Housing Generation'!$A$3:$DQ$90,91,FALSE)</f>
        <v>0</v>
      </c>
      <c r="E131" s="112">
        <f>VLOOKUP($E$3,'Housing Generation'!$A$3:$DQ$90,92,FALSE)</f>
        <v>0</v>
      </c>
      <c r="F131" s="112">
        <f>VLOOKUP($E$3,'Housing Generation'!$A$3:$DQ$90,93,FALSE)</f>
        <v>0</v>
      </c>
      <c r="G131" s="112">
        <f>VLOOKUP($E$3,'Housing Generation'!$A$3:$DQ$90,94,FALSE)</f>
        <v>0</v>
      </c>
      <c r="H131" s="112">
        <f>VLOOKUP($E$3,'Housing Generation'!$A$3:$DQ$90,95,FALSE)</f>
        <v>0</v>
      </c>
      <c r="I131" s="112">
        <f>VLOOKUP($E$3,'Housing Generation'!$A$3:$DQ$90,96,FALSE)</f>
        <v>0</v>
      </c>
      <c r="J131" s="111">
        <f t="shared" si="21"/>
        <v>0</v>
      </c>
    </row>
    <row r="132" spans="2:10" ht="15" customHeight="1">
      <c r="B132" s="114">
        <v>2030</v>
      </c>
      <c r="C132" s="289" t="s">
        <v>97</v>
      </c>
      <c r="D132" s="112">
        <f>VLOOKUP($E$3,'Housing Generation'!$A$3:$DQ$90,99,FALSE)</f>
        <v>0</v>
      </c>
      <c r="E132" s="112">
        <f>VLOOKUP($E$3,'Housing Generation'!$A$3:$DQ$90,100,FALSE)</f>
        <v>0</v>
      </c>
      <c r="F132" s="112">
        <f>VLOOKUP($E$3,'Housing Generation'!$A$3:$DQ$90,101,FALSE)</f>
        <v>0</v>
      </c>
      <c r="G132" s="112">
        <f>VLOOKUP($E$3,'Housing Generation'!$A$3:$DQ$90,102,FALSE)</f>
        <v>0</v>
      </c>
      <c r="H132" s="112">
        <f>VLOOKUP($E$3,'Housing Generation'!$A$3:$DQ$90,103,FALSE)</f>
        <v>0</v>
      </c>
      <c r="I132" s="112">
        <f>VLOOKUP($E$3,'Housing Generation'!$A$3:$DQ$90,104,FALSE)</f>
        <v>0</v>
      </c>
      <c r="J132" s="111">
        <f t="shared" si="21"/>
        <v>0</v>
      </c>
    </row>
    <row r="133" spans="2:10" ht="15" customHeight="1">
      <c r="B133" s="114">
        <v>2031</v>
      </c>
      <c r="C133" s="289" t="s">
        <v>97</v>
      </c>
      <c r="D133" s="112">
        <f>VLOOKUP($E$3,'Housing Generation'!$A$3:$DQ$90,107,FALSE)</f>
        <v>0</v>
      </c>
      <c r="E133" s="112">
        <f>VLOOKUP($E$3,'Housing Generation'!$A$3:$DQ$90,108,FALSE)</f>
        <v>0</v>
      </c>
      <c r="F133" s="112">
        <f>VLOOKUP($E$3,'Housing Generation'!$A$3:$DQ$90,109,FALSE)</f>
        <v>0</v>
      </c>
      <c r="G133" s="112">
        <f>VLOOKUP($E$3,'Housing Generation'!$A$3:$DQ$90,110,FALSE)</f>
        <v>0</v>
      </c>
      <c r="H133" s="112">
        <f>VLOOKUP($E$3,'Housing Generation'!$A$3:$DQ$90,111,FALSE)</f>
        <v>0</v>
      </c>
      <c r="I133" s="112">
        <f>VLOOKUP($E$3,'Housing Generation'!$A$3:$DQ$90,112,FALSE)</f>
        <v>0</v>
      </c>
      <c r="J133" s="111">
        <f t="shared" si="21"/>
        <v>0</v>
      </c>
    </row>
    <row r="134" spans="2:10" ht="15" customHeight="1">
      <c r="B134" s="114">
        <v>2032</v>
      </c>
      <c r="C134" s="289" t="s">
        <v>97</v>
      </c>
      <c r="D134" s="112">
        <f>VLOOKUP($E$3,'Housing Generation'!$A$3:$DQ$90,115,FALSE)</f>
        <v>0</v>
      </c>
      <c r="E134" s="112">
        <f>VLOOKUP($E$3,'Housing Generation'!$A$3:$DQ$90,116,FALSE)</f>
        <v>0</v>
      </c>
      <c r="F134" s="112">
        <f>VLOOKUP($E$3,'Housing Generation'!$A$3:$DQ$90,117,FALSE)</f>
        <v>0</v>
      </c>
      <c r="G134" s="112">
        <f>VLOOKUP($E$3,'Housing Generation'!$A$3:$DQ$90,118,FALSE)</f>
        <v>0</v>
      </c>
      <c r="H134" s="112">
        <f>VLOOKUP($E$3,'Housing Generation'!$A$3:$DQ$90,119,FALSE)</f>
        <v>0</v>
      </c>
      <c r="I134" s="112">
        <f>VLOOKUP($E$3,'Housing Generation'!$A$3:$DQ$90,120,FALSE)</f>
        <v>0</v>
      </c>
      <c r="J134" s="111">
        <f t="shared" si="21"/>
        <v>0</v>
      </c>
    </row>
    <row r="135" spans="2:10" ht="15" hidden="1"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Davidson's Mains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71.955511398134348</v>
      </c>
      <c r="D139" s="112">
        <f t="shared" ref="D139:I152" si="23">D121+D103</f>
        <v>75</v>
      </c>
      <c r="E139" s="112">
        <f t="shared" si="23"/>
        <v>74</v>
      </c>
      <c r="F139" s="112">
        <f t="shared" si="23"/>
        <v>68</v>
      </c>
      <c r="G139" s="112">
        <f t="shared" si="23"/>
        <v>97</v>
      </c>
      <c r="H139" s="112">
        <f t="shared" si="23"/>
        <v>87</v>
      </c>
      <c r="I139" s="112">
        <f t="shared" si="23"/>
        <v>92</v>
      </c>
      <c r="J139" s="111">
        <f t="shared" ref="J139:J147" si="24">SUM(C139:I139)</f>
        <v>564.95551139813438</v>
      </c>
    </row>
    <row r="140" spans="2:10" ht="15" customHeight="1">
      <c r="B140" s="114">
        <v>2020</v>
      </c>
      <c r="C140" s="113">
        <f t="shared" si="22"/>
        <v>70.013925358187663</v>
      </c>
      <c r="D140" s="112">
        <f t="shared" si="23"/>
        <v>74</v>
      </c>
      <c r="E140" s="112">
        <f t="shared" si="23"/>
        <v>75</v>
      </c>
      <c r="F140" s="112">
        <f t="shared" si="23"/>
        <v>78</v>
      </c>
      <c r="G140" s="112">
        <f t="shared" si="23"/>
        <v>70</v>
      </c>
      <c r="H140" s="112">
        <f t="shared" si="23"/>
        <v>98</v>
      </c>
      <c r="I140" s="112">
        <f t="shared" si="23"/>
        <v>89</v>
      </c>
      <c r="J140" s="111">
        <f t="shared" si="24"/>
        <v>554.01392535818763</v>
      </c>
    </row>
    <row r="141" spans="2:10" ht="15" customHeight="1">
      <c r="B141" s="114">
        <v>2021</v>
      </c>
      <c r="C141" s="113">
        <f t="shared" si="22"/>
        <v>64.189167238347565</v>
      </c>
      <c r="D141" s="112">
        <f t="shared" si="23"/>
        <v>72</v>
      </c>
      <c r="E141" s="112">
        <f t="shared" si="23"/>
        <v>74</v>
      </c>
      <c r="F141" s="112">
        <f t="shared" si="23"/>
        <v>79</v>
      </c>
      <c r="G141" s="112">
        <f t="shared" si="23"/>
        <v>80</v>
      </c>
      <c r="H141" s="112">
        <f t="shared" si="23"/>
        <v>71</v>
      </c>
      <c r="I141" s="112">
        <f t="shared" si="23"/>
        <v>100</v>
      </c>
      <c r="J141" s="111">
        <f t="shared" si="24"/>
        <v>540.18916723834764</v>
      </c>
    </row>
    <row r="142" spans="2:10" ht="15" customHeight="1">
      <c r="B142" s="114">
        <v>2022</v>
      </c>
      <c r="C142" s="113">
        <f t="shared" si="22"/>
        <v>60</v>
      </c>
      <c r="D142" s="112">
        <f t="shared" si="23"/>
        <v>66</v>
      </c>
      <c r="E142" s="112">
        <f t="shared" si="23"/>
        <v>72</v>
      </c>
      <c r="F142" s="112">
        <f t="shared" si="23"/>
        <v>78</v>
      </c>
      <c r="G142" s="112">
        <f t="shared" si="23"/>
        <v>81</v>
      </c>
      <c r="H142" s="112">
        <f t="shared" si="23"/>
        <v>81</v>
      </c>
      <c r="I142" s="112">
        <f t="shared" si="23"/>
        <v>73</v>
      </c>
      <c r="J142" s="111">
        <f t="shared" si="24"/>
        <v>511</v>
      </c>
    </row>
    <row r="143" spans="2:10" ht="15" customHeight="1">
      <c r="B143" s="114">
        <v>2023</v>
      </c>
      <c r="C143" s="113">
        <f t="shared" si="22"/>
        <v>65.159960258320922</v>
      </c>
      <c r="D143" s="112">
        <f t="shared" si="23"/>
        <v>62</v>
      </c>
      <c r="E143" s="112">
        <f t="shared" si="23"/>
        <v>66</v>
      </c>
      <c r="F143" s="112">
        <f t="shared" si="23"/>
        <v>76</v>
      </c>
      <c r="G143" s="112">
        <f t="shared" si="23"/>
        <v>80</v>
      </c>
      <c r="H143" s="112">
        <f t="shared" si="23"/>
        <v>82</v>
      </c>
      <c r="I143" s="112">
        <f t="shared" si="23"/>
        <v>83</v>
      </c>
      <c r="J143" s="111">
        <f t="shared" si="24"/>
        <v>514.15996025832089</v>
      </c>
    </row>
    <row r="144" spans="2:10" ht="15" customHeight="1">
      <c r="B144" s="114">
        <v>2024</v>
      </c>
      <c r="C144" s="113">
        <f t="shared" si="22"/>
        <v>66</v>
      </c>
      <c r="D144" s="112">
        <f t="shared" si="23"/>
        <v>67</v>
      </c>
      <c r="E144" s="112">
        <f t="shared" si="23"/>
        <v>62</v>
      </c>
      <c r="F144" s="112">
        <f t="shared" si="23"/>
        <v>69</v>
      </c>
      <c r="G144" s="112">
        <f t="shared" si="23"/>
        <v>78</v>
      </c>
      <c r="H144" s="112">
        <f t="shared" si="23"/>
        <v>81</v>
      </c>
      <c r="I144" s="112">
        <f t="shared" si="23"/>
        <v>84</v>
      </c>
      <c r="J144" s="111">
        <f t="shared" si="24"/>
        <v>507</v>
      </c>
    </row>
    <row r="145" spans="2:16" ht="15" customHeight="1">
      <c r="B145" s="114">
        <v>2025</v>
      </c>
      <c r="C145" s="113">
        <f t="shared" si="22"/>
        <v>66</v>
      </c>
      <c r="D145" s="112">
        <f t="shared" si="23"/>
        <v>68</v>
      </c>
      <c r="E145" s="112">
        <f t="shared" si="23"/>
        <v>67</v>
      </c>
      <c r="F145" s="112">
        <f t="shared" si="23"/>
        <v>65</v>
      </c>
      <c r="G145" s="112">
        <f t="shared" si="23"/>
        <v>71</v>
      </c>
      <c r="H145" s="112">
        <f t="shared" si="23"/>
        <v>79</v>
      </c>
      <c r="I145" s="112">
        <f t="shared" si="23"/>
        <v>83</v>
      </c>
      <c r="J145" s="111">
        <f t="shared" si="24"/>
        <v>499</v>
      </c>
    </row>
    <row r="146" spans="2:16" ht="15" customHeight="1">
      <c r="B146" s="114">
        <v>2026</v>
      </c>
      <c r="C146" s="113">
        <f t="shared" si="22"/>
        <v>66</v>
      </c>
      <c r="D146" s="112">
        <f t="shared" si="23"/>
        <v>68</v>
      </c>
      <c r="E146" s="112">
        <f t="shared" si="23"/>
        <v>68</v>
      </c>
      <c r="F146" s="112">
        <f t="shared" si="23"/>
        <v>70</v>
      </c>
      <c r="G146" s="112">
        <f t="shared" si="23"/>
        <v>67</v>
      </c>
      <c r="H146" s="112">
        <f t="shared" si="23"/>
        <v>72</v>
      </c>
      <c r="I146" s="112">
        <f t="shared" si="23"/>
        <v>81</v>
      </c>
      <c r="J146" s="111">
        <f t="shared" si="24"/>
        <v>492</v>
      </c>
    </row>
    <row r="147" spans="2:16" ht="15" customHeight="1">
      <c r="B147" s="114">
        <v>2027</v>
      </c>
      <c r="C147" s="113">
        <f t="shared" si="22"/>
        <v>66</v>
      </c>
      <c r="D147" s="112">
        <f t="shared" si="23"/>
        <v>68</v>
      </c>
      <c r="E147" s="112">
        <f t="shared" si="23"/>
        <v>68</v>
      </c>
      <c r="F147" s="112">
        <f t="shared" si="23"/>
        <v>71</v>
      </c>
      <c r="G147" s="112">
        <f t="shared" si="23"/>
        <v>72</v>
      </c>
      <c r="H147" s="112">
        <f t="shared" si="23"/>
        <v>68</v>
      </c>
      <c r="I147" s="112">
        <f t="shared" si="23"/>
        <v>74</v>
      </c>
      <c r="J147" s="111">
        <f t="shared" si="24"/>
        <v>487</v>
      </c>
    </row>
    <row r="148" spans="2:16" ht="15" customHeight="1">
      <c r="B148" s="114">
        <v>2028</v>
      </c>
      <c r="C148" s="113">
        <f t="shared" si="22"/>
        <v>66</v>
      </c>
      <c r="D148" s="112">
        <f t="shared" si="23"/>
        <v>68</v>
      </c>
      <c r="E148" s="112">
        <f t="shared" si="23"/>
        <v>68</v>
      </c>
      <c r="F148" s="112">
        <f t="shared" si="23"/>
        <v>71</v>
      </c>
      <c r="G148" s="112">
        <f t="shared" si="23"/>
        <v>73</v>
      </c>
      <c r="H148" s="112">
        <f t="shared" si="23"/>
        <v>73</v>
      </c>
      <c r="I148" s="112">
        <f t="shared" si="23"/>
        <v>70</v>
      </c>
      <c r="J148" s="111">
        <f t="shared" ref="J148:J152" si="25">SUM(C148:I148)</f>
        <v>489</v>
      </c>
    </row>
    <row r="149" spans="2:16" ht="15" customHeight="1">
      <c r="B149" s="114">
        <v>2029</v>
      </c>
      <c r="C149" s="113">
        <f t="shared" si="22"/>
        <v>66</v>
      </c>
      <c r="D149" s="112">
        <f t="shared" si="23"/>
        <v>68</v>
      </c>
      <c r="E149" s="112">
        <f t="shared" si="23"/>
        <v>68</v>
      </c>
      <c r="F149" s="112">
        <f t="shared" si="23"/>
        <v>71</v>
      </c>
      <c r="G149" s="112">
        <f t="shared" si="23"/>
        <v>73</v>
      </c>
      <c r="H149" s="112">
        <f t="shared" si="23"/>
        <v>74</v>
      </c>
      <c r="I149" s="112">
        <f t="shared" si="23"/>
        <v>75</v>
      </c>
      <c r="J149" s="111">
        <f t="shared" si="25"/>
        <v>495</v>
      </c>
    </row>
    <row r="150" spans="2:16" ht="15" customHeight="1">
      <c r="B150" s="114">
        <v>2030</v>
      </c>
      <c r="C150" s="113">
        <f t="shared" si="22"/>
        <v>66</v>
      </c>
      <c r="D150" s="112">
        <f t="shared" si="23"/>
        <v>68</v>
      </c>
      <c r="E150" s="112">
        <f t="shared" si="23"/>
        <v>68</v>
      </c>
      <c r="F150" s="112">
        <f t="shared" si="23"/>
        <v>71</v>
      </c>
      <c r="G150" s="112">
        <f t="shared" si="23"/>
        <v>73</v>
      </c>
      <c r="H150" s="112">
        <f t="shared" si="23"/>
        <v>74</v>
      </c>
      <c r="I150" s="112">
        <f t="shared" si="23"/>
        <v>76</v>
      </c>
      <c r="J150" s="111">
        <f t="shared" si="25"/>
        <v>496</v>
      </c>
    </row>
    <row r="151" spans="2:16" ht="15" customHeight="1">
      <c r="B151" s="114">
        <v>2031</v>
      </c>
      <c r="C151" s="113">
        <f t="shared" si="22"/>
        <v>66</v>
      </c>
      <c r="D151" s="112">
        <f t="shared" si="23"/>
        <v>68</v>
      </c>
      <c r="E151" s="112">
        <f t="shared" si="23"/>
        <v>68</v>
      </c>
      <c r="F151" s="112">
        <f t="shared" si="23"/>
        <v>71</v>
      </c>
      <c r="G151" s="112">
        <f t="shared" si="23"/>
        <v>73</v>
      </c>
      <c r="H151" s="112">
        <f t="shared" si="23"/>
        <v>74</v>
      </c>
      <c r="I151" s="112">
        <f t="shared" si="23"/>
        <v>76</v>
      </c>
      <c r="J151" s="111">
        <f t="shared" si="25"/>
        <v>496</v>
      </c>
    </row>
    <row r="152" spans="2:16" ht="15" customHeight="1">
      <c r="B152" s="114">
        <v>2032</v>
      </c>
      <c r="C152" s="113">
        <f t="shared" si="22"/>
        <v>66</v>
      </c>
      <c r="D152" s="112">
        <f t="shared" si="23"/>
        <v>68</v>
      </c>
      <c r="E152" s="112">
        <f t="shared" si="23"/>
        <v>68</v>
      </c>
      <c r="F152" s="112">
        <f t="shared" si="23"/>
        <v>71</v>
      </c>
      <c r="G152" s="112">
        <f t="shared" si="23"/>
        <v>73</v>
      </c>
      <c r="H152" s="112">
        <f t="shared" si="23"/>
        <v>74</v>
      </c>
      <c r="I152" s="112">
        <f t="shared" si="23"/>
        <v>76</v>
      </c>
      <c r="J152" s="111">
        <f t="shared" si="25"/>
        <v>496</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564.95551139813438</v>
      </c>
      <c r="D159" s="108">
        <f>J140</f>
        <v>554.01392535818763</v>
      </c>
      <c r="E159" s="108">
        <f>J141</f>
        <v>540.18916723834764</v>
      </c>
      <c r="F159" s="108">
        <f>J142</f>
        <v>511</v>
      </c>
      <c r="G159" s="108">
        <f>J143</f>
        <v>514.15996025832089</v>
      </c>
      <c r="H159" s="108">
        <f>J144</f>
        <v>507</v>
      </c>
      <c r="I159" s="108">
        <f>J145</f>
        <v>499</v>
      </c>
      <c r="J159" s="108">
        <f>J146</f>
        <v>492</v>
      </c>
      <c r="K159" s="108">
        <f>J147</f>
        <v>487</v>
      </c>
      <c r="L159" s="108">
        <f>J148</f>
        <v>489</v>
      </c>
      <c r="M159" s="108">
        <f>J149</f>
        <v>495</v>
      </c>
      <c r="N159" s="108">
        <f>J150</f>
        <v>496</v>
      </c>
      <c r="O159" s="108">
        <f>J151</f>
        <v>496</v>
      </c>
      <c r="P159" s="108">
        <f>J152</f>
        <v>496</v>
      </c>
    </row>
    <row r="160" spans="2:16" ht="15" customHeight="1">
      <c r="B160" s="107" t="s">
        <v>152</v>
      </c>
      <c r="C160" s="106">
        <f>VLOOKUP(C159,Capacity!$A$1:$C$645,2,TRUE)</f>
        <v>21</v>
      </c>
      <c r="D160" s="106">
        <f>VLOOKUP(D159,Capacity!$A$1:$C$645,2,TRUE)</f>
        <v>20</v>
      </c>
      <c r="E160" s="106">
        <f>VLOOKUP(E159,Capacity!$A$1:$C$645,2,TRUE)</f>
        <v>19</v>
      </c>
      <c r="F160" s="106">
        <f>VLOOKUP(F159,Capacity!$A$1:$C$645,2,TRUE)</f>
        <v>19</v>
      </c>
      <c r="G160" s="106">
        <f>VLOOKUP(G159,Capacity!$A$1:$C$645,2,TRUE)</f>
        <v>19</v>
      </c>
      <c r="H160" s="106">
        <f>VLOOKUP(H159,Capacity!$A$1:$C$645,2,TRUE)</f>
        <v>19</v>
      </c>
      <c r="I160" s="106">
        <f>VLOOKUP(I159,Capacity!$A$1:$C$645,2,TRUE)</f>
        <v>18</v>
      </c>
      <c r="J160" s="106">
        <f>VLOOKUP(J159,Capacity!$A$1:$C$645,2,TRUE)</f>
        <v>18</v>
      </c>
      <c r="K160" s="106">
        <f>VLOOKUP(K159,Capacity!$A$1:$C$645,2,TRUE)</f>
        <v>18</v>
      </c>
      <c r="L160" s="106">
        <f>VLOOKUP(L159,Capacity!$A$1:$C$645,2,TRUE)</f>
        <v>18</v>
      </c>
      <c r="M160" s="106">
        <f>VLOOKUP(M159,Capacity!$A$1:$C$645,2,TRUE)</f>
        <v>18</v>
      </c>
      <c r="N160" s="106">
        <f>VLOOKUP(N159,Capacity!$A$1:$C$645,2,TRUE)</f>
        <v>18</v>
      </c>
      <c r="O160" s="106">
        <f>VLOOKUP(O159,Capacity!$A$1:$C$645,2,TRUE)</f>
        <v>18</v>
      </c>
      <c r="P160" s="106">
        <f>VLOOKUP(P159,Capacity!$A$1:$C$645,2,TRUE)</f>
        <v>18</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48</v>
      </c>
      <c r="D169" s="97">
        <f>VLOOKUP($E$3,'Catchment Births'!$A$1:$U$90,11,FALSE)</f>
        <v>37</v>
      </c>
      <c r="E169" s="97">
        <f>VLOOKUP($E$3,'Catchment Births'!$A$1:$U$90,12,FALSE)</f>
        <v>44</v>
      </c>
      <c r="F169" s="97">
        <f>VLOOKUP($E$3,'Catchment Births'!$A$1:$U$90,13,FALSE)</f>
        <v>47</v>
      </c>
      <c r="G169" s="97">
        <f>VLOOKUP($E$3,'Catchment Births'!$A$1:$U$90,14,FALSE)</f>
        <v>51</v>
      </c>
      <c r="H169" s="97">
        <f>VLOOKUP($E$3,'Catchment Births'!$A$1:$U$90,15,FALSE)</f>
        <v>53</v>
      </c>
      <c r="I169" s="97">
        <f>VLOOKUP($E$3,'Catchment Births'!$A$1:$U$90,16,FALSE)</f>
        <v>54</v>
      </c>
      <c r="J169" s="97">
        <f>VLOOKUP($E$3,'Catchment Births'!$A$1:$U$90,17,FALSE)</f>
        <v>42</v>
      </c>
      <c r="K169" s="97">
        <f>VLOOKUP($E$3,'Catchment Births'!$A$1:$U$90,18,FALSE)</f>
        <v>46</v>
      </c>
      <c r="L169" s="97">
        <f>VLOOKUP($E$3,'Catchment Births'!$A$1:$U$90,19,FALSE)</f>
        <v>44</v>
      </c>
      <c r="M169" s="97">
        <f>VLOOKUP($E$3,'Catchment Births'!$A$1:$U$90,20,FALSE)</f>
        <v>47</v>
      </c>
      <c r="N169" s="97">
        <f>VLOOKUP($E$3,'Catchment Births'!$A$1:$U$90,21,FALSE)</f>
        <v>46</v>
      </c>
    </row>
    <row r="170" spans="2:14" ht="58.5" customHeight="1">
      <c r="B170" s="103" t="str">
        <f>"P1 "&amp;A35&amp;" Catchment Population (Actual)"</f>
        <v>P1 ND Catchment Population (Actual)</v>
      </c>
      <c r="C170" s="102" t="e">
        <v>#REF!</v>
      </c>
      <c r="D170" s="102">
        <v>57</v>
      </c>
      <c r="E170" s="102">
        <v>55</v>
      </c>
      <c r="F170" s="102">
        <v>65</v>
      </c>
      <c r="G170" s="102">
        <v>70</v>
      </c>
      <c r="H170" s="102">
        <v>72</v>
      </c>
      <c r="I170" s="102">
        <v>79</v>
      </c>
      <c r="J170" s="308">
        <f>VLOOKUP(E3,'Catchment Projections'!A1:BU92,42,FALSE)</f>
        <v>63</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79</v>
      </c>
      <c r="J172" s="96" t="e">
        <f>#REF!</f>
        <v>#REF!</v>
      </c>
      <c r="K172" s="96">
        <f>D51</f>
        <v>70</v>
      </c>
      <c r="L172" s="96">
        <f>E51</f>
        <v>68</v>
      </c>
      <c r="M172" s="96">
        <f>F51</f>
        <v>62</v>
      </c>
      <c r="N172" s="96">
        <f>G51</f>
        <v>58</v>
      </c>
    </row>
    <row r="173" spans="2:14" ht="12.75">
      <c r="B173" s="62"/>
      <c r="C173" s="62"/>
      <c r="D173" s="62"/>
      <c r="E173" s="62"/>
      <c r="F173" s="62"/>
      <c r="G173" s="62"/>
      <c r="H173" s="62"/>
      <c r="I173" s="62"/>
      <c r="J173" s="62"/>
      <c r="K173" s="62"/>
    </row>
    <row r="174" spans="2:14" ht="15" customHeight="1">
      <c r="B174" s="64" t="str">
        <f>"Table 5: "&amp;E3&amp;" Roll by Stage, 2002-2018"</f>
        <v>Table 5: Davidson's Mains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60</v>
      </c>
      <c r="D177" s="93">
        <v>99</v>
      </c>
      <c r="E177" s="93">
        <v>80</v>
      </c>
      <c r="F177" s="93">
        <v>95</v>
      </c>
      <c r="G177" s="93">
        <v>90</v>
      </c>
      <c r="H177" s="93">
        <v>89</v>
      </c>
      <c r="I177" s="93">
        <v>99</v>
      </c>
      <c r="J177" s="92">
        <v>612</v>
      </c>
      <c r="K177" s="62"/>
    </row>
    <row r="178" spans="2:11" ht="15" customHeight="1">
      <c r="B178" s="94">
        <v>2003</v>
      </c>
      <c r="C178" s="93">
        <v>60</v>
      </c>
      <c r="D178" s="93">
        <v>69</v>
      </c>
      <c r="E178" s="93">
        <v>98</v>
      </c>
      <c r="F178" s="93">
        <v>82</v>
      </c>
      <c r="G178" s="93">
        <v>95</v>
      </c>
      <c r="H178" s="93">
        <v>92</v>
      </c>
      <c r="I178" s="93">
        <v>87</v>
      </c>
      <c r="J178" s="92">
        <v>583</v>
      </c>
      <c r="K178" s="62"/>
    </row>
    <row r="179" spans="2:11" customFormat="1" ht="15" customHeight="1">
      <c r="B179" s="94">
        <v>2004</v>
      </c>
      <c r="C179" s="95">
        <v>77</v>
      </c>
      <c r="D179" s="95">
        <v>64</v>
      </c>
      <c r="E179" s="95">
        <v>73</v>
      </c>
      <c r="F179" s="95">
        <v>96</v>
      </c>
      <c r="G179" s="95">
        <v>85</v>
      </c>
      <c r="H179" s="95">
        <v>92</v>
      </c>
      <c r="I179" s="95">
        <v>94</v>
      </c>
      <c r="J179" s="92">
        <v>581</v>
      </c>
      <c r="K179" s="62"/>
    </row>
    <row r="180" spans="2:11" customFormat="1" ht="15" customHeight="1">
      <c r="B180" s="94">
        <v>2005</v>
      </c>
      <c r="C180" s="93">
        <v>59</v>
      </c>
      <c r="D180" s="93">
        <v>77</v>
      </c>
      <c r="E180" s="93">
        <v>60</v>
      </c>
      <c r="F180" s="93">
        <v>75</v>
      </c>
      <c r="G180" s="93">
        <v>92</v>
      </c>
      <c r="H180" s="93">
        <v>84</v>
      </c>
      <c r="I180" s="93">
        <v>88</v>
      </c>
      <c r="J180" s="92">
        <v>535</v>
      </c>
      <c r="K180" s="62"/>
    </row>
    <row r="181" spans="2:11" customFormat="1" ht="15" customHeight="1">
      <c r="B181" s="94">
        <v>2006</v>
      </c>
      <c r="C181" s="93">
        <v>61</v>
      </c>
      <c r="D181" s="93">
        <v>61</v>
      </c>
      <c r="E181" s="93">
        <v>83</v>
      </c>
      <c r="F181" s="93">
        <v>54</v>
      </c>
      <c r="G181" s="93">
        <v>74</v>
      </c>
      <c r="H181" s="93">
        <v>90</v>
      </c>
      <c r="I181" s="93">
        <v>82</v>
      </c>
      <c r="J181" s="92">
        <v>505</v>
      </c>
      <c r="K181" s="62"/>
    </row>
    <row r="182" spans="2:11" customFormat="1" ht="15" customHeight="1">
      <c r="B182" s="94">
        <v>2007</v>
      </c>
      <c r="C182" s="93">
        <v>60</v>
      </c>
      <c r="D182" s="93">
        <v>60</v>
      </c>
      <c r="E182" s="93">
        <v>60</v>
      </c>
      <c r="F182" s="93">
        <v>77</v>
      </c>
      <c r="G182" s="93">
        <v>56</v>
      </c>
      <c r="H182" s="93">
        <v>77</v>
      </c>
      <c r="I182" s="93">
        <v>89</v>
      </c>
      <c r="J182" s="92">
        <v>479</v>
      </c>
      <c r="K182" s="62"/>
    </row>
    <row r="183" spans="2:11" customFormat="1" ht="15" customHeight="1">
      <c r="B183" s="94">
        <v>2008</v>
      </c>
      <c r="C183" s="93">
        <v>63</v>
      </c>
      <c r="D183" s="93">
        <v>60</v>
      </c>
      <c r="E183" s="93">
        <v>58</v>
      </c>
      <c r="F183" s="93">
        <v>62</v>
      </c>
      <c r="G183" s="93">
        <v>77</v>
      </c>
      <c r="H183" s="93">
        <v>55</v>
      </c>
      <c r="I183" s="93">
        <v>76</v>
      </c>
      <c r="J183" s="92">
        <v>451</v>
      </c>
      <c r="K183" s="62"/>
    </row>
    <row r="184" spans="2:11" customFormat="1" ht="15" customHeight="1">
      <c r="B184" s="94">
        <v>2009</v>
      </c>
      <c r="C184" s="93">
        <v>68</v>
      </c>
      <c r="D184" s="93">
        <v>61</v>
      </c>
      <c r="E184" s="93">
        <v>59</v>
      </c>
      <c r="F184" s="93">
        <v>61</v>
      </c>
      <c r="G184" s="93">
        <v>62</v>
      </c>
      <c r="H184" s="93">
        <v>77</v>
      </c>
      <c r="I184" s="93">
        <v>54</v>
      </c>
      <c r="J184" s="94">
        <v>442</v>
      </c>
      <c r="K184" s="62"/>
    </row>
    <row r="185" spans="2:11" customFormat="1" ht="15" customHeight="1">
      <c r="B185" s="94">
        <v>2010</v>
      </c>
      <c r="C185" s="93">
        <v>72</v>
      </c>
      <c r="D185" s="93">
        <v>67</v>
      </c>
      <c r="E185" s="93">
        <v>60</v>
      </c>
      <c r="F185" s="93">
        <v>66</v>
      </c>
      <c r="G185" s="93">
        <v>62</v>
      </c>
      <c r="H185" s="93">
        <v>61</v>
      </c>
      <c r="I185" s="93">
        <v>75</v>
      </c>
      <c r="J185" s="92">
        <v>463</v>
      </c>
      <c r="K185" s="62"/>
    </row>
    <row r="186" spans="2:11" customFormat="1" ht="15" customHeight="1">
      <c r="B186" s="94">
        <v>2011</v>
      </c>
      <c r="C186" s="93">
        <v>60</v>
      </c>
      <c r="D186" s="93">
        <v>75</v>
      </c>
      <c r="E186" s="93">
        <v>69</v>
      </c>
      <c r="F186" s="93">
        <v>58</v>
      </c>
      <c r="G186" s="93">
        <v>65</v>
      </c>
      <c r="H186" s="93">
        <v>65</v>
      </c>
      <c r="I186" s="93">
        <v>61</v>
      </c>
      <c r="J186" s="92">
        <v>453</v>
      </c>
      <c r="K186" s="62"/>
    </row>
    <row r="187" spans="2:11" customFormat="1" ht="15" customHeight="1">
      <c r="B187" s="94">
        <v>2012</v>
      </c>
      <c r="C187" s="93">
        <v>74</v>
      </c>
      <c r="D187" s="93">
        <v>60</v>
      </c>
      <c r="E187" s="93">
        <v>74</v>
      </c>
      <c r="F187" s="93">
        <v>69</v>
      </c>
      <c r="G187" s="93">
        <v>64</v>
      </c>
      <c r="H187" s="93">
        <v>65</v>
      </c>
      <c r="I187" s="93">
        <v>63</v>
      </c>
      <c r="J187" s="92">
        <v>469</v>
      </c>
      <c r="K187" s="62"/>
    </row>
    <row r="188" spans="2:11" customFormat="1" ht="15" customHeight="1">
      <c r="B188" s="94">
        <v>2013</v>
      </c>
      <c r="C188" s="93">
        <v>85</v>
      </c>
      <c r="D188" s="93">
        <v>75</v>
      </c>
      <c r="E188" s="93">
        <v>60</v>
      </c>
      <c r="F188" s="93">
        <v>69</v>
      </c>
      <c r="G188" s="93">
        <v>70</v>
      </c>
      <c r="H188" s="93">
        <v>65</v>
      </c>
      <c r="I188" s="93">
        <v>64</v>
      </c>
      <c r="J188" s="94">
        <v>488</v>
      </c>
      <c r="K188" s="62"/>
    </row>
    <row r="189" spans="2:11" customFormat="1" ht="15" customHeight="1">
      <c r="B189" s="94">
        <v>2014</v>
      </c>
      <c r="C189" s="93">
        <v>75</v>
      </c>
      <c r="D189" s="93">
        <v>90</v>
      </c>
      <c r="E189" s="93">
        <v>74</v>
      </c>
      <c r="F189" s="93">
        <v>63</v>
      </c>
      <c r="G189" s="93">
        <v>71</v>
      </c>
      <c r="H189" s="93">
        <v>71</v>
      </c>
      <c r="I189" s="93">
        <v>61</v>
      </c>
      <c r="J189" s="92">
        <v>505</v>
      </c>
      <c r="K189" s="65"/>
    </row>
    <row r="190" spans="2:11" customFormat="1" ht="15" customHeight="1">
      <c r="B190" s="94">
        <v>2015</v>
      </c>
      <c r="C190" s="93">
        <v>82</v>
      </c>
      <c r="D190" s="93">
        <v>77</v>
      </c>
      <c r="E190" s="93">
        <v>90</v>
      </c>
      <c r="F190" s="93">
        <v>81</v>
      </c>
      <c r="G190" s="93">
        <v>65</v>
      </c>
      <c r="H190" s="93">
        <v>75</v>
      </c>
      <c r="I190" s="93">
        <v>73</v>
      </c>
      <c r="J190" s="92">
        <v>543</v>
      </c>
      <c r="K190" s="65"/>
    </row>
    <row r="191" spans="2:11" customFormat="1" ht="15" customHeight="1">
      <c r="B191" s="94">
        <v>2016</v>
      </c>
      <c r="C191" s="93">
        <v>66</v>
      </c>
      <c r="D191" s="93">
        <v>87</v>
      </c>
      <c r="E191" s="93">
        <v>87</v>
      </c>
      <c r="F191" s="93">
        <v>94</v>
      </c>
      <c r="G191" s="93">
        <v>85</v>
      </c>
      <c r="H191" s="93">
        <v>63</v>
      </c>
      <c r="I191" s="93">
        <v>77</v>
      </c>
      <c r="J191" s="92">
        <v>559</v>
      </c>
      <c r="K191" s="65"/>
    </row>
    <row r="192" spans="2:11" ht="15" customHeight="1">
      <c r="B192" s="94">
        <v>2017</v>
      </c>
      <c r="C192" s="93">
        <f>VLOOKUP($E$3,Rolls!A1:FA90,42,FALSE)</f>
        <v>75</v>
      </c>
      <c r="D192" s="93">
        <f>VLOOKUP($E$3,Rolls!A1:FA90,43,FALSE)</f>
        <v>67</v>
      </c>
      <c r="E192" s="93">
        <f>VLOOKUP($E$3,Rolls!A1:FA90,44,FALSE)</f>
        <v>87</v>
      </c>
      <c r="F192" s="93">
        <f>VLOOKUP($E$3,Rolls!A1:FA90,45,FALSE)</f>
        <v>87</v>
      </c>
      <c r="G192" s="93">
        <f>VLOOKUP($E$3,Rolls!A1:FA90,46,FALSE)</f>
        <v>91</v>
      </c>
      <c r="H192" s="93">
        <f>VLOOKUP($E$3,Rolls!A1:FA90,47,FALSE)</f>
        <v>86</v>
      </c>
      <c r="I192" s="93">
        <f>VLOOKUP($E$3,Rolls!A1:FA90,48,FALSE)</f>
        <v>64</v>
      </c>
      <c r="J192" s="92">
        <f>VLOOKUP($E$3,Rolls!A1:FA90,49,FALSE)</f>
        <v>557</v>
      </c>
      <c r="K192" s="65"/>
    </row>
    <row r="193" spans="2:11" ht="15" customHeight="1">
      <c r="B193" s="94">
        <v>2018</v>
      </c>
      <c r="C193" s="93">
        <f>VLOOKUP($E$3,Rolls!A1:FA90,50,FALSE)</f>
        <v>73</v>
      </c>
      <c r="D193" s="93">
        <f>VLOOKUP($E$3,Rolls!A1:FA90,51,FALSE)</f>
        <v>74</v>
      </c>
      <c r="E193" s="93">
        <f>VLOOKUP($E$3,Rolls!A1:FA90,52,FALSE)</f>
        <v>65</v>
      </c>
      <c r="F193" s="93">
        <f>VLOOKUP($E$3,Rolls!A1:FA90,53,FALSE)</f>
        <v>94</v>
      </c>
      <c r="G193" s="93">
        <f>VLOOKUP($E$3,Rolls!A1:FA90,54,FALSE)</f>
        <v>86</v>
      </c>
      <c r="H193" s="93">
        <f>VLOOKUP($E$3,Rolls!A1:FA90,55,FALSE)</f>
        <v>90</v>
      </c>
      <c r="I193" s="93">
        <f>VLOOKUP($E$3,Rolls!A1:FA90,56,FALSE)</f>
        <v>88</v>
      </c>
      <c r="J193" s="92">
        <f>VLOOKUP($E$3,Rolls!A1:FA90,57,FALSE)</f>
        <v>570</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0866141732283472" right="0.70866141732283472" top="0.74803149606299213" bottom="0.74803149606299213" header="0.31496062992125984" footer="0.31496062992125984"/>
  <pageSetup paperSize="9" scale="45" fitToHeight="2"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Q193"/>
  <sheetViews>
    <sheetView topLeftCell="B39" zoomScaleNormal="100" workbookViewId="0">
      <selection activeCell="H64" sqref="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29</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Dean Park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476 Pupils (17 classes)</v>
      </c>
      <c r="G12" s="16"/>
      <c r="H12" s="16"/>
    </row>
    <row r="13" spans="2:10" ht="15" customHeight="1">
      <c r="C13" s="16"/>
      <c r="D13" s="16"/>
      <c r="E13" s="16"/>
      <c r="F13" s="16"/>
      <c r="G13" s="16"/>
      <c r="H13" s="16"/>
    </row>
    <row r="14" spans="2:10" ht="15" customHeight="1">
      <c r="B14" s="15" t="str">
        <f>"Figure 1: "&amp;E3&amp;" Roll, 2002-2015"</f>
        <v>Figure 1: Dean Park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Dean Park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73</v>
      </c>
      <c r="E49" s="108">
        <f>VLOOKUP($E$3,'Catchment Projections'!$A$1:$BU$90,46,FALSE)</f>
        <v>52</v>
      </c>
      <c r="F49" s="108">
        <f>VLOOKUP($E$3,'Catchment Projections'!$A$1:$BU$90,47,FALSE)</f>
        <v>42</v>
      </c>
      <c r="G49" s="108">
        <f>VLOOKUP($E$3,'Catchment Projections'!$A$1:$BU$90,48,FALSE)</f>
        <v>49</v>
      </c>
      <c r="H49" s="133">
        <f>VLOOKUP($E$3,'Catchment Projections'!$A$1:$BU$90,49,FALSE)</f>
        <v>48</v>
      </c>
      <c r="I49" s="133">
        <f>VLOOKUP($E$3,'Catchment Projections'!$A$1:$BU$90,50,FALSE)</f>
        <v>49</v>
      </c>
      <c r="J49" s="133">
        <f>VLOOKUP($E$3,'Catchment Projections'!$A$1:$BU$90,51,FALSE)</f>
        <v>49</v>
      </c>
      <c r="K49" s="133">
        <f>VLOOKUP($E$3,'Catchment Projections'!$A$1:$BU$90,52,FALSE)</f>
        <v>50</v>
      </c>
      <c r="L49" s="133">
        <f>VLOOKUP($E$3,'Catchment Projections'!$A$1:$BU$90,53,FALSE)</f>
        <v>50</v>
      </c>
      <c r="M49" s="133">
        <f>VLOOKUP($E$3,'Catchment Projections'!$A$1:$BU$90,54,FALSE)</f>
        <v>50</v>
      </c>
      <c r="N49" s="133">
        <f>VLOOKUP($E$3,'Catchment Projections'!$A$1:$BU$90,55,FALSE)</f>
        <v>51</v>
      </c>
      <c r="O49" s="133">
        <f>VLOOKUP($E$3,'Catchment Projections'!$A$1:$BU$90,56,FALSE)</f>
        <v>51</v>
      </c>
      <c r="P49" s="133">
        <f>VLOOKUP($E$3,'Catchment Projections'!$A$1:$BU$90,57,FALSE)</f>
        <v>51</v>
      </c>
      <c r="Q49" s="133">
        <f>VLOOKUP($E$3,'Catchment Projections'!$A$1:$BU$90,58,FALSE)</f>
        <v>51</v>
      </c>
    </row>
    <row r="50" spans="2:17" ht="15" customHeight="1" thickBot="1">
      <c r="B50" s="410" t="s">
        <v>141</v>
      </c>
      <c r="C50" s="411"/>
      <c r="D50" s="286">
        <f>VLOOKUP(E3,'Housing Generation'!$A$3:$DQ$90,10,FALSE)</f>
        <v>2</v>
      </c>
      <c r="E50" s="286">
        <f>VLOOKUP(E3,'Housing Generation'!$A$3:$DQ$90,18,FALSE)</f>
        <v>3</v>
      </c>
      <c r="F50" s="286">
        <f>VLOOKUP(E3,'Housing Generation'!$A$3:$DQ$90,26,FALSE)</f>
        <v>4</v>
      </c>
      <c r="G50" s="243">
        <f>VLOOKUP(E3,'Housing Generation'!$A$3:$DQ$90,34,FALSE)</f>
        <v>5</v>
      </c>
      <c r="H50" s="133">
        <f>VLOOKUP(E3,'Housing Generation'!$A$3:$DQ$90,42,FALSE)</f>
        <v>5</v>
      </c>
      <c r="I50" s="133">
        <f>VLOOKUP(E3,'Housing Generation'!$A$3:$DQ$90,50,FALSE)</f>
        <v>5</v>
      </c>
      <c r="J50" s="133">
        <f>VLOOKUP(E3,'Housing Generation'!$A$3:$CK$90,58,FALSE)</f>
        <v>5</v>
      </c>
      <c r="K50" s="133">
        <f>VLOOKUP(E3,'Housing Generation'!$A$3:$CK$90,66,FALSE)</f>
        <v>5</v>
      </c>
      <c r="L50" s="133">
        <f>VLOOKUP(E3,'Housing Generation'!$A$3:$DQ$90,74,FALSE)</f>
        <v>5</v>
      </c>
      <c r="M50" s="133">
        <f>VLOOKUP(E3,'Housing Generation'!$A$3:$DQ$90,82,FALSE)</f>
        <v>5</v>
      </c>
      <c r="N50" s="133">
        <f>VLOOKUP(E3,'Housing Generation'!$A$3:$DQ$90,90,FALSE)</f>
        <v>5</v>
      </c>
      <c r="O50" s="133">
        <f>VLOOKUP(E3,'Housing Generation'!$A$3:$DQ$90,98,FALSE)</f>
        <v>5</v>
      </c>
      <c r="P50" s="133">
        <f>VLOOKUP(E3,'Housing Generation'!$A$3:$DQ$90,106,FALSE)</f>
        <v>5</v>
      </c>
      <c r="Q50" s="133">
        <f>VLOOKUP(E3,'Housing Generation'!$A$3:$DQ$90,114,FALSE)</f>
        <v>5</v>
      </c>
    </row>
    <row r="51" spans="2:17" ht="15" customHeight="1" thickTop="1">
      <c r="B51" s="421" t="s">
        <v>130</v>
      </c>
      <c r="C51" s="422"/>
      <c r="D51" s="47">
        <f t="shared" ref="D51:Q51" si="0">SUM(D49:D50)</f>
        <v>75</v>
      </c>
      <c r="E51" s="47">
        <f t="shared" si="0"/>
        <v>55</v>
      </c>
      <c r="F51" s="80">
        <f t="shared" si="0"/>
        <v>46</v>
      </c>
      <c r="G51" s="244">
        <f t="shared" si="0"/>
        <v>54</v>
      </c>
      <c r="H51" s="71">
        <f t="shared" si="0"/>
        <v>53</v>
      </c>
      <c r="I51" s="71">
        <f t="shared" si="0"/>
        <v>54</v>
      </c>
      <c r="J51" s="71">
        <f t="shared" si="0"/>
        <v>54</v>
      </c>
      <c r="K51" s="71">
        <f t="shared" si="0"/>
        <v>55</v>
      </c>
      <c r="L51" s="71">
        <f t="shared" si="0"/>
        <v>55</v>
      </c>
      <c r="M51" s="71">
        <f t="shared" si="0"/>
        <v>55</v>
      </c>
      <c r="N51" s="71">
        <f t="shared" si="0"/>
        <v>56</v>
      </c>
      <c r="O51" s="71">
        <f t="shared" si="0"/>
        <v>56</v>
      </c>
      <c r="P51" s="71">
        <f t="shared" si="0"/>
        <v>56</v>
      </c>
      <c r="Q51" s="71">
        <f t="shared" si="0"/>
        <v>56</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54</v>
      </c>
      <c r="D60" s="358">
        <f>VLOOKUP($E$3,'Catchment Projections'!$A$1:$BZ$90,74,FALSE)</f>
        <v>52</v>
      </c>
      <c r="E60" s="303">
        <f>D60/C60</f>
        <v>0.96296296296296291</v>
      </c>
      <c r="G60" s="132">
        <v>2014</v>
      </c>
      <c r="H60" s="395">
        <f>VLOOKUP($G$60,$B$177:$C$215, 2, FALSE)</f>
        <v>62</v>
      </c>
      <c r="I60" s="120">
        <f>H60-D60</f>
        <v>10</v>
      </c>
      <c r="J60" s="121">
        <f>I60/H60</f>
        <v>0.16129032258064516</v>
      </c>
    </row>
    <row r="61" spans="2:17" ht="15" customHeight="1">
      <c r="B61" s="132">
        <v>2015</v>
      </c>
      <c r="C61" s="359">
        <f>VLOOKUP($E$3,'Catchment Projections'!$A$1:$BZ$90,41,FALSE)</f>
        <v>54</v>
      </c>
      <c r="D61" s="358">
        <f>VLOOKUP($E$3,'Catchment Projections'!$A$1:$BZ$90,75,FALSE)</f>
        <v>53</v>
      </c>
      <c r="E61" s="303">
        <f>D61/C61</f>
        <v>0.98148148148148151</v>
      </c>
      <c r="G61" s="132">
        <v>2015</v>
      </c>
      <c r="H61" s="395">
        <f>VLOOKUP($G$61,$B$177:$C$215, 2, FALSE)</f>
        <v>57</v>
      </c>
      <c r="I61" s="120">
        <f>H61-D61</f>
        <v>4</v>
      </c>
      <c r="J61" s="121">
        <f>I61/H61</f>
        <v>7.0175438596491224E-2</v>
      </c>
    </row>
    <row r="62" spans="2:17" ht="15" customHeight="1">
      <c r="B62" s="131">
        <v>2016</v>
      </c>
      <c r="C62" s="359">
        <f>VLOOKUP($E$3,'Catchment Projections'!$A$1:$BZ$90,42,FALSE)</f>
        <v>67</v>
      </c>
      <c r="D62" s="358">
        <f>VLOOKUP($E$3,'Catchment Projections'!$A$1:$BZ$90,76,FALSE)</f>
        <v>67</v>
      </c>
      <c r="E62" s="57">
        <f>D62/C62</f>
        <v>1</v>
      </c>
      <c r="G62" s="131">
        <v>2016</v>
      </c>
      <c r="H62" s="395">
        <f>VLOOKUP($G$62,$B$177:$C$215, 2, FALSE)</f>
        <v>73</v>
      </c>
      <c r="I62" s="120">
        <f>H62-D62</f>
        <v>6</v>
      </c>
      <c r="J62" s="121">
        <f>I62/H62</f>
        <v>8.2191780821917804E-2</v>
      </c>
    </row>
    <row r="63" spans="2:17" ht="15" customHeight="1">
      <c r="B63" s="114">
        <v>2017</v>
      </c>
      <c r="C63" s="359">
        <f>VLOOKUP($E$3,'Catchment Projections'!$A$1:$BZ$90,43,FALSE)</f>
        <v>58</v>
      </c>
      <c r="D63" s="358">
        <f>VLOOKUP($E$3,'Catchment Projections'!$A$1:$BZ$90,77,FALSE)</f>
        <v>57</v>
      </c>
      <c r="E63" s="304">
        <f>D63/C63</f>
        <v>0.98275862068965514</v>
      </c>
      <c r="G63" s="114">
        <v>2017</v>
      </c>
      <c r="H63" s="395">
        <f>VLOOKUP($G$63,$B$177:$C$215, 2, FALSE)</f>
        <v>59</v>
      </c>
      <c r="I63" s="120">
        <f>H63-D63</f>
        <v>2</v>
      </c>
      <c r="J63" s="121">
        <f>I63/H63</f>
        <v>3.3898305084745763E-2</v>
      </c>
    </row>
    <row r="64" spans="2:17" ht="15" customHeight="1">
      <c r="B64" s="114">
        <v>2018</v>
      </c>
      <c r="C64" s="359">
        <f>VLOOKUP($E$3,'Catchment Projections'!$A$1:$BZ$90,44,FALSE)</f>
        <v>49</v>
      </c>
      <c r="D64" s="358">
        <f>VLOOKUP($E$3,'Catchment Projections'!$A$1:$BZ$90,78,FALSE)</f>
        <v>47</v>
      </c>
      <c r="E64" s="305">
        <f>D64/C64</f>
        <v>0.95918367346938771</v>
      </c>
      <c r="G64" s="114">
        <v>2018</v>
      </c>
      <c r="H64" s="395">
        <f>VLOOKUP($G$64,$B$177:$C$215, 2, FALSE)</f>
        <v>51</v>
      </c>
      <c r="I64" s="120">
        <f>H64-D64</f>
        <v>4</v>
      </c>
      <c r="J64" s="121">
        <f>I64/H64</f>
        <v>7.8431372549019607E-2</v>
      </c>
    </row>
    <row r="65" spans="2:10" ht="15" customHeight="1">
      <c r="B65" s="412" t="s">
        <v>136</v>
      </c>
      <c r="C65" s="413"/>
      <c r="D65" s="414"/>
      <c r="E65" s="137">
        <f>IF((AVERAGE(E62:E64))="#DIV/0!","n/a",(AVERAGE(E62:E64)))</f>
        <v>0.98064743138634769</v>
      </c>
      <c r="G65" s="415" t="s">
        <v>137</v>
      </c>
      <c r="H65" s="416"/>
      <c r="I65" s="138">
        <f>MEDIAN(I60:I64)</f>
        <v>4</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75</v>
      </c>
      <c r="D70" s="408"/>
      <c r="E70" s="122">
        <f>E65</f>
        <v>0.98064743138634769</v>
      </c>
      <c r="F70" s="120">
        <f t="shared" ref="F70:F83" si="1">C70*$E$65</f>
        <v>73.548557353976079</v>
      </c>
      <c r="G70" s="118">
        <f>IF(F70&lt;26,25,IF(F70&gt;135,140,IF(F70&gt;130,135,IF(F70&gt;125,130,IF(F70&gt;120,125,IF(F70&gt;115,120,IF(F70&gt;110,115,IF(F70&gt;105,110,IF(F70&gt;100,105,IF(F70&gt;99,100,IF(F70&gt;90,99,IF(F70&gt;75,90,IF(F70&gt;72,75,IF(F70&gt;66,72,IF(F70&gt;60,66,IF(F70&gt;50,60,IF(F70&gt;30,50,IF(F70&gt;25,30,0))))))))))))))))))</f>
        <v>75</v>
      </c>
      <c r="H70" s="119">
        <f t="shared" ref="H70:H83" si="2">G70-F70</f>
        <v>1.4514426460239207</v>
      </c>
      <c r="I70" s="118" t="str">
        <f>IF(I$65&lt;H70, "NO", "YES")</f>
        <v>YES</v>
      </c>
      <c r="J70" s="117">
        <f t="shared" ref="J70:J83" si="3">IF(I70="YES",G70,(MIN((SUM(F70,$I$65)),G70)))</f>
        <v>75</v>
      </c>
    </row>
    <row r="71" spans="2:10" ht="15" customHeight="1">
      <c r="B71" s="114">
        <v>2020</v>
      </c>
      <c r="C71" s="433">
        <f>E51</f>
        <v>55</v>
      </c>
      <c r="D71" s="408"/>
      <c r="E71" s="121">
        <f>E65</f>
        <v>0.98064743138634769</v>
      </c>
      <c r="F71" s="120">
        <f t="shared" si="1"/>
        <v>53.935608726249122</v>
      </c>
      <c r="G71" s="118">
        <f t="shared" ref="G71:G83" si="4">IF(F71&lt;26,25,IF(F71&gt;135,140,IF(F71&gt;130,135,IF(F71&gt;125,130,IF(F71&gt;120,125,IF(F71&gt;115,120,IF(F71&gt;110,115,IF(F71&gt;105,110,IF(F71&gt;100,105,IF(F71&gt;99,100,IF(F71&gt;90,99,IF(F71&gt;75,90,IF(F71&gt;72,75,IF(F71&gt;66,72,IF(F71&gt;60,66,IF(F71&gt;50,60,IF(F71&gt;30,50,IF(F71&gt;25,30,0))))))))))))))))))</f>
        <v>60</v>
      </c>
      <c r="H71" s="119">
        <f t="shared" si="2"/>
        <v>6.0643912737508785</v>
      </c>
      <c r="I71" s="118" t="str">
        <f t="shared" ref="I71:I83" si="5">IF(I$65&lt;H71, "NO", "YES")</f>
        <v>NO</v>
      </c>
      <c r="J71" s="117">
        <f t="shared" si="3"/>
        <v>57.935608726249122</v>
      </c>
    </row>
    <row r="72" spans="2:10" ht="15" customHeight="1">
      <c r="B72" s="114">
        <v>2021</v>
      </c>
      <c r="C72" s="430">
        <f>F51</f>
        <v>46</v>
      </c>
      <c r="D72" s="431"/>
      <c r="E72" s="121">
        <f>E65</f>
        <v>0.98064743138634769</v>
      </c>
      <c r="F72" s="120">
        <f t="shared" si="1"/>
        <v>45.109781843771991</v>
      </c>
      <c r="G72" s="118">
        <f t="shared" si="4"/>
        <v>50</v>
      </c>
      <c r="H72" s="119">
        <f t="shared" si="2"/>
        <v>4.8902181562280091</v>
      </c>
      <c r="I72" s="118" t="str">
        <f t="shared" si="5"/>
        <v>NO</v>
      </c>
      <c r="J72" s="117">
        <f t="shared" si="3"/>
        <v>49.109781843771991</v>
      </c>
    </row>
    <row r="73" spans="2:10" ht="15" customHeight="1">
      <c r="B73" s="114">
        <v>2022</v>
      </c>
      <c r="C73" s="430">
        <f>G51</f>
        <v>54</v>
      </c>
      <c r="D73" s="431"/>
      <c r="E73" s="121">
        <f>E65</f>
        <v>0.98064743138634769</v>
      </c>
      <c r="F73" s="120">
        <f t="shared" si="1"/>
        <v>52.954961294862777</v>
      </c>
      <c r="G73" s="118">
        <f t="shared" si="4"/>
        <v>60</v>
      </c>
      <c r="H73" s="119">
        <f t="shared" si="2"/>
        <v>7.0450387051372232</v>
      </c>
      <c r="I73" s="118" t="str">
        <f t="shared" si="5"/>
        <v>NO</v>
      </c>
      <c r="J73" s="117">
        <f t="shared" si="3"/>
        <v>56.954961294862777</v>
      </c>
    </row>
    <row r="74" spans="2:10" ht="15" customHeight="1">
      <c r="B74" s="114">
        <v>2023</v>
      </c>
      <c r="C74" s="430">
        <f>H51</f>
        <v>53</v>
      </c>
      <c r="D74" s="431"/>
      <c r="E74" s="121">
        <f>E65</f>
        <v>0.98064743138634769</v>
      </c>
      <c r="F74" s="120">
        <f t="shared" si="1"/>
        <v>51.974313863476425</v>
      </c>
      <c r="G74" s="118">
        <f t="shared" si="4"/>
        <v>60</v>
      </c>
      <c r="H74" s="119">
        <f t="shared" si="2"/>
        <v>8.025686136523575</v>
      </c>
      <c r="I74" s="118" t="str">
        <f t="shared" si="5"/>
        <v>NO</v>
      </c>
      <c r="J74" s="117">
        <f t="shared" si="3"/>
        <v>55.974313863476425</v>
      </c>
    </row>
    <row r="75" spans="2:10" ht="15" customHeight="1">
      <c r="B75" s="114">
        <v>2024</v>
      </c>
      <c r="C75" s="430">
        <f>I51</f>
        <v>54</v>
      </c>
      <c r="D75" s="431"/>
      <c r="E75" s="121">
        <f>E65</f>
        <v>0.98064743138634769</v>
      </c>
      <c r="F75" s="120">
        <f t="shared" si="1"/>
        <v>52.954961294862777</v>
      </c>
      <c r="G75" s="118">
        <f t="shared" si="4"/>
        <v>60</v>
      </c>
      <c r="H75" s="119">
        <f t="shared" si="2"/>
        <v>7.0450387051372232</v>
      </c>
      <c r="I75" s="118" t="str">
        <f t="shared" si="5"/>
        <v>NO</v>
      </c>
      <c r="J75" s="117">
        <f t="shared" si="3"/>
        <v>56.954961294862777</v>
      </c>
    </row>
    <row r="76" spans="2:10" ht="15" customHeight="1">
      <c r="B76" s="114">
        <v>2025</v>
      </c>
      <c r="C76" s="430">
        <f>J51</f>
        <v>54</v>
      </c>
      <c r="D76" s="431"/>
      <c r="E76" s="121">
        <f>E65</f>
        <v>0.98064743138634769</v>
      </c>
      <c r="F76" s="120">
        <f t="shared" si="1"/>
        <v>52.954961294862777</v>
      </c>
      <c r="G76" s="118">
        <f t="shared" si="4"/>
        <v>60</v>
      </c>
      <c r="H76" s="119">
        <f t="shared" si="2"/>
        <v>7.0450387051372232</v>
      </c>
      <c r="I76" s="118" t="str">
        <f t="shared" si="5"/>
        <v>NO</v>
      </c>
      <c r="J76" s="117">
        <f t="shared" si="3"/>
        <v>56.954961294862777</v>
      </c>
    </row>
    <row r="77" spans="2:10" ht="15" customHeight="1">
      <c r="B77" s="114">
        <v>2026</v>
      </c>
      <c r="C77" s="430">
        <f>K51</f>
        <v>55</v>
      </c>
      <c r="D77" s="431"/>
      <c r="E77" s="121">
        <f>E65</f>
        <v>0.98064743138634769</v>
      </c>
      <c r="F77" s="120">
        <f t="shared" si="1"/>
        <v>53.935608726249122</v>
      </c>
      <c r="G77" s="118">
        <f t="shared" si="4"/>
        <v>60</v>
      </c>
      <c r="H77" s="119">
        <f t="shared" si="2"/>
        <v>6.0643912737508785</v>
      </c>
      <c r="I77" s="118" t="str">
        <f t="shared" si="5"/>
        <v>NO</v>
      </c>
      <c r="J77" s="117">
        <f t="shared" si="3"/>
        <v>57.935608726249122</v>
      </c>
    </row>
    <row r="78" spans="2:10" ht="15" customHeight="1">
      <c r="B78" s="114">
        <v>2027</v>
      </c>
      <c r="C78" s="430">
        <f>L51</f>
        <v>55</v>
      </c>
      <c r="D78" s="431"/>
      <c r="E78" s="121">
        <f>E65</f>
        <v>0.98064743138634769</v>
      </c>
      <c r="F78" s="120">
        <f t="shared" si="1"/>
        <v>53.935608726249122</v>
      </c>
      <c r="G78" s="118">
        <f t="shared" si="4"/>
        <v>60</v>
      </c>
      <c r="H78" s="119">
        <f t="shared" si="2"/>
        <v>6.0643912737508785</v>
      </c>
      <c r="I78" s="118" t="str">
        <f t="shared" si="5"/>
        <v>NO</v>
      </c>
      <c r="J78" s="117">
        <f t="shared" si="3"/>
        <v>57.935608726249122</v>
      </c>
    </row>
    <row r="79" spans="2:10" ht="15" customHeight="1">
      <c r="B79" s="114">
        <v>2028</v>
      </c>
      <c r="C79" s="430">
        <f>M51</f>
        <v>55</v>
      </c>
      <c r="D79" s="431"/>
      <c r="E79" s="121">
        <f t="shared" ref="E79:E83" si="6">$E$65</f>
        <v>0.98064743138634769</v>
      </c>
      <c r="F79" s="120">
        <f t="shared" si="1"/>
        <v>53.935608726249122</v>
      </c>
      <c r="G79" s="118">
        <f t="shared" si="4"/>
        <v>60</v>
      </c>
      <c r="H79" s="119">
        <f t="shared" si="2"/>
        <v>6.0643912737508785</v>
      </c>
      <c r="I79" s="118" t="str">
        <f t="shared" si="5"/>
        <v>NO</v>
      </c>
      <c r="J79" s="117">
        <f t="shared" si="3"/>
        <v>57.935608726249122</v>
      </c>
    </row>
    <row r="80" spans="2:10" ht="15" customHeight="1">
      <c r="B80" s="114">
        <v>2029</v>
      </c>
      <c r="C80" s="430">
        <f>N51</f>
        <v>56</v>
      </c>
      <c r="D80" s="431"/>
      <c r="E80" s="121">
        <f t="shared" si="6"/>
        <v>0.98064743138634769</v>
      </c>
      <c r="F80" s="120">
        <f t="shared" si="1"/>
        <v>54.916256157635473</v>
      </c>
      <c r="G80" s="118">
        <f t="shared" si="4"/>
        <v>60</v>
      </c>
      <c r="H80" s="119">
        <f t="shared" si="2"/>
        <v>5.0837438423645267</v>
      </c>
      <c r="I80" s="118" t="str">
        <f t="shared" si="5"/>
        <v>NO</v>
      </c>
      <c r="J80" s="117">
        <f t="shared" si="3"/>
        <v>58.916256157635473</v>
      </c>
    </row>
    <row r="81" spans="2:10" ht="15" customHeight="1">
      <c r="B81" s="114">
        <v>2030</v>
      </c>
      <c r="C81" s="430">
        <f>O51</f>
        <v>56</v>
      </c>
      <c r="D81" s="431"/>
      <c r="E81" s="121">
        <f t="shared" si="6"/>
        <v>0.98064743138634769</v>
      </c>
      <c r="F81" s="120">
        <f t="shared" si="1"/>
        <v>54.916256157635473</v>
      </c>
      <c r="G81" s="118">
        <f t="shared" si="4"/>
        <v>60</v>
      </c>
      <c r="H81" s="119">
        <f t="shared" si="2"/>
        <v>5.0837438423645267</v>
      </c>
      <c r="I81" s="118" t="str">
        <f t="shared" si="5"/>
        <v>NO</v>
      </c>
      <c r="J81" s="117">
        <f t="shared" si="3"/>
        <v>58.916256157635473</v>
      </c>
    </row>
    <row r="82" spans="2:10" ht="15" customHeight="1">
      <c r="B82" s="114">
        <v>2031</v>
      </c>
      <c r="C82" s="430">
        <f>P51</f>
        <v>56</v>
      </c>
      <c r="D82" s="431"/>
      <c r="E82" s="121">
        <f t="shared" si="6"/>
        <v>0.98064743138634769</v>
      </c>
      <c r="F82" s="120">
        <f t="shared" si="1"/>
        <v>54.916256157635473</v>
      </c>
      <c r="G82" s="118">
        <f t="shared" si="4"/>
        <v>60</v>
      </c>
      <c r="H82" s="119">
        <f t="shared" si="2"/>
        <v>5.0837438423645267</v>
      </c>
      <c r="I82" s="118" t="str">
        <f t="shared" si="5"/>
        <v>NO</v>
      </c>
      <c r="J82" s="117">
        <f t="shared" si="3"/>
        <v>58.916256157635473</v>
      </c>
    </row>
    <row r="83" spans="2:10" ht="15" customHeight="1">
      <c r="B83" s="114">
        <v>2032</v>
      </c>
      <c r="C83" s="430">
        <f>Q51</f>
        <v>56</v>
      </c>
      <c r="D83" s="431"/>
      <c r="E83" s="121">
        <f t="shared" si="6"/>
        <v>0.98064743138634769</v>
      </c>
      <c r="F83" s="120">
        <f t="shared" si="1"/>
        <v>54.916256157635473</v>
      </c>
      <c r="G83" s="118">
        <f t="shared" si="4"/>
        <v>60</v>
      </c>
      <c r="H83" s="119">
        <f t="shared" si="2"/>
        <v>5.0837438423645267</v>
      </c>
      <c r="I83" s="118" t="str">
        <f t="shared" si="5"/>
        <v>NO</v>
      </c>
      <c r="J83" s="117">
        <f t="shared" si="3"/>
        <v>58.916256157635473</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Dean Park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62</v>
      </c>
      <c r="D91" s="112">
        <f t="shared" ref="D91:J91" si="7">D188</f>
        <v>71</v>
      </c>
      <c r="E91" s="112">
        <f t="shared" si="7"/>
        <v>65</v>
      </c>
      <c r="F91" s="112">
        <f t="shared" si="7"/>
        <v>66</v>
      </c>
      <c r="G91" s="112">
        <f t="shared" si="7"/>
        <v>74</v>
      </c>
      <c r="H91" s="112">
        <f t="shared" si="7"/>
        <v>68</v>
      </c>
      <c r="I91" s="112">
        <f t="shared" si="7"/>
        <v>57</v>
      </c>
      <c r="J91" s="213">
        <f t="shared" si="7"/>
        <v>463</v>
      </c>
    </row>
    <row r="92" spans="2:10" ht="15" customHeight="1">
      <c r="B92" s="114">
        <v>2014</v>
      </c>
      <c r="C92" s="112">
        <f>C189</f>
        <v>62</v>
      </c>
      <c r="D92" s="112">
        <f t="shared" ref="D92:J92" si="8">D189</f>
        <v>65</v>
      </c>
      <c r="E92" s="112">
        <f t="shared" si="8"/>
        <v>69</v>
      </c>
      <c r="F92" s="112">
        <f t="shared" si="8"/>
        <v>67</v>
      </c>
      <c r="G92" s="112">
        <f t="shared" si="8"/>
        <v>65</v>
      </c>
      <c r="H92" s="112">
        <f t="shared" si="8"/>
        <v>76</v>
      </c>
      <c r="I92" s="112">
        <f t="shared" si="8"/>
        <v>70</v>
      </c>
      <c r="J92" s="213">
        <f t="shared" si="8"/>
        <v>474</v>
      </c>
    </row>
    <row r="93" spans="2:10" ht="15" customHeight="1">
      <c r="B93" s="114">
        <v>2015</v>
      </c>
      <c r="C93" s="112">
        <f>C190</f>
        <v>57</v>
      </c>
      <c r="D93" s="112">
        <f t="shared" ref="D93:J93" si="9">D190</f>
        <v>64</v>
      </c>
      <c r="E93" s="112">
        <f t="shared" si="9"/>
        <v>67</v>
      </c>
      <c r="F93" s="112">
        <f t="shared" si="9"/>
        <v>69</v>
      </c>
      <c r="G93" s="112">
        <f t="shared" si="9"/>
        <v>67</v>
      </c>
      <c r="H93" s="112">
        <f t="shared" si="9"/>
        <v>65</v>
      </c>
      <c r="I93" s="112">
        <f t="shared" si="9"/>
        <v>77</v>
      </c>
      <c r="J93" s="213">
        <f t="shared" si="9"/>
        <v>466</v>
      </c>
    </row>
    <row r="94" spans="2:10" ht="15" customHeight="1">
      <c r="B94" s="114">
        <v>2016</v>
      </c>
      <c r="C94" s="112">
        <f>C191</f>
        <v>73</v>
      </c>
      <c r="D94" s="112">
        <f t="shared" ref="D94:J94" si="10">D191</f>
        <v>60</v>
      </c>
      <c r="E94" s="112">
        <f t="shared" si="10"/>
        <v>63</v>
      </c>
      <c r="F94" s="112">
        <f t="shared" si="10"/>
        <v>71</v>
      </c>
      <c r="G94" s="112">
        <f t="shared" si="10"/>
        <v>70</v>
      </c>
      <c r="H94" s="112">
        <f t="shared" si="10"/>
        <v>70</v>
      </c>
      <c r="I94" s="112">
        <f t="shared" si="10"/>
        <v>66</v>
      </c>
      <c r="J94" s="213">
        <f t="shared" si="10"/>
        <v>473</v>
      </c>
    </row>
    <row r="95" spans="2:10" ht="15" customHeight="1">
      <c r="B95" s="114">
        <v>2017</v>
      </c>
      <c r="C95" s="112">
        <f>C192</f>
        <v>59</v>
      </c>
      <c r="D95" s="112">
        <f t="shared" ref="D95:J95" si="11">D192</f>
        <v>71</v>
      </c>
      <c r="E95" s="112">
        <f t="shared" si="11"/>
        <v>59</v>
      </c>
      <c r="F95" s="112">
        <f t="shared" si="11"/>
        <v>65</v>
      </c>
      <c r="G95" s="112">
        <f t="shared" si="11"/>
        <v>72</v>
      </c>
      <c r="H95" s="112">
        <f t="shared" si="11"/>
        <v>72</v>
      </c>
      <c r="I95" s="112">
        <f t="shared" si="11"/>
        <v>69</v>
      </c>
      <c r="J95" s="213">
        <f t="shared" si="11"/>
        <v>467</v>
      </c>
    </row>
    <row r="96" spans="2:10" ht="15" customHeight="1">
      <c r="B96" s="307">
        <v>2018</v>
      </c>
      <c r="C96" s="112">
        <f t="shared" ref="C96:J96" si="12">C193</f>
        <v>51</v>
      </c>
      <c r="D96" s="112">
        <f t="shared" si="12"/>
        <v>65</v>
      </c>
      <c r="E96" s="112">
        <f t="shared" si="12"/>
        <v>74</v>
      </c>
      <c r="F96" s="112">
        <f t="shared" si="12"/>
        <v>62</v>
      </c>
      <c r="G96" s="112">
        <f t="shared" si="12"/>
        <v>65</v>
      </c>
      <c r="H96" s="112">
        <f t="shared" si="12"/>
        <v>72</v>
      </c>
      <c r="I96" s="112">
        <f t="shared" si="12"/>
        <v>74</v>
      </c>
      <c r="J96" s="213">
        <f t="shared" si="12"/>
        <v>463</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-4.8387096774193547E-2</v>
      </c>
      <c r="E98" s="210">
        <f t="shared" ref="E98:I98" si="13">MEDIAN(((D91-E92)/D91),((D92-E93)/D92),((D93-E94)/D93),((D94-E95)/D94),((D95-E96)/D95))</f>
        <v>1.5625E-2</v>
      </c>
      <c r="F98" s="210">
        <f t="shared" si="13"/>
        <v>-3.1746031746031744E-2</v>
      </c>
      <c r="G98" s="210">
        <f t="shared" si="13"/>
        <v>0</v>
      </c>
      <c r="H98" s="210">
        <f t="shared" si="13"/>
        <v>-2.7027027027027029E-2</v>
      </c>
      <c r="I98" s="210">
        <f t="shared" si="13"/>
        <v>-1.5384615384615385E-2</v>
      </c>
    </row>
    <row r="99" spans="2:10" ht="15" customHeight="1">
      <c r="B99" s="59"/>
      <c r="C99" s="60"/>
      <c r="D99" s="61"/>
      <c r="E99" s="61"/>
      <c r="F99" s="61"/>
      <c r="G99" s="61"/>
      <c r="H99" s="61"/>
      <c r="I99" s="61"/>
      <c r="J99" s="58"/>
    </row>
    <row r="100" spans="2:10" ht="15" customHeight="1">
      <c r="B100" s="15" t="str">
        <f>"Table 4B: "&amp;E3&amp;" Projected Roll by Stage (incorporating Projected P1 and Drop-Off Rates), 2019-2032"</f>
        <v>Table 4B: Dean Park Primary School Projected Roll by Stage (incorporating Projected P1 and Drop-Off Rates), 2019-2032</v>
      </c>
      <c r="F100" s="14"/>
      <c r="G100" s="14"/>
    </row>
    <row r="101" spans="2:10" ht="15" customHeight="1">
      <c r="F101" s="14"/>
      <c r="G101" s="14"/>
    </row>
    <row r="102" spans="2:10" ht="15" customHeight="1">
      <c r="B102" s="115"/>
      <c r="C102" s="109" t="s">
        <v>1</v>
      </c>
      <c r="D102" s="109" t="s">
        <v>2</v>
      </c>
      <c r="E102" s="109" t="s">
        <v>3</v>
      </c>
      <c r="F102" s="109" t="s">
        <v>4</v>
      </c>
      <c r="G102" s="109" t="s">
        <v>5</v>
      </c>
      <c r="H102" s="109" t="s">
        <v>6</v>
      </c>
      <c r="I102" s="109" t="s">
        <v>7</v>
      </c>
      <c r="J102" s="109" t="s">
        <v>8</v>
      </c>
    </row>
    <row r="103" spans="2:10" ht="15" customHeight="1">
      <c r="B103" s="114">
        <v>2019</v>
      </c>
      <c r="C103" s="113">
        <f t="shared" ref="C103:C116" si="14">J70</f>
        <v>75</v>
      </c>
      <c r="D103" s="324">
        <f>ROUND((C96)-(C96*$D$98),0)</f>
        <v>53</v>
      </c>
      <c r="E103" s="324">
        <f>ROUND((D96)-(D96*$E$98),0)</f>
        <v>64</v>
      </c>
      <c r="F103" s="324">
        <f>ROUND((E96)-(E96*$F$98),0)</f>
        <v>76</v>
      </c>
      <c r="G103" s="324">
        <f>ROUND((F96)-(F96*$G$98),0)</f>
        <v>62</v>
      </c>
      <c r="H103" s="324">
        <f>ROUND((G96)-(G96*$H$98),0)</f>
        <v>67</v>
      </c>
      <c r="I103" s="324">
        <f>ROUND((H96)-(H96*$I$98),0)</f>
        <v>73</v>
      </c>
      <c r="J103" s="111">
        <f t="shared" ref="J103:J116" si="15">SUM(C103:I103)</f>
        <v>470</v>
      </c>
    </row>
    <row r="104" spans="2:10" ht="15" customHeight="1">
      <c r="B104" s="114">
        <v>2020</v>
      </c>
      <c r="C104" s="113">
        <f t="shared" si="14"/>
        <v>57.935608726249122</v>
      </c>
      <c r="D104" s="324">
        <f>ROUND((C103-E50)-(C103*$D$98),0)</f>
        <v>76</v>
      </c>
      <c r="E104" s="112">
        <f t="shared" ref="E104:E116" si="16">ROUND((D103)-(D103*$E$98),0)</f>
        <v>52</v>
      </c>
      <c r="F104" s="112">
        <f t="shared" ref="F104:F116" si="17">ROUND((E103)-(E103*$F$98),0)</f>
        <v>66</v>
      </c>
      <c r="G104" s="112">
        <f t="shared" ref="G104:G116" si="18">ROUND((F103)-(F103*$G$98),0)</f>
        <v>76</v>
      </c>
      <c r="H104" s="112">
        <f t="shared" ref="H104:H116" si="19">ROUND((G103)-(G103*$H$98),0)</f>
        <v>64</v>
      </c>
      <c r="I104" s="112">
        <f t="shared" ref="I104:I116" si="20">ROUND((H103)-(H103*$I$98),0)</f>
        <v>68</v>
      </c>
      <c r="J104" s="111">
        <f t="shared" si="15"/>
        <v>459.93560872624914</v>
      </c>
    </row>
    <row r="105" spans="2:10" ht="15" customHeight="1">
      <c r="B105" s="114">
        <v>2021</v>
      </c>
      <c r="C105" s="113">
        <f t="shared" si="14"/>
        <v>49.109781843771991</v>
      </c>
      <c r="D105" s="324">
        <f>ROUND((C104-F50)-(C104*$D$98),0)</f>
        <v>57</v>
      </c>
      <c r="E105" s="112">
        <f t="shared" si="16"/>
        <v>75</v>
      </c>
      <c r="F105" s="112">
        <f t="shared" si="17"/>
        <v>54</v>
      </c>
      <c r="G105" s="112">
        <f t="shared" si="18"/>
        <v>66</v>
      </c>
      <c r="H105" s="112">
        <f t="shared" si="19"/>
        <v>78</v>
      </c>
      <c r="I105" s="112">
        <f t="shared" si="20"/>
        <v>65</v>
      </c>
      <c r="J105" s="111">
        <f t="shared" si="15"/>
        <v>444.109781843772</v>
      </c>
    </row>
    <row r="106" spans="2:10" ht="15" customHeight="1">
      <c r="B106" s="114">
        <v>2022</v>
      </c>
      <c r="C106" s="113">
        <f t="shared" si="14"/>
        <v>56.954961294862777</v>
      </c>
      <c r="D106" s="324">
        <f>ROUND((C105-G50)-(C105*$D$98),0)</f>
        <v>46</v>
      </c>
      <c r="E106" s="112">
        <f t="shared" si="16"/>
        <v>56</v>
      </c>
      <c r="F106" s="112">
        <f t="shared" si="17"/>
        <v>77</v>
      </c>
      <c r="G106" s="112">
        <f t="shared" si="18"/>
        <v>54</v>
      </c>
      <c r="H106" s="112">
        <f t="shared" si="19"/>
        <v>68</v>
      </c>
      <c r="I106" s="112">
        <f t="shared" si="20"/>
        <v>79</v>
      </c>
      <c r="J106" s="111">
        <f t="shared" si="15"/>
        <v>436.95496129486276</v>
      </c>
    </row>
    <row r="107" spans="2:10" ht="15" customHeight="1">
      <c r="B107" s="114">
        <v>2023</v>
      </c>
      <c r="C107" s="113">
        <f t="shared" si="14"/>
        <v>55.974313863476425</v>
      </c>
      <c r="D107" s="324">
        <f>ROUND((C106-H50)-(C106*$D$98),0)</f>
        <v>55</v>
      </c>
      <c r="E107" s="112">
        <f t="shared" si="16"/>
        <v>45</v>
      </c>
      <c r="F107" s="112">
        <f t="shared" si="17"/>
        <v>58</v>
      </c>
      <c r="G107" s="112">
        <f t="shared" si="18"/>
        <v>77</v>
      </c>
      <c r="H107" s="112">
        <f t="shared" si="19"/>
        <v>55</v>
      </c>
      <c r="I107" s="112">
        <f t="shared" si="20"/>
        <v>69</v>
      </c>
      <c r="J107" s="111">
        <f t="shared" si="15"/>
        <v>414.97431386347643</v>
      </c>
    </row>
    <row r="108" spans="2:10" ht="15" customHeight="1">
      <c r="B108" s="114">
        <v>2024</v>
      </c>
      <c r="C108" s="113">
        <f t="shared" si="14"/>
        <v>56.954961294862777</v>
      </c>
      <c r="D108" s="324">
        <f>ROUND((C107-I50)-(C107*$D$98),0)</f>
        <v>54</v>
      </c>
      <c r="E108" s="112">
        <f t="shared" si="16"/>
        <v>54</v>
      </c>
      <c r="F108" s="112">
        <f t="shared" si="17"/>
        <v>46</v>
      </c>
      <c r="G108" s="112">
        <f t="shared" si="18"/>
        <v>58</v>
      </c>
      <c r="H108" s="112">
        <f t="shared" si="19"/>
        <v>79</v>
      </c>
      <c r="I108" s="112">
        <f t="shared" si="20"/>
        <v>56</v>
      </c>
      <c r="J108" s="111">
        <f t="shared" si="15"/>
        <v>403.95496129486276</v>
      </c>
    </row>
    <row r="109" spans="2:10" ht="15" customHeight="1">
      <c r="B109" s="114">
        <v>2025</v>
      </c>
      <c r="C109" s="113">
        <f t="shared" si="14"/>
        <v>56.954961294862777</v>
      </c>
      <c r="D109" s="324">
        <f>ROUND((C108-J50)-(C108*$D$98),0)</f>
        <v>55</v>
      </c>
      <c r="E109" s="112">
        <f t="shared" si="16"/>
        <v>53</v>
      </c>
      <c r="F109" s="112">
        <f t="shared" si="17"/>
        <v>56</v>
      </c>
      <c r="G109" s="112">
        <f t="shared" si="18"/>
        <v>46</v>
      </c>
      <c r="H109" s="112">
        <f t="shared" si="19"/>
        <v>60</v>
      </c>
      <c r="I109" s="112">
        <f t="shared" si="20"/>
        <v>80</v>
      </c>
      <c r="J109" s="111">
        <f t="shared" si="15"/>
        <v>406.95496129486276</v>
      </c>
    </row>
    <row r="110" spans="2:10" ht="15" customHeight="1">
      <c r="B110" s="114">
        <v>2026</v>
      </c>
      <c r="C110" s="113">
        <f t="shared" si="14"/>
        <v>57.935608726249122</v>
      </c>
      <c r="D110" s="324">
        <f>ROUND((C109-K50)-(C109*$D$98),0)</f>
        <v>55</v>
      </c>
      <c r="E110" s="112">
        <f t="shared" si="16"/>
        <v>54</v>
      </c>
      <c r="F110" s="112">
        <f t="shared" si="17"/>
        <v>55</v>
      </c>
      <c r="G110" s="112">
        <f t="shared" si="18"/>
        <v>56</v>
      </c>
      <c r="H110" s="112">
        <f t="shared" si="19"/>
        <v>47</v>
      </c>
      <c r="I110" s="112">
        <f t="shared" si="20"/>
        <v>61</v>
      </c>
      <c r="J110" s="111">
        <f t="shared" si="15"/>
        <v>385.93560872624914</v>
      </c>
    </row>
    <row r="111" spans="2:10" ht="15" customHeight="1">
      <c r="B111" s="114">
        <v>2027</v>
      </c>
      <c r="C111" s="113">
        <f t="shared" si="14"/>
        <v>57.935608726249122</v>
      </c>
      <c r="D111" s="324">
        <f>ROUND((C110-L50)-(C110*$D$98),0)</f>
        <v>56</v>
      </c>
      <c r="E111" s="112">
        <f t="shared" si="16"/>
        <v>54</v>
      </c>
      <c r="F111" s="112">
        <f t="shared" si="17"/>
        <v>56</v>
      </c>
      <c r="G111" s="112">
        <f t="shared" si="18"/>
        <v>55</v>
      </c>
      <c r="H111" s="112">
        <f t="shared" si="19"/>
        <v>58</v>
      </c>
      <c r="I111" s="112">
        <f t="shared" si="20"/>
        <v>48</v>
      </c>
      <c r="J111" s="111">
        <f t="shared" si="15"/>
        <v>384.93560872624914</v>
      </c>
    </row>
    <row r="112" spans="2:10" ht="15" customHeight="1">
      <c r="B112" s="114">
        <v>2028</v>
      </c>
      <c r="C112" s="113">
        <f t="shared" si="14"/>
        <v>57.935608726249122</v>
      </c>
      <c r="D112" s="324">
        <f>ROUND((C111-M50)-(C111*$D$98),0)</f>
        <v>56</v>
      </c>
      <c r="E112" s="112">
        <f t="shared" si="16"/>
        <v>55</v>
      </c>
      <c r="F112" s="112">
        <f t="shared" si="17"/>
        <v>56</v>
      </c>
      <c r="G112" s="112">
        <f t="shared" si="18"/>
        <v>56</v>
      </c>
      <c r="H112" s="112">
        <f t="shared" si="19"/>
        <v>56</v>
      </c>
      <c r="I112" s="112">
        <f t="shared" si="20"/>
        <v>59</v>
      </c>
      <c r="J112" s="111">
        <f t="shared" si="15"/>
        <v>395.93560872624914</v>
      </c>
    </row>
    <row r="113" spans="2:10" ht="15" customHeight="1">
      <c r="B113" s="114">
        <v>2029</v>
      </c>
      <c r="C113" s="113">
        <f t="shared" si="14"/>
        <v>58.916256157635473</v>
      </c>
      <c r="D113" s="324">
        <f>ROUND((C112-N50)-(C112*$D$98),0)</f>
        <v>56</v>
      </c>
      <c r="E113" s="112">
        <f t="shared" si="16"/>
        <v>55</v>
      </c>
      <c r="F113" s="112">
        <f t="shared" si="17"/>
        <v>57</v>
      </c>
      <c r="G113" s="112">
        <f t="shared" si="18"/>
        <v>56</v>
      </c>
      <c r="H113" s="112">
        <f t="shared" si="19"/>
        <v>58</v>
      </c>
      <c r="I113" s="112">
        <f t="shared" si="20"/>
        <v>57</v>
      </c>
      <c r="J113" s="111">
        <f t="shared" si="15"/>
        <v>397.91625615763547</v>
      </c>
    </row>
    <row r="114" spans="2:10" ht="15" customHeight="1">
      <c r="B114" s="114">
        <v>2030</v>
      </c>
      <c r="C114" s="113">
        <f t="shared" si="14"/>
        <v>58.916256157635473</v>
      </c>
      <c r="D114" s="324">
        <f>ROUND((C113-O50)-(C113*$D$98),0)</f>
        <v>57</v>
      </c>
      <c r="E114" s="112">
        <f t="shared" si="16"/>
        <v>55</v>
      </c>
      <c r="F114" s="112">
        <f t="shared" si="17"/>
        <v>57</v>
      </c>
      <c r="G114" s="112">
        <f t="shared" si="18"/>
        <v>57</v>
      </c>
      <c r="H114" s="112">
        <f t="shared" si="19"/>
        <v>58</v>
      </c>
      <c r="I114" s="112">
        <f t="shared" si="20"/>
        <v>59</v>
      </c>
      <c r="J114" s="111">
        <f t="shared" si="15"/>
        <v>401.91625615763547</v>
      </c>
    </row>
    <row r="115" spans="2:10" ht="15" customHeight="1">
      <c r="B115" s="114">
        <v>2031</v>
      </c>
      <c r="C115" s="113">
        <f t="shared" si="14"/>
        <v>58.916256157635473</v>
      </c>
      <c r="D115" s="324">
        <f>ROUND((C114-P50)-(C114*$D$98),0)</f>
        <v>57</v>
      </c>
      <c r="E115" s="112">
        <f t="shared" si="16"/>
        <v>56</v>
      </c>
      <c r="F115" s="112">
        <f t="shared" si="17"/>
        <v>57</v>
      </c>
      <c r="G115" s="112">
        <f t="shared" si="18"/>
        <v>57</v>
      </c>
      <c r="H115" s="112">
        <f t="shared" si="19"/>
        <v>59</v>
      </c>
      <c r="I115" s="112">
        <f t="shared" si="20"/>
        <v>59</v>
      </c>
      <c r="J115" s="111">
        <f t="shared" si="15"/>
        <v>403.91625615763547</v>
      </c>
    </row>
    <row r="116" spans="2:10" ht="15" customHeight="1">
      <c r="B116" s="114">
        <v>2032</v>
      </c>
      <c r="C116" s="113">
        <f t="shared" si="14"/>
        <v>58.916256157635473</v>
      </c>
      <c r="D116" s="324">
        <f>ROUND((C115-Q50)-(C115*$D$98),0)</f>
        <v>57</v>
      </c>
      <c r="E116" s="112">
        <f t="shared" si="16"/>
        <v>56</v>
      </c>
      <c r="F116" s="112">
        <f t="shared" si="17"/>
        <v>58</v>
      </c>
      <c r="G116" s="112">
        <f t="shared" si="18"/>
        <v>57</v>
      </c>
      <c r="H116" s="112">
        <f t="shared" si="19"/>
        <v>59</v>
      </c>
      <c r="I116" s="112">
        <f t="shared" si="20"/>
        <v>60</v>
      </c>
      <c r="J116" s="111">
        <f t="shared" si="15"/>
        <v>405.91625615763547</v>
      </c>
    </row>
    <row r="117" spans="2:10" ht="15" hidden="1" customHeight="1">
      <c r="F117" s="14"/>
      <c r="G117" s="14"/>
    </row>
    <row r="118" spans="2:10" ht="15" hidden="1" customHeight="1">
      <c r="B118" s="15" t="str">
        <f>"Table 4C: "&amp;E3&amp;" Projected Pupil Generation from Housing Development, 2019-2032"</f>
        <v>Table 4C: Dean Park Primary School Projected Pupil Generation from Housing Development, 2019-2032</v>
      </c>
      <c r="F118" s="14"/>
      <c r="G118" s="14"/>
    </row>
    <row r="119" spans="2:10" ht="15" hidden="1" customHeight="1">
      <c r="F119" s="14"/>
      <c r="G119" s="14"/>
    </row>
    <row r="120" spans="2:10" ht="15" hidden="1" customHeight="1">
      <c r="B120" s="115"/>
      <c r="C120" s="109" t="s">
        <v>1</v>
      </c>
      <c r="D120" s="109" t="s">
        <v>2</v>
      </c>
      <c r="E120" s="109" t="s">
        <v>3</v>
      </c>
      <c r="F120" s="109" t="s">
        <v>4</v>
      </c>
      <c r="G120" s="109" t="s">
        <v>5</v>
      </c>
      <c r="H120" s="109" t="s">
        <v>6</v>
      </c>
      <c r="I120" s="109" t="s">
        <v>7</v>
      </c>
      <c r="J120" s="109" t="s">
        <v>8</v>
      </c>
    </row>
    <row r="121" spans="2:10" ht="15" hidden="1" customHeight="1">
      <c r="B121" s="114">
        <v>2019</v>
      </c>
      <c r="C121" s="116" t="s">
        <v>97</v>
      </c>
      <c r="D121" s="112">
        <f>VLOOKUP($E$3,'Housing Generation'!$A$3:$BE$90,11,FALSE)</f>
        <v>1</v>
      </c>
      <c r="E121" s="112">
        <f>VLOOKUP($E$3,'Housing Generation'!$A$3:$BE$90,12,FALSE)</f>
        <v>1</v>
      </c>
      <c r="F121" s="112">
        <f>VLOOKUP($E$3,'Housing Generation'!$A$3:$BE$90,13,FALSE)</f>
        <v>1</v>
      </c>
      <c r="G121" s="112">
        <f>VLOOKUP($E$3,'Housing Generation'!$A$3:$BE$90,14,FALSE)</f>
        <v>1</v>
      </c>
      <c r="H121" s="112">
        <f>VLOOKUP($E$3,'Housing Generation'!$A$3:$BE$90,15,FALSE)</f>
        <v>1</v>
      </c>
      <c r="I121" s="112">
        <f>VLOOKUP($E$3,'Housing Generation'!$A$3:$BE$90,16,FALSE)</f>
        <v>1</v>
      </c>
      <c r="J121" s="111">
        <f t="shared" ref="J121:J134" si="21">SUM(D121:I121)</f>
        <v>6</v>
      </c>
    </row>
    <row r="122" spans="2:10" ht="15" hidden="1" customHeight="1">
      <c r="B122" s="114">
        <v>2020</v>
      </c>
      <c r="C122" s="116" t="s">
        <v>97</v>
      </c>
      <c r="D122" s="112">
        <f>VLOOKUP($E$3,'Housing Generation'!$A$3:$BE$90,19,FALSE)</f>
        <v>3</v>
      </c>
      <c r="E122" s="112">
        <f>VLOOKUP($E$3,'Housing Generation'!$A$3:$BE$90,20,FALSE)</f>
        <v>2</v>
      </c>
      <c r="F122" s="112">
        <f>VLOOKUP($E$3,'Housing Generation'!$A$3:$BE$90,21,FALSE)</f>
        <v>2</v>
      </c>
      <c r="G122" s="112">
        <f>VLOOKUP($E$3,'Housing Generation'!$A$3:$BE$90,22,FALSE)</f>
        <v>2</v>
      </c>
      <c r="H122" s="112">
        <f>VLOOKUP($E$3,'Housing Generation'!$A$3:$BE$90,23,FALSE)</f>
        <v>2</v>
      </c>
      <c r="I122" s="112">
        <f>VLOOKUP($E$3,'Housing Generation'!$A$3:$BE$90,24,FALSE)</f>
        <v>2</v>
      </c>
      <c r="J122" s="111">
        <f t="shared" si="21"/>
        <v>13</v>
      </c>
    </row>
    <row r="123" spans="2:10" ht="15" hidden="1" customHeight="1">
      <c r="B123" s="114">
        <v>2021</v>
      </c>
      <c r="C123" s="116" t="s">
        <v>97</v>
      </c>
      <c r="D123" s="112">
        <f>VLOOKUP($E$3,'Housing Generation'!$A$3:$BE$90,27,FALSE)</f>
        <v>4</v>
      </c>
      <c r="E123" s="112">
        <f>VLOOKUP($E$3,'Housing Generation'!$A$3:$BE$90,28,FALSE)</f>
        <v>4</v>
      </c>
      <c r="F123" s="112">
        <f>VLOOKUP($E$3,'Housing Generation'!$A$3:$BE$90,29,FALSE)</f>
        <v>3</v>
      </c>
      <c r="G123" s="112">
        <f>VLOOKUP($E$3,'Housing Generation'!$A$3:$BE$90,30,FALSE)</f>
        <v>3</v>
      </c>
      <c r="H123" s="112">
        <f>VLOOKUP($E$3,'Housing Generation'!$A$3:$BE$90,31,FALSE)</f>
        <v>3</v>
      </c>
      <c r="I123" s="112">
        <f>VLOOKUP($E$3,'Housing Generation'!$A$3:$BE$90,32,FALSE)</f>
        <v>3</v>
      </c>
      <c r="J123" s="111">
        <f t="shared" si="21"/>
        <v>20</v>
      </c>
    </row>
    <row r="124" spans="2:10" ht="15" hidden="1" customHeight="1">
      <c r="B124" s="114">
        <v>2022</v>
      </c>
      <c r="C124" s="116" t="s">
        <v>97</v>
      </c>
      <c r="D124" s="112">
        <f>VLOOKUP($E$3,'Housing Generation'!$A$3:$BE$90,35,FALSE)</f>
        <v>5</v>
      </c>
      <c r="E124" s="112">
        <f>VLOOKUP($E$3,'Housing Generation'!$A$3:$BE$90,36,FALSE)</f>
        <v>5</v>
      </c>
      <c r="F124" s="112">
        <f>VLOOKUP($E$3,'Housing Generation'!$A$3:$BE$90,37,FALSE)</f>
        <v>5</v>
      </c>
      <c r="G124" s="112">
        <f>VLOOKUP($E$3,'Housing Generation'!$A$3:$BE$90,38,FALSE)</f>
        <v>5</v>
      </c>
      <c r="H124" s="112">
        <f>VLOOKUP($E$3,'Housing Generation'!$A$3:$BE$90,39,FALSE)</f>
        <v>4</v>
      </c>
      <c r="I124" s="112">
        <f>VLOOKUP($E$3,'Housing Generation'!$A$3:$BE$90,40,FALSE)</f>
        <v>4</v>
      </c>
      <c r="J124" s="111">
        <f t="shared" si="21"/>
        <v>28</v>
      </c>
    </row>
    <row r="125" spans="2:10" ht="15" hidden="1" customHeight="1">
      <c r="B125" s="114">
        <v>2023</v>
      </c>
      <c r="C125" s="116" t="s">
        <v>97</v>
      </c>
      <c r="D125" s="112">
        <f>VLOOKUP($E$3,'Housing Generation'!$A$3:$BE$90,43,FALSE)</f>
        <v>5</v>
      </c>
      <c r="E125" s="112">
        <f>VLOOKUP($E$3,'Housing Generation'!$A$3:$BE$90,44,FALSE)</f>
        <v>5</v>
      </c>
      <c r="F125" s="112">
        <f>VLOOKUP($E$3,'Housing Generation'!$A$3:$BE$90,45,FALSE)</f>
        <v>5</v>
      </c>
      <c r="G125" s="112">
        <f>VLOOKUP($E$3,'Housing Generation'!$A$3:$BE$90,46,FALSE)</f>
        <v>5</v>
      </c>
      <c r="H125" s="112">
        <f>VLOOKUP($E$3,'Housing Generation'!$A$3:$BE$90,47,FALSE)</f>
        <v>4</v>
      </c>
      <c r="I125" s="112">
        <f>VLOOKUP($E$3,'Housing Generation'!$A$3:$BE$90,48,FALSE)</f>
        <v>4</v>
      </c>
      <c r="J125" s="111">
        <f t="shared" si="21"/>
        <v>28</v>
      </c>
    </row>
    <row r="126" spans="2:10" ht="15" hidden="1" customHeight="1">
      <c r="B126" s="114">
        <v>2024</v>
      </c>
      <c r="C126" s="116" t="s">
        <v>97</v>
      </c>
      <c r="D126" s="112">
        <f>VLOOKUP($E$3,'Housing Generation'!$A$3:$BE$90,51,FALSE)</f>
        <v>5</v>
      </c>
      <c r="E126" s="112">
        <f>VLOOKUP($E$3,'Housing Generation'!$A$3:$BE$90,52,FALSE)</f>
        <v>5</v>
      </c>
      <c r="F126" s="112">
        <f>VLOOKUP($E$3,'Housing Generation'!$A$3:$BE$90,53,FALSE)</f>
        <v>5</v>
      </c>
      <c r="G126" s="112">
        <f>VLOOKUP($E$3,'Housing Generation'!$A$3:$BE$90,54,FALSE)</f>
        <v>5</v>
      </c>
      <c r="H126" s="112">
        <f>VLOOKUP($E$3,'Housing Generation'!$A$3:$BE$90,55,FALSE)</f>
        <v>4</v>
      </c>
      <c r="I126" s="112">
        <f>VLOOKUP($E$3,'Housing Generation'!$A$3:$BE$90,56,FALSE)</f>
        <v>4</v>
      </c>
      <c r="J126" s="111">
        <f t="shared" si="21"/>
        <v>28</v>
      </c>
    </row>
    <row r="127" spans="2:10" ht="15" hidden="1" customHeight="1">
      <c r="B127" s="114">
        <v>2025</v>
      </c>
      <c r="C127" s="240" t="s">
        <v>97</v>
      </c>
      <c r="D127" s="112">
        <f>VLOOKUP($E$3,'Housing Generation'!$A$3:$CK$90,59,FALSE)</f>
        <v>5</v>
      </c>
      <c r="E127" s="112">
        <f>VLOOKUP($E$3,'Housing Generation'!$A$3:$CK$90,60,FALSE)</f>
        <v>5</v>
      </c>
      <c r="F127" s="112">
        <f>VLOOKUP($E$3,'Housing Generation'!$A$3:$CK$90,61,FALSE)</f>
        <v>5</v>
      </c>
      <c r="G127" s="112">
        <f>VLOOKUP($E$3,'Housing Generation'!$A$3:$CK$90,62,FALSE)</f>
        <v>5</v>
      </c>
      <c r="H127" s="112">
        <f>VLOOKUP($E$3,'Housing Generation'!$A$3:$CK$90,63,FALSE)</f>
        <v>4</v>
      </c>
      <c r="I127" s="112">
        <f>VLOOKUP($E$3,'Housing Generation'!$A$3:$CK$90,64,FALSE)</f>
        <v>4</v>
      </c>
      <c r="J127" s="111">
        <f t="shared" si="21"/>
        <v>28</v>
      </c>
    </row>
    <row r="128" spans="2:10" ht="15" hidden="1" customHeight="1">
      <c r="B128" s="114">
        <v>2026</v>
      </c>
      <c r="C128" s="240" t="s">
        <v>97</v>
      </c>
      <c r="D128" s="112">
        <f>VLOOKUP($E$3,'Housing Generation'!$A$3:$CK$90,67,FALSE)</f>
        <v>5</v>
      </c>
      <c r="E128" s="112">
        <f>VLOOKUP($E$3,'Housing Generation'!$A$3:$CK$90,68,FALSE)</f>
        <v>5</v>
      </c>
      <c r="F128" s="112">
        <f>VLOOKUP($E$3,'Housing Generation'!$A$3:$CK$90,69,FALSE)</f>
        <v>5</v>
      </c>
      <c r="G128" s="112">
        <f>VLOOKUP($E$3,'Housing Generation'!$A$3:$CK$90,70,FALSE)</f>
        <v>5</v>
      </c>
      <c r="H128" s="112">
        <f>VLOOKUP($E$3,'Housing Generation'!$A$3:$CK$90,71,FALSE)</f>
        <v>4</v>
      </c>
      <c r="I128" s="112">
        <f>VLOOKUP($E$3,'Housing Generation'!$A$3:$CK$90,72,FALSE)</f>
        <v>4</v>
      </c>
      <c r="J128" s="111">
        <f t="shared" si="21"/>
        <v>28</v>
      </c>
    </row>
    <row r="129" spans="2:10" ht="15" hidden="1" customHeight="1">
      <c r="B129" s="114">
        <v>2027</v>
      </c>
      <c r="C129" s="240" t="s">
        <v>97</v>
      </c>
      <c r="D129" s="112">
        <f>VLOOKUP($E$3,'Housing Generation'!$A$3:$CK$90,75,FALSE)</f>
        <v>5</v>
      </c>
      <c r="E129" s="112">
        <f>VLOOKUP($E$3,'Housing Generation'!$A$3:$CK$90,76,FALSE)</f>
        <v>5</v>
      </c>
      <c r="F129" s="112">
        <f>VLOOKUP($E$3,'Housing Generation'!$A$3:$CK$90,77,FALSE)</f>
        <v>5</v>
      </c>
      <c r="G129" s="112">
        <f>VLOOKUP($E$3,'Housing Generation'!$A$3:$CK$90,78,FALSE)</f>
        <v>5</v>
      </c>
      <c r="H129" s="112">
        <f>VLOOKUP($E$3,'Housing Generation'!$A$3:$CK$90,79,FALSE)</f>
        <v>4</v>
      </c>
      <c r="I129" s="112">
        <f>VLOOKUP($E$3,'Housing Generation'!$A$3:$CK$90,80,FALSE)</f>
        <v>4</v>
      </c>
      <c r="J129" s="111">
        <f t="shared" si="21"/>
        <v>28</v>
      </c>
    </row>
    <row r="130" spans="2:10" ht="15" customHeight="1">
      <c r="B130" s="114">
        <v>2028</v>
      </c>
      <c r="C130" s="289" t="s">
        <v>97</v>
      </c>
      <c r="D130" s="112">
        <f>VLOOKUP($E$3,'Housing Generation'!$A$3:$CK$90,83,FALSE)</f>
        <v>5</v>
      </c>
      <c r="E130" s="112">
        <f>VLOOKUP($E$3,'Housing Generation'!$A$3:$CK$90,84,FALSE)</f>
        <v>5</v>
      </c>
      <c r="F130" s="112">
        <f>VLOOKUP($E$3,'Housing Generation'!$A$3:$CK$90,85,FALSE)</f>
        <v>5</v>
      </c>
      <c r="G130" s="112">
        <f>VLOOKUP($E$3,'Housing Generation'!$A$3:$CK$90,86,FALSE)</f>
        <v>5</v>
      </c>
      <c r="H130" s="112">
        <f>VLOOKUP($E$3,'Housing Generation'!$A$3:$CK$90,87,FALSE)</f>
        <v>4</v>
      </c>
      <c r="I130" s="112">
        <f>VLOOKUP($E$3,'Housing Generation'!$A$3:$CK$90,88,FALSE)</f>
        <v>4</v>
      </c>
      <c r="J130" s="111">
        <f t="shared" si="21"/>
        <v>28</v>
      </c>
    </row>
    <row r="131" spans="2:10" ht="15" customHeight="1">
      <c r="B131" s="114">
        <v>2029</v>
      </c>
      <c r="C131" s="289" t="s">
        <v>97</v>
      </c>
      <c r="D131" s="112">
        <f>VLOOKUP($E$3,'Housing Generation'!$A$3:$DQ$90,91,FALSE)</f>
        <v>5</v>
      </c>
      <c r="E131" s="112">
        <f>VLOOKUP($E$3,'Housing Generation'!$A$3:$DQ$90,92,FALSE)</f>
        <v>5</v>
      </c>
      <c r="F131" s="112">
        <f>VLOOKUP($E$3,'Housing Generation'!$A$3:$DQ$90,93,FALSE)</f>
        <v>5</v>
      </c>
      <c r="G131" s="112">
        <f>VLOOKUP($E$3,'Housing Generation'!$A$3:$DQ$90,94,FALSE)</f>
        <v>5</v>
      </c>
      <c r="H131" s="112">
        <f>VLOOKUP($E$3,'Housing Generation'!$A$3:$DQ$90,95,FALSE)</f>
        <v>4</v>
      </c>
      <c r="I131" s="112">
        <f>VLOOKUP($E$3,'Housing Generation'!$A$3:$DQ$90,96,FALSE)</f>
        <v>4</v>
      </c>
      <c r="J131" s="111">
        <f t="shared" si="21"/>
        <v>28</v>
      </c>
    </row>
    <row r="132" spans="2:10" ht="15" customHeight="1">
      <c r="B132" s="114">
        <v>2030</v>
      </c>
      <c r="C132" s="289" t="s">
        <v>97</v>
      </c>
      <c r="D132" s="112">
        <f>VLOOKUP($E$3,'Housing Generation'!$A$3:$DQ$90,99,FALSE)</f>
        <v>5</v>
      </c>
      <c r="E132" s="112">
        <f>VLOOKUP($E$3,'Housing Generation'!$A$3:$DQ$90,100,FALSE)</f>
        <v>5</v>
      </c>
      <c r="F132" s="112">
        <f>VLOOKUP($E$3,'Housing Generation'!$A$3:$DQ$90,101,FALSE)</f>
        <v>5</v>
      </c>
      <c r="G132" s="112">
        <f>VLOOKUP($E$3,'Housing Generation'!$A$3:$DQ$90,102,FALSE)</f>
        <v>5</v>
      </c>
      <c r="H132" s="112">
        <f>VLOOKUP($E$3,'Housing Generation'!$A$3:$DQ$90,103,FALSE)</f>
        <v>4</v>
      </c>
      <c r="I132" s="112">
        <f>VLOOKUP($E$3,'Housing Generation'!$A$3:$DQ$90,104,FALSE)</f>
        <v>4</v>
      </c>
      <c r="J132" s="111">
        <f t="shared" si="21"/>
        <v>28</v>
      </c>
    </row>
    <row r="133" spans="2:10" ht="15" customHeight="1">
      <c r="B133" s="114">
        <v>2031</v>
      </c>
      <c r="C133" s="289" t="s">
        <v>97</v>
      </c>
      <c r="D133" s="112">
        <f>VLOOKUP($E$3,'Housing Generation'!$A$3:$DQ$90,107,FALSE)</f>
        <v>5</v>
      </c>
      <c r="E133" s="112">
        <f>VLOOKUP($E$3,'Housing Generation'!$A$3:$DQ$90,108,FALSE)</f>
        <v>5</v>
      </c>
      <c r="F133" s="112">
        <f>VLOOKUP($E$3,'Housing Generation'!$A$3:$DQ$90,109,FALSE)</f>
        <v>5</v>
      </c>
      <c r="G133" s="112">
        <f>VLOOKUP($E$3,'Housing Generation'!$A$3:$DQ$90,110,FALSE)</f>
        <v>5</v>
      </c>
      <c r="H133" s="112">
        <f>VLOOKUP($E$3,'Housing Generation'!$A$3:$DQ$90,111,FALSE)</f>
        <v>4</v>
      </c>
      <c r="I133" s="112">
        <f>VLOOKUP($E$3,'Housing Generation'!$A$3:$DQ$90,112,FALSE)</f>
        <v>4</v>
      </c>
      <c r="J133" s="111">
        <f t="shared" si="21"/>
        <v>28</v>
      </c>
    </row>
    <row r="134" spans="2:10" ht="15" customHeight="1">
      <c r="B134" s="114">
        <v>2032</v>
      </c>
      <c r="C134" s="289" t="s">
        <v>97</v>
      </c>
      <c r="D134" s="112">
        <f>VLOOKUP($E$3,'Housing Generation'!$A$3:$DQ$90,115,FALSE)</f>
        <v>5</v>
      </c>
      <c r="E134" s="112">
        <f>VLOOKUP($E$3,'Housing Generation'!$A$3:$DQ$90,116,FALSE)</f>
        <v>5</v>
      </c>
      <c r="F134" s="112">
        <f>VLOOKUP($E$3,'Housing Generation'!$A$3:$DQ$90,117,FALSE)</f>
        <v>5</v>
      </c>
      <c r="G134" s="112">
        <f>VLOOKUP($E$3,'Housing Generation'!$A$3:$DQ$90,118,FALSE)</f>
        <v>5</v>
      </c>
      <c r="H134" s="112">
        <f>VLOOKUP($E$3,'Housing Generation'!$A$3:$DQ$90,119,FALSE)</f>
        <v>4</v>
      </c>
      <c r="I134" s="112">
        <f>VLOOKUP($E$3,'Housing Generation'!$A$3:$DQ$90,120,FALSE)</f>
        <v>4</v>
      </c>
      <c r="J134" s="111">
        <f t="shared" si="21"/>
        <v>28</v>
      </c>
    </row>
    <row r="135" spans="2:10" ht="15" hidden="1"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Dean Park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75</v>
      </c>
      <c r="D139" s="112">
        <f t="shared" ref="D139:I152" si="23">D121+D103</f>
        <v>54</v>
      </c>
      <c r="E139" s="112">
        <f t="shared" si="23"/>
        <v>65</v>
      </c>
      <c r="F139" s="112">
        <f t="shared" si="23"/>
        <v>77</v>
      </c>
      <c r="G139" s="112">
        <f t="shared" si="23"/>
        <v>63</v>
      </c>
      <c r="H139" s="112">
        <f t="shared" si="23"/>
        <v>68</v>
      </c>
      <c r="I139" s="112">
        <f t="shared" si="23"/>
        <v>74</v>
      </c>
      <c r="J139" s="111">
        <f t="shared" ref="J139:J147" si="24">SUM(C139:I139)</f>
        <v>476</v>
      </c>
    </row>
    <row r="140" spans="2:10" ht="15" customHeight="1">
      <c r="B140" s="114">
        <v>2020</v>
      </c>
      <c r="C140" s="113">
        <f t="shared" si="22"/>
        <v>57.935608726249122</v>
      </c>
      <c r="D140" s="112">
        <f t="shared" si="23"/>
        <v>79</v>
      </c>
      <c r="E140" s="112">
        <f t="shared" si="23"/>
        <v>54</v>
      </c>
      <c r="F140" s="112">
        <f t="shared" si="23"/>
        <v>68</v>
      </c>
      <c r="G140" s="112">
        <f t="shared" si="23"/>
        <v>78</v>
      </c>
      <c r="H140" s="112">
        <f t="shared" si="23"/>
        <v>66</v>
      </c>
      <c r="I140" s="112">
        <f t="shared" si="23"/>
        <v>70</v>
      </c>
      <c r="J140" s="111">
        <f t="shared" si="24"/>
        <v>472.93560872624914</v>
      </c>
    </row>
    <row r="141" spans="2:10" ht="15" customHeight="1">
      <c r="B141" s="114">
        <v>2021</v>
      </c>
      <c r="C141" s="113">
        <f t="shared" si="22"/>
        <v>49.109781843771991</v>
      </c>
      <c r="D141" s="112">
        <f t="shared" si="23"/>
        <v>61</v>
      </c>
      <c r="E141" s="112">
        <f t="shared" si="23"/>
        <v>79</v>
      </c>
      <c r="F141" s="112">
        <f t="shared" si="23"/>
        <v>57</v>
      </c>
      <c r="G141" s="112">
        <f t="shared" si="23"/>
        <v>69</v>
      </c>
      <c r="H141" s="112">
        <f t="shared" si="23"/>
        <v>81</v>
      </c>
      <c r="I141" s="112">
        <f t="shared" si="23"/>
        <v>68</v>
      </c>
      <c r="J141" s="111">
        <f t="shared" si="24"/>
        <v>464.109781843772</v>
      </c>
    </row>
    <row r="142" spans="2:10" ht="15" customHeight="1">
      <c r="B142" s="114">
        <v>2022</v>
      </c>
      <c r="C142" s="113">
        <f t="shared" si="22"/>
        <v>56.954961294862777</v>
      </c>
      <c r="D142" s="112">
        <f t="shared" si="23"/>
        <v>51</v>
      </c>
      <c r="E142" s="112">
        <f t="shared" si="23"/>
        <v>61</v>
      </c>
      <c r="F142" s="112">
        <f t="shared" si="23"/>
        <v>82</v>
      </c>
      <c r="G142" s="112">
        <f t="shared" si="23"/>
        <v>59</v>
      </c>
      <c r="H142" s="112">
        <f t="shared" si="23"/>
        <v>72</v>
      </c>
      <c r="I142" s="112">
        <f t="shared" si="23"/>
        <v>83</v>
      </c>
      <c r="J142" s="111">
        <f t="shared" si="24"/>
        <v>464.95496129486276</v>
      </c>
    </row>
    <row r="143" spans="2:10" ht="15" customHeight="1">
      <c r="B143" s="114">
        <v>2023</v>
      </c>
      <c r="C143" s="113">
        <f t="shared" si="22"/>
        <v>55.974313863476425</v>
      </c>
      <c r="D143" s="112">
        <f t="shared" si="23"/>
        <v>60</v>
      </c>
      <c r="E143" s="112">
        <f t="shared" si="23"/>
        <v>50</v>
      </c>
      <c r="F143" s="112">
        <f t="shared" si="23"/>
        <v>63</v>
      </c>
      <c r="G143" s="112">
        <f t="shared" si="23"/>
        <v>82</v>
      </c>
      <c r="H143" s="112">
        <f t="shared" si="23"/>
        <v>59</v>
      </c>
      <c r="I143" s="112">
        <f t="shared" si="23"/>
        <v>73</v>
      </c>
      <c r="J143" s="111">
        <f t="shared" si="24"/>
        <v>442.97431386347643</v>
      </c>
    </row>
    <row r="144" spans="2:10" ht="15" customHeight="1">
      <c r="B144" s="114">
        <v>2024</v>
      </c>
      <c r="C144" s="113">
        <f t="shared" si="22"/>
        <v>56.954961294862777</v>
      </c>
      <c r="D144" s="112">
        <f t="shared" si="23"/>
        <v>59</v>
      </c>
      <c r="E144" s="112">
        <f t="shared" si="23"/>
        <v>59</v>
      </c>
      <c r="F144" s="112">
        <f t="shared" si="23"/>
        <v>51</v>
      </c>
      <c r="G144" s="112">
        <f t="shared" si="23"/>
        <v>63</v>
      </c>
      <c r="H144" s="112">
        <f t="shared" si="23"/>
        <v>83</v>
      </c>
      <c r="I144" s="112">
        <f t="shared" si="23"/>
        <v>60</v>
      </c>
      <c r="J144" s="111">
        <f t="shared" si="24"/>
        <v>431.95496129486276</v>
      </c>
    </row>
    <row r="145" spans="2:16" ht="15" customHeight="1">
      <c r="B145" s="114">
        <v>2025</v>
      </c>
      <c r="C145" s="113">
        <f t="shared" si="22"/>
        <v>56.954961294862777</v>
      </c>
      <c r="D145" s="112">
        <f t="shared" si="23"/>
        <v>60</v>
      </c>
      <c r="E145" s="112">
        <f t="shared" si="23"/>
        <v>58</v>
      </c>
      <c r="F145" s="112">
        <f t="shared" si="23"/>
        <v>61</v>
      </c>
      <c r="G145" s="112">
        <f t="shared" si="23"/>
        <v>51</v>
      </c>
      <c r="H145" s="112">
        <f t="shared" si="23"/>
        <v>64</v>
      </c>
      <c r="I145" s="112">
        <f t="shared" si="23"/>
        <v>84</v>
      </c>
      <c r="J145" s="111">
        <f t="shared" si="24"/>
        <v>434.95496129486276</v>
      </c>
    </row>
    <row r="146" spans="2:16" ht="15" customHeight="1">
      <c r="B146" s="114">
        <v>2026</v>
      </c>
      <c r="C146" s="113">
        <f t="shared" si="22"/>
        <v>57.935608726249122</v>
      </c>
      <c r="D146" s="112">
        <f t="shared" si="23"/>
        <v>60</v>
      </c>
      <c r="E146" s="112">
        <f t="shared" si="23"/>
        <v>59</v>
      </c>
      <c r="F146" s="112">
        <f t="shared" si="23"/>
        <v>60</v>
      </c>
      <c r="G146" s="112">
        <f t="shared" si="23"/>
        <v>61</v>
      </c>
      <c r="H146" s="112">
        <f t="shared" si="23"/>
        <v>51</v>
      </c>
      <c r="I146" s="112">
        <f t="shared" si="23"/>
        <v>65</v>
      </c>
      <c r="J146" s="111">
        <f t="shared" si="24"/>
        <v>413.93560872624914</v>
      </c>
    </row>
    <row r="147" spans="2:16" ht="15" customHeight="1">
      <c r="B147" s="114">
        <v>2027</v>
      </c>
      <c r="C147" s="113">
        <f t="shared" si="22"/>
        <v>57.935608726249122</v>
      </c>
      <c r="D147" s="112">
        <f t="shared" si="23"/>
        <v>61</v>
      </c>
      <c r="E147" s="112">
        <f t="shared" si="23"/>
        <v>59</v>
      </c>
      <c r="F147" s="112">
        <f t="shared" si="23"/>
        <v>61</v>
      </c>
      <c r="G147" s="112">
        <f t="shared" si="23"/>
        <v>60</v>
      </c>
      <c r="H147" s="112">
        <f t="shared" si="23"/>
        <v>62</v>
      </c>
      <c r="I147" s="112">
        <f t="shared" si="23"/>
        <v>52</v>
      </c>
      <c r="J147" s="111">
        <f t="shared" si="24"/>
        <v>412.93560872624914</v>
      </c>
    </row>
    <row r="148" spans="2:16" ht="15" customHeight="1">
      <c r="B148" s="114">
        <v>2028</v>
      </c>
      <c r="C148" s="113">
        <f t="shared" si="22"/>
        <v>57.935608726249122</v>
      </c>
      <c r="D148" s="112">
        <f t="shared" si="23"/>
        <v>61</v>
      </c>
      <c r="E148" s="112">
        <f t="shared" si="23"/>
        <v>60</v>
      </c>
      <c r="F148" s="112">
        <f t="shared" si="23"/>
        <v>61</v>
      </c>
      <c r="G148" s="112">
        <f t="shared" si="23"/>
        <v>61</v>
      </c>
      <c r="H148" s="112">
        <f t="shared" si="23"/>
        <v>60</v>
      </c>
      <c r="I148" s="112">
        <f t="shared" si="23"/>
        <v>63</v>
      </c>
      <c r="J148" s="111">
        <f t="shared" ref="J148:J152" si="25">SUM(C148:I148)</f>
        <v>423.93560872624914</v>
      </c>
    </row>
    <row r="149" spans="2:16" ht="15" customHeight="1">
      <c r="B149" s="114">
        <v>2029</v>
      </c>
      <c r="C149" s="113">
        <f t="shared" si="22"/>
        <v>58.916256157635473</v>
      </c>
      <c r="D149" s="112">
        <f t="shared" si="23"/>
        <v>61</v>
      </c>
      <c r="E149" s="112">
        <f t="shared" si="23"/>
        <v>60</v>
      </c>
      <c r="F149" s="112">
        <f t="shared" si="23"/>
        <v>62</v>
      </c>
      <c r="G149" s="112">
        <f t="shared" si="23"/>
        <v>61</v>
      </c>
      <c r="H149" s="112">
        <f t="shared" si="23"/>
        <v>62</v>
      </c>
      <c r="I149" s="112">
        <f t="shared" si="23"/>
        <v>61</v>
      </c>
      <c r="J149" s="111">
        <f t="shared" si="25"/>
        <v>425.91625615763547</v>
      </c>
    </row>
    <row r="150" spans="2:16" ht="15" customHeight="1">
      <c r="B150" s="114">
        <v>2030</v>
      </c>
      <c r="C150" s="113">
        <f t="shared" si="22"/>
        <v>58.916256157635473</v>
      </c>
      <c r="D150" s="112">
        <f t="shared" si="23"/>
        <v>62</v>
      </c>
      <c r="E150" s="112">
        <f t="shared" si="23"/>
        <v>60</v>
      </c>
      <c r="F150" s="112">
        <f t="shared" si="23"/>
        <v>62</v>
      </c>
      <c r="G150" s="112">
        <f t="shared" si="23"/>
        <v>62</v>
      </c>
      <c r="H150" s="112">
        <f t="shared" si="23"/>
        <v>62</v>
      </c>
      <c r="I150" s="112">
        <f t="shared" si="23"/>
        <v>63</v>
      </c>
      <c r="J150" s="111">
        <f t="shared" si="25"/>
        <v>429.91625615763547</v>
      </c>
    </row>
    <row r="151" spans="2:16" ht="15" customHeight="1">
      <c r="B151" s="114">
        <v>2031</v>
      </c>
      <c r="C151" s="113">
        <f t="shared" si="22"/>
        <v>58.916256157635473</v>
      </c>
      <c r="D151" s="112">
        <f t="shared" si="23"/>
        <v>62</v>
      </c>
      <c r="E151" s="112">
        <f t="shared" si="23"/>
        <v>61</v>
      </c>
      <c r="F151" s="112">
        <f t="shared" si="23"/>
        <v>62</v>
      </c>
      <c r="G151" s="112">
        <f t="shared" si="23"/>
        <v>62</v>
      </c>
      <c r="H151" s="112">
        <f t="shared" si="23"/>
        <v>63</v>
      </c>
      <c r="I151" s="112">
        <f t="shared" si="23"/>
        <v>63</v>
      </c>
      <c r="J151" s="111">
        <f t="shared" si="25"/>
        <v>431.91625615763547</v>
      </c>
    </row>
    <row r="152" spans="2:16" ht="15" customHeight="1">
      <c r="B152" s="114">
        <v>2032</v>
      </c>
      <c r="C152" s="113">
        <f t="shared" si="22"/>
        <v>58.916256157635473</v>
      </c>
      <c r="D152" s="112">
        <f t="shared" si="23"/>
        <v>62</v>
      </c>
      <c r="E152" s="112">
        <f t="shared" si="23"/>
        <v>61</v>
      </c>
      <c r="F152" s="112">
        <f t="shared" si="23"/>
        <v>63</v>
      </c>
      <c r="G152" s="112">
        <f t="shared" si="23"/>
        <v>62</v>
      </c>
      <c r="H152" s="112">
        <f t="shared" si="23"/>
        <v>63</v>
      </c>
      <c r="I152" s="112">
        <f t="shared" si="23"/>
        <v>64</v>
      </c>
      <c r="J152" s="111">
        <f t="shared" si="25"/>
        <v>433.91625615763547</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476</v>
      </c>
      <c r="D159" s="108">
        <f>J140</f>
        <v>472.93560872624914</v>
      </c>
      <c r="E159" s="108">
        <f>J141</f>
        <v>464.109781843772</v>
      </c>
      <c r="F159" s="108">
        <f>J142</f>
        <v>464.95496129486276</v>
      </c>
      <c r="G159" s="108">
        <f>J143</f>
        <v>442.97431386347643</v>
      </c>
      <c r="H159" s="108">
        <f>J144</f>
        <v>431.95496129486276</v>
      </c>
      <c r="I159" s="108">
        <f>J145</f>
        <v>434.95496129486276</v>
      </c>
      <c r="J159" s="108">
        <f>J146</f>
        <v>413.93560872624914</v>
      </c>
      <c r="K159" s="108">
        <f>J147</f>
        <v>412.93560872624914</v>
      </c>
      <c r="L159" s="108">
        <f>J148</f>
        <v>423.93560872624914</v>
      </c>
      <c r="M159" s="108">
        <f>J149</f>
        <v>425.91625615763547</v>
      </c>
      <c r="N159" s="108">
        <f>J150</f>
        <v>429.91625615763547</v>
      </c>
      <c r="O159" s="108">
        <f>J151</f>
        <v>431.91625615763547</v>
      </c>
      <c r="P159" s="108">
        <f>J152</f>
        <v>433.91625615763547</v>
      </c>
    </row>
    <row r="160" spans="2:16" ht="15" customHeight="1">
      <c r="B160" s="107" t="s">
        <v>152</v>
      </c>
      <c r="C160" s="106">
        <f>VLOOKUP(C159,Capacity!$A$1:$C$645,2,TRUE)</f>
        <v>17</v>
      </c>
      <c r="D160" s="106">
        <f>VLOOKUP(D159,Capacity!$A$1:$C$645,2,TRUE)</f>
        <v>17</v>
      </c>
      <c r="E160" s="106">
        <f>VLOOKUP(E159,Capacity!$A$1:$C$645,2,TRUE)</f>
        <v>17</v>
      </c>
      <c r="F160" s="106">
        <f>VLOOKUP(F159,Capacity!$A$1:$C$645,2,TRUE)</f>
        <v>17</v>
      </c>
      <c r="G160" s="106">
        <f>VLOOKUP(G159,Capacity!$A$1:$C$645,2,TRUE)</f>
        <v>16</v>
      </c>
      <c r="H160" s="106">
        <f>VLOOKUP(H159,Capacity!$A$1:$C$645,2,TRUE)</f>
        <v>15</v>
      </c>
      <c r="I160" s="106">
        <f>VLOOKUP(I159,Capacity!$A$1:$C$645,2,TRUE)</f>
        <v>15</v>
      </c>
      <c r="J160" s="106">
        <f>VLOOKUP(J159,Capacity!$A$1:$C$645,2,TRUE)</f>
        <v>14</v>
      </c>
      <c r="K160" s="106">
        <f>VLOOKUP(K159,Capacity!$A$1:$C$645,2,TRUE)</f>
        <v>14</v>
      </c>
      <c r="L160" s="106">
        <f>VLOOKUP(L159,Capacity!$A$1:$C$645,2,TRUE)</f>
        <v>15</v>
      </c>
      <c r="M160" s="106">
        <f>VLOOKUP(M159,Capacity!$A$1:$C$645,2,TRUE)</f>
        <v>15</v>
      </c>
      <c r="N160" s="106">
        <f>VLOOKUP(N159,Capacity!$A$1:$C$645,2,TRUE)</f>
        <v>15</v>
      </c>
      <c r="O160" s="106">
        <f>VLOOKUP(O159,Capacity!$A$1:$C$645,2,TRUE)</f>
        <v>15</v>
      </c>
      <c r="P160" s="106">
        <f>VLOOKUP(P159,Capacity!$A$1:$C$645,2,TRUE)</f>
        <v>15</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34</v>
      </c>
      <c r="D169" s="97">
        <f>VLOOKUP($E$3,'Catchment Births'!$A$1:$U$90,11,FALSE)</f>
        <v>38</v>
      </c>
      <c r="E169" s="97">
        <f>VLOOKUP($E$3,'Catchment Births'!$A$1:$U$90,12,FALSE)</f>
        <v>43</v>
      </c>
      <c r="F169" s="97">
        <f>VLOOKUP($E$3,'Catchment Births'!$A$1:$U$90,13,FALSE)</f>
        <v>42</v>
      </c>
      <c r="G169" s="97">
        <f>VLOOKUP($E$3,'Catchment Births'!$A$1:$U$90,14,FALSE)</f>
        <v>44</v>
      </c>
      <c r="H169" s="97">
        <f>VLOOKUP($E$3,'Catchment Births'!$A$1:$U$90,15,FALSE)</f>
        <v>42</v>
      </c>
      <c r="I169" s="97">
        <f>VLOOKUP($E$3,'Catchment Births'!$A$1:$U$90,16,FALSE)</f>
        <v>45</v>
      </c>
      <c r="J169" s="97">
        <f>VLOOKUP($E$3,'Catchment Births'!$A$1:$U$90,17,FALSE)</f>
        <v>46</v>
      </c>
      <c r="K169" s="97">
        <f>VLOOKUP($E$3,'Catchment Births'!$A$1:$U$90,18,FALSE)</f>
        <v>29</v>
      </c>
      <c r="L169" s="97">
        <f>VLOOKUP($E$3,'Catchment Births'!$A$1:$U$90,19,FALSE)</f>
        <v>33</v>
      </c>
      <c r="M169" s="97">
        <f>VLOOKUP($E$3,'Catchment Births'!$A$1:$U$90,20,FALSE)</f>
        <v>49</v>
      </c>
      <c r="N169" s="97">
        <f>VLOOKUP($E$3,'Catchment Births'!$A$1:$U$90,21,FALSE)</f>
        <v>35</v>
      </c>
    </row>
    <row r="170" spans="2:14" ht="58.5" customHeight="1">
      <c r="B170" s="103" t="str">
        <f>"P1 "&amp;A35&amp;" Catchment Population (Actual)"</f>
        <v>P1 ND Catchment Population (Actual)</v>
      </c>
      <c r="C170" s="102" t="e">
        <v>#REF!</v>
      </c>
      <c r="D170" s="102">
        <v>65</v>
      </c>
      <c r="E170" s="102">
        <v>54</v>
      </c>
      <c r="F170" s="102">
        <v>60</v>
      </c>
      <c r="G170" s="102">
        <v>57</v>
      </c>
      <c r="H170" s="102">
        <v>54</v>
      </c>
      <c r="I170" s="102">
        <v>54</v>
      </c>
      <c r="J170" s="308">
        <f>VLOOKUP(E3,'Catchment Projections'!A1:BU92,42,FALSE)</f>
        <v>67</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54</v>
      </c>
      <c r="J172" s="96" t="e">
        <f>#REF!</f>
        <v>#REF!</v>
      </c>
      <c r="K172" s="96">
        <f>D51</f>
        <v>75</v>
      </c>
      <c r="L172" s="96">
        <f>E51</f>
        <v>55</v>
      </c>
      <c r="M172" s="96">
        <f>F51</f>
        <v>46</v>
      </c>
      <c r="N172" s="96">
        <f>G51</f>
        <v>54</v>
      </c>
    </row>
    <row r="173" spans="2:14" ht="12.75">
      <c r="B173" s="62"/>
      <c r="C173" s="62"/>
      <c r="D173" s="62"/>
      <c r="E173" s="62"/>
      <c r="F173" s="62"/>
      <c r="G173" s="62"/>
      <c r="H173" s="62"/>
      <c r="I173" s="62"/>
      <c r="J173" s="62"/>
      <c r="K173" s="62"/>
    </row>
    <row r="174" spans="2:14" ht="15" customHeight="1">
      <c r="B174" s="64" t="str">
        <f>"Table 5: "&amp;E3&amp;" Roll by Stage, 2002-2018"</f>
        <v>Table 5: Dean Park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82</v>
      </c>
      <c r="D177" s="93">
        <v>71</v>
      </c>
      <c r="E177" s="93">
        <v>62</v>
      </c>
      <c r="F177" s="93">
        <v>65</v>
      </c>
      <c r="G177" s="93">
        <v>62</v>
      </c>
      <c r="H177" s="93">
        <v>53</v>
      </c>
      <c r="I177" s="93">
        <v>71</v>
      </c>
      <c r="J177" s="92">
        <v>466</v>
      </c>
      <c r="K177" s="62"/>
    </row>
    <row r="178" spans="2:11" ht="15" customHeight="1">
      <c r="B178" s="94">
        <v>2003</v>
      </c>
      <c r="C178" s="93">
        <v>64</v>
      </c>
      <c r="D178" s="93">
        <v>81</v>
      </c>
      <c r="E178" s="93">
        <v>72</v>
      </c>
      <c r="F178" s="93">
        <v>63</v>
      </c>
      <c r="G178" s="93">
        <v>66</v>
      </c>
      <c r="H178" s="93">
        <v>65</v>
      </c>
      <c r="I178" s="93">
        <v>50</v>
      </c>
      <c r="J178" s="92">
        <v>461</v>
      </c>
      <c r="K178" s="62"/>
    </row>
    <row r="179" spans="2:11" customFormat="1" ht="15" customHeight="1">
      <c r="B179" s="94">
        <v>2004</v>
      </c>
      <c r="C179" s="95">
        <v>70</v>
      </c>
      <c r="D179" s="95">
        <v>67</v>
      </c>
      <c r="E179" s="95">
        <v>78</v>
      </c>
      <c r="F179" s="95">
        <v>75</v>
      </c>
      <c r="G179" s="95">
        <v>61</v>
      </c>
      <c r="H179" s="95">
        <v>67</v>
      </c>
      <c r="I179" s="95">
        <v>68</v>
      </c>
      <c r="J179" s="92">
        <v>486</v>
      </c>
      <c r="K179" s="62"/>
    </row>
    <row r="180" spans="2:11" customFormat="1" ht="15" customHeight="1">
      <c r="B180" s="94">
        <v>2005</v>
      </c>
      <c r="C180" s="93">
        <v>69</v>
      </c>
      <c r="D180" s="93">
        <v>70</v>
      </c>
      <c r="E180" s="93">
        <v>71</v>
      </c>
      <c r="F180" s="93">
        <v>78</v>
      </c>
      <c r="G180" s="93">
        <v>75</v>
      </c>
      <c r="H180" s="93">
        <v>64</v>
      </c>
      <c r="I180" s="93">
        <v>65</v>
      </c>
      <c r="J180" s="92">
        <v>492</v>
      </c>
      <c r="K180" s="62"/>
    </row>
    <row r="181" spans="2:11" customFormat="1" ht="15" customHeight="1">
      <c r="B181" s="94">
        <v>2006</v>
      </c>
      <c r="C181" s="93">
        <v>53</v>
      </c>
      <c r="D181" s="93">
        <v>66</v>
      </c>
      <c r="E181" s="93">
        <v>71</v>
      </c>
      <c r="F181" s="93">
        <v>68</v>
      </c>
      <c r="G181" s="93">
        <v>77</v>
      </c>
      <c r="H181" s="93">
        <v>75</v>
      </c>
      <c r="I181" s="93">
        <v>63</v>
      </c>
      <c r="J181" s="92">
        <v>473</v>
      </c>
      <c r="K181" s="62"/>
    </row>
    <row r="182" spans="2:11" customFormat="1" ht="15" customHeight="1">
      <c r="B182" s="94">
        <v>2007</v>
      </c>
      <c r="C182" s="93">
        <v>60</v>
      </c>
      <c r="D182" s="93">
        <v>58</v>
      </c>
      <c r="E182" s="93">
        <v>67</v>
      </c>
      <c r="F182" s="93">
        <v>73</v>
      </c>
      <c r="G182" s="93">
        <v>67</v>
      </c>
      <c r="H182" s="93">
        <v>73</v>
      </c>
      <c r="I182" s="93">
        <v>71</v>
      </c>
      <c r="J182" s="92">
        <v>469</v>
      </c>
      <c r="K182" s="62"/>
    </row>
    <row r="183" spans="2:11" customFormat="1" ht="15" customHeight="1">
      <c r="B183" s="94">
        <v>2008</v>
      </c>
      <c r="C183" s="93">
        <v>57</v>
      </c>
      <c r="D183" s="93">
        <v>60</v>
      </c>
      <c r="E183" s="93">
        <v>62</v>
      </c>
      <c r="F183" s="93">
        <v>67</v>
      </c>
      <c r="G183" s="93">
        <v>71</v>
      </c>
      <c r="H183" s="93">
        <v>69</v>
      </c>
      <c r="I183" s="93">
        <v>68</v>
      </c>
      <c r="J183" s="92">
        <v>454</v>
      </c>
      <c r="K183" s="62"/>
    </row>
    <row r="184" spans="2:11" customFormat="1" ht="15" customHeight="1">
      <c r="B184" s="94">
        <v>2009</v>
      </c>
      <c r="C184" s="93">
        <v>70</v>
      </c>
      <c r="D184" s="93">
        <v>60</v>
      </c>
      <c r="E184" s="93">
        <v>61</v>
      </c>
      <c r="F184" s="93">
        <v>65</v>
      </c>
      <c r="G184" s="93">
        <v>66</v>
      </c>
      <c r="H184" s="93">
        <v>70</v>
      </c>
      <c r="I184" s="93">
        <v>69</v>
      </c>
      <c r="J184" s="94">
        <v>461</v>
      </c>
      <c r="K184" s="62"/>
    </row>
    <row r="185" spans="2:11" customFormat="1" ht="15" customHeight="1">
      <c r="B185" s="94">
        <v>2010</v>
      </c>
      <c r="C185" s="93">
        <v>69</v>
      </c>
      <c r="D185" s="93">
        <v>74</v>
      </c>
      <c r="E185" s="93">
        <v>63</v>
      </c>
      <c r="F185" s="93">
        <v>63</v>
      </c>
      <c r="G185" s="93">
        <v>61</v>
      </c>
      <c r="H185" s="93">
        <v>68</v>
      </c>
      <c r="I185" s="93">
        <v>66</v>
      </c>
      <c r="J185" s="92">
        <v>464</v>
      </c>
      <c r="K185" s="62"/>
    </row>
    <row r="186" spans="2:11" customFormat="1" ht="15" customHeight="1">
      <c r="B186" s="94">
        <v>2011</v>
      </c>
      <c r="C186" s="93">
        <v>59</v>
      </c>
      <c r="D186" s="93">
        <v>68</v>
      </c>
      <c r="E186" s="93">
        <v>75</v>
      </c>
      <c r="F186" s="93">
        <v>66</v>
      </c>
      <c r="G186" s="93">
        <v>59</v>
      </c>
      <c r="H186" s="93">
        <v>62</v>
      </c>
      <c r="I186" s="93">
        <v>67</v>
      </c>
      <c r="J186" s="92">
        <v>456</v>
      </c>
      <c r="K186" s="62"/>
    </row>
    <row r="187" spans="2:11" customFormat="1" ht="15" customHeight="1">
      <c r="B187" s="94">
        <v>2012</v>
      </c>
      <c r="C187" s="93">
        <v>68</v>
      </c>
      <c r="D187" s="93">
        <v>64</v>
      </c>
      <c r="E187" s="93">
        <v>66</v>
      </c>
      <c r="F187" s="93">
        <v>77</v>
      </c>
      <c r="G187" s="93">
        <v>66</v>
      </c>
      <c r="H187" s="93">
        <v>57</v>
      </c>
      <c r="I187" s="93">
        <v>63</v>
      </c>
      <c r="J187" s="92">
        <v>461</v>
      </c>
      <c r="K187" s="62"/>
    </row>
    <row r="188" spans="2:11" customFormat="1" ht="15" customHeight="1">
      <c r="B188" s="94">
        <v>2013</v>
      </c>
      <c r="C188" s="93">
        <v>62</v>
      </c>
      <c r="D188" s="93">
        <v>71</v>
      </c>
      <c r="E188" s="93">
        <v>65</v>
      </c>
      <c r="F188" s="93">
        <v>66</v>
      </c>
      <c r="G188" s="93">
        <v>74</v>
      </c>
      <c r="H188" s="93">
        <v>68</v>
      </c>
      <c r="I188" s="93">
        <v>57</v>
      </c>
      <c r="J188" s="94">
        <v>463</v>
      </c>
      <c r="K188" s="62"/>
    </row>
    <row r="189" spans="2:11" customFormat="1" ht="15" customHeight="1">
      <c r="B189" s="94">
        <v>2014</v>
      </c>
      <c r="C189" s="93">
        <v>62</v>
      </c>
      <c r="D189" s="93">
        <v>65</v>
      </c>
      <c r="E189" s="93">
        <v>69</v>
      </c>
      <c r="F189" s="93">
        <v>67</v>
      </c>
      <c r="G189" s="93">
        <v>65</v>
      </c>
      <c r="H189" s="93">
        <v>76</v>
      </c>
      <c r="I189" s="93">
        <v>70</v>
      </c>
      <c r="J189" s="92">
        <v>474</v>
      </c>
      <c r="K189" s="65"/>
    </row>
    <row r="190" spans="2:11" customFormat="1" ht="15" customHeight="1">
      <c r="B190" s="94">
        <v>2015</v>
      </c>
      <c r="C190" s="93">
        <v>57</v>
      </c>
      <c r="D190" s="93">
        <v>64</v>
      </c>
      <c r="E190" s="93">
        <v>67</v>
      </c>
      <c r="F190" s="93">
        <v>69</v>
      </c>
      <c r="G190" s="93">
        <v>67</v>
      </c>
      <c r="H190" s="93">
        <v>65</v>
      </c>
      <c r="I190" s="93">
        <v>77</v>
      </c>
      <c r="J190" s="92">
        <v>466</v>
      </c>
      <c r="K190" s="65"/>
    </row>
    <row r="191" spans="2:11" customFormat="1" ht="15" customHeight="1">
      <c r="B191" s="94">
        <v>2016</v>
      </c>
      <c r="C191" s="93">
        <v>73</v>
      </c>
      <c r="D191" s="93">
        <v>60</v>
      </c>
      <c r="E191" s="93">
        <v>63</v>
      </c>
      <c r="F191" s="93">
        <v>71</v>
      </c>
      <c r="G191" s="93">
        <v>70</v>
      </c>
      <c r="H191" s="93">
        <v>70</v>
      </c>
      <c r="I191" s="93">
        <v>66</v>
      </c>
      <c r="J191" s="92">
        <v>473</v>
      </c>
      <c r="K191" s="65"/>
    </row>
    <row r="192" spans="2:11" ht="15" customHeight="1">
      <c r="B192" s="94">
        <v>2017</v>
      </c>
      <c r="C192" s="93">
        <f>VLOOKUP($E$3,Rolls!A1:FA90,42,FALSE)</f>
        <v>59</v>
      </c>
      <c r="D192" s="93">
        <f>VLOOKUP($E$3,Rolls!A1:FA90,43,FALSE)</f>
        <v>71</v>
      </c>
      <c r="E192" s="93">
        <f>VLOOKUP($E$3,Rolls!A1:FA90,44,FALSE)</f>
        <v>59</v>
      </c>
      <c r="F192" s="93">
        <f>VLOOKUP($E$3,Rolls!A1:FA90,45,FALSE)</f>
        <v>65</v>
      </c>
      <c r="G192" s="93">
        <f>VLOOKUP($E$3,Rolls!A1:FA90,46,FALSE)</f>
        <v>72</v>
      </c>
      <c r="H192" s="93">
        <f>VLOOKUP($E$3,Rolls!A1:FA90,47,FALSE)</f>
        <v>72</v>
      </c>
      <c r="I192" s="93">
        <f>VLOOKUP($E$3,Rolls!A1:FA90,48,FALSE)</f>
        <v>69</v>
      </c>
      <c r="J192" s="92">
        <f>VLOOKUP($E$3,Rolls!A1:FA90,49,FALSE)</f>
        <v>467</v>
      </c>
      <c r="K192" s="65"/>
    </row>
    <row r="193" spans="2:11" ht="15" customHeight="1">
      <c r="B193" s="94">
        <v>2018</v>
      </c>
      <c r="C193" s="93">
        <f>VLOOKUP($E$3,Rolls!A1:FA90,50,FALSE)</f>
        <v>51</v>
      </c>
      <c r="D193" s="93">
        <f>VLOOKUP($E$3,Rolls!A1:FA90,51,FALSE)</f>
        <v>65</v>
      </c>
      <c r="E193" s="93">
        <f>VLOOKUP($E$3,Rolls!A1:FA90,52,FALSE)</f>
        <v>74</v>
      </c>
      <c r="F193" s="93">
        <f>VLOOKUP($E$3,Rolls!A1:FA90,53,FALSE)</f>
        <v>62</v>
      </c>
      <c r="G193" s="93">
        <f>VLOOKUP($E$3,Rolls!A1:FA90,54,FALSE)</f>
        <v>65</v>
      </c>
      <c r="H193" s="93">
        <f>VLOOKUP($E$3,Rolls!A1:FA90,55,FALSE)</f>
        <v>72</v>
      </c>
      <c r="I193" s="93">
        <f>VLOOKUP($E$3,Rolls!A1:FA90,56,FALSE)</f>
        <v>74</v>
      </c>
      <c r="J193" s="92">
        <f>VLOOKUP($E$3,Rolls!A1:FA90,57,FALSE)</f>
        <v>463</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30</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Duddingston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434 Pupils (15 classes)</v>
      </c>
      <c r="G12" s="16"/>
      <c r="H12" s="16"/>
    </row>
    <row r="13" spans="2:10" ht="15" customHeight="1">
      <c r="C13" s="16"/>
      <c r="D13" s="16"/>
      <c r="E13" s="16"/>
      <c r="F13" s="16"/>
      <c r="G13" s="16"/>
      <c r="H13" s="16"/>
    </row>
    <row r="14" spans="2:10" ht="15" customHeight="1">
      <c r="B14" s="15" t="str">
        <f>"Figure 1: "&amp;E3&amp;" Roll, 2002-2015"</f>
        <v>Figure 1: Duddingston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Duddingston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33</v>
      </c>
      <c r="E49" s="108">
        <f>VLOOKUP($E$3,'Catchment Projections'!$A$1:$BU$90,46,FALSE)</f>
        <v>46</v>
      </c>
      <c r="F49" s="108">
        <f>VLOOKUP($E$3,'Catchment Projections'!$A$1:$BU$90,47,FALSE)</f>
        <v>50</v>
      </c>
      <c r="G49" s="108">
        <f>VLOOKUP($E$3,'Catchment Projections'!$A$1:$BU$90,48,FALSE)</f>
        <v>56</v>
      </c>
      <c r="H49" s="133">
        <f>VLOOKUP($E$3,'Catchment Projections'!$A$1:$BU$90,49,FALSE)</f>
        <v>51</v>
      </c>
      <c r="I49" s="133">
        <f>VLOOKUP($E$3,'Catchment Projections'!$A$1:$BU$90,50,FALSE)</f>
        <v>51</v>
      </c>
      <c r="J49" s="133">
        <f>VLOOKUP($E$3,'Catchment Projections'!$A$1:$BU$90,51,FALSE)</f>
        <v>52</v>
      </c>
      <c r="K49" s="133">
        <f>VLOOKUP($E$3,'Catchment Projections'!$A$1:$BU$90,52,FALSE)</f>
        <v>53</v>
      </c>
      <c r="L49" s="133">
        <f>VLOOKUP($E$3,'Catchment Projections'!$A$1:$BU$90,53,FALSE)</f>
        <v>53</v>
      </c>
      <c r="M49" s="133">
        <f>VLOOKUP($E$3,'Catchment Projections'!$A$1:$BU$90,54,FALSE)</f>
        <v>53</v>
      </c>
      <c r="N49" s="133">
        <f>VLOOKUP($E$3,'Catchment Projections'!$A$1:$BU$90,55,FALSE)</f>
        <v>53</v>
      </c>
      <c r="O49" s="133">
        <f>VLOOKUP($E$3,'Catchment Projections'!$A$1:$BU$90,56,FALSE)</f>
        <v>54</v>
      </c>
      <c r="P49" s="133">
        <f>VLOOKUP($E$3,'Catchment Projections'!$A$1:$BU$90,57,FALSE)</f>
        <v>54</v>
      </c>
      <c r="Q49" s="133">
        <f>VLOOKUP($E$3,'Catchment Projections'!$A$1:$BU$90,58,FALSE)</f>
        <v>54</v>
      </c>
    </row>
    <row r="50" spans="2:17" ht="15" customHeight="1" thickBot="1">
      <c r="B50" s="410" t="s">
        <v>141</v>
      </c>
      <c r="C50" s="411"/>
      <c r="D50" s="286">
        <f>VLOOKUP(E3,'Housing Generation'!$A$3:$DQ$90,10,FALSE)</f>
        <v>0</v>
      </c>
      <c r="E50" s="286">
        <f>VLOOKUP(E3,'Housing Generation'!$A$3:$DQ$90,18,FALSE)</f>
        <v>0</v>
      </c>
      <c r="F50" s="286">
        <f>VLOOKUP(E3,'Housing Generation'!$A$3:$DQ$90,26,FALSE)</f>
        <v>0</v>
      </c>
      <c r="G50" s="243">
        <f>VLOOKUP(E3,'Housing Generation'!$A$3:$DQ$90,34,FALSE)</f>
        <v>0</v>
      </c>
      <c r="H50" s="133">
        <f>VLOOKUP(E3,'Housing Generation'!$A$3:$DQ$90,42,FALSE)</f>
        <v>0</v>
      </c>
      <c r="I50" s="133">
        <f>VLOOKUP(E3,'Housing Generation'!$A$3:$DQ$90,50,FALSE)</f>
        <v>0</v>
      </c>
      <c r="J50" s="133">
        <f>VLOOKUP(E3,'Housing Generation'!$A$3:$CK$90,58,FALSE)</f>
        <v>0</v>
      </c>
      <c r="K50" s="133">
        <f>VLOOKUP(E3,'Housing Generation'!$A$3:$CK$90,66,FALSE)</f>
        <v>0</v>
      </c>
      <c r="L50" s="133">
        <f>VLOOKUP(E3,'Housing Generation'!$A$3:$DQ$90,74,FALSE)</f>
        <v>0</v>
      </c>
      <c r="M50" s="133">
        <f>VLOOKUP(E3,'Housing Generation'!$A$3:$DQ$90,82,FALSE)</f>
        <v>0</v>
      </c>
      <c r="N50" s="133">
        <f>VLOOKUP(E3,'Housing Generation'!$A$3:$DQ$90,90,FALSE)</f>
        <v>0</v>
      </c>
      <c r="O50" s="133">
        <f>VLOOKUP(E3,'Housing Generation'!$A$3:$DQ$90,98,FALSE)</f>
        <v>0</v>
      </c>
      <c r="P50" s="133">
        <f>VLOOKUP(E3,'Housing Generation'!$A$3:$DQ$90,106,FALSE)</f>
        <v>0</v>
      </c>
      <c r="Q50" s="133">
        <f>VLOOKUP(E3,'Housing Generation'!$A$3:$DQ$90,114,FALSE)</f>
        <v>0</v>
      </c>
    </row>
    <row r="51" spans="2:17" ht="15" customHeight="1" thickTop="1">
      <c r="B51" s="421" t="s">
        <v>130</v>
      </c>
      <c r="C51" s="422"/>
      <c r="D51" s="47">
        <f t="shared" ref="D51:Q51" si="0">SUM(D49:D50)</f>
        <v>33</v>
      </c>
      <c r="E51" s="47">
        <f t="shared" si="0"/>
        <v>46</v>
      </c>
      <c r="F51" s="80">
        <f t="shared" si="0"/>
        <v>50</v>
      </c>
      <c r="G51" s="244">
        <f t="shared" si="0"/>
        <v>56</v>
      </c>
      <c r="H51" s="71">
        <f t="shared" si="0"/>
        <v>51</v>
      </c>
      <c r="I51" s="71">
        <f t="shared" si="0"/>
        <v>51</v>
      </c>
      <c r="J51" s="71">
        <f t="shared" si="0"/>
        <v>52</v>
      </c>
      <c r="K51" s="71">
        <f t="shared" si="0"/>
        <v>53</v>
      </c>
      <c r="L51" s="71">
        <f t="shared" si="0"/>
        <v>53</v>
      </c>
      <c r="M51" s="71">
        <f t="shared" si="0"/>
        <v>53</v>
      </c>
      <c r="N51" s="71">
        <f t="shared" si="0"/>
        <v>53</v>
      </c>
      <c r="O51" s="71">
        <f t="shared" si="0"/>
        <v>54</v>
      </c>
      <c r="P51" s="71">
        <f t="shared" si="0"/>
        <v>54</v>
      </c>
      <c r="Q51" s="71">
        <f t="shared" si="0"/>
        <v>54</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38</v>
      </c>
      <c r="D60" s="358">
        <f>VLOOKUP($E$3,'Catchment Projections'!$A$1:$BZ$90,74,FALSE)</f>
        <v>29</v>
      </c>
      <c r="E60" s="303">
        <f>D60/C60</f>
        <v>0.76315789473684215</v>
      </c>
      <c r="G60" s="132">
        <v>2014</v>
      </c>
      <c r="H60" s="395">
        <f>VLOOKUP($G$60,$B$177:$C$215, 2, FALSE)</f>
        <v>49</v>
      </c>
      <c r="I60" s="120">
        <f>H60-D60</f>
        <v>20</v>
      </c>
      <c r="J60" s="121">
        <f>I60/H60</f>
        <v>0.40816326530612246</v>
      </c>
    </row>
    <row r="61" spans="2:17" ht="15" customHeight="1">
      <c r="B61" s="132">
        <v>2015</v>
      </c>
      <c r="C61" s="359">
        <f>VLOOKUP($E$3,'Catchment Projections'!$A$1:$BZ$90,41,FALSE)</f>
        <v>43</v>
      </c>
      <c r="D61" s="358">
        <f>VLOOKUP($E$3,'Catchment Projections'!$A$1:$BZ$90,75,FALSE)</f>
        <v>37</v>
      </c>
      <c r="E61" s="303">
        <f>D61/C61</f>
        <v>0.86046511627906974</v>
      </c>
      <c r="G61" s="132">
        <v>2015</v>
      </c>
      <c r="H61" s="395">
        <f>VLOOKUP($G$61,$B$177:$C$215, 2, FALSE)</f>
        <v>49</v>
      </c>
      <c r="I61" s="120">
        <f>H61-D61</f>
        <v>12</v>
      </c>
      <c r="J61" s="121">
        <f>I61/H61</f>
        <v>0.24489795918367346</v>
      </c>
    </row>
    <row r="62" spans="2:17" ht="15" customHeight="1">
      <c r="B62" s="131">
        <v>2016</v>
      </c>
      <c r="C62" s="359">
        <f>VLOOKUP($E$3,'Catchment Projections'!$A$1:$BZ$90,42,FALSE)</f>
        <v>45</v>
      </c>
      <c r="D62" s="358">
        <f>VLOOKUP($E$3,'Catchment Projections'!$A$1:$BZ$90,76,FALSE)</f>
        <v>39</v>
      </c>
      <c r="E62" s="57">
        <f>D62/C62</f>
        <v>0.8666666666666667</v>
      </c>
      <c r="G62" s="131">
        <v>2016</v>
      </c>
      <c r="H62" s="395">
        <f>VLOOKUP($G$62,$B$177:$C$215, 2, FALSE)</f>
        <v>54</v>
      </c>
      <c r="I62" s="120">
        <f>H62-D62</f>
        <v>15</v>
      </c>
      <c r="J62" s="121">
        <f>I62/H62</f>
        <v>0.27777777777777779</v>
      </c>
    </row>
    <row r="63" spans="2:17" ht="15" customHeight="1">
      <c r="B63" s="114">
        <v>2017</v>
      </c>
      <c r="C63" s="359">
        <f>VLOOKUP($E$3,'Catchment Projections'!$A$1:$BZ$90,43,FALSE)</f>
        <v>58</v>
      </c>
      <c r="D63" s="358">
        <f>VLOOKUP($E$3,'Catchment Projections'!$A$1:$BZ$90,77,FALSE)</f>
        <v>49</v>
      </c>
      <c r="E63" s="304">
        <f>D63/C63</f>
        <v>0.84482758620689657</v>
      </c>
      <c r="G63" s="114">
        <v>2017</v>
      </c>
      <c r="H63" s="395">
        <f>VLOOKUP($G$63,$B$177:$C$215, 2, FALSE)</f>
        <v>51</v>
      </c>
      <c r="I63" s="120">
        <f>H63-D63</f>
        <v>2</v>
      </c>
      <c r="J63" s="121">
        <f>I63/H63</f>
        <v>3.9215686274509803E-2</v>
      </c>
    </row>
    <row r="64" spans="2:17" ht="15" customHeight="1">
      <c r="B64" s="114">
        <v>2018</v>
      </c>
      <c r="C64" s="359">
        <f>VLOOKUP($E$3,'Catchment Projections'!$A$1:$BZ$90,44,FALSE)</f>
        <v>53</v>
      </c>
      <c r="D64" s="358">
        <f>VLOOKUP($E$3,'Catchment Projections'!$A$1:$BZ$90,78,FALSE)</f>
        <v>48</v>
      </c>
      <c r="E64" s="305">
        <f>D64/C64</f>
        <v>0.90566037735849059</v>
      </c>
      <c r="G64" s="114">
        <v>2018</v>
      </c>
      <c r="H64" s="395">
        <f>VLOOKUP($G$64,$B$177:$C$215, 2, FALSE)</f>
        <v>57</v>
      </c>
      <c r="I64" s="120">
        <f>H64-D64</f>
        <v>9</v>
      </c>
      <c r="J64" s="121">
        <f>I64/H64</f>
        <v>0.15789473684210525</v>
      </c>
    </row>
    <row r="65" spans="2:10" ht="15" customHeight="1">
      <c r="B65" s="412" t="s">
        <v>136</v>
      </c>
      <c r="C65" s="413"/>
      <c r="D65" s="414"/>
      <c r="E65" s="137">
        <f>IF((AVERAGE(E62:E64))="#DIV/0!","n/a",(AVERAGE(E62:E64)))</f>
        <v>0.87238487674401799</v>
      </c>
      <c r="G65" s="415" t="s">
        <v>137</v>
      </c>
      <c r="H65" s="416"/>
      <c r="I65" s="138">
        <f>MEDIAN(I60:I64)</f>
        <v>12</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33</v>
      </c>
      <c r="D70" s="408"/>
      <c r="E70" s="122">
        <f>E65</f>
        <v>0.87238487674401799</v>
      </c>
      <c r="F70" s="120">
        <f t="shared" ref="F70:F83" si="1">C70*$E$65</f>
        <v>28.788700932552594</v>
      </c>
      <c r="G70" s="118">
        <f>IF(F70&lt;26,25,IF(F70&gt;135,140,IF(F70&gt;130,135,IF(F70&gt;125,130,IF(F70&gt;120,125,IF(F70&gt;115,120,IF(F70&gt;110,115,IF(F70&gt;105,110,IF(F70&gt;100,105,IF(F70&gt;99,100,IF(F70&gt;90,99,IF(F70&gt;75,90,IF(F70&gt;72,75,IF(F70&gt;66,72,IF(F70&gt;60,66,IF(F70&gt;50,60,IF(F70&gt;30,50,IF(F70&gt;25,30,0))))))))))))))))))</f>
        <v>30</v>
      </c>
      <c r="H70" s="119">
        <f t="shared" ref="H70:H83" si="2">G70-F70</f>
        <v>1.2112990674474062</v>
      </c>
      <c r="I70" s="118" t="str">
        <f>IF(I$65&lt;H70, "NO", "YES")</f>
        <v>YES</v>
      </c>
      <c r="J70" s="117">
        <f t="shared" ref="J70:J83" si="3">IF(I70="YES",G70,(MIN((SUM(F70,$I$65)),G70)))</f>
        <v>30</v>
      </c>
    </row>
    <row r="71" spans="2:10" ht="15" customHeight="1">
      <c r="B71" s="114">
        <v>2020</v>
      </c>
      <c r="C71" s="433">
        <f>E51</f>
        <v>46</v>
      </c>
      <c r="D71" s="408"/>
      <c r="E71" s="121">
        <f>E65</f>
        <v>0.87238487674401799</v>
      </c>
      <c r="F71" s="120">
        <f t="shared" si="1"/>
        <v>40.129704330224826</v>
      </c>
      <c r="G71" s="118">
        <f t="shared" ref="G71:G83" si="4">IF(F71&lt;26,25,IF(F71&gt;135,140,IF(F71&gt;130,135,IF(F71&gt;125,130,IF(F71&gt;120,125,IF(F71&gt;115,120,IF(F71&gt;110,115,IF(F71&gt;105,110,IF(F71&gt;100,105,IF(F71&gt;99,100,IF(F71&gt;90,99,IF(F71&gt;75,90,IF(F71&gt;72,75,IF(F71&gt;66,72,IF(F71&gt;60,66,IF(F71&gt;50,60,IF(F71&gt;30,50,IF(F71&gt;25,30,0))))))))))))))))))</f>
        <v>50</v>
      </c>
      <c r="H71" s="119">
        <f t="shared" si="2"/>
        <v>9.8702956697751745</v>
      </c>
      <c r="I71" s="118" t="str">
        <f t="shared" ref="I71:I83" si="5">IF(I$65&lt;H71, "NO", "YES")</f>
        <v>YES</v>
      </c>
      <c r="J71" s="117">
        <f t="shared" si="3"/>
        <v>50</v>
      </c>
    </row>
    <row r="72" spans="2:10" ht="15" customHeight="1">
      <c r="B72" s="114">
        <v>2021</v>
      </c>
      <c r="C72" s="430">
        <f>F51</f>
        <v>50</v>
      </c>
      <c r="D72" s="431"/>
      <c r="E72" s="121">
        <f>E65</f>
        <v>0.87238487674401799</v>
      </c>
      <c r="F72" s="120">
        <f t="shared" si="1"/>
        <v>43.619243837200898</v>
      </c>
      <c r="G72" s="118">
        <f t="shared" si="4"/>
        <v>50</v>
      </c>
      <c r="H72" s="119">
        <f t="shared" si="2"/>
        <v>6.3807561627991021</v>
      </c>
      <c r="I72" s="118" t="str">
        <f t="shared" si="5"/>
        <v>YES</v>
      </c>
      <c r="J72" s="117">
        <f t="shared" si="3"/>
        <v>50</v>
      </c>
    </row>
    <row r="73" spans="2:10" ht="15" customHeight="1">
      <c r="B73" s="114">
        <v>2022</v>
      </c>
      <c r="C73" s="430">
        <f>G51</f>
        <v>56</v>
      </c>
      <c r="D73" s="431"/>
      <c r="E73" s="121">
        <f>E65</f>
        <v>0.87238487674401799</v>
      </c>
      <c r="F73" s="120">
        <f t="shared" si="1"/>
        <v>48.853553097665007</v>
      </c>
      <c r="G73" s="118">
        <f t="shared" si="4"/>
        <v>50</v>
      </c>
      <c r="H73" s="119">
        <f t="shared" si="2"/>
        <v>1.1464469023349935</v>
      </c>
      <c r="I73" s="118" t="str">
        <f t="shared" si="5"/>
        <v>YES</v>
      </c>
      <c r="J73" s="117">
        <f t="shared" si="3"/>
        <v>50</v>
      </c>
    </row>
    <row r="74" spans="2:10" ht="15" customHeight="1">
      <c r="B74" s="114">
        <v>2023</v>
      </c>
      <c r="C74" s="430">
        <f>H51</f>
        <v>51</v>
      </c>
      <c r="D74" s="431"/>
      <c r="E74" s="121">
        <f>E65</f>
        <v>0.87238487674401799</v>
      </c>
      <c r="F74" s="120">
        <f t="shared" si="1"/>
        <v>44.49162871394492</v>
      </c>
      <c r="G74" s="118">
        <f t="shared" si="4"/>
        <v>50</v>
      </c>
      <c r="H74" s="119">
        <f t="shared" si="2"/>
        <v>5.5083712860550804</v>
      </c>
      <c r="I74" s="118" t="str">
        <f t="shared" si="5"/>
        <v>YES</v>
      </c>
      <c r="J74" s="117">
        <f t="shared" si="3"/>
        <v>50</v>
      </c>
    </row>
    <row r="75" spans="2:10" ht="15" customHeight="1">
      <c r="B75" s="114">
        <v>2024</v>
      </c>
      <c r="C75" s="430">
        <f>I51</f>
        <v>51</v>
      </c>
      <c r="D75" s="431"/>
      <c r="E75" s="121">
        <f>E65</f>
        <v>0.87238487674401799</v>
      </c>
      <c r="F75" s="120">
        <f t="shared" si="1"/>
        <v>44.49162871394492</v>
      </c>
      <c r="G75" s="118">
        <f t="shared" si="4"/>
        <v>50</v>
      </c>
      <c r="H75" s="119">
        <f t="shared" si="2"/>
        <v>5.5083712860550804</v>
      </c>
      <c r="I75" s="118" t="str">
        <f t="shared" si="5"/>
        <v>YES</v>
      </c>
      <c r="J75" s="117">
        <f t="shared" si="3"/>
        <v>50</v>
      </c>
    </row>
    <row r="76" spans="2:10" ht="15" customHeight="1">
      <c r="B76" s="114">
        <v>2025</v>
      </c>
      <c r="C76" s="430">
        <f>J51</f>
        <v>52</v>
      </c>
      <c r="D76" s="431"/>
      <c r="E76" s="121">
        <f>E65</f>
        <v>0.87238487674401799</v>
      </c>
      <c r="F76" s="120">
        <f t="shared" si="1"/>
        <v>45.364013590688934</v>
      </c>
      <c r="G76" s="118">
        <f t="shared" si="4"/>
        <v>50</v>
      </c>
      <c r="H76" s="119">
        <f t="shared" si="2"/>
        <v>4.6359864093110659</v>
      </c>
      <c r="I76" s="118" t="str">
        <f t="shared" si="5"/>
        <v>YES</v>
      </c>
      <c r="J76" s="117">
        <f t="shared" si="3"/>
        <v>50</v>
      </c>
    </row>
    <row r="77" spans="2:10" ht="15" customHeight="1">
      <c r="B77" s="114">
        <v>2026</v>
      </c>
      <c r="C77" s="430">
        <f>K51</f>
        <v>53</v>
      </c>
      <c r="D77" s="431"/>
      <c r="E77" s="121">
        <f>E65</f>
        <v>0.87238487674401799</v>
      </c>
      <c r="F77" s="120">
        <f t="shared" si="1"/>
        <v>46.236398467432956</v>
      </c>
      <c r="G77" s="118">
        <f t="shared" si="4"/>
        <v>50</v>
      </c>
      <c r="H77" s="119">
        <f t="shared" si="2"/>
        <v>3.7636015325670442</v>
      </c>
      <c r="I77" s="118" t="str">
        <f t="shared" si="5"/>
        <v>YES</v>
      </c>
      <c r="J77" s="117">
        <f t="shared" si="3"/>
        <v>50</v>
      </c>
    </row>
    <row r="78" spans="2:10" ht="15" customHeight="1">
      <c r="B78" s="114">
        <v>2027</v>
      </c>
      <c r="C78" s="430">
        <f>L51</f>
        <v>53</v>
      </c>
      <c r="D78" s="431"/>
      <c r="E78" s="121">
        <f>E65</f>
        <v>0.87238487674401799</v>
      </c>
      <c r="F78" s="120">
        <f t="shared" si="1"/>
        <v>46.236398467432956</v>
      </c>
      <c r="G78" s="118">
        <f t="shared" si="4"/>
        <v>50</v>
      </c>
      <c r="H78" s="119">
        <f t="shared" si="2"/>
        <v>3.7636015325670442</v>
      </c>
      <c r="I78" s="118" t="str">
        <f t="shared" si="5"/>
        <v>YES</v>
      </c>
      <c r="J78" s="117">
        <f t="shared" si="3"/>
        <v>50</v>
      </c>
    </row>
    <row r="79" spans="2:10" ht="15" customHeight="1">
      <c r="B79" s="114">
        <v>2028</v>
      </c>
      <c r="C79" s="430">
        <f>M51</f>
        <v>53</v>
      </c>
      <c r="D79" s="431"/>
      <c r="E79" s="121">
        <f t="shared" ref="E79:E83" si="6">$E$65</f>
        <v>0.87238487674401799</v>
      </c>
      <c r="F79" s="120">
        <f t="shared" si="1"/>
        <v>46.236398467432956</v>
      </c>
      <c r="G79" s="118">
        <f t="shared" si="4"/>
        <v>50</v>
      </c>
      <c r="H79" s="119">
        <f t="shared" si="2"/>
        <v>3.7636015325670442</v>
      </c>
      <c r="I79" s="118" t="str">
        <f t="shared" si="5"/>
        <v>YES</v>
      </c>
      <c r="J79" s="117">
        <f t="shared" si="3"/>
        <v>50</v>
      </c>
    </row>
    <row r="80" spans="2:10" ht="15" customHeight="1">
      <c r="B80" s="114">
        <v>2029</v>
      </c>
      <c r="C80" s="430">
        <f>N51</f>
        <v>53</v>
      </c>
      <c r="D80" s="431"/>
      <c r="E80" s="121">
        <f t="shared" si="6"/>
        <v>0.87238487674401799</v>
      </c>
      <c r="F80" s="120">
        <f t="shared" si="1"/>
        <v>46.236398467432956</v>
      </c>
      <c r="G80" s="118">
        <f t="shared" si="4"/>
        <v>50</v>
      </c>
      <c r="H80" s="119">
        <f t="shared" si="2"/>
        <v>3.7636015325670442</v>
      </c>
      <c r="I80" s="118" t="str">
        <f t="shared" si="5"/>
        <v>YES</v>
      </c>
      <c r="J80" s="117">
        <f t="shared" si="3"/>
        <v>50</v>
      </c>
    </row>
    <row r="81" spans="2:10" ht="15" customHeight="1">
      <c r="B81" s="114">
        <v>2030</v>
      </c>
      <c r="C81" s="430">
        <f>O51</f>
        <v>54</v>
      </c>
      <c r="D81" s="431"/>
      <c r="E81" s="121">
        <f t="shared" si="6"/>
        <v>0.87238487674401799</v>
      </c>
      <c r="F81" s="120">
        <f t="shared" si="1"/>
        <v>47.10878334417697</v>
      </c>
      <c r="G81" s="118">
        <f t="shared" si="4"/>
        <v>50</v>
      </c>
      <c r="H81" s="119">
        <f t="shared" si="2"/>
        <v>2.8912166558230297</v>
      </c>
      <c r="I81" s="118" t="str">
        <f t="shared" si="5"/>
        <v>YES</v>
      </c>
      <c r="J81" s="117">
        <f t="shared" si="3"/>
        <v>50</v>
      </c>
    </row>
    <row r="82" spans="2:10" ht="15" customHeight="1">
      <c r="B82" s="114">
        <v>2031</v>
      </c>
      <c r="C82" s="430">
        <f>P51</f>
        <v>54</v>
      </c>
      <c r="D82" s="431"/>
      <c r="E82" s="121">
        <f t="shared" si="6"/>
        <v>0.87238487674401799</v>
      </c>
      <c r="F82" s="120">
        <f t="shared" si="1"/>
        <v>47.10878334417697</v>
      </c>
      <c r="G82" s="118">
        <f t="shared" si="4"/>
        <v>50</v>
      </c>
      <c r="H82" s="119">
        <f t="shared" si="2"/>
        <v>2.8912166558230297</v>
      </c>
      <c r="I82" s="118" t="str">
        <f t="shared" si="5"/>
        <v>YES</v>
      </c>
      <c r="J82" s="117">
        <f t="shared" si="3"/>
        <v>50</v>
      </c>
    </row>
    <row r="83" spans="2:10" ht="15" customHeight="1">
      <c r="B83" s="114">
        <v>2032</v>
      </c>
      <c r="C83" s="430">
        <f>Q51</f>
        <v>54</v>
      </c>
      <c r="D83" s="431"/>
      <c r="E83" s="121">
        <f t="shared" si="6"/>
        <v>0.87238487674401799</v>
      </c>
      <c r="F83" s="120">
        <f t="shared" si="1"/>
        <v>47.10878334417697</v>
      </c>
      <c r="G83" s="118">
        <f t="shared" si="4"/>
        <v>50</v>
      </c>
      <c r="H83" s="119">
        <f t="shared" si="2"/>
        <v>2.8912166558230297</v>
      </c>
      <c r="I83" s="118" t="str">
        <f t="shared" si="5"/>
        <v>YES</v>
      </c>
      <c r="J83" s="117">
        <f t="shared" si="3"/>
        <v>50</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Duddingston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49</v>
      </c>
      <c r="D91" s="112">
        <f t="shared" ref="D91:J91" si="7">D188</f>
        <v>59</v>
      </c>
      <c r="E91" s="112">
        <f t="shared" si="7"/>
        <v>48</v>
      </c>
      <c r="F91" s="112">
        <f t="shared" si="7"/>
        <v>62</v>
      </c>
      <c r="G91" s="112">
        <f t="shared" si="7"/>
        <v>51</v>
      </c>
      <c r="H91" s="112">
        <f t="shared" si="7"/>
        <v>54</v>
      </c>
      <c r="I91" s="112">
        <f t="shared" si="7"/>
        <v>53</v>
      </c>
      <c r="J91" s="213">
        <f t="shared" si="7"/>
        <v>376</v>
      </c>
    </row>
    <row r="92" spans="2:10" ht="15" customHeight="1">
      <c r="B92" s="114">
        <v>2014</v>
      </c>
      <c r="C92" s="112">
        <f>C189</f>
        <v>49</v>
      </c>
      <c r="D92" s="112">
        <f t="shared" ref="D92:J92" si="8">D189</f>
        <v>53</v>
      </c>
      <c r="E92" s="112">
        <f t="shared" si="8"/>
        <v>60</v>
      </c>
      <c r="F92" s="112">
        <f t="shared" si="8"/>
        <v>48</v>
      </c>
      <c r="G92" s="112">
        <f t="shared" si="8"/>
        <v>64</v>
      </c>
      <c r="H92" s="112">
        <f t="shared" si="8"/>
        <v>55</v>
      </c>
      <c r="I92" s="112">
        <f t="shared" si="8"/>
        <v>55</v>
      </c>
      <c r="J92" s="213">
        <f t="shared" si="8"/>
        <v>384</v>
      </c>
    </row>
    <row r="93" spans="2:10" ht="15" customHeight="1">
      <c r="B93" s="114">
        <v>2015</v>
      </c>
      <c r="C93" s="112">
        <f>C190</f>
        <v>49</v>
      </c>
      <c r="D93" s="112">
        <f t="shared" ref="D93:J93" si="9">D190</f>
        <v>51</v>
      </c>
      <c r="E93" s="112">
        <f t="shared" si="9"/>
        <v>60</v>
      </c>
      <c r="F93" s="112">
        <f t="shared" si="9"/>
        <v>64</v>
      </c>
      <c r="G93" s="112">
        <f t="shared" si="9"/>
        <v>50</v>
      </c>
      <c r="H93" s="112">
        <f t="shared" si="9"/>
        <v>63</v>
      </c>
      <c r="I93" s="112">
        <f t="shared" si="9"/>
        <v>53</v>
      </c>
      <c r="J93" s="213">
        <f t="shared" si="9"/>
        <v>390</v>
      </c>
    </row>
    <row r="94" spans="2:10" ht="15" customHeight="1">
      <c r="B94" s="114">
        <v>2016</v>
      </c>
      <c r="C94" s="112">
        <f>C191</f>
        <v>54</v>
      </c>
      <c r="D94" s="112">
        <f t="shared" ref="D94:J94" si="10">D191</f>
        <v>48</v>
      </c>
      <c r="E94" s="112">
        <f t="shared" si="10"/>
        <v>49</v>
      </c>
      <c r="F94" s="112">
        <f t="shared" si="10"/>
        <v>58</v>
      </c>
      <c r="G94" s="112">
        <f t="shared" si="10"/>
        <v>65</v>
      </c>
      <c r="H94" s="112">
        <f t="shared" si="10"/>
        <v>49</v>
      </c>
      <c r="I94" s="112">
        <f t="shared" si="10"/>
        <v>62</v>
      </c>
      <c r="J94" s="213">
        <f t="shared" si="10"/>
        <v>385</v>
      </c>
    </row>
    <row r="95" spans="2:10" ht="15" customHeight="1">
      <c r="B95" s="114">
        <v>2017</v>
      </c>
      <c r="C95" s="112">
        <f>C192</f>
        <v>51</v>
      </c>
      <c r="D95" s="112">
        <f t="shared" ref="D95:J95" si="11">D192</f>
        <v>58</v>
      </c>
      <c r="E95" s="112">
        <f t="shared" si="11"/>
        <v>49</v>
      </c>
      <c r="F95" s="112">
        <f t="shared" si="11"/>
        <v>47</v>
      </c>
      <c r="G95" s="112">
        <f t="shared" si="11"/>
        <v>62</v>
      </c>
      <c r="H95" s="112">
        <f t="shared" si="11"/>
        <v>63</v>
      </c>
      <c r="I95" s="112">
        <f t="shared" si="11"/>
        <v>51</v>
      </c>
      <c r="J95" s="213">
        <f t="shared" si="11"/>
        <v>381</v>
      </c>
    </row>
    <row r="96" spans="2:10" ht="15" customHeight="1">
      <c r="B96" s="307">
        <v>2018</v>
      </c>
      <c r="C96" s="112">
        <f t="shared" ref="C96:J96" si="12">C193</f>
        <v>57</v>
      </c>
      <c r="D96" s="112">
        <f t="shared" si="12"/>
        <v>57</v>
      </c>
      <c r="E96" s="112">
        <f t="shared" si="12"/>
        <v>58</v>
      </c>
      <c r="F96" s="112">
        <f t="shared" si="12"/>
        <v>52</v>
      </c>
      <c r="G96" s="112">
        <f t="shared" si="12"/>
        <v>49</v>
      </c>
      <c r="H96" s="112">
        <f t="shared" si="12"/>
        <v>59</v>
      </c>
      <c r="I96" s="112">
        <f t="shared" si="12"/>
        <v>63</v>
      </c>
      <c r="J96" s="213">
        <f t="shared" si="12"/>
        <v>395</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-7.407407407407407E-2</v>
      </c>
      <c r="E98" s="210">
        <f t="shared" ref="E98:I98" si="13">MEDIAN(((D91-E92)/D91),((D92-E93)/D92),((D93-E94)/D93),((D94-E95)/D94),((D95-E96)/D95))</f>
        <v>-1.6949152542372881E-2</v>
      </c>
      <c r="F98" s="210">
        <f t="shared" si="13"/>
        <v>0</v>
      </c>
      <c r="G98" s="210">
        <f t="shared" si="13"/>
        <v>-4.1666666666666664E-2</v>
      </c>
      <c r="H98" s="210">
        <f t="shared" si="13"/>
        <v>0.02</v>
      </c>
      <c r="I98" s="210">
        <f t="shared" si="13"/>
        <v>0</v>
      </c>
    </row>
    <row r="99" spans="2:10" ht="18.75">
      <c r="B99" s="59"/>
      <c r="C99" s="60"/>
      <c r="D99" s="61"/>
      <c r="E99" s="61"/>
      <c r="F99" s="61"/>
      <c r="G99" s="61"/>
      <c r="H99" s="61"/>
      <c r="I99" s="61"/>
      <c r="J99" s="58"/>
    </row>
    <row r="100" spans="2:10">
      <c r="B100" s="15" t="str">
        <f>"Table 4B: "&amp;E3&amp;" Projected Roll by Stage (incorporating Projected P1 and Drop-Off Rates), 2019-2032"</f>
        <v>Table 4B: Duddingston Primary School Projected Roll by Stage (incorporating Projected P1 and Drop-Off Rates), 2019-2032</v>
      </c>
      <c r="F100" s="14"/>
      <c r="G100" s="14"/>
    </row>
    <row r="101" spans="2:10" ht="12.75">
      <c r="F101" s="14"/>
      <c r="G101" s="14"/>
    </row>
    <row r="102" spans="2:10">
      <c r="B102" s="115"/>
      <c r="C102" s="109" t="s">
        <v>1</v>
      </c>
      <c r="D102" s="109" t="s">
        <v>2</v>
      </c>
      <c r="E102" s="109" t="s">
        <v>3</v>
      </c>
      <c r="F102" s="109" t="s">
        <v>4</v>
      </c>
      <c r="G102" s="109" t="s">
        <v>5</v>
      </c>
      <c r="H102" s="109" t="s">
        <v>6</v>
      </c>
      <c r="I102" s="109" t="s">
        <v>7</v>
      </c>
      <c r="J102" s="109" t="s">
        <v>8</v>
      </c>
    </row>
    <row r="103" spans="2:10">
      <c r="B103" s="114">
        <v>2019</v>
      </c>
      <c r="C103" s="113">
        <f t="shared" ref="C103:C116" si="14">J70</f>
        <v>30</v>
      </c>
      <c r="D103" s="324">
        <f>ROUND((C96)-(C96*$D$98),0)</f>
        <v>61</v>
      </c>
      <c r="E103" s="324">
        <f>ROUND((D96)-(D96*$E$98),0)</f>
        <v>58</v>
      </c>
      <c r="F103" s="324">
        <f>ROUND((E96)-(E96*$F$98),0)</f>
        <v>58</v>
      </c>
      <c r="G103" s="324">
        <f>ROUND((F96)-(F96*$G$98),0)</f>
        <v>54</v>
      </c>
      <c r="H103" s="324">
        <f>ROUND((G96)-(G96*$H$98),0)</f>
        <v>48</v>
      </c>
      <c r="I103" s="324">
        <f>ROUND((H96)-(H96*$I$98),0)</f>
        <v>59</v>
      </c>
      <c r="J103" s="111">
        <f t="shared" ref="J103:J116" si="15">SUM(C103:I103)</f>
        <v>368</v>
      </c>
    </row>
    <row r="104" spans="2:10">
      <c r="B104" s="114">
        <v>2020</v>
      </c>
      <c r="C104" s="113">
        <f t="shared" si="14"/>
        <v>50</v>
      </c>
      <c r="D104" s="324">
        <f>ROUND((C103-E50)-(C103*$D$98),0)</f>
        <v>32</v>
      </c>
      <c r="E104" s="112">
        <f t="shared" ref="E104:E116" si="16">ROUND((D103)-(D103*$E$98),0)</f>
        <v>62</v>
      </c>
      <c r="F104" s="112">
        <f t="shared" ref="F104:F116" si="17">ROUND((E103)-(E103*$F$98),0)</f>
        <v>58</v>
      </c>
      <c r="G104" s="112">
        <f t="shared" ref="G104:G116" si="18">ROUND((F103)-(F103*$G$98),0)</f>
        <v>60</v>
      </c>
      <c r="H104" s="112">
        <f t="shared" ref="H104:H116" si="19">ROUND((G103)-(G103*$H$98),0)</f>
        <v>53</v>
      </c>
      <c r="I104" s="112">
        <f t="shared" ref="I104:I116" si="20">ROUND((H103)-(H103*$I$98),0)</f>
        <v>48</v>
      </c>
      <c r="J104" s="111">
        <f t="shared" si="15"/>
        <v>363</v>
      </c>
    </row>
    <row r="105" spans="2:10">
      <c r="B105" s="114">
        <v>2021</v>
      </c>
      <c r="C105" s="113">
        <f t="shared" si="14"/>
        <v>50</v>
      </c>
      <c r="D105" s="324">
        <f>ROUND((C104-F50)-(C104*$D$98),0)</f>
        <v>54</v>
      </c>
      <c r="E105" s="112">
        <f t="shared" si="16"/>
        <v>33</v>
      </c>
      <c r="F105" s="112">
        <f t="shared" si="17"/>
        <v>62</v>
      </c>
      <c r="G105" s="112">
        <f t="shared" si="18"/>
        <v>60</v>
      </c>
      <c r="H105" s="112">
        <f t="shared" si="19"/>
        <v>59</v>
      </c>
      <c r="I105" s="112">
        <f t="shared" si="20"/>
        <v>53</v>
      </c>
      <c r="J105" s="111">
        <f t="shared" si="15"/>
        <v>371</v>
      </c>
    </row>
    <row r="106" spans="2:10">
      <c r="B106" s="114">
        <v>2022</v>
      </c>
      <c r="C106" s="113">
        <f t="shared" si="14"/>
        <v>50</v>
      </c>
      <c r="D106" s="324">
        <f>ROUND((C105-G50)-(C105*$D$98),0)</f>
        <v>54</v>
      </c>
      <c r="E106" s="112">
        <f t="shared" si="16"/>
        <v>55</v>
      </c>
      <c r="F106" s="112">
        <f t="shared" si="17"/>
        <v>33</v>
      </c>
      <c r="G106" s="112">
        <f t="shared" si="18"/>
        <v>65</v>
      </c>
      <c r="H106" s="112">
        <f t="shared" si="19"/>
        <v>59</v>
      </c>
      <c r="I106" s="112">
        <f t="shared" si="20"/>
        <v>59</v>
      </c>
      <c r="J106" s="111">
        <f t="shared" si="15"/>
        <v>375</v>
      </c>
    </row>
    <row r="107" spans="2:10">
      <c r="B107" s="114">
        <v>2023</v>
      </c>
      <c r="C107" s="113">
        <f t="shared" si="14"/>
        <v>50</v>
      </c>
      <c r="D107" s="324">
        <f>ROUND((C106-H50)-(C106*$D$98),0)</f>
        <v>54</v>
      </c>
      <c r="E107" s="112">
        <f t="shared" si="16"/>
        <v>55</v>
      </c>
      <c r="F107" s="112">
        <f t="shared" si="17"/>
        <v>55</v>
      </c>
      <c r="G107" s="112">
        <f t="shared" si="18"/>
        <v>34</v>
      </c>
      <c r="H107" s="112">
        <f t="shared" si="19"/>
        <v>64</v>
      </c>
      <c r="I107" s="112">
        <f t="shared" si="20"/>
        <v>59</v>
      </c>
      <c r="J107" s="111">
        <f t="shared" si="15"/>
        <v>371</v>
      </c>
    </row>
    <row r="108" spans="2:10">
      <c r="B108" s="114">
        <v>2024</v>
      </c>
      <c r="C108" s="113">
        <f t="shared" si="14"/>
        <v>50</v>
      </c>
      <c r="D108" s="324">
        <f>ROUND((C107-I50)-(C107*$D$98),0)</f>
        <v>54</v>
      </c>
      <c r="E108" s="112">
        <f t="shared" si="16"/>
        <v>55</v>
      </c>
      <c r="F108" s="112">
        <f t="shared" si="17"/>
        <v>55</v>
      </c>
      <c r="G108" s="112">
        <f t="shared" si="18"/>
        <v>57</v>
      </c>
      <c r="H108" s="112">
        <f t="shared" si="19"/>
        <v>33</v>
      </c>
      <c r="I108" s="112">
        <f t="shared" si="20"/>
        <v>64</v>
      </c>
      <c r="J108" s="111">
        <f t="shared" si="15"/>
        <v>368</v>
      </c>
    </row>
    <row r="109" spans="2:10">
      <c r="B109" s="114">
        <v>2025</v>
      </c>
      <c r="C109" s="113">
        <f t="shared" si="14"/>
        <v>50</v>
      </c>
      <c r="D109" s="324">
        <f>ROUND((C108-J50)-(C108*$D$98),0)</f>
        <v>54</v>
      </c>
      <c r="E109" s="112">
        <f t="shared" si="16"/>
        <v>55</v>
      </c>
      <c r="F109" s="112">
        <f t="shared" si="17"/>
        <v>55</v>
      </c>
      <c r="G109" s="112">
        <f t="shared" si="18"/>
        <v>57</v>
      </c>
      <c r="H109" s="112">
        <f t="shared" si="19"/>
        <v>56</v>
      </c>
      <c r="I109" s="112">
        <f t="shared" si="20"/>
        <v>33</v>
      </c>
      <c r="J109" s="111">
        <f t="shared" si="15"/>
        <v>360</v>
      </c>
    </row>
    <row r="110" spans="2:10">
      <c r="B110" s="114">
        <v>2026</v>
      </c>
      <c r="C110" s="113">
        <f t="shared" si="14"/>
        <v>50</v>
      </c>
      <c r="D110" s="324">
        <f>ROUND((C109-K50)-(C109*$D$98),0)</f>
        <v>54</v>
      </c>
      <c r="E110" s="112">
        <f t="shared" si="16"/>
        <v>55</v>
      </c>
      <c r="F110" s="112">
        <f t="shared" si="17"/>
        <v>55</v>
      </c>
      <c r="G110" s="112">
        <f t="shared" si="18"/>
        <v>57</v>
      </c>
      <c r="H110" s="112">
        <f t="shared" si="19"/>
        <v>56</v>
      </c>
      <c r="I110" s="112">
        <f t="shared" si="20"/>
        <v>56</v>
      </c>
      <c r="J110" s="111">
        <f t="shared" si="15"/>
        <v>383</v>
      </c>
    </row>
    <row r="111" spans="2:10">
      <c r="B111" s="114">
        <v>2027</v>
      </c>
      <c r="C111" s="113">
        <f t="shared" si="14"/>
        <v>50</v>
      </c>
      <c r="D111" s="324">
        <f>ROUND((C110-L50)-(C110*$D$98),0)</f>
        <v>54</v>
      </c>
      <c r="E111" s="112">
        <f t="shared" si="16"/>
        <v>55</v>
      </c>
      <c r="F111" s="112">
        <f t="shared" si="17"/>
        <v>55</v>
      </c>
      <c r="G111" s="112">
        <f t="shared" si="18"/>
        <v>57</v>
      </c>
      <c r="H111" s="112">
        <f t="shared" si="19"/>
        <v>56</v>
      </c>
      <c r="I111" s="112">
        <f t="shared" si="20"/>
        <v>56</v>
      </c>
      <c r="J111" s="111">
        <f t="shared" si="15"/>
        <v>383</v>
      </c>
    </row>
    <row r="112" spans="2:10">
      <c r="B112" s="114">
        <v>2028</v>
      </c>
      <c r="C112" s="113">
        <f t="shared" si="14"/>
        <v>50</v>
      </c>
      <c r="D112" s="324">
        <f>ROUND((C111-M50)-(C111*$D$98),0)</f>
        <v>54</v>
      </c>
      <c r="E112" s="112">
        <f t="shared" si="16"/>
        <v>55</v>
      </c>
      <c r="F112" s="112">
        <f t="shared" si="17"/>
        <v>55</v>
      </c>
      <c r="G112" s="112">
        <f t="shared" si="18"/>
        <v>57</v>
      </c>
      <c r="H112" s="112">
        <f t="shared" si="19"/>
        <v>56</v>
      </c>
      <c r="I112" s="112">
        <f t="shared" si="20"/>
        <v>56</v>
      </c>
      <c r="J112" s="111">
        <f t="shared" si="15"/>
        <v>383</v>
      </c>
    </row>
    <row r="113" spans="2:10" ht="15" customHeight="1">
      <c r="B113" s="114">
        <v>2029</v>
      </c>
      <c r="C113" s="113">
        <f t="shared" si="14"/>
        <v>50</v>
      </c>
      <c r="D113" s="324">
        <f>ROUND((C112-N50)-(C112*$D$98),0)</f>
        <v>54</v>
      </c>
      <c r="E113" s="112">
        <f t="shared" si="16"/>
        <v>55</v>
      </c>
      <c r="F113" s="112">
        <f t="shared" si="17"/>
        <v>55</v>
      </c>
      <c r="G113" s="112">
        <f t="shared" si="18"/>
        <v>57</v>
      </c>
      <c r="H113" s="112">
        <f t="shared" si="19"/>
        <v>56</v>
      </c>
      <c r="I113" s="112">
        <f t="shared" si="20"/>
        <v>56</v>
      </c>
      <c r="J113" s="111">
        <f t="shared" si="15"/>
        <v>383</v>
      </c>
    </row>
    <row r="114" spans="2:10" ht="15" customHeight="1">
      <c r="B114" s="114">
        <v>2030</v>
      </c>
      <c r="C114" s="113">
        <f t="shared" si="14"/>
        <v>50</v>
      </c>
      <c r="D114" s="324">
        <f>ROUND((C113-O50)-(C113*$D$98),0)</f>
        <v>54</v>
      </c>
      <c r="E114" s="112">
        <f t="shared" si="16"/>
        <v>55</v>
      </c>
      <c r="F114" s="112">
        <f t="shared" si="17"/>
        <v>55</v>
      </c>
      <c r="G114" s="112">
        <f t="shared" si="18"/>
        <v>57</v>
      </c>
      <c r="H114" s="112">
        <f t="shared" si="19"/>
        <v>56</v>
      </c>
      <c r="I114" s="112">
        <f t="shared" si="20"/>
        <v>56</v>
      </c>
      <c r="J114" s="111">
        <f t="shared" si="15"/>
        <v>383</v>
      </c>
    </row>
    <row r="115" spans="2:10" ht="15" customHeight="1">
      <c r="B115" s="114">
        <v>2031</v>
      </c>
      <c r="C115" s="113">
        <f t="shared" si="14"/>
        <v>50</v>
      </c>
      <c r="D115" s="324">
        <f>ROUND((C114-P50)-(C114*$D$98),0)</f>
        <v>54</v>
      </c>
      <c r="E115" s="112">
        <f t="shared" si="16"/>
        <v>55</v>
      </c>
      <c r="F115" s="112">
        <f t="shared" si="17"/>
        <v>55</v>
      </c>
      <c r="G115" s="112">
        <f t="shared" si="18"/>
        <v>57</v>
      </c>
      <c r="H115" s="112">
        <f t="shared" si="19"/>
        <v>56</v>
      </c>
      <c r="I115" s="112">
        <f t="shared" si="20"/>
        <v>56</v>
      </c>
      <c r="J115" s="111">
        <f t="shared" si="15"/>
        <v>383</v>
      </c>
    </row>
    <row r="116" spans="2:10" ht="15" customHeight="1">
      <c r="B116" s="114">
        <v>2032</v>
      </c>
      <c r="C116" s="113">
        <f t="shared" si="14"/>
        <v>50</v>
      </c>
      <c r="D116" s="324">
        <f>ROUND((C115-Q50)-(C115*$D$98),0)</f>
        <v>54</v>
      </c>
      <c r="E116" s="112">
        <f t="shared" si="16"/>
        <v>55</v>
      </c>
      <c r="F116" s="112">
        <f t="shared" si="17"/>
        <v>55</v>
      </c>
      <c r="G116" s="112">
        <f t="shared" si="18"/>
        <v>57</v>
      </c>
      <c r="H116" s="112">
        <f t="shared" si="19"/>
        <v>56</v>
      </c>
      <c r="I116" s="112">
        <f t="shared" si="20"/>
        <v>56</v>
      </c>
      <c r="J116" s="111">
        <f t="shared" si="15"/>
        <v>383</v>
      </c>
    </row>
    <row r="117" spans="2:10" ht="15" hidden="1" customHeight="1">
      <c r="F117" s="14"/>
      <c r="G117" s="14"/>
    </row>
    <row r="118" spans="2:10" ht="15" hidden="1" customHeight="1">
      <c r="B118" s="15" t="str">
        <f>"Table 4C: "&amp;E3&amp;" Projected Pupil Generation from Housing Development, 2019-2032"</f>
        <v>Table 4C: Duddingston Primary School Projected Pupil Generation from Housing Development, 2019-2032</v>
      </c>
      <c r="F118" s="14"/>
      <c r="G118" s="14"/>
    </row>
    <row r="119" spans="2:10" ht="15" hidden="1" customHeight="1">
      <c r="F119" s="14"/>
      <c r="G119" s="14"/>
    </row>
    <row r="120" spans="2:10" ht="15" hidden="1" customHeight="1">
      <c r="B120" s="115"/>
      <c r="C120" s="109" t="s">
        <v>1</v>
      </c>
      <c r="D120" s="109" t="s">
        <v>2</v>
      </c>
      <c r="E120" s="109" t="s">
        <v>3</v>
      </c>
      <c r="F120" s="109" t="s">
        <v>4</v>
      </c>
      <c r="G120" s="109" t="s">
        <v>5</v>
      </c>
      <c r="H120" s="109" t="s">
        <v>6</v>
      </c>
      <c r="I120" s="109" t="s">
        <v>7</v>
      </c>
      <c r="J120" s="109" t="s">
        <v>8</v>
      </c>
    </row>
    <row r="121" spans="2:10" ht="15" hidden="1" customHeight="1">
      <c r="B121" s="114">
        <v>2019</v>
      </c>
      <c r="C121" s="116" t="s">
        <v>97</v>
      </c>
      <c r="D121" s="112">
        <f>VLOOKUP($E$3,'Housing Generation'!$A$3:$BE$90,11,FALSE)</f>
        <v>0</v>
      </c>
      <c r="E121" s="112">
        <f>VLOOKUP($E$3,'Housing Generation'!$A$3:$BE$90,12,FALSE)</f>
        <v>0</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0</v>
      </c>
    </row>
    <row r="122" spans="2:10" ht="15" hidden="1" customHeight="1">
      <c r="B122" s="114">
        <v>2020</v>
      </c>
      <c r="C122" s="116" t="s">
        <v>97</v>
      </c>
      <c r="D122" s="112">
        <f>VLOOKUP($E$3,'Housing Generation'!$A$3:$BE$90,19,FALSE)</f>
        <v>0</v>
      </c>
      <c r="E122" s="112">
        <f>VLOOKUP($E$3,'Housing Generation'!$A$3:$BE$90,20,FALSE)</f>
        <v>0</v>
      </c>
      <c r="F122" s="112">
        <f>VLOOKUP($E$3,'Housing Generation'!$A$3:$BE$90,21,FALSE)</f>
        <v>0</v>
      </c>
      <c r="G122" s="112">
        <f>VLOOKUP($E$3,'Housing Generation'!$A$3:$BE$90,22,FALSE)</f>
        <v>0</v>
      </c>
      <c r="H122" s="112">
        <f>VLOOKUP($E$3,'Housing Generation'!$A$3:$BE$90,23,FALSE)</f>
        <v>0</v>
      </c>
      <c r="I122" s="112">
        <f>VLOOKUP($E$3,'Housing Generation'!$A$3:$BE$90,24,FALSE)</f>
        <v>0</v>
      </c>
      <c r="J122" s="111">
        <f t="shared" si="21"/>
        <v>0</v>
      </c>
    </row>
    <row r="123" spans="2:10" ht="15" hidden="1" customHeight="1">
      <c r="B123" s="114">
        <v>2021</v>
      </c>
      <c r="C123" s="116" t="s">
        <v>97</v>
      </c>
      <c r="D123" s="112">
        <f>VLOOKUP($E$3,'Housing Generation'!$A$3:$BE$90,27,FALSE)</f>
        <v>0</v>
      </c>
      <c r="E123" s="112">
        <f>VLOOKUP($E$3,'Housing Generation'!$A$3:$BE$90,28,FALSE)</f>
        <v>0</v>
      </c>
      <c r="F123" s="112">
        <f>VLOOKUP($E$3,'Housing Generation'!$A$3:$BE$90,29,FALSE)</f>
        <v>0</v>
      </c>
      <c r="G123" s="112">
        <f>VLOOKUP($E$3,'Housing Generation'!$A$3:$BE$90,30,FALSE)</f>
        <v>0</v>
      </c>
      <c r="H123" s="112">
        <f>VLOOKUP($E$3,'Housing Generation'!$A$3:$BE$90,31,FALSE)</f>
        <v>0</v>
      </c>
      <c r="I123" s="112">
        <f>VLOOKUP($E$3,'Housing Generation'!$A$3:$BE$90,32,FALSE)</f>
        <v>0</v>
      </c>
      <c r="J123" s="111">
        <f t="shared" si="21"/>
        <v>0</v>
      </c>
    </row>
    <row r="124" spans="2:10" ht="15" hidden="1" customHeight="1">
      <c r="B124" s="114">
        <v>2022</v>
      </c>
      <c r="C124" s="116" t="s">
        <v>97</v>
      </c>
      <c r="D124" s="112">
        <f>VLOOKUP($E$3,'Housing Generation'!$A$3:$BE$90,35,FALSE)</f>
        <v>0</v>
      </c>
      <c r="E124" s="112">
        <f>VLOOKUP($E$3,'Housing Generation'!$A$3:$BE$90,36,FALSE)</f>
        <v>0</v>
      </c>
      <c r="F124" s="112">
        <f>VLOOKUP($E$3,'Housing Generation'!$A$3:$BE$90,37,FALSE)</f>
        <v>0</v>
      </c>
      <c r="G124" s="112">
        <f>VLOOKUP($E$3,'Housing Generation'!$A$3:$BE$90,38,FALSE)</f>
        <v>0</v>
      </c>
      <c r="H124" s="112">
        <f>VLOOKUP($E$3,'Housing Generation'!$A$3:$BE$90,39,FALSE)</f>
        <v>0</v>
      </c>
      <c r="I124" s="112">
        <f>VLOOKUP($E$3,'Housing Generation'!$A$3:$BE$90,40,FALSE)</f>
        <v>0</v>
      </c>
      <c r="J124" s="111">
        <f t="shared" si="21"/>
        <v>0</v>
      </c>
    </row>
    <row r="125" spans="2:10" ht="15" hidden="1" customHeight="1">
      <c r="B125" s="114">
        <v>2023</v>
      </c>
      <c r="C125" s="116" t="s">
        <v>97</v>
      </c>
      <c r="D125" s="112">
        <f>VLOOKUP($E$3,'Housing Generation'!$A$3:$BE$90,43,FALSE)</f>
        <v>0</v>
      </c>
      <c r="E125" s="112">
        <f>VLOOKUP($E$3,'Housing Generation'!$A$3:$BE$90,44,FALSE)</f>
        <v>0</v>
      </c>
      <c r="F125" s="112">
        <f>VLOOKUP($E$3,'Housing Generation'!$A$3:$BE$90,45,FALSE)</f>
        <v>0</v>
      </c>
      <c r="G125" s="112">
        <f>VLOOKUP($E$3,'Housing Generation'!$A$3:$BE$90,46,FALSE)</f>
        <v>0</v>
      </c>
      <c r="H125" s="112">
        <f>VLOOKUP($E$3,'Housing Generation'!$A$3:$BE$90,47,FALSE)</f>
        <v>0</v>
      </c>
      <c r="I125" s="112">
        <f>VLOOKUP($E$3,'Housing Generation'!$A$3:$BE$90,48,FALSE)</f>
        <v>0</v>
      </c>
      <c r="J125" s="111">
        <f t="shared" si="21"/>
        <v>0</v>
      </c>
    </row>
    <row r="126" spans="2:10" ht="15" hidden="1" customHeight="1">
      <c r="B126" s="114">
        <v>2024</v>
      </c>
      <c r="C126" s="116" t="s">
        <v>97</v>
      </c>
      <c r="D126" s="112">
        <f>VLOOKUP($E$3,'Housing Generation'!$A$3:$BE$90,51,FALSE)</f>
        <v>0</v>
      </c>
      <c r="E126" s="112">
        <f>VLOOKUP($E$3,'Housing Generation'!$A$3:$BE$90,52,FALSE)</f>
        <v>0</v>
      </c>
      <c r="F126" s="112">
        <f>VLOOKUP($E$3,'Housing Generation'!$A$3:$BE$90,53,FALSE)</f>
        <v>0</v>
      </c>
      <c r="G126" s="112">
        <f>VLOOKUP($E$3,'Housing Generation'!$A$3:$BE$90,54,FALSE)</f>
        <v>0</v>
      </c>
      <c r="H126" s="112">
        <f>VLOOKUP($E$3,'Housing Generation'!$A$3:$BE$90,55,FALSE)</f>
        <v>0</v>
      </c>
      <c r="I126" s="112">
        <f>VLOOKUP($E$3,'Housing Generation'!$A$3:$BE$90,56,FALSE)</f>
        <v>0</v>
      </c>
      <c r="J126" s="111">
        <f t="shared" si="21"/>
        <v>0</v>
      </c>
    </row>
    <row r="127" spans="2:10" ht="15" hidden="1" customHeight="1">
      <c r="B127" s="114">
        <v>2025</v>
      </c>
      <c r="C127" s="240" t="s">
        <v>97</v>
      </c>
      <c r="D127" s="112">
        <f>VLOOKUP($E$3,'Housing Generation'!$A$3:$CK$90,59,FALSE)</f>
        <v>0</v>
      </c>
      <c r="E127" s="112">
        <f>VLOOKUP($E$3,'Housing Generation'!$A$3:$CK$90,60,FALSE)</f>
        <v>0</v>
      </c>
      <c r="F127" s="112">
        <f>VLOOKUP($E$3,'Housing Generation'!$A$3:$CK$90,61,FALSE)</f>
        <v>0</v>
      </c>
      <c r="G127" s="112">
        <f>VLOOKUP($E$3,'Housing Generation'!$A$3:$CK$90,62,FALSE)</f>
        <v>0</v>
      </c>
      <c r="H127" s="112">
        <f>VLOOKUP($E$3,'Housing Generation'!$A$3:$CK$90,63,FALSE)</f>
        <v>0</v>
      </c>
      <c r="I127" s="112">
        <f>VLOOKUP($E$3,'Housing Generation'!$A$3:$CK$90,64,FALSE)</f>
        <v>0</v>
      </c>
      <c r="J127" s="111">
        <f t="shared" si="21"/>
        <v>0</v>
      </c>
    </row>
    <row r="128" spans="2:10" ht="15" hidden="1" customHeight="1">
      <c r="B128" s="114">
        <v>2026</v>
      </c>
      <c r="C128" s="240" t="s">
        <v>97</v>
      </c>
      <c r="D128" s="112">
        <f>VLOOKUP($E$3,'Housing Generation'!$A$3:$CK$90,67,FALSE)</f>
        <v>0</v>
      </c>
      <c r="E128" s="112">
        <f>VLOOKUP($E$3,'Housing Generation'!$A$3:$CK$90,68,FALSE)</f>
        <v>0</v>
      </c>
      <c r="F128" s="112">
        <f>VLOOKUP($E$3,'Housing Generation'!$A$3:$CK$90,69,FALSE)</f>
        <v>0</v>
      </c>
      <c r="G128" s="112">
        <f>VLOOKUP($E$3,'Housing Generation'!$A$3:$CK$90,70,FALSE)</f>
        <v>0</v>
      </c>
      <c r="H128" s="112">
        <f>VLOOKUP($E$3,'Housing Generation'!$A$3:$CK$90,71,FALSE)</f>
        <v>0</v>
      </c>
      <c r="I128" s="112">
        <f>VLOOKUP($E$3,'Housing Generation'!$A$3:$CK$90,72,FALSE)</f>
        <v>0</v>
      </c>
      <c r="J128" s="111">
        <f t="shared" si="21"/>
        <v>0</v>
      </c>
    </row>
    <row r="129" spans="2:10" ht="15" hidden="1" customHeight="1">
      <c r="B129" s="114">
        <v>2027</v>
      </c>
      <c r="C129" s="240" t="s">
        <v>97</v>
      </c>
      <c r="D129" s="112">
        <f>VLOOKUP($E$3,'Housing Generation'!$A$3:$CK$90,75,FALSE)</f>
        <v>0</v>
      </c>
      <c r="E129" s="112">
        <f>VLOOKUP($E$3,'Housing Generation'!$A$3:$CK$90,76,FALSE)</f>
        <v>0</v>
      </c>
      <c r="F129" s="112">
        <f>VLOOKUP($E$3,'Housing Generation'!$A$3:$CK$90,77,FALSE)</f>
        <v>0</v>
      </c>
      <c r="G129" s="112">
        <f>VLOOKUP($E$3,'Housing Generation'!$A$3:$CK$90,78,FALSE)</f>
        <v>0</v>
      </c>
      <c r="H129" s="112">
        <f>VLOOKUP($E$3,'Housing Generation'!$A$3:$CK$90,79,FALSE)</f>
        <v>0</v>
      </c>
      <c r="I129" s="112">
        <f>VLOOKUP($E$3,'Housing Generation'!$A$3:$CK$90,80,FALSE)</f>
        <v>0</v>
      </c>
      <c r="J129" s="111">
        <f t="shared" si="21"/>
        <v>0</v>
      </c>
    </row>
    <row r="130" spans="2:10" ht="15" customHeight="1">
      <c r="B130" s="114">
        <v>2028</v>
      </c>
      <c r="C130" s="289" t="s">
        <v>97</v>
      </c>
      <c r="D130" s="112">
        <f>VLOOKUP($E$3,'Housing Generation'!$A$3:$CK$90,83,FALSE)</f>
        <v>0</v>
      </c>
      <c r="E130" s="112">
        <f>VLOOKUP($E$3,'Housing Generation'!$A$3:$CK$90,84,FALSE)</f>
        <v>0</v>
      </c>
      <c r="F130" s="112">
        <f>VLOOKUP($E$3,'Housing Generation'!$A$3:$CK$90,85,FALSE)</f>
        <v>0</v>
      </c>
      <c r="G130" s="112">
        <f>VLOOKUP($E$3,'Housing Generation'!$A$3:$CK$90,86,FALSE)</f>
        <v>0</v>
      </c>
      <c r="H130" s="112">
        <f>VLOOKUP($E$3,'Housing Generation'!$A$3:$CK$90,87,FALSE)</f>
        <v>0</v>
      </c>
      <c r="I130" s="112">
        <f>VLOOKUP($E$3,'Housing Generation'!$A$3:$CK$90,88,FALSE)</f>
        <v>0</v>
      </c>
      <c r="J130" s="111">
        <f t="shared" si="21"/>
        <v>0</v>
      </c>
    </row>
    <row r="131" spans="2:10" ht="15" customHeight="1">
      <c r="B131" s="114">
        <v>2029</v>
      </c>
      <c r="C131" s="289" t="s">
        <v>97</v>
      </c>
      <c r="D131" s="112">
        <f>VLOOKUP($E$3,'Housing Generation'!$A$3:$DQ$90,91,FALSE)</f>
        <v>0</v>
      </c>
      <c r="E131" s="112">
        <f>VLOOKUP($E$3,'Housing Generation'!$A$3:$DQ$90,92,FALSE)</f>
        <v>0</v>
      </c>
      <c r="F131" s="112">
        <f>VLOOKUP($E$3,'Housing Generation'!$A$3:$DQ$90,93,FALSE)</f>
        <v>0</v>
      </c>
      <c r="G131" s="112">
        <f>VLOOKUP($E$3,'Housing Generation'!$A$3:$DQ$90,94,FALSE)</f>
        <v>0</v>
      </c>
      <c r="H131" s="112">
        <f>VLOOKUP($E$3,'Housing Generation'!$A$3:$DQ$90,95,FALSE)</f>
        <v>0</v>
      </c>
      <c r="I131" s="112">
        <f>VLOOKUP($E$3,'Housing Generation'!$A$3:$DQ$90,96,FALSE)</f>
        <v>0</v>
      </c>
      <c r="J131" s="111">
        <f t="shared" si="21"/>
        <v>0</v>
      </c>
    </row>
    <row r="132" spans="2:10" ht="15" customHeight="1">
      <c r="B132" s="114">
        <v>2030</v>
      </c>
      <c r="C132" s="289" t="s">
        <v>97</v>
      </c>
      <c r="D132" s="112">
        <f>VLOOKUP($E$3,'Housing Generation'!$A$3:$DQ$90,99,FALSE)</f>
        <v>0</v>
      </c>
      <c r="E132" s="112">
        <f>VLOOKUP($E$3,'Housing Generation'!$A$3:$DQ$90,100,FALSE)</f>
        <v>0</v>
      </c>
      <c r="F132" s="112">
        <f>VLOOKUP($E$3,'Housing Generation'!$A$3:$DQ$90,101,FALSE)</f>
        <v>0</v>
      </c>
      <c r="G132" s="112">
        <f>VLOOKUP($E$3,'Housing Generation'!$A$3:$DQ$90,102,FALSE)</f>
        <v>0</v>
      </c>
      <c r="H132" s="112">
        <f>VLOOKUP($E$3,'Housing Generation'!$A$3:$DQ$90,103,FALSE)</f>
        <v>0</v>
      </c>
      <c r="I132" s="112">
        <f>VLOOKUP($E$3,'Housing Generation'!$A$3:$DQ$90,104,FALSE)</f>
        <v>0</v>
      </c>
      <c r="J132" s="111">
        <f t="shared" si="21"/>
        <v>0</v>
      </c>
    </row>
    <row r="133" spans="2:10" ht="15" customHeight="1">
      <c r="B133" s="114">
        <v>2031</v>
      </c>
      <c r="C133" s="289" t="s">
        <v>97</v>
      </c>
      <c r="D133" s="112">
        <f>VLOOKUP($E$3,'Housing Generation'!$A$3:$DQ$90,107,FALSE)</f>
        <v>0</v>
      </c>
      <c r="E133" s="112">
        <f>VLOOKUP($E$3,'Housing Generation'!$A$3:$DQ$90,108,FALSE)</f>
        <v>0</v>
      </c>
      <c r="F133" s="112">
        <f>VLOOKUP($E$3,'Housing Generation'!$A$3:$DQ$90,109,FALSE)</f>
        <v>0</v>
      </c>
      <c r="G133" s="112">
        <f>VLOOKUP($E$3,'Housing Generation'!$A$3:$DQ$90,110,FALSE)</f>
        <v>0</v>
      </c>
      <c r="H133" s="112">
        <f>VLOOKUP($E$3,'Housing Generation'!$A$3:$DQ$90,111,FALSE)</f>
        <v>0</v>
      </c>
      <c r="I133" s="112">
        <f>VLOOKUP($E$3,'Housing Generation'!$A$3:$DQ$90,112,FALSE)</f>
        <v>0</v>
      </c>
      <c r="J133" s="111">
        <f t="shared" si="21"/>
        <v>0</v>
      </c>
    </row>
    <row r="134" spans="2:10" ht="15" customHeight="1">
      <c r="B134" s="114">
        <v>2032</v>
      </c>
      <c r="C134" s="289" t="s">
        <v>97</v>
      </c>
      <c r="D134" s="112">
        <f>VLOOKUP($E$3,'Housing Generation'!$A$3:$DQ$90,115,FALSE)</f>
        <v>0</v>
      </c>
      <c r="E134" s="112">
        <f>VLOOKUP($E$3,'Housing Generation'!$A$3:$DQ$90,116,FALSE)</f>
        <v>0</v>
      </c>
      <c r="F134" s="112">
        <f>VLOOKUP($E$3,'Housing Generation'!$A$3:$DQ$90,117,FALSE)</f>
        <v>0</v>
      </c>
      <c r="G134" s="112">
        <f>VLOOKUP($E$3,'Housing Generation'!$A$3:$DQ$90,118,FALSE)</f>
        <v>0</v>
      </c>
      <c r="H134" s="112">
        <f>VLOOKUP($E$3,'Housing Generation'!$A$3:$DQ$90,119,FALSE)</f>
        <v>0</v>
      </c>
      <c r="I134" s="112">
        <f>VLOOKUP($E$3,'Housing Generation'!$A$3:$DQ$90,120,FALSE)</f>
        <v>0</v>
      </c>
      <c r="J134" s="111">
        <f t="shared" si="21"/>
        <v>0</v>
      </c>
    </row>
    <row r="135" spans="2:10" ht="15" hidden="1"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Duddingston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30</v>
      </c>
      <c r="D139" s="112">
        <f t="shared" ref="D139:I152" si="23">D121+D103</f>
        <v>61</v>
      </c>
      <c r="E139" s="112">
        <f t="shared" si="23"/>
        <v>58</v>
      </c>
      <c r="F139" s="112">
        <f t="shared" si="23"/>
        <v>58</v>
      </c>
      <c r="G139" s="112">
        <f t="shared" si="23"/>
        <v>54</v>
      </c>
      <c r="H139" s="112">
        <f t="shared" si="23"/>
        <v>48</v>
      </c>
      <c r="I139" s="112">
        <f t="shared" si="23"/>
        <v>59</v>
      </c>
      <c r="J139" s="111">
        <f t="shared" ref="J139:J147" si="24">SUM(C139:I139)</f>
        <v>368</v>
      </c>
    </row>
    <row r="140" spans="2:10" ht="15" customHeight="1">
      <c r="B140" s="114">
        <v>2020</v>
      </c>
      <c r="C140" s="113">
        <f t="shared" si="22"/>
        <v>50</v>
      </c>
      <c r="D140" s="112">
        <f t="shared" si="23"/>
        <v>32</v>
      </c>
      <c r="E140" s="112">
        <f t="shared" si="23"/>
        <v>62</v>
      </c>
      <c r="F140" s="112">
        <f t="shared" si="23"/>
        <v>58</v>
      </c>
      <c r="G140" s="112">
        <f t="shared" si="23"/>
        <v>60</v>
      </c>
      <c r="H140" s="112">
        <f t="shared" si="23"/>
        <v>53</v>
      </c>
      <c r="I140" s="112">
        <f t="shared" si="23"/>
        <v>48</v>
      </c>
      <c r="J140" s="111">
        <f t="shared" si="24"/>
        <v>363</v>
      </c>
    </row>
    <row r="141" spans="2:10" ht="15" customHeight="1">
      <c r="B141" s="114">
        <v>2021</v>
      </c>
      <c r="C141" s="113">
        <f t="shared" si="22"/>
        <v>50</v>
      </c>
      <c r="D141" s="112">
        <f t="shared" si="23"/>
        <v>54</v>
      </c>
      <c r="E141" s="112">
        <f t="shared" si="23"/>
        <v>33</v>
      </c>
      <c r="F141" s="112">
        <f t="shared" si="23"/>
        <v>62</v>
      </c>
      <c r="G141" s="112">
        <f t="shared" si="23"/>
        <v>60</v>
      </c>
      <c r="H141" s="112">
        <f t="shared" si="23"/>
        <v>59</v>
      </c>
      <c r="I141" s="112">
        <f t="shared" si="23"/>
        <v>53</v>
      </c>
      <c r="J141" s="111">
        <f t="shared" si="24"/>
        <v>371</v>
      </c>
    </row>
    <row r="142" spans="2:10" ht="15" customHeight="1">
      <c r="B142" s="114">
        <v>2022</v>
      </c>
      <c r="C142" s="113">
        <f t="shared" si="22"/>
        <v>50</v>
      </c>
      <c r="D142" s="112">
        <f t="shared" si="23"/>
        <v>54</v>
      </c>
      <c r="E142" s="112">
        <f t="shared" si="23"/>
        <v>55</v>
      </c>
      <c r="F142" s="112">
        <f t="shared" si="23"/>
        <v>33</v>
      </c>
      <c r="G142" s="112">
        <f t="shared" si="23"/>
        <v>65</v>
      </c>
      <c r="H142" s="112">
        <f t="shared" si="23"/>
        <v>59</v>
      </c>
      <c r="I142" s="112">
        <f t="shared" si="23"/>
        <v>59</v>
      </c>
      <c r="J142" s="111">
        <f t="shared" si="24"/>
        <v>375</v>
      </c>
    </row>
    <row r="143" spans="2:10" ht="15" customHeight="1">
      <c r="B143" s="114">
        <v>2023</v>
      </c>
      <c r="C143" s="113">
        <f t="shared" si="22"/>
        <v>50</v>
      </c>
      <c r="D143" s="112">
        <f t="shared" si="23"/>
        <v>54</v>
      </c>
      <c r="E143" s="112">
        <f t="shared" si="23"/>
        <v>55</v>
      </c>
      <c r="F143" s="112">
        <f t="shared" si="23"/>
        <v>55</v>
      </c>
      <c r="G143" s="112">
        <f t="shared" si="23"/>
        <v>34</v>
      </c>
      <c r="H143" s="112">
        <f t="shared" si="23"/>
        <v>64</v>
      </c>
      <c r="I143" s="112">
        <f t="shared" si="23"/>
        <v>59</v>
      </c>
      <c r="J143" s="111">
        <f t="shared" si="24"/>
        <v>371</v>
      </c>
    </row>
    <row r="144" spans="2:10" ht="15" customHeight="1">
      <c r="B144" s="114">
        <v>2024</v>
      </c>
      <c r="C144" s="113">
        <f t="shared" si="22"/>
        <v>50</v>
      </c>
      <c r="D144" s="112">
        <f t="shared" si="23"/>
        <v>54</v>
      </c>
      <c r="E144" s="112">
        <f t="shared" si="23"/>
        <v>55</v>
      </c>
      <c r="F144" s="112">
        <f t="shared" si="23"/>
        <v>55</v>
      </c>
      <c r="G144" s="112">
        <f t="shared" si="23"/>
        <v>57</v>
      </c>
      <c r="H144" s="112">
        <f t="shared" si="23"/>
        <v>33</v>
      </c>
      <c r="I144" s="112">
        <f t="shared" si="23"/>
        <v>64</v>
      </c>
      <c r="J144" s="111">
        <f t="shared" si="24"/>
        <v>368</v>
      </c>
    </row>
    <row r="145" spans="2:16" ht="15" customHeight="1">
      <c r="B145" s="114">
        <v>2025</v>
      </c>
      <c r="C145" s="113">
        <f t="shared" si="22"/>
        <v>50</v>
      </c>
      <c r="D145" s="112">
        <f t="shared" si="23"/>
        <v>54</v>
      </c>
      <c r="E145" s="112">
        <f t="shared" si="23"/>
        <v>55</v>
      </c>
      <c r="F145" s="112">
        <f t="shared" si="23"/>
        <v>55</v>
      </c>
      <c r="G145" s="112">
        <f t="shared" si="23"/>
        <v>57</v>
      </c>
      <c r="H145" s="112">
        <f t="shared" si="23"/>
        <v>56</v>
      </c>
      <c r="I145" s="112">
        <f t="shared" si="23"/>
        <v>33</v>
      </c>
      <c r="J145" s="111">
        <f t="shared" si="24"/>
        <v>360</v>
      </c>
    </row>
    <row r="146" spans="2:16" ht="15" customHeight="1">
      <c r="B146" s="114">
        <v>2026</v>
      </c>
      <c r="C146" s="113">
        <f t="shared" si="22"/>
        <v>50</v>
      </c>
      <c r="D146" s="112">
        <f t="shared" si="23"/>
        <v>54</v>
      </c>
      <c r="E146" s="112">
        <f t="shared" si="23"/>
        <v>55</v>
      </c>
      <c r="F146" s="112">
        <f t="shared" si="23"/>
        <v>55</v>
      </c>
      <c r="G146" s="112">
        <f t="shared" si="23"/>
        <v>57</v>
      </c>
      <c r="H146" s="112">
        <f t="shared" si="23"/>
        <v>56</v>
      </c>
      <c r="I146" s="112">
        <f t="shared" si="23"/>
        <v>56</v>
      </c>
      <c r="J146" s="111">
        <f t="shared" si="24"/>
        <v>383</v>
      </c>
    </row>
    <row r="147" spans="2:16" ht="15" customHeight="1">
      <c r="B147" s="114">
        <v>2027</v>
      </c>
      <c r="C147" s="113">
        <f t="shared" si="22"/>
        <v>50</v>
      </c>
      <c r="D147" s="112">
        <f t="shared" si="23"/>
        <v>54</v>
      </c>
      <c r="E147" s="112">
        <f t="shared" si="23"/>
        <v>55</v>
      </c>
      <c r="F147" s="112">
        <f t="shared" si="23"/>
        <v>55</v>
      </c>
      <c r="G147" s="112">
        <f t="shared" si="23"/>
        <v>57</v>
      </c>
      <c r="H147" s="112">
        <f t="shared" si="23"/>
        <v>56</v>
      </c>
      <c r="I147" s="112">
        <f t="shared" si="23"/>
        <v>56</v>
      </c>
      <c r="J147" s="111">
        <f t="shared" si="24"/>
        <v>383</v>
      </c>
    </row>
    <row r="148" spans="2:16" ht="15" customHeight="1">
      <c r="B148" s="114">
        <v>2028</v>
      </c>
      <c r="C148" s="113">
        <f t="shared" si="22"/>
        <v>50</v>
      </c>
      <c r="D148" s="112">
        <f t="shared" si="23"/>
        <v>54</v>
      </c>
      <c r="E148" s="112">
        <f t="shared" si="23"/>
        <v>55</v>
      </c>
      <c r="F148" s="112">
        <f t="shared" si="23"/>
        <v>55</v>
      </c>
      <c r="G148" s="112">
        <f t="shared" si="23"/>
        <v>57</v>
      </c>
      <c r="H148" s="112">
        <f t="shared" si="23"/>
        <v>56</v>
      </c>
      <c r="I148" s="112">
        <f t="shared" si="23"/>
        <v>56</v>
      </c>
      <c r="J148" s="111">
        <f t="shared" ref="J148:J152" si="25">SUM(C148:I148)</f>
        <v>383</v>
      </c>
    </row>
    <row r="149" spans="2:16" ht="15" customHeight="1">
      <c r="B149" s="114">
        <v>2029</v>
      </c>
      <c r="C149" s="113">
        <f t="shared" si="22"/>
        <v>50</v>
      </c>
      <c r="D149" s="112">
        <f t="shared" si="23"/>
        <v>54</v>
      </c>
      <c r="E149" s="112">
        <f t="shared" si="23"/>
        <v>55</v>
      </c>
      <c r="F149" s="112">
        <f t="shared" si="23"/>
        <v>55</v>
      </c>
      <c r="G149" s="112">
        <f t="shared" si="23"/>
        <v>57</v>
      </c>
      <c r="H149" s="112">
        <f t="shared" si="23"/>
        <v>56</v>
      </c>
      <c r="I149" s="112">
        <f t="shared" si="23"/>
        <v>56</v>
      </c>
      <c r="J149" s="111">
        <f t="shared" si="25"/>
        <v>383</v>
      </c>
    </row>
    <row r="150" spans="2:16" ht="15" customHeight="1">
      <c r="B150" s="114">
        <v>2030</v>
      </c>
      <c r="C150" s="113">
        <f t="shared" si="22"/>
        <v>50</v>
      </c>
      <c r="D150" s="112">
        <f t="shared" si="23"/>
        <v>54</v>
      </c>
      <c r="E150" s="112">
        <f t="shared" si="23"/>
        <v>55</v>
      </c>
      <c r="F150" s="112">
        <f t="shared" si="23"/>
        <v>55</v>
      </c>
      <c r="G150" s="112">
        <f t="shared" si="23"/>
        <v>57</v>
      </c>
      <c r="H150" s="112">
        <f t="shared" si="23"/>
        <v>56</v>
      </c>
      <c r="I150" s="112">
        <f t="shared" si="23"/>
        <v>56</v>
      </c>
      <c r="J150" s="111">
        <f t="shared" si="25"/>
        <v>383</v>
      </c>
    </row>
    <row r="151" spans="2:16" ht="15" customHeight="1">
      <c r="B151" s="114">
        <v>2031</v>
      </c>
      <c r="C151" s="113">
        <f t="shared" si="22"/>
        <v>50</v>
      </c>
      <c r="D151" s="112">
        <f t="shared" si="23"/>
        <v>54</v>
      </c>
      <c r="E151" s="112">
        <f t="shared" si="23"/>
        <v>55</v>
      </c>
      <c r="F151" s="112">
        <f t="shared" si="23"/>
        <v>55</v>
      </c>
      <c r="G151" s="112">
        <f t="shared" si="23"/>
        <v>57</v>
      </c>
      <c r="H151" s="112">
        <f t="shared" si="23"/>
        <v>56</v>
      </c>
      <c r="I151" s="112">
        <f t="shared" si="23"/>
        <v>56</v>
      </c>
      <c r="J151" s="111">
        <f t="shared" si="25"/>
        <v>383</v>
      </c>
    </row>
    <row r="152" spans="2:16" ht="15" customHeight="1">
      <c r="B152" s="114">
        <v>2032</v>
      </c>
      <c r="C152" s="113">
        <f t="shared" si="22"/>
        <v>50</v>
      </c>
      <c r="D152" s="112">
        <f t="shared" si="23"/>
        <v>54</v>
      </c>
      <c r="E152" s="112">
        <f t="shared" si="23"/>
        <v>55</v>
      </c>
      <c r="F152" s="112">
        <f t="shared" si="23"/>
        <v>55</v>
      </c>
      <c r="G152" s="112">
        <f t="shared" si="23"/>
        <v>57</v>
      </c>
      <c r="H152" s="112">
        <f t="shared" si="23"/>
        <v>56</v>
      </c>
      <c r="I152" s="112">
        <f t="shared" si="23"/>
        <v>56</v>
      </c>
      <c r="J152" s="111">
        <f t="shared" si="25"/>
        <v>383</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368</v>
      </c>
      <c r="D159" s="108">
        <f>J140</f>
        <v>363</v>
      </c>
      <c r="E159" s="108">
        <f>J141</f>
        <v>371</v>
      </c>
      <c r="F159" s="108">
        <f>J142</f>
        <v>375</v>
      </c>
      <c r="G159" s="108">
        <f>J143</f>
        <v>371</v>
      </c>
      <c r="H159" s="108">
        <f>J144</f>
        <v>368</v>
      </c>
      <c r="I159" s="108">
        <f>J145</f>
        <v>360</v>
      </c>
      <c r="J159" s="108">
        <f>J146</f>
        <v>383</v>
      </c>
      <c r="K159" s="108">
        <f>J147</f>
        <v>383</v>
      </c>
      <c r="L159" s="108">
        <f>J148</f>
        <v>383</v>
      </c>
      <c r="M159" s="108">
        <f>J149</f>
        <v>383</v>
      </c>
      <c r="N159" s="108">
        <f>J150</f>
        <v>383</v>
      </c>
      <c r="O159" s="108">
        <f>J151</f>
        <v>383</v>
      </c>
      <c r="P159" s="108">
        <f>J152</f>
        <v>383</v>
      </c>
    </row>
    <row r="160" spans="2:16" ht="15" customHeight="1">
      <c r="B160" s="107" t="s">
        <v>152</v>
      </c>
      <c r="C160" s="106">
        <f>VLOOKUP(C159,Capacity!$A$1:$C$645,2,TRUE)</f>
        <v>14</v>
      </c>
      <c r="D160" s="106">
        <f>VLOOKUP(D159,Capacity!$A$1:$C$645,2,TRUE)</f>
        <v>14</v>
      </c>
      <c r="E160" s="106">
        <f>VLOOKUP(E159,Capacity!$A$1:$C$645,2,TRUE)</f>
        <v>14</v>
      </c>
      <c r="F160" s="106">
        <f>VLOOKUP(F159,Capacity!$A$1:$C$645,2,TRUE)</f>
        <v>14</v>
      </c>
      <c r="G160" s="106">
        <f>VLOOKUP(G159,Capacity!$A$1:$C$645,2,TRUE)</f>
        <v>14</v>
      </c>
      <c r="H160" s="106">
        <f>VLOOKUP(H159,Capacity!$A$1:$C$645,2,TRUE)</f>
        <v>14</v>
      </c>
      <c r="I160" s="106">
        <f>VLOOKUP(I159,Capacity!$A$1:$C$645,2,TRUE)</f>
        <v>14</v>
      </c>
      <c r="J160" s="106">
        <f>VLOOKUP(J159,Capacity!$A$1:$C$645,2,TRUE)</f>
        <v>14</v>
      </c>
      <c r="K160" s="106">
        <f>VLOOKUP(K159,Capacity!$A$1:$C$645,2,TRUE)</f>
        <v>14</v>
      </c>
      <c r="L160" s="106">
        <f>VLOOKUP(L159,Capacity!$A$1:$C$645,2,TRUE)</f>
        <v>14</v>
      </c>
      <c r="M160" s="106">
        <f>VLOOKUP(M159,Capacity!$A$1:$C$645,2,TRUE)</f>
        <v>14</v>
      </c>
      <c r="N160" s="106">
        <f>VLOOKUP(N159,Capacity!$A$1:$C$645,2,TRUE)</f>
        <v>14</v>
      </c>
      <c r="O160" s="106">
        <f>VLOOKUP(O159,Capacity!$A$1:$C$645,2,TRUE)</f>
        <v>14</v>
      </c>
      <c r="P160" s="106">
        <f>VLOOKUP(P159,Capacity!$A$1:$C$645,2,TRUE)</f>
        <v>14</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46</v>
      </c>
      <c r="D169" s="97">
        <f>VLOOKUP($E$3,'Catchment Births'!$A$1:$U$90,11,FALSE)</f>
        <v>43</v>
      </c>
      <c r="E169" s="97">
        <f>VLOOKUP($E$3,'Catchment Births'!$A$1:$U$90,12,FALSE)</f>
        <v>50</v>
      </c>
      <c r="F169" s="97">
        <f>VLOOKUP($E$3,'Catchment Births'!$A$1:$U$90,13,FALSE)</f>
        <v>35</v>
      </c>
      <c r="G169" s="97">
        <f>VLOOKUP($E$3,'Catchment Births'!$A$1:$U$90,14,FALSE)</f>
        <v>58</v>
      </c>
      <c r="H169" s="97">
        <f>VLOOKUP($E$3,'Catchment Births'!$A$1:$U$90,15,FALSE)</f>
        <v>42</v>
      </c>
      <c r="I169" s="97">
        <f>VLOOKUP($E$3,'Catchment Births'!$A$1:$U$90,16,FALSE)</f>
        <v>42</v>
      </c>
      <c r="J169" s="97">
        <f>VLOOKUP($E$3,'Catchment Births'!$A$1:$U$90,17,FALSE)</f>
        <v>52</v>
      </c>
      <c r="K169" s="97">
        <f>VLOOKUP($E$3,'Catchment Births'!$A$1:$U$90,18,FALSE)</f>
        <v>49</v>
      </c>
      <c r="L169" s="97">
        <f>VLOOKUP($E$3,'Catchment Births'!$A$1:$U$90,19,FALSE)</f>
        <v>51</v>
      </c>
      <c r="M169" s="97">
        <f>VLOOKUP($E$3,'Catchment Births'!$A$1:$U$90,20,FALSE)</f>
        <v>33</v>
      </c>
      <c r="N169" s="97">
        <f>VLOOKUP($E$3,'Catchment Births'!$A$1:$U$90,21,FALSE)</f>
        <v>46</v>
      </c>
    </row>
    <row r="170" spans="2:14" ht="58.5" customHeight="1">
      <c r="B170" s="103" t="str">
        <f>"P1 "&amp;A35&amp;" Catchment Population (Actual)"</f>
        <v>P1 ND Catchment Population (Actual)</v>
      </c>
      <c r="C170" s="102" t="e">
        <v>#REF!</v>
      </c>
      <c r="D170" s="102">
        <v>34</v>
      </c>
      <c r="E170" s="102">
        <v>40</v>
      </c>
      <c r="F170" s="102">
        <v>48</v>
      </c>
      <c r="G170" s="102">
        <v>44</v>
      </c>
      <c r="H170" s="102">
        <v>38</v>
      </c>
      <c r="I170" s="102">
        <v>43</v>
      </c>
      <c r="J170" s="308">
        <f>VLOOKUP(E3,'Catchment Projections'!A1:BU92,42,FALSE)</f>
        <v>45</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43</v>
      </c>
      <c r="J172" s="96" t="e">
        <f>#REF!</f>
        <v>#REF!</v>
      </c>
      <c r="K172" s="96">
        <f>D51</f>
        <v>33</v>
      </c>
      <c r="L172" s="96">
        <f>E51</f>
        <v>46</v>
      </c>
      <c r="M172" s="96">
        <f>F51</f>
        <v>50</v>
      </c>
      <c r="N172" s="96">
        <f>G51</f>
        <v>56</v>
      </c>
    </row>
    <row r="173" spans="2:14" ht="12.75">
      <c r="B173" s="62"/>
      <c r="C173" s="62"/>
      <c r="D173" s="62"/>
      <c r="E173" s="62"/>
      <c r="F173" s="62"/>
      <c r="G173" s="62"/>
      <c r="H173" s="62"/>
      <c r="I173" s="62"/>
      <c r="J173" s="62"/>
      <c r="K173" s="62"/>
    </row>
    <row r="174" spans="2:14" ht="15" customHeight="1">
      <c r="B174" s="64" t="str">
        <f>"Table 5: "&amp;E3&amp;" Roll by Stage, 2002-2018"</f>
        <v>Table 5: Duddingston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59</v>
      </c>
      <c r="D177" s="93">
        <v>66</v>
      </c>
      <c r="E177" s="93">
        <v>50</v>
      </c>
      <c r="F177" s="93">
        <v>63</v>
      </c>
      <c r="G177" s="93">
        <v>63</v>
      </c>
      <c r="H177" s="93">
        <v>61</v>
      </c>
      <c r="I177" s="93">
        <v>60</v>
      </c>
      <c r="J177" s="92">
        <v>422</v>
      </c>
      <c r="K177" s="62"/>
    </row>
    <row r="178" spans="2:11" ht="15" customHeight="1">
      <c r="B178" s="94">
        <v>2003</v>
      </c>
      <c r="C178" s="93">
        <v>60</v>
      </c>
      <c r="D178" s="93">
        <v>60</v>
      </c>
      <c r="E178" s="93">
        <v>65</v>
      </c>
      <c r="F178" s="93">
        <v>50</v>
      </c>
      <c r="G178" s="93">
        <v>64</v>
      </c>
      <c r="H178" s="93">
        <v>59</v>
      </c>
      <c r="I178" s="93">
        <v>54</v>
      </c>
      <c r="J178" s="92">
        <v>412</v>
      </c>
      <c r="K178" s="62"/>
    </row>
    <row r="179" spans="2:11" customFormat="1" ht="15" customHeight="1">
      <c r="B179" s="94">
        <v>2004</v>
      </c>
      <c r="C179" s="95">
        <v>46</v>
      </c>
      <c r="D179" s="95">
        <v>60</v>
      </c>
      <c r="E179" s="95">
        <v>58</v>
      </c>
      <c r="F179" s="95">
        <v>63</v>
      </c>
      <c r="G179" s="95">
        <v>50</v>
      </c>
      <c r="H179" s="95">
        <v>62</v>
      </c>
      <c r="I179" s="95">
        <v>62</v>
      </c>
      <c r="J179" s="92">
        <v>401</v>
      </c>
      <c r="K179" s="62"/>
    </row>
    <row r="180" spans="2:11" customFormat="1" ht="15" customHeight="1">
      <c r="B180" s="94">
        <v>2005</v>
      </c>
      <c r="C180" s="93">
        <v>59</v>
      </c>
      <c r="D180" s="93">
        <v>44</v>
      </c>
      <c r="E180" s="93">
        <v>59</v>
      </c>
      <c r="F180" s="93">
        <v>57</v>
      </c>
      <c r="G180" s="93">
        <v>62</v>
      </c>
      <c r="H180" s="93">
        <v>52</v>
      </c>
      <c r="I180" s="93">
        <v>62</v>
      </c>
      <c r="J180" s="92">
        <v>395</v>
      </c>
      <c r="K180" s="62"/>
    </row>
    <row r="181" spans="2:11" customFormat="1" ht="15" customHeight="1">
      <c r="B181" s="94">
        <v>2006</v>
      </c>
      <c r="C181" s="93">
        <v>58</v>
      </c>
      <c r="D181" s="93">
        <v>59</v>
      </c>
      <c r="E181" s="93">
        <v>48</v>
      </c>
      <c r="F181" s="93">
        <v>60</v>
      </c>
      <c r="G181" s="93">
        <v>58</v>
      </c>
      <c r="H181" s="93">
        <v>65</v>
      </c>
      <c r="I181" s="93">
        <v>52</v>
      </c>
      <c r="J181" s="92">
        <v>400</v>
      </c>
      <c r="K181" s="62"/>
    </row>
    <row r="182" spans="2:11" customFormat="1" ht="15" customHeight="1">
      <c r="B182" s="94">
        <v>2007</v>
      </c>
      <c r="C182" s="93">
        <v>49</v>
      </c>
      <c r="D182" s="93">
        <v>55</v>
      </c>
      <c r="E182" s="93">
        <v>60</v>
      </c>
      <c r="F182" s="93">
        <v>53</v>
      </c>
      <c r="G182" s="93">
        <v>61</v>
      </c>
      <c r="H182" s="93">
        <v>61</v>
      </c>
      <c r="I182" s="93">
        <v>63</v>
      </c>
      <c r="J182" s="92">
        <v>402</v>
      </c>
      <c r="K182" s="62"/>
    </row>
    <row r="183" spans="2:11" customFormat="1" ht="15" customHeight="1">
      <c r="B183" s="94">
        <v>2008</v>
      </c>
      <c r="C183" s="93">
        <v>50</v>
      </c>
      <c r="D183" s="93">
        <v>53</v>
      </c>
      <c r="E183" s="93">
        <v>55</v>
      </c>
      <c r="F183" s="93">
        <v>58</v>
      </c>
      <c r="G183" s="93">
        <v>55</v>
      </c>
      <c r="H183" s="93">
        <v>62</v>
      </c>
      <c r="I183" s="93">
        <v>63</v>
      </c>
      <c r="J183" s="92">
        <v>396</v>
      </c>
      <c r="K183" s="62"/>
    </row>
    <row r="184" spans="2:11" customFormat="1" ht="15" customHeight="1">
      <c r="B184" s="94">
        <v>2009</v>
      </c>
      <c r="C184" s="93">
        <v>54</v>
      </c>
      <c r="D184" s="93">
        <v>46</v>
      </c>
      <c r="E184" s="93">
        <v>51</v>
      </c>
      <c r="F184" s="93">
        <v>55</v>
      </c>
      <c r="G184" s="93">
        <v>54</v>
      </c>
      <c r="H184" s="93">
        <v>55</v>
      </c>
      <c r="I184" s="93">
        <v>59</v>
      </c>
      <c r="J184" s="94">
        <v>374</v>
      </c>
      <c r="K184" s="62"/>
    </row>
    <row r="185" spans="2:11" customFormat="1" ht="15" customHeight="1">
      <c r="B185" s="94">
        <v>2010</v>
      </c>
      <c r="C185" s="93">
        <v>59</v>
      </c>
      <c r="D185" s="93">
        <v>56</v>
      </c>
      <c r="E185" s="93">
        <v>52</v>
      </c>
      <c r="F185" s="93">
        <v>53</v>
      </c>
      <c r="G185" s="93">
        <v>58</v>
      </c>
      <c r="H185" s="93">
        <v>54</v>
      </c>
      <c r="I185" s="93">
        <v>56</v>
      </c>
      <c r="J185" s="92">
        <v>388</v>
      </c>
      <c r="K185" s="62"/>
    </row>
    <row r="186" spans="2:11" customFormat="1" ht="15" customHeight="1">
      <c r="B186" s="94">
        <v>2011</v>
      </c>
      <c r="C186" s="93">
        <v>50</v>
      </c>
      <c r="D186" s="93">
        <v>60</v>
      </c>
      <c r="E186" s="93">
        <v>54</v>
      </c>
      <c r="F186" s="93">
        <v>53</v>
      </c>
      <c r="G186" s="93">
        <v>54</v>
      </c>
      <c r="H186" s="93">
        <v>57</v>
      </c>
      <c r="I186" s="93">
        <v>53</v>
      </c>
      <c r="J186" s="92">
        <v>381</v>
      </c>
      <c r="K186" s="62"/>
    </row>
    <row r="187" spans="2:11" customFormat="1" ht="15" customHeight="1">
      <c r="B187" s="94">
        <v>2012</v>
      </c>
      <c r="C187" s="93">
        <v>58</v>
      </c>
      <c r="D187" s="93">
        <v>47</v>
      </c>
      <c r="E187" s="93">
        <v>59</v>
      </c>
      <c r="F187" s="93">
        <v>54</v>
      </c>
      <c r="G187" s="93">
        <v>54</v>
      </c>
      <c r="H187" s="93">
        <v>52</v>
      </c>
      <c r="I187" s="93">
        <v>59</v>
      </c>
      <c r="J187" s="92">
        <v>383</v>
      </c>
      <c r="K187" s="62"/>
    </row>
    <row r="188" spans="2:11" customFormat="1" ht="15" customHeight="1">
      <c r="B188" s="94">
        <v>2013</v>
      </c>
      <c r="C188" s="93">
        <v>49</v>
      </c>
      <c r="D188" s="93">
        <v>59</v>
      </c>
      <c r="E188" s="93">
        <v>48</v>
      </c>
      <c r="F188" s="93">
        <v>62</v>
      </c>
      <c r="G188" s="93">
        <v>51</v>
      </c>
      <c r="H188" s="93">
        <v>54</v>
      </c>
      <c r="I188" s="93">
        <v>53</v>
      </c>
      <c r="J188" s="94">
        <v>376</v>
      </c>
      <c r="K188" s="62"/>
    </row>
    <row r="189" spans="2:11" customFormat="1" ht="15" customHeight="1">
      <c r="B189" s="94">
        <v>2014</v>
      </c>
      <c r="C189" s="93">
        <v>49</v>
      </c>
      <c r="D189" s="93">
        <v>53</v>
      </c>
      <c r="E189" s="93">
        <v>60</v>
      </c>
      <c r="F189" s="93">
        <v>48</v>
      </c>
      <c r="G189" s="93">
        <v>64</v>
      </c>
      <c r="H189" s="93">
        <v>55</v>
      </c>
      <c r="I189" s="93">
        <v>55</v>
      </c>
      <c r="J189" s="92">
        <v>384</v>
      </c>
      <c r="K189" s="65"/>
    </row>
    <row r="190" spans="2:11" customFormat="1" ht="15" customHeight="1">
      <c r="B190" s="94">
        <v>2015</v>
      </c>
      <c r="C190" s="93">
        <v>49</v>
      </c>
      <c r="D190" s="93">
        <v>51</v>
      </c>
      <c r="E190" s="93">
        <v>60</v>
      </c>
      <c r="F190" s="93">
        <v>64</v>
      </c>
      <c r="G190" s="93">
        <v>50</v>
      </c>
      <c r="H190" s="93">
        <v>63</v>
      </c>
      <c r="I190" s="93">
        <v>53</v>
      </c>
      <c r="J190" s="92">
        <v>390</v>
      </c>
      <c r="K190" s="65"/>
    </row>
    <row r="191" spans="2:11" customFormat="1" ht="15" customHeight="1">
      <c r="B191" s="94">
        <v>2016</v>
      </c>
      <c r="C191" s="93">
        <v>54</v>
      </c>
      <c r="D191" s="93">
        <v>48</v>
      </c>
      <c r="E191" s="93">
        <v>49</v>
      </c>
      <c r="F191" s="93">
        <v>58</v>
      </c>
      <c r="G191" s="93">
        <v>65</v>
      </c>
      <c r="H191" s="93">
        <v>49</v>
      </c>
      <c r="I191" s="93">
        <v>62</v>
      </c>
      <c r="J191" s="92">
        <v>385</v>
      </c>
      <c r="K191" s="65"/>
    </row>
    <row r="192" spans="2:11" ht="15" customHeight="1">
      <c r="B192" s="94">
        <v>2017</v>
      </c>
      <c r="C192" s="93">
        <f>VLOOKUP($E$3,Rolls!A1:FA90,42,FALSE)</f>
        <v>51</v>
      </c>
      <c r="D192" s="93">
        <f>VLOOKUP($E$3,Rolls!A1:FA90,43,FALSE)</f>
        <v>58</v>
      </c>
      <c r="E192" s="93">
        <f>VLOOKUP($E$3,Rolls!A1:FA90,44,FALSE)</f>
        <v>49</v>
      </c>
      <c r="F192" s="93">
        <f>VLOOKUP($E$3,Rolls!A1:FA90,45,FALSE)</f>
        <v>47</v>
      </c>
      <c r="G192" s="93">
        <f>VLOOKUP($E$3,Rolls!A1:FA90,46,FALSE)</f>
        <v>62</v>
      </c>
      <c r="H192" s="93">
        <f>VLOOKUP($E$3,Rolls!A1:FA90,47,FALSE)</f>
        <v>63</v>
      </c>
      <c r="I192" s="93">
        <f>VLOOKUP($E$3,Rolls!A1:FA90,48,FALSE)</f>
        <v>51</v>
      </c>
      <c r="J192" s="92">
        <f>VLOOKUP($E$3,Rolls!A1:FA90,49,FALSE)</f>
        <v>381</v>
      </c>
      <c r="K192" s="65"/>
    </row>
    <row r="193" spans="2:11" ht="15" customHeight="1">
      <c r="B193" s="94">
        <v>2018</v>
      </c>
      <c r="C193" s="93">
        <f>VLOOKUP($E$3,Rolls!A1:FA90,50,FALSE)</f>
        <v>57</v>
      </c>
      <c r="D193" s="93">
        <f>VLOOKUP($E$3,Rolls!A1:FA90,51,FALSE)</f>
        <v>57</v>
      </c>
      <c r="E193" s="93">
        <f>VLOOKUP($E$3,Rolls!A1:FA90,52,FALSE)</f>
        <v>58</v>
      </c>
      <c r="F193" s="93">
        <f>VLOOKUP($E$3,Rolls!A1:FA90,53,FALSE)</f>
        <v>52</v>
      </c>
      <c r="G193" s="93">
        <f>VLOOKUP($E$3,Rolls!A1:FA90,54,FALSE)</f>
        <v>49</v>
      </c>
      <c r="H193" s="93">
        <f>VLOOKUP($E$3,Rolls!A1:FA90,55,FALSE)</f>
        <v>59</v>
      </c>
      <c r="I193" s="93">
        <f>VLOOKUP($E$3,Rolls!A1:FA90,56,FALSE)</f>
        <v>63</v>
      </c>
      <c r="J193" s="92">
        <f>VLOOKUP($E$3,Rolls!A1:FA90,57,FALSE)</f>
        <v>395</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Q193"/>
  <sheetViews>
    <sheetView topLeftCell="B39" zoomScaleNormal="100" workbookViewId="0">
      <selection activeCell="H64"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31</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East Craigs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476 Pupils (17 classes)</v>
      </c>
      <c r="G12" s="16"/>
      <c r="H12" s="16"/>
    </row>
    <row r="13" spans="2:10" ht="15" customHeight="1">
      <c r="C13" s="16"/>
      <c r="D13" s="16"/>
      <c r="E13" s="16"/>
      <c r="F13" s="16"/>
      <c r="G13" s="16"/>
      <c r="H13" s="16"/>
    </row>
    <row r="14" spans="2:10" ht="15" customHeight="1">
      <c r="B14" s="15" t="str">
        <f>"Figure 1: "&amp;E3&amp;" Roll, 2002-2015"</f>
        <v>Figure 1: East Craigs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East Craigs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67</v>
      </c>
      <c r="E49" s="108">
        <f>VLOOKUP($E$3,'Catchment Projections'!$A$1:$BU$90,46,FALSE)</f>
        <v>61</v>
      </c>
      <c r="F49" s="108">
        <f>VLOOKUP($E$3,'Catchment Projections'!$A$1:$BU$90,47,FALSE)</f>
        <v>48</v>
      </c>
      <c r="G49" s="108">
        <f>VLOOKUP($E$3,'Catchment Projections'!$A$1:$BU$90,48,FALSE)</f>
        <v>69</v>
      </c>
      <c r="H49" s="133">
        <f>VLOOKUP($E$3,'Catchment Projections'!$A$1:$BU$90,49,FALSE)</f>
        <v>60</v>
      </c>
      <c r="I49" s="133">
        <f>VLOOKUP($E$3,'Catchment Projections'!$A$1:$BU$90,50,FALSE)</f>
        <v>61</v>
      </c>
      <c r="J49" s="133">
        <f>VLOOKUP($E$3,'Catchment Projections'!$A$1:$BU$90,51,FALSE)</f>
        <v>62</v>
      </c>
      <c r="K49" s="133">
        <f>VLOOKUP($E$3,'Catchment Projections'!$A$1:$BU$90,52,FALSE)</f>
        <v>63</v>
      </c>
      <c r="L49" s="133">
        <f>VLOOKUP($E$3,'Catchment Projections'!$A$1:$BU$90,53,FALSE)</f>
        <v>63</v>
      </c>
      <c r="M49" s="133">
        <f>VLOOKUP($E$3,'Catchment Projections'!$A$1:$BU$90,54,FALSE)</f>
        <v>63</v>
      </c>
      <c r="N49" s="133">
        <f>VLOOKUP($E$3,'Catchment Projections'!$A$1:$BU$90,55,FALSE)</f>
        <v>64</v>
      </c>
      <c r="O49" s="133">
        <f>VLOOKUP($E$3,'Catchment Projections'!$A$1:$BU$90,56,FALSE)</f>
        <v>64</v>
      </c>
      <c r="P49" s="133">
        <f>VLOOKUP($E$3,'Catchment Projections'!$A$1:$BU$90,57,FALSE)</f>
        <v>64</v>
      </c>
      <c r="Q49" s="133">
        <f>VLOOKUP($E$3,'Catchment Projections'!$A$1:$BU$90,58,FALSE)</f>
        <v>64</v>
      </c>
    </row>
    <row r="50" spans="2:17" ht="15" customHeight="1" thickBot="1">
      <c r="B50" s="410" t="s">
        <v>141</v>
      </c>
      <c r="C50" s="411"/>
      <c r="D50" s="286">
        <f>VLOOKUP(E3,'Housing Generation'!$A$3:$DQ$90,10,FALSE)</f>
        <v>0</v>
      </c>
      <c r="E50" s="286">
        <f>VLOOKUP(E3,'Housing Generation'!$A$3:$DQ$90,18,FALSE)</f>
        <v>0</v>
      </c>
      <c r="F50" s="286">
        <f>VLOOKUP(E3,'Housing Generation'!$A$3:$DQ$90,26,FALSE)</f>
        <v>0</v>
      </c>
      <c r="G50" s="243">
        <f>VLOOKUP(E3,'Housing Generation'!$A$3:$DQ$90,34,FALSE)</f>
        <v>0</v>
      </c>
      <c r="H50" s="133">
        <f>VLOOKUP(E3,'Housing Generation'!$A$3:$DQ$90,42,FALSE)</f>
        <v>0</v>
      </c>
      <c r="I50" s="133">
        <f>VLOOKUP(E3,'Housing Generation'!$A$3:$DQ$90,50,FALSE)</f>
        <v>0</v>
      </c>
      <c r="J50" s="133">
        <f>VLOOKUP(E3,'Housing Generation'!$A$3:$CK$90,58,FALSE)</f>
        <v>0</v>
      </c>
      <c r="K50" s="133">
        <f>VLOOKUP(E3,'Housing Generation'!$A$3:$CK$90,66,FALSE)</f>
        <v>0</v>
      </c>
      <c r="L50" s="133">
        <f>VLOOKUP(E3,'Housing Generation'!$A$3:$DQ$90,74,FALSE)</f>
        <v>0</v>
      </c>
      <c r="M50" s="133">
        <f>VLOOKUP(E3,'Housing Generation'!$A$3:$DQ$90,82,FALSE)</f>
        <v>0</v>
      </c>
      <c r="N50" s="133">
        <f>VLOOKUP(E3,'Housing Generation'!$A$3:$DQ$90,90,FALSE)</f>
        <v>0</v>
      </c>
      <c r="O50" s="133">
        <f>VLOOKUP(E3,'Housing Generation'!$A$3:$DQ$90,98,FALSE)</f>
        <v>0</v>
      </c>
      <c r="P50" s="133">
        <f>VLOOKUP(E3,'Housing Generation'!$A$3:$DQ$90,106,FALSE)</f>
        <v>0</v>
      </c>
      <c r="Q50" s="133">
        <f>VLOOKUP(E3,'Housing Generation'!$A$3:$DQ$90,114,FALSE)</f>
        <v>0</v>
      </c>
    </row>
    <row r="51" spans="2:17" ht="15" customHeight="1" thickTop="1">
      <c r="B51" s="421" t="s">
        <v>130</v>
      </c>
      <c r="C51" s="422"/>
      <c r="D51" s="47">
        <f t="shared" ref="D51:Q51" si="0">SUM(D49:D50)</f>
        <v>67</v>
      </c>
      <c r="E51" s="47">
        <f t="shared" si="0"/>
        <v>61</v>
      </c>
      <c r="F51" s="80">
        <f t="shared" si="0"/>
        <v>48</v>
      </c>
      <c r="G51" s="244">
        <f t="shared" si="0"/>
        <v>69</v>
      </c>
      <c r="H51" s="71">
        <f t="shared" si="0"/>
        <v>60</v>
      </c>
      <c r="I51" s="71">
        <f t="shared" si="0"/>
        <v>61</v>
      </c>
      <c r="J51" s="71">
        <f t="shared" si="0"/>
        <v>62</v>
      </c>
      <c r="K51" s="71">
        <f t="shared" si="0"/>
        <v>63</v>
      </c>
      <c r="L51" s="71">
        <f t="shared" si="0"/>
        <v>63</v>
      </c>
      <c r="M51" s="71">
        <f t="shared" si="0"/>
        <v>63</v>
      </c>
      <c r="N51" s="71">
        <f t="shared" si="0"/>
        <v>64</v>
      </c>
      <c r="O51" s="71">
        <f t="shared" si="0"/>
        <v>64</v>
      </c>
      <c r="P51" s="71">
        <f t="shared" si="0"/>
        <v>64</v>
      </c>
      <c r="Q51" s="71">
        <f t="shared" si="0"/>
        <v>64</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68</v>
      </c>
      <c r="D60" s="358">
        <f>VLOOKUP($E$3,'Catchment Projections'!$A$1:$BZ$90,74,FALSE)</f>
        <v>60</v>
      </c>
      <c r="E60" s="303">
        <f>D60/C60</f>
        <v>0.88235294117647056</v>
      </c>
      <c r="G60" s="132">
        <v>2014</v>
      </c>
      <c r="H60" s="395">
        <f>VLOOKUP($G$60,$B$177:$C$215, 2, FALSE)</f>
        <v>62</v>
      </c>
      <c r="I60" s="120">
        <f>H60-D60</f>
        <v>2</v>
      </c>
      <c r="J60" s="121">
        <f>I60/H60</f>
        <v>3.2258064516129031E-2</v>
      </c>
    </row>
    <row r="61" spans="2:17" ht="15" customHeight="1">
      <c r="B61" s="132">
        <v>2015</v>
      </c>
      <c r="C61" s="359">
        <f>VLOOKUP($E$3,'Catchment Projections'!$A$1:$BZ$90,41,FALSE)</f>
        <v>70</v>
      </c>
      <c r="D61" s="358">
        <f>VLOOKUP($E$3,'Catchment Projections'!$A$1:$BZ$90,75,FALSE)</f>
        <v>65</v>
      </c>
      <c r="E61" s="303">
        <f>D61/C61</f>
        <v>0.9285714285714286</v>
      </c>
      <c r="G61" s="132">
        <v>2015</v>
      </c>
      <c r="H61" s="395">
        <f>VLOOKUP($G$61,$B$177:$C$215, 2, FALSE)</f>
        <v>65</v>
      </c>
      <c r="I61" s="120">
        <f>H61-D61</f>
        <v>0</v>
      </c>
      <c r="J61" s="121">
        <f>I61/H61</f>
        <v>0</v>
      </c>
    </row>
    <row r="62" spans="2:17" ht="15" customHeight="1">
      <c r="B62" s="131">
        <v>2016</v>
      </c>
      <c r="C62" s="359">
        <f>VLOOKUP($E$3,'Catchment Projections'!$A$1:$BZ$90,42,FALSE)</f>
        <v>72</v>
      </c>
      <c r="D62" s="358">
        <f>VLOOKUP($E$3,'Catchment Projections'!$A$1:$BZ$90,76,FALSE)</f>
        <v>64</v>
      </c>
      <c r="E62" s="57">
        <f>D62/C62</f>
        <v>0.88888888888888884</v>
      </c>
      <c r="G62" s="131">
        <v>2016</v>
      </c>
      <c r="H62" s="395">
        <f>VLOOKUP($G$62,$B$177:$C$215, 2, FALSE)</f>
        <v>66</v>
      </c>
      <c r="I62" s="120">
        <f>H62-D62</f>
        <v>2</v>
      </c>
      <c r="J62" s="121">
        <f>I62/H62</f>
        <v>3.0303030303030304E-2</v>
      </c>
    </row>
    <row r="63" spans="2:17" ht="15" customHeight="1">
      <c r="B63" s="114">
        <v>2017</v>
      </c>
      <c r="C63" s="359">
        <f>VLOOKUP($E$3,'Catchment Projections'!$A$1:$BZ$90,43,FALSE)</f>
        <v>44</v>
      </c>
      <c r="D63" s="358">
        <f>VLOOKUP($E$3,'Catchment Projections'!$A$1:$BZ$90,77,FALSE)</f>
        <v>41</v>
      </c>
      <c r="E63" s="304">
        <f>D63/C63</f>
        <v>0.93181818181818177</v>
      </c>
      <c r="G63" s="114">
        <v>2017</v>
      </c>
      <c r="H63" s="395">
        <f>VLOOKUP($G$63,$B$177:$C$215, 2, FALSE)</f>
        <v>44</v>
      </c>
      <c r="I63" s="120">
        <f>H63-D63</f>
        <v>3</v>
      </c>
      <c r="J63" s="121">
        <f>I63/H63</f>
        <v>6.8181818181818177E-2</v>
      </c>
    </row>
    <row r="64" spans="2:17" ht="15" customHeight="1">
      <c r="B64" s="114">
        <v>2018</v>
      </c>
      <c r="C64" s="359">
        <f>VLOOKUP($E$3,'Catchment Projections'!$A$1:$BZ$90,44,FALSE)</f>
        <v>57</v>
      </c>
      <c r="D64" s="358">
        <f>VLOOKUP($E$3,'Catchment Projections'!$A$1:$BZ$90,78,FALSE)</f>
        <v>56</v>
      </c>
      <c r="E64" s="305">
        <f>D64/C64</f>
        <v>0.98245614035087714</v>
      </c>
      <c r="G64" s="114">
        <v>2018</v>
      </c>
      <c r="H64" s="395">
        <f>VLOOKUP($G$64,$B$177:$C$215, 2, FALSE)</f>
        <v>59</v>
      </c>
      <c r="I64" s="120">
        <f>H64-D64</f>
        <v>3</v>
      </c>
      <c r="J64" s="121">
        <f>I64/H64</f>
        <v>5.0847457627118647E-2</v>
      </c>
    </row>
    <row r="65" spans="2:10" ht="15" customHeight="1">
      <c r="B65" s="412" t="s">
        <v>136</v>
      </c>
      <c r="C65" s="413"/>
      <c r="D65" s="414"/>
      <c r="E65" s="137">
        <f>IF((AVERAGE(E62:E64))="#DIV/0!","n/a",(AVERAGE(E62:E64)))</f>
        <v>0.93438773701931588</v>
      </c>
      <c r="G65" s="415" t="s">
        <v>137</v>
      </c>
      <c r="H65" s="416"/>
      <c r="I65" s="138">
        <f>MEDIAN(I60:I64)</f>
        <v>2</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67</v>
      </c>
      <c r="D70" s="408"/>
      <c r="E70" s="122">
        <f>E65</f>
        <v>0.93438773701931588</v>
      </c>
      <c r="F70" s="120">
        <f t="shared" ref="F70:F83" si="1">C70*$E$65</f>
        <v>62.603978380294166</v>
      </c>
      <c r="G70" s="118">
        <f>IF(F70&lt;26,25,IF(F70&gt;135,140,IF(F70&gt;130,135,IF(F70&gt;125,130,IF(F70&gt;120,125,IF(F70&gt;115,120,IF(F70&gt;110,115,IF(F70&gt;105,110,IF(F70&gt;100,105,IF(F70&gt;99,100,IF(F70&gt;90,99,IF(F70&gt;75,90,IF(F70&gt;72,75,IF(F70&gt;66,72,IF(F70&gt;60,66,IF(F70&gt;50,60,IF(F70&gt;30,50,IF(F70&gt;25,30,0))))))))))))))))))</f>
        <v>66</v>
      </c>
      <c r="H70" s="119">
        <f t="shared" ref="H70:H83" si="2">G70-F70</f>
        <v>3.3960216197058344</v>
      </c>
      <c r="I70" s="118" t="str">
        <f>IF(I$65&lt;H70, "NO", "YES")</f>
        <v>NO</v>
      </c>
      <c r="J70" s="117">
        <f t="shared" ref="J70:J83" si="3">IF(I70="YES",G70,(MIN((SUM(F70,$I$65)),G70)))</f>
        <v>64.603978380294166</v>
      </c>
    </row>
    <row r="71" spans="2:10" ht="15" customHeight="1">
      <c r="B71" s="114">
        <v>2020</v>
      </c>
      <c r="C71" s="433">
        <f>E51</f>
        <v>61</v>
      </c>
      <c r="D71" s="408"/>
      <c r="E71" s="121">
        <f>E65</f>
        <v>0.93438773701931588</v>
      </c>
      <c r="F71" s="120">
        <f t="shared" si="1"/>
        <v>56.997651958178267</v>
      </c>
      <c r="G71" s="118">
        <f t="shared" ref="G71:G83" si="4">IF(F71&lt;26,25,IF(F71&gt;135,140,IF(F71&gt;130,135,IF(F71&gt;125,130,IF(F71&gt;120,125,IF(F71&gt;115,120,IF(F71&gt;110,115,IF(F71&gt;105,110,IF(F71&gt;100,105,IF(F71&gt;99,100,IF(F71&gt;90,99,IF(F71&gt;75,90,IF(F71&gt;72,75,IF(F71&gt;66,72,IF(F71&gt;60,66,IF(F71&gt;50,60,IF(F71&gt;30,50,IF(F71&gt;25,30,0))))))))))))))))))</f>
        <v>60</v>
      </c>
      <c r="H71" s="119">
        <f t="shared" si="2"/>
        <v>3.0023480418217332</v>
      </c>
      <c r="I71" s="118" t="str">
        <f t="shared" ref="I71:I83" si="5">IF(I$65&lt;H71, "NO", "YES")</f>
        <v>NO</v>
      </c>
      <c r="J71" s="117">
        <f t="shared" si="3"/>
        <v>58.997651958178267</v>
      </c>
    </row>
    <row r="72" spans="2:10" ht="15" customHeight="1">
      <c r="B72" s="114">
        <v>2021</v>
      </c>
      <c r="C72" s="430">
        <f>F51</f>
        <v>48</v>
      </c>
      <c r="D72" s="431"/>
      <c r="E72" s="121">
        <f>E65</f>
        <v>0.93438773701931588</v>
      </c>
      <c r="F72" s="120">
        <f t="shared" si="1"/>
        <v>44.850611376927162</v>
      </c>
      <c r="G72" s="118">
        <f t="shared" si="4"/>
        <v>50</v>
      </c>
      <c r="H72" s="119">
        <f t="shared" si="2"/>
        <v>5.1493886230728378</v>
      </c>
      <c r="I72" s="118" t="str">
        <f t="shared" si="5"/>
        <v>NO</v>
      </c>
      <c r="J72" s="117">
        <f t="shared" si="3"/>
        <v>46.850611376927162</v>
      </c>
    </row>
    <row r="73" spans="2:10" ht="15" customHeight="1">
      <c r="B73" s="114">
        <v>2022</v>
      </c>
      <c r="C73" s="430">
        <f>G51</f>
        <v>69</v>
      </c>
      <c r="D73" s="431"/>
      <c r="E73" s="121">
        <f>E65</f>
        <v>0.93438773701931588</v>
      </c>
      <c r="F73" s="120">
        <f t="shared" si="1"/>
        <v>64.472753854332794</v>
      </c>
      <c r="G73" s="118">
        <f t="shared" si="4"/>
        <v>66</v>
      </c>
      <c r="H73" s="119">
        <f t="shared" si="2"/>
        <v>1.5272461456672062</v>
      </c>
      <c r="I73" s="118" t="str">
        <f t="shared" si="5"/>
        <v>YES</v>
      </c>
      <c r="J73" s="117">
        <f t="shared" si="3"/>
        <v>66</v>
      </c>
    </row>
    <row r="74" spans="2:10" ht="15" customHeight="1">
      <c r="B74" s="114">
        <v>2023</v>
      </c>
      <c r="C74" s="430">
        <f>H51</f>
        <v>60</v>
      </c>
      <c r="D74" s="431"/>
      <c r="E74" s="121">
        <f>E65</f>
        <v>0.93438773701931588</v>
      </c>
      <c r="F74" s="120">
        <f t="shared" si="1"/>
        <v>56.063264221158953</v>
      </c>
      <c r="G74" s="118">
        <f t="shared" si="4"/>
        <v>60</v>
      </c>
      <c r="H74" s="119">
        <f t="shared" si="2"/>
        <v>3.9367357788410473</v>
      </c>
      <c r="I74" s="118" t="str">
        <f t="shared" si="5"/>
        <v>NO</v>
      </c>
      <c r="J74" s="117">
        <f t="shared" si="3"/>
        <v>58.063264221158953</v>
      </c>
    </row>
    <row r="75" spans="2:10" ht="15" customHeight="1">
      <c r="B75" s="114">
        <v>2024</v>
      </c>
      <c r="C75" s="430">
        <f>I51</f>
        <v>61</v>
      </c>
      <c r="D75" s="431"/>
      <c r="E75" s="121">
        <f>E65</f>
        <v>0.93438773701931588</v>
      </c>
      <c r="F75" s="120">
        <f t="shared" si="1"/>
        <v>56.997651958178267</v>
      </c>
      <c r="G75" s="118">
        <f t="shared" si="4"/>
        <v>60</v>
      </c>
      <c r="H75" s="119">
        <f t="shared" si="2"/>
        <v>3.0023480418217332</v>
      </c>
      <c r="I75" s="118" t="str">
        <f t="shared" si="5"/>
        <v>NO</v>
      </c>
      <c r="J75" s="117">
        <f t="shared" si="3"/>
        <v>58.997651958178267</v>
      </c>
    </row>
    <row r="76" spans="2:10" ht="15" customHeight="1">
      <c r="B76" s="114">
        <v>2025</v>
      </c>
      <c r="C76" s="430">
        <f>J51</f>
        <v>62</v>
      </c>
      <c r="D76" s="431"/>
      <c r="E76" s="121">
        <f>E65</f>
        <v>0.93438773701931588</v>
      </c>
      <c r="F76" s="120">
        <f t="shared" si="1"/>
        <v>57.932039695197588</v>
      </c>
      <c r="G76" s="118">
        <f t="shared" si="4"/>
        <v>60</v>
      </c>
      <c r="H76" s="119">
        <f t="shared" si="2"/>
        <v>2.067960304802412</v>
      </c>
      <c r="I76" s="118" t="str">
        <f t="shared" si="5"/>
        <v>NO</v>
      </c>
      <c r="J76" s="117">
        <f t="shared" si="3"/>
        <v>59.932039695197588</v>
      </c>
    </row>
    <row r="77" spans="2:10" ht="15" customHeight="1">
      <c r="B77" s="114">
        <v>2026</v>
      </c>
      <c r="C77" s="430">
        <f>K51</f>
        <v>63</v>
      </c>
      <c r="D77" s="431"/>
      <c r="E77" s="121">
        <f>E65</f>
        <v>0.93438773701931588</v>
      </c>
      <c r="F77" s="120">
        <f t="shared" si="1"/>
        <v>58.866427432216902</v>
      </c>
      <c r="G77" s="118">
        <f t="shared" si="4"/>
        <v>60</v>
      </c>
      <c r="H77" s="119">
        <f t="shared" si="2"/>
        <v>1.1335725677830979</v>
      </c>
      <c r="I77" s="118" t="str">
        <f t="shared" si="5"/>
        <v>YES</v>
      </c>
      <c r="J77" s="117">
        <f t="shared" si="3"/>
        <v>60</v>
      </c>
    </row>
    <row r="78" spans="2:10" ht="15" customHeight="1">
      <c r="B78" s="114">
        <v>2027</v>
      </c>
      <c r="C78" s="430">
        <f>L51</f>
        <v>63</v>
      </c>
      <c r="D78" s="431"/>
      <c r="E78" s="121">
        <f>E65</f>
        <v>0.93438773701931588</v>
      </c>
      <c r="F78" s="120">
        <f t="shared" si="1"/>
        <v>58.866427432216902</v>
      </c>
      <c r="G78" s="118">
        <f t="shared" si="4"/>
        <v>60</v>
      </c>
      <c r="H78" s="119">
        <f t="shared" si="2"/>
        <v>1.1335725677830979</v>
      </c>
      <c r="I78" s="118" t="str">
        <f t="shared" si="5"/>
        <v>YES</v>
      </c>
      <c r="J78" s="117">
        <f t="shared" si="3"/>
        <v>60</v>
      </c>
    </row>
    <row r="79" spans="2:10" ht="15" customHeight="1">
      <c r="B79" s="114">
        <v>2028</v>
      </c>
      <c r="C79" s="430">
        <f>M51</f>
        <v>63</v>
      </c>
      <c r="D79" s="431"/>
      <c r="E79" s="121">
        <f t="shared" ref="E79:E83" si="6">$E$65</f>
        <v>0.93438773701931588</v>
      </c>
      <c r="F79" s="120">
        <f t="shared" si="1"/>
        <v>58.866427432216902</v>
      </c>
      <c r="G79" s="118">
        <f t="shared" si="4"/>
        <v>60</v>
      </c>
      <c r="H79" s="119">
        <f t="shared" si="2"/>
        <v>1.1335725677830979</v>
      </c>
      <c r="I79" s="118" t="str">
        <f t="shared" si="5"/>
        <v>YES</v>
      </c>
      <c r="J79" s="117">
        <f t="shared" si="3"/>
        <v>60</v>
      </c>
    </row>
    <row r="80" spans="2:10" ht="15" customHeight="1">
      <c r="B80" s="114">
        <v>2029</v>
      </c>
      <c r="C80" s="430">
        <f>N51</f>
        <v>64</v>
      </c>
      <c r="D80" s="431"/>
      <c r="E80" s="121">
        <f t="shared" si="6"/>
        <v>0.93438773701931588</v>
      </c>
      <c r="F80" s="120">
        <f t="shared" si="1"/>
        <v>59.800815169236216</v>
      </c>
      <c r="G80" s="118">
        <f t="shared" si="4"/>
        <v>60</v>
      </c>
      <c r="H80" s="119">
        <f t="shared" si="2"/>
        <v>0.19918483076378379</v>
      </c>
      <c r="I80" s="118" t="str">
        <f t="shared" si="5"/>
        <v>YES</v>
      </c>
      <c r="J80" s="117">
        <f t="shared" si="3"/>
        <v>60</v>
      </c>
    </row>
    <row r="81" spans="2:10" ht="15" customHeight="1">
      <c r="B81" s="114">
        <v>2030</v>
      </c>
      <c r="C81" s="430">
        <f>O51</f>
        <v>64</v>
      </c>
      <c r="D81" s="431"/>
      <c r="E81" s="121">
        <f t="shared" si="6"/>
        <v>0.93438773701931588</v>
      </c>
      <c r="F81" s="120">
        <f t="shared" si="1"/>
        <v>59.800815169236216</v>
      </c>
      <c r="G81" s="118">
        <f t="shared" si="4"/>
        <v>60</v>
      </c>
      <c r="H81" s="119">
        <f t="shared" si="2"/>
        <v>0.19918483076378379</v>
      </c>
      <c r="I81" s="118" t="str">
        <f t="shared" si="5"/>
        <v>YES</v>
      </c>
      <c r="J81" s="117">
        <f t="shared" si="3"/>
        <v>60</v>
      </c>
    </row>
    <row r="82" spans="2:10" ht="15" customHeight="1">
      <c r="B82" s="114">
        <v>2031</v>
      </c>
      <c r="C82" s="430">
        <f>P51</f>
        <v>64</v>
      </c>
      <c r="D82" s="431"/>
      <c r="E82" s="121">
        <f t="shared" si="6"/>
        <v>0.93438773701931588</v>
      </c>
      <c r="F82" s="120">
        <f t="shared" si="1"/>
        <v>59.800815169236216</v>
      </c>
      <c r="G82" s="118">
        <f t="shared" si="4"/>
        <v>60</v>
      </c>
      <c r="H82" s="119">
        <f t="shared" si="2"/>
        <v>0.19918483076378379</v>
      </c>
      <c r="I82" s="118" t="str">
        <f t="shared" si="5"/>
        <v>YES</v>
      </c>
      <c r="J82" s="117">
        <f t="shared" si="3"/>
        <v>60</v>
      </c>
    </row>
    <row r="83" spans="2:10" ht="15" customHeight="1">
      <c r="B83" s="114">
        <v>2032</v>
      </c>
      <c r="C83" s="430">
        <f>Q51</f>
        <v>64</v>
      </c>
      <c r="D83" s="431"/>
      <c r="E83" s="121">
        <f t="shared" si="6"/>
        <v>0.93438773701931588</v>
      </c>
      <c r="F83" s="120">
        <f t="shared" si="1"/>
        <v>59.800815169236216</v>
      </c>
      <c r="G83" s="118">
        <f t="shared" si="4"/>
        <v>60</v>
      </c>
      <c r="H83" s="119">
        <f t="shared" si="2"/>
        <v>0.19918483076378379</v>
      </c>
      <c r="I83" s="118" t="str">
        <f t="shared" si="5"/>
        <v>YES</v>
      </c>
      <c r="J83" s="117">
        <f t="shared" si="3"/>
        <v>60</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East Craigs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60</v>
      </c>
      <c r="D91" s="112">
        <f t="shared" ref="D91:J91" si="7">D188</f>
        <v>53</v>
      </c>
      <c r="E91" s="112">
        <f t="shared" si="7"/>
        <v>58</v>
      </c>
      <c r="F91" s="112">
        <f t="shared" si="7"/>
        <v>49</v>
      </c>
      <c r="G91" s="112">
        <f t="shared" si="7"/>
        <v>55</v>
      </c>
      <c r="H91" s="112">
        <f t="shared" si="7"/>
        <v>54</v>
      </c>
      <c r="I91" s="112">
        <f t="shared" si="7"/>
        <v>44</v>
      </c>
      <c r="J91" s="213">
        <f t="shared" si="7"/>
        <v>373</v>
      </c>
    </row>
    <row r="92" spans="2:10" ht="15" customHeight="1">
      <c r="B92" s="114">
        <v>2014</v>
      </c>
      <c r="C92" s="112">
        <f>C189</f>
        <v>62</v>
      </c>
      <c r="D92" s="112">
        <f t="shared" ref="D92:J92" si="8">D189</f>
        <v>60</v>
      </c>
      <c r="E92" s="112">
        <f t="shared" si="8"/>
        <v>57</v>
      </c>
      <c r="F92" s="112">
        <f t="shared" si="8"/>
        <v>62</v>
      </c>
      <c r="G92" s="112">
        <f t="shared" si="8"/>
        <v>48</v>
      </c>
      <c r="H92" s="112">
        <f t="shared" si="8"/>
        <v>59</v>
      </c>
      <c r="I92" s="112">
        <f t="shared" si="8"/>
        <v>54</v>
      </c>
      <c r="J92" s="213">
        <f t="shared" si="8"/>
        <v>402</v>
      </c>
    </row>
    <row r="93" spans="2:10" ht="15" customHeight="1">
      <c r="B93" s="114">
        <v>2015</v>
      </c>
      <c r="C93" s="112">
        <f>C190</f>
        <v>65</v>
      </c>
      <c r="D93" s="112">
        <f t="shared" ref="D93:J93" si="9">D190</f>
        <v>65</v>
      </c>
      <c r="E93" s="112">
        <f t="shared" si="9"/>
        <v>63</v>
      </c>
      <c r="F93" s="112">
        <f t="shared" si="9"/>
        <v>57</v>
      </c>
      <c r="G93" s="112">
        <f t="shared" si="9"/>
        <v>66</v>
      </c>
      <c r="H93" s="112">
        <f t="shared" si="9"/>
        <v>44</v>
      </c>
      <c r="I93" s="112">
        <f t="shared" si="9"/>
        <v>55</v>
      </c>
      <c r="J93" s="213">
        <f t="shared" si="9"/>
        <v>415</v>
      </c>
    </row>
    <row r="94" spans="2:10" ht="15" customHeight="1">
      <c r="B94" s="114">
        <v>2016</v>
      </c>
      <c r="C94" s="112">
        <f>C191</f>
        <v>66</v>
      </c>
      <c r="D94" s="112">
        <f t="shared" ref="D94:J94" si="10">D191</f>
        <v>66</v>
      </c>
      <c r="E94" s="112">
        <f t="shared" si="10"/>
        <v>65</v>
      </c>
      <c r="F94" s="112">
        <f t="shared" si="10"/>
        <v>66</v>
      </c>
      <c r="G94" s="112">
        <f t="shared" si="10"/>
        <v>57</v>
      </c>
      <c r="H94" s="112">
        <f t="shared" si="10"/>
        <v>67</v>
      </c>
      <c r="I94" s="112">
        <f t="shared" si="10"/>
        <v>47</v>
      </c>
      <c r="J94" s="213">
        <f t="shared" si="10"/>
        <v>434</v>
      </c>
    </row>
    <row r="95" spans="2:10" ht="15" customHeight="1">
      <c r="B95" s="114">
        <v>2017</v>
      </c>
      <c r="C95" s="112">
        <f>C192</f>
        <v>44</v>
      </c>
      <c r="D95" s="112">
        <f t="shared" ref="D95:J95" si="11">D192</f>
        <v>65</v>
      </c>
      <c r="E95" s="112">
        <f t="shared" si="11"/>
        <v>67</v>
      </c>
      <c r="F95" s="112">
        <f t="shared" si="11"/>
        <v>63</v>
      </c>
      <c r="G95" s="112">
        <f t="shared" si="11"/>
        <v>65</v>
      </c>
      <c r="H95" s="112">
        <f t="shared" si="11"/>
        <v>58</v>
      </c>
      <c r="I95" s="112">
        <f t="shared" si="11"/>
        <v>65</v>
      </c>
      <c r="J95" s="213">
        <f t="shared" si="11"/>
        <v>427</v>
      </c>
    </row>
    <row r="96" spans="2:10" ht="15" customHeight="1">
      <c r="B96" s="307">
        <v>2018</v>
      </c>
      <c r="C96" s="112">
        <f t="shared" ref="C96:J96" si="12">C193</f>
        <v>59</v>
      </c>
      <c r="D96" s="112">
        <f t="shared" si="12"/>
        <v>47</v>
      </c>
      <c r="E96" s="112">
        <f t="shared" si="12"/>
        <v>64</v>
      </c>
      <c r="F96" s="112">
        <f t="shared" si="12"/>
        <v>65</v>
      </c>
      <c r="G96" s="112">
        <f t="shared" si="12"/>
        <v>63</v>
      </c>
      <c r="H96" s="112">
        <f t="shared" si="12"/>
        <v>65</v>
      </c>
      <c r="I96" s="112">
        <f t="shared" si="12"/>
        <v>58</v>
      </c>
      <c r="J96" s="213">
        <f t="shared" si="12"/>
        <v>421</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-1.5384615384615385E-2</v>
      </c>
      <c r="E98" s="210">
        <f t="shared" ref="E98:I98" si="13">MEDIAN(((D91-E92)/D91),((D92-E93)/D92),((D93-E94)/D93),((D94-E95)/D94),((D95-E96)/D95))</f>
        <v>-1.5151515151515152E-2</v>
      </c>
      <c r="F98" s="210">
        <f t="shared" si="13"/>
        <v>0</v>
      </c>
      <c r="G98" s="210">
        <f t="shared" si="13"/>
        <v>0</v>
      </c>
      <c r="H98" s="210">
        <f t="shared" si="13"/>
        <v>-1.5151515151515152E-2</v>
      </c>
      <c r="I98" s="210">
        <f t="shared" si="13"/>
        <v>0</v>
      </c>
    </row>
    <row r="99" spans="2:10" ht="18.75">
      <c r="B99" s="59"/>
      <c r="C99" s="60"/>
      <c r="D99" s="61"/>
      <c r="E99" s="61"/>
      <c r="F99" s="61"/>
      <c r="G99" s="61"/>
      <c r="H99" s="61"/>
      <c r="I99" s="61"/>
      <c r="J99" s="58"/>
    </row>
    <row r="100" spans="2:10">
      <c r="B100" s="15" t="str">
        <f>"Table 4B: "&amp;E3&amp;" Projected Roll by Stage (incorporating Projected P1 and Drop-Off Rates), 2019-2032"</f>
        <v>Table 4B: East Craigs Primary School Projected Roll by Stage (incorporating Projected P1 and Drop-Off Rates), 2019-2032</v>
      </c>
      <c r="F100" s="14"/>
      <c r="G100" s="14"/>
    </row>
    <row r="101" spans="2:10" ht="12.75">
      <c r="F101" s="14"/>
      <c r="G101" s="14"/>
    </row>
    <row r="102" spans="2:10">
      <c r="B102" s="115"/>
      <c r="C102" s="109" t="s">
        <v>1</v>
      </c>
      <c r="D102" s="109" t="s">
        <v>2</v>
      </c>
      <c r="E102" s="109" t="s">
        <v>3</v>
      </c>
      <c r="F102" s="109" t="s">
        <v>4</v>
      </c>
      <c r="G102" s="109" t="s">
        <v>5</v>
      </c>
      <c r="H102" s="109" t="s">
        <v>6</v>
      </c>
      <c r="I102" s="109" t="s">
        <v>7</v>
      </c>
      <c r="J102" s="109" t="s">
        <v>8</v>
      </c>
    </row>
    <row r="103" spans="2:10">
      <c r="B103" s="114">
        <v>2019</v>
      </c>
      <c r="C103" s="113">
        <f t="shared" ref="C103:C116" si="14">J70</f>
        <v>64.603978380294166</v>
      </c>
      <c r="D103" s="324">
        <f>ROUND((C96)-(C96*$D$98),0)</f>
        <v>60</v>
      </c>
      <c r="E103" s="324">
        <f>ROUND((D96)-(D96*$E$98),0)</f>
        <v>48</v>
      </c>
      <c r="F103" s="324">
        <f>ROUND((E96)-(E96*$F$98),0)</f>
        <v>64</v>
      </c>
      <c r="G103" s="324">
        <f>ROUND((F96)-(F96*$G$98),0)</f>
        <v>65</v>
      </c>
      <c r="H103" s="324">
        <f>ROUND((G96)-(G96*$H$98),0)</f>
        <v>64</v>
      </c>
      <c r="I103" s="324">
        <f>ROUND((H96)-(H96*$I$98),0)</f>
        <v>65</v>
      </c>
      <c r="J103" s="111">
        <f t="shared" ref="J103:J116" si="15">SUM(C103:I103)</f>
        <v>430.60397838029417</v>
      </c>
    </row>
    <row r="104" spans="2:10">
      <c r="B104" s="114">
        <v>2020</v>
      </c>
      <c r="C104" s="113">
        <f t="shared" si="14"/>
        <v>58.997651958178267</v>
      </c>
      <c r="D104" s="324">
        <f>ROUND((C103-E50)-(C103*$D$98),0)</f>
        <v>66</v>
      </c>
      <c r="E104" s="112">
        <f t="shared" ref="E104:E116" si="16">ROUND((D103)-(D103*$E$98),0)</f>
        <v>61</v>
      </c>
      <c r="F104" s="112">
        <f t="shared" ref="F104:F116" si="17">ROUND((E103)-(E103*$F$98),0)</f>
        <v>48</v>
      </c>
      <c r="G104" s="112">
        <f t="shared" ref="G104:G116" si="18">ROUND((F103)-(F103*$G$98),0)</f>
        <v>64</v>
      </c>
      <c r="H104" s="112">
        <f t="shared" ref="H104:H116" si="19">ROUND((G103)-(G103*$H$98),0)</f>
        <v>66</v>
      </c>
      <c r="I104" s="112">
        <f t="shared" ref="I104:I116" si="20">ROUND((H103)-(H103*$I$98),0)</f>
        <v>64</v>
      </c>
      <c r="J104" s="111">
        <f t="shared" si="15"/>
        <v>427.99765195817827</v>
      </c>
    </row>
    <row r="105" spans="2:10">
      <c r="B105" s="114">
        <v>2021</v>
      </c>
      <c r="C105" s="113">
        <f t="shared" si="14"/>
        <v>46.850611376927162</v>
      </c>
      <c r="D105" s="324">
        <f>ROUND((C104-F50)-(C104*$D$98),0)</f>
        <v>60</v>
      </c>
      <c r="E105" s="112">
        <f t="shared" si="16"/>
        <v>67</v>
      </c>
      <c r="F105" s="112">
        <f t="shared" si="17"/>
        <v>61</v>
      </c>
      <c r="G105" s="112">
        <f t="shared" si="18"/>
        <v>48</v>
      </c>
      <c r="H105" s="112">
        <f t="shared" si="19"/>
        <v>65</v>
      </c>
      <c r="I105" s="112">
        <f t="shared" si="20"/>
        <v>66</v>
      </c>
      <c r="J105" s="111">
        <f t="shared" si="15"/>
        <v>413.85061137692719</v>
      </c>
    </row>
    <row r="106" spans="2:10">
      <c r="B106" s="114">
        <v>2022</v>
      </c>
      <c r="C106" s="113">
        <f t="shared" si="14"/>
        <v>66</v>
      </c>
      <c r="D106" s="324">
        <f>ROUND((C105-G50)-(C105*$D$98),0)</f>
        <v>48</v>
      </c>
      <c r="E106" s="112">
        <f t="shared" si="16"/>
        <v>61</v>
      </c>
      <c r="F106" s="112">
        <f t="shared" si="17"/>
        <v>67</v>
      </c>
      <c r="G106" s="112">
        <f t="shared" si="18"/>
        <v>61</v>
      </c>
      <c r="H106" s="112">
        <f t="shared" si="19"/>
        <v>49</v>
      </c>
      <c r="I106" s="112">
        <f t="shared" si="20"/>
        <v>65</v>
      </c>
      <c r="J106" s="111">
        <f t="shared" si="15"/>
        <v>417</v>
      </c>
    </row>
    <row r="107" spans="2:10">
      <c r="B107" s="114">
        <v>2023</v>
      </c>
      <c r="C107" s="113">
        <f t="shared" si="14"/>
        <v>58.063264221158953</v>
      </c>
      <c r="D107" s="324">
        <f>ROUND((C106-H50)-(C106*$D$98),0)</f>
        <v>67</v>
      </c>
      <c r="E107" s="112">
        <f t="shared" si="16"/>
        <v>49</v>
      </c>
      <c r="F107" s="112">
        <f t="shared" si="17"/>
        <v>61</v>
      </c>
      <c r="G107" s="112">
        <f t="shared" si="18"/>
        <v>67</v>
      </c>
      <c r="H107" s="112">
        <f t="shared" si="19"/>
        <v>62</v>
      </c>
      <c r="I107" s="112">
        <f t="shared" si="20"/>
        <v>49</v>
      </c>
      <c r="J107" s="111">
        <f t="shared" si="15"/>
        <v>413.06326422115899</v>
      </c>
    </row>
    <row r="108" spans="2:10">
      <c r="B108" s="114">
        <v>2024</v>
      </c>
      <c r="C108" s="113">
        <f t="shared" si="14"/>
        <v>58.997651958178267</v>
      </c>
      <c r="D108" s="324">
        <f>ROUND((C107-I50)-(C107*$D$98),0)</f>
        <v>59</v>
      </c>
      <c r="E108" s="112">
        <f t="shared" si="16"/>
        <v>68</v>
      </c>
      <c r="F108" s="112">
        <f t="shared" si="17"/>
        <v>49</v>
      </c>
      <c r="G108" s="112">
        <f t="shared" si="18"/>
        <v>61</v>
      </c>
      <c r="H108" s="112">
        <f t="shared" si="19"/>
        <v>68</v>
      </c>
      <c r="I108" s="112">
        <f t="shared" si="20"/>
        <v>62</v>
      </c>
      <c r="J108" s="111">
        <f t="shared" si="15"/>
        <v>425.99765195817827</v>
      </c>
    </row>
    <row r="109" spans="2:10">
      <c r="B109" s="114">
        <v>2025</v>
      </c>
      <c r="C109" s="113">
        <f t="shared" si="14"/>
        <v>59.932039695197588</v>
      </c>
      <c r="D109" s="324">
        <f>ROUND((C108-J50)-(C108*$D$98),0)</f>
        <v>60</v>
      </c>
      <c r="E109" s="112">
        <f t="shared" si="16"/>
        <v>60</v>
      </c>
      <c r="F109" s="112">
        <f t="shared" si="17"/>
        <v>68</v>
      </c>
      <c r="G109" s="112">
        <f t="shared" si="18"/>
        <v>49</v>
      </c>
      <c r="H109" s="112">
        <f t="shared" si="19"/>
        <v>62</v>
      </c>
      <c r="I109" s="112">
        <f t="shared" si="20"/>
        <v>68</v>
      </c>
      <c r="J109" s="111">
        <f t="shared" si="15"/>
        <v>426.9320396951976</v>
      </c>
    </row>
    <row r="110" spans="2:10">
      <c r="B110" s="114">
        <v>2026</v>
      </c>
      <c r="C110" s="113">
        <f t="shared" si="14"/>
        <v>60</v>
      </c>
      <c r="D110" s="324">
        <f>ROUND((C109-K50)-(C109*$D$98),0)</f>
        <v>61</v>
      </c>
      <c r="E110" s="112">
        <f t="shared" si="16"/>
        <v>61</v>
      </c>
      <c r="F110" s="112">
        <f t="shared" si="17"/>
        <v>60</v>
      </c>
      <c r="G110" s="112">
        <f t="shared" si="18"/>
        <v>68</v>
      </c>
      <c r="H110" s="112">
        <f t="shared" si="19"/>
        <v>50</v>
      </c>
      <c r="I110" s="112">
        <f t="shared" si="20"/>
        <v>62</v>
      </c>
      <c r="J110" s="111">
        <f t="shared" si="15"/>
        <v>422</v>
      </c>
    </row>
    <row r="111" spans="2:10">
      <c r="B111" s="114">
        <v>2027</v>
      </c>
      <c r="C111" s="113">
        <f t="shared" si="14"/>
        <v>60</v>
      </c>
      <c r="D111" s="324">
        <f>ROUND((C110-L50)-(C110*$D$98),0)</f>
        <v>61</v>
      </c>
      <c r="E111" s="112">
        <f t="shared" si="16"/>
        <v>62</v>
      </c>
      <c r="F111" s="112">
        <f t="shared" si="17"/>
        <v>61</v>
      </c>
      <c r="G111" s="112">
        <f t="shared" si="18"/>
        <v>60</v>
      </c>
      <c r="H111" s="112">
        <f t="shared" si="19"/>
        <v>69</v>
      </c>
      <c r="I111" s="112">
        <f t="shared" si="20"/>
        <v>50</v>
      </c>
      <c r="J111" s="111">
        <f t="shared" si="15"/>
        <v>423</v>
      </c>
    </row>
    <row r="112" spans="2:10">
      <c r="B112" s="114">
        <v>2028</v>
      </c>
      <c r="C112" s="113">
        <f t="shared" si="14"/>
        <v>60</v>
      </c>
      <c r="D112" s="324">
        <f>ROUND((C111-M50)-(C111*$D$98),0)</f>
        <v>61</v>
      </c>
      <c r="E112" s="112">
        <f t="shared" si="16"/>
        <v>62</v>
      </c>
      <c r="F112" s="112">
        <f t="shared" si="17"/>
        <v>62</v>
      </c>
      <c r="G112" s="112">
        <f t="shared" si="18"/>
        <v>61</v>
      </c>
      <c r="H112" s="112">
        <f t="shared" si="19"/>
        <v>61</v>
      </c>
      <c r="I112" s="112">
        <f t="shared" si="20"/>
        <v>69</v>
      </c>
      <c r="J112" s="111">
        <f t="shared" si="15"/>
        <v>436</v>
      </c>
    </row>
    <row r="113" spans="2:10" ht="15" customHeight="1">
      <c r="B113" s="114">
        <v>2029</v>
      </c>
      <c r="C113" s="113">
        <f t="shared" si="14"/>
        <v>60</v>
      </c>
      <c r="D113" s="324">
        <f>ROUND((C112-N50)-(C112*$D$98),0)</f>
        <v>61</v>
      </c>
      <c r="E113" s="112">
        <f t="shared" si="16"/>
        <v>62</v>
      </c>
      <c r="F113" s="112">
        <f t="shared" si="17"/>
        <v>62</v>
      </c>
      <c r="G113" s="112">
        <f t="shared" si="18"/>
        <v>62</v>
      </c>
      <c r="H113" s="112">
        <f t="shared" si="19"/>
        <v>62</v>
      </c>
      <c r="I113" s="112">
        <f t="shared" si="20"/>
        <v>61</v>
      </c>
      <c r="J113" s="111">
        <f t="shared" si="15"/>
        <v>430</v>
      </c>
    </row>
    <row r="114" spans="2:10" ht="15" customHeight="1">
      <c r="B114" s="114">
        <v>2030</v>
      </c>
      <c r="C114" s="113">
        <f t="shared" si="14"/>
        <v>60</v>
      </c>
      <c r="D114" s="324">
        <f>ROUND((C113-O50)-(C113*$D$98),0)</f>
        <v>61</v>
      </c>
      <c r="E114" s="112">
        <f t="shared" si="16"/>
        <v>62</v>
      </c>
      <c r="F114" s="112">
        <f t="shared" si="17"/>
        <v>62</v>
      </c>
      <c r="G114" s="112">
        <f t="shared" si="18"/>
        <v>62</v>
      </c>
      <c r="H114" s="112">
        <f t="shared" si="19"/>
        <v>63</v>
      </c>
      <c r="I114" s="112">
        <f t="shared" si="20"/>
        <v>62</v>
      </c>
      <c r="J114" s="111">
        <f t="shared" si="15"/>
        <v>432</v>
      </c>
    </row>
    <row r="115" spans="2:10" ht="15" customHeight="1">
      <c r="B115" s="114">
        <v>2031</v>
      </c>
      <c r="C115" s="113">
        <f t="shared" si="14"/>
        <v>60</v>
      </c>
      <c r="D115" s="324">
        <f>ROUND((C114-P50)-(C114*$D$98),0)</f>
        <v>61</v>
      </c>
      <c r="E115" s="112">
        <f t="shared" si="16"/>
        <v>62</v>
      </c>
      <c r="F115" s="112">
        <f t="shared" si="17"/>
        <v>62</v>
      </c>
      <c r="G115" s="112">
        <f t="shared" si="18"/>
        <v>62</v>
      </c>
      <c r="H115" s="112">
        <f t="shared" si="19"/>
        <v>63</v>
      </c>
      <c r="I115" s="112">
        <f t="shared" si="20"/>
        <v>63</v>
      </c>
      <c r="J115" s="111">
        <f t="shared" si="15"/>
        <v>433</v>
      </c>
    </row>
    <row r="116" spans="2:10" ht="15" customHeight="1">
      <c r="B116" s="114">
        <v>2032</v>
      </c>
      <c r="C116" s="113">
        <f t="shared" si="14"/>
        <v>60</v>
      </c>
      <c r="D116" s="324">
        <f>ROUND((C115-Q50)-(C115*$D$98),0)</f>
        <v>61</v>
      </c>
      <c r="E116" s="112">
        <f t="shared" si="16"/>
        <v>62</v>
      </c>
      <c r="F116" s="112">
        <f t="shared" si="17"/>
        <v>62</v>
      </c>
      <c r="G116" s="112">
        <f t="shared" si="18"/>
        <v>62</v>
      </c>
      <c r="H116" s="112">
        <f t="shared" si="19"/>
        <v>63</v>
      </c>
      <c r="I116" s="112">
        <f t="shared" si="20"/>
        <v>63</v>
      </c>
      <c r="J116" s="111">
        <f t="shared" si="15"/>
        <v>433</v>
      </c>
    </row>
    <row r="117" spans="2:10" ht="15" hidden="1" customHeight="1">
      <c r="F117" s="14"/>
      <c r="G117" s="14"/>
    </row>
    <row r="118" spans="2:10" ht="15" hidden="1" customHeight="1">
      <c r="B118" s="15" t="str">
        <f>"Table 4C: "&amp;E3&amp;" Projected Pupil Generation from Housing Development, 2019-2032"</f>
        <v>Table 4C: East Craigs Primary School Projected Pupil Generation from Housing Development, 2019-2032</v>
      </c>
      <c r="F118" s="14"/>
      <c r="G118" s="14"/>
    </row>
    <row r="119" spans="2:10" ht="15" hidden="1" customHeight="1">
      <c r="F119" s="14"/>
      <c r="G119" s="14"/>
    </row>
    <row r="120" spans="2:10" ht="15" hidden="1" customHeight="1">
      <c r="B120" s="115"/>
      <c r="C120" s="109" t="s">
        <v>1</v>
      </c>
      <c r="D120" s="109" t="s">
        <v>2</v>
      </c>
      <c r="E120" s="109" t="s">
        <v>3</v>
      </c>
      <c r="F120" s="109" t="s">
        <v>4</v>
      </c>
      <c r="G120" s="109" t="s">
        <v>5</v>
      </c>
      <c r="H120" s="109" t="s">
        <v>6</v>
      </c>
      <c r="I120" s="109" t="s">
        <v>7</v>
      </c>
      <c r="J120" s="109" t="s">
        <v>8</v>
      </c>
    </row>
    <row r="121" spans="2:10" ht="15" hidden="1" customHeight="1">
      <c r="B121" s="114">
        <v>2019</v>
      </c>
      <c r="C121" s="116" t="s">
        <v>97</v>
      </c>
      <c r="D121" s="112">
        <f>VLOOKUP($E$3,'Housing Generation'!$A$3:$BE$90,11,FALSE)</f>
        <v>0</v>
      </c>
      <c r="E121" s="112">
        <f>VLOOKUP($E$3,'Housing Generation'!$A$3:$BE$90,12,FALSE)</f>
        <v>0</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0</v>
      </c>
    </row>
    <row r="122" spans="2:10" ht="15" hidden="1" customHeight="1">
      <c r="B122" s="114">
        <v>2020</v>
      </c>
      <c r="C122" s="116" t="s">
        <v>97</v>
      </c>
      <c r="D122" s="112">
        <f>VLOOKUP($E$3,'Housing Generation'!$A$3:$BE$90,19,FALSE)</f>
        <v>0</v>
      </c>
      <c r="E122" s="112">
        <f>VLOOKUP($E$3,'Housing Generation'!$A$3:$BE$90,20,FALSE)</f>
        <v>0</v>
      </c>
      <c r="F122" s="112">
        <f>VLOOKUP($E$3,'Housing Generation'!$A$3:$BE$90,21,FALSE)</f>
        <v>0</v>
      </c>
      <c r="G122" s="112">
        <f>VLOOKUP($E$3,'Housing Generation'!$A$3:$BE$90,22,FALSE)</f>
        <v>0</v>
      </c>
      <c r="H122" s="112">
        <f>VLOOKUP($E$3,'Housing Generation'!$A$3:$BE$90,23,FALSE)</f>
        <v>0</v>
      </c>
      <c r="I122" s="112">
        <f>VLOOKUP($E$3,'Housing Generation'!$A$3:$BE$90,24,FALSE)</f>
        <v>0</v>
      </c>
      <c r="J122" s="111">
        <f t="shared" si="21"/>
        <v>0</v>
      </c>
    </row>
    <row r="123" spans="2:10" ht="15" hidden="1" customHeight="1">
      <c r="B123" s="114">
        <v>2021</v>
      </c>
      <c r="C123" s="116" t="s">
        <v>97</v>
      </c>
      <c r="D123" s="112">
        <f>VLOOKUP($E$3,'Housing Generation'!$A$3:$BE$90,27,FALSE)</f>
        <v>0</v>
      </c>
      <c r="E123" s="112">
        <f>VLOOKUP($E$3,'Housing Generation'!$A$3:$BE$90,28,FALSE)</f>
        <v>0</v>
      </c>
      <c r="F123" s="112">
        <f>VLOOKUP($E$3,'Housing Generation'!$A$3:$BE$90,29,FALSE)</f>
        <v>0</v>
      </c>
      <c r="G123" s="112">
        <f>VLOOKUP($E$3,'Housing Generation'!$A$3:$BE$90,30,FALSE)</f>
        <v>0</v>
      </c>
      <c r="H123" s="112">
        <f>VLOOKUP($E$3,'Housing Generation'!$A$3:$BE$90,31,FALSE)</f>
        <v>0</v>
      </c>
      <c r="I123" s="112">
        <f>VLOOKUP($E$3,'Housing Generation'!$A$3:$BE$90,32,FALSE)</f>
        <v>0</v>
      </c>
      <c r="J123" s="111">
        <f t="shared" si="21"/>
        <v>0</v>
      </c>
    </row>
    <row r="124" spans="2:10" ht="15" hidden="1" customHeight="1">
      <c r="B124" s="114">
        <v>2022</v>
      </c>
      <c r="C124" s="116" t="s">
        <v>97</v>
      </c>
      <c r="D124" s="112">
        <f>VLOOKUP($E$3,'Housing Generation'!$A$3:$BE$90,35,FALSE)</f>
        <v>0</v>
      </c>
      <c r="E124" s="112">
        <f>VLOOKUP($E$3,'Housing Generation'!$A$3:$BE$90,36,FALSE)</f>
        <v>0</v>
      </c>
      <c r="F124" s="112">
        <f>VLOOKUP($E$3,'Housing Generation'!$A$3:$BE$90,37,FALSE)</f>
        <v>0</v>
      </c>
      <c r="G124" s="112">
        <f>VLOOKUP($E$3,'Housing Generation'!$A$3:$BE$90,38,FALSE)</f>
        <v>0</v>
      </c>
      <c r="H124" s="112">
        <f>VLOOKUP($E$3,'Housing Generation'!$A$3:$BE$90,39,FALSE)</f>
        <v>0</v>
      </c>
      <c r="I124" s="112">
        <f>VLOOKUP($E$3,'Housing Generation'!$A$3:$BE$90,40,FALSE)</f>
        <v>0</v>
      </c>
      <c r="J124" s="111">
        <f t="shared" si="21"/>
        <v>0</v>
      </c>
    </row>
    <row r="125" spans="2:10" ht="15" hidden="1" customHeight="1">
      <c r="B125" s="114">
        <v>2023</v>
      </c>
      <c r="C125" s="116" t="s">
        <v>97</v>
      </c>
      <c r="D125" s="112">
        <f>VLOOKUP($E$3,'Housing Generation'!$A$3:$BE$90,43,FALSE)</f>
        <v>0</v>
      </c>
      <c r="E125" s="112">
        <f>VLOOKUP($E$3,'Housing Generation'!$A$3:$BE$90,44,FALSE)</f>
        <v>0</v>
      </c>
      <c r="F125" s="112">
        <f>VLOOKUP($E$3,'Housing Generation'!$A$3:$BE$90,45,FALSE)</f>
        <v>0</v>
      </c>
      <c r="G125" s="112">
        <f>VLOOKUP($E$3,'Housing Generation'!$A$3:$BE$90,46,FALSE)</f>
        <v>0</v>
      </c>
      <c r="H125" s="112">
        <f>VLOOKUP($E$3,'Housing Generation'!$A$3:$BE$90,47,FALSE)</f>
        <v>0</v>
      </c>
      <c r="I125" s="112">
        <f>VLOOKUP($E$3,'Housing Generation'!$A$3:$BE$90,48,FALSE)</f>
        <v>0</v>
      </c>
      <c r="J125" s="111">
        <f t="shared" si="21"/>
        <v>0</v>
      </c>
    </row>
    <row r="126" spans="2:10" ht="15" hidden="1" customHeight="1">
      <c r="B126" s="114">
        <v>2024</v>
      </c>
      <c r="C126" s="116" t="s">
        <v>97</v>
      </c>
      <c r="D126" s="112">
        <f>VLOOKUP($E$3,'Housing Generation'!$A$3:$BE$90,51,FALSE)</f>
        <v>0</v>
      </c>
      <c r="E126" s="112">
        <f>VLOOKUP($E$3,'Housing Generation'!$A$3:$BE$90,52,FALSE)</f>
        <v>0</v>
      </c>
      <c r="F126" s="112">
        <f>VLOOKUP($E$3,'Housing Generation'!$A$3:$BE$90,53,FALSE)</f>
        <v>0</v>
      </c>
      <c r="G126" s="112">
        <f>VLOOKUP($E$3,'Housing Generation'!$A$3:$BE$90,54,FALSE)</f>
        <v>0</v>
      </c>
      <c r="H126" s="112">
        <f>VLOOKUP($E$3,'Housing Generation'!$A$3:$BE$90,55,FALSE)</f>
        <v>0</v>
      </c>
      <c r="I126" s="112">
        <f>VLOOKUP($E$3,'Housing Generation'!$A$3:$BE$90,56,FALSE)</f>
        <v>0</v>
      </c>
      <c r="J126" s="111">
        <f t="shared" si="21"/>
        <v>0</v>
      </c>
    </row>
    <row r="127" spans="2:10" ht="15" hidden="1" customHeight="1">
      <c r="B127" s="114">
        <v>2025</v>
      </c>
      <c r="C127" s="240" t="s">
        <v>97</v>
      </c>
      <c r="D127" s="112">
        <f>VLOOKUP($E$3,'Housing Generation'!$A$3:$CK$90,59,FALSE)</f>
        <v>0</v>
      </c>
      <c r="E127" s="112">
        <f>VLOOKUP($E$3,'Housing Generation'!$A$3:$CK$90,60,FALSE)</f>
        <v>0</v>
      </c>
      <c r="F127" s="112">
        <f>VLOOKUP($E$3,'Housing Generation'!$A$3:$CK$90,61,FALSE)</f>
        <v>0</v>
      </c>
      <c r="G127" s="112">
        <f>VLOOKUP($E$3,'Housing Generation'!$A$3:$CK$90,62,FALSE)</f>
        <v>0</v>
      </c>
      <c r="H127" s="112">
        <f>VLOOKUP($E$3,'Housing Generation'!$A$3:$CK$90,63,FALSE)</f>
        <v>0</v>
      </c>
      <c r="I127" s="112">
        <f>VLOOKUP($E$3,'Housing Generation'!$A$3:$CK$90,64,FALSE)</f>
        <v>0</v>
      </c>
      <c r="J127" s="111">
        <f t="shared" si="21"/>
        <v>0</v>
      </c>
    </row>
    <row r="128" spans="2:10" ht="15" hidden="1" customHeight="1">
      <c r="B128" s="114">
        <v>2026</v>
      </c>
      <c r="C128" s="240" t="s">
        <v>97</v>
      </c>
      <c r="D128" s="112">
        <f>VLOOKUP($E$3,'Housing Generation'!$A$3:$CK$90,67,FALSE)</f>
        <v>0</v>
      </c>
      <c r="E128" s="112">
        <f>VLOOKUP($E$3,'Housing Generation'!$A$3:$CK$90,68,FALSE)</f>
        <v>0</v>
      </c>
      <c r="F128" s="112">
        <f>VLOOKUP($E$3,'Housing Generation'!$A$3:$CK$90,69,FALSE)</f>
        <v>0</v>
      </c>
      <c r="G128" s="112">
        <f>VLOOKUP($E$3,'Housing Generation'!$A$3:$CK$90,70,FALSE)</f>
        <v>0</v>
      </c>
      <c r="H128" s="112">
        <f>VLOOKUP($E$3,'Housing Generation'!$A$3:$CK$90,71,FALSE)</f>
        <v>0</v>
      </c>
      <c r="I128" s="112">
        <f>VLOOKUP($E$3,'Housing Generation'!$A$3:$CK$90,72,FALSE)</f>
        <v>0</v>
      </c>
      <c r="J128" s="111">
        <f t="shared" si="21"/>
        <v>0</v>
      </c>
    </row>
    <row r="129" spans="2:10" ht="15" hidden="1" customHeight="1">
      <c r="B129" s="114">
        <v>2027</v>
      </c>
      <c r="C129" s="240" t="s">
        <v>97</v>
      </c>
      <c r="D129" s="112">
        <f>VLOOKUP($E$3,'Housing Generation'!$A$3:$CK$90,75,FALSE)</f>
        <v>0</v>
      </c>
      <c r="E129" s="112">
        <f>VLOOKUP($E$3,'Housing Generation'!$A$3:$CK$90,76,FALSE)</f>
        <v>0</v>
      </c>
      <c r="F129" s="112">
        <f>VLOOKUP($E$3,'Housing Generation'!$A$3:$CK$90,77,FALSE)</f>
        <v>0</v>
      </c>
      <c r="G129" s="112">
        <f>VLOOKUP($E$3,'Housing Generation'!$A$3:$CK$90,78,FALSE)</f>
        <v>0</v>
      </c>
      <c r="H129" s="112">
        <f>VLOOKUP($E$3,'Housing Generation'!$A$3:$CK$90,79,FALSE)</f>
        <v>0</v>
      </c>
      <c r="I129" s="112">
        <f>VLOOKUP($E$3,'Housing Generation'!$A$3:$CK$90,80,FALSE)</f>
        <v>0</v>
      </c>
      <c r="J129" s="111">
        <f t="shared" si="21"/>
        <v>0</v>
      </c>
    </row>
    <row r="130" spans="2:10" ht="15" customHeight="1">
      <c r="B130" s="114">
        <v>2028</v>
      </c>
      <c r="C130" s="289" t="s">
        <v>97</v>
      </c>
      <c r="D130" s="112">
        <f>VLOOKUP($E$3,'Housing Generation'!$A$3:$CK$90,83,FALSE)</f>
        <v>0</v>
      </c>
      <c r="E130" s="112">
        <f>VLOOKUP($E$3,'Housing Generation'!$A$3:$CK$90,84,FALSE)</f>
        <v>0</v>
      </c>
      <c r="F130" s="112">
        <f>VLOOKUP($E$3,'Housing Generation'!$A$3:$CK$90,85,FALSE)</f>
        <v>0</v>
      </c>
      <c r="G130" s="112">
        <f>VLOOKUP($E$3,'Housing Generation'!$A$3:$CK$90,86,FALSE)</f>
        <v>0</v>
      </c>
      <c r="H130" s="112">
        <f>VLOOKUP($E$3,'Housing Generation'!$A$3:$CK$90,87,FALSE)</f>
        <v>0</v>
      </c>
      <c r="I130" s="112">
        <f>VLOOKUP($E$3,'Housing Generation'!$A$3:$CK$90,88,FALSE)</f>
        <v>0</v>
      </c>
      <c r="J130" s="111">
        <f t="shared" si="21"/>
        <v>0</v>
      </c>
    </row>
    <row r="131" spans="2:10" ht="15" customHeight="1">
      <c r="B131" s="114">
        <v>2029</v>
      </c>
      <c r="C131" s="289" t="s">
        <v>97</v>
      </c>
      <c r="D131" s="112">
        <f>VLOOKUP($E$3,'Housing Generation'!$A$3:$DQ$90,91,FALSE)</f>
        <v>0</v>
      </c>
      <c r="E131" s="112">
        <f>VLOOKUP($E$3,'Housing Generation'!$A$3:$DQ$90,92,FALSE)</f>
        <v>0</v>
      </c>
      <c r="F131" s="112">
        <f>VLOOKUP($E$3,'Housing Generation'!$A$3:$DQ$90,93,FALSE)</f>
        <v>0</v>
      </c>
      <c r="G131" s="112">
        <f>VLOOKUP($E$3,'Housing Generation'!$A$3:$DQ$90,94,FALSE)</f>
        <v>0</v>
      </c>
      <c r="H131" s="112">
        <f>VLOOKUP($E$3,'Housing Generation'!$A$3:$DQ$90,95,FALSE)</f>
        <v>0</v>
      </c>
      <c r="I131" s="112">
        <f>VLOOKUP($E$3,'Housing Generation'!$A$3:$DQ$90,96,FALSE)</f>
        <v>0</v>
      </c>
      <c r="J131" s="111">
        <f t="shared" si="21"/>
        <v>0</v>
      </c>
    </row>
    <row r="132" spans="2:10" ht="15" customHeight="1">
      <c r="B132" s="114">
        <v>2030</v>
      </c>
      <c r="C132" s="289" t="s">
        <v>97</v>
      </c>
      <c r="D132" s="112">
        <f>VLOOKUP($E$3,'Housing Generation'!$A$3:$DQ$90,99,FALSE)</f>
        <v>0</v>
      </c>
      <c r="E132" s="112">
        <f>VLOOKUP($E$3,'Housing Generation'!$A$3:$DQ$90,100,FALSE)</f>
        <v>0</v>
      </c>
      <c r="F132" s="112">
        <f>VLOOKUP($E$3,'Housing Generation'!$A$3:$DQ$90,101,FALSE)</f>
        <v>0</v>
      </c>
      <c r="G132" s="112">
        <f>VLOOKUP($E$3,'Housing Generation'!$A$3:$DQ$90,102,FALSE)</f>
        <v>0</v>
      </c>
      <c r="H132" s="112">
        <f>VLOOKUP($E$3,'Housing Generation'!$A$3:$DQ$90,103,FALSE)</f>
        <v>0</v>
      </c>
      <c r="I132" s="112">
        <f>VLOOKUP($E$3,'Housing Generation'!$A$3:$DQ$90,104,FALSE)</f>
        <v>0</v>
      </c>
      <c r="J132" s="111">
        <f t="shared" si="21"/>
        <v>0</v>
      </c>
    </row>
    <row r="133" spans="2:10" ht="15" customHeight="1">
      <c r="B133" s="114">
        <v>2031</v>
      </c>
      <c r="C133" s="289" t="s">
        <v>97</v>
      </c>
      <c r="D133" s="112">
        <f>VLOOKUP($E$3,'Housing Generation'!$A$3:$DQ$90,107,FALSE)</f>
        <v>0</v>
      </c>
      <c r="E133" s="112">
        <f>VLOOKUP($E$3,'Housing Generation'!$A$3:$DQ$90,108,FALSE)</f>
        <v>0</v>
      </c>
      <c r="F133" s="112">
        <f>VLOOKUP($E$3,'Housing Generation'!$A$3:$DQ$90,109,FALSE)</f>
        <v>0</v>
      </c>
      <c r="G133" s="112">
        <f>VLOOKUP($E$3,'Housing Generation'!$A$3:$DQ$90,110,FALSE)</f>
        <v>0</v>
      </c>
      <c r="H133" s="112">
        <f>VLOOKUP($E$3,'Housing Generation'!$A$3:$DQ$90,111,FALSE)</f>
        <v>0</v>
      </c>
      <c r="I133" s="112">
        <f>VLOOKUP($E$3,'Housing Generation'!$A$3:$DQ$90,112,FALSE)</f>
        <v>0</v>
      </c>
      <c r="J133" s="111">
        <f t="shared" si="21"/>
        <v>0</v>
      </c>
    </row>
    <row r="134" spans="2:10" ht="15" customHeight="1">
      <c r="B134" s="114">
        <v>2032</v>
      </c>
      <c r="C134" s="289" t="s">
        <v>97</v>
      </c>
      <c r="D134" s="112">
        <f>VLOOKUP($E$3,'Housing Generation'!$A$3:$DQ$90,115,FALSE)</f>
        <v>0</v>
      </c>
      <c r="E134" s="112">
        <f>VLOOKUP($E$3,'Housing Generation'!$A$3:$DQ$90,116,FALSE)</f>
        <v>0</v>
      </c>
      <c r="F134" s="112">
        <f>VLOOKUP($E$3,'Housing Generation'!$A$3:$DQ$90,117,FALSE)</f>
        <v>0</v>
      </c>
      <c r="G134" s="112">
        <f>VLOOKUP($E$3,'Housing Generation'!$A$3:$DQ$90,118,FALSE)</f>
        <v>0</v>
      </c>
      <c r="H134" s="112">
        <f>VLOOKUP($E$3,'Housing Generation'!$A$3:$DQ$90,119,FALSE)</f>
        <v>0</v>
      </c>
      <c r="I134" s="112">
        <f>VLOOKUP($E$3,'Housing Generation'!$A$3:$DQ$90,120,FALSE)</f>
        <v>0</v>
      </c>
      <c r="J134" s="111">
        <f t="shared" si="21"/>
        <v>0</v>
      </c>
    </row>
    <row r="135" spans="2:10" ht="15" hidden="1"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East Craigs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64.603978380294166</v>
      </c>
      <c r="D139" s="112">
        <f t="shared" ref="D139:I152" si="23">D121+D103</f>
        <v>60</v>
      </c>
      <c r="E139" s="112">
        <f t="shared" si="23"/>
        <v>48</v>
      </c>
      <c r="F139" s="112">
        <f t="shared" si="23"/>
        <v>64</v>
      </c>
      <c r="G139" s="112">
        <f t="shared" si="23"/>
        <v>65</v>
      </c>
      <c r="H139" s="112">
        <f t="shared" si="23"/>
        <v>64</v>
      </c>
      <c r="I139" s="112">
        <f t="shared" si="23"/>
        <v>65</v>
      </c>
      <c r="J139" s="111">
        <f t="shared" ref="J139:J147" si="24">SUM(C139:I139)</f>
        <v>430.60397838029417</v>
      </c>
    </row>
    <row r="140" spans="2:10" ht="15" customHeight="1">
      <c r="B140" s="114">
        <v>2020</v>
      </c>
      <c r="C140" s="113">
        <f t="shared" si="22"/>
        <v>58.997651958178267</v>
      </c>
      <c r="D140" s="112">
        <f t="shared" si="23"/>
        <v>66</v>
      </c>
      <c r="E140" s="112">
        <f t="shared" si="23"/>
        <v>61</v>
      </c>
      <c r="F140" s="112">
        <f t="shared" si="23"/>
        <v>48</v>
      </c>
      <c r="G140" s="112">
        <f t="shared" si="23"/>
        <v>64</v>
      </c>
      <c r="H140" s="112">
        <f t="shared" si="23"/>
        <v>66</v>
      </c>
      <c r="I140" s="112">
        <f t="shared" si="23"/>
        <v>64</v>
      </c>
      <c r="J140" s="111">
        <f t="shared" si="24"/>
        <v>427.99765195817827</v>
      </c>
    </row>
    <row r="141" spans="2:10" ht="15" customHeight="1">
      <c r="B141" s="114">
        <v>2021</v>
      </c>
      <c r="C141" s="113">
        <f t="shared" si="22"/>
        <v>46.850611376927162</v>
      </c>
      <c r="D141" s="112">
        <f t="shared" si="23"/>
        <v>60</v>
      </c>
      <c r="E141" s="112">
        <f t="shared" si="23"/>
        <v>67</v>
      </c>
      <c r="F141" s="112">
        <f t="shared" si="23"/>
        <v>61</v>
      </c>
      <c r="G141" s="112">
        <f t="shared" si="23"/>
        <v>48</v>
      </c>
      <c r="H141" s="112">
        <f t="shared" si="23"/>
        <v>65</v>
      </c>
      <c r="I141" s="112">
        <f t="shared" si="23"/>
        <v>66</v>
      </c>
      <c r="J141" s="111">
        <f t="shared" si="24"/>
        <v>413.85061137692719</v>
      </c>
    </row>
    <row r="142" spans="2:10" ht="15" customHeight="1">
      <c r="B142" s="114">
        <v>2022</v>
      </c>
      <c r="C142" s="113">
        <f t="shared" si="22"/>
        <v>66</v>
      </c>
      <c r="D142" s="112">
        <f t="shared" si="23"/>
        <v>48</v>
      </c>
      <c r="E142" s="112">
        <f t="shared" si="23"/>
        <v>61</v>
      </c>
      <c r="F142" s="112">
        <f t="shared" si="23"/>
        <v>67</v>
      </c>
      <c r="G142" s="112">
        <f t="shared" si="23"/>
        <v>61</v>
      </c>
      <c r="H142" s="112">
        <f t="shared" si="23"/>
        <v>49</v>
      </c>
      <c r="I142" s="112">
        <f t="shared" si="23"/>
        <v>65</v>
      </c>
      <c r="J142" s="111">
        <f t="shared" si="24"/>
        <v>417</v>
      </c>
    </row>
    <row r="143" spans="2:10" ht="15" customHeight="1">
      <c r="B143" s="114">
        <v>2023</v>
      </c>
      <c r="C143" s="113">
        <f t="shared" si="22"/>
        <v>58.063264221158953</v>
      </c>
      <c r="D143" s="112">
        <f t="shared" si="23"/>
        <v>67</v>
      </c>
      <c r="E143" s="112">
        <f t="shared" si="23"/>
        <v>49</v>
      </c>
      <c r="F143" s="112">
        <f t="shared" si="23"/>
        <v>61</v>
      </c>
      <c r="G143" s="112">
        <f t="shared" si="23"/>
        <v>67</v>
      </c>
      <c r="H143" s="112">
        <f t="shared" si="23"/>
        <v>62</v>
      </c>
      <c r="I143" s="112">
        <f t="shared" si="23"/>
        <v>49</v>
      </c>
      <c r="J143" s="111">
        <f t="shared" si="24"/>
        <v>413.06326422115899</v>
      </c>
    </row>
    <row r="144" spans="2:10" ht="15" customHeight="1">
      <c r="B144" s="114">
        <v>2024</v>
      </c>
      <c r="C144" s="113">
        <f t="shared" si="22"/>
        <v>58.997651958178267</v>
      </c>
      <c r="D144" s="112">
        <f t="shared" si="23"/>
        <v>59</v>
      </c>
      <c r="E144" s="112">
        <f t="shared" si="23"/>
        <v>68</v>
      </c>
      <c r="F144" s="112">
        <f t="shared" si="23"/>
        <v>49</v>
      </c>
      <c r="G144" s="112">
        <f t="shared" si="23"/>
        <v>61</v>
      </c>
      <c r="H144" s="112">
        <f t="shared" si="23"/>
        <v>68</v>
      </c>
      <c r="I144" s="112">
        <f t="shared" si="23"/>
        <v>62</v>
      </c>
      <c r="J144" s="111">
        <f t="shared" si="24"/>
        <v>425.99765195817827</v>
      </c>
    </row>
    <row r="145" spans="2:16" ht="15" customHeight="1">
      <c r="B145" s="114">
        <v>2025</v>
      </c>
      <c r="C145" s="113">
        <f t="shared" si="22"/>
        <v>59.932039695197588</v>
      </c>
      <c r="D145" s="112">
        <f t="shared" si="23"/>
        <v>60</v>
      </c>
      <c r="E145" s="112">
        <f t="shared" si="23"/>
        <v>60</v>
      </c>
      <c r="F145" s="112">
        <f t="shared" si="23"/>
        <v>68</v>
      </c>
      <c r="G145" s="112">
        <f t="shared" si="23"/>
        <v>49</v>
      </c>
      <c r="H145" s="112">
        <f t="shared" si="23"/>
        <v>62</v>
      </c>
      <c r="I145" s="112">
        <f t="shared" si="23"/>
        <v>68</v>
      </c>
      <c r="J145" s="111">
        <f t="shared" si="24"/>
        <v>426.9320396951976</v>
      </c>
    </row>
    <row r="146" spans="2:16" ht="15" customHeight="1">
      <c r="B146" s="114">
        <v>2026</v>
      </c>
      <c r="C146" s="113">
        <f t="shared" si="22"/>
        <v>60</v>
      </c>
      <c r="D146" s="112">
        <f t="shared" si="23"/>
        <v>61</v>
      </c>
      <c r="E146" s="112">
        <f t="shared" si="23"/>
        <v>61</v>
      </c>
      <c r="F146" s="112">
        <f t="shared" si="23"/>
        <v>60</v>
      </c>
      <c r="G146" s="112">
        <f t="shared" si="23"/>
        <v>68</v>
      </c>
      <c r="H146" s="112">
        <f t="shared" si="23"/>
        <v>50</v>
      </c>
      <c r="I146" s="112">
        <f t="shared" si="23"/>
        <v>62</v>
      </c>
      <c r="J146" s="111">
        <f t="shared" si="24"/>
        <v>422</v>
      </c>
    </row>
    <row r="147" spans="2:16" ht="15" customHeight="1">
      <c r="B147" s="114">
        <v>2027</v>
      </c>
      <c r="C147" s="113">
        <f t="shared" si="22"/>
        <v>60</v>
      </c>
      <c r="D147" s="112">
        <f t="shared" si="23"/>
        <v>61</v>
      </c>
      <c r="E147" s="112">
        <f t="shared" si="23"/>
        <v>62</v>
      </c>
      <c r="F147" s="112">
        <f t="shared" si="23"/>
        <v>61</v>
      </c>
      <c r="G147" s="112">
        <f t="shared" si="23"/>
        <v>60</v>
      </c>
      <c r="H147" s="112">
        <f t="shared" si="23"/>
        <v>69</v>
      </c>
      <c r="I147" s="112">
        <f t="shared" si="23"/>
        <v>50</v>
      </c>
      <c r="J147" s="111">
        <f t="shared" si="24"/>
        <v>423</v>
      </c>
    </row>
    <row r="148" spans="2:16" ht="15" customHeight="1">
      <c r="B148" s="114">
        <v>2028</v>
      </c>
      <c r="C148" s="113">
        <f t="shared" si="22"/>
        <v>60</v>
      </c>
      <c r="D148" s="112">
        <f t="shared" si="23"/>
        <v>61</v>
      </c>
      <c r="E148" s="112">
        <f t="shared" si="23"/>
        <v>62</v>
      </c>
      <c r="F148" s="112">
        <f t="shared" si="23"/>
        <v>62</v>
      </c>
      <c r="G148" s="112">
        <f t="shared" si="23"/>
        <v>61</v>
      </c>
      <c r="H148" s="112">
        <f t="shared" si="23"/>
        <v>61</v>
      </c>
      <c r="I148" s="112">
        <f t="shared" si="23"/>
        <v>69</v>
      </c>
      <c r="J148" s="111">
        <f t="shared" ref="J148:J152" si="25">SUM(C148:I148)</f>
        <v>436</v>
      </c>
    </row>
    <row r="149" spans="2:16" ht="15" customHeight="1">
      <c r="B149" s="114">
        <v>2029</v>
      </c>
      <c r="C149" s="113">
        <f t="shared" si="22"/>
        <v>60</v>
      </c>
      <c r="D149" s="112">
        <f t="shared" si="23"/>
        <v>61</v>
      </c>
      <c r="E149" s="112">
        <f t="shared" si="23"/>
        <v>62</v>
      </c>
      <c r="F149" s="112">
        <f t="shared" si="23"/>
        <v>62</v>
      </c>
      <c r="G149" s="112">
        <f t="shared" si="23"/>
        <v>62</v>
      </c>
      <c r="H149" s="112">
        <f t="shared" si="23"/>
        <v>62</v>
      </c>
      <c r="I149" s="112">
        <f t="shared" si="23"/>
        <v>61</v>
      </c>
      <c r="J149" s="111">
        <f t="shared" si="25"/>
        <v>430</v>
      </c>
    </row>
    <row r="150" spans="2:16" ht="15" customHeight="1">
      <c r="B150" s="114">
        <v>2030</v>
      </c>
      <c r="C150" s="113">
        <f t="shared" si="22"/>
        <v>60</v>
      </c>
      <c r="D150" s="112">
        <f t="shared" si="23"/>
        <v>61</v>
      </c>
      <c r="E150" s="112">
        <f t="shared" si="23"/>
        <v>62</v>
      </c>
      <c r="F150" s="112">
        <f t="shared" si="23"/>
        <v>62</v>
      </c>
      <c r="G150" s="112">
        <f t="shared" si="23"/>
        <v>62</v>
      </c>
      <c r="H150" s="112">
        <f t="shared" si="23"/>
        <v>63</v>
      </c>
      <c r="I150" s="112">
        <f t="shared" si="23"/>
        <v>62</v>
      </c>
      <c r="J150" s="111">
        <f t="shared" si="25"/>
        <v>432</v>
      </c>
    </row>
    <row r="151" spans="2:16" ht="15" customHeight="1">
      <c r="B151" s="114">
        <v>2031</v>
      </c>
      <c r="C151" s="113">
        <f t="shared" si="22"/>
        <v>60</v>
      </c>
      <c r="D151" s="112">
        <f t="shared" si="23"/>
        <v>61</v>
      </c>
      <c r="E151" s="112">
        <f t="shared" si="23"/>
        <v>62</v>
      </c>
      <c r="F151" s="112">
        <f t="shared" si="23"/>
        <v>62</v>
      </c>
      <c r="G151" s="112">
        <f t="shared" si="23"/>
        <v>62</v>
      </c>
      <c r="H151" s="112">
        <f t="shared" si="23"/>
        <v>63</v>
      </c>
      <c r="I151" s="112">
        <f t="shared" si="23"/>
        <v>63</v>
      </c>
      <c r="J151" s="111">
        <f t="shared" si="25"/>
        <v>433</v>
      </c>
    </row>
    <row r="152" spans="2:16" ht="15" customHeight="1">
      <c r="B152" s="114">
        <v>2032</v>
      </c>
      <c r="C152" s="113">
        <f t="shared" si="22"/>
        <v>60</v>
      </c>
      <c r="D152" s="112">
        <f t="shared" si="23"/>
        <v>61</v>
      </c>
      <c r="E152" s="112">
        <f t="shared" si="23"/>
        <v>62</v>
      </c>
      <c r="F152" s="112">
        <f t="shared" si="23"/>
        <v>62</v>
      </c>
      <c r="G152" s="112">
        <f t="shared" si="23"/>
        <v>62</v>
      </c>
      <c r="H152" s="112">
        <f t="shared" si="23"/>
        <v>63</v>
      </c>
      <c r="I152" s="112">
        <f t="shared" si="23"/>
        <v>63</v>
      </c>
      <c r="J152" s="111">
        <f t="shared" si="25"/>
        <v>433</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430.60397838029417</v>
      </c>
      <c r="D159" s="108">
        <f>J140</f>
        <v>427.99765195817827</v>
      </c>
      <c r="E159" s="108">
        <f>J141</f>
        <v>413.85061137692719</v>
      </c>
      <c r="F159" s="108">
        <f>J142</f>
        <v>417</v>
      </c>
      <c r="G159" s="108">
        <f>J143</f>
        <v>413.06326422115899</v>
      </c>
      <c r="H159" s="108">
        <f>J144</f>
        <v>425.99765195817827</v>
      </c>
      <c r="I159" s="108">
        <f>J145</f>
        <v>426.9320396951976</v>
      </c>
      <c r="J159" s="108">
        <f>J146</f>
        <v>422</v>
      </c>
      <c r="K159" s="108">
        <f>J147</f>
        <v>423</v>
      </c>
      <c r="L159" s="108">
        <f>J148</f>
        <v>436</v>
      </c>
      <c r="M159" s="108">
        <f>J149</f>
        <v>430</v>
      </c>
      <c r="N159" s="108">
        <f>J150</f>
        <v>432</v>
      </c>
      <c r="O159" s="108">
        <f>J151</f>
        <v>433</v>
      </c>
      <c r="P159" s="108">
        <f>J152</f>
        <v>433</v>
      </c>
    </row>
    <row r="160" spans="2:16" ht="15" customHeight="1">
      <c r="B160" s="107" t="s">
        <v>152</v>
      </c>
      <c r="C160" s="106">
        <f>VLOOKUP(C159,Capacity!$A$1:$C$645,2,TRUE)</f>
        <v>15</v>
      </c>
      <c r="D160" s="106">
        <f>VLOOKUP(D159,Capacity!$A$1:$C$645,2,TRUE)</f>
        <v>15</v>
      </c>
      <c r="E160" s="106">
        <f>VLOOKUP(E159,Capacity!$A$1:$C$645,2,TRUE)</f>
        <v>14</v>
      </c>
      <c r="F160" s="106">
        <f>VLOOKUP(F159,Capacity!$A$1:$C$645,2,TRUE)</f>
        <v>14</v>
      </c>
      <c r="G160" s="106">
        <f>VLOOKUP(G159,Capacity!$A$1:$C$645,2,TRUE)</f>
        <v>14</v>
      </c>
      <c r="H160" s="106">
        <f>VLOOKUP(H159,Capacity!$A$1:$C$645,2,TRUE)</f>
        <v>15</v>
      </c>
      <c r="I160" s="106">
        <f>VLOOKUP(I159,Capacity!$A$1:$C$645,2,TRUE)</f>
        <v>15</v>
      </c>
      <c r="J160" s="106">
        <f>VLOOKUP(J159,Capacity!$A$1:$C$645,2,TRUE)</f>
        <v>15</v>
      </c>
      <c r="K160" s="106">
        <f>VLOOKUP(K159,Capacity!$A$1:$C$645,2,TRUE)</f>
        <v>15</v>
      </c>
      <c r="L160" s="106">
        <f>VLOOKUP(L159,Capacity!$A$1:$C$645,2,TRUE)</f>
        <v>16</v>
      </c>
      <c r="M160" s="106">
        <f>VLOOKUP(M159,Capacity!$A$1:$C$645,2,TRUE)</f>
        <v>15</v>
      </c>
      <c r="N160" s="106">
        <f>VLOOKUP(N159,Capacity!$A$1:$C$645,2,TRUE)</f>
        <v>15</v>
      </c>
      <c r="O160" s="106">
        <f>VLOOKUP(O159,Capacity!$A$1:$C$645,2,TRUE)</f>
        <v>15</v>
      </c>
      <c r="P160" s="106">
        <f>VLOOKUP(P159,Capacity!$A$1:$C$645,2,TRUE)</f>
        <v>15</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44</v>
      </c>
      <c r="D169" s="97">
        <f>VLOOKUP($E$3,'Catchment Births'!$A$1:$U$90,11,FALSE)</f>
        <v>45</v>
      </c>
      <c r="E169" s="97">
        <f>VLOOKUP($E$3,'Catchment Births'!$A$1:$U$90,12,FALSE)</f>
        <v>63</v>
      </c>
      <c r="F169" s="97">
        <f>VLOOKUP($E$3,'Catchment Births'!$A$1:$U$90,13,FALSE)</f>
        <v>43</v>
      </c>
      <c r="G169" s="97">
        <f>VLOOKUP($E$3,'Catchment Births'!$A$1:$U$90,14,FALSE)</f>
        <v>53</v>
      </c>
      <c r="H169" s="97">
        <f>VLOOKUP($E$3,'Catchment Births'!$A$1:$U$90,15,FALSE)</f>
        <v>70</v>
      </c>
      <c r="I169" s="97">
        <f>VLOOKUP($E$3,'Catchment Births'!$A$1:$U$90,16,FALSE)</f>
        <v>62</v>
      </c>
      <c r="J169" s="97">
        <f>VLOOKUP($E$3,'Catchment Births'!$A$1:$U$90,17,FALSE)</f>
        <v>62</v>
      </c>
      <c r="K169" s="97">
        <f>VLOOKUP($E$3,'Catchment Births'!$A$1:$U$90,18,FALSE)</f>
        <v>60</v>
      </c>
      <c r="L169" s="97">
        <f>VLOOKUP($E$3,'Catchment Births'!$A$1:$U$90,19,FALSE)</f>
        <v>65</v>
      </c>
      <c r="M169" s="97">
        <f>VLOOKUP($E$3,'Catchment Births'!$A$1:$U$90,20,FALSE)</f>
        <v>70</v>
      </c>
      <c r="N169" s="97">
        <f>VLOOKUP($E$3,'Catchment Births'!$A$1:$U$90,21,FALSE)</f>
        <v>63</v>
      </c>
    </row>
    <row r="170" spans="2:14" ht="58.5" customHeight="1">
      <c r="B170" s="103" t="str">
        <f>"P1 "&amp;A35&amp;" Catchment Population (Actual)"</f>
        <v>P1 ND Catchment Population (Actual)</v>
      </c>
      <c r="C170" s="102" t="e">
        <v>#REF!</v>
      </c>
      <c r="D170" s="102">
        <v>35</v>
      </c>
      <c r="E170" s="102">
        <v>59</v>
      </c>
      <c r="F170" s="102">
        <v>51</v>
      </c>
      <c r="G170" s="102">
        <v>65</v>
      </c>
      <c r="H170" s="102">
        <v>68</v>
      </c>
      <c r="I170" s="102">
        <v>70</v>
      </c>
      <c r="J170" s="308">
        <f>VLOOKUP(E3,'Catchment Projections'!A1:BU92,42,FALSE)</f>
        <v>72</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70</v>
      </c>
      <c r="J172" s="96" t="e">
        <f>#REF!</f>
        <v>#REF!</v>
      </c>
      <c r="K172" s="96">
        <f>D51</f>
        <v>67</v>
      </c>
      <c r="L172" s="96">
        <f>E51</f>
        <v>61</v>
      </c>
      <c r="M172" s="96">
        <f>F51</f>
        <v>48</v>
      </c>
      <c r="N172" s="96">
        <f>G51</f>
        <v>69</v>
      </c>
    </row>
    <row r="173" spans="2:14" ht="12.75">
      <c r="B173" s="62"/>
      <c r="C173" s="62"/>
      <c r="D173" s="62"/>
      <c r="E173" s="62"/>
      <c r="F173" s="62"/>
      <c r="G173" s="62"/>
      <c r="H173" s="62"/>
      <c r="I173" s="62"/>
      <c r="J173" s="62"/>
      <c r="K173" s="62"/>
    </row>
    <row r="174" spans="2:14" ht="15" customHeight="1">
      <c r="B174" s="64" t="str">
        <f>"Table 5: "&amp;E3&amp;" Roll by Stage, 2002-2018"</f>
        <v>Table 5: East Craigs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58</v>
      </c>
      <c r="D177" s="93">
        <v>49</v>
      </c>
      <c r="E177" s="93">
        <v>60</v>
      </c>
      <c r="F177" s="93">
        <v>50</v>
      </c>
      <c r="G177" s="93">
        <v>52</v>
      </c>
      <c r="H177" s="93">
        <v>59</v>
      </c>
      <c r="I177" s="93">
        <v>57</v>
      </c>
      <c r="J177" s="92">
        <v>385</v>
      </c>
      <c r="K177" s="62"/>
    </row>
    <row r="178" spans="2:11" ht="15" customHeight="1">
      <c r="B178" s="94">
        <v>2003</v>
      </c>
      <c r="C178" s="93">
        <v>43</v>
      </c>
      <c r="D178" s="93">
        <v>57</v>
      </c>
      <c r="E178" s="93">
        <v>52</v>
      </c>
      <c r="F178" s="93">
        <v>59</v>
      </c>
      <c r="G178" s="93">
        <v>51</v>
      </c>
      <c r="H178" s="93">
        <v>54</v>
      </c>
      <c r="I178" s="93">
        <v>59</v>
      </c>
      <c r="J178" s="92">
        <v>375</v>
      </c>
      <c r="K178" s="62"/>
    </row>
    <row r="179" spans="2:11" customFormat="1" ht="15" customHeight="1">
      <c r="B179" s="94">
        <v>2004</v>
      </c>
      <c r="C179" s="95">
        <v>34</v>
      </c>
      <c r="D179" s="95">
        <v>45</v>
      </c>
      <c r="E179" s="95">
        <v>60</v>
      </c>
      <c r="F179" s="95">
        <v>58</v>
      </c>
      <c r="G179" s="95">
        <v>58</v>
      </c>
      <c r="H179" s="95">
        <v>52</v>
      </c>
      <c r="I179" s="95">
        <v>53</v>
      </c>
      <c r="J179" s="92">
        <v>360</v>
      </c>
      <c r="K179" s="62"/>
    </row>
    <row r="180" spans="2:11" customFormat="1" ht="15" customHeight="1">
      <c r="B180" s="94">
        <v>2005</v>
      </c>
      <c r="C180" s="93">
        <v>51</v>
      </c>
      <c r="D180" s="93">
        <v>34</v>
      </c>
      <c r="E180" s="93">
        <v>44</v>
      </c>
      <c r="F180" s="93">
        <v>60</v>
      </c>
      <c r="G180" s="93">
        <v>60</v>
      </c>
      <c r="H180" s="93">
        <v>60</v>
      </c>
      <c r="I180" s="93">
        <v>53</v>
      </c>
      <c r="J180" s="92">
        <v>362</v>
      </c>
      <c r="K180" s="62"/>
    </row>
    <row r="181" spans="2:11" customFormat="1" ht="15" customHeight="1">
      <c r="B181" s="94">
        <v>2006</v>
      </c>
      <c r="C181" s="93">
        <v>47</v>
      </c>
      <c r="D181" s="93">
        <v>47</v>
      </c>
      <c r="E181" s="93">
        <v>37</v>
      </c>
      <c r="F181" s="93">
        <v>48</v>
      </c>
      <c r="G181" s="93">
        <v>62</v>
      </c>
      <c r="H181" s="93">
        <v>60</v>
      </c>
      <c r="I181" s="93">
        <v>60</v>
      </c>
      <c r="J181" s="92">
        <v>361</v>
      </c>
      <c r="K181" s="62"/>
    </row>
    <row r="182" spans="2:11" customFormat="1" ht="15" customHeight="1">
      <c r="B182" s="94">
        <v>2007</v>
      </c>
      <c r="C182" s="93">
        <v>49</v>
      </c>
      <c r="D182" s="93">
        <v>52</v>
      </c>
      <c r="E182" s="93">
        <v>53</v>
      </c>
      <c r="F182" s="93">
        <v>41</v>
      </c>
      <c r="G182" s="93">
        <v>48</v>
      </c>
      <c r="H182" s="93">
        <v>64</v>
      </c>
      <c r="I182" s="93">
        <v>63</v>
      </c>
      <c r="J182" s="92">
        <v>370</v>
      </c>
      <c r="K182" s="62"/>
    </row>
    <row r="183" spans="2:11" customFormat="1" ht="15" customHeight="1">
      <c r="B183" s="94">
        <v>2008</v>
      </c>
      <c r="C183" s="93">
        <v>48</v>
      </c>
      <c r="D183" s="93">
        <v>45</v>
      </c>
      <c r="E183" s="93">
        <v>54</v>
      </c>
      <c r="F183" s="93">
        <v>56</v>
      </c>
      <c r="G183" s="93">
        <v>41</v>
      </c>
      <c r="H183" s="93">
        <v>50</v>
      </c>
      <c r="I183" s="93">
        <v>65</v>
      </c>
      <c r="J183" s="92">
        <v>359</v>
      </c>
      <c r="K183" s="62"/>
    </row>
    <row r="184" spans="2:11" customFormat="1" ht="15" customHeight="1">
      <c r="B184" s="94">
        <v>2009</v>
      </c>
      <c r="C184" s="93">
        <v>48</v>
      </c>
      <c r="D184" s="93">
        <v>51</v>
      </c>
      <c r="E184" s="93">
        <v>43</v>
      </c>
      <c r="F184" s="93">
        <v>54</v>
      </c>
      <c r="G184" s="93">
        <v>56</v>
      </c>
      <c r="H184" s="93">
        <v>42</v>
      </c>
      <c r="I184" s="93">
        <v>49</v>
      </c>
      <c r="J184" s="94">
        <v>343</v>
      </c>
      <c r="K184" s="62"/>
    </row>
    <row r="185" spans="2:11" customFormat="1" ht="15" customHeight="1">
      <c r="B185" s="94">
        <v>2010</v>
      </c>
      <c r="C185" s="93">
        <v>46</v>
      </c>
      <c r="D185" s="93">
        <v>51</v>
      </c>
      <c r="E185" s="93">
        <v>57</v>
      </c>
      <c r="F185" s="93">
        <v>44</v>
      </c>
      <c r="G185" s="93">
        <v>58</v>
      </c>
      <c r="H185" s="93">
        <v>61</v>
      </c>
      <c r="I185" s="93">
        <v>48</v>
      </c>
      <c r="J185" s="92">
        <v>365</v>
      </c>
      <c r="K185" s="62"/>
    </row>
    <row r="186" spans="2:11" customFormat="1" ht="15" customHeight="1">
      <c r="B186" s="94">
        <v>2011</v>
      </c>
      <c r="C186" s="93">
        <v>59</v>
      </c>
      <c r="D186" s="93">
        <v>45</v>
      </c>
      <c r="E186" s="93">
        <v>60</v>
      </c>
      <c r="F186" s="93">
        <v>58</v>
      </c>
      <c r="G186" s="93">
        <v>45</v>
      </c>
      <c r="H186" s="93">
        <v>61</v>
      </c>
      <c r="I186" s="93">
        <v>61</v>
      </c>
      <c r="J186" s="92">
        <v>389</v>
      </c>
      <c r="K186" s="62"/>
    </row>
    <row r="187" spans="2:11" customFormat="1" ht="15" customHeight="1">
      <c r="B187" s="94">
        <v>2012</v>
      </c>
      <c r="C187" s="93">
        <v>52</v>
      </c>
      <c r="D187" s="93">
        <v>59</v>
      </c>
      <c r="E187" s="93">
        <v>45</v>
      </c>
      <c r="F187" s="93">
        <v>57</v>
      </c>
      <c r="G187" s="93">
        <v>56</v>
      </c>
      <c r="H187" s="93">
        <v>44</v>
      </c>
      <c r="I187" s="93">
        <v>61</v>
      </c>
      <c r="J187" s="92">
        <v>374</v>
      </c>
      <c r="K187" s="62"/>
    </row>
    <row r="188" spans="2:11" customFormat="1" ht="15" customHeight="1">
      <c r="B188" s="94">
        <v>2013</v>
      </c>
      <c r="C188" s="93">
        <v>60</v>
      </c>
      <c r="D188" s="93">
        <v>53</v>
      </c>
      <c r="E188" s="93">
        <v>58</v>
      </c>
      <c r="F188" s="93">
        <v>49</v>
      </c>
      <c r="G188" s="93">
        <v>55</v>
      </c>
      <c r="H188" s="93">
        <v>54</v>
      </c>
      <c r="I188" s="93">
        <v>44</v>
      </c>
      <c r="J188" s="94">
        <v>373</v>
      </c>
      <c r="K188" s="62"/>
    </row>
    <row r="189" spans="2:11" customFormat="1" ht="15" customHeight="1">
      <c r="B189" s="94">
        <v>2014</v>
      </c>
      <c r="C189" s="93">
        <v>62</v>
      </c>
      <c r="D189" s="93">
        <v>60</v>
      </c>
      <c r="E189" s="93">
        <v>57</v>
      </c>
      <c r="F189" s="93">
        <v>62</v>
      </c>
      <c r="G189" s="93">
        <v>48</v>
      </c>
      <c r="H189" s="93">
        <v>59</v>
      </c>
      <c r="I189" s="93">
        <v>54</v>
      </c>
      <c r="J189" s="92">
        <v>402</v>
      </c>
      <c r="K189" s="65"/>
    </row>
    <row r="190" spans="2:11" customFormat="1" ht="15" customHeight="1">
      <c r="B190" s="94">
        <v>2015</v>
      </c>
      <c r="C190" s="93">
        <v>65</v>
      </c>
      <c r="D190" s="93">
        <v>65</v>
      </c>
      <c r="E190" s="93">
        <v>63</v>
      </c>
      <c r="F190" s="93">
        <v>57</v>
      </c>
      <c r="G190" s="93">
        <v>66</v>
      </c>
      <c r="H190" s="93">
        <v>44</v>
      </c>
      <c r="I190" s="93">
        <v>55</v>
      </c>
      <c r="J190" s="92">
        <v>415</v>
      </c>
      <c r="K190" s="65"/>
    </row>
    <row r="191" spans="2:11" customFormat="1" ht="15" customHeight="1">
      <c r="B191" s="94">
        <v>2016</v>
      </c>
      <c r="C191" s="93">
        <v>66</v>
      </c>
      <c r="D191" s="93">
        <v>66</v>
      </c>
      <c r="E191" s="93">
        <v>65</v>
      </c>
      <c r="F191" s="93">
        <v>66</v>
      </c>
      <c r="G191" s="93">
        <v>57</v>
      </c>
      <c r="H191" s="93">
        <v>67</v>
      </c>
      <c r="I191" s="93">
        <v>47</v>
      </c>
      <c r="J191" s="92">
        <v>434</v>
      </c>
      <c r="K191" s="65"/>
    </row>
    <row r="192" spans="2:11" ht="15" customHeight="1">
      <c r="B192" s="94">
        <v>2017</v>
      </c>
      <c r="C192" s="93">
        <f>VLOOKUP($E$3,Rolls!A1:FA90,42,FALSE)</f>
        <v>44</v>
      </c>
      <c r="D192" s="93">
        <f>VLOOKUP($E$3,Rolls!A1:FA90,43,FALSE)</f>
        <v>65</v>
      </c>
      <c r="E192" s="93">
        <f>VLOOKUP($E$3,Rolls!A1:FA90,44,FALSE)</f>
        <v>67</v>
      </c>
      <c r="F192" s="93">
        <f>VLOOKUP($E$3,Rolls!A1:FA90,45,FALSE)</f>
        <v>63</v>
      </c>
      <c r="G192" s="93">
        <f>VLOOKUP($E$3,Rolls!A1:FA90,46,FALSE)</f>
        <v>65</v>
      </c>
      <c r="H192" s="93">
        <f>VLOOKUP($E$3,Rolls!A1:FA90,47,FALSE)</f>
        <v>58</v>
      </c>
      <c r="I192" s="93">
        <f>VLOOKUP($E$3,Rolls!A1:FA90,48,FALSE)</f>
        <v>65</v>
      </c>
      <c r="J192" s="92">
        <f>VLOOKUP($E$3,Rolls!A1:FA90,49,FALSE)</f>
        <v>427</v>
      </c>
      <c r="K192" s="65"/>
    </row>
    <row r="193" spans="2:11" ht="15" customHeight="1">
      <c r="B193" s="94">
        <v>2018</v>
      </c>
      <c r="C193" s="93">
        <f>VLOOKUP($E$3,Rolls!A1:FA90,50,FALSE)</f>
        <v>59</v>
      </c>
      <c r="D193" s="93">
        <f>VLOOKUP($E$3,Rolls!A1:FA90,51,FALSE)</f>
        <v>47</v>
      </c>
      <c r="E193" s="93">
        <f>VLOOKUP($E$3,Rolls!A1:FA90,52,FALSE)</f>
        <v>64</v>
      </c>
      <c r="F193" s="93">
        <f>VLOOKUP($E$3,Rolls!A1:FA90,53,FALSE)</f>
        <v>65</v>
      </c>
      <c r="G193" s="93">
        <f>VLOOKUP($E$3,Rolls!A1:FA90,54,FALSE)</f>
        <v>63</v>
      </c>
      <c r="H193" s="93">
        <f>VLOOKUP($E$3,Rolls!A1:FA90,55,FALSE)</f>
        <v>65</v>
      </c>
      <c r="I193" s="93">
        <f>VLOOKUP($E$3,Rolls!A1:FA90,56,FALSE)</f>
        <v>58</v>
      </c>
      <c r="J193" s="92">
        <f>VLOOKUP($E$3,Rolls!A1:FA90,57,FALSE)</f>
        <v>421</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Q193"/>
  <sheetViews>
    <sheetView topLeftCell="B39" zoomScaleNormal="100" workbookViewId="0">
      <selection activeCell="H64"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32</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Echline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315 Pupils (12 classes)</v>
      </c>
      <c r="G12" s="16"/>
      <c r="H12" s="16"/>
    </row>
    <row r="13" spans="2:10" ht="15" customHeight="1">
      <c r="C13" s="16"/>
      <c r="D13" s="16"/>
      <c r="E13" s="16"/>
      <c r="F13" s="16"/>
      <c r="G13" s="16"/>
      <c r="H13" s="16"/>
    </row>
    <row r="14" spans="2:10" ht="15" customHeight="1">
      <c r="B14" s="15" t="str">
        <f>"Figure 1: "&amp;E3&amp;" Roll, 2002-2015"</f>
        <v>Figure 1: Echline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Echline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45</v>
      </c>
      <c r="E49" s="108">
        <f>VLOOKUP($E$3,'Catchment Projections'!$A$1:$BU$90,46,FALSE)</f>
        <v>39</v>
      </c>
      <c r="F49" s="108">
        <f>VLOOKUP($E$3,'Catchment Projections'!$A$1:$BU$90,47,FALSE)</f>
        <v>40</v>
      </c>
      <c r="G49" s="108">
        <f>VLOOKUP($E$3,'Catchment Projections'!$A$1:$BU$90,48,FALSE)</f>
        <v>36</v>
      </c>
      <c r="H49" s="133">
        <f>VLOOKUP($E$3,'Catchment Projections'!$A$1:$BU$90,49,FALSE)</f>
        <v>39</v>
      </c>
      <c r="I49" s="133">
        <f>VLOOKUP($E$3,'Catchment Projections'!$A$1:$BU$90,50,FALSE)</f>
        <v>39</v>
      </c>
      <c r="J49" s="133">
        <f>VLOOKUP($E$3,'Catchment Projections'!$A$1:$BU$90,51,FALSE)</f>
        <v>40</v>
      </c>
      <c r="K49" s="133">
        <f>VLOOKUP($E$3,'Catchment Projections'!$A$1:$BU$90,52,FALSE)</f>
        <v>40</v>
      </c>
      <c r="L49" s="133">
        <f>VLOOKUP($E$3,'Catchment Projections'!$A$1:$BU$90,53,FALSE)</f>
        <v>41</v>
      </c>
      <c r="M49" s="133">
        <f>VLOOKUP($E$3,'Catchment Projections'!$A$1:$BU$90,54,FALSE)</f>
        <v>41</v>
      </c>
      <c r="N49" s="133">
        <f>VLOOKUP($E$3,'Catchment Projections'!$A$1:$BU$90,55,FALSE)</f>
        <v>41</v>
      </c>
      <c r="O49" s="133">
        <f>VLOOKUP($E$3,'Catchment Projections'!$A$1:$BU$90,56,FALSE)</f>
        <v>41</v>
      </c>
      <c r="P49" s="133">
        <f>VLOOKUP($E$3,'Catchment Projections'!$A$1:$BU$90,57,FALSE)</f>
        <v>41</v>
      </c>
      <c r="Q49" s="133">
        <f>VLOOKUP($E$3,'Catchment Projections'!$A$1:$BU$90,58,FALSE)</f>
        <v>41</v>
      </c>
    </row>
    <row r="50" spans="2:17" ht="15" customHeight="1" thickBot="1">
      <c r="B50" s="410" t="s">
        <v>141</v>
      </c>
      <c r="C50" s="411"/>
      <c r="D50" s="286">
        <f>VLOOKUP(E3,'Housing Generation'!$A$3:$DQ$90,10,FALSE)</f>
        <v>0</v>
      </c>
      <c r="E50" s="286">
        <f>VLOOKUP(E3,'Housing Generation'!$A$3:$DQ$90,18,FALSE)</f>
        <v>0</v>
      </c>
      <c r="F50" s="286">
        <f>VLOOKUP(E3,'Housing Generation'!$A$3:$DQ$90,26,FALSE)</f>
        <v>0</v>
      </c>
      <c r="G50" s="243">
        <f>VLOOKUP(E3,'Housing Generation'!$A$3:$DQ$90,34,FALSE)</f>
        <v>1</v>
      </c>
      <c r="H50" s="133">
        <f>VLOOKUP(E3,'Housing Generation'!$A$3:$DQ$90,42,FALSE)</f>
        <v>3</v>
      </c>
      <c r="I50" s="133">
        <f>VLOOKUP(E3,'Housing Generation'!$A$3:$DQ$90,50,FALSE)</f>
        <v>6</v>
      </c>
      <c r="J50" s="133">
        <f>VLOOKUP(E3,'Housing Generation'!$A$3:$CK$90,58,FALSE)</f>
        <v>11</v>
      </c>
      <c r="K50" s="133">
        <f>VLOOKUP(E3,'Housing Generation'!$A$3:$CK$90,66,FALSE)</f>
        <v>15</v>
      </c>
      <c r="L50" s="133">
        <f>VLOOKUP(E3,'Housing Generation'!$A$3:$DQ$90,74,FALSE)</f>
        <v>19</v>
      </c>
      <c r="M50" s="133">
        <f>VLOOKUP(E3,'Housing Generation'!$A$3:$DQ$90,82,FALSE)</f>
        <v>24</v>
      </c>
      <c r="N50" s="133">
        <f>VLOOKUP(E3,'Housing Generation'!$A$3:$DQ$90,90,FALSE)</f>
        <v>26</v>
      </c>
      <c r="O50" s="133">
        <f>VLOOKUP(E3,'Housing Generation'!$A$3:$DQ$90,98,FALSE)</f>
        <v>28</v>
      </c>
      <c r="P50" s="133">
        <f>VLOOKUP(E3,'Housing Generation'!$A$3:$DQ$90,106,FALSE)</f>
        <v>30</v>
      </c>
      <c r="Q50" s="133">
        <f>VLOOKUP(E3,'Housing Generation'!$A$3:$DQ$90,114,FALSE)</f>
        <v>32</v>
      </c>
    </row>
    <row r="51" spans="2:17" ht="15" customHeight="1" thickTop="1">
      <c r="B51" s="421" t="s">
        <v>130</v>
      </c>
      <c r="C51" s="422"/>
      <c r="D51" s="47">
        <f t="shared" ref="D51:Q51" si="0">SUM(D49:D50)</f>
        <v>45</v>
      </c>
      <c r="E51" s="47">
        <f t="shared" si="0"/>
        <v>39</v>
      </c>
      <c r="F51" s="80">
        <f t="shared" si="0"/>
        <v>40</v>
      </c>
      <c r="G51" s="244">
        <f t="shared" si="0"/>
        <v>37</v>
      </c>
      <c r="H51" s="71">
        <f t="shared" si="0"/>
        <v>42</v>
      </c>
      <c r="I51" s="71">
        <f t="shared" si="0"/>
        <v>45</v>
      </c>
      <c r="J51" s="71">
        <f t="shared" si="0"/>
        <v>51</v>
      </c>
      <c r="K51" s="71">
        <f t="shared" si="0"/>
        <v>55</v>
      </c>
      <c r="L51" s="71">
        <f t="shared" si="0"/>
        <v>60</v>
      </c>
      <c r="M51" s="71">
        <f t="shared" si="0"/>
        <v>65</v>
      </c>
      <c r="N51" s="71">
        <f t="shared" si="0"/>
        <v>67</v>
      </c>
      <c r="O51" s="71">
        <f t="shared" si="0"/>
        <v>69</v>
      </c>
      <c r="P51" s="71">
        <f t="shared" si="0"/>
        <v>71</v>
      </c>
      <c r="Q51" s="71">
        <f t="shared" si="0"/>
        <v>73</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46</v>
      </c>
      <c r="D60" s="358">
        <f>VLOOKUP($E$3,'Catchment Projections'!$A$1:$BZ$90,74,FALSE)</f>
        <v>45</v>
      </c>
      <c r="E60" s="303">
        <f>D60/C60</f>
        <v>0.97826086956521741</v>
      </c>
      <c r="G60" s="132">
        <v>2014</v>
      </c>
      <c r="H60" s="395">
        <f>VLOOKUP($G$60,$B$177:$C$215, 2, FALSE)</f>
        <v>46</v>
      </c>
      <c r="I60" s="120">
        <f>H60-D60</f>
        <v>1</v>
      </c>
      <c r="J60" s="121">
        <f>I60/H60</f>
        <v>2.1739130434782608E-2</v>
      </c>
    </row>
    <row r="61" spans="2:17" ht="15" customHeight="1">
      <c r="B61" s="132">
        <v>2015</v>
      </c>
      <c r="C61" s="359">
        <f>VLOOKUP($E$3,'Catchment Projections'!$A$1:$BZ$90,41,FALSE)</f>
        <v>29</v>
      </c>
      <c r="D61" s="358">
        <f>VLOOKUP($E$3,'Catchment Projections'!$A$1:$BZ$90,75,FALSE)</f>
        <v>28</v>
      </c>
      <c r="E61" s="303">
        <f>D61/C61</f>
        <v>0.96551724137931039</v>
      </c>
      <c r="G61" s="132">
        <v>2015</v>
      </c>
      <c r="H61" s="395">
        <f>VLOOKUP($G$61,$B$177:$C$215, 2, FALSE)</f>
        <v>33</v>
      </c>
      <c r="I61" s="120">
        <f>H61-D61</f>
        <v>5</v>
      </c>
      <c r="J61" s="121">
        <f>I61/H61</f>
        <v>0.15151515151515152</v>
      </c>
    </row>
    <row r="62" spans="2:17" ht="15" customHeight="1">
      <c r="B62" s="131">
        <v>2016</v>
      </c>
      <c r="C62" s="359">
        <f>VLOOKUP($E$3,'Catchment Projections'!$A$1:$BZ$90,42,FALSE)</f>
        <v>48</v>
      </c>
      <c r="D62" s="358">
        <f>VLOOKUP($E$3,'Catchment Projections'!$A$1:$BZ$90,76,FALSE)</f>
        <v>47</v>
      </c>
      <c r="E62" s="57">
        <f>D62/C62</f>
        <v>0.97916666666666663</v>
      </c>
      <c r="G62" s="131">
        <v>2016</v>
      </c>
      <c r="H62" s="395">
        <f>VLOOKUP($G$62,$B$177:$C$215, 2, FALSE)</f>
        <v>49</v>
      </c>
      <c r="I62" s="120">
        <f>H62-D62</f>
        <v>2</v>
      </c>
      <c r="J62" s="121">
        <f>I62/H62</f>
        <v>4.0816326530612242E-2</v>
      </c>
    </row>
    <row r="63" spans="2:17" ht="15" customHeight="1">
      <c r="B63" s="114">
        <v>2017</v>
      </c>
      <c r="C63" s="359">
        <f>VLOOKUP($E$3,'Catchment Projections'!$A$1:$BZ$90,43,FALSE)</f>
        <v>41</v>
      </c>
      <c r="D63" s="358">
        <f>VLOOKUP($E$3,'Catchment Projections'!$A$1:$BZ$90,77,FALSE)</f>
        <v>41</v>
      </c>
      <c r="E63" s="304">
        <f>D63/C63</f>
        <v>1</v>
      </c>
      <c r="G63" s="114">
        <v>2017</v>
      </c>
      <c r="H63" s="395">
        <f>VLOOKUP($G$63,$B$177:$C$215, 2, FALSE)</f>
        <v>45</v>
      </c>
      <c r="I63" s="120">
        <f>H63-D63</f>
        <v>4</v>
      </c>
      <c r="J63" s="121">
        <f>I63/H63</f>
        <v>8.8888888888888892E-2</v>
      </c>
    </row>
    <row r="64" spans="2:17" ht="15" customHeight="1">
      <c r="B64" s="114">
        <v>2018</v>
      </c>
      <c r="C64" s="359">
        <f>VLOOKUP($E$3,'Catchment Projections'!$A$1:$BZ$90,44,FALSE)</f>
        <v>36</v>
      </c>
      <c r="D64" s="358">
        <f>VLOOKUP($E$3,'Catchment Projections'!$A$1:$BZ$90,78,FALSE)</f>
        <v>35</v>
      </c>
      <c r="E64" s="305">
        <f>D64/C64</f>
        <v>0.97222222222222221</v>
      </c>
      <c r="G64" s="114">
        <v>2018</v>
      </c>
      <c r="H64" s="395">
        <f>VLOOKUP($G$64,$B$177:$C$215, 2, FALSE)</f>
        <v>36</v>
      </c>
      <c r="I64" s="120">
        <f>H64-D64</f>
        <v>1</v>
      </c>
      <c r="J64" s="121">
        <f>I64/H64</f>
        <v>2.7777777777777776E-2</v>
      </c>
    </row>
    <row r="65" spans="2:10" ht="15" customHeight="1">
      <c r="B65" s="412" t="s">
        <v>136</v>
      </c>
      <c r="C65" s="413"/>
      <c r="D65" s="414"/>
      <c r="E65" s="137">
        <f>IF((AVERAGE(E62:E64))="#DIV/0!","n/a",(AVERAGE(E62:E64)))</f>
        <v>0.98379629629629628</v>
      </c>
      <c r="G65" s="415" t="s">
        <v>137</v>
      </c>
      <c r="H65" s="416"/>
      <c r="I65" s="138">
        <f>MEDIAN(I60:I64)</f>
        <v>2</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45</v>
      </c>
      <c r="D70" s="408"/>
      <c r="E70" s="122">
        <f>E65</f>
        <v>0.98379629629629628</v>
      </c>
      <c r="F70" s="120">
        <f t="shared" ref="F70:F83" si="1">C70*$E$65</f>
        <v>44.270833333333336</v>
      </c>
      <c r="G70" s="118">
        <f>IF(F70&lt;26,25,IF(F70&gt;135,140,IF(F70&gt;130,135,IF(F70&gt;125,130,IF(F70&gt;120,125,IF(F70&gt;115,120,IF(F70&gt;110,115,IF(F70&gt;105,110,IF(F70&gt;100,105,IF(F70&gt;99,100,IF(F70&gt;90,99,IF(F70&gt;75,90,IF(F70&gt;72,75,IF(F70&gt;66,72,IF(F70&gt;60,66,IF(F70&gt;50,60,IF(F70&gt;30,50,IF(F70&gt;25,30,0))))))))))))))))))</f>
        <v>50</v>
      </c>
      <c r="H70" s="119">
        <f t="shared" ref="H70:H83" si="2">G70-F70</f>
        <v>5.7291666666666643</v>
      </c>
      <c r="I70" s="118" t="str">
        <f>IF(I$65&lt;H70, "NO", "YES")</f>
        <v>NO</v>
      </c>
      <c r="J70" s="117">
        <f t="shared" ref="J70:J83" si="3">IF(I70="YES",G70,(MIN((SUM(F70,$I$65)),G70)))</f>
        <v>46.270833333333336</v>
      </c>
    </row>
    <row r="71" spans="2:10" ht="15" customHeight="1">
      <c r="B71" s="114">
        <v>2020</v>
      </c>
      <c r="C71" s="433">
        <f>E51</f>
        <v>39</v>
      </c>
      <c r="D71" s="408"/>
      <c r="E71" s="121">
        <f>E65</f>
        <v>0.98379629629629628</v>
      </c>
      <c r="F71" s="120">
        <f t="shared" si="1"/>
        <v>38.368055555555557</v>
      </c>
      <c r="G71" s="118">
        <f t="shared" ref="G71:G83" si="4">IF(F71&lt;26,25,IF(F71&gt;135,140,IF(F71&gt;130,135,IF(F71&gt;125,130,IF(F71&gt;120,125,IF(F71&gt;115,120,IF(F71&gt;110,115,IF(F71&gt;105,110,IF(F71&gt;100,105,IF(F71&gt;99,100,IF(F71&gt;90,99,IF(F71&gt;75,90,IF(F71&gt;72,75,IF(F71&gt;66,72,IF(F71&gt;60,66,IF(F71&gt;50,60,IF(F71&gt;30,50,IF(F71&gt;25,30,0))))))))))))))))))</f>
        <v>50</v>
      </c>
      <c r="H71" s="119">
        <f t="shared" si="2"/>
        <v>11.631944444444443</v>
      </c>
      <c r="I71" s="118" t="str">
        <f t="shared" ref="I71:I83" si="5">IF(I$65&lt;H71, "NO", "YES")</f>
        <v>NO</v>
      </c>
      <c r="J71" s="117">
        <f t="shared" si="3"/>
        <v>40.368055555555557</v>
      </c>
    </row>
    <row r="72" spans="2:10" ht="15" customHeight="1">
      <c r="B72" s="114">
        <v>2021</v>
      </c>
      <c r="C72" s="430">
        <f>F51</f>
        <v>40</v>
      </c>
      <c r="D72" s="431"/>
      <c r="E72" s="121">
        <f>E65</f>
        <v>0.98379629629629628</v>
      </c>
      <c r="F72" s="120">
        <f t="shared" si="1"/>
        <v>39.351851851851848</v>
      </c>
      <c r="G72" s="118">
        <f t="shared" si="4"/>
        <v>50</v>
      </c>
      <c r="H72" s="119">
        <f t="shared" si="2"/>
        <v>10.648148148148152</v>
      </c>
      <c r="I72" s="118" t="str">
        <f t="shared" si="5"/>
        <v>NO</v>
      </c>
      <c r="J72" s="117">
        <f t="shared" si="3"/>
        <v>41.351851851851848</v>
      </c>
    </row>
    <row r="73" spans="2:10" ht="15" customHeight="1">
      <c r="B73" s="114">
        <v>2022</v>
      </c>
      <c r="C73" s="430">
        <f>G51</f>
        <v>37</v>
      </c>
      <c r="D73" s="431"/>
      <c r="E73" s="121">
        <f>E65</f>
        <v>0.98379629629629628</v>
      </c>
      <c r="F73" s="120">
        <f t="shared" si="1"/>
        <v>36.400462962962962</v>
      </c>
      <c r="G73" s="118">
        <f t="shared" si="4"/>
        <v>50</v>
      </c>
      <c r="H73" s="119">
        <f t="shared" si="2"/>
        <v>13.599537037037038</v>
      </c>
      <c r="I73" s="118" t="str">
        <f t="shared" si="5"/>
        <v>NO</v>
      </c>
      <c r="J73" s="117">
        <f t="shared" si="3"/>
        <v>38.400462962962962</v>
      </c>
    </row>
    <row r="74" spans="2:10" ht="15" customHeight="1">
      <c r="B74" s="114">
        <v>2023</v>
      </c>
      <c r="C74" s="430">
        <f>H51</f>
        <v>42</v>
      </c>
      <c r="D74" s="431"/>
      <c r="E74" s="121">
        <f>E65</f>
        <v>0.98379629629629628</v>
      </c>
      <c r="F74" s="120">
        <f t="shared" si="1"/>
        <v>41.319444444444443</v>
      </c>
      <c r="G74" s="118">
        <f t="shared" si="4"/>
        <v>50</v>
      </c>
      <c r="H74" s="119">
        <f t="shared" si="2"/>
        <v>8.6805555555555571</v>
      </c>
      <c r="I74" s="118" t="str">
        <f t="shared" si="5"/>
        <v>NO</v>
      </c>
      <c r="J74" s="117">
        <f t="shared" si="3"/>
        <v>43.319444444444443</v>
      </c>
    </row>
    <row r="75" spans="2:10" ht="15" customHeight="1">
      <c r="B75" s="114">
        <v>2024</v>
      </c>
      <c r="C75" s="430">
        <f>I51</f>
        <v>45</v>
      </c>
      <c r="D75" s="431"/>
      <c r="E75" s="121">
        <f>E65</f>
        <v>0.98379629629629628</v>
      </c>
      <c r="F75" s="120">
        <f t="shared" si="1"/>
        <v>44.270833333333336</v>
      </c>
      <c r="G75" s="118">
        <f t="shared" si="4"/>
        <v>50</v>
      </c>
      <c r="H75" s="119">
        <f t="shared" si="2"/>
        <v>5.7291666666666643</v>
      </c>
      <c r="I75" s="118" t="str">
        <f t="shared" si="5"/>
        <v>NO</v>
      </c>
      <c r="J75" s="117">
        <f t="shared" si="3"/>
        <v>46.270833333333336</v>
      </c>
    </row>
    <row r="76" spans="2:10" ht="15" customHeight="1">
      <c r="B76" s="114">
        <v>2025</v>
      </c>
      <c r="C76" s="430">
        <f>J51</f>
        <v>51</v>
      </c>
      <c r="D76" s="431"/>
      <c r="E76" s="121">
        <f>E65</f>
        <v>0.98379629629629628</v>
      </c>
      <c r="F76" s="120">
        <f t="shared" si="1"/>
        <v>50.173611111111107</v>
      </c>
      <c r="G76" s="118">
        <f t="shared" si="4"/>
        <v>60</v>
      </c>
      <c r="H76" s="119">
        <f t="shared" si="2"/>
        <v>9.8263888888888928</v>
      </c>
      <c r="I76" s="118" t="str">
        <f t="shared" si="5"/>
        <v>NO</v>
      </c>
      <c r="J76" s="117">
        <f t="shared" si="3"/>
        <v>52.173611111111107</v>
      </c>
    </row>
    <row r="77" spans="2:10" ht="15" customHeight="1">
      <c r="B77" s="114">
        <v>2026</v>
      </c>
      <c r="C77" s="430">
        <f>K51</f>
        <v>55</v>
      </c>
      <c r="D77" s="431"/>
      <c r="E77" s="121">
        <f>E65</f>
        <v>0.98379629629629628</v>
      </c>
      <c r="F77" s="120">
        <f t="shared" si="1"/>
        <v>54.108796296296298</v>
      </c>
      <c r="G77" s="118">
        <f t="shared" si="4"/>
        <v>60</v>
      </c>
      <c r="H77" s="119">
        <f t="shared" si="2"/>
        <v>5.8912037037037024</v>
      </c>
      <c r="I77" s="118" t="str">
        <f t="shared" si="5"/>
        <v>NO</v>
      </c>
      <c r="J77" s="117">
        <f t="shared" si="3"/>
        <v>56.108796296296298</v>
      </c>
    </row>
    <row r="78" spans="2:10" ht="15" customHeight="1">
      <c r="B78" s="114">
        <v>2027</v>
      </c>
      <c r="C78" s="430">
        <f>L51</f>
        <v>60</v>
      </c>
      <c r="D78" s="431"/>
      <c r="E78" s="121">
        <f>E65</f>
        <v>0.98379629629629628</v>
      </c>
      <c r="F78" s="120">
        <f t="shared" si="1"/>
        <v>59.027777777777779</v>
      </c>
      <c r="G78" s="118">
        <f t="shared" si="4"/>
        <v>60</v>
      </c>
      <c r="H78" s="119">
        <f t="shared" si="2"/>
        <v>0.97222222222222143</v>
      </c>
      <c r="I78" s="118" t="str">
        <f t="shared" si="5"/>
        <v>YES</v>
      </c>
      <c r="J78" s="117">
        <f t="shared" si="3"/>
        <v>60</v>
      </c>
    </row>
    <row r="79" spans="2:10" ht="15" customHeight="1">
      <c r="B79" s="114">
        <v>2028</v>
      </c>
      <c r="C79" s="430">
        <f>M51</f>
        <v>65</v>
      </c>
      <c r="D79" s="431"/>
      <c r="E79" s="121">
        <f t="shared" ref="E79:E83" si="6">$E$65</f>
        <v>0.98379629629629628</v>
      </c>
      <c r="F79" s="120">
        <f t="shared" si="1"/>
        <v>63.94675925925926</v>
      </c>
      <c r="G79" s="118">
        <f t="shared" si="4"/>
        <v>66</v>
      </c>
      <c r="H79" s="119">
        <f t="shared" si="2"/>
        <v>2.0532407407407405</v>
      </c>
      <c r="I79" s="118" t="str">
        <f t="shared" si="5"/>
        <v>NO</v>
      </c>
      <c r="J79" s="117">
        <f t="shared" si="3"/>
        <v>65.946759259259267</v>
      </c>
    </row>
    <row r="80" spans="2:10" ht="15" customHeight="1">
      <c r="B80" s="114">
        <v>2029</v>
      </c>
      <c r="C80" s="430">
        <f>N51</f>
        <v>67</v>
      </c>
      <c r="D80" s="431"/>
      <c r="E80" s="121">
        <f t="shared" si="6"/>
        <v>0.98379629629629628</v>
      </c>
      <c r="F80" s="120">
        <f t="shared" si="1"/>
        <v>65.914351851851848</v>
      </c>
      <c r="G80" s="118">
        <f t="shared" si="4"/>
        <v>66</v>
      </c>
      <c r="H80" s="119">
        <f t="shared" si="2"/>
        <v>8.5648148148152359E-2</v>
      </c>
      <c r="I80" s="118" t="str">
        <f t="shared" si="5"/>
        <v>YES</v>
      </c>
      <c r="J80" s="117">
        <f t="shared" si="3"/>
        <v>66</v>
      </c>
    </row>
    <row r="81" spans="2:10" ht="15" customHeight="1">
      <c r="B81" s="114">
        <v>2030</v>
      </c>
      <c r="C81" s="430">
        <f>O51</f>
        <v>69</v>
      </c>
      <c r="D81" s="431"/>
      <c r="E81" s="121">
        <f t="shared" si="6"/>
        <v>0.98379629629629628</v>
      </c>
      <c r="F81" s="120">
        <f t="shared" si="1"/>
        <v>67.881944444444443</v>
      </c>
      <c r="G81" s="118">
        <f t="shared" si="4"/>
        <v>72</v>
      </c>
      <c r="H81" s="119">
        <f t="shared" si="2"/>
        <v>4.1180555555555571</v>
      </c>
      <c r="I81" s="118" t="str">
        <f t="shared" si="5"/>
        <v>NO</v>
      </c>
      <c r="J81" s="117">
        <f t="shared" si="3"/>
        <v>69.881944444444443</v>
      </c>
    </row>
    <row r="82" spans="2:10" ht="15" customHeight="1">
      <c r="B82" s="114">
        <v>2031</v>
      </c>
      <c r="C82" s="430">
        <f>P51</f>
        <v>71</v>
      </c>
      <c r="D82" s="431"/>
      <c r="E82" s="121">
        <f t="shared" si="6"/>
        <v>0.98379629629629628</v>
      </c>
      <c r="F82" s="120">
        <f t="shared" si="1"/>
        <v>69.849537037037038</v>
      </c>
      <c r="G82" s="118">
        <f t="shared" si="4"/>
        <v>72</v>
      </c>
      <c r="H82" s="119">
        <f t="shared" si="2"/>
        <v>2.1504629629629619</v>
      </c>
      <c r="I82" s="118" t="str">
        <f t="shared" si="5"/>
        <v>NO</v>
      </c>
      <c r="J82" s="117">
        <f t="shared" si="3"/>
        <v>71.849537037037038</v>
      </c>
    </row>
    <row r="83" spans="2:10" ht="15" customHeight="1">
      <c r="B83" s="114">
        <v>2032</v>
      </c>
      <c r="C83" s="430">
        <f>Q51</f>
        <v>73</v>
      </c>
      <c r="D83" s="431"/>
      <c r="E83" s="121">
        <f t="shared" si="6"/>
        <v>0.98379629629629628</v>
      </c>
      <c r="F83" s="120">
        <f t="shared" si="1"/>
        <v>71.817129629629633</v>
      </c>
      <c r="G83" s="118">
        <f t="shared" si="4"/>
        <v>72</v>
      </c>
      <c r="H83" s="119">
        <f t="shared" si="2"/>
        <v>0.18287037037036669</v>
      </c>
      <c r="I83" s="118" t="str">
        <f t="shared" si="5"/>
        <v>YES</v>
      </c>
      <c r="J83" s="117">
        <f t="shared" si="3"/>
        <v>72</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Echline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37</v>
      </c>
      <c r="D91" s="112">
        <f t="shared" ref="D91:J91" si="7">D188</f>
        <v>42</v>
      </c>
      <c r="E91" s="112">
        <f t="shared" si="7"/>
        <v>38</v>
      </c>
      <c r="F91" s="112">
        <f t="shared" si="7"/>
        <v>44</v>
      </c>
      <c r="G91" s="112">
        <f t="shared" si="7"/>
        <v>29</v>
      </c>
      <c r="H91" s="112">
        <f t="shared" si="7"/>
        <v>26</v>
      </c>
      <c r="I91" s="112">
        <f t="shared" si="7"/>
        <v>32</v>
      </c>
      <c r="J91" s="213">
        <f t="shared" si="7"/>
        <v>248</v>
      </c>
    </row>
    <row r="92" spans="2:10" ht="15" customHeight="1">
      <c r="B92" s="114">
        <v>2014</v>
      </c>
      <c r="C92" s="112">
        <f>C189</f>
        <v>46</v>
      </c>
      <c r="D92" s="112">
        <f t="shared" ref="D92:J92" si="8">D189</f>
        <v>39</v>
      </c>
      <c r="E92" s="112">
        <f t="shared" si="8"/>
        <v>42</v>
      </c>
      <c r="F92" s="112">
        <f t="shared" si="8"/>
        <v>38</v>
      </c>
      <c r="G92" s="112">
        <f t="shared" si="8"/>
        <v>46</v>
      </c>
      <c r="H92" s="112">
        <f t="shared" si="8"/>
        <v>29</v>
      </c>
      <c r="I92" s="112">
        <f t="shared" si="8"/>
        <v>27</v>
      </c>
      <c r="J92" s="213">
        <f t="shared" si="8"/>
        <v>267</v>
      </c>
    </row>
    <row r="93" spans="2:10" ht="15" customHeight="1">
      <c r="B93" s="114">
        <v>2015</v>
      </c>
      <c r="C93" s="112">
        <f>C190</f>
        <v>33</v>
      </c>
      <c r="D93" s="112">
        <f t="shared" ref="D93:J93" si="9">D190</f>
        <v>45</v>
      </c>
      <c r="E93" s="112">
        <f t="shared" si="9"/>
        <v>36</v>
      </c>
      <c r="F93" s="112">
        <f t="shared" si="9"/>
        <v>44</v>
      </c>
      <c r="G93" s="112">
        <f t="shared" si="9"/>
        <v>41</v>
      </c>
      <c r="H93" s="112">
        <f t="shared" si="9"/>
        <v>46</v>
      </c>
      <c r="I93" s="112">
        <f t="shared" si="9"/>
        <v>30</v>
      </c>
      <c r="J93" s="213">
        <f t="shared" si="9"/>
        <v>275</v>
      </c>
    </row>
    <row r="94" spans="2:10" ht="15" customHeight="1">
      <c r="B94" s="114">
        <v>2016</v>
      </c>
      <c r="C94" s="112">
        <f>C191</f>
        <v>49</v>
      </c>
      <c r="D94" s="112">
        <f t="shared" ref="D94:J94" si="10">D191</f>
        <v>33</v>
      </c>
      <c r="E94" s="112">
        <f t="shared" si="10"/>
        <v>44</v>
      </c>
      <c r="F94" s="112">
        <f t="shared" si="10"/>
        <v>36</v>
      </c>
      <c r="G94" s="112">
        <f t="shared" si="10"/>
        <v>44</v>
      </c>
      <c r="H94" s="112">
        <f t="shared" si="10"/>
        <v>42</v>
      </c>
      <c r="I94" s="112">
        <f t="shared" si="10"/>
        <v>46</v>
      </c>
      <c r="J94" s="213">
        <f t="shared" si="10"/>
        <v>294</v>
      </c>
    </row>
    <row r="95" spans="2:10" ht="15" customHeight="1">
      <c r="B95" s="114">
        <v>2017</v>
      </c>
      <c r="C95" s="112">
        <f>C192</f>
        <v>45</v>
      </c>
      <c r="D95" s="112">
        <f t="shared" ref="D95:J95" si="11">D192</f>
        <v>47</v>
      </c>
      <c r="E95" s="112">
        <f t="shared" si="11"/>
        <v>33</v>
      </c>
      <c r="F95" s="112">
        <f t="shared" si="11"/>
        <v>40</v>
      </c>
      <c r="G95" s="112">
        <f t="shared" si="11"/>
        <v>36</v>
      </c>
      <c r="H95" s="112">
        <f t="shared" si="11"/>
        <v>45</v>
      </c>
      <c r="I95" s="112">
        <f t="shared" si="11"/>
        <v>40</v>
      </c>
      <c r="J95" s="213">
        <f t="shared" si="11"/>
        <v>286</v>
      </c>
    </row>
    <row r="96" spans="2:10" ht="15" customHeight="1">
      <c r="B96" s="307">
        <v>2018</v>
      </c>
      <c r="C96" s="112">
        <f t="shared" ref="C96:J96" si="12">C193</f>
        <v>36</v>
      </c>
      <c r="D96" s="112">
        <f t="shared" si="12"/>
        <v>49</v>
      </c>
      <c r="E96" s="112">
        <f t="shared" si="12"/>
        <v>48</v>
      </c>
      <c r="F96" s="112">
        <f t="shared" si="12"/>
        <v>35</v>
      </c>
      <c r="G96" s="112">
        <f t="shared" si="12"/>
        <v>39</v>
      </c>
      <c r="H96" s="112">
        <f t="shared" si="12"/>
        <v>37</v>
      </c>
      <c r="I96" s="112">
        <f t="shared" si="12"/>
        <v>44</v>
      </c>
      <c r="J96" s="213">
        <f t="shared" si="12"/>
        <v>288</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0</v>
      </c>
      <c r="E98" s="210">
        <f t="shared" ref="E98:I98" si="13">MEDIAN(((D91-E92)/D91),((D92-E93)/D92),((D93-E94)/D93),((D94-E95)/D94),((D95-E96)/D95))</f>
        <v>0</v>
      </c>
      <c r="F98" s="210">
        <f t="shared" si="13"/>
        <v>0</v>
      </c>
      <c r="G98" s="210">
        <f t="shared" si="13"/>
        <v>0</v>
      </c>
      <c r="H98" s="210">
        <f t="shared" si="13"/>
        <v>-2.2727272727272728E-2</v>
      </c>
      <c r="I98" s="210">
        <f t="shared" si="13"/>
        <v>0</v>
      </c>
    </row>
    <row r="99" spans="2:10" ht="18.75">
      <c r="B99" s="59"/>
      <c r="C99" s="60"/>
      <c r="D99" s="61"/>
      <c r="E99" s="61"/>
      <c r="F99" s="61"/>
      <c r="G99" s="61"/>
      <c r="H99" s="61"/>
      <c r="I99" s="61"/>
      <c r="J99" s="58"/>
    </row>
    <row r="100" spans="2:10">
      <c r="B100" s="15" t="str">
        <f>"Table 4B: "&amp;E3&amp;" Projected Roll by Stage (incorporating Projected P1 and Drop-Off Rates), 2019-2032"</f>
        <v>Table 4B: Echline Primary School Projected Roll by Stage (incorporating Projected P1 and Drop-Off Rates), 2019-2032</v>
      </c>
      <c r="F100" s="14"/>
      <c r="G100" s="14"/>
    </row>
    <row r="101" spans="2:10" ht="12.75">
      <c r="F101" s="14"/>
      <c r="G101" s="14"/>
    </row>
    <row r="102" spans="2:10">
      <c r="B102" s="115"/>
      <c r="C102" s="109" t="s">
        <v>1</v>
      </c>
      <c r="D102" s="109" t="s">
        <v>2</v>
      </c>
      <c r="E102" s="109" t="s">
        <v>3</v>
      </c>
      <c r="F102" s="109" t="s">
        <v>4</v>
      </c>
      <c r="G102" s="109" t="s">
        <v>5</v>
      </c>
      <c r="H102" s="109" t="s">
        <v>6</v>
      </c>
      <c r="I102" s="109" t="s">
        <v>7</v>
      </c>
      <c r="J102" s="109" t="s">
        <v>8</v>
      </c>
    </row>
    <row r="103" spans="2:10">
      <c r="B103" s="114">
        <v>2019</v>
      </c>
      <c r="C103" s="113">
        <f t="shared" ref="C103:C116" si="14">J70</f>
        <v>46.270833333333336</v>
      </c>
      <c r="D103" s="324">
        <f>ROUND((C96)-(C96*$D$98),0)</f>
        <v>36</v>
      </c>
      <c r="E103" s="324">
        <f>ROUND((D96)-(D96*$E$98),0)</f>
        <v>49</v>
      </c>
      <c r="F103" s="324">
        <f>ROUND((E96)-(E96*$F$98),0)</f>
        <v>48</v>
      </c>
      <c r="G103" s="324">
        <f>ROUND((F96)-(F96*$G$98),0)</f>
        <v>35</v>
      </c>
      <c r="H103" s="324">
        <f>ROUND((G96)-(G96*$H$98),0)</f>
        <v>40</v>
      </c>
      <c r="I103" s="324">
        <f>ROUND((H96)-(H96*$I$98),0)</f>
        <v>37</v>
      </c>
      <c r="J103" s="111">
        <f t="shared" ref="J103:J116" si="15">SUM(C103:I103)</f>
        <v>291.27083333333337</v>
      </c>
    </row>
    <row r="104" spans="2:10">
      <c r="B104" s="114">
        <v>2020</v>
      </c>
      <c r="C104" s="113">
        <f t="shared" si="14"/>
        <v>40.368055555555557</v>
      </c>
      <c r="D104" s="324">
        <f>ROUND((C103-E50)-(C103*$D$98),0)</f>
        <v>46</v>
      </c>
      <c r="E104" s="112">
        <f t="shared" ref="E104:E116" si="16">ROUND((D103)-(D103*$E$98),0)</f>
        <v>36</v>
      </c>
      <c r="F104" s="112">
        <f t="shared" ref="F104:F116" si="17">ROUND((E103)-(E103*$F$98),0)</f>
        <v>49</v>
      </c>
      <c r="G104" s="112">
        <f t="shared" ref="G104:G116" si="18">ROUND((F103)-(F103*$G$98),0)</f>
        <v>48</v>
      </c>
      <c r="H104" s="112">
        <f t="shared" ref="H104:H116" si="19">ROUND((G103)-(G103*$H$98),0)</f>
        <v>36</v>
      </c>
      <c r="I104" s="112">
        <f t="shared" ref="I104:I116" si="20">ROUND((H103)-(H103*$I$98),0)</f>
        <v>40</v>
      </c>
      <c r="J104" s="111">
        <f t="shared" si="15"/>
        <v>295.36805555555554</v>
      </c>
    </row>
    <row r="105" spans="2:10">
      <c r="B105" s="114">
        <v>2021</v>
      </c>
      <c r="C105" s="113">
        <f t="shared" si="14"/>
        <v>41.351851851851848</v>
      </c>
      <c r="D105" s="324">
        <f>ROUND((C104-F50)-(C104*$D$98),0)</f>
        <v>40</v>
      </c>
      <c r="E105" s="112">
        <f t="shared" si="16"/>
        <v>46</v>
      </c>
      <c r="F105" s="112">
        <f t="shared" si="17"/>
        <v>36</v>
      </c>
      <c r="G105" s="112">
        <f t="shared" si="18"/>
        <v>49</v>
      </c>
      <c r="H105" s="112">
        <f t="shared" si="19"/>
        <v>49</v>
      </c>
      <c r="I105" s="112">
        <f t="shared" si="20"/>
        <v>36</v>
      </c>
      <c r="J105" s="111">
        <f t="shared" si="15"/>
        <v>297.35185185185185</v>
      </c>
    </row>
    <row r="106" spans="2:10">
      <c r="B106" s="114">
        <v>2022</v>
      </c>
      <c r="C106" s="113">
        <f t="shared" si="14"/>
        <v>38.400462962962962</v>
      </c>
      <c r="D106" s="324">
        <f>ROUND((C105-G50)-(C105*$D$98),0)</f>
        <v>40</v>
      </c>
      <c r="E106" s="112">
        <f t="shared" si="16"/>
        <v>40</v>
      </c>
      <c r="F106" s="112">
        <f t="shared" si="17"/>
        <v>46</v>
      </c>
      <c r="G106" s="112">
        <f t="shared" si="18"/>
        <v>36</v>
      </c>
      <c r="H106" s="112">
        <f t="shared" si="19"/>
        <v>50</v>
      </c>
      <c r="I106" s="112">
        <f t="shared" si="20"/>
        <v>49</v>
      </c>
      <c r="J106" s="111">
        <f t="shared" si="15"/>
        <v>299.40046296296293</v>
      </c>
    </row>
    <row r="107" spans="2:10">
      <c r="B107" s="114">
        <v>2023</v>
      </c>
      <c r="C107" s="113">
        <f t="shared" si="14"/>
        <v>43.319444444444443</v>
      </c>
      <c r="D107" s="324">
        <f>ROUND((C106-H50)-(C106*$D$98),0)</f>
        <v>35</v>
      </c>
      <c r="E107" s="112">
        <f t="shared" si="16"/>
        <v>40</v>
      </c>
      <c r="F107" s="112">
        <f t="shared" si="17"/>
        <v>40</v>
      </c>
      <c r="G107" s="112">
        <f t="shared" si="18"/>
        <v>46</v>
      </c>
      <c r="H107" s="112">
        <f t="shared" si="19"/>
        <v>37</v>
      </c>
      <c r="I107" s="112">
        <f t="shared" si="20"/>
        <v>50</v>
      </c>
      <c r="J107" s="111">
        <f t="shared" si="15"/>
        <v>291.31944444444446</v>
      </c>
    </row>
    <row r="108" spans="2:10">
      <c r="B108" s="114">
        <v>2024</v>
      </c>
      <c r="C108" s="113">
        <f t="shared" si="14"/>
        <v>46.270833333333336</v>
      </c>
      <c r="D108" s="324">
        <f>ROUND((C107-I50)-(C107*$D$98),0)</f>
        <v>37</v>
      </c>
      <c r="E108" s="112">
        <f t="shared" si="16"/>
        <v>35</v>
      </c>
      <c r="F108" s="112">
        <f t="shared" si="17"/>
        <v>40</v>
      </c>
      <c r="G108" s="112">
        <f t="shared" si="18"/>
        <v>40</v>
      </c>
      <c r="H108" s="112">
        <f t="shared" si="19"/>
        <v>47</v>
      </c>
      <c r="I108" s="112">
        <f t="shared" si="20"/>
        <v>37</v>
      </c>
      <c r="J108" s="111">
        <f t="shared" si="15"/>
        <v>282.27083333333337</v>
      </c>
    </row>
    <row r="109" spans="2:10">
      <c r="B109" s="114">
        <v>2025</v>
      </c>
      <c r="C109" s="113">
        <f t="shared" si="14"/>
        <v>52.173611111111107</v>
      </c>
      <c r="D109" s="324">
        <f>ROUND((C108-J50)-(C108*$D$98),0)</f>
        <v>35</v>
      </c>
      <c r="E109" s="112">
        <f t="shared" si="16"/>
        <v>37</v>
      </c>
      <c r="F109" s="112">
        <f t="shared" si="17"/>
        <v>35</v>
      </c>
      <c r="G109" s="112">
        <f t="shared" si="18"/>
        <v>40</v>
      </c>
      <c r="H109" s="112">
        <f t="shared" si="19"/>
        <v>41</v>
      </c>
      <c r="I109" s="112">
        <f t="shared" si="20"/>
        <v>47</v>
      </c>
      <c r="J109" s="111">
        <f t="shared" si="15"/>
        <v>287.17361111111109</v>
      </c>
    </row>
    <row r="110" spans="2:10">
      <c r="B110" s="114">
        <v>2026</v>
      </c>
      <c r="C110" s="113">
        <f t="shared" si="14"/>
        <v>56.108796296296298</v>
      </c>
      <c r="D110" s="324">
        <f>ROUND((C109-K50)-(C109*$D$98),0)</f>
        <v>37</v>
      </c>
      <c r="E110" s="112">
        <f t="shared" si="16"/>
        <v>35</v>
      </c>
      <c r="F110" s="112">
        <f t="shared" si="17"/>
        <v>37</v>
      </c>
      <c r="G110" s="112">
        <f t="shared" si="18"/>
        <v>35</v>
      </c>
      <c r="H110" s="112">
        <f t="shared" si="19"/>
        <v>41</v>
      </c>
      <c r="I110" s="112">
        <f t="shared" si="20"/>
        <v>41</v>
      </c>
      <c r="J110" s="111">
        <f t="shared" si="15"/>
        <v>282.1087962962963</v>
      </c>
    </row>
    <row r="111" spans="2:10">
      <c r="B111" s="114">
        <v>2027</v>
      </c>
      <c r="C111" s="113">
        <f t="shared" si="14"/>
        <v>60</v>
      </c>
      <c r="D111" s="324">
        <f>ROUND((C110-L50)-(C110*$D$98),0)</f>
        <v>37</v>
      </c>
      <c r="E111" s="112">
        <f t="shared" si="16"/>
        <v>37</v>
      </c>
      <c r="F111" s="112">
        <f t="shared" si="17"/>
        <v>35</v>
      </c>
      <c r="G111" s="112">
        <f t="shared" si="18"/>
        <v>37</v>
      </c>
      <c r="H111" s="112">
        <f t="shared" si="19"/>
        <v>36</v>
      </c>
      <c r="I111" s="112">
        <f t="shared" si="20"/>
        <v>41</v>
      </c>
      <c r="J111" s="111">
        <f t="shared" si="15"/>
        <v>283</v>
      </c>
    </row>
    <row r="112" spans="2:10">
      <c r="B112" s="114">
        <v>2028</v>
      </c>
      <c r="C112" s="113">
        <f t="shared" si="14"/>
        <v>65.946759259259267</v>
      </c>
      <c r="D112" s="324">
        <f>ROUND((C111-M50)-(C111*$D$98),0)</f>
        <v>36</v>
      </c>
      <c r="E112" s="112">
        <f t="shared" si="16"/>
        <v>37</v>
      </c>
      <c r="F112" s="112">
        <f t="shared" si="17"/>
        <v>37</v>
      </c>
      <c r="G112" s="112">
        <f t="shared" si="18"/>
        <v>35</v>
      </c>
      <c r="H112" s="112">
        <f t="shared" si="19"/>
        <v>38</v>
      </c>
      <c r="I112" s="112">
        <f t="shared" si="20"/>
        <v>36</v>
      </c>
      <c r="J112" s="111">
        <f t="shared" si="15"/>
        <v>284.94675925925924</v>
      </c>
    </row>
    <row r="113" spans="2:10" ht="15" customHeight="1">
      <c r="B113" s="114">
        <v>2029</v>
      </c>
      <c r="C113" s="113">
        <f t="shared" si="14"/>
        <v>66</v>
      </c>
      <c r="D113" s="324">
        <f>ROUND((C112-N50)-(C112*$D$98),0)</f>
        <v>40</v>
      </c>
      <c r="E113" s="112">
        <f t="shared" si="16"/>
        <v>36</v>
      </c>
      <c r="F113" s="112">
        <f t="shared" si="17"/>
        <v>37</v>
      </c>
      <c r="G113" s="112">
        <f t="shared" si="18"/>
        <v>37</v>
      </c>
      <c r="H113" s="112">
        <f t="shared" si="19"/>
        <v>36</v>
      </c>
      <c r="I113" s="112">
        <f t="shared" si="20"/>
        <v>38</v>
      </c>
      <c r="J113" s="111">
        <f t="shared" si="15"/>
        <v>290</v>
      </c>
    </row>
    <row r="114" spans="2:10" ht="15" customHeight="1">
      <c r="B114" s="114">
        <v>2030</v>
      </c>
      <c r="C114" s="113">
        <f t="shared" si="14"/>
        <v>69.881944444444443</v>
      </c>
      <c r="D114" s="324">
        <f>ROUND((C113-O50)-(C113*$D$98),0)</f>
        <v>38</v>
      </c>
      <c r="E114" s="112">
        <f t="shared" si="16"/>
        <v>40</v>
      </c>
      <c r="F114" s="112">
        <f t="shared" si="17"/>
        <v>36</v>
      </c>
      <c r="G114" s="112">
        <f t="shared" si="18"/>
        <v>37</v>
      </c>
      <c r="H114" s="112">
        <f t="shared" si="19"/>
        <v>38</v>
      </c>
      <c r="I114" s="112">
        <f t="shared" si="20"/>
        <v>36</v>
      </c>
      <c r="J114" s="111">
        <f t="shared" si="15"/>
        <v>294.88194444444446</v>
      </c>
    </row>
    <row r="115" spans="2:10" ht="15" customHeight="1">
      <c r="B115" s="114">
        <v>2031</v>
      </c>
      <c r="C115" s="113">
        <f t="shared" si="14"/>
        <v>71.849537037037038</v>
      </c>
      <c r="D115" s="324">
        <f>ROUND((C114-P50)-(C114*$D$98),0)</f>
        <v>40</v>
      </c>
      <c r="E115" s="112">
        <f t="shared" si="16"/>
        <v>38</v>
      </c>
      <c r="F115" s="112">
        <f t="shared" si="17"/>
        <v>40</v>
      </c>
      <c r="G115" s="112">
        <f t="shared" si="18"/>
        <v>36</v>
      </c>
      <c r="H115" s="112">
        <f t="shared" si="19"/>
        <v>38</v>
      </c>
      <c r="I115" s="112">
        <f t="shared" si="20"/>
        <v>38</v>
      </c>
      <c r="J115" s="111">
        <f t="shared" si="15"/>
        <v>301.84953703703707</v>
      </c>
    </row>
    <row r="116" spans="2:10" ht="15" customHeight="1">
      <c r="B116" s="114">
        <v>2032</v>
      </c>
      <c r="C116" s="113">
        <f t="shared" si="14"/>
        <v>72</v>
      </c>
      <c r="D116" s="324">
        <f>ROUND((C115-Q50)-(C115*$D$98),0)</f>
        <v>40</v>
      </c>
      <c r="E116" s="112">
        <f t="shared" si="16"/>
        <v>40</v>
      </c>
      <c r="F116" s="112">
        <f t="shared" si="17"/>
        <v>38</v>
      </c>
      <c r="G116" s="112">
        <f t="shared" si="18"/>
        <v>40</v>
      </c>
      <c r="H116" s="112">
        <f t="shared" si="19"/>
        <v>37</v>
      </c>
      <c r="I116" s="112">
        <f t="shared" si="20"/>
        <v>38</v>
      </c>
      <c r="J116" s="111">
        <f t="shared" si="15"/>
        <v>305</v>
      </c>
    </row>
    <row r="117" spans="2:10" ht="15" hidden="1" customHeight="1">
      <c r="F117" s="14"/>
      <c r="G117" s="14"/>
    </row>
    <row r="118" spans="2:10" ht="15" hidden="1" customHeight="1">
      <c r="B118" s="15" t="str">
        <f>"Table 4C: "&amp;E3&amp;" Projected Pupil Generation from Housing Development, 2019-2032"</f>
        <v>Table 4C: Echline Primary School Projected Pupil Generation from Housing Development, 2019-2032</v>
      </c>
      <c r="F118" s="14"/>
      <c r="G118" s="14"/>
    </row>
    <row r="119" spans="2:10" ht="15" hidden="1" customHeight="1">
      <c r="F119" s="14"/>
      <c r="G119" s="14"/>
    </row>
    <row r="120" spans="2:10" ht="15" hidden="1" customHeight="1">
      <c r="B120" s="115"/>
      <c r="C120" s="109" t="s">
        <v>1</v>
      </c>
      <c r="D120" s="109" t="s">
        <v>2</v>
      </c>
      <c r="E120" s="109" t="s">
        <v>3</v>
      </c>
      <c r="F120" s="109" t="s">
        <v>4</v>
      </c>
      <c r="G120" s="109" t="s">
        <v>5</v>
      </c>
      <c r="H120" s="109" t="s">
        <v>6</v>
      </c>
      <c r="I120" s="109" t="s">
        <v>7</v>
      </c>
      <c r="J120" s="109" t="s">
        <v>8</v>
      </c>
    </row>
    <row r="121" spans="2:10" ht="15" hidden="1" customHeight="1">
      <c r="B121" s="114">
        <v>2019</v>
      </c>
      <c r="C121" s="116" t="s">
        <v>97</v>
      </c>
      <c r="D121" s="112">
        <f>VLOOKUP($E$3,'Housing Generation'!$A$3:$BE$90,11,FALSE)</f>
        <v>0</v>
      </c>
      <c r="E121" s="112">
        <f>VLOOKUP($E$3,'Housing Generation'!$A$3:$BE$90,12,FALSE)</f>
        <v>0</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0</v>
      </c>
    </row>
    <row r="122" spans="2:10" ht="15" hidden="1" customHeight="1">
      <c r="B122" s="114">
        <v>2020</v>
      </c>
      <c r="C122" s="116" t="s">
        <v>97</v>
      </c>
      <c r="D122" s="112">
        <f>VLOOKUP($E$3,'Housing Generation'!$A$3:$BE$90,19,FALSE)</f>
        <v>0</v>
      </c>
      <c r="E122" s="112">
        <f>VLOOKUP($E$3,'Housing Generation'!$A$3:$BE$90,20,FALSE)</f>
        <v>0</v>
      </c>
      <c r="F122" s="112">
        <f>VLOOKUP($E$3,'Housing Generation'!$A$3:$BE$90,21,FALSE)</f>
        <v>0</v>
      </c>
      <c r="G122" s="112">
        <f>VLOOKUP($E$3,'Housing Generation'!$A$3:$BE$90,22,FALSE)</f>
        <v>0</v>
      </c>
      <c r="H122" s="112">
        <f>VLOOKUP($E$3,'Housing Generation'!$A$3:$BE$90,23,FALSE)</f>
        <v>0</v>
      </c>
      <c r="I122" s="112">
        <f>VLOOKUP($E$3,'Housing Generation'!$A$3:$BE$90,24,FALSE)</f>
        <v>0</v>
      </c>
      <c r="J122" s="111">
        <f t="shared" si="21"/>
        <v>0</v>
      </c>
    </row>
    <row r="123" spans="2:10" ht="15" hidden="1" customHeight="1">
      <c r="B123" s="114">
        <v>2021</v>
      </c>
      <c r="C123" s="116" t="s">
        <v>97</v>
      </c>
      <c r="D123" s="112">
        <f>VLOOKUP($E$3,'Housing Generation'!$A$3:$BE$90,27,FALSE)</f>
        <v>0</v>
      </c>
      <c r="E123" s="112">
        <f>VLOOKUP($E$3,'Housing Generation'!$A$3:$BE$90,28,FALSE)</f>
        <v>0</v>
      </c>
      <c r="F123" s="112">
        <f>VLOOKUP($E$3,'Housing Generation'!$A$3:$BE$90,29,FALSE)</f>
        <v>0</v>
      </c>
      <c r="G123" s="112">
        <f>VLOOKUP($E$3,'Housing Generation'!$A$3:$BE$90,30,FALSE)</f>
        <v>0</v>
      </c>
      <c r="H123" s="112">
        <f>VLOOKUP($E$3,'Housing Generation'!$A$3:$BE$90,31,FALSE)</f>
        <v>0</v>
      </c>
      <c r="I123" s="112">
        <f>VLOOKUP($E$3,'Housing Generation'!$A$3:$BE$90,32,FALSE)</f>
        <v>0</v>
      </c>
      <c r="J123" s="111">
        <f t="shared" si="21"/>
        <v>0</v>
      </c>
    </row>
    <row r="124" spans="2:10" ht="15" hidden="1" customHeight="1">
      <c r="B124" s="114">
        <v>2022</v>
      </c>
      <c r="C124" s="116" t="s">
        <v>97</v>
      </c>
      <c r="D124" s="112">
        <f>VLOOKUP($E$3,'Housing Generation'!$A$3:$BE$90,35,FALSE)</f>
        <v>1</v>
      </c>
      <c r="E124" s="112">
        <f>VLOOKUP($E$3,'Housing Generation'!$A$3:$BE$90,36,FALSE)</f>
        <v>1</v>
      </c>
      <c r="F124" s="112">
        <f>VLOOKUP($E$3,'Housing Generation'!$A$3:$BE$90,37,FALSE)</f>
        <v>1</v>
      </c>
      <c r="G124" s="112">
        <f>VLOOKUP($E$3,'Housing Generation'!$A$3:$BE$90,38,FALSE)</f>
        <v>1</v>
      </c>
      <c r="H124" s="112">
        <f>VLOOKUP($E$3,'Housing Generation'!$A$3:$BE$90,39,FALSE)</f>
        <v>1</v>
      </c>
      <c r="I124" s="112">
        <f>VLOOKUP($E$3,'Housing Generation'!$A$3:$BE$90,40,FALSE)</f>
        <v>0</v>
      </c>
      <c r="J124" s="111">
        <f t="shared" si="21"/>
        <v>5</v>
      </c>
    </row>
    <row r="125" spans="2:10" ht="15" hidden="1" customHeight="1">
      <c r="B125" s="114">
        <v>2023</v>
      </c>
      <c r="C125" s="116" t="s">
        <v>97</v>
      </c>
      <c r="D125" s="112">
        <f>VLOOKUP($E$3,'Housing Generation'!$A$3:$BE$90,43,FALSE)</f>
        <v>3</v>
      </c>
      <c r="E125" s="112">
        <f>VLOOKUP($E$3,'Housing Generation'!$A$3:$BE$90,44,FALSE)</f>
        <v>3</v>
      </c>
      <c r="F125" s="112">
        <f>VLOOKUP($E$3,'Housing Generation'!$A$3:$BE$90,45,FALSE)</f>
        <v>2</v>
      </c>
      <c r="G125" s="112">
        <f>VLOOKUP($E$3,'Housing Generation'!$A$3:$BE$90,46,FALSE)</f>
        <v>2</v>
      </c>
      <c r="H125" s="112">
        <f>VLOOKUP($E$3,'Housing Generation'!$A$3:$BE$90,47,FALSE)</f>
        <v>2</v>
      </c>
      <c r="I125" s="112">
        <f>VLOOKUP($E$3,'Housing Generation'!$A$3:$BE$90,48,FALSE)</f>
        <v>2</v>
      </c>
      <c r="J125" s="111">
        <f t="shared" si="21"/>
        <v>14</v>
      </c>
    </row>
    <row r="126" spans="2:10" ht="15" hidden="1" customHeight="1">
      <c r="B126" s="114">
        <v>2024</v>
      </c>
      <c r="C126" s="116" t="s">
        <v>97</v>
      </c>
      <c r="D126" s="112">
        <f>VLOOKUP($E$3,'Housing Generation'!$A$3:$BE$90,51,FALSE)</f>
        <v>6</v>
      </c>
      <c r="E126" s="112">
        <f>VLOOKUP($E$3,'Housing Generation'!$A$3:$BE$90,52,FALSE)</f>
        <v>6</v>
      </c>
      <c r="F126" s="112">
        <f>VLOOKUP($E$3,'Housing Generation'!$A$3:$BE$90,53,FALSE)</f>
        <v>6</v>
      </c>
      <c r="G126" s="112">
        <f>VLOOKUP($E$3,'Housing Generation'!$A$3:$BE$90,54,FALSE)</f>
        <v>5</v>
      </c>
      <c r="H126" s="112">
        <f>VLOOKUP($E$3,'Housing Generation'!$A$3:$BE$90,55,FALSE)</f>
        <v>5</v>
      </c>
      <c r="I126" s="112">
        <f>VLOOKUP($E$3,'Housing Generation'!$A$3:$BE$90,56,FALSE)</f>
        <v>5</v>
      </c>
      <c r="J126" s="111">
        <f t="shared" si="21"/>
        <v>33</v>
      </c>
    </row>
    <row r="127" spans="2:10" ht="15" hidden="1" customHeight="1">
      <c r="B127" s="114">
        <v>2025</v>
      </c>
      <c r="C127" s="240" t="s">
        <v>97</v>
      </c>
      <c r="D127" s="112">
        <f>VLOOKUP($E$3,'Housing Generation'!$A$3:$CK$90,59,FALSE)</f>
        <v>11</v>
      </c>
      <c r="E127" s="112">
        <f>VLOOKUP($E$3,'Housing Generation'!$A$3:$CK$90,60,FALSE)</f>
        <v>10</v>
      </c>
      <c r="F127" s="112">
        <f>VLOOKUP($E$3,'Housing Generation'!$A$3:$CK$90,61,FALSE)</f>
        <v>10</v>
      </c>
      <c r="G127" s="112">
        <f>VLOOKUP($E$3,'Housing Generation'!$A$3:$CK$90,62,FALSE)</f>
        <v>10</v>
      </c>
      <c r="H127" s="112">
        <f>VLOOKUP($E$3,'Housing Generation'!$A$3:$CK$90,63,FALSE)</f>
        <v>10</v>
      </c>
      <c r="I127" s="112">
        <f>VLOOKUP($E$3,'Housing Generation'!$A$3:$CK$90,64,FALSE)</f>
        <v>10</v>
      </c>
      <c r="J127" s="111">
        <f t="shared" si="21"/>
        <v>61</v>
      </c>
    </row>
    <row r="128" spans="2:10" ht="15" hidden="1" customHeight="1">
      <c r="B128" s="114">
        <v>2026</v>
      </c>
      <c r="C128" s="240" t="s">
        <v>97</v>
      </c>
      <c r="D128" s="112">
        <f>VLOOKUP($E$3,'Housing Generation'!$A$3:$CK$90,67,FALSE)</f>
        <v>15</v>
      </c>
      <c r="E128" s="112">
        <f>VLOOKUP($E$3,'Housing Generation'!$A$3:$CK$90,68,FALSE)</f>
        <v>15</v>
      </c>
      <c r="F128" s="112">
        <f>VLOOKUP($E$3,'Housing Generation'!$A$3:$CK$90,69,FALSE)</f>
        <v>15</v>
      </c>
      <c r="G128" s="112">
        <f>VLOOKUP($E$3,'Housing Generation'!$A$3:$CK$90,70,FALSE)</f>
        <v>15</v>
      </c>
      <c r="H128" s="112">
        <f>VLOOKUP($E$3,'Housing Generation'!$A$3:$CK$90,71,FALSE)</f>
        <v>15</v>
      </c>
      <c r="I128" s="112">
        <f>VLOOKUP($E$3,'Housing Generation'!$A$3:$CK$90,72,FALSE)</f>
        <v>15</v>
      </c>
      <c r="J128" s="111">
        <f t="shared" si="21"/>
        <v>90</v>
      </c>
    </row>
    <row r="129" spans="2:10" ht="15" hidden="1" customHeight="1">
      <c r="B129" s="114">
        <v>2027</v>
      </c>
      <c r="C129" s="240" t="s">
        <v>97</v>
      </c>
      <c r="D129" s="112">
        <f>VLOOKUP($E$3,'Housing Generation'!$A$3:$CK$90,75,FALSE)</f>
        <v>18</v>
      </c>
      <c r="E129" s="112">
        <f>VLOOKUP($E$3,'Housing Generation'!$A$3:$CK$90,76,FALSE)</f>
        <v>18</v>
      </c>
      <c r="F129" s="112">
        <f>VLOOKUP($E$3,'Housing Generation'!$A$3:$CK$90,77,FALSE)</f>
        <v>18</v>
      </c>
      <c r="G129" s="112">
        <f>VLOOKUP($E$3,'Housing Generation'!$A$3:$CK$90,78,FALSE)</f>
        <v>18</v>
      </c>
      <c r="H129" s="112">
        <f>VLOOKUP($E$3,'Housing Generation'!$A$3:$CK$90,79,FALSE)</f>
        <v>18</v>
      </c>
      <c r="I129" s="112">
        <f>VLOOKUP($E$3,'Housing Generation'!$A$3:$CK$90,80,FALSE)</f>
        <v>18</v>
      </c>
      <c r="J129" s="111">
        <f t="shared" si="21"/>
        <v>108</v>
      </c>
    </row>
    <row r="130" spans="2:10" ht="15" customHeight="1">
      <c r="B130" s="114">
        <v>2028</v>
      </c>
      <c r="C130" s="289" t="s">
        <v>97</v>
      </c>
      <c r="D130" s="112">
        <f>VLOOKUP($E$3,'Housing Generation'!$A$3:$CK$90,83,FALSE)</f>
        <v>23</v>
      </c>
      <c r="E130" s="112">
        <f>VLOOKUP($E$3,'Housing Generation'!$A$3:$CK$90,84,FALSE)</f>
        <v>23</v>
      </c>
      <c r="F130" s="112">
        <f>VLOOKUP($E$3,'Housing Generation'!$A$3:$CK$90,85,FALSE)</f>
        <v>23</v>
      </c>
      <c r="G130" s="112">
        <f>VLOOKUP($E$3,'Housing Generation'!$A$3:$CK$90,86,FALSE)</f>
        <v>23</v>
      </c>
      <c r="H130" s="112">
        <f>VLOOKUP($E$3,'Housing Generation'!$A$3:$CK$90,87,FALSE)</f>
        <v>23</v>
      </c>
      <c r="I130" s="112">
        <f>VLOOKUP($E$3,'Housing Generation'!$A$3:$CK$90,88,FALSE)</f>
        <v>23</v>
      </c>
      <c r="J130" s="111">
        <f t="shared" si="21"/>
        <v>138</v>
      </c>
    </row>
    <row r="131" spans="2:10" ht="15" customHeight="1">
      <c r="B131" s="114">
        <v>2029</v>
      </c>
      <c r="C131" s="289" t="s">
        <v>97</v>
      </c>
      <c r="D131" s="112">
        <f>VLOOKUP($E$3,'Housing Generation'!$A$3:$DQ$90,91,FALSE)</f>
        <v>25</v>
      </c>
      <c r="E131" s="112">
        <f>VLOOKUP($E$3,'Housing Generation'!$A$3:$DQ$90,92,FALSE)</f>
        <v>25</v>
      </c>
      <c r="F131" s="112">
        <f>VLOOKUP($E$3,'Housing Generation'!$A$3:$DQ$90,93,FALSE)</f>
        <v>25</v>
      </c>
      <c r="G131" s="112">
        <f>VLOOKUP($E$3,'Housing Generation'!$A$3:$DQ$90,94,FALSE)</f>
        <v>25</v>
      </c>
      <c r="H131" s="112">
        <f>VLOOKUP($E$3,'Housing Generation'!$A$3:$DQ$90,95,FALSE)</f>
        <v>25</v>
      </c>
      <c r="I131" s="112">
        <f>VLOOKUP($E$3,'Housing Generation'!$A$3:$DQ$90,96,FALSE)</f>
        <v>25</v>
      </c>
      <c r="J131" s="111">
        <f t="shared" si="21"/>
        <v>150</v>
      </c>
    </row>
    <row r="132" spans="2:10" ht="15" customHeight="1">
      <c r="B132" s="114">
        <v>2030</v>
      </c>
      <c r="C132" s="289" t="s">
        <v>97</v>
      </c>
      <c r="D132" s="112">
        <f>VLOOKUP($E$3,'Housing Generation'!$A$3:$DQ$90,99,FALSE)</f>
        <v>27</v>
      </c>
      <c r="E132" s="112">
        <f>VLOOKUP($E$3,'Housing Generation'!$A$3:$DQ$90,100,FALSE)</f>
        <v>27</v>
      </c>
      <c r="F132" s="112">
        <f>VLOOKUP($E$3,'Housing Generation'!$A$3:$DQ$90,101,FALSE)</f>
        <v>27</v>
      </c>
      <c r="G132" s="112">
        <f>VLOOKUP($E$3,'Housing Generation'!$A$3:$DQ$90,102,FALSE)</f>
        <v>27</v>
      </c>
      <c r="H132" s="112">
        <f>VLOOKUP($E$3,'Housing Generation'!$A$3:$DQ$90,103,FALSE)</f>
        <v>27</v>
      </c>
      <c r="I132" s="112">
        <f>VLOOKUP($E$3,'Housing Generation'!$A$3:$DQ$90,104,FALSE)</f>
        <v>27</v>
      </c>
      <c r="J132" s="111">
        <f t="shared" si="21"/>
        <v>162</v>
      </c>
    </row>
    <row r="133" spans="2:10" ht="15" customHeight="1">
      <c r="B133" s="114">
        <v>2031</v>
      </c>
      <c r="C133" s="289" t="s">
        <v>97</v>
      </c>
      <c r="D133" s="112">
        <f>VLOOKUP($E$3,'Housing Generation'!$A$3:$DQ$90,107,FALSE)</f>
        <v>29</v>
      </c>
      <c r="E133" s="112">
        <f>VLOOKUP($E$3,'Housing Generation'!$A$3:$DQ$90,108,FALSE)</f>
        <v>29</v>
      </c>
      <c r="F133" s="112">
        <f>VLOOKUP($E$3,'Housing Generation'!$A$3:$DQ$90,109,FALSE)</f>
        <v>29</v>
      </c>
      <c r="G133" s="112">
        <f>VLOOKUP($E$3,'Housing Generation'!$A$3:$DQ$90,110,FALSE)</f>
        <v>29</v>
      </c>
      <c r="H133" s="112">
        <f>VLOOKUP($E$3,'Housing Generation'!$A$3:$DQ$90,111,FALSE)</f>
        <v>29</v>
      </c>
      <c r="I133" s="112">
        <f>VLOOKUP($E$3,'Housing Generation'!$A$3:$DQ$90,112,FALSE)</f>
        <v>29</v>
      </c>
      <c r="J133" s="111">
        <f t="shared" si="21"/>
        <v>174</v>
      </c>
    </row>
    <row r="134" spans="2:10" ht="15" customHeight="1">
      <c r="B134" s="114">
        <v>2032</v>
      </c>
      <c r="C134" s="289" t="s">
        <v>97</v>
      </c>
      <c r="D134" s="112">
        <f>VLOOKUP($E$3,'Housing Generation'!$A$3:$DQ$90,115,FALSE)</f>
        <v>31</v>
      </c>
      <c r="E134" s="112">
        <f>VLOOKUP($E$3,'Housing Generation'!$A$3:$DQ$90,116,FALSE)</f>
        <v>31</v>
      </c>
      <c r="F134" s="112">
        <f>VLOOKUP($E$3,'Housing Generation'!$A$3:$DQ$90,117,FALSE)</f>
        <v>31</v>
      </c>
      <c r="G134" s="112">
        <f>VLOOKUP($E$3,'Housing Generation'!$A$3:$DQ$90,118,FALSE)</f>
        <v>31</v>
      </c>
      <c r="H134" s="112">
        <f>VLOOKUP($E$3,'Housing Generation'!$A$3:$DQ$90,119,FALSE)</f>
        <v>31</v>
      </c>
      <c r="I134" s="112">
        <f>VLOOKUP($E$3,'Housing Generation'!$A$3:$DQ$90,120,FALSE)</f>
        <v>31</v>
      </c>
      <c r="J134" s="111">
        <f t="shared" si="21"/>
        <v>186</v>
      </c>
    </row>
    <row r="135" spans="2:10" ht="15" hidden="1"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Echline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46.270833333333336</v>
      </c>
      <c r="D139" s="112">
        <f t="shared" ref="D139:I152" si="23">D121+D103</f>
        <v>36</v>
      </c>
      <c r="E139" s="112">
        <f t="shared" si="23"/>
        <v>49</v>
      </c>
      <c r="F139" s="112">
        <f t="shared" si="23"/>
        <v>48</v>
      </c>
      <c r="G139" s="112">
        <f t="shared" si="23"/>
        <v>35</v>
      </c>
      <c r="H139" s="112">
        <f t="shared" si="23"/>
        <v>40</v>
      </c>
      <c r="I139" s="112">
        <f t="shared" si="23"/>
        <v>37</v>
      </c>
      <c r="J139" s="111">
        <f t="shared" ref="J139:J147" si="24">SUM(C139:I139)</f>
        <v>291.27083333333337</v>
      </c>
    </row>
    <row r="140" spans="2:10" ht="15" customHeight="1">
      <c r="B140" s="114">
        <v>2020</v>
      </c>
      <c r="C140" s="113">
        <f t="shared" si="22"/>
        <v>40.368055555555557</v>
      </c>
      <c r="D140" s="112">
        <f t="shared" si="23"/>
        <v>46</v>
      </c>
      <c r="E140" s="112">
        <f t="shared" si="23"/>
        <v>36</v>
      </c>
      <c r="F140" s="112">
        <f t="shared" si="23"/>
        <v>49</v>
      </c>
      <c r="G140" s="112">
        <f t="shared" si="23"/>
        <v>48</v>
      </c>
      <c r="H140" s="112">
        <f t="shared" si="23"/>
        <v>36</v>
      </c>
      <c r="I140" s="112">
        <f t="shared" si="23"/>
        <v>40</v>
      </c>
      <c r="J140" s="111">
        <f t="shared" si="24"/>
        <v>295.36805555555554</v>
      </c>
    </row>
    <row r="141" spans="2:10" ht="15" customHeight="1">
      <c r="B141" s="114">
        <v>2021</v>
      </c>
      <c r="C141" s="113">
        <f t="shared" si="22"/>
        <v>41.351851851851848</v>
      </c>
      <c r="D141" s="112">
        <f t="shared" si="23"/>
        <v>40</v>
      </c>
      <c r="E141" s="112">
        <f t="shared" si="23"/>
        <v>46</v>
      </c>
      <c r="F141" s="112">
        <f t="shared" si="23"/>
        <v>36</v>
      </c>
      <c r="G141" s="112">
        <f t="shared" si="23"/>
        <v>49</v>
      </c>
      <c r="H141" s="112">
        <f t="shared" si="23"/>
        <v>49</v>
      </c>
      <c r="I141" s="112">
        <f t="shared" si="23"/>
        <v>36</v>
      </c>
      <c r="J141" s="111">
        <f t="shared" si="24"/>
        <v>297.35185185185185</v>
      </c>
    </row>
    <row r="142" spans="2:10" ht="15" customHeight="1">
      <c r="B142" s="114">
        <v>2022</v>
      </c>
      <c r="C142" s="113">
        <f t="shared" si="22"/>
        <v>38.400462962962962</v>
      </c>
      <c r="D142" s="112">
        <f t="shared" si="23"/>
        <v>41</v>
      </c>
      <c r="E142" s="112">
        <f t="shared" si="23"/>
        <v>41</v>
      </c>
      <c r="F142" s="112">
        <f t="shared" si="23"/>
        <v>47</v>
      </c>
      <c r="G142" s="112">
        <f t="shared" si="23"/>
        <v>37</v>
      </c>
      <c r="H142" s="112">
        <f t="shared" si="23"/>
        <v>51</v>
      </c>
      <c r="I142" s="112">
        <f t="shared" si="23"/>
        <v>49</v>
      </c>
      <c r="J142" s="111">
        <f t="shared" si="24"/>
        <v>304.40046296296293</v>
      </c>
    </row>
    <row r="143" spans="2:10" ht="15" customHeight="1">
      <c r="B143" s="114">
        <v>2023</v>
      </c>
      <c r="C143" s="113">
        <f t="shared" si="22"/>
        <v>43.319444444444443</v>
      </c>
      <c r="D143" s="112">
        <f t="shared" si="23"/>
        <v>38</v>
      </c>
      <c r="E143" s="112">
        <f t="shared" si="23"/>
        <v>43</v>
      </c>
      <c r="F143" s="112">
        <f t="shared" si="23"/>
        <v>42</v>
      </c>
      <c r="G143" s="112">
        <f t="shared" si="23"/>
        <v>48</v>
      </c>
      <c r="H143" s="112">
        <f t="shared" si="23"/>
        <v>39</v>
      </c>
      <c r="I143" s="112">
        <f t="shared" si="23"/>
        <v>52</v>
      </c>
      <c r="J143" s="111">
        <f t="shared" si="24"/>
        <v>305.31944444444446</v>
      </c>
    </row>
    <row r="144" spans="2:10" ht="15" customHeight="1">
      <c r="B144" s="114">
        <v>2024</v>
      </c>
      <c r="C144" s="113">
        <f t="shared" si="22"/>
        <v>46.270833333333336</v>
      </c>
      <c r="D144" s="112">
        <f t="shared" si="23"/>
        <v>43</v>
      </c>
      <c r="E144" s="112">
        <f t="shared" si="23"/>
        <v>41</v>
      </c>
      <c r="F144" s="112">
        <f t="shared" si="23"/>
        <v>46</v>
      </c>
      <c r="G144" s="112">
        <f t="shared" si="23"/>
        <v>45</v>
      </c>
      <c r="H144" s="112">
        <f t="shared" si="23"/>
        <v>52</v>
      </c>
      <c r="I144" s="112">
        <f t="shared" si="23"/>
        <v>42</v>
      </c>
      <c r="J144" s="111">
        <f t="shared" si="24"/>
        <v>315.27083333333337</v>
      </c>
    </row>
    <row r="145" spans="2:16" ht="15" customHeight="1">
      <c r="B145" s="114">
        <v>2025</v>
      </c>
      <c r="C145" s="113">
        <f t="shared" si="22"/>
        <v>52.173611111111107</v>
      </c>
      <c r="D145" s="112">
        <f t="shared" si="23"/>
        <v>46</v>
      </c>
      <c r="E145" s="112">
        <f t="shared" si="23"/>
        <v>47</v>
      </c>
      <c r="F145" s="112">
        <f t="shared" si="23"/>
        <v>45</v>
      </c>
      <c r="G145" s="112">
        <f t="shared" si="23"/>
        <v>50</v>
      </c>
      <c r="H145" s="112">
        <f t="shared" si="23"/>
        <v>51</v>
      </c>
      <c r="I145" s="112">
        <f t="shared" si="23"/>
        <v>57</v>
      </c>
      <c r="J145" s="111">
        <f t="shared" si="24"/>
        <v>348.17361111111109</v>
      </c>
    </row>
    <row r="146" spans="2:16" ht="15" customHeight="1">
      <c r="B146" s="114">
        <v>2026</v>
      </c>
      <c r="C146" s="113">
        <f t="shared" si="22"/>
        <v>56.108796296296298</v>
      </c>
      <c r="D146" s="112">
        <f t="shared" si="23"/>
        <v>52</v>
      </c>
      <c r="E146" s="112">
        <f t="shared" si="23"/>
        <v>50</v>
      </c>
      <c r="F146" s="112">
        <f t="shared" si="23"/>
        <v>52</v>
      </c>
      <c r="G146" s="112">
        <f t="shared" si="23"/>
        <v>50</v>
      </c>
      <c r="H146" s="112">
        <f t="shared" si="23"/>
        <v>56</v>
      </c>
      <c r="I146" s="112">
        <f t="shared" si="23"/>
        <v>56</v>
      </c>
      <c r="J146" s="111">
        <f t="shared" si="24"/>
        <v>372.1087962962963</v>
      </c>
    </row>
    <row r="147" spans="2:16" ht="15" customHeight="1">
      <c r="B147" s="114">
        <v>2027</v>
      </c>
      <c r="C147" s="113">
        <f t="shared" si="22"/>
        <v>60</v>
      </c>
      <c r="D147" s="112">
        <f t="shared" si="23"/>
        <v>55</v>
      </c>
      <c r="E147" s="112">
        <f t="shared" si="23"/>
        <v>55</v>
      </c>
      <c r="F147" s="112">
        <f t="shared" si="23"/>
        <v>53</v>
      </c>
      <c r="G147" s="112">
        <f t="shared" si="23"/>
        <v>55</v>
      </c>
      <c r="H147" s="112">
        <f t="shared" si="23"/>
        <v>54</v>
      </c>
      <c r="I147" s="112">
        <f t="shared" si="23"/>
        <v>59</v>
      </c>
      <c r="J147" s="111">
        <f t="shared" si="24"/>
        <v>391</v>
      </c>
    </row>
    <row r="148" spans="2:16" ht="15" customHeight="1">
      <c r="B148" s="114">
        <v>2028</v>
      </c>
      <c r="C148" s="113">
        <f t="shared" si="22"/>
        <v>65.946759259259267</v>
      </c>
      <c r="D148" s="112">
        <f t="shared" si="23"/>
        <v>59</v>
      </c>
      <c r="E148" s="112">
        <f t="shared" si="23"/>
        <v>60</v>
      </c>
      <c r="F148" s="112">
        <f t="shared" si="23"/>
        <v>60</v>
      </c>
      <c r="G148" s="112">
        <f t="shared" si="23"/>
        <v>58</v>
      </c>
      <c r="H148" s="112">
        <f t="shared" si="23"/>
        <v>61</v>
      </c>
      <c r="I148" s="112">
        <f t="shared" si="23"/>
        <v>59</v>
      </c>
      <c r="J148" s="111">
        <f t="shared" ref="J148:J152" si="25">SUM(C148:I148)</f>
        <v>422.94675925925924</v>
      </c>
    </row>
    <row r="149" spans="2:16" ht="15" customHeight="1">
      <c r="B149" s="114">
        <v>2029</v>
      </c>
      <c r="C149" s="113">
        <f t="shared" si="22"/>
        <v>66</v>
      </c>
      <c r="D149" s="112">
        <f t="shared" si="23"/>
        <v>65</v>
      </c>
      <c r="E149" s="112">
        <f t="shared" si="23"/>
        <v>61</v>
      </c>
      <c r="F149" s="112">
        <f t="shared" si="23"/>
        <v>62</v>
      </c>
      <c r="G149" s="112">
        <f t="shared" si="23"/>
        <v>62</v>
      </c>
      <c r="H149" s="112">
        <f t="shared" si="23"/>
        <v>61</v>
      </c>
      <c r="I149" s="112">
        <f t="shared" si="23"/>
        <v>63</v>
      </c>
      <c r="J149" s="111">
        <f t="shared" si="25"/>
        <v>440</v>
      </c>
    </row>
    <row r="150" spans="2:16" ht="15" customHeight="1">
      <c r="B150" s="114">
        <v>2030</v>
      </c>
      <c r="C150" s="113">
        <f t="shared" si="22"/>
        <v>69.881944444444443</v>
      </c>
      <c r="D150" s="112">
        <f t="shared" si="23"/>
        <v>65</v>
      </c>
      <c r="E150" s="112">
        <f t="shared" si="23"/>
        <v>67</v>
      </c>
      <c r="F150" s="112">
        <f t="shared" si="23"/>
        <v>63</v>
      </c>
      <c r="G150" s="112">
        <f t="shared" si="23"/>
        <v>64</v>
      </c>
      <c r="H150" s="112">
        <f t="shared" si="23"/>
        <v>65</v>
      </c>
      <c r="I150" s="112">
        <f t="shared" si="23"/>
        <v>63</v>
      </c>
      <c r="J150" s="111">
        <f t="shared" si="25"/>
        <v>456.88194444444446</v>
      </c>
    </row>
    <row r="151" spans="2:16" ht="15" customHeight="1">
      <c r="B151" s="114">
        <v>2031</v>
      </c>
      <c r="C151" s="113">
        <f t="shared" si="22"/>
        <v>71.849537037037038</v>
      </c>
      <c r="D151" s="112">
        <f t="shared" si="23"/>
        <v>69</v>
      </c>
      <c r="E151" s="112">
        <f t="shared" si="23"/>
        <v>67</v>
      </c>
      <c r="F151" s="112">
        <f t="shared" si="23"/>
        <v>69</v>
      </c>
      <c r="G151" s="112">
        <f t="shared" si="23"/>
        <v>65</v>
      </c>
      <c r="H151" s="112">
        <f t="shared" si="23"/>
        <v>67</v>
      </c>
      <c r="I151" s="112">
        <f t="shared" si="23"/>
        <v>67</v>
      </c>
      <c r="J151" s="111">
        <f t="shared" si="25"/>
        <v>475.84953703703707</v>
      </c>
    </row>
    <row r="152" spans="2:16" ht="15" customHeight="1">
      <c r="B152" s="114">
        <v>2032</v>
      </c>
      <c r="C152" s="113">
        <f t="shared" si="22"/>
        <v>72</v>
      </c>
      <c r="D152" s="112">
        <f t="shared" si="23"/>
        <v>71</v>
      </c>
      <c r="E152" s="112">
        <f t="shared" si="23"/>
        <v>71</v>
      </c>
      <c r="F152" s="112">
        <f t="shared" si="23"/>
        <v>69</v>
      </c>
      <c r="G152" s="112">
        <f t="shared" si="23"/>
        <v>71</v>
      </c>
      <c r="H152" s="112">
        <f t="shared" si="23"/>
        <v>68</v>
      </c>
      <c r="I152" s="112">
        <f t="shared" si="23"/>
        <v>69</v>
      </c>
      <c r="J152" s="111">
        <f t="shared" si="25"/>
        <v>491</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291.27083333333337</v>
      </c>
      <c r="D159" s="108">
        <f>J140</f>
        <v>295.36805555555554</v>
      </c>
      <c r="E159" s="108">
        <f>J141</f>
        <v>297.35185185185185</v>
      </c>
      <c r="F159" s="108">
        <f>J142</f>
        <v>304.40046296296293</v>
      </c>
      <c r="G159" s="108">
        <f>J143</f>
        <v>305.31944444444446</v>
      </c>
      <c r="H159" s="108">
        <f>J144</f>
        <v>315.27083333333337</v>
      </c>
      <c r="I159" s="108">
        <f>J145</f>
        <v>348.17361111111109</v>
      </c>
      <c r="J159" s="108">
        <f>J146</f>
        <v>372.1087962962963</v>
      </c>
      <c r="K159" s="108">
        <f>J147</f>
        <v>391</v>
      </c>
      <c r="L159" s="108">
        <f>J148</f>
        <v>422.94675925925924</v>
      </c>
      <c r="M159" s="108">
        <f>J149</f>
        <v>440</v>
      </c>
      <c r="N159" s="108">
        <f>J150</f>
        <v>456.88194444444446</v>
      </c>
      <c r="O159" s="108">
        <f>J151</f>
        <v>475.84953703703707</v>
      </c>
      <c r="P159" s="108">
        <f>J152</f>
        <v>491</v>
      </c>
    </row>
    <row r="160" spans="2:16" ht="15" customHeight="1">
      <c r="B160" s="107" t="s">
        <v>152</v>
      </c>
      <c r="C160" s="106">
        <f>VLOOKUP(C159,Capacity!$A$1:$C$645,2,TRUE)</f>
        <v>11</v>
      </c>
      <c r="D160" s="106">
        <f>VLOOKUP(D159,Capacity!$A$1:$C$645,2,TRUE)</f>
        <v>12</v>
      </c>
      <c r="E160" s="106">
        <f>VLOOKUP(E159,Capacity!$A$1:$C$645,2,TRUE)</f>
        <v>12</v>
      </c>
      <c r="F160" s="106">
        <f>VLOOKUP(F159,Capacity!$A$1:$C$645,2,TRUE)</f>
        <v>12</v>
      </c>
      <c r="G160" s="106">
        <f>VLOOKUP(G159,Capacity!$A$1:$C$645,2,TRUE)</f>
        <v>12</v>
      </c>
      <c r="H160" s="106">
        <f>VLOOKUP(H159,Capacity!$A$1:$C$645,2,TRUE)</f>
        <v>12</v>
      </c>
      <c r="I160" s="106">
        <f>VLOOKUP(I159,Capacity!$A$1:$C$645,2,TRUE)</f>
        <v>14</v>
      </c>
      <c r="J160" s="106">
        <f>VLOOKUP(J159,Capacity!$A$1:$C$645,2,TRUE)</f>
        <v>14</v>
      </c>
      <c r="K160" s="106">
        <f>VLOOKUP(K159,Capacity!$A$1:$C$645,2,TRUE)</f>
        <v>14</v>
      </c>
      <c r="L160" s="106">
        <f>VLOOKUP(L159,Capacity!$A$1:$C$645,2,TRUE)</f>
        <v>15</v>
      </c>
      <c r="M160" s="106">
        <f>VLOOKUP(M159,Capacity!$A$1:$C$645,2,TRUE)</f>
        <v>16</v>
      </c>
      <c r="N160" s="106">
        <f>VLOOKUP(N159,Capacity!$A$1:$C$645,2,TRUE)</f>
        <v>16</v>
      </c>
      <c r="O160" s="106">
        <f>VLOOKUP(O159,Capacity!$A$1:$C$645,2,TRUE)</f>
        <v>17</v>
      </c>
      <c r="P160" s="106">
        <f>VLOOKUP(P159,Capacity!$A$1:$C$645,2,TRUE)</f>
        <v>18</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42</v>
      </c>
      <c r="D169" s="97">
        <f>VLOOKUP($E$3,'Catchment Births'!$A$1:$U$90,11,FALSE)</f>
        <v>39</v>
      </c>
      <c r="E169" s="97">
        <f>VLOOKUP($E$3,'Catchment Births'!$A$1:$U$90,12,FALSE)</f>
        <v>42</v>
      </c>
      <c r="F169" s="97">
        <f>VLOOKUP($E$3,'Catchment Births'!$A$1:$U$90,13,FALSE)</f>
        <v>43</v>
      </c>
      <c r="G169" s="97">
        <f>VLOOKUP($E$3,'Catchment Births'!$A$1:$U$90,14,FALSE)</f>
        <v>34</v>
      </c>
      <c r="H169" s="97">
        <f>VLOOKUP($E$3,'Catchment Births'!$A$1:$U$90,15,FALSE)</f>
        <v>48</v>
      </c>
      <c r="I169" s="97">
        <f>VLOOKUP($E$3,'Catchment Births'!$A$1:$U$90,16,FALSE)</f>
        <v>29</v>
      </c>
      <c r="J169" s="97">
        <f>VLOOKUP($E$3,'Catchment Births'!$A$1:$U$90,17,FALSE)</f>
        <v>38</v>
      </c>
      <c r="K169" s="97">
        <f>VLOOKUP($E$3,'Catchment Births'!$A$1:$U$90,18,FALSE)</f>
        <v>46</v>
      </c>
      <c r="L169" s="97">
        <f>VLOOKUP($E$3,'Catchment Births'!$A$1:$U$90,19,FALSE)</f>
        <v>37</v>
      </c>
      <c r="M169" s="97">
        <f>VLOOKUP($E$3,'Catchment Births'!$A$1:$U$90,20,FALSE)</f>
        <v>45</v>
      </c>
      <c r="N169" s="97">
        <f>VLOOKUP($E$3,'Catchment Births'!$A$1:$U$90,21,FALSE)</f>
        <v>39</v>
      </c>
    </row>
    <row r="170" spans="2:14" ht="58.5" customHeight="1">
      <c r="B170" s="103" t="str">
        <f>"P1 "&amp;A35&amp;" Catchment Population (Actual)"</f>
        <v>P1 ND Catchment Population (Actual)</v>
      </c>
      <c r="C170" s="102" t="e">
        <v>#REF!</v>
      </c>
      <c r="D170" s="102">
        <v>39</v>
      </c>
      <c r="E170" s="102">
        <v>35</v>
      </c>
      <c r="F170" s="102">
        <v>37</v>
      </c>
      <c r="G170" s="102">
        <v>34</v>
      </c>
      <c r="H170" s="102">
        <v>46</v>
      </c>
      <c r="I170" s="102">
        <v>29</v>
      </c>
      <c r="J170" s="308">
        <f>VLOOKUP(E3,'Catchment Projections'!A1:BU92,42,FALSE)</f>
        <v>48</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29</v>
      </c>
      <c r="J172" s="96" t="e">
        <f>#REF!</f>
        <v>#REF!</v>
      </c>
      <c r="K172" s="96">
        <f>D51</f>
        <v>45</v>
      </c>
      <c r="L172" s="96">
        <f>E51</f>
        <v>39</v>
      </c>
      <c r="M172" s="96">
        <f>F51</f>
        <v>40</v>
      </c>
      <c r="N172" s="96">
        <f>G51</f>
        <v>37</v>
      </c>
    </row>
    <row r="173" spans="2:14" ht="12.75">
      <c r="B173" s="62"/>
      <c r="C173" s="62"/>
      <c r="D173" s="62"/>
      <c r="E173" s="62"/>
      <c r="F173" s="62"/>
      <c r="G173" s="62"/>
      <c r="H173" s="62"/>
      <c r="I173" s="62"/>
      <c r="J173" s="62"/>
      <c r="K173" s="62"/>
    </row>
    <row r="174" spans="2:14" ht="15" customHeight="1">
      <c r="B174" s="64" t="str">
        <f>"Table 5: "&amp;E3&amp;" Roll by Stage, 2002-2018"</f>
        <v>Table 5: Echline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47</v>
      </c>
      <c r="D177" s="93">
        <v>48</v>
      </c>
      <c r="E177" s="93">
        <v>37</v>
      </c>
      <c r="F177" s="93">
        <v>48</v>
      </c>
      <c r="G177" s="93">
        <v>43</v>
      </c>
      <c r="H177" s="93">
        <v>56</v>
      </c>
      <c r="I177" s="93">
        <v>63</v>
      </c>
      <c r="J177" s="92">
        <v>342</v>
      </c>
      <c r="K177" s="62"/>
    </row>
    <row r="178" spans="2:11" ht="15" customHeight="1">
      <c r="B178" s="94">
        <v>2003</v>
      </c>
      <c r="C178" s="93">
        <v>35</v>
      </c>
      <c r="D178" s="93">
        <v>44</v>
      </c>
      <c r="E178" s="93">
        <v>48</v>
      </c>
      <c r="F178" s="93">
        <v>38</v>
      </c>
      <c r="G178" s="93">
        <v>46</v>
      </c>
      <c r="H178" s="93">
        <v>44</v>
      </c>
      <c r="I178" s="93">
        <v>56</v>
      </c>
      <c r="J178" s="92">
        <v>311</v>
      </c>
      <c r="K178" s="62"/>
    </row>
    <row r="179" spans="2:11" customFormat="1" ht="15" customHeight="1">
      <c r="B179" s="94">
        <v>2004</v>
      </c>
      <c r="C179" s="95">
        <v>30</v>
      </c>
      <c r="D179" s="95">
        <v>34</v>
      </c>
      <c r="E179" s="95">
        <v>43</v>
      </c>
      <c r="F179" s="95">
        <v>47</v>
      </c>
      <c r="G179" s="95">
        <v>37</v>
      </c>
      <c r="H179" s="95">
        <v>46</v>
      </c>
      <c r="I179" s="95">
        <v>44</v>
      </c>
      <c r="J179" s="92">
        <v>281</v>
      </c>
      <c r="K179" s="62"/>
    </row>
    <row r="180" spans="2:11" customFormat="1" ht="15" customHeight="1">
      <c r="B180" s="94">
        <v>2005</v>
      </c>
      <c r="C180" s="93">
        <v>38</v>
      </c>
      <c r="D180" s="93">
        <v>27</v>
      </c>
      <c r="E180" s="93">
        <v>33</v>
      </c>
      <c r="F180" s="93">
        <v>42</v>
      </c>
      <c r="G180" s="93">
        <v>47</v>
      </c>
      <c r="H180" s="93">
        <v>36</v>
      </c>
      <c r="I180" s="93">
        <v>49</v>
      </c>
      <c r="J180" s="92">
        <v>272</v>
      </c>
      <c r="K180" s="62"/>
    </row>
    <row r="181" spans="2:11" customFormat="1" ht="15" customHeight="1">
      <c r="B181" s="94">
        <v>2006</v>
      </c>
      <c r="C181" s="93">
        <v>36</v>
      </c>
      <c r="D181" s="93">
        <v>35</v>
      </c>
      <c r="E181" s="93">
        <v>25</v>
      </c>
      <c r="F181" s="93">
        <v>32</v>
      </c>
      <c r="G181" s="93">
        <v>42</v>
      </c>
      <c r="H181" s="93">
        <v>48</v>
      </c>
      <c r="I181" s="93">
        <v>37</v>
      </c>
      <c r="J181" s="92">
        <v>255</v>
      </c>
      <c r="K181" s="62"/>
    </row>
    <row r="182" spans="2:11" customFormat="1" ht="15" customHeight="1">
      <c r="B182" s="94">
        <v>2007</v>
      </c>
      <c r="C182" s="93">
        <v>32</v>
      </c>
      <c r="D182" s="93">
        <v>35</v>
      </c>
      <c r="E182" s="93">
        <v>34</v>
      </c>
      <c r="F182" s="93">
        <v>26</v>
      </c>
      <c r="G182" s="93">
        <v>35</v>
      </c>
      <c r="H182" s="93">
        <v>43</v>
      </c>
      <c r="I182" s="93">
        <v>47</v>
      </c>
      <c r="J182" s="92">
        <v>252</v>
      </c>
      <c r="K182" s="62"/>
    </row>
    <row r="183" spans="2:11" customFormat="1" ht="15" customHeight="1">
      <c r="B183" s="94">
        <v>2008</v>
      </c>
      <c r="C183" s="93">
        <v>28</v>
      </c>
      <c r="D183" s="93">
        <v>34</v>
      </c>
      <c r="E183" s="93">
        <v>35</v>
      </c>
      <c r="F183" s="93">
        <v>32</v>
      </c>
      <c r="G183" s="93">
        <v>26</v>
      </c>
      <c r="H183" s="93">
        <v>35</v>
      </c>
      <c r="I183" s="93">
        <v>41</v>
      </c>
      <c r="J183" s="92">
        <v>231</v>
      </c>
      <c r="K183" s="62"/>
    </row>
    <row r="184" spans="2:11" customFormat="1" ht="15" customHeight="1">
      <c r="B184" s="94">
        <v>2009</v>
      </c>
      <c r="C184" s="93">
        <v>35</v>
      </c>
      <c r="D184" s="93">
        <v>30</v>
      </c>
      <c r="E184" s="93">
        <v>34</v>
      </c>
      <c r="F184" s="93">
        <v>35</v>
      </c>
      <c r="G184" s="93">
        <v>30</v>
      </c>
      <c r="H184" s="93">
        <v>28</v>
      </c>
      <c r="I184" s="93">
        <v>34</v>
      </c>
      <c r="J184" s="94">
        <v>226</v>
      </c>
      <c r="K184" s="62"/>
    </row>
    <row r="185" spans="2:11" customFormat="1" ht="15" customHeight="1">
      <c r="B185" s="94">
        <v>2010</v>
      </c>
      <c r="C185" s="93">
        <v>48</v>
      </c>
      <c r="D185" s="93">
        <v>35</v>
      </c>
      <c r="E185" s="93">
        <v>29</v>
      </c>
      <c r="F185" s="93">
        <v>32</v>
      </c>
      <c r="G185" s="93">
        <v>34</v>
      </c>
      <c r="H185" s="93">
        <v>30</v>
      </c>
      <c r="I185" s="93">
        <v>28</v>
      </c>
      <c r="J185" s="92">
        <v>236</v>
      </c>
      <c r="K185" s="62"/>
    </row>
    <row r="186" spans="2:11" customFormat="1" ht="15" customHeight="1">
      <c r="B186" s="94">
        <v>2011</v>
      </c>
      <c r="C186" s="93">
        <v>38</v>
      </c>
      <c r="D186" s="93">
        <v>46</v>
      </c>
      <c r="E186" s="93">
        <v>31</v>
      </c>
      <c r="F186" s="93">
        <v>29</v>
      </c>
      <c r="G186" s="93">
        <v>33</v>
      </c>
      <c r="H186" s="93">
        <v>32</v>
      </c>
      <c r="I186" s="93">
        <v>30</v>
      </c>
      <c r="J186" s="92">
        <v>239</v>
      </c>
      <c r="K186" s="62"/>
    </row>
    <row r="187" spans="2:11" customFormat="1" ht="15" customHeight="1">
      <c r="B187" s="94">
        <v>2012</v>
      </c>
      <c r="C187" s="93">
        <v>42</v>
      </c>
      <c r="D187" s="93">
        <v>39</v>
      </c>
      <c r="E187" s="93">
        <v>44</v>
      </c>
      <c r="F187" s="93">
        <v>30</v>
      </c>
      <c r="G187" s="93">
        <v>28</v>
      </c>
      <c r="H187" s="93">
        <v>31</v>
      </c>
      <c r="I187" s="93">
        <v>32</v>
      </c>
      <c r="J187" s="92">
        <v>246</v>
      </c>
      <c r="K187" s="62"/>
    </row>
    <row r="188" spans="2:11" customFormat="1" ht="15" customHeight="1">
      <c r="B188" s="94">
        <v>2013</v>
      </c>
      <c r="C188" s="93">
        <v>37</v>
      </c>
      <c r="D188" s="93">
        <v>42</v>
      </c>
      <c r="E188" s="93">
        <v>38</v>
      </c>
      <c r="F188" s="93">
        <v>44</v>
      </c>
      <c r="G188" s="93">
        <v>29</v>
      </c>
      <c r="H188" s="93">
        <v>26</v>
      </c>
      <c r="I188" s="93">
        <v>32</v>
      </c>
      <c r="J188" s="94">
        <v>248</v>
      </c>
      <c r="K188" s="62"/>
    </row>
    <row r="189" spans="2:11" customFormat="1" ht="15" customHeight="1">
      <c r="B189" s="94">
        <v>2014</v>
      </c>
      <c r="C189" s="93">
        <v>46</v>
      </c>
      <c r="D189" s="93">
        <v>39</v>
      </c>
      <c r="E189" s="93">
        <v>42</v>
      </c>
      <c r="F189" s="93">
        <v>38</v>
      </c>
      <c r="G189" s="93">
        <v>46</v>
      </c>
      <c r="H189" s="93">
        <v>29</v>
      </c>
      <c r="I189" s="93">
        <v>27</v>
      </c>
      <c r="J189" s="92">
        <v>267</v>
      </c>
      <c r="K189" s="65"/>
    </row>
    <row r="190" spans="2:11" customFormat="1" ht="15" customHeight="1">
      <c r="B190" s="94">
        <v>2015</v>
      </c>
      <c r="C190" s="93">
        <v>33</v>
      </c>
      <c r="D190" s="93">
        <v>45</v>
      </c>
      <c r="E190" s="93">
        <v>36</v>
      </c>
      <c r="F190" s="93">
        <v>44</v>
      </c>
      <c r="G190" s="93">
        <v>41</v>
      </c>
      <c r="H190" s="93">
        <v>46</v>
      </c>
      <c r="I190" s="93">
        <v>30</v>
      </c>
      <c r="J190" s="92">
        <v>275</v>
      </c>
      <c r="K190" s="65"/>
    </row>
    <row r="191" spans="2:11" customFormat="1" ht="15" customHeight="1">
      <c r="B191" s="94">
        <v>2016</v>
      </c>
      <c r="C191" s="93">
        <v>49</v>
      </c>
      <c r="D191" s="93">
        <v>33</v>
      </c>
      <c r="E191" s="93">
        <v>44</v>
      </c>
      <c r="F191" s="93">
        <v>36</v>
      </c>
      <c r="G191" s="93">
        <v>44</v>
      </c>
      <c r="H191" s="93">
        <v>42</v>
      </c>
      <c r="I191" s="93">
        <v>46</v>
      </c>
      <c r="J191" s="92">
        <v>294</v>
      </c>
      <c r="K191" s="65"/>
    </row>
    <row r="192" spans="2:11" ht="15" customHeight="1">
      <c r="B192" s="94">
        <v>2017</v>
      </c>
      <c r="C192" s="93">
        <f>VLOOKUP($E$3,Rolls!A1:FA90,42,FALSE)</f>
        <v>45</v>
      </c>
      <c r="D192" s="93">
        <f>VLOOKUP($E$3,Rolls!A1:FA90,43,FALSE)</f>
        <v>47</v>
      </c>
      <c r="E192" s="93">
        <f>VLOOKUP($E$3,Rolls!A1:FA90,44,FALSE)</f>
        <v>33</v>
      </c>
      <c r="F192" s="93">
        <f>VLOOKUP($E$3,Rolls!A1:FA90,45,FALSE)</f>
        <v>40</v>
      </c>
      <c r="G192" s="93">
        <f>VLOOKUP($E$3,Rolls!A1:FA90,46,FALSE)</f>
        <v>36</v>
      </c>
      <c r="H192" s="93">
        <f>VLOOKUP($E$3,Rolls!A1:FA90,47,FALSE)</f>
        <v>45</v>
      </c>
      <c r="I192" s="93">
        <f>VLOOKUP($E$3,Rolls!A1:FA90,48,FALSE)</f>
        <v>40</v>
      </c>
      <c r="J192" s="92">
        <f>VLOOKUP($E$3,Rolls!A1:FA90,49,FALSE)</f>
        <v>286</v>
      </c>
      <c r="K192" s="65"/>
    </row>
    <row r="193" spans="2:11" ht="15" customHeight="1">
      <c r="B193" s="94">
        <v>2018</v>
      </c>
      <c r="C193" s="93">
        <f>VLOOKUP($E$3,Rolls!A1:FA90,50,FALSE)</f>
        <v>36</v>
      </c>
      <c r="D193" s="93">
        <f>VLOOKUP($E$3,Rolls!A1:FA90,51,FALSE)</f>
        <v>49</v>
      </c>
      <c r="E193" s="93">
        <f>VLOOKUP($E$3,Rolls!A1:FA90,52,FALSE)</f>
        <v>48</v>
      </c>
      <c r="F193" s="93">
        <f>VLOOKUP($E$3,Rolls!A1:FA90,53,FALSE)</f>
        <v>35</v>
      </c>
      <c r="G193" s="93">
        <f>VLOOKUP($E$3,Rolls!A1:FA90,54,FALSE)</f>
        <v>39</v>
      </c>
      <c r="H193" s="93">
        <f>VLOOKUP($E$3,Rolls!A1:FA90,55,FALSE)</f>
        <v>37</v>
      </c>
      <c r="I193" s="93">
        <f>VLOOKUP($E$3,Rolls!A1:FA90,56,FALSE)</f>
        <v>44</v>
      </c>
      <c r="J193" s="92">
        <f>VLOOKUP($E$3,Rolls!A1:FA90,57,FALSE)</f>
        <v>288</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Q193"/>
  <sheetViews>
    <sheetView topLeftCell="B39" zoomScaleNormal="100" workbookViewId="0">
      <selection activeCell="H64"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33</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Ferryhill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420 Pupils (14 classes)</v>
      </c>
      <c r="G12" s="16"/>
      <c r="H12" s="16"/>
    </row>
    <row r="13" spans="2:10" ht="15" customHeight="1">
      <c r="C13" s="16"/>
      <c r="D13" s="16"/>
      <c r="E13" s="16"/>
      <c r="F13" s="16"/>
      <c r="G13" s="16"/>
      <c r="H13" s="16"/>
    </row>
    <row r="14" spans="2:10" ht="15" customHeight="1">
      <c r="B14" s="15" t="str">
        <f>"Figure 1: "&amp;E3&amp;" Roll, 2002-2015"</f>
        <v>Figure 1: Ferryhill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Ferryhill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54</v>
      </c>
      <c r="E49" s="108">
        <f>VLOOKUP($E$3,'Catchment Projections'!$A$1:$BU$90,46,FALSE)</f>
        <v>63</v>
      </c>
      <c r="F49" s="108">
        <f>VLOOKUP($E$3,'Catchment Projections'!$A$1:$BU$90,47,FALSE)</f>
        <v>49</v>
      </c>
      <c r="G49" s="108">
        <f>VLOOKUP($E$3,'Catchment Projections'!$A$1:$BU$90,48,FALSE)</f>
        <v>43</v>
      </c>
      <c r="H49" s="133">
        <f>VLOOKUP($E$3,'Catchment Projections'!$A$1:$BU$90,49,FALSE)</f>
        <v>53</v>
      </c>
      <c r="I49" s="133">
        <f>VLOOKUP($E$3,'Catchment Projections'!$A$1:$BU$90,50,FALSE)</f>
        <v>54</v>
      </c>
      <c r="J49" s="133">
        <f>VLOOKUP($E$3,'Catchment Projections'!$A$1:$BU$90,51,FALSE)</f>
        <v>54</v>
      </c>
      <c r="K49" s="133">
        <f>VLOOKUP($E$3,'Catchment Projections'!$A$1:$BU$90,52,FALSE)</f>
        <v>55</v>
      </c>
      <c r="L49" s="133">
        <f>VLOOKUP($E$3,'Catchment Projections'!$A$1:$BU$90,53,FALSE)</f>
        <v>55</v>
      </c>
      <c r="M49" s="133">
        <f>VLOOKUP($E$3,'Catchment Projections'!$A$1:$BU$90,54,FALSE)</f>
        <v>55</v>
      </c>
      <c r="N49" s="133">
        <f>VLOOKUP($E$3,'Catchment Projections'!$A$1:$BU$90,55,FALSE)</f>
        <v>55</v>
      </c>
      <c r="O49" s="133">
        <f>VLOOKUP($E$3,'Catchment Projections'!$A$1:$BU$90,56,FALSE)</f>
        <v>55</v>
      </c>
      <c r="P49" s="133">
        <f>VLOOKUP($E$3,'Catchment Projections'!$A$1:$BU$90,57,FALSE)</f>
        <v>55</v>
      </c>
      <c r="Q49" s="133">
        <f>VLOOKUP($E$3,'Catchment Projections'!$A$1:$BU$90,58,FALSE)</f>
        <v>55</v>
      </c>
    </row>
    <row r="50" spans="2:17" ht="15" customHeight="1" thickBot="1">
      <c r="B50" s="410" t="s">
        <v>141</v>
      </c>
      <c r="C50" s="411"/>
      <c r="D50" s="286">
        <f>VLOOKUP(E3,'Housing Generation'!$A$3:$DQ$90,10,FALSE)</f>
        <v>0</v>
      </c>
      <c r="E50" s="286">
        <f>VLOOKUP(E3,'Housing Generation'!$A$3:$DQ$90,18,FALSE)</f>
        <v>0</v>
      </c>
      <c r="F50" s="286">
        <f>VLOOKUP(E3,'Housing Generation'!$A$3:$DQ$90,26,FALSE)</f>
        <v>0</v>
      </c>
      <c r="G50" s="243">
        <f>VLOOKUP(E3,'Housing Generation'!$A$3:$DQ$90,34,FALSE)</f>
        <v>0</v>
      </c>
      <c r="H50" s="133">
        <f>VLOOKUP(E3,'Housing Generation'!$A$3:$DQ$90,42,FALSE)</f>
        <v>0</v>
      </c>
      <c r="I50" s="133">
        <f>VLOOKUP(E3,'Housing Generation'!$A$3:$DQ$90,50,FALSE)</f>
        <v>0</v>
      </c>
      <c r="J50" s="133">
        <f>VLOOKUP(E3,'Housing Generation'!$A$3:$CK$90,58,FALSE)</f>
        <v>0</v>
      </c>
      <c r="K50" s="133">
        <f>VLOOKUP(E3,'Housing Generation'!$A$3:$CK$90,66,FALSE)</f>
        <v>0</v>
      </c>
      <c r="L50" s="133">
        <f>VLOOKUP(E3,'Housing Generation'!$A$3:$DQ$90,74,FALSE)</f>
        <v>0</v>
      </c>
      <c r="M50" s="133">
        <f>VLOOKUP(E3,'Housing Generation'!$A$3:$DQ$90,82,FALSE)</f>
        <v>0</v>
      </c>
      <c r="N50" s="133">
        <f>VLOOKUP(E3,'Housing Generation'!$A$3:$DQ$90,90,FALSE)</f>
        <v>0</v>
      </c>
      <c r="O50" s="133">
        <f>VLOOKUP(E3,'Housing Generation'!$A$3:$DQ$90,98,FALSE)</f>
        <v>0</v>
      </c>
      <c r="P50" s="133">
        <f>VLOOKUP(E3,'Housing Generation'!$A$3:$DQ$90,106,FALSE)</f>
        <v>0</v>
      </c>
      <c r="Q50" s="133">
        <f>VLOOKUP(E3,'Housing Generation'!$A$3:$DQ$90,114,FALSE)</f>
        <v>0</v>
      </c>
    </row>
    <row r="51" spans="2:17" ht="15" customHeight="1" thickTop="1">
      <c r="B51" s="421" t="s">
        <v>130</v>
      </c>
      <c r="C51" s="422"/>
      <c r="D51" s="47">
        <f t="shared" ref="D51:Q51" si="0">SUM(D49:D50)</f>
        <v>54</v>
      </c>
      <c r="E51" s="47">
        <f t="shared" si="0"/>
        <v>63</v>
      </c>
      <c r="F51" s="80">
        <f t="shared" si="0"/>
        <v>49</v>
      </c>
      <c r="G51" s="244">
        <f t="shared" si="0"/>
        <v>43</v>
      </c>
      <c r="H51" s="71">
        <f t="shared" si="0"/>
        <v>53</v>
      </c>
      <c r="I51" s="71">
        <f t="shared" si="0"/>
        <v>54</v>
      </c>
      <c r="J51" s="71">
        <f t="shared" si="0"/>
        <v>54</v>
      </c>
      <c r="K51" s="71">
        <f t="shared" si="0"/>
        <v>55</v>
      </c>
      <c r="L51" s="71">
        <f t="shared" si="0"/>
        <v>55</v>
      </c>
      <c r="M51" s="71">
        <f t="shared" si="0"/>
        <v>55</v>
      </c>
      <c r="N51" s="71">
        <f t="shared" si="0"/>
        <v>55</v>
      </c>
      <c r="O51" s="71">
        <f t="shared" si="0"/>
        <v>55</v>
      </c>
      <c r="P51" s="71">
        <f t="shared" si="0"/>
        <v>55</v>
      </c>
      <c r="Q51" s="71">
        <f t="shared" si="0"/>
        <v>55</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63</v>
      </c>
      <c r="D60" s="358">
        <f>VLOOKUP($E$3,'Catchment Projections'!$A$1:$BZ$90,74,FALSE)</f>
        <v>49</v>
      </c>
      <c r="E60" s="303">
        <f>D60/C60</f>
        <v>0.77777777777777779</v>
      </c>
      <c r="G60" s="132">
        <v>2014</v>
      </c>
      <c r="H60" s="395">
        <f>VLOOKUP($G$60,$B$177:$C$215, 2, FALSE)</f>
        <v>52</v>
      </c>
      <c r="I60" s="120">
        <f>H60-D60</f>
        <v>3</v>
      </c>
      <c r="J60" s="121">
        <f>I60/H60</f>
        <v>5.7692307692307696E-2</v>
      </c>
    </row>
    <row r="61" spans="2:17" ht="15" customHeight="1">
      <c r="B61" s="132">
        <v>2015</v>
      </c>
      <c r="C61" s="359">
        <f>VLOOKUP($E$3,'Catchment Projections'!$A$1:$BZ$90,41,FALSE)</f>
        <v>54</v>
      </c>
      <c r="D61" s="358">
        <f>VLOOKUP($E$3,'Catchment Projections'!$A$1:$BZ$90,75,FALSE)</f>
        <v>48</v>
      </c>
      <c r="E61" s="303">
        <f>D61/C61</f>
        <v>0.88888888888888884</v>
      </c>
      <c r="G61" s="132">
        <v>2015</v>
      </c>
      <c r="H61" s="395">
        <f>VLOOKUP($G$61,$B$177:$C$215, 2, FALSE)</f>
        <v>52</v>
      </c>
      <c r="I61" s="120">
        <f>H61-D61</f>
        <v>4</v>
      </c>
      <c r="J61" s="121">
        <f>I61/H61</f>
        <v>7.6923076923076927E-2</v>
      </c>
    </row>
    <row r="62" spans="2:17" ht="15" customHeight="1">
      <c r="B62" s="131">
        <v>2016</v>
      </c>
      <c r="C62" s="359">
        <f>VLOOKUP($E$3,'Catchment Projections'!$A$1:$BZ$90,42,FALSE)</f>
        <v>58</v>
      </c>
      <c r="D62" s="358">
        <f>VLOOKUP($E$3,'Catchment Projections'!$A$1:$BZ$90,76,FALSE)</f>
        <v>49</v>
      </c>
      <c r="E62" s="57">
        <f>D62/C62</f>
        <v>0.84482758620689657</v>
      </c>
      <c r="G62" s="131">
        <v>2016</v>
      </c>
      <c r="H62" s="395">
        <f>VLOOKUP($G$62,$B$177:$C$215, 2, FALSE)</f>
        <v>50</v>
      </c>
      <c r="I62" s="120">
        <f>H62-D62</f>
        <v>1</v>
      </c>
      <c r="J62" s="121">
        <f>I62/H62</f>
        <v>0.02</v>
      </c>
    </row>
    <row r="63" spans="2:17" ht="15" customHeight="1">
      <c r="B63" s="114">
        <v>2017</v>
      </c>
      <c r="C63" s="359">
        <f>VLOOKUP($E$3,'Catchment Projections'!$A$1:$BZ$90,43,FALSE)</f>
        <v>62</v>
      </c>
      <c r="D63" s="358">
        <f>VLOOKUP($E$3,'Catchment Projections'!$A$1:$BZ$90,77,FALSE)</f>
        <v>54</v>
      </c>
      <c r="E63" s="304">
        <f>D63/C63</f>
        <v>0.87096774193548387</v>
      </c>
      <c r="G63" s="114">
        <v>2017</v>
      </c>
      <c r="H63" s="395">
        <f>VLOOKUP($G$63,$B$177:$C$215, 2, FALSE)</f>
        <v>57</v>
      </c>
      <c r="I63" s="120">
        <f>H63-D63</f>
        <v>3</v>
      </c>
      <c r="J63" s="121">
        <f>I63/H63</f>
        <v>5.2631578947368418E-2</v>
      </c>
    </row>
    <row r="64" spans="2:17" ht="15" customHeight="1">
      <c r="B64" s="114">
        <v>2018</v>
      </c>
      <c r="C64" s="359">
        <f>VLOOKUP($E$3,'Catchment Projections'!$A$1:$BZ$90,44,FALSE)</f>
        <v>54</v>
      </c>
      <c r="D64" s="358">
        <f>VLOOKUP($E$3,'Catchment Projections'!$A$1:$BZ$90,78,FALSE)</f>
        <v>44</v>
      </c>
      <c r="E64" s="305">
        <f>D64/C64</f>
        <v>0.81481481481481477</v>
      </c>
      <c r="G64" s="114">
        <v>2018</v>
      </c>
      <c r="H64" s="395">
        <f>VLOOKUP($G$64,$B$177:$C$215, 2, FALSE)</f>
        <v>49</v>
      </c>
      <c r="I64" s="120">
        <f>H64-D64</f>
        <v>5</v>
      </c>
      <c r="J64" s="121">
        <f>I64/H64</f>
        <v>0.10204081632653061</v>
      </c>
    </row>
    <row r="65" spans="2:10" ht="15" customHeight="1">
      <c r="B65" s="412" t="s">
        <v>136</v>
      </c>
      <c r="C65" s="413"/>
      <c r="D65" s="414"/>
      <c r="E65" s="137">
        <f>IF((AVERAGE(E62:E64))="#DIV/0!","n/a",(AVERAGE(E62:E64)))</f>
        <v>0.84353671431906507</v>
      </c>
      <c r="G65" s="415" t="s">
        <v>137</v>
      </c>
      <c r="H65" s="416"/>
      <c r="I65" s="138">
        <f>MEDIAN(I60:I64)</f>
        <v>3</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54</v>
      </c>
      <c r="D70" s="408"/>
      <c r="E70" s="122">
        <f>E65</f>
        <v>0.84353671431906507</v>
      </c>
      <c r="F70" s="120">
        <f t="shared" ref="F70:F83" si="1">C70*$E$65</f>
        <v>45.550982573229511</v>
      </c>
      <c r="G70" s="118">
        <f>IF(F70&lt;26,25,IF(F70&gt;135,140,IF(F70&gt;130,135,IF(F70&gt;125,130,IF(F70&gt;120,125,IF(F70&gt;115,120,IF(F70&gt;110,115,IF(F70&gt;105,110,IF(F70&gt;100,105,IF(F70&gt;99,100,IF(F70&gt;90,99,IF(F70&gt;75,90,IF(F70&gt;72,75,IF(F70&gt;66,72,IF(F70&gt;60,66,IF(F70&gt;50,60,IF(F70&gt;30,50,IF(F70&gt;25,30,0))))))))))))))))))</f>
        <v>50</v>
      </c>
      <c r="H70" s="119">
        <f t="shared" ref="H70:H83" si="2">G70-F70</f>
        <v>4.4490174267704887</v>
      </c>
      <c r="I70" s="118" t="str">
        <f>IF(I$65&lt;H70, "NO", "YES")</f>
        <v>NO</v>
      </c>
      <c r="J70" s="117">
        <f t="shared" ref="J70:J83" si="3">IF(I70="YES",G70,(MIN((SUM(F70,$I$65)),G70)))</f>
        <v>48.550982573229511</v>
      </c>
    </row>
    <row r="71" spans="2:10" ht="15" customHeight="1">
      <c r="B71" s="114">
        <v>2020</v>
      </c>
      <c r="C71" s="433">
        <f>E51</f>
        <v>63</v>
      </c>
      <c r="D71" s="408"/>
      <c r="E71" s="121">
        <f>E65</f>
        <v>0.84353671431906507</v>
      </c>
      <c r="F71" s="120">
        <f t="shared" si="1"/>
        <v>53.1428130021011</v>
      </c>
      <c r="G71" s="118">
        <f t="shared" ref="G71:G83" si="4">IF(F71&lt;26,25,IF(F71&gt;135,140,IF(F71&gt;130,135,IF(F71&gt;125,130,IF(F71&gt;120,125,IF(F71&gt;115,120,IF(F71&gt;110,115,IF(F71&gt;105,110,IF(F71&gt;100,105,IF(F71&gt;99,100,IF(F71&gt;90,99,IF(F71&gt;75,90,IF(F71&gt;72,75,IF(F71&gt;66,72,IF(F71&gt;60,66,IF(F71&gt;50,60,IF(F71&gt;30,50,IF(F71&gt;25,30,0))))))))))))))))))</f>
        <v>60</v>
      </c>
      <c r="H71" s="119">
        <f t="shared" si="2"/>
        <v>6.8571869978989</v>
      </c>
      <c r="I71" s="118" t="str">
        <f t="shared" ref="I71:I83" si="5">IF(I$65&lt;H71, "NO", "YES")</f>
        <v>NO</v>
      </c>
      <c r="J71" s="117">
        <f t="shared" si="3"/>
        <v>56.1428130021011</v>
      </c>
    </row>
    <row r="72" spans="2:10" ht="15" customHeight="1">
      <c r="B72" s="114">
        <v>2021</v>
      </c>
      <c r="C72" s="430">
        <f>F51</f>
        <v>49</v>
      </c>
      <c r="D72" s="431"/>
      <c r="E72" s="121">
        <f>E65</f>
        <v>0.84353671431906507</v>
      </c>
      <c r="F72" s="120">
        <f t="shared" si="1"/>
        <v>41.333299001634188</v>
      </c>
      <c r="G72" s="118">
        <f t="shared" si="4"/>
        <v>50</v>
      </c>
      <c r="H72" s="119">
        <f t="shared" si="2"/>
        <v>8.6667009983658119</v>
      </c>
      <c r="I72" s="118" t="str">
        <f t="shared" si="5"/>
        <v>NO</v>
      </c>
      <c r="J72" s="117">
        <f t="shared" si="3"/>
        <v>44.333299001634188</v>
      </c>
    </row>
    <row r="73" spans="2:10" ht="15" customHeight="1">
      <c r="B73" s="114">
        <v>2022</v>
      </c>
      <c r="C73" s="430">
        <f>G51</f>
        <v>43</v>
      </c>
      <c r="D73" s="431"/>
      <c r="E73" s="121">
        <f>E65</f>
        <v>0.84353671431906507</v>
      </c>
      <c r="F73" s="120">
        <f t="shared" si="1"/>
        <v>36.2720787157198</v>
      </c>
      <c r="G73" s="118">
        <f t="shared" si="4"/>
        <v>50</v>
      </c>
      <c r="H73" s="119">
        <f t="shared" si="2"/>
        <v>13.7279212842802</v>
      </c>
      <c r="I73" s="118" t="str">
        <f t="shared" si="5"/>
        <v>NO</v>
      </c>
      <c r="J73" s="117">
        <f t="shared" si="3"/>
        <v>39.2720787157198</v>
      </c>
    </row>
    <row r="74" spans="2:10" ht="15" customHeight="1">
      <c r="B74" s="114">
        <v>2023</v>
      </c>
      <c r="C74" s="430">
        <f>H51</f>
        <v>53</v>
      </c>
      <c r="D74" s="431"/>
      <c r="E74" s="121">
        <f>E65</f>
        <v>0.84353671431906507</v>
      </c>
      <c r="F74" s="120">
        <f t="shared" si="1"/>
        <v>44.707445858910447</v>
      </c>
      <c r="G74" s="118">
        <f t="shared" si="4"/>
        <v>50</v>
      </c>
      <c r="H74" s="119">
        <f t="shared" si="2"/>
        <v>5.2925541410895534</v>
      </c>
      <c r="I74" s="118" t="str">
        <f t="shared" si="5"/>
        <v>NO</v>
      </c>
      <c r="J74" s="117">
        <f t="shared" si="3"/>
        <v>47.707445858910447</v>
      </c>
    </row>
    <row r="75" spans="2:10" ht="15" customHeight="1">
      <c r="B75" s="114">
        <v>2024</v>
      </c>
      <c r="C75" s="430">
        <f>I51</f>
        <v>54</v>
      </c>
      <c r="D75" s="431"/>
      <c r="E75" s="121">
        <f>E65</f>
        <v>0.84353671431906507</v>
      </c>
      <c r="F75" s="120">
        <f t="shared" si="1"/>
        <v>45.550982573229511</v>
      </c>
      <c r="G75" s="118">
        <f t="shared" si="4"/>
        <v>50</v>
      </c>
      <c r="H75" s="119">
        <f t="shared" si="2"/>
        <v>4.4490174267704887</v>
      </c>
      <c r="I75" s="118" t="str">
        <f t="shared" si="5"/>
        <v>NO</v>
      </c>
      <c r="J75" s="117">
        <f t="shared" si="3"/>
        <v>48.550982573229511</v>
      </c>
    </row>
    <row r="76" spans="2:10" ht="15" customHeight="1">
      <c r="B76" s="114">
        <v>2025</v>
      </c>
      <c r="C76" s="430">
        <f>J51</f>
        <v>54</v>
      </c>
      <c r="D76" s="431"/>
      <c r="E76" s="121">
        <f>E65</f>
        <v>0.84353671431906507</v>
      </c>
      <c r="F76" s="120">
        <f t="shared" si="1"/>
        <v>45.550982573229511</v>
      </c>
      <c r="G76" s="118">
        <f t="shared" si="4"/>
        <v>50</v>
      </c>
      <c r="H76" s="119">
        <f t="shared" si="2"/>
        <v>4.4490174267704887</v>
      </c>
      <c r="I76" s="118" t="str">
        <f t="shared" si="5"/>
        <v>NO</v>
      </c>
      <c r="J76" s="117">
        <f t="shared" si="3"/>
        <v>48.550982573229511</v>
      </c>
    </row>
    <row r="77" spans="2:10" ht="15" customHeight="1">
      <c r="B77" s="114">
        <v>2026</v>
      </c>
      <c r="C77" s="430">
        <f>K51</f>
        <v>55</v>
      </c>
      <c r="D77" s="431"/>
      <c r="E77" s="121">
        <f>E65</f>
        <v>0.84353671431906507</v>
      </c>
      <c r="F77" s="120">
        <f t="shared" si="1"/>
        <v>46.394519287548576</v>
      </c>
      <c r="G77" s="118">
        <f t="shared" si="4"/>
        <v>50</v>
      </c>
      <c r="H77" s="119">
        <f t="shared" si="2"/>
        <v>3.6054807124514241</v>
      </c>
      <c r="I77" s="118" t="str">
        <f t="shared" si="5"/>
        <v>NO</v>
      </c>
      <c r="J77" s="117">
        <f t="shared" si="3"/>
        <v>49.394519287548576</v>
      </c>
    </row>
    <row r="78" spans="2:10" ht="15" customHeight="1">
      <c r="B78" s="114">
        <v>2027</v>
      </c>
      <c r="C78" s="430">
        <f>L51</f>
        <v>55</v>
      </c>
      <c r="D78" s="431"/>
      <c r="E78" s="121">
        <f>E65</f>
        <v>0.84353671431906507</v>
      </c>
      <c r="F78" s="120">
        <f t="shared" si="1"/>
        <v>46.394519287548576</v>
      </c>
      <c r="G78" s="118">
        <f t="shared" si="4"/>
        <v>50</v>
      </c>
      <c r="H78" s="119">
        <f t="shared" si="2"/>
        <v>3.6054807124514241</v>
      </c>
      <c r="I78" s="118" t="str">
        <f t="shared" si="5"/>
        <v>NO</v>
      </c>
      <c r="J78" s="117">
        <f t="shared" si="3"/>
        <v>49.394519287548576</v>
      </c>
    </row>
    <row r="79" spans="2:10" ht="15" customHeight="1">
      <c r="B79" s="114">
        <v>2028</v>
      </c>
      <c r="C79" s="430">
        <f>M51</f>
        <v>55</v>
      </c>
      <c r="D79" s="431"/>
      <c r="E79" s="121">
        <f t="shared" ref="E79:E83" si="6">$E$65</f>
        <v>0.84353671431906507</v>
      </c>
      <c r="F79" s="120">
        <f t="shared" si="1"/>
        <v>46.394519287548576</v>
      </c>
      <c r="G79" s="118">
        <f t="shared" si="4"/>
        <v>50</v>
      </c>
      <c r="H79" s="119">
        <f t="shared" si="2"/>
        <v>3.6054807124514241</v>
      </c>
      <c r="I79" s="118" t="str">
        <f t="shared" si="5"/>
        <v>NO</v>
      </c>
      <c r="J79" s="117">
        <f t="shared" si="3"/>
        <v>49.394519287548576</v>
      </c>
    </row>
    <row r="80" spans="2:10" ht="15" customHeight="1">
      <c r="B80" s="114">
        <v>2029</v>
      </c>
      <c r="C80" s="430">
        <f>N51</f>
        <v>55</v>
      </c>
      <c r="D80" s="431"/>
      <c r="E80" s="121">
        <f t="shared" si="6"/>
        <v>0.84353671431906507</v>
      </c>
      <c r="F80" s="120">
        <f t="shared" si="1"/>
        <v>46.394519287548576</v>
      </c>
      <c r="G80" s="118">
        <f t="shared" si="4"/>
        <v>50</v>
      </c>
      <c r="H80" s="119">
        <f t="shared" si="2"/>
        <v>3.6054807124514241</v>
      </c>
      <c r="I80" s="118" t="str">
        <f t="shared" si="5"/>
        <v>NO</v>
      </c>
      <c r="J80" s="117">
        <f t="shared" si="3"/>
        <v>49.394519287548576</v>
      </c>
    </row>
    <row r="81" spans="2:10" ht="15" customHeight="1">
      <c r="B81" s="114">
        <v>2030</v>
      </c>
      <c r="C81" s="430">
        <f>O51</f>
        <v>55</v>
      </c>
      <c r="D81" s="431"/>
      <c r="E81" s="121">
        <f t="shared" si="6"/>
        <v>0.84353671431906507</v>
      </c>
      <c r="F81" s="120">
        <f t="shared" si="1"/>
        <v>46.394519287548576</v>
      </c>
      <c r="G81" s="118">
        <f t="shared" si="4"/>
        <v>50</v>
      </c>
      <c r="H81" s="119">
        <f t="shared" si="2"/>
        <v>3.6054807124514241</v>
      </c>
      <c r="I81" s="118" t="str">
        <f t="shared" si="5"/>
        <v>NO</v>
      </c>
      <c r="J81" s="117">
        <f t="shared" si="3"/>
        <v>49.394519287548576</v>
      </c>
    </row>
    <row r="82" spans="2:10" ht="15" customHeight="1">
      <c r="B82" s="114">
        <v>2031</v>
      </c>
      <c r="C82" s="430">
        <f>P51</f>
        <v>55</v>
      </c>
      <c r="D82" s="431"/>
      <c r="E82" s="121">
        <f t="shared" si="6"/>
        <v>0.84353671431906507</v>
      </c>
      <c r="F82" s="120">
        <f t="shared" si="1"/>
        <v>46.394519287548576</v>
      </c>
      <c r="G82" s="118">
        <f t="shared" si="4"/>
        <v>50</v>
      </c>
      <c r="H82" s="119">
        <f t="shared" si="2"/>
        <v>3.6054807124514241</v>
      </c>
      <c r="I82" s="118" t="str">
        <f t="shared" si="5"/>
        <v>NO</v>
      </c>
      <c r="J82" s="117">
        <f t="shared" si="3"/>
        <v>49.394519287548576</v>
      </c>
    </row>
    <row r="83" spans="2:10" ht="15" customHeight="1">
      <c r="B83" s="114">
        <v>2032</v>
      </c>
      <c r="C83" s="430">
        <f>Q51</f>
        <v>55</v>
      </c>
      <c r="D83" s="431"/>
      <c r="E83" s="121">
        <f t="shared" si="6"/>
        <v>0.84353671431906507</v>
      </c>
      <c r="F83" s="120">
        <f t="shared" si="1"/>
        <v>46.394519287548576</v>
      </c>
      <c r="G83" s="118">
        <f t="shared" si="4"/>
        <v>50</v>
      </c>
      <c r="H83" s="119">
        <f t="shared" si="2"/>
        <v>3.6054807124514241</v>
      </c>
      <c r="I83" s="118" t="str">
        <f t="shared" si="5"/>
        <v>NO</v>
      </c>
      <c r="J83" s="117">
        <f t="shared" si="3"/>
        <v>49.394519287548576</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Ferryhill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56</v>
      </c>
      <c r="D91" s="112">
        <f t="shared" ref="D91:J91" si="7">D188</f>
        <v>46</v>
      </c>
      <c r="E91" s="112">
        <f t="shared" si="7"/>
        <v>34</v>
      </c>
      <c r="F91" s="112">
        <f t="shared" si="7"/>
        <v>43</v>
      </c>
      <c r="G91" s="112">
        <f t="shared" si="7"/>
        <v>29</v>
      </c>
      <c r="H91" s="112">
        <f t="shared" si="7"/>
        <v>40</v>
      </c>
      <c r="I91" s="112">
        <f t="shared" si="7"/>
        <v>55</v>
      </c>
      <c r="J91" s="213">
        <f t="shared" si="7"/>
        <v>303</v>
      </c>
    </row>
    <row r="92" spans="2:10" ht="15" customHeight="1">
      <c r="B92" s="114">
        <v>2014</v>
      </c>
      <c r="C92" s="112">
        <f>C189</f>
        <v>52</v>
      </c>
      <c r="D92" s="112">
        <f t="shared" ref="D92:J92" si="8">D189</f>
        <v>56</v>
      </c>
      <c r="E92" s="112">
        <f t="shared" si="8"/>
        <v>45</v>
      </c>
      <c r="F92" s="112">
        <f t="shared" si="8"/>
        <v>35</v>
      </c>
      <c r="G92" s="112">
        <f t="shared" si="8"/>
        <v>42</v>
      </c>
      <c r="H92" s="112">
        <f t="shared" si="8"/>
        <v>28</v>
      </c>
      <c r="I92" s="112">
        <f t="shared" si="8"/>
        <v>41</v>
      </c>
      <c r="J92" s="213">
        <f t="shared" si="8"/>
        <v>299</v>
      </c>
    </row>
    <row r="93" spans="2:10" ht="15" customHeight="1">
      <c r="B93" s="114">
        <v>2015</v>
      </c>
      <c r="C93" s="112">
        <f>C190</f>
        <v>52</v>
      </c>
      <c r="D93" s="112">
        <f t="shared" ref="D93:J93" si="9">D190</f>
        <v>52</v>
      </c>
      <c r="E93" s="112">
        <f t="shared" si="9"/>
        <v>58</v>
      </c>
      <c r="F93" s="112">
        <f t="shared" si="9"/>
        <v>47</v>
      </c>
      <c r="G93" s="112">
        <f t="shared" si="9"/>
        <v>36</v>
      </c>
      <c r="H93" s="112">
        <f t="shared" si="9"/>
        <v>44</v>
      </c>
      <c r="I93" s="112">
        <f t="shared" si="9"/>
        <v>29</v>
      </c>
      <c r="J93" s="213">
        <f t="shared" si="9"/>
        <v>318</v>
      </c>
    </row>
    <row r="94" spans="2:10" ht="15" customHeight="1">
      <c r="B94" s="114">
        <v>2016</v>
      </c>
      <c r="C94" s="112">
        <f>C191</f>
        <v>50</v>
      </c>
      <c r="D94" s="112">
        <f t="shared" ref="D94:J94" si="10">D191</f>
        <v>50</v>
      </c>
      <c r="E94" s="112">
        <f t="shared" si="10"/>
        <v>50</v>
      </c>
      <c r="F94" s="112">
        <f t="shared" si="10"/>
        <v>53</v>
      </c>
      <c r="G94" s="112">
        <f t="shared" si="10"/>
        <v>48</v>
      </c>
      <c r="H94" s="112">
        <f t="shared" si="10"/>
        <v>35</v>
      </c>
      <c r="I94" s="112">
        <f t="shared" si="10"/>
        <v>44</v>
      </c>
      <c r="J94" s="213">
        <f t="shared" si="10"/>
        <v>330</v>
      </c>
    </row>
    <row r="95" spans="2:10" ht="15" customHeight="1">
      <c r="B95" s="114">
        <v>2017</v>
      </c>
      <c r="C95" s="112">
        <f>C192</f>
        <v>57</v>
      </c>
      <c r="D95" s="112">
        <f t="shared" ref="D95:J95" si="11">D192</f>
        <v>55</v>
      </c>
      <c r="E95" s="112">
        <f t="shared" si="11"/>
        <v>52</v>
      </c>
      <c r="F95" s="112">
        <f t="shared" si="11"/>
        <v>54</v>
      </c>
      <c r="G95" s="112">
        <f t="shared" si="11"/>
        <v>54</v>
      </c>
      <c r="H95" s="112">
        <f t="shared" si="11"/>
        <v>48</v>
      </c>
      <c r="I95" s="112">
        <f t="shared" si="11"/>
        <v>35</v>
      </c>
      <c r="J95" s="213">
        <f t="shared" si="11"/>
        <v>355</v>
      </c>
    </row>
    <row r="96" spans="2:10" ht="15" customHeight="1">
      <c r="B96" s="307">
        <v>2018</v>
      </c>
      <c r="C96" s="112">
        <f t="shared" ref="C96:J96" si="12">C193</f>
        <v>49</v>
      </c>
      <c r="D96" s="112">
        <f t="shared" si="12"/>
        <v>57</v>
      </c>
      <c r="E96" s="112">
        <f t="shared" si="12"/>
        <v>56</v>
      </c>
      <c r="F96" s="112">
        <f t="shared" si="12"/>
        <v>47</v>
      </c>
      <c r="G96" s="112">
        <f t="shared" si="12"/>
        <v>51</v>
      </c>
      <c r="H96" s="112">
        <f t="shared" si="12"/>
        <v>55</v>
      </c>
      <c r="I96" s="112">
        <f t="shared" si="12"/>
        <v>46</v>
      </c>
      <c r="J96" s="213">
        <f t="shared" si="12"/>
        <v>361</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0</v>
      </c>
      <c r="E98" s="210">
        <f t="shared" ref="E98:I98" si="13">MEDIAN(((D91-E92)/D91),((D92-E93)/D92),((D93-E94)/D93),((D94-E95)/D94),((D95-E96)/D95))</f>
        <v>-1.8181818181818181E-2</v>
      </c>
      <c r="F98" s="210">
        <f t="shared" si="13"/>
        <v>-2.9411764705882353E-2</v>
      </c>
      <c r="G98" s="210">
        <f t="shared" si="13"/>
        <v>-1.8867924528301886E-2</v>
      </c>
      <c r="H98" s="210">
        <f t="shared" si="13"/>
        <v>0</v>
      </c>
      <c r="I98" s="210">
        <f t="shared" si="13"/>
        <v>0</v>
      </c>
    </row>
    <row r="99" spans="2:10" ht="15" customHeight="1">
      <c r="B99" s="59"/>
      <c r="C99" s="60"/>
      <c r="D99" s="61"/>
      <c r="E99" s="61"/>
      <c r="F99" s="61"/>
      <c r="G99" s="61"/>
      <c r="H99" s="61"/>
      <c r="I99" s="61"/>
      <c r="J99" s="58"/>
    </row>
    <row r="100" spans="2:10" ht="15" customHeight="1">
      <c r="B100" s="15" t="str">
        <f>"Table 4B: "&amp;E3&amp;" Projected Roll by Stage (incorporating Projected P1 and Drop-Off Rates), 2019-2032"</f>
        <v>Table 4B: Ferryhill Primary School Projected Roll by Stage (incorporating Projected P1 and Drop-Off Rates), 2019-2032</v>
      </c>
      <c r="F100" s="14"/>
      <c r="G100" s="14"/>
    </row>
    <row r="101" spans="2:10" ht="15" customHeight="1">
      <c r="F101" s="14"/>
      <c r="G101" s="14"/>
    </row>
    <row r="102" spans="2:10" ht="15" customHeight="1">
      <c r="B102" s="115"/>
      <c r="C102" s="109" t="s">
        <v>1</v>
      </c>
      <c r="D102" s="109" t="s">
        <v>2</v>
      </c>
      <c r="E102" s="109" t="s">
        <v>3</v>
      </c>
      <c r="F102" s="109" t="s">
        <v>4</v>
      </c>
      <c r="G102" s="109" t="s">
        <v>5</v>
      </c>
      <c r="H102" s="109" t="s">
        <v>6</v>
      </c>
      <c r="I102" s="109" t="s">
        <v>7</v>
      </c>
      <c r="J102" s="109" t="s">
        <v>8</v>
      </c>
    </row>
    <row r="103" spans="2:10" ht="15" customHeight="1">
      <c r="B103" s="114">
        <v>2019</v>
      </c>
      <c r="C103" s="113">
        <f t="shared" ref="C103:C116" si="14">J70</f>
        <v>48.550982573229511</v>
      </c>
      <c r="D103" s="324">
        <f>ROUND((C96)-(C96*$D$98),0)</f>
        <v>49</v>
      </c>
      <c r="E103" s="324">
        <f>ROUND((D96)-(D96*$E$98),0)</f>
        <v>58</v>
      </c>
      <c r="F103" s="324">
        <f>ROUND((E96)-(E96*$F$98),0)</f>
        <v>58</v>
      </c>
      <c r="G103" s="324">
        <f>ROUND((F96)-(F96*$G$98),0)</f>
        <v>48</v>
      </c>
      <c r="H103" s="324">
        <f>ROUND((G96)-(G96*$H$98),0)</f>
        <v>51</v>
      </c>
      <c r="I103" s="324">
        <f>ROUND((H96)-(H96*$I$98),0)</f>
        <v>55</v>
      </c>
      <c r="J103" s="111">
        <f t="shared" ref="J103:J116" si="15">SUM(C103:I103)</f>
        <v>367.55098257322948</v>
      </c>
    </row>
    <row r="104" spans="2:10" ht="15" customHeight="1">
      <c r="B104" s="114">
        <v>2020</v>
      </c>
      <c r="C104" s="113">
        <f t="shared" si="14"/>
        <v>56.1428130021011</v>
      </c>
      <c r="D104" s="324">
        <f>ROUND((C103-E50)-(C103*$D$98),0)</f>
        <v>49</v>
      </c>
      <c r="E104" s="112">
        <f t="shared" ref="E104:E116" si="16">ROUND((D103)-(D103*$E$98),0)</f>
        <v>50</v>
      </c>
      <c r="F104" s="112">
        <f t="shared" ref="F104:F116" si="17">ROUND((E103)-(E103*$F$98),0)</f>
        <v>60</v>
      </c>
      <c r="G104" s="112">
        <f t="shared" ref="G104:G116" si="18">ROUND((F103)-(F103*$G$98),0)</f>
        <v>59</v>
      </c>
      <c r="H104" s="112">
        <f t="shared" ref="H104:H116" si="19">ROUND((G103)-(G103*$H$98),0)</f>
        <v>48</v>
      </c>
      <c r="I104" s="112">
        <f t="shared" ref="I104:I116" si="20">ROUND((H103)-(H103*$I$98),0)</f>
        <v>51</v>
      </c>
      <c r="J104" s="111">
        <f t="shared" si="15"/>
        <v>373.14281300210109</v>
      </c>
    </row>
    <row r="105" spans="2:10" ht="15" customHeight="1">
      <c r="B105" s="114">
        <v>2021</v>
      </c>
      <c r="C105" s="113">
        <f t="shared" si="14"/>
        <v>44.333299001634188</v>
      </c>
      <c r="D105" s="324">
        <f>ROUND((C104-F50)-(C104*$D$98),0)</f>
        <v>56</v>
      </c>
      <c r="E105" s="112">
        <f t="shared" si="16"/>
        <v>50</v>
      </c>
      <c r="F105" s="112">
        <f t="shared" si="17"/>
        <v>51</v>
      </c>
      <c r="G105" s="112">
        <f t="shared" si="18"/>
        <v>61</v>
      </c>
      <c r="H105" s="112">
        <f t="shared" si="19"/>
        <v>59</v>
      </c>
      <c r="I105" s="112">
        <f t="shared" si="20"/>
        <v>48</v>
      </c>
      <c r="J105" s="111">
        <f t="shared" si="15"/>
        <v>369.3332990016342</v>
      </c>
    </row>
    <row r="106" spans="2:10" ht="15" customHeight="1">
      <c r="B106" s="114">
        <v>2022</v>
      </c>
      <c r="C106" s="113">
        <f t="shared" si="14"/>
        <v>39.2720787157198</v>
      </c>
      <c r="D106" s="324">
        <f>ROUND((C105-G50)-(C105*$D$98),0)</f>
        <v>44</v>
      </c>
      <c r="E106" s="112">
        <f t="shared" si="16"/>
        <v>57</v>
      </c>
      <c r="F106" s="112">
        <f t="shared" si="17"/>
        <v>51</v>
      </c>
      <c r="G106" s="112">
        <f t="shared" si="18"/>
        <v>52</v>
      </c>
      <c r="H106" s="112">
        <f t="shared" si="19"/>
        <v>61</v>
      </c>
      <c r="I106" s="112">
        <f t="shared" si="20"/>
        <v>59</v>
      </c>
      <c r="J106" s="111">
        <f t="shared" si="15"/>
        <v>363.27207871571977</v>
      </c>
    </row>
    <row r="107" spans="2:10" ht="15" customHeight="1">
      <c r="B107" s="114">
        <v>2023</v>
      </c>
      <c r="C107" s="113">
        <f t="shared" si="14"/>
        <v>47.707445858910447</v>
      </c>
      <c r="D107" s="324">
        <f>ROUND((C106-H50)-(C106*$D$98),0)</f>
        <v>39</v>
      </c>
      <c r="E107" s="112">
        <f t="shared" si="16"/>
        <v>45</v>
      </c>
      <c r="F107" s="112">
        <f t="shared" si="17"/>
        <v>59</v>
      </c>
      <c r="G107" s="112">
        <f t="shared" si="18"/>
        <v>52</v>
      </c>
      <c r="H107" s="112">
        <f t="shared" si="19"/>
        <v>52</v>
      </c>
      <c r="I107" s="112">
        <f t="shared" si="20"/>
        <v>61</v>
      </c>
      <c r="J107" s="111">
        <f t="shared" si="15"/>
        <v>355.70744585891043</v>
      </c>
    </row>
    <row r="108" spans="2:10" ht="15" customHeight="1">
      <c r="B108" s="114">
        <v>2024</v>
      </c>
      <c r="C108" s="113">
        <f t="shared" si="14"/>
        <v>48.550982573229511</v>
      </c>
      <c r="D108" s="324">
        <f>ROUND((C107-I50)-(C107*$D$98),0)</f>
        <v>48</v>
      </c>
      <c r="E108" s="112">
        <f t="shared" si="16"/>
        <v>40</v>
      </c>
      <c r="F108" s="112">
        <f t="shared" si="17"/>
        <v>46</v>
      </c>
      <c r="G108" s="112">
        <f t="shared" si="18"/>
        <v>60</v>
      </c>
      <c r="H108" s="112">
        <f t="shared" si="19"/>
        <v>52</v>
      </c>
      <c r="I108" s="112">
        <f t="shared" si="20"/>
        <v>52</v>
      </c>
      <c r="J108" s="111">
        <f t="shared" si="15"/>
        <v>346.55098257322948</v>
      </c>
    </row>
    <row r="109" spans="2:10" ht="15" customHeight="1">
      <c r="B109" s="114">
        <v>2025</v>
      </c>
      <c r="C109" s="113">
        <f t="shared" si="14"/>
        <v>48.550982573229511</v>
      </c>
      <c r="D109" s="324">
        <f>ROUND((C108-J50)-(C108*$D$98),0)</f>
        <v>49</v>
      </c>
      <c r="E109" s="112">
        <f t="shared" si="16"/>
        <v>49</v>
      </c>
      <c r="F109" s="112">
        <f t="shared" si="17"/>
        <v>41</v>
      </c>
      <c r="G109" s="112">
        <f t="shared" si="18"/>
        <v>47</v>
      </c>
      <c r="H109" s="112">
        <f t="shared" si="19"/>
        <v>60</v>
      </c>
      <c r="I109" s="112">
        <f t="shared" si="20"/>
        <v>52</v>
      </c>
      <c r="J109" s="111">
        <f t="shared" si="15"/>
        <v>346.55098257322948</v>
      </c>
    </row>
    <row r="110" spans="2:10" ht="15" customHeight="1">
      <c r="B110" s="114">
        <v>2026</v>
      </c>
      <c r="C110" s="113">
        <f t="shared" si="14"/>
        <v>49.394519287548576</v>
      </c>
      <c r="D110" s="324">
        <f>ROUND((C109-K50)-(C109*$D$98),0)</f>
        <v>49</v>
      </c>
      <c r="E110" s="112">
        <f t="shared" si="16"/>
        <v>50</v>
      </c>
      <c r="F110" s="112">
        <f t="shared" si="17"/>
        <v>50</v>
      </c>
      <c r="G110" s="112">
        <f t="shared" si="18"/>
        <v>42</v>
      </c>
      <c r="H110" s="112">
        <f t="shared" si="19"/>
        <v>47</v>
      </c>
      <c r="I110" s="112">
        <f t="shared" si="20"/>
        <v>60</v>
      </c>
      <c r="J110" s="111">
        <f t="shared" si="15"/>
        <v>347.39451928754858</v>
      </c>
    </row>
    <row r="111" spans="2:10" ht="15" customHeight="1">
      <c r="B111" s="114">
        <v>2027</v>
      </c>
      <c r="C111" s="113">
        <f t="shared" si="14"/>
        <v>49.394519287548576</v>
      </c>
      <c r="D111" s="324">
        <f>ROUND((C110-L50)-(C110*$D$98),0)</f>
        <v>49</v>
      </c>
      <c r="E111" s="112">
        <f t="shared" si="16"/>
        <v>50</v>
      </c>
      <c r="F111" s="112">
        <f t="shared" si="17"/>
        <v>51</v>
      </c>
      <c r="G111" s="112">
        <f t="shared" si="18"/>
        <v>51</v>
      </c>
      <c r="H111" s="112">
        <f t="shared" si="19"/>
        <v>42</v>
      </c>
      <c r="I111" s="112">
        <f t="shared" si="20"/>
        <v>47</v>
      </c>
      <c r="J111" s="111">
        <f t="shared" si="15"/>
        <v>339.39451928754858</v>
      </c>
    </row>
    <row r="112" spans="2:10" ht="15" customHeight="1">
      <c r="B112" s="114">
        <v>2028</v>
      </c>
      <c r="C112" s="113">
        <f t="shared" si="14"/>
        <v>49.394519287548576</v>
      </c>
      <c r="D112" s="324">
        <f>ROUND((C111-M50)-(C111*$D$98),0)</f>
        <v>49</v>
      </c>
      <c r="E112" s="112">
        <f t="shared" si="16"/>
        <v>50</v>
      </c>
      <c r="F112" s="112">
        <f t="shared" si="17"/>
        <v>51</v>
      </c>
      <c r="G112" s="112">
        <f t="shared" si="18"/>
        <v>52</v>
      </c>
      <c r="H112" s="112">
        <f t="shared" si="19"/>
        <v>51</v>
      </c>
      <c r="I112" s="112">
        <f t="shared" si="20"/>
        <v>42</v>
      </c>
      <c r="J112" s="111">
        <f t="shared" si="15"/>
        <v>344.39451928754858</v>
      </c>
    </row>
    <row r="113" spans="2:10" ht="15" customHeight="1">
      <c r="B113" s="114">
        <v>2029</v>
      </c>
      <c r="C113" s="113">
        <f t="shared" si="14"/>
        <v>49.394519287548576</v>
      </c>
      <c r="D113" s="324">
        <f>ROUND((C112-N50)-(C112*$D$98),0)</f>
        <v>49</v>
      </c>
      <c r="E113" s="112">
        <f t="shared" si="16"/>
        <v>50</v>
      </c>
      <c r="F113" s="112">
        <f t="shared" si="17"/>
        <v>51</v>
      </c>
      <c r="G113" s="112">
        <f t="shared" si="18"/>
        <v>52</v>
      </c>
      <c r="H113" s="112">
        <f t="shared" si="19"/>
        <v>52</v>
      </c>
      <c r="I113" s="112">
        <f t="shared" si="20"/>
        <v>51</v>
      </c>
      <c r="J113" s="111">
        <f t="shared" si="15"/>
        <v>354.39451928754858</v>
      </c>
    </row>
    <row r="114" spans="2:10" ht="15" customHeight="1">
      <c r="B114" s="114">
        <v>2030</v>
      </c>
      <c r="C114" s="113">
        <f t="shared" si="14"/>
        <v>49.394519287548576</v>
      </c>
      <c r="D114" s="324">
        <f>ROUND((C113-O50)-(C113*$D$98),0)</f>
        <v>49</v>
      </c>
      <c r="E114" s="112">
        <f t="shared" si="16"/>
        <v>50</v>
      </c>
      <c r="F114" s="112">
        <f t="shared" si="17"/>
        <v>51</v>
      </c>
      <c r="G114" s="112">
        <f t="shared" si="18"/>
        <v>52</v>
      </c>
      <c r="H114" s="112">
        <f t="shared" si="19"/>
        <v>52</v>
      </c>
      <c r="I114" s="112">
        <f t="shared" si="20"/>
        <v>52</v>
      </c>
      <c r="J114" s="111">
        <f t="shared" si="15"/>
        <v>355.39451928754858</v>
      </c>
    </row>
    <row r="115" spans="2:10" ht="15" customHeight="1">
      <c r="B115" s="114">
        <v>2031</v>
      </c>
      <c r="C115" s="113">
        <f t="shared" si="14"/>
        <v>49.394519287548576</v>
      </c>
      <c r="D115" s="324">
        <f>ROUND((C114-P50)-(C114*$D$98),0)</f>
        <v>49</v>
      </c>
      <c r="E115" s="112">
        <f t="shared" si="16"/>
        <v>50</v>
      </c>
      <c r="F115" s="112">
        <f t="shared" si="17"/>
        <v>51</v>
      </c>
      <c r="G115" s="112">
        <f t="shared" si="18"/>
        <v>52</v>
      </c>
      <c r="H115" s="112">
        <f t="shared" si="19"/>
        <v>52</v>
      </c>
      <c r="I115" s="112">
        <f t="shared" si="20"/>
        <v>52</v>
      </c>
      <c r="J115" s="111">
        <f t="shared" si="15"/>
        <v>355.39451928754858</v>
      </c>
    </row>
    <row r="116" spans="2:10" ht="15" customHeight="1">
      <c r="B116" s="114">
        <v>2032</v>
      </c>
      <c r="C116" s="113">
        <f t="shared" si="14"/>
        <v>49.394519287548576</v>
      </c>
      <c r="D116" s="324">
        <f>ROUND((C115-Q50)-(C115*$D$98),0)</f>
        <v>49</v>
      </c>
      <c r="E116" s="112">
        <f t="shared" si="16"/>
        <v>50</v>
      </c>
      <c r="F116" s="112">
        <f t="shared" si="17"/>
        <v>51</v>
      </c>
      <c r="G116" s="112">
        <f t="shared" si="18"/>
        <v>52</v>
      </c>
      <c r="H116" s="112">
        <f t="shared" si="19"/>
        <v>52</v>
      </c>
      <c r="I116" s="112">
        <f t="shared" si="20"/>
        <v>52</v>
      </c>
      <c r="J116" s="111">
        <f t="shared" si="15"/>
        <v>355.39451928754858</v>
      </c>
    </row>
    <row r="117" spans="2:10" ht="15" hidden="1" customHeight="1">
      <c r="F117" s="14"/>
      <c r="G117" s="14"/>
    </row>
    <row r="118" spans="2:10" ht="15" hidden="1" customHeight="1">
      <c r="B118" s="15" t="str">
        <f>"Table 4C: "&amp;E3&amp;" Projected Pupil Generation from Housing Development, 2019-2032"</f>
        <v>Table 4C: Ferryhill Primary School Projected Pupil Generation from Housing Development, 2019-2032</v>
      </c>
      <c r="F118" s="14"/>
      <c r="G118" s="14"/>
    </row>
    <row r="119" spans="2:10" ht="15" hidden="1" customHeight="1">
      <c r="F119" s="14"/>
      <c r="G119" s="14"/>
    </row>
    <row r="120" spans="2:10" ht="15" hidden="1" customHeight="1">
      <c r="B120" s="115"/>
      <c r="C120" s="109" t="s">
        <v>1</v>
      </c>
      <c r="D120" s="109" t="s">
        <v>2</v>
      </c>
      <c r="E120" s="109" t="s">
        <v>3</v>
      </c>
      <c r="F120" s="109" t="s">
        <v>4</v>
      </c>
      <c r="G120" s="109" t="s">
        <v>5</v>
      </c>
      <c r="H120" s="109" t="s">
        <v>6</v>
      </c>
      <c r="I120" s="109" t="s">
        <v>7</v>
      </c>
      <c r="J120" s="109" t="s">
        <v>8</v>
      </c>
    </row>
    <row r="121" spans="2:10" ht="15" hidden="1" customHeight="1">
      <c r="B121" s="114">
        <v>2019</v>
      </c>
      <c r="C121" s="116" t="s">
        <v>97</v>
      </c>
      <c r="D121" s="112">
        <f>VLOOKUP($E$3,'Housing Generation'!$A$3:$BE$90,11,FALSE)</f>
        <v>0</v>
      </c>
      <c r="E121" s="112">
        <f>VLOOKUP($E$3,'Housing Generation'!$A$3:$BE$90,12,FALSE)</f>
        <v>0</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0</v>
      </c>
    </row>
    <row r="122" spans="2:10" ht="15" hidden="1" customHeight="1">
      <c r="B122" s="114">
        <v>2020</v>
      </c>
      <c r="C122" s="116" t="s">
        <v>97</v>
      </c>
      <c r="D122" s="112">
        <f>VLOOKUP($E$3,'Housing Generation'!$A$3:$BE$90,19,FALSE)</f>
        <v>0</v>
      </c>
      <c r="E122" s="112">
        <f>VLOOKUP($E$3,'Housing Generation'!$A$3:$BE$90,20,FALSE)</f>
        <v>0</v>
      </c>
      <c r="F122" s="112">
        <f>VLOOKUP($E$3,'Housing Generation'!$A$3:$BE$90,21,FALSE)</f>
        <v>0</v>
      </c>
      <c r="G122" s="112">
        <f>VLOOKUP($E$3,'Housing Generation'!$A$3:$BE$90,22,FALSE)</f>
        <v>0</v>
      </c>
      <c r="H122" s="112">
        <f>VLOOKUP($E$3,'Housing Generation'!$A$3:$BE$90,23,FALSE)</f>
        <v>0</v>
      </c>
      <c r="I122" s="112">
        <f>VLOOKUP($E$3,'Housing Generation'!$A$3:$BE$90,24,FALSE)</f>
        <v>0</v>
      </c>
      <c r="J122" s="111">
        <f t="shared" si="21"/>
        <v>0</v>
      </c>
    </row>
    <row r="123" spans="2:10" ht="15" hidden="1" customHeight="1">
      <c r="B123" s="114">
        <v>2021</v>
      </c>
      <c r="C123" s="116" t="s">
        <v>97</v>
      </c>
      <c r="D123" s="112">
        <f>VLOOKUP($E$3,'Housing Generation'!$A$3:$BE$90,27,FALSE)</f>
        <v>0</v>
      </c>
      <c r="E123" s="112">
        <f>VLOOKUP($E$3,'Housing Generation'!$A$3:$BE$90,28,FALSE)</f>
        <v>0</v>
      </c>
      <c r="F123" s="112">
        <f>VLOOKUP($E$3,'Housing Generation'!$A$3:$BE$90,29,FALSE)</f>
        <v>0</v>
      </c>
      <c r="G123" s="112">
        <f>VLOOKUP($E$3,'Housing Generation'!$A$3:$BE$90,30,FALSE)</f>
        <v>0</v>
      </c>
      <c r="H123" s="112">
        <f>VLOOKUP($E$3,'Housing Generation'!$A$3:$BE$90,31,FALSE)</f>
        <v>0</v>
      </c>
      <c r="I123" s="112">
        <f>VLOOKUP($E$3,'Housing Generation'!$A$3:$BE$90,32,FALSE)</f>
        <v>0</v>
      </c>
      <c r="J123" s="111">
        <f t="shared" si="21"/>
        <v>0</v>
      </c>
    </row>
    <row r="124" spans="2:10" ht="15" hidden="1" customHeight="1">
      <c r="B124" s="114">
        <v>2022</v>
      </c>
      <c r="C124" s="116" t="s">
        <v>97</v>
      </c>
      <c r="D124" s="112">
        <f>VLOOKUP($E$3,'Housing Generation'!$A$3:$BE$90,35,FALSE)</f>
        <v>0</v>
      </c>
      <c r="E124" s="112">
        <f>VLOOKUP($E$3,'Housing Generation'!$A$3:$BE$90,36,FALSE)</f>
        <v>0</v>
      </c>
      <c r="F124" s="112">
        <f>VLOOKUP($E$3,'Housing Generation'!$A$3:$BE$90,37,FALSE)</f>
        <v>0</v>
      </c>
      <c r="G124" s="112">
        <f>VLOOKUP($E$3,'Housing Generation'!$A$3:$BE$90,38,FALSE)</f>
        <v>0</v>
      </c>
      <c r="H124" s="112">
        <f>VLOOKUP($E$3,'Housing Generation'!$A$3:$BE$90,39,FALSE)</f>
        <v>0</v>
      </c>
      <c r="I124" s="112">
        <f>VLOOKUP($E$3,'Housing Generation'!$A$3:$BE$90,40,FALSE)</f>
        <v>0</v>
      </c>
      <c r="J124" s="111">
        <f t="shared" si="21"/>
        <v>0</v>
      </c>
    </row>
    <row r="125" spans="2:10" ht="15" hidden="1" customHeight="1">
      <c r="B125" s="114">
        <v>2023</v>
      </c>
      <c r="C125" s="116" t="s">
        <v>97</v>
      </c>
      <c r="D125" s="112">
        <f>VLOOKUP($E$3,'Housing Generation'!$A$3:$BE$90,43,FALSE)</f>
        <v>0</v>
      </c>
      <c r="E125" s="112">
        <f>VLOOKUP($E$3,'Housing Generation'!$A$3:$BE$90,44,FALSE)</f>
        <v>0</v>
      </c>
      <c r="F125" s="112">
        <f>VLOOKUP($E$3,'Housing Generation'!$A$3:$BE$90,45,FALSE)</f>
        <v>0</v>
      </c>
      <c r="G125" s="112">
        <f>VLOOKUP($E$3,'Housing Generation'!$A$3:$BE$90,46,FALSE)</f>
        <v>0</v>
      </c>
      <c r="H125" s="112">
        <f>VLOOKUP($E$3,'Housing Generation'!$A$3:$BE$90,47,FALSE)</f>
        <v>0</v>
      </c>
      <c r="I125" s="112">
        <f>VLOOKUP($E$3,'Housing Generation'!$A$3:$BE$90,48,FALSE)</f>
        <v>0</v>
      </c>
      <c r="J125" s="111">
        <f t="shared" si="21"/>
        <v>0</v>
      </c>
    </row>
    <row r="126" spans="2:10" ht="15" hidden="1" customHeight="1">
      <c r="B126" s="114">
        <v>2024</v>
      </c>
      <c r="C126" s="116" t="s">
        <v>97</v>
      </c>
      <c r="D126" s="112">
        <f>VLOOKUP($E$3,'Housing Generation'!$A$3:$BE$90,51,FALSE)</f>
        <v>0</v>
      </c>
      <c r="E126" s="112">
        <f>VLOOKUP($E$3,'Housing Generation'!$A$3:$BE$90,52,FALSE)</f>
        <v>0</v>
      </c>
      <c r="F126" s="112">
        <f>VLOOKUP($E$3,'Housing Generation'!$A$3:$BE$90,53,FALSE)</f>
        <v>0</v>
      </c>
      <c r="G126" s="112">
        <f>VLOOKUP($E$3,'Housing Generation'!$A$3:$BE$90,54,FALSE)</f>
        <v>0</v>
      </c>
      <c r="H126" s="112">
        <f>VLOOKUP($E$3,'Housing Generation'!$A$3:$BE$90,55,FALSE)</f>
        <v>0</v>
      </c>
      <c r="I126" s="112">
        <f>VLOOKUP($E$3,'Housing Generation'!$A$3:$BE$90,56,FALSE)</f>
        <v>0</v>
      </c>
      <c r="J126" s="111">
        <f t="shared" si="21"/>
        <v>0</v>
      </c>
    </row>
    <row r="127" spans="2:10" ht="15" hidden="1" customHeight="1">
      <c r="B127" s="114">
        <v>2025</v>
      </c>
      <c r="C127" s="240" t="s">
        <v>97</v>
      </c>
      <c r="D127" s="112">
        <f>VLOOKUP($E$3,'Housing Generation'!$A$3:$CK$90,59,FALSE)</f>
        <v>0</v>
      </c>
      <c r="E127" s="112">
        <f>VLOOKUP($E$3,'Housing Generation'!$A$3:$CK$90,60,FALSE)</f>
        <v>0</v>
      </c>
      <c r="F127" s="112">
        <f>VLOOKUP($E$3,'Housing Generation'!$A$3:$CK$90,61,FALSE)</f>
        <v>0</v>
      </c>
      <c r="G127" s="112">
        <f>VLOOKUP($E$3,'Housing Generation'!$A$3:$CK$90,62,FALSE)</f>
        <v>0</v>
      </c>
      <c r="H127" s="112">
        <f>VLOOKUP($E$3,'Housing Generation'!$A$3:$CK$90,63,FALSE)</f>
        <v>0</v>
      </c>
      <c r="I127" s="112">
        <f>VLOOKUP($E$3,'Housing Generation'!$A$3:$CK$90,64,FALSE)</f>
        <v>0</v>
      </c>
      <c r="J127" s="111">
        <f t="shared" si="21"/>
        <v>0</v>
      </c>
    </row>
    <row r="128" spans="2:10" ht="15" hidden="1" customHeight="1">
      <c r="B128" s="114">
        <v>2026</v>
      </c>
      <c r="C128" s="240" t="s">
        <v>97</v>
      </c>
      <c r="D128" s="112">
        <f>VLOOKUP($E$3,'Housing Generation'!$A$3:$CK$90,67,FALSE)</f>
        <v>0</v>
      </c>
      <c r="E128" s="112">
        <f>VLOOKUP($E$3,'Housing Generation'!$A$3:$CK$90,68,FALSE)</f>
        <v>0</v>
      </c>
      <c r="F128" s="112">
        <f>VLOOKUP($E$3,'Housing Generation'!$A$3:$CK$90,69,FALSE)</f>
        <v>0</v>
      </c>
      <c r="G128" s="112">
        <f>VLOOKUP($E$3,'Housing Generation'!$A$3:$CK$90,70,FALSE)</f>
        <v>0</v>
      </c>
      <c r="H128" s="112">
        <f>VLOOKUP($E$3,'Housing Generation'!$A$3:$CK$90,71,FALSE)</f>
        <v>0</v>
      </c>
      <c r="I128" s="112">
        <f>VLOOKUP($E$3,'Housing Generation'!$A$3:$CK$90,72,FALSE)</f>
        <v>0</v>
      </c>
      <c r="J128" s="111">
        <f t="shared" si="21"/>
        <v>0</v>
      </c>
    </row>
    <row r="129" spans="2:10" ht="15" hidden="1" customHeight="1">
      <c r="B129" s="114">
        <v>2027</v>
      </c>
      <c r="C129" s="240" t="s">
        <v>97</v>
      </c>
      <c r="D129" s="112">
        <f>VLOOKUP($E$3,'Housing Generation'!$A$3:$CK$90,75,FALSE)</f>
        <v>0</v>
      </c>
      <c r="E129" s="112">
        <f>VLOOKUP($E$3,'Housing Generation'!$A$3:$CK$90,76,FALSE)</f>
        <v>0</v>
      </c>
      <c r="F129" s="112">
        <f>VLOOKUP($E$3,'Housing Generation'!$A$3:$CK$90,77,FALSE)</f>
        <v>0</v>
      </c>
      <c r="G129" s="112">
        <f>VLOOKUP($E$3,'Housing Generation'!$A$3:$CK$90,78,FALSE)</f>
        <v>0</v>
      </c>
      <c r="H129" s="112">
        <f>VLOOKUP($E$3,'Housing Generation'!$A$3:$CK$90,79,FALSE)</f>
        <v>0</v>
      </c>
      <c r="I129" s="112">
        <f>VLOOKUP($E$3,'Housing Generation'!$A$3:$CK$90,80,FALSE)</f>
        <v>0</v>
      </c>
      <c r="J129" s="111">
        <f t="shared" si="21"/>
        <v>0</v>
      </c>
    </row>
    <row r="130" spans="2:10" ht="15" customHeight="1">
      <c r="B130" s="114">
        <v>2028</v>
      </c>
      <c r="C130" s="289" t="s">
        <v>97</v>
      </c>
      <c r="D130" s="112">
        <f>VLOOKUP($E$3,'Housing Generation'!$A$3:$CK$90,83,FALSE)</f>
        <v>0</v>
      </c>
      <c r="E130" s="112">
        <f>VLOOKUP($E$3,'Housing Generation'!$A$3:$CK$90,84,FALSE)</f>
        <v>0</v>
      </c>
      <c r="F130" s="112">
        <f>VLOOKUP($E$3,'Housing Generation'!$A$3:$CK$90,85,FALSE)</f>
        <v>0</v>
      </c>
      <c r="G130" s="112">
        <f>VLOOKUP($E$3,'Housing Generation'!$A$3:$CK$90,86,FALSE)</f>
        <v>0</v>
      </c>
      <c r="H130" s="112">
        <f>VLOOKUP($E$3,'Housing Generation'!$A$3:$CK$90,87,FALSE)</f>
        <v>0</v>
      </c>
      <c r="I130" s="112">
        <f>VLOOKUP($E$3,'Housing Generation'!$A$3:$CK$90,88,FALSE)</f>
        <v>0</v>
      </c>
      <c r="J130" s="111">
        <f t="shared" si="21"/>
        <v>0</v>
      </c>
    </row>
    <row r="131" spans="2:10" ht="15" customHeight="1">
      <c r="B131" s="114">
        <v>2029</v>
      </c>
      <c r="C131" s="289" t="s">
        <v>97</v>
      </c>
      <c r="D131" s="112">
        <f>VLOOKUP($E$3,'Housing Generation'!$A$3:$DQ$90,91,FALSE)</f>
        <v>0</v>
      </c>
      <c r="E131" s="112">
        <f>VLOOKUP($E$3,'Housing Generation'!$A$3:$DQ$90,92,FALSE)</f>
        <v>0</v>
      </c>
      <c r="F131" s="112">
        <f>VLOOKUP($E$3,'Housing Generation'!$A$3:$DQ$90,93,FALSE)</f>
        <v>0</v>
      </c>
      <c r="G131" s="112">
        <f>VLOOKUP($E$3,'Housing Generation'!$A$3:$DQ$90,94,FALSE)</f>
        <v>0</v>
      </c>
      <c r="H131" s="112">
        <f>VLOOKUP($E$3,'Housing Generation'!$A$3:$DQ$90,95,FALSE)</f>
        <v>0</v>
      </c>
      <c r="I131" s="112">
        <f>VLOOKUP($E$3,'Housing Generation'!$A$3:$DQ$90,96,FALSE)</f>
        <v>0</v>
      </c>
      <c r="J131" s="111">
        <f t="shared" si="21"/>
        <v>0</v>
      </c>
    </row>
    <row r="132" spans="2:10" ht="15" customHeight="1">
      <c r="B132" s="114">
        <v>2030</v>
      </c>
      <c r="C132" s="289" t="s">
        <v>97</v>
      </c>
      <c r="D132" s="112">
        <f>VLOOKUP($E$3,'Housing Generation'!$A$3:$DQ$90,99,FALSE)</f>
        <v>0</v>
      </c>
      <c r="E132" s="112">
        <f>VLOOKUP($E$3,'Housing Generation'!$A$3:$DQ$90,100,FALSE)</f>
        <v>0</v>
      </c>
      <c r="F132" s="112">
        <f>VLOOKUP($E$3,'Housing Generation'!$A$3:$DQ$90,101,FALSE)</f>
        <v>0</v>
      </c>
      <c r="G132" s="112">
        <f>VLOOKUP($E$3,'Housing Generation'!$A$3:$DQ$90,102,FALSE)</f>
        <v>0</v>
      </c>
      <c r="H132" s="112">
        <f>VLOOKUP($E$3,'Housing Generation'!$A$3:$DQ$90,103,FALSE)</f>
        <v>0</v>
      </c>
      <c r="I132" s="112">
        <f>VLOOKUP($E$3,'Housing Generation'!$A$3:$DQ$90,104,FALSE)</f>
        <v>0</v>
      </c>
      <c r="J132" s="111">
        <f t="shared" si="21"/>
        <v>0</v>
      </c>
    </row>
    <row r="133" spans="2:10" ht="15" customHeight="1">
      <c r="B133" s="114">
        <v>2031</v>
      </c>
      <c r="C133" s="289" t="s">
        <v>97</v>
      </c>
      <c r="D133" s="112">
        <f>VLOOKUP($E$3,'Housing Generation'!$A$3:$DQ$90,107,FALSE)</f>
        <v>0</v>
      </c>
      <c r="E133" s="112">
        <f>VLOOKUP($E$3,'Housing Generation'!$A$3:$DQ$90,108,FALSE)</f>
        <v>0</v>
      </c>
      <c r="F133" s="112">
        <f>VLOOKUP($E$3,'Housing Generation'!$A$3:$DQ$90,109,FALSE)</f>
        <v>0</v>
      </c>
      <c r="G133" s="112">
        <f>VLOOKUP($E$3,'Housing Generation'!$A$3:$DQ$90,110,FALSE)</f>
        <v>0</v>
      </c>
      <c r="H133" s="112">
        <f>VLOOKUP($E$3,'Housing Generation'!$A$3:$DQ$90,111,FALSE)</f>
        <v>0</v>
      </c>
      <c r="I133" s="112">
        <f>VLOOKUP($E$3,'Housing Generation'!$A$3:$DQ$90,112,FALSE)</f>
        <v>0</v>
      </c>
      <c r="J133" s="111">
        <f t="shared" si="21"/>
        <v>0</v>
      </c>
    </row>
    <row r="134" spans="2:10" ht="15" customHeight="1">
      <c r="B134" s="114">
        <v>2032</v>
      </c>
      <c r="C134" s="289" t="s">
        <v>97</v>
      </c>
      <c r="D134" s="112">
        <f>VLOOKUP($E$3,'Housing Generation'!$A$3:$DQ$90,115,FALSE)</f>
        <v>0</v>
      </c>
      <c r="E134" s="112">
        <f>VLOOKUP($E$3,'Housing Generation'!$A$3:$DQ$90,116,FALSE)</f>
        <v>0</v>
      </c>
      <c r="F134" s="112">
        <f>VLOOKUP($E$3,'Housing Generation'!$A$3:$DQ$90,117,FALSE)</f>
        <v>0</v>
      </c>
      <c r="G134" s="112">
        <f>VLOOKUP($E$3,'Housing Generation'!$A$3:$DQ$90,118,FALSE)</f>
        <v>0</v>
      </c>
      <c r="H134" s="112">
        <f>VLOOKUP($E$3,'Housing Generation'!$A$3:$DQ$90,119,FALSE)</f>
        <v>0</v>
      </c>
      <c r="I134" s="112">
        <f>VLOOKUP($E$3,'Housing Generation'!$A$3:$DQ$90,120,FALSE)</f>
        <v>0</v>
      </c>
      <c r="J134" s="111">
        <f t="shared" si="21"/>
        <v>0</v>
      </c>
    </row>
    <row r="135" spans="2:10" ht="15"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Ferryhill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48.550982573229511</v>
      </c>
      <c r="D139" s="112">
        <f t="shared" ref="D139:I152" si="23">D121+D103</f>
        <v>49</v>
      </c>
      <c r="E139" s="112">
        <f t="shared" si="23"/>
        <v>58</v>
      </c>
      <c r="F139" s="112">
        <f t="shared" si="23"/>
        <v>58</v>
      </c>
      <c r="G139" s="112">
        <f t="shared" si="23"/>
        <v>48</v>
      </c>
      <c r="H139" s="112">
        <f t="shared" si="23"/>
        <v>51</v>
      </c>
      <c r="I139" s="112">
        <f t="shared" si="23"/>
        <v>55</v>
      </c>
      <c r="J139" s="111">
        <f t="shared" ref="J139:J147" si="24">SUM(C139:I139)</f>
        <v>367.55098257322948</v>
      </c>
    </row>
    <row r="140" spans="2:10" ht="15" customHeight="1">
      <c r="B140" s="114">
        <v>2020</v>
      </c>
      <c r="C140" s="113">
        <f t="shared" si="22"/>
        <v>56.1428130021011</v>
      </c>
      <c r="D140" s="112">
        <f t="shared" si="23"/>
        <v>49</v>
      </c>
      <c r="E140" s="112">
        <f t="shared" si="23"/>
        <v>50</v>
      </c>
      <c r="F140" s="112">
        <f t="shared" si="23"/>
        <v>60</v>
      </c>
      <c r="G140" s="112">
        <f t="shared" si="23"/>
        <v>59</v>
      </c>
      <c r="H140" s="112">
        <f t="shared" si="23"/>
        <v>48</v>
      </c>
      <c r="I140" s="112">
        <f t="shared" si="23"/>
        <v>51</v>
      </c>
      <c r="J140" s="111">
        <f t="shared" si="24"/>
        <v>373.14281300210109</v>
      </c>
    </row>
    <row r="141" spans="2:10" ht="15" customHeight="1">
      <c r="B141" s="114">
        <v>2021</v>
      </c>
      <c r="C141" s="113">
        <f t="shared" si="22"/>
        <v>44.333299001634188</v>
      </c>
      <c r="D141" s="112">
        <f t="shared" si="23"/>
        <v>56</v>
      </c>
      <c r="E141" s="112">
        <f t="shared" si="23"/>
        <v>50</v>
      </c>
      <c r="F141" s="112">
        <f t="shared" si="23"/>
        <v>51</v>
      </c>
      <c r="G141" s="112">
        <f t="shared" si="23"/>
        <v>61</v>
      </c>
      <c r="H141" s="112">
        <f t="shared" si="23"/>
        <v>59</v>
      </c>
      <c r="I141" s="112">
        <f t="shared" si="23"/>
        <v>48</v>
      </c>
      <c r="J141" s="111">
        <f t="shared" si="24"/>
        <v>369.3332990016342</v>
      </c>
    </row>
    <row r="142" spans="2:10" ht="15" customHeight="1">
      <c r="B142" s="114">
        <v>2022</v>
      </c>
      <c r="C142" s="113">
        <f t="shared" si="22"/>
        <v>39.2720787157198</v>
      </c>
      <c r="D142" s="112">
        <f t="shared" si="23"/>
        <v>44</v>
      </c>
      <c r="E142" s="112">
        <f t="shared" si="23"/>
        <v>57</v>
      </c>
      <c r="F142" s="112">
        <f t="shared" si="23"/>
        <v>51</v>
      </c>
      <c r="G142" s="112">
        <f t="shared" si="23"/>
        <v>52</v>
      </c>
      <c r="H142" s="112">
        <f t="shared" si="23"/>
        <v>61</v>
      </c>
      <c r="I142" s="112">
        <f t="shared" si="23"/>
        <v>59</v>
      </c>
      <c r="J142" s="111">
        <f t="shared" si="24"/>
        <v>363.27207871571977</v>
      </c>
    </row>
    <row r="143" spans="2:10" ht="15" customHeight="1">
      <c r="B143" s="114">
        <v>2023</v>
      </c>
      <c r="C143" s="113">
        <f t="shared" si="22"/>
        <v>47.707445858910447</v>
      </c>
      <c r="D143" s="112">
        <f t="shared" si="23"/>
        <v>39</v>
      </c>
      <c r="E143" s="112">
        <f t="shared" si="23"/>
        <v>45</v>
      </c>
      <c r="F143" s="112">
        <f t="shared" si="23"/>
        <v>59</v>
      </c>
      <c r="G143" s="112">
        <f t="shared" si="23"/>
        <v>52</v>
      </c>
      <c r="H143" s="112">
        <f t="shared" si="23"/>
        <v>52</v>
      </c>
      <c r="I143" s="112">
        <f t="shared" si="23"/>
        <v>61</v>
      </c>
      <c r="J143" s="111">
        <f t="shared" si="24"/>
        <v>355.70744585891043</v>
      </c>
    </row>
    <row r="144" spans="2:10" ht="15" customHeight="1">
      <c r="B144" s="114">
        <v>2024</v>
      </c>
      <c r="C144" s="113">
        <f t="shared" si="22"/>
        <v>48.550982573229511</v>
      </c>
      <c r="D144" s="112">
        <f t="shared" si="23"/>
        <v>48</v>
      </c>
      <c r="E144" s="112">
        <f t="shared" si="23"/>
        <v>40</v>
      </c>
      <c r="F144" s="112">
        <f t="shared" si="23"/>
        <v>46</v>
      </c>
      <c r="G144" s="112">
        <f t="shared" si="23"/>
        <v>60</v>
      </c>
      <c r="H144" s="112">
        <f t="shared" si="23"/>
        <v>52</v>
      </c>
      <c r="I144" s="112">
        <f t="shared" si="23"/>
        <v>52</v>
      </c>
      <c r="J144" s="111">
        <f t="shared" si="24"/>
        <v>346.55098257322948</v>
      </c>
    </row>
    <row r="145" spans="2:16" ht="15" customHeight="1">
      <c r="B145" s="114">
        <v>2025</v>
      </c>
      <c r="C145" s="113">
        <f t="shared" si="22"/>
        <v>48.550982573229511</v>
      </c>
      <c r="D145" s="112">
        <f t="shared" si="23"/>
        <v>49</v>
      </c>
      <c r="E145" s="112">
        <f t="shared" si="23"/>
        <v>49</v>
      </c>
      <c r="F145" s="112">
        <f t="shared" si="23"/>
        <v>41</v>
      </c>
      <c r="G145" s="112">
        <f t="shared" si="23"/>
        <v>47</v>
      </c>
      <c r="H145" s="112">
        <f t="shared" si="23"/>
        <v>60</v>
      </c>
      <c r="I145" s="112">
        <f t="shared" si="23"/>
        <v>52</v>
      </c>
      <c r="J145" s="111">
        <f t="shared" si="24"/>
        <v>346.55098257322948</v>
      </c>
    </row>
    <row r="146" spans="2:16" ht="15" customHeight="1">
      <c r="B146" s="114">
        <v>2026</v>
      </c>
      <c r="C146" s="113">
        <f t="shared" si="22"/>
        <v>49.394519287548576</v>
      </c>
      <c r="D146" s="112">
        <f t="shared" si="23"/>
        <v>49</v>
      </c>
      <c r="E146" s="112">
        <f t="shared" si="23"/>
        <v>50</v>
      </c>
      <c r="F146" s="112">
        <f t="shared" si="23"/>
        <v>50</v>
      </c>
      <c r="G146" s="112">
        <f t="shared" si="23"/>
        <v>42</v>
      </c>
      <c r="H146" s="112">
        <f t="shared" si="23"/>
        <v>47</v>
      </c>
      <c r="I146" s="112">
        <f t="shared" si="23"/>
        <v>60</v>
      </c>
      <c r="J146" s="111">
        <f t="shared" si="24"/>
        <v>347.39451928754858</v>
      </c>
    </row>
    <row r="147" spans="2:16" ht="15" customHeight="1">
      <c r="B147" s="114">
        <v>2027</v>
      </c>
      <c r="C147" s="113">
        <f t="shared" si="22"/>
        <v>49.394519287548576</v>
      </c>
      <c r="D147" s="112">
        <f t="shared" si="23"/>
        <v>49</v>
      </c>
      <c r="E147" s="112">
        <f t="shared" si="23"/>
        <v>50</v>
      </c>
      <c r="F147" s="112">
        <f t="shared" si="23"/>
        <v>51</v>
      </c>
      <c r="G147" s="112">
        <f t="shared" si="23"/>
        <v>51</v>
      </c>
      <c r="H147" s="112">
        <f t="shared" si="23"/>
        <v>42</v>
      </c>
      <c r="I147" s="112">
        <f t="shared" si="23"/>
        <v>47</v>
      </c>
      <c r="J147" s="111">
        <f t="shared" si="24"/>
        <v>339.39451928754858</v>
      </c>
    </row>
    <row r="148" spans="2:16" ht="15" customHeight="1">
      <c r="B148" s="114">
        <v>2028</v>
      </c>
      <c r="C148" s="113">
        <f t="shared" si="22"/>
        <v>49.394519287548576</v>
      </c>
      <c r="D148" s="112">
        <f t="shared" si="23"/>
        <v>49</v>
      </c>
      <c r="E148" s="112">
        <f t="shared" si="23"/>
        <v>50</v>
      </c>
      <c r="F148" s="112">
        <f t="shared" si="23"/>
        <v>51</v>
      </c>
      <c r="G148" s="112">
        <f t="shared" si="23"/>
        <v>52</v>
      </c>
      <c r="H148" s="112">
        <f t="shared" si="23"/>
        <v>51</v>
      </c>
      <c r="I148" s="112">
        <f t="shared" si="23"/>
        <v>42</v>
      </c>
      <c r="J148" s="111">
        <f t="shared" ref="J148:J152" si="25">SUM(C148:I148)</f>
        <v>344.39451928754858</v>
      </c>
    </row>
    <row r="149" spans="2:16" ht="15" customHeight="1">
      <c r="B149" s="114">
        <v>2029</v>
      </c>
      <c r="C149" s="113">
        <f t="shared" si="22"/>
        <v>49.394519287548576</v>
      </c>
      <c r="D149" s="112">
        <f t="shared" si="23"/>
        <v>49</v>
      </c>
      <c r="E149" s="112">
        <f t="shared" si="23"/>
        <v>50</v>
      </c>
      <c r="F149" s="112">
        <f t="shared" si="23"/>
        <v>51</v>
      </c>
      <c r="G149" s="112">
        <f t="shared" si="23"/>
        <v>52</v>
      </c>
      <c r="H149" s="112">
        <f t="shared" si="23"/>
        <v>52</v>
      </c>
      <c r="I149" s="112">
        <f t="shared" si="23"/>
        <v>51</v>
      </c>
      <c r="J149" s="111">
        <f t="shared" si="25"/>
        <v>354.39451928754858</v>
      </c>
    </row>
    <row r="150" spans="2:16" ht="15" customHeight="1">
      <c r="B150" s="114">
        <v>2030</v>
      </c>
      <c r="C150" s="113">
        <f t="shared" si="22"/>
        <v>49.394519287548576</v>
      </c>
      <c r="D150" s="112">
        <f t="shared" si="23"/>
        <v>49</v>
      </c>
      <c r="E150" s="112">
        <f t="shared" si="23"/>
        <v>50</v>
      </c>
      <c r="F150" s="112">
        <f t="shared" si="23"/>
        <v>51</v>
      </c>
      <c r="G150" s="112">
        <f t="shared" si="23"/>
        <v>52</v>
      </c>
      <c r="H150" s="112">
        <f t="shared" si="23"/>
        <v>52</v>
      </c>
      <c r="I150" s="112">
        <f t="shared" si="23"/>
        <v>52</v>
      </c>
      <c r="J150" s="111">
        <f t="shared" si="25"/>
        <v>355.39451928754858</v>
      </c>
    </row>
    <row r="151" spans="2:16" ht="15" customHeight="1">
      <c r="B151" s="114">
        <v>2031</v>
      </c>
      <c r="C151" s="113">
        <f t="shared" si="22"/>
        <v>49.394519287548576</v>
      </c>
      <c r="D151" s="112">
        <f t="shared" si="23"/>
        <v>49</v>
      </c>
      <c r="E151" s="112">
        <f t="shared" si="23"/>
        <v>50</v>
      </c>
      <c r="F151" s="112">
        <f t="shared" si="23"/>
        <v>51</v>
      </c>
      <c r="G151" s="112">
        <f t="shared" si="23"/>
        <v>52</v>
      </c>
      <c r="H151" s="112">
        <f t="shared" si="23"/>
        <v>52</v>
      </c>
      <c r="I151" s="112">
        <f t="shared" si="23"/>
        <v>52</v>
      </c>
      <c r="J151" s="111">
        <f t="shared" si="25"/>
        <v>355.39451928754858</v>
      </c>
    </row>
    <row r="152" spans="2:16" ht="15" customHeight="1">
      <c r="B152" s="114">
        <v>2032</v>
      </c>
      <c r="C152" s="113">
        <f t="shared" si="22"/>
        <v>49.394519287548576</v>
      </c>
      <c r="D152" s="112">
        <f t="shared" si="23"/>
        <v>49</v>
      </c>
      <c r="E152" s="112">
        <f t="shared" si="23"/>
        <v>50</v>
      </c>
      <c r="F152" s="112">
        <f t="shared" si="23"/>
        <v>51</v>
      </c>
      <c r="G152" s="112">
        <f t="shared" si="23"/>
        <v>52</v>
      </c>
      <c r="H152" s="112">
        <f t="shared" si="23"/>
        <v>52</v>
      </c>
      <c r="I152" s="112">
        <f t="shared" si="23"/>
        <v>52</v>
      </c>
      <c r="J152" s="111">
        <f t="shared" si="25"/>
        <v>355.39451928754858</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367.55098257322948</v>
      </c>
      <c r="D159" s="108">
        <f>J140</f>
        <v>373.14281300210109</v>
      </c>
      <c r="E159" s="108">
        <f>J141</f>
        <v>369.3332990016342</v>
      </c>
      <c r="F159" s="108">
        <f>J142</f>
        <v>363.27207871571977</v>
      </c>
      <c r="G159" s="108">
        <f>J143</f>
        <v>355.70744585891043</v>
      </c>
      <c r="H159" s="108">
        <f>J144</f>
        <v>346.55098257322948</v>
      </c>
      <c r="I159" s="108">
        <f>J145</f>
        <v>346.55098257322948</v>
      </c>
      <c r="J159" s="108">
        <f>J146</f>
        <v>347.39451928754858</v>
      </c>
      <c r="K159" s="108">
        <f>J147</f>
        <v>339.39451928754858</v>
      </c>
      <c r="L159" s="108">
        <f>J148</f>
        <v>344.39451928754858</v>
      </c>
      <c r="M159" s="108">
        <f>J149</f>
        <v>354.39451928754858</v>
      </c>
      <c r="N159" s="108">
        <f>J150</f>
        <v>355.39451928754858</v>
      </c>
      <c r="O159" s="108">
        <f>J151</f>
        <v>355.39451928754858</v>
      </c>
      <c r="P159" s="108">
        <f>J152</f>
        <v>355.39451928754858</v>
      </c>
    </row>
    <row r="160" spans="2:16" ht="15" customHeight="1">
      <c r="B160" s="107" t="s">
        <v>152</v>
      </c>
      <c r="C160" s="106">
        <f>VLOOKUP(C159,Capacity!$A$1:$C$645,2,TRUE)</f>
        <v>14</v>
      </c>
      <c r="D160" s="106">
        <f>VLOOKUP(D159,Capacity!$A$1:$C$645,2,TRUE)</f>
        <v>14</v>
      </c>
      <c r="E160" s="106">
        <f>VLOOKUP(E159,Capacity!$A$1:$C$645,2,TRUE)</f>
        <v>14</v>
      </c>
      <c r="F160" s="106">
        <f>VLOOKUP(F159,Capacity!$A$1:$C$645,2,TRUE)</f>
        <v>14</v>
      </c>
      <c r="G160" s="106">
        <f>VLOOKUP(G159,Capacity!$A$1:$C$645,2,TRUE)</f>
        <v>14</v>
      </c>
      <c r="H160" s="106">
        <f>VLOOKUP(H159,Capacity!$A$1:$C$645,2,TRUE)</f>
        <v>14</v>
      </c>
      <c r="I160" s="106">
        <f>VLOOKUP(I159,Capacity!$A$1:$C$645,2,TRUE)</f>
        <v>14</v>
      </c>
      <c r="J160" s="106">
        <f>VLOOKUP(J159,Capacity!$A$1:$C$645,2,TRUE)</f>
        <v>14</v>
      </c>
      <c r="K160" s="106">
        <f>VLOOKUP(K159,Capacity!$A$1:$C$645,2,TRUE)</f>
        <v>14</v>
      </c>
      <c r="L160" s="106">
        <f>VLOOKUP(L159,Capacity!$A$1:$C$645,2,TRUE)</f>
        <v>14</v>
      </c>
      <c r="M160" s="106">
        <f>VLOOKUP(M159,Capacity!$A$1:$C$645,2,TRUE)</f>
        <v>14</v>
      </c>
      <c r="N160" s="106">
        <f>VLOOKUP(N159,Capacity!$A$1:$C$645,2,TRUE)</f>
        <v>14</v>
      </c>
      <c r="O160" s="106">
        <f>VLOOKUP(O159,Capacity!$A$1:$C$645,2,TRUE)</f>
        <v>14</v>
      </c>
      <c r="P160" s="106">
        <f>VLOOKUP(P159,Capacity!$A$1:$C$645,2,TRUE)</f>
        <v>14</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37</v>
      </c>
      <c r="D169" s="97">
        <f>VLOOKUP($E$3,'Catchment Births'!$A$1:$U$90,11,FALSE)</f>
        <v>47</v>
      </c>
      <c r="E169" s="97">
        <f>VLOOKUP($E$3,'Catchment Births'!$A$1:$U$90,12,FALSE)</f>
        <v>32</v>
      </c>
      <c r="F169" s="97">
        <f>VLOOKUP($E$3,'Catchment Births'!$A$1:$U$90,13,FALSE)</f>
        <v>49</v>
      </c>
      <c r="G169" s="97">
        <f>VLOOKUP($E$3,'Catchment Births'!$A$1:$U$90,14,FALSE)</f>
        <v>51</v>
      </c>
      <c r="H169" s="97">
        <f>VLOOKUP($E$3,'Catchment Births'!$A$1:$U$90,15,FALSE)</f>
        <v>53</v>
      </c>
      <c r="I169" s="97">
        <f>VLOOKUP($E$3,'Catchment Births'!$A$1:$U$90,16,FALSE)</f>
        <v>59</v>
      </c>
      <c r="J169" s="97">
        <f>VLOOKUP($E$3,'Catchment Births'!$A$1:$U$90,17,FALSE)</f>
        <v>60</v>
      </c>
      <c r="K169" s="97">
        <f>VLOOKUP($E$3,'Catchment Births'!$A$1:$U$90,18,FALSE)</f>
        <v>68</v>
      </c>
      <c r="L169" s="97">
        <f>VLOOKUP($E$3,'Catchment Births'!$A$1:$U$90,19,FALSE)</f>
        <v>68</v>
      </c>
      <c r="M169" s="97">
        <f>VLOOKUP($E$3,'Catchment Births'!$A$1:$U$90,20,FALSE)</f>
        <v>56</v>
      </c>
      <c r="N169" s="97">
        <f>VLOOKUP($E$3,'Catchment Births'!$A$1:$U$90,21,FALSE)</f>
        <v>66</v>
      </c>
    </row>
    <row r="170" spans="2:14" ht="58.5" customHeight="1">
      <c r="B170" s="103" t="str">
        <f>"P1 "&amp;A35&amp;" Catchment Population (Actual)"</f>
        <v>P1 ND Catchment Population (Actual)</v>
      </c>
      <c r="C170" s="102" t="e">
        <v>#REF!</v>
      </c>
      <c r="D170" s="102">
        <v>40</v>
      </c>
      <c r="E170" s="102">
        <v>38</v>
      </c>
      <c r="F170" s="102">
        <v>51</v>
      </c>
      <c r="G170" s="102">
        <v>53</v>
      </c>
      <c r="H170" s="102">
        <v>63</v>
      </c>
      <c r="I170" s="102">
        <v>54</v>
      </c>
      <c r="J170" s="308">
        <f>VLOOKUP(E3,'Catchment Projections'!A1:BU92,42,FALSE)</f>
        <v>58</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54</v>
      </c>
      <c r="J172" s="96" t="e">
        <f>#REF!</f>
        <v>#REF!</v>
      </c>
      <c r="K172" s="96">
        <f>D51</f>
        <v>54</v>
      </c>
      <c r="L172" s="96">
        <f>E51</f>
        <v>63</v>
      </c>
      <c r="M172" s="96">
        <f>F51</f>
        <v>49</v>
      </c>
      <c r="N172" s="96">
        <f>G51</f>
        <v>43</v>
      </c>
    </row>
    <row r="173" spans="2:14" ht="12.75">
      <c r="B173" s="62"/>
      <c r="C173" s="62"/>
      <c r="D173" s="62"/>
      <c r="E173" s="62"/>
      <c r="F173" s="62"/>
      <c r="G173" s="62"/>
      <c r="H173" s="62"/>
      <c r="I173" s="62"/>
      <c r="J173" s="62"/>
      <c r="K173" s="62"/>
    </row>
    <row r="174" spans="2:14" ht="15" customHeight="1">
      <c r="B174" s="64" t="str">
        <f>"Table 5: "&amp;E3&amp;" Roll by Stage, 2002-2018"</f>
        <v>Table 5: Ferryhill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35</v>
      </c>
      <c r="D177" s="93">
        <v>46</v>
      </c>
      <c r="E177" s="93">
        <v>34</v>
      </c>
      <c r="F177" s="93">
        <v>47</v>
      </c>
      <c r="G177" s="93">
        <v>40</v>
      </c>
      <c r="H177" s="93">
        <v>40</v>
      </c>
      <c r="I177" s="93">
        <v>31</v>
      </c>
      <c r="J177" s="92">
        <v>273</v>
      </c>
      <c r="K177" s="62"/>
    </row>
    <row r="178" spans="2:11" ht="15" customHeight="1">
      <c r="B178" s="94">
        <v>2003</v>
      </c>
      <c r="C178" s="93">
        <v>46</v>
      </c>
      <c r="D178" s="93">
        <v>32</v>
      </c>
      <c r="E178" s="93">
        <v>48</v>
      </c>
      <c r="F178" s="93">
        <v>31</v>
      </c>
      <c r="G178" s="93">
        <v>46</v>
      </c>
      <c r="H178" s="93">
        <v>35</v>
      </c>
      <c r="I178" s="93">
        <v>43</v>
      </c>
      <c r="J178" s="92">
        <v>281</v>
      </c>
      <c r="K178" s="62"/>
    </row>
    <row r="179" spans="2:11" customFormat="1" ht="15" customHeight="1">
      <c r="B179" s="94">
        <v>2004</v>
      </c>
      <c r="C179" s="95">
        <v>40</v>
      </c>
      <c r="D179" s="95">
        <v>46</v>
      </c>
      <c r="E179" s="95">
        <v>33</v>
      </c>
      <c r="F179" s="95">
        <v>50</v>
      </c>
      <c r="G179" s="95">
        <v>30</v>
      </c>
      <c r="H179" s="95">
        <v>48</v>
      </c>
      <c r="I179" s="95">
        <v>37</v>
      </c>
      <c r="J179" s="92">
        <v>284</v>
      </c>
      <c r="K179" s="62"/>
    </row>
    <row r="180" spans="2:11" customFormat="1" ht="15" customHeight="1">
      <c r="B180" s="94">
        <v>2005</v>
      </c>
      <c r="C180" s="93">
        <v>47</v>
      </c>
      <c r="D180" s="93">
        <v>38</v>
      </c>
      <c r="E180" s="93">
        <v>46</v>
      </c>
      <c r="F180" s="93">
        <v>31</v>
      </c>
      <c r="G180" s="93">
        <v>53</v>
      </c>
      <c r="H180" s="93">
        <v>30</v>
      </c>
      <c r="I180" s="93">
        <v>45</v>
      </c>
      <c r="J180" s="92">
        <v>290</v>
      </c>
      <c r="K180" s="62"/>
    </row>
    <row r="181" spans="2:11" customFormat="1" ht="15" customHeight="1">
      <c r="B181" s="94">
        <v>2006</v>
      </c>
      <c r="C181" s="93">
        <v>43</v>
      </c>
      <c r="D181" s="93">
        <v>47</v>
      </c>
      <c r="E181" s="93">
        <v>39</v>
      </c>
      <c r="F181" s="93">
        <v>42</v>
      </c>
      <c r="G181" s="93">
        <v>33</v>
      </c>
      <c r="H181" s="93">
        <v>53</v>
      </c>
      <c r="I181" s="93">
        <v>31</v>
      </c>
      <c r="J181" s="92">
        <v>288</v>
      </c>
      <c r="K181" s="62"/>
    </row>
    <row r="182" spans="2:11" customFormat="1" ht="15" customHeight="1">
      <c r="B182" s="94">
        <v>2007</v>
      </c>
      <c r="C182" s="93">
        <v>48</v>
      </c>
      <c r="D182" s="93">
        <v>47</v>
      </c>
      <c r="E182" s="93">
        <v>44</v>
      </c>
      <c r="F182" s="93">
        <v>38</v>
      </c>
      <c r="G182" s="93">
        <v>39</v>
      </c>
      <c r="H182" s="93">
        <v>32</v>
      </c>
      <c r="I182" s="93">
        <v>48</v>
      </c>
      <c r="J182" s="92">
        <v>296</v>
      </c>
      <c r="K182" s="62"/>
    </row>
    <row r="183" spans="2:11" customFormat="1" ht="15" customHeight="1">
      <c r="B183" s="94">
        <v>2008</v>
      </c>
      <c r="C183" s="93">
        <v>50</v>
      </c>
      <c r="D183" s="93">
        <v>47</v>
      </c>
      <c r="E183" s="93">
        <v>47</v>
      </c>
      <c r="F183" s="93">
        <v>46</v>
      </c>
      <c r="G183" s="93">
        <v>39</v>
      </c>
      <c r="H183" s="93">
        <v>43</v>
      </c>
      <c r="I183" s="93">
        <v>31</v>
      </c>
      <c r="J183" s="92">
        <v>303</v>
      </c>
      <c r="K183" s="62"/>
    </row>
    <row r="184" spans="2:11" customFormat="1" ht="15" customHeight="1">
      <c r="B184" s="94">
        <v>2009</v>
      </c>
      <c r="C184" s="93">
        <v>31</v>
      </c>
      <c r="D184" s="93">
        <v>47</v>
      </c>
      <c r="E184" s="93">
        <v>51</v>
      </c>
      <c r="F184" s="93">
        <v>45</v>
      </c>
      <c r="G184" s="93">
        <v>49</v>
      </c>
      <c r="H184" s="93">
        <v>41</v>
      </c>
      <c r="I184" s="93">
        <v>38</v>
      </c>
      <c r="J184" s="94">
        <v>302</v>
      </c>
      <c r="K184" s="62"/>
    </row>
    <row r="185" spans="2:11" customFormat="1" ht="15" customHeight="1">
      <c r="B185" s="94">
        <v>2010</v>
      </c>
      <c r="C185" s="93">
        <v>40</v>
      </c>
      <c r="D185" s="93">
        <v>30</v>
      </c>
      <c r="E185" s="93">
        <v>49</v>
      </c>
      <c r="F185" s="93">
        <v>55</v>
      </c>
      <c r="G185" s="93">
        <v>44</v>
      </c>
      <c r="H185" s="93">
        <v>51</v>
      </c>
      <c r="I185" s="93">
        <v>37</v>
      </c>
      <c r="J185" s="92">
        <v>306</v>
      </c>
      <c r="K185" s="62"/>
    </row>
    <row r="186" spans="2:11" customFormat="1" ht="15" customHeight="1">
      <c r="B186" s="94">
        <v>2011</v>
      </c>
      <c r="C186" s="93">
        <v>39</v>
      </c>
      <c r="D186" s="93">
        <v>41</v>
      </c>
      <c r="E186" s="93">
        <v>27</v>
      </c>
      <c r="F186" s="93">
        <v>46</v>
      </c>
      <c r="G186" s="93">
        <v>53</v>
      </c>
      <c r="H186" s="93">
        <v>43</v>
      </c>
      <c r="I186" s="93">
        <v>48</v>
      </c>
      <c r="J186" s="92">
        <v>297</v>
      </c>
      <c r="K186" s="62"/>
    </row>
    <row r="187" spans="2:11" customFormat="1" ht="15" customHeight="1">
      <c r="B187" s="94">
        <v>2012</v>
      </c>
      <c r="C187" s="93">
        <v>45</v>
      </c>
      <c r="D187" s="93">
        <v>38</v>
      </c>
      <c r="E187" s="93">
        <v>41</v>
      </c>
      <c r="F187" s="93">
        <v>26</v>
      </c>
      <c r="G187" s="93">
        <v>42</v>
      </c>
      <c r="H187" s="93">
        <v>51</v>
      </c>
      <c r="I187" s="93">
        <v>38</v>
      </c>
      <c r="J187" s="92">
        <v>281</v>
      </c>
      <c r="K187" s="62"/>
    </row>
    <row r="188" spans="2:11" customFormat="1" ht="15" customHeight="1">
      <c r="B188" s="94">
        <v>2013</v>
      </c>
      <c r="C188" s="93">
        <v>56</v>
      </c>
      <c r="D188" s="93">
        <v>46</v>
      </c>
      <c r="E188" s="93">
        <v>34</v>
      </c>
      <c r="F188" s="93">
        <v>43</v>
      </c>
      <c r="G188" s="93">
        <v>29</v>
      </c>
      <c r="H188" s="93">
        <v>40</v>
      </c>
      <c r="I188" s="93">
        <v>55</v>
      </c>
      <c r="J188" s="94">
        <v>303</v>
      </c>
      <c r="K188" s="62"/>
    </row>
    <row r="189" spans="2:11" customFormat="1" ht="15" customHeight="1">
      <c r="B189" s="94">
        <v>2014</v>
      </c>
      <c r="C189" s="93">
        <v>52</v>
      </c>
      <c r="D189" s="93">
        <v>56</v>
      </c>
      <c r="E189" s="93">
        <v>45</v>
      </c>
      <c r="F189" s="93">
        <v>35</v>
      </c>
      <c r="G189" s="93">
        <v>42</v>
      </c>
      <c r="H189" s="93">
        <v>28</v>
      </c>
      <c r="I189" s="93">
        <v>41</v>
      </c>
      <c r="J189" s="92">
        <v>299</v>
      </c>
      <c r="K189" s="65"/>
    </row>
    <row r="190" spans="2:11" customFormat="1" ht="15" customHeight="1">
      <c r="B190" s="94">
        <v>2015</v>
      </c>
      <c r="C190" s="93">
        <v>52</v>
      </c>
      <c r="D190" s="93">
        <v>52</v>
      </c>
      <c r="E190" s="93">
        <v>58</v>
      </c>
      <c r="F190" s="93">
        <v>47</v>
      </c>
      <c r="G190" s="93">
        <v>36</v>
      </c>
      <c r="H190" s="93">
        <v>44</v>
      </c>
      <c r="I190" s="93">
        <v>29</v>
      </c>
      <c r="J190" s="92">
        <v>318</v>
      </c>
      <c r="K190" s="65"/>
    </row>
    <row r="191" spans="2:11" customFormat="1" ht="15" customHeight="1">
      <c r="B191" s="94">
        <v>2016</v>
      </c>
      <c r="C191" s="93">
        <v>50</v>
      </c>
      <c r="D191" s="93">
        <v>50</v>
      </c>
      <c r="E191" s="93">
        <v>50</v>
      </c>
      <c r="F191" s="93">
        <v>53</v>
      </c>
      <c r="G191" s="93">
        <v>48</v>
      </c>
      <c r="H191" s="93">
        <v>35</v>
      </c>
      <c r="I191" s="93">
        <v>44</v>
      </c>
      <c r="J191" s="92">
        <v>330</v>
      </c>
      <c r="K191" s="65"/>
    </row>
    <row r="192" spans="2:11" ht="15" customHeight="1">
      <c r="B192" s="94">
        <v>2017</v>
      </c>
      <c r="C192" s="93">
        <f>VLOOKUP($E$3,Rolls!A1:FA90,42,FALSE)</f>
        <v>57</v>
      </c>
      <c r="D192" s="93">
        <f>VLOOKUP($E$3,Rolls!A1:FA90,43,FALSE)</f>
        <v>55</v>
      </c>
      <c r="E192" s="93">
        <f>VLOOKUP($E$3,Rolls!A1:FA90,44,FALSE)</f>
        <v>52</v>
      </c>
      <c r="F192" s="93">
        <f>VLOOKUP($E$3,Rolls!A1:FA90,45,FALSE)</f>
        <v>54</v>
      </c>
      <c r="G192" s="93">
        <f>VLOOKUP($E$3,Rolls!A1:FA90,46,FALSE)</f>
        <v>54</v>
      </c>
      <c r="H192" s="93">
        <f>VLOOKUP($E$3,Rolls!A1:FA90,47,FALSE)</f>
        <v>48</v>
      </c>
      <c r="I192" s="93">
        <f>VLOOKUP($E$3,Rolls!A1:FA90,48,FALSE)</f>
        <v>35</v>
      </c>
      <c r="J192" s="92">
        <f>VLOOKUP($E$3,Rolls!A1:FA90,49,FALSE)</f>
        <v>355</v>
      </c>
      <c r="K192" s="65"/>
    </row>
    <row r="193" spans="2:11" ht="15" customHeight="1">
      <c r="B193" s="94">
        <v>2018</v>
      </c>
      <c r="C193" s="93">
        <f>VLOOKUP($E$3,Rolls!A1:FA90,50,FALSE)</f>
        <v>49</v>
      </c>
      <c r="D193" s="93">
        <f>VLOOKUP($E$3,Rolls!A1:FA90,51,FALSE)</f>
        <v>57</v>
      </c>
      <c r="E193" s="93">
        <f>VLOOKUP($E$3,Rolls!A1:FA90,52,FALSE)</f>
        <v>56</v>
      </c>
      <c r="F193" s="93">
        <f>VLOOKUP($E$3,Rolls!A1:FA90,53,FALSE)</f>
        <v>47</v>
      </c>
      <c r="G193" s="93">
        <f>VLOOKUP($E$3,Rolls!A1:FA90,54,FALSE)</f>
        <v>51</v>
      </c>
      <c r="H193" s="93">
        <f>VLOOKUP($E$3,Rolls!A1:FA90,55,FALSE)</f>
        <v>55</v>
      </c>
      <c r="I193" s="93">
        <f>VLOOKUP($E$3,Rolls!A1:FA90,56,FALSE)</f>
        <v>46</v>
      </c>
      <c r="J193" s="92">
        <f>VLOOKUP($E$3,Rolls!A1:FA90,57,FALSE)</f>
        <v>361</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Q193"/>
  <sheetViews>
    <sheetView topLeftCell="B39" zoomScaleNormal="100" workbookViewId="0">
      <selection activeCell="H64"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78</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Flora Stevenson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630 Pupils (21 classes)</v>
      </c>
      <c r="G12" s="16"/>
      <c r="H12" s="16"/>
    </row>
    <row r="13" spans="2:10" ht="15" customHeight="1">
      <c r="C13" s="16"/>
      <c r="D13" s="16"/>
      <c r="E13" s="16"/>
      <c r="F13" s="16"/>
      <c r="G13" s="16"/>
      <c r="H13" s="16"/>
    </row>
    <row r="14" spans="2:10" ht="15" customHeight="1">
      <c r="B14" s="15" t="str">
        <f>"Figure 1: "&amp;E3&amp;" Roll, 2002-2015"</f>
        <v>Figure 1: Flora Stevenson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Flora Stevenson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79</v>
      </c>
      <c r="E49" s="108">
        <f>VLOOKUP($E$3,'Catchment Projections'!$A$1:$BU$90,46,FALSE)</f>
        <v>79</v>
      </c>
      <c r="F49" s="108">
        <f>VLOOKUP($E$3,'Catchment Projections'!$A$1:$BU$90,47,FALSE)</f>
        <v>71</v>
      </c>
      <c r="G49" s="108">
        <f>VLOOKUP($E$3,'Catchment Projections'!$A$1:$BU$90,48,FALSE)</f>
        <v>73</v>
      </c>
      <c r="H49" s="133">
        <f>VLOOKUP($E$3,'Catchment Projections'!$A$1:$BU$90,49,FALSE)</f>
        <v>76</v>
      </c>
      <c r="I49" s="133">
        <f>VLOOKUP($E$3,'Catchment Projections'!$A$1:$BU$90,50,FALSE)</f>
        <v>77</v>
      </c>
      <c r="J49" s="133">
        <f>VLOOKUP($E$3,'Catchment Projections'!$A$1:$BU$90,51,FALSE)</f>
        <v>78</v>
      </c>
      <c r="K49" s="133">
        <f>VLOOKUP($E$3,'Catchment Projections'!$A$1:$BU$90,52,FALSE)</f>
        <v>78</v>
      </c>
      <c r="L49" s="133">
        <f>VLOOKUP($E$3,'Catchment Projections'!$A$1:$BU$90,53,FALSE)</f>
        <v>79</v>
      </c>
      <c r="M49" s="133">
        <f>VLOOKUP($E$3,'Catchment Projections'!$A$1:$BU$90,54,FALSE)</f>
        <v>79</v>
      </c>
      <c r="N49" s="133">
        <f>VLOOKUP($E$3,'Catchment Projections'!$A$1:$BU$90,55,FALSE)</f>
        <v>80</v>
      </c>
      <c r="O49" s="133">
        <f>VLOOKUP($E$3,'Catchment Projections'!$A$1:$BU$90,56,FALSE)</f>
        <v>80</v>
      </c>
      <c r="P49" s="133">
        <f>VLOOKUP($E$3,'Catchment Projections'!$A$1:$BU$90,57,FALSE)</f>
        <v>80</v>
      </c>
      <c r="Q49" s="133">
        <f>VLOOKUP($E$3,'Catchment Projections'!$A$1:$BU$90,58,FALSE)</f>
        <v>80</v>
      </c>
    </row>
    <row r="50" spans="2:17" ht="15" customHeight="1" thickBot="1">
      <c r="B50" s="410" t="s">
        <v>141</v>
      </c>
      <c r="C50" s="411"/>
      <c r="D50" s="286">
        <f>VLOOKUP(E3,'Housing Generation'!$A$3:$DQ$90,10,FALSE)</f>
        <v>0</v>
      </c>
      <c r="E50" s="286">
        <f>VLOOKUP(E3,'Housing Generation'!$A$3:$DQ$90,18,FALSE)</f>
        <v>0</v>
      </c>
      <c r="F50" s="286">
        <f>VLOOKUP(E3,'Housing Generation'!$A$3:$DQ$90,26,FALSE)</f>
        <v>1</v>
      </c>
      <c r="G50" s="243">
        <f>VLOOKUP(E3,'Housing Generation'!$A$3:$DQ$90,34,FALSE)</f>
        <v>1</v>
      </c>
      <c r="H50" s="133">
        <f>VLOOKUP(E3,'Housing Generation'!$A$3:$DQ$90,42,FALSE)</f>
        <v>1</v>
      </c>
      <c r="I50" s="133">
        <f>VLOOKUP(E3,'Housing Generation'!$A$3:$DQ$90,50,FALSE)</f>
        <v>1</v>
      </c>
      <c r="J50" s="133">
        <f>VLOOKUP(E3,'Housing Generation'!$A$3:$CK$90,58,FALSE)</f>
        <v>2</v>
      </c>
      <c r="K50" s="133">
        <f>VLOOKUP(E3,'Housing Generation'!$A$3:$CK$90,66,FALSE)</f>
        <v>2</v>
      </c>
      <c r="L50" s="133">
        <f>VLOOKUP(E3,'Housing Generation'!$A$3:$DQ$90,74,FALSE)</f>
        <v>3</v>
      </c>
      <c r="M50" s="133">
        <f>VLOOKUP(E3,'Housing Generation'!$A$3:$DQ$90,82,FALSE)</f>
        <v>4</v>
      </c>
      <c r="N50" s="133">
        <f>VLOOKUP(E3,'Housing Generation'!$A$3:$DQ$90,90,FALSE)</f>
        <v>4</v>
      </c>
      <c r="O50" s="133">
        <f>VLOOKUP(E3,'Housing Generation'!$A$3:$DQ$90,98,FALSE)</f>
        <v>4</v>
      </c>
      <c r="P50" s="133">
        <f>VLOOKUP(E3,'Housing Generation'!$A$3:$DQ$90,106,FALSE)</f>
        <v>4</v>
      </c>
      <c r="Q50" s="133">
        <f>VLOOKUP(E3,'Housing Generation'!$A$3:$DQ$90,114,FALSE)</f>
        <v>4</v>
      </c>
    </row>
    <row r="51" spans="2:17" ht="15" customHeight="1" thickTop="1">
      <c r="B51" s="421" t="s">
        <v>130</v>
      </c>
      <c r="C51" s="422"/>
      <c r="D51" s="47">
        <f t="shared" ref="D51:Q51" si="0">SUM(D49:D50)</f>
        <v>79</v>
      </c>
      <c r="E51" s="47">
        <f t="shared" si="0"/>
        <v>79</v>
      </c>
      <c r="F51" s="80">
        <f t="shared" si="0"/>
        <v>72</v>
      </c>
      <c r="G51" s="244">
        <f t="shared" si="0"/>
        <v>74</v>
      </c>
      <c r="H51" s="71">
        <f t="shared" si="0"/>
        <v>77</v>
      </c>
      <c r="I51" s="71">
        <f t="shared" si="0"/>
        <v>78</v>
      </c>
      <c r="J51" s="71">
        <f t="shared" si="0"/>
        <v>80</v>
      </c>
      <c r="K51" s="71">
        <f t="shared" si="0"/>
        <v>80</v>
      </c>
      <c r="L51" s="71">
        <f t="shared" si="0"/>
        <v>82</v>
      </c>
      <c r="M51" s="71">
        <f t="shared" si="0"/>
        <v>83</v>
      </c>
      <c r="N51" s="71">
        <f t="shared" si="0"/>
        <v>84</v>
      </c>
      <c r="O51" s="71">
        <f t="shared" si="0"/>
        <v>84</v>
      </c>
      <c r="P51" s="71">
        <f t="shared" si="0"/>
        <v>84</v>
      </c>
      <c r="Q51" s="71">
        <f t="shared" si="0"/>
        <v>84</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84</v>
      </c>
      <c r="D60" s="358">
        <f>VLOOKUP($E$3,'Catchment Projections'!$A$1:$BZ$90,74,FALSE)</f>
        <v>78</v>
      </c>
      <c r="E60" s="303">
        <f>D60/C60</f>
        <v>0.9285714285714286</v>
      </c>
      <c r="G60" s="132">
        <v>2014</v>
      </c>
      <c r="H60" s="395">
        <f>VLOOKUP($G$60,$B$177:$C$215, 2, FALSE)</f>
        <v>90</v>
      </c>
      <c r="I60" s="120">
        <f>H60-D60</f>
        <v>12</v>
      </c>
      <c r="J60" s="121">
        <f>I60/H60</f>
        <v>0.13333333333333333</v>
      </c>
    </row>
    <row r="61" spans="2:17" ht="15" customHeight="1">
      <c r="B61" s="132">
        <v>2015</v>
      </c>
      <c r="C61" s="359">
        <f>VLOOKUP($E$3,'Catchment Projections'!$A$1:$BZ$90,41,FALSE)</f>
        <v>79</v>
      </c>
      <c r="D61" s="358">
        <f>VLOOKUP($E$3,'Catchment Projections'!$A$1:$BZ$90,75,FALSE)</f>
        <v>75</v>
      </c>
      <c r="E61" s="303">
        <f>D61/C61</f>
        <v>0.94936708860759489</v>
      </c>
      <c r="G61" s="132">
        <v>2015</v>
      </c>
      <c r="H61" s="395">
        <f>VLOOKUP($G$61,$B$177:$C$215, 2, FALSE)</f>
        <v>86</v>
      </c>
      <c r="I61" s="120">
        <f>H61-D61</f>
        <v>11</v>
      </c>
      <c r="J61" s="121">
        <f>I61/H61</f>
        <v>0.12790697674418605</v>
      </c>
    </row>
    <row r="62" spans="2:17" ht="15" customHeight="1">
      <c r="B62" s="131">
        <v>2016</v>
      </c>
      <c r="C62" s="359">
        <f>VLOOKUP($E$3,'Catchment Projections'!$A$1:$BZ$90,42,FALSE)</f>
        <v>82</v>
      </c>
      <c r="D62" s="358">
        <f>VLOOKUP($E$3,'Catchment Projections'!$A$1:$BZ$90,76,FALSE)</f>
        <v>80</v>
      </c>
      <c r="E62" s="57">
        <f>D62/C62</f>
        <v>0.97560975609756095</v>
      </c>
      <c r="G62" s="131">
        <v>2016</v>
      </c>
      <c r="H62" s="395">
        <f>VLOOKUP($G$62,$B$177:$C$215, 2, FALSE)</f>
        <v>87</v>
      </c>
      <c r="I62" s="120">
        <f>H62-D62</f>
        <v>7</v>
      </c>
      <c r="J62" s="121">
        <f>I62/H62</f>
        <v>8.0459770114942528E-2</v>
      </c>
    </row>
    <row r="63" spans="2:17" ht="15" customHeight="1">
      <c r="B63" s="114">
        <v>2017</v>
      </c>
      <c r="C63" s="359">
        <f>VLOOKUP($E$3,'Catchment Projections'!$A$1:$BZ$90,43,FALSE)</f>
        <v>74</v>
      </c>
      <c r="D63" s="358">
        <f>VLOOKUP($E$3,'Catchment Projections'!$A$1:$BZ$90,77,FALSE)</f>
        <v>73</v>
      </c>
      <c r="E63" s="304">
        <f>D63/C63</f>
        <v>0.98648648648648651</v>
      </c>
      <c r="G63" s="114">
        <v>2017</v>
      </c>
      <c r="H63" s="395">
        <f>VLOOKUP($G$63,$B$177:$C$215, 2, FALSE)</f>
        <v>85</v>
      </c>
      <c r="I63" s="120">
        <f>H63-D63</f>
        <v>12</v>
      </c>
      <c r="J63" s="121">
        <f>I63/H63</f>
        <v>0.14117647058823529</v>
      </c>
    </row>
    <row r="64" spans="2:17" ht="15" customHeight="1">
      <c r="B64" s="114">
        <v>2018</v>
      </c>
      <c r="C64" s="359">
        <f>VLOOKUP($E$3,'Catchment Projections'!$A$1:$BZ$90,44,FALSE)</f>
        <v>89</v>
      </c>
      <c r="D64" s="358">
        <f>VLOOKUP($E$3,'Catchment Projections'!$A$1:$BZ$90,78,FALSE)</f>
        <v>87</v>
      </c>
      <c r="E64" s="305">
        <f>D64/C64</f>
        <v>0.97752808988764039</v>
      </c>
      <c r="G64" s="114">
        <v>2018</v>
      </c>
      <c r="H64" s="395">
        <f>VLOOKUP($G$64,$B$177:$C$215, 2, FALSE)</f>
        <v>89</v>
      </c>
      <c r="I64" s="120">
        <f>H64-D64</f>
        <v>2</v>
      </c>
      <c r="J64" s="121">
        <f>I64/H64</f>
        <v>2.247191011235955E-2</v>
      </c>
    </row>
    <row r="65" spans="2:10" ht="15" customHeight="1">
      <c r="B65" s="412" t="s">
        <v>136</v>
      </c>
      <c r="C65" s="413"/>
      <c r="D65" s="414"/>
      <c r="E65" s="137">
        <f>IF((AVERAGE(E62:E64))="#DIV/0!","n/a",(AVERAGE(E62:E64)))</f>
        <v>0.97987477749056262</v>
      </c>
      <c r="G65" s="415" t="s">
        <v>137</v>
      </c>
      <c r="H65" s="416"/>
      <c r="I65" s="138">
        <f>MEDIAN(I60:I64)</f>
        <v>11</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79</v>
      </c>
      <c r="D70" s="408"/>
      <c r="E70" s="122">
        <f>E65</f>
        <v>0.97987477749056262</v>
      </c>
      <c r="F70" s="120">
        <f t="shared" ref="F70:F83" si="1">C70*$E$65</f>
        <v>77.410107421754446</v>
      </c>
      <c r="G70" s="118">
        <f>IF(F70&lt;26,25,IF(F70&gt;135,140,IF(F70&gt;130,135,IF(F70&gt;125,130,IF(F70&gt;120,125,IF(F70&gt;115,120,IF(F70&gt;110,115,IF(F70&gt;105,110,IF(F70&gt;100,105,IF(F70&gt;99,100,IF(F70&gt;90,99,IF(F70&gt;75,90,IF(F70&gt;72,75,IF(F70&gt;66,72,IF(F70&gt;60,66,IF(F70&gt;50,60,IF(F70&gt;30,50,IF(F70&gt;25,30,0))))))))))))))))))</f>
        <v>90</v>
      </c>
      <c r="H70" s="119">
        <f t="shared" ref="H70:H83" si="2">G70-F70</f>
        <v>12.589892578245554</v>
      </c>
      <c r="I70" s="118" t="str">
        <f>IF(I$65&lt;H70, "NO", "YES")</f>
        <v>NO</v>
      </c>
      <c r="J70" s="117">
        <f t="shared" ref="J70:J83" si="3">IF(I70="YES",G70,(MIN((SUM(F70,$I$65)),G70)))</f>
        <v>88.410107421754446</v>
      </c>
    </row>
    <row r="71" spans="2:10" ht="15" customHeight="1">
      <c r="B71" s="114">
        <v>2020</v>
      </c>
      <c r="C71" s="433">
        <f>E51</f>
        <v>79</v>
      </c>
      <c r="D71" s="408"/>
      <c r="E71" s="121">
        <f>E65</f>
        <v>0.97987477749056262</v>
      </c>
      <c r="F71" s="120">
        <f t="shared" si="1"/>
        <v>77.410107421754446</v>
      </c>
      <c r="G71" s="118">
        <f t="shared" ref="G71:G83" si="4">IF(F71&lt;26,25,IF(F71&gt;135,140,IF(F71&gt;130,135,IF(F71&gt;125,130,IF(F71&gt;120,125,IF(F71&gt;115,120,IF(F71&gt;110,115,IF(F71&gt;105,110,IF(F71&gt;100,105,IF(F71&gt;99,100,IF(F71&gt;90,99,IF(F71&gt;75,90,IF(F71&gt;72,75,IF(F71&gt;66,72,IF(F71&gt;60,66,IF(F71&gt;50,60,IF(F71&gt;30,50,IF(F71&gt;25,30,0))))))))))))))))))</f>
        <v>90</v>
      </c>
      <c r="H71" s="119">
        <f t="shared" si="2"/>
        <v>12.589892578245554</v>
      </c>
      <c r="I71" s="118" t="str">
        <f t="shared" ref="I71:I83" si="5">IF(I$65&lt;H71, "NO", "YES")</f>
        <v>NO</v>
      </c>
      <c r="J71" s="117">
        <f t="shared" si="3"/>
        <v>88.410107421754446</v>
      </c>
    </row>
    <row r="72" spans="2:10" ht="15" customHeight="1">
      <c r="B72" s="114">
        <v>2021</v>
      </c>
      <c r="C72" s="430">
        <f>F51</f>
        <v>72</v>
      </c>
      <c r="D72" s="431"/>
      <c r="E72" s="121">
        <f>E65</f>
        <v>0.97987477749056262</v>
      </c>
      <c r="F72" s="120">
        <f t="shared" si="1"/>
        <v>70.550983979320506</v>
      </c>
      <c r="G72" s="118">
        <f t="shared" si="4"/>
        <v>72</v>
      </c>
      <c r="H72" s="119">
        <f t="shared" si="2"/>
        <v>1.449016020679494</v>
      </c>
      <c r="I72" s="118" t="str">
        <f t="shared" si="5"/>
        <v>YES</v>
      </c>
      <c r="J72" s="117">
        <f t="shared" si="3"/>
        <v>72</v>
      </c>
    </row>
    <row r="73" spans="2:10" ht="15" customHeight="1">
      <c r="B73" s="114">
        <v>2022</v>
      </c>
      <c r="C73" s="430">
        <f>G51</f>
        <v>74</v>
      </c>
      <c r="D73" s="431"/>
      <c r="E73" s="121">
        <f>E65</f>
        <v>0.97987477749056262</v>
      </c>
      <c r="F73" s="120">
        <f t="shared" si="1"/>
        <v>72.510733534301636</v>
      </c>
      <c r="G73" s="118">
        <f t="shared" si="4"/>
        <v>75</v>
      </c>
      <c r="H73" s="119">
        <f t="shared" si="2"/>
        <v>2.4892664656983641</v>
      </c>
      <c r="I73" s="118" t="str">
        <f t="shared" si="5"/>
        <v>YES</v>
      </c>
      <c r="J73" s="117">
        <f t="shared" si="3"/>
        <v>75</v>
      </c>
    </row>
    <row r="74" spans="2:10" ht="15" customHeight="1">
      <c r="B74" s="114">
        <v>2023</v>
      </c>
      <c r="C74" s="430">
        <f>H51</f>
        <v>77</v>
      </c>
      <c r="D74" s="431"/>
      <c r="E74" s="121">
        <f>E65</f>
        <v>0.97987477749056262</v>
      </c>
      <c r="F74" s="120">
        <f t="shared" si="1"/>
        <v>75.450357866773317</v>
      </c>
      <c r="G74" s="118">
        <f t="shared" si="4"/>
        <v>90</v>
      </c>
      <c r="H74" s="119">
        <f t="shared" si="2"/>
        <v>14.549642133226683</v>
      </c>
      <c r="I74" s="118" t="str">
        <f t="shared" si="5"/>
        <v>NO</v>
      </c>
      <c r="J74" s="117">
        <f t="shared" si="3"/>
        <v>86.450357866773317</v>
      </c>
    </row>
    <row r="75" spans="2:10" ht="15" customHeight="1">
      <c r="B75" s="114">
        <v>2024</v>
      </c>
      <c r="C75" s="430">
        <f>I51</f>
        <v>78</v>
      </c>
      <c r="D75" s="431"/>
      <c r="E75" s="121">
        <f>E65</f>
        <v>0.97987477749056262</v>
      </c>
      <c r="F75" s="120">
        <f t="shared" si="1"/>
        <v>76.430232644263882</v>
      </c>
      <c r="G75" s="118">
        <f t="shared" si="4"/>
        <v>90</v>
      </c>
      <c r="H75" s="119">
        <f t="shared" si="2"/>
        <v>13.569767355736118</v>
      </c>
      <c r="I75" s="118" t="str">
        <f t="shared" si="5"/>
        <v>NO</v>
      </c>
      <c r="J75" s="117">
        <f t="shared" si="3"/>
        <v>87.430232644263882</v>
      </c>
    </row>
    <row r="76" spans="2:10" ht="15" customHeight="1">
      <c r="B76" s="114">
        <v>2025</v>
      </c>
      <c r="C76" s="430">
        <f>J51</f>
        <v>80</v>
      </c>
      <c r="D76" s="431"/>
      <c r="E76" s="121">
        <f>E65</f>
        <v>0.97987477749056262</v>
      </c>
      <c r="F76" s="120">
        <f t="shared" si="1"/>
        <v>78.389982199245011</v>
      </c>
      <c r="G76" s="118">
        <f t="shared" si="4"/>
        <v>90</v>
      </c>
      <c r="H76" s="119">
        <f t="shared" si="2"/>
        <v>11.610017800754989</v>
      </c>
      <c r="I76" s="118" t="str">
        <f t="shared" si="5"/>
        <v>NO</v>
      </c>
      <c r="J76" s="117">
        <f t="shared" si="3"/>
        <v>89.389982199245011</v>
      </c>
    </row>
    <row r="77" spans="2:10" ht="15" customHeight="1">
      <c r="B77" s="114">
        <v>2026</v>
      </c>
      <c r="C77" s="430">
        <f>K51</f>
        <v>80</v>
      </c>
      <c r="D77" s="431"/>
      <c r="E77" s="121">
        <f>E65</f>
        <v>0.97987477749056262</v>
      </c>
      <c r="F77" s="120">
        <f t="shared" si="1"/>
        <v>78.389982199245011</v>
      </c>
      <c r="G77" s="118">
        <f t="shared" si="4"/>
        <v>90</v>
      </c>
      <c r="H77" s="119">
        <f t="shared" si="2"/>
        <v>11.610017800754989</v>
      </c>
      <c r="I77" s="118" t="str">
        <f t="shared" si="5"/>
        <v>NO</v>
      </c>
      <c r="J77" s="117">
        <f t="shared" si="3"/>
        <v>89.389982199245011</v>
      </c>
    </row>
    <row r="78" spans="2:10" ht="15" customHeight="1">
      <c r="B78" s="114">
        <v>2027</v>
      </c>
      <c r="C78" s="430">
        <f>L51</f>
        <v>82</v>
      </c>
      <c r="D78" s="431"/>
      <c r="E78" s="121">
        <f>E65</f>
        <v>0.97987477749056262</v>
      </c>
      <c r="F78" s="120">
        <f t="shared" si="1"/>
        <v>80.349731754226141</v>
      </c>
      <c r="G78" s="118">
        <f t="shared" si="4"/>
        <v>90</v>
      </c>
      <c r="H78" s="119">
        <f t="shared" si="2"/>
        <v>9.6502682457738587</v>
      </c>
      <c r="I78" s="118" t="str">
        <f t="shared" si="5"/>
        <v>YES</v>
      </c>
      <c r="J78" s="117">
        <f t="shared" si="3"/>
        <v>90</v>
      </c>
    </row>
    <row r="79" spans="2:10" ht="15" customHeight="1">
      <c r="B79" s="114">
        <v>2028</v>
      </c>
      <c r="C79" s="430">
        <f>M51</f>
        <v>83</v>
      </c>
      <c r="D79" s="431"/>
      <c r="E79" s="121">
        <f t="shared" ref="E79:E83" si="6">$E$65</f>
        <v>0.97987477749056262</v>
      </c>
      <c r="F79" s="120">
        <f t="shared" si="1"/>
        <v>81.329606531716692</v>
      </c>
      <c r="G79" s="118">
        <f t="shared" si="4"/>
        <v>90</v>
      </c>
      <c r="H79" s="119">
        <f t="shared" si="2"/>
        <v>8.6703934682833079</v>
      </c>
      <c r="I79" s="118" t="str">
        <f t="shared" si="5"/>
        <v>YES</v>
      </c>
      <c r="J79" s="117">
        <f t="shared" si="3"/>
        <v>90</v>
      </c>
    </row>
    <row r="80" spans="2:10" ht="15" customHeight="1">
      <c r="B80" s="114">
        <v>2029</v>
      </c>
      <c r="C80" s="430">
        <f>N51</f>
        <v>84</v>
      </c>
      <c r="D80" s="431"/>
      <c r="E80" s="121">
        <f t="shared" si="6"/>
        <v>0.97987477749056262</v>
      </c>
      <c r="F80" s="120">
        <f t="shared" si="1"/>
        <v>82.309481309207257</v>
      </c>
      <c r="G80" s="118">
        <f t="shared" si="4"/>
        <v>90</v>
      </c>
      <c r="H80" s="119">
        <f t="shared" si="2"/>
        <v>7.690518690792743</v>
      </c>
      <c r="I80" s="118" t="str">
        <f t="shared" si="5"/>
        <v>YES</v>
      </c>
      <c r="J80" s="117">
        <f t="shared" si="3"/>
        <v>90</v>
      </c>
    </row>
    <row r="81" spans="2:10" ht="15" customHeight="1">
      <c r="B81" s="114">
        <v>2030</v>
      </c>
      <c r="C81" s="430">
        <f>O51</f>
        <v>84</v>
      </c>
      <c r="D81" s="431"/>
      <c r="E81" s="121">
        <f t="shared" si="6"/>
        <v>0.97987477749056262</v>
      </c>
      <c r="F81" s="120">
        <f t="shared" si="1"/>
        <v>82.309481309207257</v>
      </c>
      <c r="G81" s="118">
        <f t="shared" si="4"/>
        <v>90</v>
      </c>
      <c r="H81" s="119">
        <f t="shared" si="2"/>
        <v>7.690518690792743</v>
      </c>
      <c r="I81" s="118" t="str">
        <f t="shared" si="5"/>
        <v>YES</v>
      </c>
      <c r="J81" s="117">
        <f t="shared" si="3"/>
        <v>90</v>
      </c>
    </row>
    <row r="82" spans="2:10" ht="15" customHeight="1">
      <c r="B82" s="114">
        <v>2031</v>
      </c>
      <c r="C82" s="430">
        <f>P51</f>
        <v>84</v>
      </c>
      <c r="D82" s="431"/>
      <c r="E82" s="121">
        <f t="shared" si="6"/>
        <v>0.97987477749056262</v>
      </c>
      <c r="F82" s="120">
        <f t="shared" si="1"/>
        <v>82.309481309207257</v>
      </c>
      <c r="G82" s="118">
        <f t="shared" si="4"/>
        <v>90</v>
      </c>
      <c r="H82" s="119">
        <f t="shared" si="2"/>
        <v>7.690518690792743</v>
      </c>
      <c r="I82" s="118" t="str">
        <f t="shared" si="5"/>
        <v>YES</v>
      </c>
      <c r="J82" s="117">
        <f t="shared" si="3"/>
        <v>90</v>
      </c>
    </row>
    <row r="83" spans="2:10" ht="15" customHeight="1">
      <c r="B83" s="114">
        <v>2032</v>
      </c>
      <c r="C83" s="430">
        <f>Q51</f>
        <v>84</v>
      </c>
      <c r="D83" s="431"/>
      <c r="E83" s="121">
        <f t="shared" si="6"/>
        <v>0.97987477749056262</v>
      </c>
      <c r="F83" s="120">
        <f t="shared" si="1"/>
        <v>82.309481309207257</v>
      </c>
      <c r="G83" s="118">
        <f t="shared" si="4"/>
        <v>90</v>
      </c>
      <c r="H83" s="119">
        <f t="shared" si="2"/>
        <v>7.690518690792743</v>
      </c>
      <c r="I83" s="118" t="str">
        <f t="shared" si="5"/>
        <v>YES</v>
      </c>
      <c r="J83" s="117">
        <f t="shared" si="3"/>
        <v>90</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Flora Stevenson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81</v>
      </c>
      <c r="D91" s="112">
        <f t="shared" ref="D91:J91" si="7">D188</f>
        <v>77</v>
      </c>
      <c r="E91" s="112">
        <f t="shared" si="7"/>
        <v>88</v>
      </c>
      <c r="F91" s="112">
        <f t="shared" si="7"/>
        <v>67</v>
      </c>
      <c r="G91" s="112">
        <f t="shared" si="7"/>
        <v>75</v>
      </c>
      <c r="H91" s="112">
        <f t="shared" si="7"/>
        <v>59</v>
      </c>
      <c r="I91" s="112">
        <f t="shared" si="7"/>
        <v>54</v>
      </c>
      <c r="J91" s="213">
        <f t="shared" si="7"/>
        <v>501</v>
      </c>
    </row>
    <row r="92" spans="2:10" ht="15" customHeight="1">
      <c r="B92" s="114">
        <v>2014</v>
      </c>
      <c r="C92" s="112">
        <f>C189</f>
        <v>90</v>
      </c>
      <c r="D92" s="112">
        <f t="shared" ref="D92:J92" si="8">D189</f>
        <v>76</v>
      </c>
      <c r="E92" s="112">
        <f t="shared" si="8"/>
        <v>73</v>
      </c>
      <c r="F92" s="112">
        <f t="shared" si="8"/>
        <v>90</v>
      </c>
      <c r="G92" s="112">
        <f t="shared" si="8"/>
        <v>63</v>
      </c>
      <c r="H92" s="112">
        <f t="shared" si="8"/>
        <v>67</v>
      </c>
      <c r="I92" s="112">
        <f t="shared" si="8"/>
        <v>58</v>
      </c>
      <c r="J92" s="213">
        <f t="shared" si="8"/>
        <v>517</v>
      </c>
    </row>
    <row r="93" spans="2:10" ht="15" customHeight="1">
      <c r="B93" s="114">
        <v>2015</v>
      </c>
      <c r="C93" s="112">
        <f>C190</f>
        <v>86</v>
      </c>
      <c r="D93" s="112">
        <f t="shared" ref="D93:J93" si="9">D190</f>
        <v>85</v>
      </c>
      <c r="E93" s="112">
        <f t="shared" si="9"/>
        <v>73</v>
      </c>
      <c r="F93" s="112">
        <f t="shared" si="9"/>
        <v>74</v>
      </c>
      <c r="G93" s="112">
        <f t="shared" si="9"/>
        <v>88</v>
      </c>
      <c r="H93" s="112">
        <f t="shared" si="9"/>
        <v>58</v>
      </c>
      <c r="I93" s="112">
        <f t="shared" si="9"/>
        <v>73</v>
      </c>
      <c r="J93" s="213">
        <f t="shared" si="9"/>
        <v>537</v>
      </c>
    </row>
    <row r="94" spans="2:10" ht="15" customHeight="1">
      <c r="B94" s="114">
        <v>2016</v>
      </c>
      <c r="C94" s="112">
        <f>C191</f>
        <v>87</v>
      </c>
      <c r="D94" s="112">
        <f t="shared" ref="D94:J94" si="10">D191</f>
        <v>78</v>
      </c>
      <c r="E94" s="112">
        <f t="shared" si="10"/>
        <v>87</v>
      </c>
      <c r="F94" s="112">
        <f t="shared" si="10"/>
        <v>76</v>
      </c>
      <c r="G94" s="112">
        <f t="shared" si="10"/>
        <v>83</v>
      </c>
      <c r="H94" s="112">
        <f t="shared" si="10"/>
        <v>88</v>
      </c>
      <c r="I94" s="112">
        <f t="shared" si="10"/>
        <v>60</v>
      </c>
      <c r="J94" s="213">
        <f t="shared" si="10"/>
        <v>559</v>
      </c>
    </row>
    <row r="95" spans="2:10" ht="15" customHeight="1">
      <c r="B95" s="114">
        <v>2017</v>
      </c>
      <c r="C95" s="112">
        <f>C192</f>
        <v>85</v>
      </c>
      <c r="D95" s="112">
        <f t="shared" ref="D95:J95" si="11">D192</f>
        <v>90</v>
      </c>
      <c r="E95" s="112">
        <f t="shared" si="11"/>
        <v>86</v>
      </c>
      <c r="F95" s="112">
        <f t="shared" si="11"/>
        <v>92</v>
      </c>
      <c r="G95" s="112">
        <f t="shared" si="11"/>
        <v>82</v>
      </c>
      <c r="H95" s="112">
        <f t="shared" si="11"/>
        <v>84</v>
      </c>
      <c r="I95" s="112">
        <f t="shared" si="11"/>
        <v>88</v>
      </c>
      <c r="J95" s="213">
        <f t="shared" si="11"/>
        <v>607</v>
      </c>
    </row>
    <row r="96" spans="2:10" ht="15" customHeight="1">
      <c r="B96" s="307">
        <v>2018</v>
      </c>
      <c r="C96" s="112">
        <f t="shared" ref="C96:J96" si="12">C193</f>
        <v>89</v>
      </c>
      <c r="D96" s="112">
        <f t="shared" si="12"/>
        <v>80</v>
      </c>
      <c r="E96" s="112">
        <f t="shared" si="12"/>
        <v>90</v>
      </c>
      <c r="F96" s="112">
        <f t="shared" si="12"/>
        <v>85</v>
      </c>
      <c r="G96" s="112">
        <f t="shared" si="12"/>
        <v>93</v>
      </c>
      <c r="H96" s="112">
        <f t="shared" si="12"/>
        <v>74</v>
      </c>
      <c r="I96" s="112">
        <f t="shared" si="12"/>
        <v>86</v>
      </c>
      <c r="J96" s="213">
        <f t="shared" si="12"/>
        <v>597</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5.8823529411764705E-2</v>
      </c>
      <c r="E98" s="210">
        <f t="shared" ref="E98:I98" si="13">MEDIAN(((D91-E92)/D91),((D92-E93)/D92),((D93-E94)/D93),((D94-E95)/D94),((D95-E96)/D95))</f>
        <v>0</v>
      </c>
      <c r="F98" s="210">
        <f t="shared" si="13"/>
        <v>-2.2727272727272728E-2</v>
      </c>
      <c r="G98" s="210">
        <f t="shared" si="13"/>
        <v>-1.0869565217391304E-2</v>
      </c>
      <c r="H98" s="210">
        <f t="shared" si="13"/>
        <v>7.9365079365079361E-2</v>
      </c>
      <c r="I98" s="210">
        <f t="shared" si="13"/>
        <v>-2.3809523809523808E-2</v>
      </c>
    </row>
    <row r="99" spans="2:10" ht="18.75">
      <c r="B99" s="59"/>
      <c r="C99" s="60"/>
      <c r="D99" s="61"/>
      <c r="E99" s="61"/>
      <c r="F99" s="61"/>
      <c r="G99" s="61"/>
      <c r="H99" s="61"/>
      <c r="I99" s="61"/>
      <c r="J99" s="58"/>
    </row>
    <row r="100" spans="2:10">
      <c r="B100" s="15" t="str">
        <f>"Table 4B: "&amp;E3&amp;" Projected Roll by Stage (incorporating Projected P1 and Drop-Off Rates), 2019-2032"</f>
        <v>Table 4B: Flora Stevenson Primary School Projected Roll by Stage (incorporating Projected P1 and Drop-Off Rates), 2019-2032</v>
      </c>
      <c r="F100" s="14"/>
      <c r="G100" s="14"/>
    </row>
    <row r="101" spans="2:10" ht="12.75">
      <c r="F101" s="14"/>
      <c r="G101" s="14"/>
    </row>
    <row r="102" spans="2:10">
      <c r="B102" s="115"/>
      <c r="C102" s="109" t="s">
        <v>1</v>
      </c>
      <c r="D102" s="109" t="s">
        <v>2</v>
      </c>
      <c r="E102" s="109" t="s">
        <v>3</v>
      </c>
      <c r="F102" s="109" t="s">
        <v>4</v>
      </c>
      <c r="G102" s="109" t="s">
        <v>5</v>
      </c>
      <c r="H102" s="109" t="s">
        <v>6</v>
      </c>
      <c r="I102" s="109" t="s">
        <v>7</v>
      </c>
      <c r="J102" s="109" t="s">
        <v>8</v>
      </c>
    </row>
    <row r="103" spans="2:10">
      <c r="B103" s="114">
        <v>2019</v>
      </c>
      <c r="C103" s="113">
        <f t="shared" ref="C103:C116" si="14">J70</f>
        <v>88.410107421754446</v>
      </c>
      <c r="D103" s="324">
        <f>ROUND((C96)-(C96*$D$98),0)</f>
        <v>84</v>
      </c>
      <c r="E103" s="324">
        <f>ROUND((D96)-(D96*$E$98),0)</f>
        <v>80</v>
      </c>
      <c r="F103" s="324">
        <f>ROUND((E96)-(E96*$F$98),0)</f>
        <v>92</v>
      </c>
      <c r="G103" s="324">
        <f>ROUND((F96)-(F96*$G$98),0)</f>
        <v>86</v>
      </c>
      <c r="H103" s="324">
        <f>ROUND((G96)-(G96*$H$98),0)</f>
        <v>86</v>
      </c>
      <c r="I103" s="324">
        <f>ROUND((H96)-(H96*$I$98),0)</f>
        <v>76</v>
      </c>
      <c r="J103" s="111">
        <f t="shared" ref="J103:J116" si="15">SUM(C103:I103)</f>
        <v>592.41010742175445</v>
      </c>
    </row>
    <row r="104" spans="2:10">
      <c r="B104" s="114">
        <v>2020</v>
      </c>
      <c r="C104" s="113">
        <f t="shared" si="14"/>
        <v>88.410107421754446</v>
      </c>
      <c r="D104" s="324">
        <f>ROUND((C103-E50)-(C103*$D$98),0)</f>
        <v>83</v>
      </c>
      <c r="E104" s="112">
        <f t="shared" ref="E104:E116" si="16">ROUND((D103)-(D103*$E$98),0)</f>
        <v>84</v>
      </c>
      <c r="F104" s="112">
        <f t="shared" ref="F104:F116" si="17">ROUND((E103)-(E103*$F$98),0)</f>
        <v>82</v>
      </c>
      <c r="G104" s="112">
        <f t="shared" ref="G104:G116" si="18">ROUND((F103)-(F103*$G$98),0)</f>
        <v>93</v>
      </c>
      <c r="H104" s="112">
        <f t="shared" ref="H104:H116" si="19">ROUND((G103)-(G103*$H$98),0)</f>
        <v>79</v>
      </c>
      <c r="I104" s="112">
        <f t="shared" ref="I104:I116" si="20">ROUND((H103)-(H103*$I$98),0)</f>
        <v>88</v>
      </c>
      <c r="J104" s="111">
        <f t="shared" si="15"/>
        <v>597.41010742175445</v>
      </c>
    </row>
    <row r="105" spans="2:10">
      <c r="B105" s="114">
        <v>2021</v>
      </c>
      <c r="C105" s="113">
        <f t="shared" si="14"/>
        <v>72</v>
      </c>
      <c r="D105" s="324">
        <f>ROUND((C104-F50)-(C104*$D$98),0)</f>
        <v>82</v>
      </c>
      <c r="E105" s="112">
        <f t="shared" si="16"/>
        <v>83</v>
      </c>
      <c r="F105" s="112">
        <f t="shared" si="17"/>
        <v>86</v>
      </c>
      <c r="G105" s="112">
        <f t="shared" si="18"/>
        <v>83</v>
      </c>
      <c r="H105" s="112">
        <f t="shared" si="19"/>
        <v>86</v>
      </c>
      <c r="I105" s="112">
        <f t="shared" si="20"/>
        <v>81</v>
      </c>
      <c r="J105" s="111">
        <f t="shared" si="15"/>
        <v>573</v>
      </c>
    </row>
    <row r="106" spans="2:10">
      <c r="B106" s="114">
        <v>2022</v>
      </c>
      <c r="C106" s="113">
        <f t="shared" si="14"/>
        <v>75</v>
      </c>
      <c r="D106" s="324">
        <f>ROUND((C105-G50)-(C105*$D$98),0)</f>
        <v>67</v>
      </c>
      <c r="E106" s="112">
        <f t="shared" si="16"/>
        <v>82</v>
      </c>
      <c r="F106" s="112">
        <f t="shared" si="17"/>
        <v>85</v>
      </c>
      <c r="G106" s="112">
        <f t="shared" si="18"/>
        <v>87</v>
      </c>
      <c r="H106" s="112">
        <f t="shared" si="19"/>
        <v>76</v>
      </c>
      <c r="I106" s="112">
        <f t="shared" si="20"/>
        <v>88</v>
      </c>
      <c r="J106" s="111">
        <f t="shared" si="15"/>
        <v>560</v>
      </c>
    </row>
    <row r="107" spans="2:10">
      <c r="B107" s="114">
        <v>2023</v>
      </c>
      <c r="C107" s="113">
        <f t="shared" si="14"/>
        <v>86.450357866773317</v>
      </c>
      <c r="D107" s="324">
        <f>ROUND((C106-H50)-(C106*$D$98),0)</f>
        <v>70</v>
      </c>
      <c r="E107" s="112">
        <f t="shared" si="16"/>
        <v>67</v>
      </c>
      <c r="F107" s="112">
        <f t="shared" si="17"/>
        <v>84</v>
      </c>
      <c r="G107" s="112">
        <f t="shared" si="18"/>
        <v>86</v>
      </c>
      <c r="H107" s="112">
        <f t="shared" si="19"/>
        <v>80</v>
      </c>
      <c r="I107" s="112">
        <f t="shared" si="20"/>
        <v>78</v>
      </c>
      <c r="J107" s="111">
        <f t="shared" si="15"/>
        <v>551.45035786677329</v>
      </c>
    </row>
    <row r="108" spans="2:10">
      <c r="B108" s="114">
        <v>2024</v>
      </c>
      <c r="C108" s="113">
        <f t="shared" si="14"/>
        <v>87.430232644263882</v>
      </c>
      <c r="D108" s="324">
        <f>ROUND((C107-I50)-(C107*$D$98),0)</f>
        <v>80</v>
      </c>
      <c r="E108" s="112">
        <f t="shared" si="16"/>
        <v>70</v>
      </c>
      <c r="F108" s="112">
        <f t="shared" si="17"/>
        <v>69</v>
      </c>
      <c r="G108" s="112">
        <f t="shared" si="18"/>
        <v>85</v>
      </c>
      <c r="H108" s="112">
        <f t="shared" si="19"/>
        <v>79</v>
      </c>
      <c r="I108" s="112">
        <f t="shared" si="20"/>
        <v>82</v>
      </c>
      <c r="J108" s="111">
        <f t="shared" si="15"/>
        <v>552.43023264426392</v>
      </c>
    </row>
    <row r="109" spans="2:10">
      <c r="B109" s="114">
        <v>2025</v>
      </c>
      <c r="C109" s="113">
        <f t="shared" si="14"/>
        <v>89.389982199245011</v>
      </c>
      <c r="D109" s="324">
        <f>ROUND((C108-J50)-(C108*$D$98),0)</f>
        <v>80</v>
      </c>
      <c r="E109" s="112">
        <f t="shared" si="16"/>
        <v>80</v>
      </c>
      <c r="F109" s="112">
        <f t="shared" si="17"/>
        <v>72</v>
      </c>
      <c r="G109" s="112">
        <f t="shared" si="18"/>
        <v>70</v>
      </c>
      <c r="H109" s="112">
        <f t="shared" si="19"/>
        <v>78</v>
      </c>
      <c r="I109" s="112">
        <f t="shared" si="20"/>
        <v>81</v>
      </c>
      <c r="J109" s="111">
        <f t="shared" si="15"/>
        <v>550.38998219924497</v>
      </c>
    </row>
    <row r="110" spans="2:10">
      <c r="B110" s="114">
        <v>2026</v>
      </c>
      <c r="C110" s="113">
        <f t="shared" si="14"/>
        <v>89.389982199245011</v>
      </c>
      <c r="D110" s="324">
        <f>ROUND((C109-K50)-(C109*$D$98),0)</f>
        <v>82</v>
      </c>
      <c r="E110" s="112">
        <f t="shared" si="16"/>
        <v>80</v>
      </c>
      <c r="F110" s="112">
        <f t="shared" si="17"/>
        <v>82</v>
      </c>
      <c r="G110" s="112">
        <f t="shared" si="18"/>
        <v>73</v>
      </c>
      <c r="H110" s="112">
        <f t="shared" si="19"/>
        <v>64</v>
      </c>
      <c r="I110" s="112">
        <f t="shared" si="20"/>
        <v>80</v>
      </c>
      <c r="J110" s="111">
        <f t="shared" si="15"/>
        <v>550.38998219924497</v>
      </c>
    </row>
    <row r="111" spans="2:10">
      <c r="B111" s="114">
        <v>2027</v>
      </c>
      <c r="C111" s="113">
        <f t="shared" si="14"/>
        <v>90</v>
      </c>
      <c r="D111" s="324">
        <f>ROUND((C110-L50)-(C110*$D$98),0)</f>
        <v>81</v>
      </c>
      <c r="E111" s="112">
        <f t="shared" si="16"/>
        <v>82</v>
      </c>
      <c r="F111" s="112">
        <f t="shared" si="17"/>
        <v>82</v>
      </c>
      <c r="G111" s="112">
        <f t="shared" si="18"/>
        <v>83</v>
      </c>
      <c r="H111" s="112">
        <f t="shared" si="19"/>
        <v>67</v>
      </c>
      <c r="I111" s="112">
        <f t="shared" si="20"/>
        <v>66</v>
      </c>
      <c r="J111" s="111">
        <f t="shared" si="15"/>
        <v>551</v>
      </c>
    </row>
    <row r="112" spans="2:10">
      <c r="B112" s="114">
        <v>2028</v>
      </c>
      <c r="C112" s="113">
        <f t="shared" si="14"/>
        <v>90</v>
      </c>
      <c r="D112" s="324">
        <f>ROUND((C111-M50)-(C111*$D$98),0)</f>
        <v>81</v>
      </c>
      <c r="E112" s="112">
        <f t="shared" si="16"/>
        <v>81</v>
      </c>
      <c r="F112" s="112">
        <f t="shared" si="17"/>
        <v>84</v>
      </c>
      <c r="G112" s="112">
        <f t="shared" si="18"/>
        <v>83</v>
      </c>
      <c r="H112" s="112">
        <f t="shared" si="19"/>
        <v>76</v>
      </c>
      <c r="I112" s="112">
        <f t="shared" si="20"/>
        <v>69</v>
      </c>
      <c r="J112" s="111">
        <f t="shared" si="15"/>
        <v>564</v>
      </c>
    </row>
    <row r="113" spans="2:10" ht="15" customHeight="1">
      <c r="B113" s="114">
        <v>2029</v>
      </c>
      <c r="C113" s="113">
        <f t="shared" si="14"/>
        <v>90</v>
      </c>
      <c r="D113" s="324">
        <f>ROUND((C112-N50)-(C112*$D$98),0)</f>
        <v>81</v>
      </c>
      <c r="E113" s="112">
        <f t="shared" si="16"/>
        <v>81</v>
      </c>
      <c r="F113" s="112">
        <f t="shared" si="17"/>
        <v>83</v>
      </c>
      <c r="G113" s="112">
        <f t="shared" si="18"/>
        <v>85</v>
      </c>
      <c r="H113" s="112">
        <f t="shared" si="19"/>
        <v>76</v>
      </c>
      <c r="I113" s="112">
        <f t="shared" si="20"/>
        <v>78</v>
      </c>
      <c r="J113" s="111">
        <f t="shared" si="15"/>
        <v>574</v>
      </c>
    </row>
    <row r="114" spans="2:10" ht="15" customHeight="1">
      <c r="B114" s="114">
        <v>2030</v>
      </c>
      <c r="C114" s="113">
        <f t="shared" si="14"/>
        <v>90</v>
      </c>
      <c r="D114" s="324">
        <f>ROUND((C113-O50)-(C113*$D$98),0)</f>
        <v>81</v>
      </c>
      <c r="E114" s="112">
        <f t="shared" si="16"/>
        <v>81</v>
      </c>
      <c r="F114" s="112">
        <f t="shared" si="17"/>
        <v>83</v>
      </c>
      <c r="G114" s="112">
        <f t="shared" si="18"/>
        <v>84</v>
      </c>
      <c r="H114" s="112">
        <f t="shared" si="19"/>
        <v>78</v>
      </c>
      <c r="I114" s="112">
        <f t="shared" si="20"/>
        <v>78</v>
      </c>
      <c r="J114" s="111">
        <f t="shared" si="15"/>
        <v>575</v>
      </c>
    </row>
    <row r="115" spans="2:10" ht="15" customHeight="1">
      <c r="B115" s="114">
        <v>2031</v>
      </c>
      <c r="C115" s="113">
        <f t="shared" si="14"/>
        <v>90</v>
      </c>
      <c r="D115" s="324">
        <f>ROUND((C114-P50)-(C114*$D$98),0)</f>
        <v>81</v>
      </c>
      <c r="E115" s="112">
        <f t="shared" si="16"/>
        <v>81</v>
      </c>
      <c r="F115" s="112">
        <f t="shared" si="17"/>
        <v>83</v>
      </c>
      <c r="G115" s="112">
        <f t="shared" si="18"/>
        <v>84</v>
      </c>
      <c r="H115" s="112">
        <f t="shared" si="19"/>
        <v>77</v>
      </c>
      <c r="I115" s="112">
        <f t="shared" si="20"/>
        <v>80</v>
      </c>
      <c r="J115" s="111">
        <f t="shared" si="15"/>
        <v>576</v>
      </c>
    </row>
    <row r="116" spans="2:10" ht="15" customHeight="1">
      <c r="B116" s="114">
        <v>2032</v>
      </c>
      <c r="C116" s="113">
        <f t="shared" si="14"/>
        <v>90</v>
      </c>
      <c r="D116" s="324">
        <f>ROUND((C115-Q50)-(C115*$D$98),0)</f>
        <v>81</v>
      </c>
      <c r="E116" s="112">
        <f t="shared" si="16"/>
        <v>81</v>
      </c>
      <c r="F116" s="112">
        <f t="shared" si="17"/>
        <v>83</v>
      </c>
      <c r="G116" s="112">
        <f t="shared" si="18"/>
        <v>84</v>
      </c>
      <c r="H116" s="112">
        <f t="shared" si="19"/>
        <v>77</v>
      </c>
      <c r="I116" s="112">
        <f t="shared" si="20"/>
        <v>79</v>
      </c>
      <c r="J116" s="111">
        <f t="shared" si="15"/>
        <v>575</v>
      </c>
    </row>
    <row r="117" spans="2:10" ht="15" hidden="1" customHeight="1">
      <c r="F117" s="14"/>
      <c r="G117" s="14"/>
    </row>
    <row r="118" spans="2:10" ht="15" hidden="1" customHeight="1">
      <c r="B118" s="15" t="str">
        <f>"Table 4C: "&amp;E3&amp;" Projected Pupil Generation from Housing Development, 2019-2032"</f>
        <v>Table 4C: Flora Stevenson Primary School Projected Pupil Generation from Housing Development, 2019-2032</v>
      </c>
      <c r="F118" s="14"/>
      <c r="G118" s="14"/>
    </row>
    <row r="119" spans="2:10" ht="15" hidden="1" customHeight="1">
      <c r="F119" s="14"/>
      <c r="G119" s="14"/>
    </row>
    <row r="120" spans="2:10" ht="15" hidden="1" customHeight="1">
      <c r="B120" s="115"/>
      <c r="C120" s="109" t="s">
        <v>1</v>
      </c>
      <c r="D120" s="109" t="s">
        <v>2</v>
      </c>
      <c r="E120" s="109" t="s">
        <v>3</v>
      </c>
      <c r="F120" s="109" t="s">
        <v>4</v>
      </c>
      <c r="G120" s="109" t="s">
        <v>5</v>
      </c>
      <c r="H120" s="109" t="s">
        <v>6</v>
      </c>
      <c r="I120" s="109" t="s">
        <v>7</v>
      </c>
      <c r="J120" s="109" t="s">
        <v>8</v>
      </c>
    </row>
    <row r="121" spans="2:10" ht="15" hidden="1" customHeight="1">
      <c r="B121" s="114">
        <v>2019</v>
      </c>
      <c r="C121" s="116" t="s">
        <v>97</v>
      </c>
      <c r="D121" s="112">
        <f>VLOOKUP($E$3,'Housing Generation'!$A$3:$BE$90,11,FALSE)</f>
        <v>0</v>
      </c>
      <c r="E121" s="112">
        <f>VLOOKUP($E$3,'Housing Generation'!$A$3:$BE$90,12,FALSE)</f>
        <v>0</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0</v>
      </c>
    </row>
    <row r="122" spans="2:10" ht="15" hidden="1" customHeight="1">
      <c r="B122" s="114">
        <v>2020</v>
      </c>
      <c r="C122" s="116" t="s">
        <v>97</v>
      </c>
      <c r="D122" s="112">
        <f>VLOOKUP($E$3,'Housing Generation'!$A$3:$BE$90,19,FALSE)</f>
        <v>0</v>
      </c>
      <c r="E122" s="112">
        <f>VLOOKUP($E$3,'Housing Generation'!$A$3:$BE$90,20,FALSE)</f>
        <v>0</v>
      </c>
      <c r="F122" s="112">
        <f>VLOOKUP($E$3,'Housing Generation'!$A$3:$BE$90,21,FALSE)</f>
        <v>0</v>
      </c>
      <c r="G122" s="112">
        <f>VLOOKUP($E$3,'Housing Generation'!$A$3:$BE$90,22,FALSE)</f>
        <v>0</v>
      </c>
      <c r="H122" s="112">
        <f>VLOOKUP($E$3,'Housing Generation'!$A$3:$BE$90,23,FALSE)</f>
        <v>0</v>
      </c>
      <c r="I122" s="112">
        <f>VLOOKUP($E$3,'Housing Generation'!$A$3:$BE$90,24,FALSE)</f>
        <v>0</v>
      </c>
      <c r="J122" s="111">
        <f t="shared" si="21"/>
        <v>0</v>
      </c>
    </row>
    <row r="123" spans="2:10" ht="15" hidden="1" customHeight="1">
      <c r="B123" s="114">
        <v>2021</v>
      </c>
      <c r="C123" s="116" t="s">
        <v>97</v>
      </c>
      <c r="D123" s="112">
        <f>VLOOKUP($E$3,'Housing Generation'!$A$3:$BE$90,27,FALSE)</f>
        <v>1</v>
      </c>
      <c r="E123" s="112">
        <f>VLOOKUP($E$3,'Housing Generation'!$A$3:$BE$90,28,FALSE)</f>
        <v>1</v>
      </c>
      <c r="F123" s="112">
        <f>VLOOKUP($E$3,'Housing Generation'!$A$3:$BE$90,29,FALSE)</f>
        <v>1</v>
      </c>
      <c r="G123" s="112">
        <f>VLOOKUP($E$3,'Housing Generation'!$A$3:$BE$90,30,FALSE)</f>
        <v>1</v>
      </c>
      <c r="H123" s="112">
        <f>VLOOKUP($E$3,'Housing Generation'!$A$3:$BE$90,31,FALSE)</f>
        <v>0</v>
      </c>
      <c r="I123" s="112">
        <f>VLOOKUP($E$3,'Housing Generation'!$A$3:$BE$90,32,FALSE)</f>
        <v>0</v>
      </c>
      <c r="J123" s="111">
        <f t="shared" si="21"/>
        <v>4</v>
      </c>
    </row>
    <row r="124" spans="2:10" ht="15" hidden="1" customHeight="1">
      <c r="B124" s="114">
        <v>2022</v>
      </c>
      <c r="C124" s="116" t="s">
        <v>97</v>
      </c>
      <c r="D124" s="112">
        <f>VLOOKUP($E$3,'Housing Generation'!$A$3:$BE$90,35,FALSE)</f>
        <v>1</v>
      </c>
      <c r="E124" s="112">
        <f>VLOOKUP($E$3,'Housing Generation'!$A$3:$BE$90,36,FALSE)</f>
        <v>1</v>
      </c>
      <c r="F124" s="112">
        <f>VLOOKUP($E$3,'Housing Generation'!$A$3:$BE$90,37,FALSE)</f>
        <v>1</v>
      </c>
      <c r="G124" s="112">
        <f>VLOOKUP($E$3,'Housing Generation'!$A$3:$BE$90,38,FALSE)</f>
        <v>1</v>
      </c>
      <c r="H124" s="112">
        <f>VLOOKUP($E$3,'Housing Generation'!$A$3:$BE$90,39,FALSE)</f>
        <v>1</v>
      </c>
      <c r="I124" s="112">
        <f>VLOOKUP($E$3,'Housing Generation'!$A$3:$BE$90,40,FALSE)</f>
        <v>1</v>
      </c>
      <c r="J124" s="111">
        <f t="shared" si="21"/>
        <v>6</v>
      </c>
    </row>
    <row r="125" spans="2:10" ht="15" hidden="1" customHeight="1">
      <c r="B125" s="114">
        <v>2023</v>
      </c>
      <c r="C125" s="116" t="s">
        <v>97</v>
      </c>
      <c r="D125" s="112">
        <f>VLOOKUP($E$3,'Housing Generation'!$A$3:$BE$90,43,FALSE)</f>
        <v>1</v>
      </c>
      <c r="E125" s="112">
        <f>VLOOKUP($E$3,'Housing Generation'!$A$3:$BE$90,44,FALSE)</f>
        <v>1</v>
      </c>
      <c r="F125" s="112">
        <f>VLOOKUP($E$3,'Housing Generation'!$A$3:$BE$90,45,FALSE)</f>
        <v>1</v>
      </c>
      <c r="G125" s="112">
        <f>VLOOKUP($E$3,'Housing Generation'!$A$3:$BE$90,46,FALSE)</f>
        <v>1</v>
      </c>
      <c r="H125" s="112">
        <f>VLOOKUP($E$3,'Housing Generation'!$A$3:$BE$90,47,FALSE)</f>
        <v>1</v>
      </c>
      <c r="I125" s="112">
        <f>VLOOKUP($E$3,'Housing Generation'!$A$3:$BE$90,48,FALSE)</f>
        <v>1</v>
      </c>
      <c r="J125" s="111">
        <f t="shared" si="21"/>
        <v>6</v>
      </c>
    </row>
    <row r="126" spans="2:10" ht="15" hidden="1" customHeight="1">
      <c r="B126" s="114">
        <v>2024</v>
      </c>
      <c r="C126" s="116" t="s">
        <v>97</v>
      </c>
      <c r="D126" s="112">
        <f>VLOOKUP($E$3,'Housing Generation'!$A$3:$BE$90,51,FALSE)</f>
        <v>1</v>
      </c>
      <c r="E126" s="112">
        <f>VLOOKUP($E$3,'Housing Generation'!$A$3:$BE$90,52,FALSE)</f>
        <v>1</v>
      </c>
      <c r="F126" s="112">
        <f>VLOOKUP($E$3,'Housing Generation'!$A$3:$BE$90,53,FALSE)</f>
        <v>1</v>
      </c>
      <c r="G126" s="112">
        <f>VLOOKUP($E$3,'Housing Generation'!$A$3:$BE$90,54,FALSE)</f>
        <v>1</v>
      </c>
      <c r="H126" s="112">
        <f>VLOOKUP($E$3,'Housing Generation'!$A$3:$BE$90,55,FALSE)</f>
        <v>1</v>
      </c>
      <c r="I126" s="112">
        <f>VLOOKUP($E$3,'Housing Generation'!$A$3:$BE$90,56,FALSE)</f>
        <v>1</v>
      </c>
      <c r="J126" s="111">
        <f t="shared" si="21"/>
        <v>6</v>
      </c>
    </row>
    <row r="127" spans="2:10" ht="15" hidden="1" customHeight="1">
      <c r="B127" s="114">
        <v>2025</v>
      </c>
      <c r="C127" s="240" t="s">
        <v>97</v>
      </c>
      <c r="D127" s="112">
        <f>VLOOKUP($E$3,'Housing Generation'!$A$3:$CK$90,59,FALSE)</f>
        <v>2</v>
      </c>
      <c r="E127" s="112">
        <f>VLOOKUP($E$3,'Housing Generation'!$A$3:$CK$90,60,FALSE)</f>
        <v>2</v>
      </c>
      <c r="F127" s="112">
        <f>VLOOKUP($E$3,'Housing Generation'!$A$3:$CK$90,61,FALSE)</f>
        <v>1</v>
      </c>
      <c r="G127" s="112">
        <f>VLOOKUP($E$3,'Housing Generation'!$A$3:$CK$90,62,FALSE)</f>
        <v>1</v>
      </c>
      <c r="H127" s="112">
        <f>VLOOKUP($E$3,'Housing Generation'!$A$3:$CK$90,63,FALSE)</f>
        <v>1</v>
      </c>
      <c r="I127" s="112">
        <f>VLOOKUP($E$3,'Housing Generation'!$A$3:$CK$90,64,FALSE)</f>
        <v>1</v>
      </c>
      <c r="J127" s="111">
        <f t="shared" si="21"/>
        <v>8</v>
      </c>
    </row>
    <row r="128" spans="2:10" ht="15" hidden="1" customHeight="1">
      <c r="B128" s="114">
        <v>2026</v>
      </c>
      <c r="C128" s="240" t="s">
        <v>97</v>
      </c>
      <c r="D128" s="112">
        <f>VLOOKUP($E$3,'Housing Generation'!$A$3:$CK$90,67,FALSE)</f>
        <v>2</v>
      </c>
      <c r="E128" s="112">
        <f>VLOOKUP($E$3,'Housing Generation'!$A$3:$CK$90,68,FALSE)</f>
        <v>2</v>
      </c>
      <c r="F128" s="112">
        <f>VLOOKUP($E$3,'Housing Generation'!$A$3:$CK$90,69,FALSE)</f>
        <v>2</v>
      </c>
      <c r="G128" s="112">
        <f>VLOOKUP($E$3,'Housing Generation'!$A$3:$CK$90,70,FALSE)</f>
        <v>2</v>
      </c>
      <c r="H128" s="112">
        <f>VLOOKUP($E$3,'Housing Generation'!$A$3:$CK$90,71,FALSE)</f>
        <v>2</v>
      </c>
      <c r="I128" s="112">
        <f>VLOOKUP($E$3,'Housing Generation'!$A$3:$CK$90,72,FALSE)</f>
        <v>1</v>
      </c>
      <c r="J128" s="111">
        <f t="shared" si="21"/>
        <v>11</v>
      </c>
    </row>
    <row r="129" spans="2:10" ht="15" hidden="1" customHeight="1">
      <c r="B129" s="114">
        <v>2027</v>
      </c>
      <c r="C129" s="240" t="s">
        <v>97</v>
      </c>
      <c r="D129" s="112">
        <f>VLOOKUP($E$3,'Housing Generation'!$A$3:$CK$90,75,FALSE)</f>
        <v>3</v>
      </c>
      <c r="E129" s="112">
        <f>VLOOKUP($E$3,'Housing Generation'!$A$3:$CK$90,76,FALSE)</f>
        <v>3</v>
      </c>
      <c r="F129" s="112">
        <f>VLOOKUP($E$3,'Housing Generation'!$A$3:$CK$90,77,FALSE)</f>
        <v>3</v>
      </c>
      <c r="G129" s="112">
        <f>VLOOKUP($E$3,'Housing Generation'!$A$3:$CK$90,78,FALSE)</f>
        <v>3</v>
      </c>
      <c r="H129" s="112">
        <f>VLOOKUP($E$3,'Housing Generation'!$A$3:$CK$90,79,FALSE)</f>
        <v>2</v>
      </c>
      <c r="I129" s="112">
        <f>VLOOKUP($E$3,'Housing Generation'!$A$3:$CK$90,80,FALSE)</f>
        <v>2</v>
      </c>
      <c r="J129" s="111">
        <f t="shared" si="21"/>
        <v>16</v>
      </c>
    </row>
    <row r="130" spans="2:10" ht="15" customHeight="1">
      <c r="B130" s="114">
        <v>2028</v>
      </c>
      <c r="C130" s="289" t="s">
        <v>97</v>
      </c>
      <c r="D130" s="112">
        <f>VLOOKUP($E$3,'Housing Generation'!$A$3:$CK$90,83,FALSE)</f>
        <v>4</v>
      </c>
      <c r="E130" s="112">
        <f>VLOOKUP($E$3,'Housing Generation'!$A$3:$CK$90,84,FALSE)</f>
        <v>4</v>
      </c>
      <c r="F130" s="112">
        <f>VLOOKUP($E$3,'Housing Generation'!$A$3:$CK$90,85,FALSE)</f>
        <v>4</v>
      </c>
      <c r="G130" s="112">
        <f>VLOOKUP($E$3,'Housing Generation'!$A$3:$CK$90,86,FALSE)</f>
        <v>4</v>
      </c>
      <c r="H130" s="112">
        <f>VLOOKUP($E$3,'Housing Generation'!$A$3:$CK$90,87,FALSE)</f>
        <v>3</v>
      </c>
      <c r="I130" s="112">
        <f>VLOOKUP($E$3,'Housing Generation'!$A$3:$CK$90,88,FALSE)</f>
        <v>3</v>
      </c>
      <c r="J130" s="111">
        <f t="shared" si="21"/>
        <v>22</v>
      </c>
    </row>
    <row r="131" spans="2:10" ht="15" customHeight="1">
      <c r="B131" s="114">
        <v>2029</v>
      </c>
      <c r="C131" s="289" t="s">
        <v>97</v>
      </c>
      <c r="D131" s="112">
        <f>VLOOKUP($E$3,'Housing Generation'!$A$3:$DQ$90,91,FALSE)</f>
        <v>4</v>
      </c>
      <c r="E131" s="112">
        <f>VLOOKUP($E$3,'Housing Generation'!$A$3:$DQ$90,92,FALSE)</f>
        <v>4</v>
      </c>
      <c r="F131" s="112">
        <f>VLOOKUP($E$3,'Housing Generation'!$A$3:$DQ$90,93,FALSE)</f>
        <v>4</v>
      </c>
      <c r="G131" s="112">
        <f>VLOOKUP($E$3,'Housing Generation'!$A$3:$DQ$90,94,FALSE)</f>
        <v>4</v>
      </c>
      <c r="H131" s="112">
        <f>VLOOKUP($E$3,'Housing Generation'!$A$3:$DQ$90,95,FALSE)</f>
        <v>3</v>
      </c>
      <c r="I131" s="112">
        <f>VLOOKUP($E$3,'Housing Generation'!$A$3:$DQ$90,96,FALSE)</f>
        <v>3</v>
      </c>
      <c r="J131" s="111">
        <f t="shared" si="21"/>
        <v>22</v>
      </c>
    </row>
    <row r="132" spans="2:10" ht="15" customHeight="1">
      <c r="B132" s="114">
        <v>2030</v>
      </c>
      <c r="C132" s="289" t="s">
        <v>97</v>
      </c>
      <c r="D132" s="112">
        <f>VLOOKUP($E$3,'Housing Generation'!$A$3:$DQ$90,99,FALSE)</f>
        <v>4</v>
      </c>
      <c r="E132" s="112">
        <f>VLOOKUP($E$3,'Housing Generation'!$A$3:$DQ$90,100,FALSE)</f>
        <v>4</v>
      </c>
      <c r="F132" s="112">
        <f>VLOOKUP($E$3,'Housing Generation'!$A$3:$DQ$90,101,FALSE)</f>
        <v>4</v>
      </c>
      <c r="G132" s="112">
        <f>VLOOKUP($E$3,'Housing Generation'!$A$3:$DQ$90,102,FALSE)</f>
        <v>4</v>
      </c>
      <c r="H132" s="112">
        <f>VLOOKUP($E$3,'Housing Generation'!$A$3:$DQ$90,103,FALSE)</f>
        <v>3</v>
      </c>
      <c r="I132" s="112">
        <f>VLOOKUP($E$3,'Housing Generation'!$A$3:$DQ$90,104,FALSE)</f>
        <v>3</v>
      </c>
      <c r="J132" s="111">
        <f t="shared" si="21"/>
        <v>22</v>
      </c>
    </row>
    <row r="133" spans="2:10" ht="15" customHeight="1">
      <c r="B133" s="114">
        <v>2031</v>
      </c>
      <c r="C133" s="289" t="s">
        <v>97</v>
      </c>
      <c r="D133" s="112">
        <f>VLOOKUP($E$3,'Housing Generation'!$A$3:$DQ$90,107,FALSE)</f>
        <v>4</v>
      </c>
      <c r="E133" s="112">
        <f>VLOOKUP($E$3,'Housing Generation'!$A$3:$DQ$90,108,FALSE)</f>
        <v>4</v>
      </c>
      <c r="F133" s="112">
        <f>VLOOKUP($E$3,'Housing Generation'!$A$3:$DQ$90,109,FALSE)</f>
        <v>4</v>
      </c>
      <c r="G133" s="112">
        <f>VLOOKUP($E$3,'Housing Generation'!$A$3:$DQ$90,110,FALSE)</f>
        <v>4</v>
      </c>
      <c r="H133" s="112">
        <f>VLOOKUP($E$3,'Housing Generation'!$A$3:$DQ$90,111,FALSE)</f>
        <v>3</v>
      </c>
      <c r="I133" s="112">
        <f>VLOOKUP($E$3,'Housing Generation'!$A$3:$DQ$90,112,FALSE)</f>
        <v>3</v>
      </c>
      <c r="J133" s="111">
        <f t="shared" si="21"/>
        <v>22</v>
      </c>
    </row>
    <row r="134" spans="2:10" ht="15" customHeight="1">
      <c r="B134" s="114">
        <v>2032</v>
      </c>
      <c r="C134" s="289" t="s">
        <v>97</v>
      </c>
      <c r="D134" s="112">
        <f>VLOOKUP($E$3,'Housing Generation'!$A$3:$DQ$90,115,FALSE)</f>
        <v>4</v>
      </c>
      <c r="E134" s="112">
        <f>VLOOKUP($E$3,'Housing Generation'!$A$3:$DQ$90,116,FALSE)</f>
        <v>4</v>
      </c>
      <c r="F134" s="112">
        <f>VLOOKUP($E$3,'Housing Generation'!$A$3:$DQ$90,117,FALSE)</f>
        <v>4</v>
      </c>
      <c r="G134" s="112">
        <f>VLOOKUP($E$3,'Housing Generation'!$A$3:$DQ$90,118,FALSE)</f>
        <v>4</v>
      </c>
      <c r="H134" s="112">
        <f>VLOOKUP($E$3,'Housing Generation'!$A$3:$DQ$90,119,FALSE)</f>
        <v>3</v>
      </c>
      <c r="I134" s="112">
        <f>VLOOKUP($E$3,'Housing Generation'!$A$3:$DQ$90,120,FALSE)</f>
        <v>3</v>
      </c>
      <c r="J134" s="111">
        <f t="shared" si="21"/>
        <v>22</v>
      </c>
    </row>
    <row r="135" spans="2:10" ht="15" hidden="1"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Flora Stevenson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88.410107421754446</v>
      </c>
      <c r="D139" s="112">
        <f t="shared" ref="D139:I152" si="23">D121+D103</f>
        <v>84</v>
      </c>
      <c r="E139" s="112">
        <f t="shared" si="23"/>
        <v>80</v>
      </c>
      <c r="F139" s="112">
        <f t="shared" si="23"/>
        <v>92</v>
      </c>
      <c r="G139" s="112">
        <f t="shared" si="23"/>
        <v>86</v>
      </c>
      <c r="H139" s="112">
        <f t="shared" si="23"/>
        <v>86</v>
      </c>
      <c r="I139" s="112">
        <f t="shared" si="23"/>
        <v>76</v>
      </c>
      <c r="J139" s="111">
        <f t="shared" ref="J139:J147" si="24">SUM(C139:I139)</f>
        <v>592.41010742175445</v>
      </c>
    </row>
    <row r="140" spans="2:10" ht="15" customHeight="1">
      <c r="B140" s="114">
        <v>2020</v>
      </c>
      <c r="C140" s="113">
        <f t="shared" si="22"/>
        <v>88.410107421754446</v>
      </c>
      <c r="D140" s="112">
        <f t="shared" si="23"/>
        <v>83</v>
      </c>
      <c r="E140" s="112">
        <f t="shared" si="23"/>
        <v>84</v>
      </c>
      <c r="F140" s="112">
        <f t="shared" si="23"/>
        <v>82</v>
      </c>
      <c r="G140" s="112">
        <f t="shared" si="23"/>
        <v>93</v>
      </c>
      <c r="H140" s="112">
        <f t="shared" si="23"/>
        <v>79</v>
      </c>
      <c r="I140" s="112">
        <f t="shared" si="23"/>
        <v>88</v>
      </c>
      <c r="J140" s="111">
        <f t="shared" si="24"/>
        <v>597.41010742175445</v>
      </c>
    </row>
    <row r="141" spans="2:10" ht="15" customHeight="1">
      <c r="B141" s="114">
        <v>2021</v>
      </c>
      <c r="C141" s="113">
        <f t="shared" si="22"/>
        <v>72</v>
      </c>
      <c r="D141" s="112">
        <f t="shared" si="23"/>
        <v>83</v>
      </c>
      <c r="E141" s="112">
        <f t="shared" si="23"/>
        <v>84</v>
      </c>
      <c r="F141" s="112">
        <f t="shared" si="23"/>
        <v>87</v>
      </c>
      <c r="G141" s="112">
        <f t="shared" si="23"/>
        <v>84</v>
      </c>
      <c r="H141" s="112">
        <f t="shared" si="23"/>
        <v>86</v>
      </c>
      <c r="I141" s="112">
        <f t="shared" si="23"/>
        <v>81</v>
      </c>
      <c r="J141" s="111">
        <f t="shared" si="24"/>
        <v>577</v>
      </c>
    </row>
    <row r="142" spans="2:10" ht="15" customHeight="1">
      <c r="B142" s="114">
        <v>2022</v>
      </c>
      <c r="C142" s="113">
        <f t="shared" si="22"/>
        <v>75</v>
      </c>
      <c r="D142" s="112">
        <f t="shared" si="23"/>
        <v>68</v>
      </c>
      <c r="E142" s="112">
        <f t="shared" si="23"/>
        <v>83</v>
      </c>
      <c r="F142" s="112">
        <f t="shared" si="23"/>
        <v>86</v>
      </c>
      <c r="G142" s="112">
        <f t="shared" si="23"/>
        <v>88</v>
      </c>
      <c r="H142" s="112">
        <f t="shared" si="23"/>
        <v>77</v>
      </c>
      <c r="I142" s="112">
        <f t="shared" si="23"/>
        <v>89</v>
      </c>
      <c r="J142" s="111">
        <f t="shared" si="24"/>
        <v>566</v>
      </c>
    </row>
    <row r="143" spans="2:10" ht="15" customHeight="1">
      <c r="B143" s="114">
        <v>2023</v>
      </c>
      <c r="C143" s="113">
        <f t="shared" si="22"/>
        <v>86.450357866773317</v>
      </c>
      <c r="D143" s="112">
        <f t="shared" si="23"/>
        <v>71</v>
      </c>
      <c r="E143" s="112">
        <f t="shared" si="23"/>
        <v>68</v>
      </c>
      <c r="F143" s="112">
        <f t="shared" si="23"/>
        <v>85</v>
      </c>
      <c r="G143" s="112">
        <f t="shared" si="23"/>
        <v>87</v>
      </c>
      <c r="H143" s="112">
        <f t="shared" si="23"/>
        <v>81</v>
      </c>
      <c r="I143" s="112">
        <f t="shared" si="23"/>
        <v>79</v>
      </c>
      <c r="J143" s="111">
        <f t="shared" si="24"/>
        <v>557.45035786677329</v>
      </c>
    </row>
    <row r="144" spans="2:10" ht="15" customHeight="1">
      <c r="B144" s="114">
        <v>2024</v>
      </c>
      <c r="C144" s="113">
        <f t="shared" si="22"/>
        <v>87.430232644263882</v>
      </c>
      <c r="D144" s="112">
        <f t="shared" si="23"/>
        <v>81</v>
      </c>
      <c r="E144" s="112">
        <f t="shared" si="23"/>
        <v>71</v>
      </c>
      <c r="F144" s="112">
        <f t="shared" si="23"/>
        <v>70</v>
      </c>
      <c r="G144" s="112">
        <f t="shared" si="23"/>
        <v>86</v>
      </c>
      <c r="H144" s="112">
        <f t="shared" si="23"/>
        <v>80</v>
      </c>
      <c r="I144" s="112">
        <f t="shared" si="23"/>
        <v>83</v>
      </c>
      <c r="J144" s="111">
        <f t="shared" si="24"/>
        <v>558.43023264426392</v>
      </c>
    </row>
    <row r="145" spans="2:16" ht="15" customHeight="1">
      <c r="B145" s="114">
        <v>2025</v>
      </c>
      <c r="C145" s="113">
        <f t="shared" si="22"/>
        <v>89.389982199245011</v>
      </c>
      <c r="D145" s="112">
        <f t="shared" si="23"/>
        <v>82</v>
      </c>
      <c r="E145" s="112">
        <f t="shared" si="23"/>
        <v>82</v>
      </c>
      <c r="F145" s="112">
        <f t="shared" si="23"/>
        <v>73</v>
      </c>
      <c r="G145" s="112">
        <f t="shared" si="23"/>
        <v>71</v>
      </c>
      <c r="H145" s="112">
        <f t="shared" si="23"/>
        <v>79</v>
      </c>
      <c r="I145" s="112">
        <f t="shared" si="23"/>
        <v>82</v>
      </c>
      <c r="J145" s="111">
        <f t="shared" si="24"/>
        <v>558.38998219924497</v>
      </c>
    </row>
    <row r="146" spans="2:16" ht="15" customHeight="1">
      <c r="B146" s="114">
        <v>2026</v>
      </c>
      <c r="C146" s="113">
        <f t="shared" si="22"/>
        <v>89.389982199245011</v>
      </c>
      <c r="D146" s="112">
        <f t="shared" si="23"/>
        <v>84</v>
      </c>
      <c r="E146" s="112">
        <f t="shared" si="23"/>
        <v>82</v>
      </c>
      <c r="F146" s="112">
        <f t="shared" si="23"/>
        <v>84</v>
      </c>
      <c r="G146" s="112">
        <f t="shared" si="23"/>
        <v>75</v>
      </c>
      <c r="H146" s="112">
        <f t="shared" si="23"/>
        <v>66</v>
      </c>
      <c r="I146" s="112">
        <f t="shared" si="23"/>
        <v>81</v>
      </c>
      <c r="J146" s="111">
        <f t="shared" si="24"/>
        <v>561.38998219924497</v>
      </c>
    </row>
    <row r="147" spans="2:16" ht="15" customHeight="1">
      <c r="B147" s="114">
        <v>2027</v>
      </c>
      <c r="C147" s="113">
        <f t="shared" si="22"/>
        <v>90</v>
      </c>
      <c r="D147" s="112">
        <f t="shared" si="23"/>
        <v>84</v>
      </c>
      <c r="E147" s="112">
        <f t="shared" si="23"/>
        <v>85</v>
      </c>
      <c r="F147" s="112">
        <f t="shared" si="23"/>
        <v>85</v>
      </c>
      <c r="G147" s="112">
        <f t="shared" si="23"/>
        <v>86</v>
      </c>
      <c r="H147" s="112">
        <f t="shared" si="23"/>
        <v>69</v>
      </c>
      <c r="I147" s="112">
        <f t="shared" si="23"/>
        <v>68</v>
      </c>
      <c r="J147" s="111">
        <f t="shared" si="24"/>
        <v>567</v>
      </c>
    </row>
    <row r="148" spans="2:16" ht="15" customHeight="1">
      <c r="B148" s="114">
        <v>2028</v>
      </c>
      <c r="C148" s="113">
        <f t="shared" si="22"/>
        <v>90</v>
      </c>
      <c r="D148" s="112">
        <f t="shared" si="23"/>
        <v>85</v>
      </c>
      <c r="E148" s="112">
        <f t="shared" si="23"/>
        <v>85</v>
      </c>
      <c r="F148" s="112">
        <f t="shared" si="23"/>
        <v>88</v>
      </c>
      <c r="G148" s="112">
        <f t="shared" si="23"/>
        <v>87</v>
      </c>
      <c r="H148" s="112">
        <f t="shared" si="23"/>
        <v>79</v>
      </c>
      <c r="I148" s="112">
        <f t="shared" si="23"/>
        <v>72</v>
      </c>
      <c r="J148" s="111">
        <f t="shared" ref="J148:J152" si="25">SUM(C148:I148)</f>
        <v>586</v>
      </c>
    </row>
    <row r="149" spans="2:16" ht="15" customHeight="1">
      <c r="B149" s="114">
        <v>2029</v>
      </c>
      <c r="C149" s="113">
        <f t="shared" si="22"/>
        <v>90</v>
      </c>
      <c r="D149" s="112">
        <f t="shared" si="23"/>
        <v>85</v>
      </c>
      <c r="E149" s="112">
        <f t="shared" si="23"/>
        <v>85</v>
      </c>
      <c r="F149" s="112">
        <f t="shared" si="23"/>
        <v>87</v>
      </c>
      <c r="G149" s="112">
        <f t="shared" si="23"/>
        <v>89</v>
      </c>
      <c r="H149" s="112">
        <f t="shared" si="23"/>
        <v>79</v>
      </c>
      <c r="I149" s="112">
        <f t="shared" si="23"/>
        <v>81</v>
      </c>
      <c r="J149" s="111">
        <f t="shared" si="25"/>
        <v>596</v>
      </c>
    </row>
    <row r="150" spans="2:16" ht="15" customHeight="1">
      <c r="B150" s="114">
        <v>2030</v>
      </c>
      <c r="C150" s="113">
        <f t="shared" si="22"/>
        <v>90</v>
      </c>
      <c r="D150" s="112">
        <f t="shared" si="23"/>
        <v>85</v>
      </c>
      <c r="E150" s="112">
        <f t="shared" si="23"/>
        <v>85</v>
      </c>
      <c r="F150" s="112">
        <f t="shared" si="23"/>
        <v>87</v>
      </c>
      <c r="G150" s="112">
        <f t="shared" si="23"/>
        <v>88</v>
      </c>
      <c r="H150" s="112">
        <f t="shared" si="23"/>
        <v>81</v>
      </c>
      <c r="I150" s="112">
        <f t="shared" si="23"/>
        <v>81</v>
      </c>
      <c r="J150" s="111">
        <f t="shared" si="25"/>
        <v>597</v>
      </c>
    </row>
    <row r="151" spans="2:16" ht="15" customHeight="1">
      <c r="B151" s="114">
        <v>2031</v>
      </c>
      <c r="C151" s="113">
        <f t="shared" si="22"/>
        <v>90</v>
      </c>
      <c r="D151" s="112">
        <f t="shared" si="23"/>
        <v>85</v>
      </c>
      <c r="E151" s="112">
        <f t="shared" si="23"/>
        <v>85</v>
      </c>
      <c r="F151" s="112">
        <f t="shared" si="23"/>
        <v>87</v>
      </c>
      <c r="G151" s="112">
        <f t="shared" si="23"/>
        <v>88</v>
      </c>
      <c r="H151" s="112">
        <f t="shared" si="23"/>
        <v>80</v>
      </c>
      <c r="I151" s="112">
        <f t="shared" si="23"/>
        <v>83</v>
      </c>
      <c r="J151" s="111">
        <f t="shared" si="25"/>
        <v>598</v>
      </c>
    </row>
    <row r="152" spans="2:16" ht="15" customHeight="1">
      <c r="B152" s="114">
        <v>2032</v>
      </c>
      <c r="C152" s="113">
        <f t="shared" si="22"/>
        <v>90</v>
      </c>
      <c r="D152" s="112">
        <f t="shared" si="23"/>
        <v>85</v>
      </c>
      <c r="E152" s="112">
        <f t="shared" si="23"/>
        <v>85</v>
      </c>
      <c r="F152" s="112">
        <f t="shared" si="23"/>
        <v>87</v>
      </c>
      <c r="G152" s="112">
        <f t="shared" si="23"/>
        <v>88</v>
      </c>
      <c r="H152" s="112">
        <f t="shared" si="23"/>
        <v>80</v>
      </c>
      <c r="I152" s="112">
        <f t="shared" si="23"/>
        <v>82</v>
      </c>
      <c r="J152" s="111">
        <f t="shared" si="25"/>
        <v>597</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592.41010742175445</v>
      </c>
      <c r="D159" s="108">
        <f>J140</f>
        <v>597.41010742175445</v>
      </c>
      <c r="E159" s="108">
        <f>J141</f>
        <v>577</v>
      </c>
      <c r="F159" s="108">
        <f>J142</f>
        <v>566</v>
      </c>
      <c r="G159" s="108">
        <f>J143</f>
        <v>557.45035786677329</v>
      </c>
      <c r="H159" s="108">
        <f>J144</f>
        <v>558.43023264426392</v>
      </c>
      <c r="I159" s="108">
        <f>J145</f>
        <v>558.38998219924497</v>
      </c>
      <c r="J159" s="108">
        <f>J146</f>
        <v>561.38998219924497</v>
      </c>
      <c r="K159" s="108">
        <f>J147</f>
        <v>567</v>
      </c>
      <c r="L159" s="108">
        <f>J148</f>
        <v>586</v>
      </c>
      <c r="M159" s="108">
        <f>J149</f>
        <v>596</v>
      </c>
      <c r="N159" s="108">
        <f>J150</f>
        <v>597</v>
      </c>
      <c r="O159" s="108">
        <f>J151</f>
        <v>598</v>
      </c>
      <c r="P159" s="108">
        <f>J152</f>
        <v>597</v>
      </c>
    </row>
    <row r="160" spans="2:16" ht="15" customHeight="1">
      <c r="B160" s="107" t="s">
        <v>152</v>
      </c>
      <c r="C160" s="106">
        <f>VLOOKUP(C159,Capacity!$A$1:$C$645,2,TRUE)</f>
        <v>21</v>
      </c>
      <c r="D160" s="106">
        <f>VLOOKUP(D159,Capacity!$A$1:$C$645,2,TRUE)</f>
        <v>21</v>
      </c>
      <c r="E160" s="106">
        <f>VLOOKUP(E159,Capacity!$A$1:$C$645,2,TRUE)</f>
        <v>21</v>
      </c>
      <c r="F160" s="106">
        <f>VLOOKUP(F159,Capacity!$A$1:$C$645,2,TRUE)</f>
        <v>21</v>
      </c>
      <c r="G160" s="106">
        <f>VLOOKUP(G159,Capacity!$A$1:$C$645,2,TRUE)</f>
        <v>20</v>
      </c>
      <c r="H160" s="106">
        <f>VLOOKUP(H159,Capacity!$A$1:$C$645,2,TRUE)</f>
        <v>20</v>
      </c>
      <c r="I160" s="106">
        <f>VLOOKUP(I159,Capacity!$A$1:$C$645,2,TRUE)</f>
        <v>20</v>
      </c>
      <c r="J160" s="106">
        <f>VLOOKUP(J159,Capacity!$A$1:$C$645,2,TRUE)</f>
        <v>21</v>
      </c>
      <c r="K160" s="106">
        <f>VLOOKUP(K159,Capacity!$A$1:$C$645,2,TRUE)</f>
        <v>21</v>
      </c>
      <c r="L160" s="106">
        <f>VLOOKUP(L159,Capacity!$A$1:$C$645,2,TRUE)</f>
        <v>21</v>
      </c>
      <c r="M160" s="106">
        <f>VLOOKUP(M159,Capacity!$A$1:$C$645,2,TRUE)</f>
        <v>21</v>
      </c>
      <c r="N160" s="106">
        <f>VLOOKUP(N159,Capacity!$A$1:$C$645,2,TRUE)</f>
        <v>21</v>
      </c>
      <c r="O160" s="106">
        <f>VLOOKUP(O159,Capacity!$A$1:$C$645,2,TRUE)</f>
        <v>21</v>
      </c>
      <c r="P160" s="106">
        <f>VLOOKUP(P159,Capacity!$A$1:$C$645,2,TRUE)</f>
        <v>21</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104</v>
      </c>
      <c r="D169" s="97">
        <f>VLOOKUP($E$3,'Catchment Births'!$A$1:$U$90,11,FALSE)</f>
        <v>123</v>
      </c>
      <c r="E169" s="97">
        <f>VLOOKUP($E$3,'Catchment Births'!$A$1:$U$90,12,FALSE)</f>
        <v>120</v>
      </c>
      <c r="F169" s="97">
        <f>VLOOKUP($E$3,'Catchment Births'!$A$1:$U$90,13,FALSE)</f>
        <v>133</v>
      </c>
      <c r="G169" s="97">
        <f>VLOOKUP($E$3,'Catchment Births'!$A$1:$U$90,14,FALSE)</f>
        <v>126</v>
      </c>
      <c r="H169" s="97">
        <f>VLOOKUP($E$3,'Catchment Births'!$A$1:$U$90,15,FALSE)</f>
        <v>135</v>
      </c>
      <c r="I169" s="97">
        <f>VLOOKUP($E$3,'Catchment Births'!$A$1:$U$90,16,FALSE)</f>
        <v>166</v>
      </c>
      <c r="J169" s="97">
        <f>VLOOKUP($E$3,'Catchment Births'!$A$1:$U$90,17,FALSE)</f>
        <v>168</v>
      </c>
      <c r="K169" s="97">
        <f>VLOOKUP($E$3,'Catchment Births'!$A$1:$U$90,18,FALSE)</f>
        <v>133</v>
      </c>
      <c r="L169" s="97">
        <f>VLOOKUP($E$3,'Catchment Births'!$A$1:$U$90,19,FALSE)</f>
        <v>177</v>
      </c>
      <c r="M169" s="97">
        <f>VLOOKUP($E$3,'Catchment Births'!$A$1:$U$90,20,FALSE)</f>
        <v>149</v>
      </c>
      <c r="N169" s="97">
        <f>VLOOKUP($E$3,'Catchment Births'!$A$1:$U$90,21,FALSE)</f>
        <v>149</v>
      </c>
    </row>
    <row r="170" spans="2:14" ht="58.5" customHeight="1">
      <c r="B170" s="103" t="str">
        <f>"P1 "&amp;A35&amp;" Catchment Population (Actual)"</f>
        <v>P1 ND Catchment Population (Actual)</v>
      </c>
      <c r="C170" s="102" t="e">
        <v>#REF!</v>
      </c>
      <c r="D170" s="102">
        <v>63</v>
      </c>
      <c r="E170" s="102">
        <v>77</v>
      </c>
      <c r="F170" s="102">
        <v>70</v>
      </c>
      <c r="G170" s="102">
        <v>74</v>
      </c>
      <c r="H170" s="102">
        <v>84</v>
      </c>
      <c r="I170" s="102">
        <v>79</v>
      </c>
      <c r="J170" s="308">
        <f>VLOOKUP(E3,'Catchment Projections'!A1:BU92,42,FALSE)</f>
        <v>82</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79</v>
      </c>
      <c r="J172" s="96" t="e">
        <f>#REF!</f>
        <v>#REF!</v>
      </c>
      <c r="K172" s="96">
        <f>D51</f>
        <v>79</v>
      </c>
      <c r="L172" s="96">
        <f>E51</f>
        <v>79</v>
      </c>
      <c r="M172" s="96">
        <f>F51</f>
        <v>72</v>
      </c>
      <c r="N172" s="96">
        <f>G51</f>
        <v>74</v>
      </c>
    </row>
    <row r="173" spans="2:14" ht="12.75">
      <c r="B173" s="62"/>
      <c r="C173" s="62"/>
      <c r="D173" s="62"/>
      <c r="E173" s="62"/>
      <c r="F173" s="62"/>
      <c r="G173" s="62"/>
      <c r="H173" s="62"/>
      <c r="I173" s="62"/>
      <c r="J173" s="62"/>
      <c r="K173" s="62"/>
    </row>
    <row r="174" spans="2:14" ht="15" customHeight="1">
      <c r="B174" s="64" t="str">
        <f>"Table 5: "&amp;E3&amp;" Roll by Stage, 2002-2018"</f>
        <v>Table 5: Flora Stevenson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66</v>
      </c>
      <c r="D177" s="93">
        <v>70</v>
      </c>
      <c r="E177" s="93">
        <v>64</v>
      </c>
      <c r="F177" s="93">
        <v>82</v>
      </c>
      <c r="G177" s="93">
        <v>66</v>
      </c>
      <c r="H177" s="93">
        <v>78</v>
      </c>
      <c r="I177" s="93">
        <v>61</v>
      </c>
      <c r="J177" s="92">
        <v>487</v>
      </c>
      <c r="K177" s="62"/>
    </row>
    <row r="178" spans="2:11" ht="15" customHeight="1">
      <c r="B178" s="94">
        <v>2003</v>
      </c>
      <c r="C178" s="93">
        <v>60</v>
      </c>
      <c r="D178" s="93">
        <v>69</v>
      </c>
      <c r="E178" s="93">
        <v>69</v>
      </c>
      <c r="F178" s="93">
        <v>58</v>
      </c>
      <c r="G178" s="93">
        <v>81</v>
      </c>
      <c r="H178" s="93">
        <v>61</v>
      </c>
      <c r="I178" s="93">
        <v>76</v>
      </c>
      <c r="J178" s="92">
        <v>474</v>
      </c>
      <c r="K178" s="62"/>
    </row>
    <row r="179" spans="2:11" customFormat="1" ht="15" customHeight="1">
      <c r="B179" s="94">
        <v>2004</v>
      </c>
      <c r="C179" s="95">
        <v>68</v>
      </c>
      <c r="D179" s="95">
        <v>60</v>
      </c>
      <c r="E179" s="95">
        <v>69</v>
      </c>
      <c r="F179" s="95">
        <v>63</v>
      </c>
      <c r="G179" s="95">
        <v>51</v>
      </c>
      <c r="H179" s="95">
        <v>79</v>
      </c>
      <c r="I179" s="95">
        <v>59</v>
      </c>
      <c r="J179" s="92">
        <v>449</v>
      </c>
      <c r="K179" s="62"/>
    </row>
    <row r="180" spans="2:11" customFormat="1" ht="15" customHeight="1">
      <c r="B180" s="94">
        <v>2005</v>
      </c>
      <c r="C180" s="93">
        <v>60</v>
      </c>
      <c r="D180" s="93">
        <v>66</v>
      </c>
      <c r="E180" s="93">
        <v>55</v>
      </c>
      <c r="F180" s="93">
        <v>74</v>
      </c>
      <c r="G180" s="93">
        <v>61</v>
      </c>
      <c r="H180" s="93">
        <v>52</v>
      </c>
      <c r="I180" s="93">
        <v>77</v>
      </c>
      <c r="J180" s="92">
        <v>445</v>
      </c>
      <c r="K180" s="62"/>
    </row>
    <row r="181" spans="2:11" customFormat="1" ht="15" customHeight="1">
      <c r="B181" s="94">
        <v>2006</v>
      </c>
      <c r="C181" s="93">
        <v>60</v>
      </c>
      <c r="D181" s="93">
        <v>58</v>
      </c>
      <c r="E181" s="93">
        <v>69</v>
      </c>
      <c r="F181" s="93">
        <v>53</v>
      </c>
      <c r="G181" s="93">
        <v>72</v>
      </c>
      <c r="H181" s="93">
        <v>57</v>
      </c>
      <c r="I181" s="93">
        <v>52</v>
      </c>
      <c r="J181" s="92">
        <v>421</v>
      </c>
      <c r="K181" s="62"/>
    </row>
    <row r="182" spans="2:11" customFormat="1" ht="15" customHeight="1">
      <c r="B182" s="94">
        <v>2007</v>
      </c>
      <c r="C182" s="93">
        <v>60</v>
      </c>
      <c r="D182" s="93">
        <v>56</v>
      </c>
      <c r="E182" s="93">
        <v>56</v>
      </c>
      <c r="F182" s="93">
        <v>70</v>
      </c>
      <c r="G182" s="93">
        <v>51</v>
      </c>
      <c r="H182" s="93">
        <v>71</v>
      </c>
      <c r="I182" s="93">
        <v>58</v>
      </c>
      <c r="J182" s="92">
        <v>422</v>
      </c>
      <c r="K182" s="62"/>
    </row>
    <row r="183" spans="2:11" customFormat="1" ht="15" customHeight="1">
      <c r="B183" s="94">
        <v>2008</v>
      </c>
      <c r="C183" s="93">
        <v>70</v>
      </c>
      <c r="D183" s="93">
        <v>58</v>
      </c>
      <c r="E183" s="93">
        <v>57</v>
      </c>
      <c r="F183" s="93">
        <v>55</v>
      </c>
      <c r="G183" s="93">
        <v>67</v>
      </c>
      <c r="H183" s="93">
        <v>48</v>
      </c>
      <c r="I183" s="93">
        <v>73</v>
      </c>
      <c r="J183" s="92">
        <v>428</v>
      </c>
      <c r="K183" s="62"/>
    </row>
    <row r="184" spans="2:11" customFormat="1" ht="15" customHeight="1">
      <c r="B184" s="94">
        <v>2009</v>
      </c>
      <c r="C184" s="93">
        <v>75</v>
      </c>
      <c r="D184" s="93">
        <v>70</v>
      </c>
      <c r="E184" s="93">
        <v>59</v>
      </c>
      <c r="F184" s="93">
        <v>59</v>
      </c>
      <c r="G184" s="93">
        <v>52</v>
      </c>
      <c r="H184" s="93">
        <v>65</v>
      </c>
      <c r="I184" s="93">
        <v>50</v>
      </c>
      <c r="J184" s="94">
        <v>430</v>
      </c>
      <c r="K184" s="62"/>
    </row>
    <row r="185" spans="2:11" customFormat="1" ht="15" customHeight="1">
      <c r="B185" s="94">
        <v>2010</v>
      </c>
      <c r="C185" s="93">
        <v>69</v>
      </c>
      <c r="D185" s="93">
        <v>74</v>
      </c>
      <c r="E185" s="93">
        <v>65</v>
      </c>
      <c r="F185" s="93">
        <v>59</v>
      </c>
      <c r="G185" s="93">
        <v>66</v>
      </c>
      <c r="H185" s="93">
        <v>46</v>
      </c>
      <c r="I185" s="93">
        <v>63</v>
      </c>
      <c r="J185" s="92">
        <v>442</v>
      </c>
      <c r="K185" s="62"/>
    </row>
    <row r="186" spans="2:11" customFormat="1" ht="15" customHeight="1">
      <c r="B186" s="94">
        <v>2011</v>
      </c>
      <c r="C186" s="93">
        <v>90</v>
      </c>
      <c r="D186" s="93">
        <v>66</v>
      </c>
      <c r="E186" s="93">
        <v>67</v>
      </c>
      <c r="F186" s="93">
        <v>57</v>
      </c>
      <c r="G186" s="93">
        <v>58</v>
      </c>
      <c r="H186" s="93">
        <v>59</v>
      </c>
      <c r="I186" s="93">
        <v>50</v>
      </c>
      <c r="J186" s="92">
        <v>447</v>
      </c>
      <c r="K186" s="62"/>
    </row>
    <row r="187" spans="2:11" customFormat="1" ht="15" customHeight="1">
      <c r="B187" s="94">
        <v>2012</v>
      </c>
      <c r="C187" s="93">
        <v>74</v>
      </c>
      <c r="D187" s="93">
        <v>90</v>
      </c>
      <c r="E187" s="93">
        <v>68</v>
      </c>
      <c r="F187" s="93">
        <v>74</v>
      </c>
      <c r="G187" s="93">
        <v>61</v>
      </c>
      <c r="H187" s="93">
        <v>60</v>
      </c>
      <c r="I187" s="93">
        <v>63</v>
      </c>
      <c r="J187" s="92">
        <v>490</v>
      </c>
      <c r="K187" s="62"/>
    </row>
    <row r="188" spans="2:11" customFormat="1" ht="15" customHeight="1">
      <c r="B188" s="94">
        <v>2013</v>
      </c>
      <c r="C188" s="93">
        <v>81</v>
      </c>
      <c r="D188" s="93">
        <v>77</v>
      </c>
      <c r="E188" s="93">
        <v>88</v>
      </c>
      <c r="F188" s="93">
        <v>67</v>
      </c>
      <c r="G188" s="93">
        <v>75</v>
      </c>
      <c r="H188" s="93">
        <v>59</v>
      </c>
      <c r="I188" s="93">
        <v>54</v>
      </c>
      <c r="J188" s="94">
        <v>501</v>
      </c>
      <c r="K188" s="62"/>
    </row>
    <row r="189" spans="2:11" customFormat="1" ht="15" customHeight="1">
      <c r="B189" s="94">
        <v>2014</v>
      </c>
      <c r="C189" s="93">
        <v>90</v>
      </c>
      <c r="D189" s="93">
        <v>76</v>
      </c>
      <c r="E189" s="93">
        <v>73</v>
      </c>
      <c r="F189" s="93">
        <v>90</v>
      </c>
      <c r="G189" s="93">
        <v>63</v>
      </c>
      <c r="H189" s="93">
        <v>67</v>
      </c>
      <c r="I189" s="93">
        <v>58</v>
      </c>
      <c r="J189" s="92">
        <v>517</v>
      </c>
      <c r="K189" s="65"/>
    </row>
    <row r="190" spans="2:11" customFormat="1" ht="15" customHeight="1">
      <c r="B190" s="94">
        <v>2015</v>
      </c>
      <c r="C190" s="93">
        <v>86</v>
      </c>
      <c r="D190" s="93">
        <v>85</v>
      </c>
      <c r="E190" s="93">
        <v>73</v>
      </c>
      <c r="F190" s="93">
        <v>74</v>
      </c>
      <c r="G190" s="93">
        <v>88</v>
      </c>
      <c r="H190" s="93">
        <v>58</v>
      </c>
      <c r="I190" s="93">
        <v>73</v>
      </c>
      <c r="J190" s="92">
        <v>537</v>
      </c>
      <c r="K190" s="65"/>
    </row>
    <row r="191" spans="2:11" customFormat="1" ht="15" customHeight="1">
      <c r="B191" s="94">
        <v>2016</v>
      </c>
      <c r="C191" s="93">
        <v>87</v>
      </c>
      <c r="D191" s="93">
        <v>78</v>
      </c>
      <c r="E191" s="93">
        <v>87</v>
      </c>
      <c r="F191" s="93">
        <v>76</v>
      </c>
      <c r="G191" s="93">
        <v>83</v>
      </c>
      <c r="H191" s="93">
        <v>88</v>
      </c>
      <c r="I191" s="93">
        <v>60</v>
      </c>
      <c r="J191" s="92">
        <v>559</v>
      </c>
      <c r="K191" s="65"/>
    </row>
    <row r="192" spans="2:11" ht="15" customHeight="1">
      <c r="B192" s="94">
        <v>2017</v>
      </c>
      <c r="C192" s="93">
        <f>VLOOKUP($E$3,Rolls!A1:FA90,42,FALSE)</f>
        <v>85</v>
      </c>
      <c r="D192" s="93">
        <f>VLOOKUP($E$3,Rolls!A1:FA90,43,FALSE)</f>
        <v>90</v>
      </c>
      <c r="E192" s="93">
        <f>VLOOKUP($E$3,Rolls!A1:FA90,44,FALSE)</f>
        <v>86</v>
      </c>
      <c r="F192" s="93">
        <f>VLOOKUP($E$3,Rolls!A1:FA90,45,FALSE)</f>
        <v>92</v>
      </c>
      <c r="G192" s="93">
        <f>VLOOKUP($E$3,Rolls!A1:FA90,46,FALSE)</f>
        <v>82</v>
      </c>
      <c r="H192" s="93">
        <f>VLOOKUP($E$3,Rolls!A1:FA90,47,FALSE)</f>
        <v>84</v>
      </c>
      <c r="I192" s="93">
        <f>VLOOKUP($E$3,Rolls!A1:FA90,48,FALSE)</f>
        <v>88</v>
      </c>
      <c r="J192" s="92">
        <f>VLOOKUP($E$3,Rolls!A1:FA90,49,FALSE)</f>
        <v>607</v>
      </c>
      <c r="K192" s="65"/>
    </row>
    <row r="193" spans="2:11" ht="15" customHeight="1">
      <c r="B193" s="94">
        <v>2018</v>
      </c>
      <c r="C193" s="93">
        <f>VLOOKUP($E$3,Rolls!A1:FA90,50,FALSE)</f>
        <v>89</v>
      </c>
      <c r="D193" s="93">
        <f>VLOOKUP($E$3,Rolls!A1:FA90,51,FALSE)</f>
        <v>80</v>
      </c>
      <c r="E193" s="93">
        <f>VLOOKUP($E$3,Rolls!A1:FA90,52,FALSE)</f>
        <v>90</v>
      </c>
      <c r="F193" s="93">
        <f>VLOOKUP($E$3,Rolls!A1:FA90,53,FALSE)</f>
        <v>85</v>
      </c>
      <c r="G193" s="93">
        <f>VLOOKUP($E$3,Rolls!A1:FA90,54,FALSE)</f>
        <v>93</v>
      </c>
      <c r="H193" s="93">
        <f>VLOOKUP($E$3,Rolls!A1:FA90,55,FALSE)</f>
        <v>74</v>
      </c>
      <c r="I193" s="93">
        <f>VLOOKUP($E$3,Rolls!A1:FA90,56,FALSE)</f>
        <v>86</v>
      </c>
      <c r="J193" s="92">
        <f>VLOOKUP($E$3,Rolls!A1:FA90,57,FALSE)</f>
        <v>597</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Q193"/>
  <sheetViews>
    <sheetView topLeftCell="B39" zoomScaleNormal="100" workbookViewId="0">
      <selection activeCell="H64"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34</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Forthview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434 Pupils (15 classes)</v>
      </c>
      <c r="G12" s="16"/>
      <c r="H12" s="16"/>
    </row>
    <row r="13" spans="2:10" ht="15" customHeight="1">
      <c r="C13" s="16"/>
      <c r="D13" s="16"/>
      <c r="E13" s="16"/>
      <c r="F13" s="16"/>
      <c r="G13" s="16"/>
      <c r="H13" s="16"/>
    </row>
    <row r="14" spans="2:10" ht="15" customHeight="1">
      <c r="B14" s="15" t="str">
        <f>"Figure 1: "&amp;E3&amp;" Roll, 2002-2015"</f>
        <v>Figure 1: Forthview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Forthview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82</v>
      </c>
      <c r="E49" s="108">
        <f>VLOOKUP($E$3,'Catchment Projections'!$A$1:$BU$90,46,FALSE)</f>
        <v>85</v>
      </c>
      <c r="F49" s="108">
        <f>VLOOKUP($E$3,'Catchment Projections'!$A$1:$BU$90,47,FALSE)</f>
        <v>72</v>
      </c>
      <c r="G49" s="108">
        <f>VLOOKUP($E$3,'Catchment Projections'!$A$1:$BU$90,48,FALSE)</f>
        <v>82</v>
      </c>
      <c r="H49" s="133">
        <f>VLOOKUP($E$3,'Catchment Projections'!$A$1:$BU$90,49,FALSE)</f>
        <v>80</v>
      </c>
      <c r="I49" s="133">
        <f>VLOOKUP($E$3,'Catchment Projections'!$A$1:$BU$90,50,FALSE)</f>
        <v>82</v>
      </c>
      <c r="J49" s="133">
        <f>VLOOKUP($E$3,'Catchment Projections'!$A$1:$BU$90,51,FALSE)</f>
        <v>83</v>
      </c>
      <c r="K49" s="133">
        <f>VLOOKUP($E$3,'Catchment Projections'!$A$1:$BU$90,52,FALSE)</f>
        <v>84</v>
      </c>
      <c r="L49" s="133">
        <f>VLOOKUP($E$3,'Catchment Projections'!$A$1:$BU$90,53,FALSE)</f>
        <v>85</v>
      </c>
      <c r="M49" s="133">
        <f>VLOOKUP($E$3,'Catchment Projections'!$A$1:$BU$90,54,FALSE)</f>
        <v>85</v>
      </c>
      <c r="N49" s="133">
        <f>VLOOKUP($E$3,'Catchment Projections'!$A$1:$BU$90,55,FALSE)</f>
        <v>85</v>
      </c>
      <c r="O49" s="133">
        <f>VLOOKUP($E$3,'Catchment Projections'!$A$1:$BU$90,56,FALSE)</f>
        <v>85</v>
      </c>
      <c r="P49" s="133">
        <f>VLOOKUP($E$3,'Catchment Projections'!$A$1:$BU$90,57,FALSE)</f>
        <v>85</v>
      </c>
      <c r="Q49" s="133">
        <f>VLOOKUP($E$3,'Catchment Projections'!$A$1:$BU$90,58,FALSE)</f>
        <v>85</v>
      </c>
    </row>
    <row r="50" spans="2:17" ht="15" customHeight="1" thickBot="1">
      <c r="B50" s="410" t="s">
        <v>141</v>
      </c>
      <c r="C50" s="411"/>
      <c r="D50" s="286">
        <f>VLOOKUP(E3,'Housing Generation'!$A$3:$DQ$90,10,FALSE)</f>
        <v>1</v>
      </c>
      <c r="E50" s="286">
        <f>VLOOKUP(E3,'Housing Generation'!$A$3:$DQ$90,18,FALSE)</f>
        <v>1</v>
      </c>
      <c r="F50" s="286">
        <f>VLOOKUP(E3,'Housing Generation'!$A$3:$DQ$90,26,FALSE)</f>
        <v>1</v>
      </c>
      <c r="G50" s="243">
        <f>VLOOKUP(E3,'Housing Generation'!$A$3:$DQ$90,34,FALSE)</f>
        <v>1</v>
      </c>
      <c r="H50" s="133">
        <f>VLOOKUP(E3,'Housing Generation'!$A$3:$DQ$90,42,FALSE)</f>
        <v>1</v>
      </c>
      <c r="I50" s="133">
        <f>VLOOKUP(E3,'Housing Generation'!$A$3:$DQ$90,50,FALSE)</f>
        <v>1</v>
      </c>
      <c r="J50" s="133">
        <f>VLOOKUP(E3,'Housing Generation'!$A$3:$CK$90,58,FALSE)</f>
        <v>1</v>
      </c>
      <c r="K50" s="133">
        <f>VLOOKUP(E3,'Housing Generation'!$A$3:$CK$90,66,FALSE)</f>
        <v>1</v>
      </c>
      <c r="L50" s="133">
        <f>VLOOKUP(E3,'Housing Generation'!$A$3:$DQ$90,74,FALSE)</f>
        <v>2</v>
      </c>
      <c r="M50" s="133">
        <f>VLOOKUP(E3,'Housing Generation'!$A$3:$DQ$90,82,FALSE)</f>
        <v>2</v>
      </c>
      <c r="N50" s="133">
        <f>VLOOKUP(E3,'Housing Generation'!$A$3:$DQ$90,90,FALSE)</f>
        <v>2</v>
      </c>
      <c r="O50" s="133">
        <f>VLOOKUP(E3,'Housing Generation'!$A$3:$DQ$90,98,FALSE)</f>
        <v>2</v>
      </c>
      <c r="P50" s="133">
        <f>VLOOKUP(E3,'Housing Generation'!$A$3:$DQ$90,106,FALSE)</f>
        <v>2</v>
      </c>
      <c r="Q50" s="133">
        <f>VLOOKUP(E3,'Housing Generation'!$A$3:$DQ$90,114,FALSE)</f>
        <v>2</v>
      </c>
    </row>
    <row r="51" spans="2:17" ht="15" customHeight="1" thickTop="1">
      <c r="B51" s="421" t="s">
        <v>130</v>
      </c>
      <c r="C51" s="422"/>
      <c r="D51" s="47">
        <f t="shared" ref="D51:Q51" si="0">SUM(D49:D50)</f>
        <v>83</v>
      </c>
      <c r="E51" s="47">
        <f t="shared" si="0"/>
        <v>86</v>
      </c>
      <c r="F51" s="80">
        <f t="shared" si="0"/>
        <v>73</v>
      </c>
      <c r="G51" s="244">
        <f t="shared" si="0"/>
        <v>83</v>
      </c>
      <c r="H51" s="71">
        <f t="shared" si="0"/>
        <v>81</v>
      </c>
      <c r="I51" s="71">
        <f t="shared" si="0"/>
        <v>83</v>
      </c>
      <c r="J51" s="71">
        <f t="shared" si="0"/>
        <v>84</v>
      </c>
      <c r="K51" s="71">
        <f t="shared" si="0"/>
        <v>85</v>
      </c>
      <c r="L51" s="71">
        <f t="shared" si="0"/>
        <v>87</v>
      </c>
      <c r="M51" s="71">
        <f t="shared" si="0"/>
        <v>87</v>
      </c>
      <c r="N51" s="71">
        <f t="shared" si="0"/>
        <v>87</v>
      </c>
      <c r="O51" s="71">
        <f t="shared" si="0"/>
        <v>87</v>
      </c>
      <c r="P51" s="71">
        <f t="shared" si="0"/>
        <v>87</v>
      </c>
      <c r="Q51" s="71">
        <f t="shared" si="0"/>
        <v>87</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66</v>
      </c>
      <c r="D60" s="358">
        <f>VLOOKUP($E$3,'Catchment Projections'!$A$1:$BZ$90,74,FALSE)</f>
        <v>44</v>
      </c>
      <c r="E60" s="303">
        <f>D60/C60</f>
        <v>0.66666666666666663</v>
      </c>
      <c r="G60" s="132">
        <v>2014</v>
      </c>
      <c r="H60" s="395">
        <f>VLOOKUP($G$60,$B$177:$C$215, 2, FALSE)</f>
        <v>53</v>
      </c>
      <c r="I60" s="120">
        <f>H60-D60</f>
        <v>9</v>
      </c>
      <c r="J60" s="121">
        <f>I60/H60</f>
        <v>0.16981132075471697</v>
      </c>
    </row>
    <row r="61" spans="2:17" ht="15" customHeight="1">
      <c r="B61" s="132">
        <v>2015</v>
      </c>
      <c r="C61" s="359">
        <f>VLOOKUP($E$3,'Catchment Projections'!$A$1:$BZ$90,41,FALSE)</f>
        <v>63</v>
      </c>
      <c r="D61" s="358">
        <f>VLOOKUP($E$3,'Catchment Projections'!$A$1:$BZ$90,75,FALSE)</f>
        <v>42</v>
      </c>
      <c r="E61" s="303">
        <f>D61/C61</f>
        <v>0.66666666666666663</v>
      </c>
      <c r="G61" s="132">
        <v>2015</v>
      </c>
      <c r="H61" s="395">
        <f>VLOOKUP($G$61,$B$177:$C$215, 2, FALSE)</f>
        <v>48</v>
      </c>
      <c r="I61" s="120">
        <f>H61-D61</f>
        <v>6</v>
      </c>
      <c r="J61" s="121">
        <f>I61/H61</f>
        <v>0.125</v>
      </c>
    </row>
    <row r="62" spans="2:17" ht="15" customHeight="1">
      <c r="B62" s="131">
        <v>2016</v>
      </c>
      <c r="C62" s="359">
        <f>VLOOKUP($E$3,'Catchment Projections'!$A$1:$BZ$90,42,FALSE)</f>
        <v>68</v>
      </c>
      <c r="D62" s="358">
        <f>VLOOKUP($E$3,'Catchment Projections'!$A$1:$BZ$90,76,FALSE)</f>
        <v>47</v>
      </c>
      <c r="E62" s="57">
        <f>D62/C62</f>
        <v>0.69117647058823528</v>
      </c>
      <c r="G62" s="131">
        <v>2016</v>
      </c>
      <c r="H62" s="395">
        <f>VLOOKUP($G$62,$B$177:$C$215, 2, FALSE)</f>
        <v>54</v>
      </c>
      <c r="I62" s="120">
        <f>H62-D62</f>
        <v>7</v>
      </c>
      <c r="J62" s="121">
        <f>I62/H62</f>
        <v>0.12962962962962962</v>
      </c>
    </row>
    <row r="63" spans="2:17" ht="15" customHeight="1">
      <c r="B63" s="114">
        <v>2017</v>
      </c>
      <c r="C63" s="359">
        <f>VLOOKUP($E$3,'Catchment Projections'!$A$1:$BZ$90,43,FALSE)</f>
        <v>67</v>
      </c>
      <c r="D63" s="358">
        <f>VLOOKUP($E$3,'Catchment Projections'!$A$1:$BZ$90,77,FALSE)</f>
        <v>49</v>
      </c>
      <c r="E63" s="304">
        <f>D63/C63</f>
        <v>0.73134328358208955</v>
      </c>
      <c r="G63" s="114">
        <v>2017</v>
      </c>
      <c r="H63" s="395">
        <f>VLOOKUP($G$63,$B$177:$C$215, 2, FALSE)</f>
        <v>58</v>
      </c>
      <c r="I63" s="120">
        <f>H63-D63</f>
        <v>9</v>
      </c>
      <c r="J63" s="121">
        <f>I63/H63</f>
        <v>0.15517241379310345</v>
      </c>
    </row>
    <row r="64" spans="2:17" ht="15" customHeight="1">
      <c r="B64" s="114">
        <v>2018</v>
      </c>
      <c r="C64" s="359">
        <f>VLOOKUP($E$3,'Catchment Projections'!$A$1:$BZ$90,44,FALSE)</f>
        <v>69</v>
      </c>
      <c r="D64" s="358">
        <f>VLOOKUP($E$3,'Catchment Projections'!$A$1:$BZ$90,78,FALSE)</f>
        <v>52</v>
      </c>
      <c r="E64" s="305">
        <f>D64/C64</f>
        <v>0.75362318840579712</v>
      </c>
      <c r="G64" s="114">
        <v>2018</v>
      </c>
      <c r="H64" s="395">
        <f>VLOOKUP($G$64,$B$177:$C$215, 2, FALSE)</f>
        <v>59</v>
      </c>
      <c r="I64" s="120">
        <f>H64-D64</f>
        <v>7</v>
      </c>
      <c r="J64" s="121">
        <f>I64/H64</f>
        <v>0.11864406779661017</v>
      </c>
    </row>
    <row r="65" spans="2:10" ht="15" customHeight="1">
      <c r="B65" s="412" t="s">
        <v>136</v>
      </c>
      <c r="C65" s="413"/>
      <c r="D65" s="414"/>
      <c r="E65" s="137">
        <f>IF((AVERAGE(E62:E64))="#DIV/0!","n/a",(AVERAGE(E62:E64)))</f>
        <v>0.72538098085870717</v>
      </c>
      <c r="G65" s="415" t="s">
        <v>137</v>
      </c>
      <c r="H65" s="416"/>
      <c r="I65" s="138">
        <f>MEDIAN(I60:I64)</f>
        <v>7</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83</v>
      </c>
      <c r="D70" s="408"/>
      <c r="E70" s="122">
        <f>E65</f>
        <v>0.72538098085870717</v>
      </c>
      <c r="F70" s="120">
        <f t="shared" ref="F70:F83" si="1">C70*$E$65</f>
        <v>60.206621411272693</v>
      </c>
      <c r="G70" s="118">
        <f>IF(F70&lt;26,25,IF(F70&gt;135,140,IF(F70&gt;130,135,IF(F70&gt;125,130,IF(F70&gt;120,125,IF(F70&gt;115,120,IF(F70&gt;110,115,IF(F70&gt;105,110,IF(F70&gt;100,105,IF(F70&gt;99,100,IF(F70&gt;90,99,IF(F70&gt;75,90,IF(F70&gt;72,75,IF(F70&gt;66,72,IF(F70&gt;60,66,IF(F70&gt;50,60,IF(F70&gt;30,50,IF(F70&gt;25,30,0))))))))))))))))))</f>
        <v>66</v>
      </c>
      <c r="H70" s="119">
        <f t="shared" ref="H70:H83" si="2">G70-F70</f>
        <v>5.7933785887273075</v>
      </c>
      <c r="I70" s="118" t="str">
        <f>IF(I$65&lt;H70, "NO", "YES")</f>
        <v>YES</v>
      </c>
      <c r="J70" s="117">
        <f t="shared" ref="J70:J83" si="3">IF(I70="YES",G70,(MIN((SUM(F70,$I$65)),G70)))</f>
        <v>66</v>
      </c>
    </row>
    <row r="71" spans="2:10" ht="15" customHeight="1">
      <c r="B71" s="114">
        <v>2020</v>
      </c>
      <c r="C71" s="433">
        <f>E51</f>
        <v>86</v>
      </c>
      <c r="D71" s="408"/>
      <c r="E71" s="121">
        <f>E65</f>
        <v>0.72538098085870717</v>
      </c>
      <c r="F71" s="120">
        <f t="shared" si="1"/>
        <v>62.382764353848813</v>
      </c>
      <c r="G71" s="118">
        <f t="shared" ref="G71:G83" si="4">IF(F71&lt;26,25,IF(F71&gt;135,140,IF(F71&gt;130,135,IF(F71&gt;125,130,IF(F71&gt;120,125,IF(F71&gt;115,120,IF(F71&gt;110,115,IF(F71&gt;105,110,IF(F71&gt;100,105,IF(F71&gt;99,100,IF(F71&gt;90,99,IF(F71&gt;75,90,IF(F71&gt;72,75,IF(F71&gt;66,72,IF(F71&gt;60,66,IF(F71&gt;50,60,IF(F71&gt;30,50,IF(F71&gt;25,30,0))))))))))))))))))</f>
        <v>66</v>
      </c>
      <c r="H71" s="119">
        <f t="shared" si="2"/>
        <v>3.6172356461511868</v>
      </c>
      <c r="I71" s="118" t="str">
        <f t="shared" ref="I71:I83" si="5">IF(I$65&lt;H71, "NO", "YES")</f>
        <v>YES</v>
      </c>
      <c r="J71" s="117">
        <f t="shared" si="3"/>
        <v>66</v>
      </c>
    </row>
    <row r="72" spans="2:10" ht="15" customHeight="1">
      <c r="B72" s="114">
        <v>2021</v>
      </c>
      <c r="C72" s="430">
        <f>F51</f>
        <v>73</v>
      </c>
      <c r="D72" s="431"/>
      <c r="E72" s="121">
        <f>E65</f>
        <v>0.72538098085870717</v>
      </c>
      <c r="F72" s="120">
        <f t="shared" si="1"/>
        <v>52.952811602685621</v>
      </c>
      <c r="G72" s="118">
        <f t="shared" si="4"/>
        <v>60</v>
      </c>
      <c r="H72" s="119">
        <f t="shared" si="2"/>
        <v>7.047188397314379</v>
      </c>
      <c r="I72" s="118" t="str">
        <f t="shared" si="5"/>
        <v>NO</v>
      </c>
      <c r="J72" s="117">
        <f t="shared" si="3"/>
        <v>59.952811602685621</v>
      </c>
    </row>
    <row r="73" spans="2:10" ht="15" customHeight="1">
      <c r="B73" s="114">
        <v>2022</v>
      </c>
      <c r="C73" s="430">
        <f>G51</f>
        <v>83</v>
      </c>
      <c r="D73" s="431"/>
      <c r="E73" s="121">
        <f>E65</f>
        <v>0.72538098085870717</v>
      </c>
      <c r="F73" s="120">
        <f t="shared" si="1"/>
        <v>60.206621411272693</v>
      </c>
      <c r="G73" s="118">
        <f t="shared" si="4"/>
        <v>66</v>
      </c>
      <c r="H73" s="119">
        <f t="shared" si="2"/>
        <v>5.7933785887273075</v>
      </c>
      <c r="I73" s="118" t="str">
        <f t="shared" si="5"/>
        <v>YES</v>
      </c>
      <c r="J73" s="117">
        <f t="shared" si="3"/>
        <v>66</v>
      </c>
    </row>
    <row r="74" spans="2:10" ht="15" customHeight="1">
      <c r="B74" s="114">
        <v>2023</v>
      </c>
      <c r="C74" s="430">
        <f>H51</f>
        <v>81</v>
      </c>
      <c r="D74" s="431"/>
      <c r="E74" s="121">
        <f>E65</f>
        <v>0.72538098085870717</v>
      </c>
      <c r="F74" s="120">
        <f t="shared" si="1"/>
        <v>58.755859449555281</v>
      </c>
      <c r="G74" s="118">
        <f t="shared" si="4"/>
        <v>60</v>
      </c>
      <c r="H74" s="119">
        <f t="shared" si="2"/>
        <v>1.2441405504447189</v>
      </c>
      <c r="I74" s="118" t="str">
        <f t="shared" si="5"/>
        <v>YES</v>
      </c>
      <c r="J74" s="117">
        <f t="shared" si="3"/>
        <v>60</v>
      </c>
    </row>
    <row r="75" spans="2:10" ht="15" customHeight="1">
      <c r="B75" s="114">
        <v>2024</v>
      </c>
      <c r="C75" s="430">
        <f>I51</f>
        <v>83</v>
      </c>
      <c r="D75" s="431"/>
      <c r="E75" s="121">
        <f>E65</f>
        <v>0.72538098085870717</v>
      </c>
      <c r="F75" s="120">
        <f t="shared" si="1"/>
        <v>60.206621411272693</v>
      </c>
      <c r="G75" s="118">
        <f t="shared" si="4"/>
        <v>66</v>
      </c>
      <c r="H75" s="119">
        <f t="shared" si="2"/>
        <v>5.7933785887273075</v>
      </c>
      <c r="I75" s="118" t="str">
        <f t="shared" si="5"/>
        <v>YES</v>
      </c>
      <c r="J75" s="117">
        <f t="shared" si="3"/>
        <v>66</v>
      </c>
    </row>
    <row r="76" spans="2:10" ht="15" customHeight="1">
      <c r="B76" s="114">
        <v>2025</v>
      </c>
      <c r="C76" s="430">
        <f>J51</f>
        <v>84</v>
      </c>
      <c r="D76" s="431"/>
      <c r="E76" s="121">
        <f>E65</f>
        <v>0.72538098085870717</v>
      </c>
      <c r="F76" s="120">
        <f t="shared" si="1"/>
        <v>60.932002392131402</v>
      </c>
      <c r="G76" s="118">
        <f t="shared" si="4"/>
        <v>66</v>
      </c>
      <c r="H76" s="119">
        <f t="shared" si="2"/>
        <v>5.0679976078685982</v>
      </c>
      <c r="I76" s="118" t="str">
        <f t="shared" si="5"/>
        <v>YES</v>
      </c>
      <c r="J76" s="117">
        <f t="shared" si="3"/>
        <v>66</v>
      </c>
    </row>
    <row r="77" spans="2:10" ht="15" customHeight="1">
      <c r="B77" s="114">
        <v>2026</v>
      </c>
      <c r="C77" s="430">
        <f>K51</f>
        <v>85</v>
      </c>
      <c r="D77" s="431"/>
      <c r="E77" s="121">
        <f>E65</f>
        <v>0.72538098085870717</v>
      </c>
      <c r="F77" s="120">
        <f t="shared" si="1"/>
        <v>61.657383372990111</v>
      </c>
      <c r="G77" s="118">
        <f t="shared" si="4"/>
        <v>66</v>
      </c>
      <c r="H77" s="119">
        <f t="shared" si="2"/>
        <v>4.3426166270098889</v>
      </c>
      <c r="I77" s="118" t="str">
        <f t="shared" si="5"/>
        <v>YES</v>
      </c>
      <c r="J77" s="117">
        <f t="shared" si="3"/>
        <v>66</v>
      </c>
    </row>
    <row r="78" spans="2:10" ht="15" customHeight="1">
      <c r="B78" s="114">
        <v>2027</v>
      </c>
      <c r="C78" s="430">
        <f>L51</f>
        <v>87</v>
      </c>
      <c r="D78" s="431"/>
      <c r="E78" s="121">
        <f>E65</f>
        <v>0.72538098085870717</v>
      </c>
      <c r="F78" s="120">
        <f t="shared" si="1"/>
        <v>63.108145334707523</v>
      </c>
      <c r="G78" s="118">
        <f t="shared" si="4"/>
        <v>66</v>
      </c>
      <c r="H78" s="119">
        <f t="shared" si="2"/>
        <v>2.8918546652924775</v>
      </c>
      <c r="I78" s="118" t="str">
        <f t="shared" si="5"/>
        <v>YES</v>
      </c>
      <c r="J78" s="117">
        <f t="shared" si="3"/>
        <v>66</v>
      </c>
    </row>
    <row r="79" spans="2:10" ht="15" customHeight="1">
      <c r="B79" s="114">
        <v>2028</v>
      </c>
      <c r="C79" s="430">
        <f>M51</f>
        <v>87</v>
      </c>
      <c r="D79" s="431"/>
      <c r="E79" s="121">
        <f t="shared" ref="E79:E83" si="6">$E$65</f>
        <v>0.72538098085870717</v>
      </c>
      <c r="F79" s="120">
        <f t="shared" si="1"/>
        <v>63.108145334707523</v>
      </c>
      <c r="G79" s="118">
        <f t="shared" si="4"/>
        <v>66</v>
      </c>
      <c r="H79" s="119">
        <f t="shared" si="2"/>
        <v>2.8918546652924775</v>
      </c>
      <c r="I79" s="118" t="str">
        <f t="shared" si="5"/>
        <v>YES</v>
      </c>
      <c r="J79" s="117">
        <f t="shared" si="3"/>
        <v>66</v>
      </c>
    </row>
    <row r="80" spans="2:10" ht="15" customHeight="1">
      <c r="B80" s="114">
        <v>2029</v>
      </c>
      <c r="C80" s="430">
        <f>N51</f>
        <v>87</v>
      </c>
      <c r="D80" s="431"/>
      <c r="E80" s="121">
        <f t="shared" si="6"/>
        <v>0.72538098085870717</v>
      </c>
      <c r="F80" s="120">
        <f t="shared" si="1"/>
        <v>63.108145334707523</v>
      </c>
      <c r="G80" s="118">
        <f t="shared" si="4"/>
        <v>66</v>
      </c>
      <c r="H80" s="119">
        <f t="shared" si="2"/>
        <v>2.8918546652924775</v>
      </c>
      <c r="I80" s="118" t="str">
        <f t="shared" si="5"/>
        <v>YES</v>
      </c>
      <c r="J80" s="117">
        <f t="shared" si="3"/>
        <v>66</v>
      </c>
    </row>
    <row r="81" spans="2:10" ht="15" customHeight="1">
      <c r="B81" s="114">
        <v>2030</v>
      </c>
      <c r="C81" s="430">
        <f>O51</f>
        <v>87</v>
      </c>
      <c r="D81" s="431"/>
      <c r="E81" s="121">
        <f t="shared" si="6"/>
        <v>0.72538098085870717</v>
      </c>
      <c r="F81" s="120">
        <f t="shared" si="1"/>
        <v>63.108145334707523</v>
      </c>
      <c r="G81" s="118">
        <f t="shared" si="4"/>
        <v>66</v>
      </c>
      <c r="H81" s="119">
        <f t="shared" si="2"/>
        <v>2.8918546652924775</v>
      </c>
      <c r="I81" s="118" t="str">
        <f t="shared" si="5"/>
        <v>YES</v>
      </c>
      <c r="J81" s="117">
        <f t="shared" si="3"/>
        <v>66</v>
      </c>
    </row>
    <row r="82" spans="2:10" ht="15" customHeight="1">
      <c r="B82" s="114">
        <v>2031</v>
      </c>
      <c r="C82" s="430">
        <f>P51</f>
        <v>87</v>
      </c>
      <c r="D82" s="431"/>
      <c r="E82" s="121">
        <f t="shared" si="6"/>
        <v>0.72538098085870717</v>
      </c>
      <c r="F82" s="120">
        <f t="shared" si="1"/>
        <v>63.108145334707523</v>
      </c>
      <c r="G82" s="118">
        <f t="shared" si="4"/>
        <v>66</v>
      </c>
      <c r="H82" s="119">
        <f t="shared" si="2"/>
        <v>2.8918546652924775</v>
      </c>
      <c r="I82" s="118" t="str">
        <f t="shared" si="5"/>
        <v>YES</v>
      </c>
      <c r="J82" s="117">
        <f t="shared" si="3"/>
        <v>66</v>
      </c>
    </row>
    <row r="83" spans="2:10" ht="15" customHeight="1">
      <c r="B83" s="114">
        <v>2032</v>
      </c>
      <c r="C83" s="430">
        <f>Q51</f>
        <v>87</v>
      </c>
      <c r="D83" s="431"/>
      <c r="E83" s="121">
        <f t="shared" si="6"/>
        <v>0.72538098085870717</v>
      </c>
      <c r="F83" s="120">
        <f t="shared" si="1"/>
        <v>63.108145334707523</v>
      </c>
      <c r="G83" s="118">
        <f t="shared" si="4"/>
        <v>66</v>
      </c>
      <c r="H83" s="119">
        <f t="shared" si="2"/>
        <v>2.8918546652924775</v>
      </c>
      <c r="I83" s="118" t="str">
        <f t="shared" si="5"/>
        <v>YES</v>
      </c>
      <c r="J83" s="117">
        <f t="shared" si="3"/>
        <v>66</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Forthview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58</v>
      </c>
      <c r="D91" s="112">
        <f t="shared" ref="D91:J91" si="7">D188</f>
        <v>56</v>
      </c>
      <c r="E91" s="112">
        <f t="shared" si="7"/>
        <v>45</v>
      </c>
      <c r="F91" s="112">
        <f t="shared" si="7"/>
        <v>45</v>
      </c>
      <c r="G91" s="112">
        <f t="shared" si="7"/>
        <v>55</v>
      </c>
      <c r="H91" s="112">
        <f t="shared" si="7"/>
        <v>51</v>
      </c>
      <c r="I91" s="112">
        <f t="shared" si="7"/>
        <v>55</v>
      </c>
      <c r="J91" s="213">
        <f t="shared" si="7"/>
        <v>365</v>
      </c>
    </row>
    <row r="92" spans="2:10" ht="15" customHeight="1">
      <c r="B92" s="114">
        <v>2014</v>
      </c>
      <c r="C92" s="112">
        <f>C189</f>
        <v>53</v>
      </c>
      <c r="D92" s="112">
        <f t="shared" ref="D92:J92" si="8">D189</f>
        <v>58</v>
      </c>
      <c r="E92" s="112">
        <f t="shared" si="8"/>
        <v>59</v>
      </c>
      <c r="F92" s="112">
        <f t="shared" si="8"/>
        <v>41</v>
      </c>
      <c r="G92" s="112">
        <f t="shared" si="8"/>
        <v>46</v>
      </c>
      <c r="H92" s="112">
        <f t="shared" si="8"/>
        <v>55</v>
      </c>
      <c r="I92" s="112">
        <f t="shared" si="8"/>
        <v>51</v>
      </c>
      <c r="J92" s="213">
        <f t="shared" si="8"/>
        <v>363</v>
      </c>
    </row>
    <row r="93" spans="2:10" ht="15" customHeight="1">
      <c r="B93" s="114">
        <v>2015</v>
      </c>
      <c r="C93" s="112">
        <f>C190</f>
        <v>48</v>
      </c>
      <c r="D93" s="112">
        <f t="shared" ref="D93:J93" si="9">D190</f>
        <v>53</v>
      </c>
      <c r="E93" s="112">
        <f t="shared" si="9"/>
        <v>56</v>
      </c>
      <c r="F93" s="112">
        <f t="shared" si="9"/>
        <v>60</v>
      </c>
      <c r="G93" s="112">
        <f t="shared" si="9"/>
        <v>40</v>
      </c>
      <c r="H93" s="112">
        <f t="shared" si="9"/>
        <v>48</v>
      </c>
      <c r="I93" s="112">
        <f t="shared" si="9"/>
        <v>58</v>
      </c>
      <c r="J93" s="213">
        <f t="shared" si="9"/>
        <v>363</v>
      </c>
    </row>
    <row r="94" spans="2:10" ht="15" customHeight="1">
      <c r="B94" s="114">
        <v>2016</v>
      </c>
      <c r="C94" s="112">
        <f>C191</f>
        <v>54</v>
      </c>
      <c r="D94" s="112">
        <f t="shared" ref="D94:J94" si="10">D191</f>
        <v>52</v>
      </c>
      <c r="E94" s="112">
        <f t="shared" si="10"/>
        <v>52</v>
      </c>
      <c r="F94" s="112">
        <f t="shared" si="10"/>
        <v>55</v>
      </c>
      <c r="G94" s="112">
        <f t="shared" si="10"/>
        <v>58</v>
      </c>
      <c r="H94" s="112">
        <f t="shared" si="10"/>
        <v>40</v>
      </c>
      <c r="I94" s="112">
        <f t="shared" si="10"/>
        <v>47</v>
      </c>
      <c r="J94" s="213">
        <f t="shared" si="10"/>
        <v>358</v>
      </c>
    </row>
    <row r="95" spans="2:10" ht="15" customHeight="1">
      <c r="B95" s="114">
        <v>2017</v>
      </c>
      <c r="C95" s="112">
        <f>C192</f>
        <v>58</v>
      </c>
      <c r="D95" s="112">
        <f t="shared" ref="D95:J95" si="11">D192</f>
        <v>59</v>
      </c>
      <c r="E95" s="112">
        <f t="shared" si="11"/>
        <v>55</v>
      </c>
      <c r="F95" s="112">
        <f t="shared" si="11"/>
        <v>55</v>
      </c>
      <c r="G95" s="112">
        <f t="shared" si="11"/>
        <v>58</v>
      </c>
      <c r="H95" s="112">
        <f t="shared" si="11"/>
        <v>62</v>
      </c>
      <c r="I95" s="112">
        <f t="shared" si="11"/>
        <v>47</v>
      </c>
      <c r="J95" s="213">
        <f t="shared" si="11"/>
        <v>394</v>
      </c>
    </row>
    <row r="96" spans="2:10" ht="15" customHeight="1">
      <c r="B96" s="307">
        <v>2018</v>
      </c>
      <c r="C96" s="112">
        <f t="shared" ref="C96:J96" si="12">C193</f>
        <v>59</v>
      </c>
      <c r="D96" s="112">
        <f t="shared" si="12"/>
        <v>56</v>
      </c>
      <c r="E96" s="112">
        <f t="shared" si="12"/>
        <v>59</v>
      </c>
      <c r="F96" s="112">
        <f t="shared" si="12"/>
        <v>56</v>
      </c>
      <c r="G96" s="112">
        <f t="shared" si="12"/>
        <v>58</v>
      </c>
      <c r="H96" s="112">
        <f t="shared" si="12"/>
        <v>61</v>
      </c>
      <c r="I96" s="112">
        <f t="shared" si="12"/>
        <v>64</v>
      </c>
      <c r="J96" s="213">
        <f t="shared" si="12"/>
        <v>413</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0</v>
      </c>
      <c r="E98" s="210">
        <f t="shared" ref="E98:I98" si="13">MEDIAN(((D91-E92)/D91),((D92-E93)/D92),((D93-E94)/D93),((D94-E95)/D94),((D95-E96)/D95))</f>
        <v>0</v>
      </c>
      <c r="F98" s="210">
        <f t="shared" si="13"/>
        <v>-1.6949152542372881E-2</v>
      </c>
      <c r="G98" s="210">
        <f t="shared" si="13"/>
        <v>-2.2222222222222223E-2</v>
      </c>
      <c r="H98" s="210">
        <f t="shared" si="13"/>
        <v>-4.3478260869565216E-2</v>
      </c>
      <c r="I98" s="210">
        <f t="shared" si="13"/>
        <v>-3.2258064516129031E-2</v>
      </c>
    </row>
    <row r="99" spans="2:10" ht="18.75">
      <c r="B99" s="59"/>
      <c r="C99" s="60"/>
      <c r="D99" s="61"/>
      <c r="E99" s="61"/>
      <c r="F99" s="61"/>
      <c r="G99" s="61"/>
      <c r="H99" s="61"/>
      <c r="I99" s="61"/>
      <c r="J99" s="58"/>
    </row>
    <row r="100" spans="2:10">
      <c r="B100" s="15" t="str">
        <f>"Table 4B: "&amp;E3&amp;" Projected Roll by Stage (incorporating Projected P1 and Drop-Off Rates), 2019-2032"</f>
        <v>Table 4B: Forthview Primary School Projected Roll by Stage (incorporating Projected P1 and Drop-Off Rates), 2019-2032</v>
      </c>
      <c r="F100" s="14"/>
      <c r="G100" s="14"/>
    </row>
    <row r="101" spans="2:10" ht="12.75">
      <c r="F101" s="14"/>
      <c r="G101" s="14"/>
    </row>
    <row r="102" spans="2:10">
      <c r="B102" s="115"/>
      <c r="C102" s="109" t="s">
        <v>1</v>
      </c>
      <c r="D102" s="109" t="s">
        <v>2</v>
      </c>
      <c r="E102" s="109" t="s">
        <v>3</v>
      </c>
      <c r="F102" s="109" t="s">
        <v>4</v>
      </c>
      <c r="G102" s="109" t="s">
        <v>5</v>
      </c>
      <c r="H102" s="109" t="s">
        <v>6</v>
      </c>
      <c r="I102" s="109" t="s">
        <v>7</v>
      </c>
      <c r="J102" s="109" t="s">
        <v>8</v>
      </c>
    </row>
    <row r="103" spans="2:10">
      <c r="B103" s="114">
        <v>2019</v>
      </c>
      <c r="C103" s="113">
        <f t="shared" ref="C103:C116" si="14">J70</f>
        <v>66</v>
      </c>
      <c r="D103" s="324">
        <f>ROUND((C96)-(C96*$D$98),0)</f>
        <v>59</v>
      </c>
      <c r="E103" s="324">
        <f>ROUND((D96)-(D96*$E$98),0)</f>
        <v>56</v>
      </c>
      <c r="F103" s="324">
        <f>ROUND((E96)-(E96*$F$98),0)</f>
        <v>60</v>
      </c>
      <c r="G103" s="324">
        <f>ROUND((F96)-(F96*$G$98),0)</f>
        <v>57</v>
      </c>
      <c r="H103" s="324">
        <f>ROUND((G96)-(G96*$H$98),0)</f>
        <v>61</v>
      </c>
      <c r="I103" s="324">
        <f>ROUND((H96)-(H96*$I$98),0)</f>
        <v>63</v>
      </c>
      <c r="J103" s="111">
        <f t="shared" ref="J103:J116" si="15">SUM(C103:I103)</f>
        <v>422</v>
      </c>
    </row>
    <row r="104" spans="2:10">
      <c r="B104" s="114">
        <v>2020</v>
      </c>
      <c r="C104" s="113">
        <f t="shared" si="14"/>
        <v>66</v>
      </c>
      <c r="D104" s="324">
        <f>ROUND((C103-E50)-(C103*$D$98),0)</f>
        <v>65</v>
      </c>
      <c r="E104" s="112">
        <f t="shared" ref="E104:E116" si="16">ROUND((D103)-(D103*$E$98),0)</f>
        <v>59</v>
      </c>
      <c r="F104" s="112">
        <f t="shared" ref="F104:F116" si="17">ROUND((E103)-(E103*$F$98),0)</f>
        <v>57</v>
      </c>
      <c r="G104" s="112">
        <f t="shared" ref="G104:G116" si="18">ROUND((F103)-(F103*$G$98),0)</f>
        <v>61</v>
      </c>
      <c r="H104" s="112">
        <f t="shared" ref="H104:H116" si="19">ROUND((G103)-(G103*$H$98),0)</f>
        <v>59</v>
      </c>
      <c r="I104" s="112">
        <f t="shared" ref="I104:I116" si="20">ROUND((H103)-(H103*$I$98),0)</f>
        <v>63</v>
      </c>
      <c r="J104" s="111">
        <f t="shared" si="15"/>
        <v>430</v>
      </c>
    </row>
    <row r="105" spans="2:10">
      <c r="B105" s="114">
        <v>2021</v>
      </c>
      <c r="C105" s="113">
        <f t="shared" si="14"/>
        <v>59.952811602685621</v>
      </c>
      <c r="D105" s="324">
        <f>ROUND((C104-F50)-(C104*$D$98),0)</f>
        <v>65</v>
      </c>
      <c r="E105" s="112">
        <f t="shared" si="16"/>
        <v>65</v>
      </c>
      <c r="F105" s="112">
        <f t="shared" si="17"/>
        <v>60</v>
      </c>
      <c r="G105" s="112">
        <f t="shared" si="18"/>
        <v>58</v>
      </c>
      <c r="H105" s="112">
        <f t="shared" si="19"/>
        <v>64</v>
      </c>
      <c r="I105" s="112">
        <f t="shared" si="20"/>
        <v>61</v>
      </c>
      <c r="J105" s="111">
        <f t="shared" si="15"/>
        <v>432.95281160268564</v>
      </c>
    </row>
    <row r="106" spans="2:10">
      <c r="B106" s="114">
        <v>2022</v>
      </c>
      <c r="C106" s="113">
        <f t="shared" si="14"/>
        <v>66</v>
      </c>
      <c r="D106" s="324">
        <f>ROUND((C105-G50)-(C105*$D$98),0)</f>
        <v>59</v>
      </c>
      <c r="E106" s="112">
        <f t="shared" si="16"/>
        <v>65</v>
      </c>
      <c r="F106" s="112">
        <f t="shared" si="17"/>
        <v>66</v>
      </c>
      <c r="G106" s="112">
        <f t="shared" si="18"/>
        <v>61</v>
      </c>
      <c r="H106" s="112">
        <f t="shared" si="19"/>
        <v>61</v>
      </c>
      <c r="I106" s="112">
        <f t="shared" si="20"/>
        <v>66</v>
      </c>
      <c r="J106" s="111">
        <f t="shared" si="15"/>
        <v>444</v>
      </c>
    </row>
    <row r="107" spans="2:10">
      <c r="B107" s="114">
        <v>2023</v>
      </c>
      <c r="C107" s="113">
        <f t="shared" si="14"/>
        <v>60</v>
      </c>
      <c r="D107" s="324">
        <f>ROUND((C106-H50)-(C106*$D$98),0)</f>
        <v>65</v>
      </c>
      <c r="E107" s="112">
        <f t="shared" si="16"/>
        <v>59</v>
      </c>
      <c r="F107" s="112">
        <f t="shared" si="17"/>
        <v>66</v>
      </c>
      <c r="G107" s="112">
        <f t="shared" si="18"/>
        <v>67</v>
      </c>
      <c r="H107" s="112">
        <f t="shared" si="19"/>
        <v>64</v>
      </c>
      <c r="I107" s="112">
        <f t="shared" si="20"/>
        <v>63</v>
      </c>
      <c r="J107" s="111">
        <f t="shared" si="15"/>
        <v>444</v>
      </c>
    </row>
    <row r="108" spans="2:10">
      <c r="B108" s="114">
        <v>2024</v>
      </c>
      <c r="C108" s="113">
        <f t="shared" si="14"/>
        <v>66</v>
      </c>
      <c r="D108" s="324">
        <f>ROUND((C107-I50)-(C107*$D$98),0)</f>
        <v>59</v>
      </c>
      <c r="E108" s="112">
        <f t="shared" si="16"/>
        <v>65</v>
      </c>
      <c r="F108" s="112">
        <f t="shared" si="17"/>
        <v>60</v>
      </c>
      <c r="G108" s="112">
        <f t="shared" si="18"/>
        <v>67</v>
      </c>
      <c r="H108" s="112">
        <f t="shared" si="19"/>
        <v>70</v>
      </c>
      <c r="I108" s="112">
        <f t="shared" si="20"/>
        <v>66</v>
      </c>
      <c r="J108" s="111">
        <f t="shared" si="15"/>
        <v>453</v>
      </c>
    </row>
    <row r="109" spans="2:10">
      <c r="B109" s="114">
        <v>2025</v>
      </c>
      <c r="C109" s="113">
        <f t="shared" si="14"/>
        <v>66</v>
      </c>
      <c r="D109" s="324">
        <f>ROUND((C108-J50)-(C108*$D$98),0)</f>
        <v>65</v>
      </c>
      <c r="E109" s="112">
        <f t="shared" si="16"/>
        <v>59</v>
      </c>
      <c r="F109" s="112">
        <f t="shared" si="17"/>
        <v>66</v>
      </c>
      <c r="G109" s="112">
        <f t="shared" si="18"/>
        <v>61</v>
      </c>
      <c r="H109" s="112">
        <f t="shared" si="19"/>
        <v>70</v>
      </c>
      <c r="I109" s="112">
        <f t="shared" si="20"/>
        <v>72</v>
      </c>
      <c r="J109" s="111">
        <f t="shared" si="15"/>
        <v>459</v>
      </c>
    </row>
    <row r="110" spans="2:10">
      <c r="B110" s="114">
        <v>2026</v>
      </c>
      <c r="C110" s="113">
        <f t="shared" si="14"/>
        <v>66</v>
      </c>
      <c r="D110" s="324">
        <f>ROUND((C109-K50)-(C109*$D$98),0)</f>
        <v>65</v>
      </c>
      <c r="E110" s="112">
        <f t="shared" si="16"/>
        <v>65</v>
      </c>
      <c r="F110" s="112">
        <f t="shared" si="17"/>
        <v>60</v>
      </c>
      <c r="G110" s="112">
        <f t="shared" si="18"/>
        <v>67</v>
      </c>
      <c r="H110" s="112">
        <f t="shared" si="19"/>
        <v>64</v>
      </c>
      <c r="I110" s="112">
        <f t="shared" si="20"/>
        <v>72</v>
      </c>
      <c r="J110" s="111">
        <f t="shared" si="15"/>
        <v>459</v>
      </c>
    </row>
    <row r="111" spans="2:10">
      <c r="B111" s="114">
        <v>2027</v>
      </c>
      <c r="C111" s="113">
        <f t="shared" si="14"/>
        <v>66</v>
      </c>
      <c r="D111" s="324">
        <f>ROUND((C110-L50)-(C110*$D$98),0)</f>
        <v>64</v>
      </c>
      <c r="E111" s="112">
        <f t="shared" si="16"/>
        <v>65</v>
      </c>
      <c r="F111" s="112">
        <f t="shared" si="17"/>
        <v>66</v>
      </c>
      <c r="G111" s="112">
        <f t="shared" si="18"/>
        <v>61</v>
      </c>
      <c r="H111" s="112">
        <f t="shared" si="19"/>
        <v>70</v>
      </c>
      <c r="I111" s="112">
        <f t="shared" si="20"/>
        <v>66</v>
      </c>
      <c r="J111" s="111">
        <f t="shared" si="15"/>
        <v>458</v>
      </c>
    </row>
    <row r="112" spans="2:10">
      <c r="B112" s="114">
        <v>2028</v>
      </c>
      <c r="C112" s="113">
        <f t="shared" si="14"/>
        <v>66</v>
      </c>
      <c r="D112" s="324">
        <f>ROUND((C111-M50)-(C111*$D$98),0)</f>
        <v>64</v>
      </c>
      <c r="E112" s="112">
        <f t="shared" si="16"/>
        <v>64</v>
      </c>
      <c r="F112" s="112">
        <f t="shared" si="17"/>
        <v>66</v>
      </c>
      <c r="G112" s="112">
        <f t="shared" si="18"/>
        <v>67</v>
      </c>
      <c r="H112" s="112">
        <f t="shared" si="19"/>
        <v>64</v>
      </c>
      <c r="I112" s="112">
        <f t="shared" si="20"/>
        <v>72</v>
      </c>
      <c r="J112" s="111">
        <f t="shared" si="15"/>
        <v>463</v>
      </c>
    </row>
    <row r="113" spans="2:10" ht="15" customHeight="1">
      <c r="B113" s="114">
        <v>2029</v>
      </c>
      <c r="C113" s="113">
        <f t="shared" si="14"/>
        <v>66</v>
      </c>
      <c r="D113" s="324">
        <f>ROUND((C112-N50)-(C112*$D$98),0)</f>
        <v>64</v>
      </c>
      <c r="E113" s="112">
        <f t="shared" si="16"/>
        <v>64</v>
      </c>
      <c r="F113" s="112">
        <f t="shared" si="17"/>
        <v>65</v>
      </c>
      <c r="G113" s="112">
        <f t="shared" si="18"/>
        <v>67</v>
      </c>
      <c r="H113" s="112">
        <f t="shared" si="19"/>
        <v>70</v>
      </c>
      <c r="I113" s="112">
        <f t="shared" si="20"/>
        <v>66</v>
      </c>
      <c r="J113" s="111">
        <f t="shared" si="15"/>
        <v>462</v>
      </c>
    </row>
    <row r="114" spans="2:10" ht="15" customHeight="1">
      <c r="B114" s="114">
        <v>2030</v>
      </c>
      <c r="C114" s="113">
        <f t="shared" si="14"/>
        <v>66</v>
      </c>
      <c r="D114" s="324">
        <f>ROUND((C113-O50)-(C113*$D$98),0)</f>
        <v>64</v>
      </c>
      <c r="E114" s="112">
        <f t="shared" si="16"/>
        <v>64</v>
      </c>
      <c r="F114" s="112">
        <f t="shared" si="17"/>
        <v>65</v>
      </c>
      <c r="G114" s="112">
        <f t="shared" si="18"/>
        <v>66</v>
      </c>
      <c r="H114" s="112">
        <f t="shared" si="19"/>
        <v>70</v>
      </c>
      <c r="I114" s="112">
        <f t="shared" si="20"/>
        <v>72</v>
      </c>
      <c r="J114" s="111">
        <f t="shared" si="15"/>
        <v>467</v>
      </c>
    </row>
    <row r="115" spans="2:10" ht="15" customHeight="1">
      <c r="B115" s="114">
        <v>2031</v>
      </c>
      <c r="C115" s="113">
        <f t="shared" si="14"/>
        <v>66</v>
      </c>
      <c r="D115" s="324">
        <f>ROUND((C114-P50)-(C114*$D$98),0)</f>
        <v>64</v>
      </c>
      <c r="E115" s="112">
        <f t="shared" si="16"/>
        <v>64</v>
      </c>
      <c r="F115" s="112">
        <f t="shared" si="17"/>
        <v>65</v>
      </c>
      <c r="G115" s="112">
        <f t="shared" si="18"/>
        <v>66</v>
      </c>
      <c r="H115" s="112">
        <f t="shared" si="19"/>
        <v>69</v>
      </c>
      <c r="I115" s="112">
        <f t="shared" si="20"/>
        <v>72</v>
      </c>
      <c r="J115" s="111">
        <f t="shared" si="15"/>
        <v>466</v>
      </c>
    </row>
    <row r="116" spans="2:10" ht="15" customHeight="1">
      <c r="B116" s="114">
        <v>2032</v>
      </c>
      <c r="C116" s="113">
        <f t="shared" si="14"/>
        <v>66</v>
      </c>
      <c r="D116" s="324">
        <f>ROUND((C115-Q50)-(C115*$D$98),0)</f>
        <v>64</v>
      </c>
      <c r="E116" s="112">
        <f t="shared" si="16"/>
        <v>64</v>
      </c>
      <c r="F116" s="112">
        <f t="shared" si="17"/>
        <v>65</v>
      </c>
      <c r="G116" s="112">
        <f t="shared" si="18"/>
        <v>66</v>
      </c>
      <c r="H116" s="112">
        <f t="shared" si="19"/>
        <v>69</v>
      </c>
      <c r="I116" s="112">
        <f t="shared" si="20"/>
        <v>71</v>
      </c>
      <c r="J116" s="111">
        <f t="shared" si="15"/>
        <v>465</v>
      </c>
    </row>
    <row r="117" spans="2:10" ht="15" hidden="1" customHeight="1">
      <c r="F117" s="14"/>
      <c r="G117" s="14"/>
    </row>
    <row r="118" spans="2:10" ht="15" hidden="1" customHeight="1">
      <c r="B118" s="15" t="str">
        <f>"Table 4C: "&amp;E3&amp;" Projected Pupil Generation from Housing Development, 2019-2032"</f>
        <v>Table 4C: Forthview Primary School Projected Pupil Generation from Housing Development, 2019-2032</v>
      </c>
      <c r="F118" s="14"/>
      <c r="G118" s="14"/>
    </row>
    <row r="119" spans="2:10" ht="15" hidden="1" customHeight="1">
      <c r="F119" s="14"/>
      <c r="G119" s="14"/>
    </row>
    <row r="120" spans="2:10" ht="15" hidden="1" customHeight="1">
      <c r="B120" s="115"/>
      <c r="C120" s="109" t="s">
        <v>1</v>
      </c>
      <c r="D120" s="109" t="s">
        <v>2</v>
      </c>
      <c r="E120" s="109" t="s">
        <v>3</v>
      </c>
      <c r="F120" s="109" t="s">
        <v>4</v>
      </c>
      <c r="G120" s="109" t="s">
        <v>5</v>
      </c>
      <c r="H120" s="109" t="s">
        <v>6</v>
      </c>
      <c r="I120" s="109" t="s">
        <v>7</v>
      </c>
      <c r="J120" s="109" t="s">
        <v>8</v>
      </c>
    </row>
    <row r="121" spans="2:10" ht="15" hidden="1" customHeight="1">
      <c r="B121" s="114">
        <v>2019</v>
      </c>
      <c r="C121" s="116" t="s">
        <v>97</v>
      </c>
      <c r="D121" s="112">
        <f>VLOOKUP($E$3,'Housing Generation'!$A$3:$BE$90,11,FALSE)</f>
        <v>1</v>
      </c>
      <c r="E121" s="112">
        <f>VLOOKUP($E$3,'Housing Generation'!$A$3:$BE$90,12,FALSE)</f>
        <v>1</v>
      </c>
      <c r="F121" s="112">
        <f>VLOOKUP($E$3,'Housing Generation'!$A$3:$BE$90,13,FALSE)</f>
        <v>1</v>
      </c>
      <c r="G121" s="112">
        <f>VLOOKUP($E$3,'Housing Generation'!$A$3:$BE$90,14,FALSE)</f>
        <v>1</v>
      </c>
      <c r="H121" s="112">
        <f>VLOOKUP($E$3,'Housing Generation'!$A$3:$BE$90,15,FALSE)</f>
        <v>0</v>
      </c>
      <c r="I121" s="112">
        <f>VLOOKUP($E$3,'Housing Generation'!$A$3:$BE$90,16,FALSE)</f>
        <v>0</v>
      </c>
      <c r="J121" s="111">
        <f t="shared" ref="J121:J134" si="21">SUM(D121:I121)</f>
        <v>4</v>
      </c>
    </row>
    <row r="122" spans="2:10" ht="15" hidden="1" customHeight="1">
      <c r="B122" s="114">
        <v>2020</v>
      </c>
      <c r="C122" s="116" t="s">
        <v>97</v>
      </c>
      <c r="D122" s="112">
        <f>VLOOKUP($E$3,'Housing Generation'!$A$3:$BE$90,19,FALSE)</f>
        <v>1</v>
      </c>
      <c r="E122" s="112">
        <f>VLOOKUP($E$3,'Housing Generation'!$A$3:$BE$90,20,FALSE)</f>
        <v>1</v>
      </c>
      <c r="F122" s="112">
        <f>VLOOKUP($E$3,'Housing Generation'!$A$3:$BE$90,21,FALSE)</f>
        <v>1</v>
      </c>
      <c r="G122" s="112">
        <f>VLOOKUP($E$3,'Housing Generation'!$A$3:$BE$90,22,FALSE)</f>
        <v>1</v>
      </c>
      <c r="H122" s="112">
        <f>VLOOKUP($E$3,'Housing Generation'!$A$3:$BE$90,23,FALSE)</f>
        <v>0</v>
      </c>
      <c r="I122" s="112">
        <f>VLOOKUP($E$3,'Housing Generation'!$A$3:$BE$90,24,FALSE)</f>
        <v>0</v>
      </c>
      <c r="J122" s="111">
        <f t="shared" si="21"/>
        <v>4</v>
      </c>
    </row>
    <row r="123" spans="2:10" ht="15" hidden="1" customHeight="1">
      <c r="B123" s="114">
        <v>2021</v>
      </c>
      <c r="C123" s="116" t="s">
        <v>97</v>
      </c>
      <c r="D123" s="112">
        <f>VLOOKUP($E$3,'Housing Generation'!$A$3:$BE$90,27,FALSE)</f>
        <v>1</v>
      </c>
      <c r="E123" s="112">
        <f>VLOOKUP($E$3,'Housing Generation'!$A$3:$BE$90,28,FALSE)</f>
        <v>1</v>
      </c>
      <c r="F123" s="112">
        <f>VLOOKUP($E$3,'Housing Generation'!$A$3:$BE$90,29,FALSE)</f>
        <v>1</v>
      </c>
      <c r="G123" s="112">
        <f>VLOOKUP($E$3,'Housing Generation'!$A$3:$BE$90,30,FALSE)</f>
        <v>1</v>
      </c>
      <c r="H123" s="112">
        <f>VLOOKUP($E$3,'Housing Generation'!$A$3:$BE$90,31,FALSE)</f>
        <v>1</v>
      </c>
      <c r="I123" s="112">
        <f>VLOOKUP($E$3,'Housing Generation'!$A$3:$BE$90,32,FALSE)</f>
        <v>1</v>
      </c>
      <c r="J123" s="111">
        <f t="shared" si="21"/>
        <v>6</v>
      </c>
    </row>
    <row r="124" spans="2:10" ht="15" hidden="1" customHeight="1">
      <c r="B124" s="114">
        <v>2022</v>
      </c>
      <c r="C124" s="116" t="s">
        <v>97</v>
      </c>
      <c r="D124" s="112">
        <f>VLOOKUP($E$3,'Housing Generation'!$A$3:$BE$90,35,FALSE)</f>
        <v>1</v>
      </c>
      <c r="E124" s="112">
        <f>VLOOKUP($E$3,'Housing Generation'!$A$3:$BE$90,36,FALSE)</f>
        <v>1</v>
      </c>
      <c r="F124" s="112">
        <f>VLOOKUP($E$3,'Housing Generation'!$A$3:$BE$90,37,FALSE)</f>
        <v>1</v>
      </c>
      <c r="G124" s="112">
        <f>VLOOKUP($E$3,'Housing Generation'!$A$3:$BE$90,38,FALSE)</f>
        <v>1</v>
      </c>
      <c r="H124" s="112">
        <f>VLOOKUP($E$3,'Housing Generation'!$A$3:$BE$90,39,FALSE)</f>
        <v>1</v>
      </c>
      <c r="I124" s="112">
        <f>VLOOKUP($E$3,'Housing Generation'!$A$3:$BE$90,40,FALSE)</f>
        <v>1</v>
      </c>
      <c r="J124" s="111">
        <f t="shared" si="21"/>
        <v>6</v>
      </c>
    </row>
    <row r="125" spans="2:10" ht="15" hidden="1" customHeight="1">
      <c r="B125" s="114">
        <v>2023</v>
      </c>
      <c r="C125" s="116" t="s">
        <v>97</v>
      </c>
      <c r="D125" s="112">
        <f>VLOOKUP($E$3,'Housing Generation'!$A$3:$BE$90,43,FALSE)</f>
        <v>1</v>
      </c>
      <c r="E125" s="112">
        <f>VLOOKUP($E$3,'Housing Generation'!$A$3:$BE$90,44,FALSE)</f>
        <v>1</v>
      </c>
      <c r="F125" s="112">
        <f>VLOOKUP($E$3,'Housing Generation'!$A$3:$BE$90,45,FALSE)</f>
        <v>1</v>
      </c>
      <c r="G125" s="112">
        <f>VLOOKUP($E$3,'Housing Generation'!$A$3:$BE$90,46,FALSE)</f>
        <v>1</v>
      </c>
      <c r="H125" s="112">
        <f>VLOOKUP($E$3,'Housing Generation'!$A$3:$BE$90,47,FALSE)</f>
        <v>1</v>
      </c>
      <c r="I125" s="112">
        <f>VLOOKUP($E$3,'Housing Generation'!$A$3:$BE$90,48,FALSE)</f>
        <v>1</v>
      </c>
      <c r="J125" s="111">
        <f t="shared" si="21"/>
        <v>6</v>
      </c>
    </row>
    <row r="126" spans="2:10" ht="15" hidden="1" customHeight="1">
      <c r="B126" s="114">
        <v>2024</v>
      </c>
      <c r="C126" s="116" t="s">
        <v>97</v>
      </c>
      <c r="D126" s="112">
        <f>VLOOKUP($E$3,'Housing Generation'!$A$3:$BE$90,51,FALSE)</f>
        <v>1</v>
      </c>
      <c r="E126" s="112">
        <f>VLOOKUP($E$3,'Housing Generation'!$A$3:$BE$90,52,FALSE)</f>
        <v>1</v>
      </c>
      <c r="F126" s="112">
        <f>VLOOKUP($E$3,'Housing Generation'!$A$3:$BE$90,53,FALSE)</f>
        <v>1</v>
      </c>
      <c r="G126" s="112">
        <f>VLOOKUP($E$3,'Housing Generation'!$A$3:$BE$90,54,FALSE)</f>
        <v>1</v>
      </c>
      <c r="H126" s="112">
        <f>VLOOKUP($E$3,'Housing Generation'!$A$3:$BE$90,55,FALSE)</f>
        <v>1</v>
      </c>
      <c r="I126" s="112">
        <f>VLOOKUP($E$3,'Housing Generation'!$A$3:$BE$90,56,FALSE)</f>
        <v>1</v>
      </c>
      <c r="J126" s="111">
        <f t="shared" si="21"/>
        <v>6</v>
      </c>
    </row>
    <row r="127" spans="2:10" ht="15" hidden="1" customHeight="1">
      <c r="B127" s="114">
        <v>2025</v>
      </c>
      <c r="C127" s="240" t="s">
        <v>97</v>
      </c>
      <c r="D127" s="112">
        <f>VLOOKUP($E$3,'Housing Generation'!$A$3:$CK$90,59,FALSE)</f>
        <v>1</v>
      </c>
      <c r="E127" s="112">
        <f>VLOOKUP($E$3,'Housing Generation'!$A$3:$CK$90,60,FALSE)</f>
        <v>1</v>
      </c>
      <c r="F127" s="112">
        <f>VLOOKUP($E$3,'Housing Generation'!$A$3:$CK$90,61,FALSE)</f>
        <v>1</v>
      </c>
      <c r="G127" s="112">
        <f>VLOOKUP($E$3,'Housing Generation'!$A$3:$CK$90,62,FALSE)</f>
        <v>1</v>
      </c>
      <c r="H127" s="112">
        <f>VLOOKUP($E$3,'Housing Generation'!$A$3:$CK$90,63,FALSE)</f>
        <v>1</v>
      </c>
      <c r="I127" s="112">
        <f>VLOOKUP($E$3,'Housing Generation'!$A$3:$CK$90,64,FALSE)</f>
        <v>1</v>
      </c>
      <c r="J127" s="111">
        <f t="shared" si="21"/>
        <v>6</v>
      </c>
    </row>
    <row r="128" spans="2:10" ht="15" hidden="1" customHeight="1">
      <c r="B128" s="114">
        <v>2026</v>
      </c>
      <c r="C128" s="240" t="s">
        <v>97</v>
      </c>
      <c r="D128" s="112">
        <f>VLOOKUP($E$3,'Housing Generation'!$A$3:$CK$90,67,FALSE)</f>
        <v>1</v>
      </c>
      <c r="E128" s="112">
        <f>VLOOKUP($E$3,'Housing Generation'!$A$3:$CK$90,68,FALSE)</f>
        <v>1</v>
      </c>
      <c r="F128" s="112">
        <f>VLOOKUP($E$3,'Housing Generation'!$A$3:$CK$90,69,FALSE)</f>
        <v>1</v>
      </c>
      <c r="G128" s="112">
        <f>VLOOKUP($E$3,'Housing Generation'!$A$3:$CK$90,70,FALSE)</f>
        <v>1</v>
      </c>
      <c r="H128" s="112">
        <f>VLOOKUP($E$3,'Housing Generation'!$A$3:$CK$90,71,FALSE)</f>
        <v>1</v>
      </c>
      <c r="I128" s="112">
        <f>VLOOKUP($E$3,'Housing Generation'!$A$3:$CK$90,72,FALSE)</f>
        <v>1</v>
      </c>
      <c r="J128" s="111">
        <f t="shared" si="21"/>
        <v>6</v>
      </c>
    </row>
    <row r="129" spans="2:10" ht="15" hidden="1" customHeight="1">
      <c r="B129" s="114">
        <v>2027</v>
      </c>
      <c r="C129" s="240" t="s">
        <v>97</v>
      </c>
      <c r="D129" s="112">
        <f>VLOOKUP($E$3,'Housing Generation'!$A$3:$CK$90,75,FALSE)</f>
        <v>2</v>
      </c>
      <c r="E129" s="112">
        <f>VLOOKUP($E$3,'Housing Generation'!$A$3:$CK$90,76,FALSE)</f>
        <v>1</v>
      </c>
      <c r="F129" s="112">
        <f>VLOOKUP($E$3,'Housing Generation'!$A$3:$CK$90,77,FALSE)</f>
        <v>1</v>
      </c>
      <c r="G129" s="112">
        <f>VLOOKUP($E$3,'Housing Generation'!$A$3:$CK$90,78,FALSE)</f>
        <v>1</v>
      </c>
      <c r="H129" s="112">
        <f>VLOOKUP($E$3,'Housing Generation'!$A$3:$CK$90,79,FALSE)</f>
        <v>1</v>
      </c>
      <c r="I129" s="112">
        <f>VLOOKUP($E$3,'Housing Generation'!$A$3:$CK$90,80,FALSE)</f>
        <v>1</v>
      </c>
      <c r="J129" s="111">
        <f t="shared" si="21"/>
        <v>7</v>
      </c>
    </row>
    <row r="130" spans="2:10" ht="15" customHeight="1">
      <c r="B130" s="114">
        <v>2028</v>
      </c>
      <c r="C130" s="289" t="s">
        <v>97</v>
      </c>
      <c r="D130" s="112">
        <f>VLOOKUP($E$3,'Housing Generation'!$A$3:$CK$90,83,FALSE)</f>
        <v>2</v>
      </c>
      <c r="E130" s="112">
        <f>VLOOKUP($E$3,'Housing Generation'!$A$3:$CK$90,84,FALSE)</f>
        <v>2</v>
      </c>
      <c r="F130" s="112">
        <f>VLOOKUP($E$3,'Housing Generation'!$A$3:$CK$90,85,FALSE)</f>
        <v>2</v>
      </c>
      <c r="G130" s="112">
        <f>VLOOKUP($E$3,'Housing Generation'!$A$3:$CK$90,86,FALSE)</f>
        <v>1</v>
      </c>
      <c r="H130" s="112">
        <f>VLOOKUP($E$3,'Housing Generation'!$A$3:$CK$90,87,FALSE)</f>
        <v>1</v>
      </c>
      <c r="I130" s="112">
        <f>VLOOKUP($E$3,'Housing Generation'!$A$3:$CK$90,88,FALSE)</f>
        <v>1</v>
      </c>
      <c r="J130" s="111">
        <f t="shared" si="21"/>
        <v>9</v>
      </c>
    </row>
    <row r="131" spans="2:10" ht="15" customHeight="1">
      <c r="B131" s="114">
        <v>2029</v>
      </c>
      <c r="C131" s="289" t="s">
        <v>97</v>
      </c>
      <c r="D131" s="112">
        <f>VLOOKUP($E$3,'Housing Generation'!$A$3:$DQ$90,91,FALSE)</f>
        <v>2</v>
      </c>
      <c r="E131" s="112">
        <f>VLOOKUP($E$3,'Housing Generation'!$A$3:$DQ$90,92,FALSE)</f>
        <v>2</v>
      </c>
      <c r="F131" s="112">
        <f>VLOOKUP($E$3,'Housing Generation'!$A$3:$DQ$90,93,FALSE)</f>
        <v>2</v>
      </c>
      <c r="G131" s="112">
        <f>VLOOKUP($E$3,'Housing Generation'!$A$3:$DQ$90,94,FALSE)</f>
        <v>1</v>
      </c>
      <c r="H131" s="112">
        <f>VLOOKUP($E$3,'Housing Generation'!$A$3:$DQ$90,95,FALSE)</f>
        <v>1</v>
      </c>
      <c r="I131" s="112">
        <f>VLOOKUP($E$3,'Housing Generation'!$A$3:$DQ$90,96,FALSE)</f>
        <v>1</v>
      </c>
      <c r="J131" s="111">
        <f t="shared" si="21"/>
        <v>9</v>
      </c>
    </row>
    <row r="132" spans="2:10" ht="15" customHeight="1">
      <c r="B132" s="114">
        <v>2030</v>
      </c>
      <c r="C132" s="289" t="s">
        <v>97</v>
      </c>
      <c r="D132" s="112">
        <f>VLOOKUP($E$3,'Housing Generation'!$A$3:$DQ$90,99,FALSE)</f>
        <v>2</v>
      </c>
      <c r="E132" s="112">
        <f>VLOOKUP($E$3,'Housing Generation'!$A$3:$DQ$90,100,FALSE)</f>
        <v>2</v>
      </c>
      <c r="F132" s="112">
        <f>VLOOKUP($E$3,'Housing Generation'!$A$3:$DQ$90,101,FALSE)</f>
        <v>2</v>
      </c>
      <c r="G132" s="112">
        <f>VLOOKUP($E$3,'Housing Generation'!$A$3:$DQ$90,102,FALSE)</f>
        <v>1</v>
      </c>
      <c r="H132" s="112">
        <f>VLOOKUP($E$3,'Housing Generation'!$A$3:$DQ$90,103,FALSE)</f>
        <v>1</v>
      </c>
      <c r="I132" s="112">
        <f>VLOOKUP($E$3,'Housing Generation'!$A$3:$DQ$90,104,FALSE)</f>
        <v>1</v>
      </c>
      <c r="J132" s="111">
        <f t="shared" si="21"/>
        <v>9</v>
      </c>
    </row>
    <row r="133" spans="2:10" ht="15" customHeight="1">
      <c r="B133" s="114">
        <v>2031</v>
      </c>
      <c r="C133" s="289" t="s">
        <v>97</v>
      </c>
      <c r="D133" s="112">
        <f>VLOOKUP($E$3,'Housing Generation'!$A$3:$DQ$90,107,FALSE)</f>
        <v>2</v>
      </c>
      <c r="E133" s="112">
        <f>VLOOKUP($E$3,'Housing Generation'!$A$3:$DQ$90,108,FALSE)</f>
        <v>2</v>
      </c>
      <c r="F133" s="112">
        <f>VLOOKUP($E$3,'Housing Generation'!$A$3:$DQ$90,109,FALSE)</f>
        <v>2</v>
      </c>
      <c r="G133" s="112">
        <f>VLOOKUP($E$3,'Housing Generation'!$A$3:$DQ$90,110,FALSE)</f>
        <v>1</v>
      </c>
      <c r="H133" s="112">
        <f>VLOOKUP($E$3,'Housing Generation'!$A$3:$DQ$90,111,FALSE)</f>
        <v>1</v>
      </c>
      <c r="I133" s="112">
        <f>VLOOKUP($E$3,'Housing Generation'!$A$3:$DQ$90,112,FALSE)</f>
        <v>1</v>
      </c>
      <c r="J133" s="111">
        <f t="shared" si="21"/>
        <v>9</v>
      </c>
    </row>
    <row r="134" spans="2:10" ht="15" customHeight="1">
      <c r="B134" s="114">
        <v>2032</v>
      </c>
      <c r="C134" s="289" t="s">
        <v>97</v>
      </c>
      <c r="D134" s="112">
        <f>VLOOKUP($E$3,'Housing Generation'!$A$3:$DQ$90,115,FALSE)</f>
        <v>2</v>
      </c>
      <c r="E134" s="112">
        <f>VLOOKUP($E$3,'Housing Generation'!$A$3:$DQ$90,116,FALSE)</f>
        <v>2</v>
      </c>
      <c r="F134" s="112">
        <f>VLOOKUP($E$3,'Housing Generation'!$A$3:$DQ$90,117,FALSE)</f>
        <v>2</v>
      </c>
      <c r="G134" s="112">
        <f>VLOOKUP($E$3,'Housing Generation'!$A$3:$DQ$90,118,FALSE)</f>
        <v>1</v>
      </c>
      <c r="H134" s="112">
        <f>VLOOKUP($E$3,'Housing Generation'!$A$3:$DQ$90,119,FALSE)</f>
        <v>1</v>
      </c>
      <c r="I134" s="112">
        <f>VLOOKUP($E$3,'Housing Generation'!$A$3:$DQ$90,120,FALSE)</f>
        <v>1</v>
      </c>
      <c r="J134" s="111">
        <f t="shared" si="21"/>
        <v>9</v>
      </c>
    </row>
    <row r="135" spans="2:10" ht="15" hidden="1"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Forthview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66</v>
      </c>
      <c r="D139" s="112">
        <f t="shared" ref="D139:I152" si="23">D121+D103</f>
        <v>60</v>
      </c>
      <c r="E139" s="112">
        <f t="shared" si="23"/>
        <v>57</v>
      </c>
      <c r="F139" s="112">
        <f t="shared" si="23"/>
        <v>61</v>
      </c>
      <c r="G139" s="112">
        <f t="shared" si="23"/>
        <v>58</v>
      </c>
      <c r="H139" s="112">
        <f t="shared" si="23"/>
        <v>61</v>
      </c>
      <c r="I139" s="112">
        <f t="shared" si="23"/>
        <v>63</v>
      </c>
      <c r="J139" s="111">
        <f t="shared" ref="J139:J147" si="24">SUM(C139:I139)</f>
        <v>426</v>
      </c>
    </row>
    <row r="140" spans="2:10" ht="15" customHeight="1">
      <c r="B140" s="114">
        <v>2020</v>
      </c>
      <c r="C140" s="113">
        <f t="shared" si="22"/>
        <v>66</v>
      </c>
      <c r="D140" s="112">
        <f t="shared" si="23"/>
        <v>66</v>
      </c>
      <c r="E140" s="112">
        <f t="shared" si="23"/>
        <v>60</v>
      </c>
      <c r="F140" s="112">
        <f t="shared" si="23"/>
        <v>58</v>
      </c>
      <c r="G140" s="112">
        <f t="shared" si="23"/>
        <v>62</v>
      </c>
      <c r="H140" s="112">
        <f t="shared" si="23"/>
        <v>59</v>
      </c>
      <c r="I140" s="112">
        <f t="shared" si="23"/>
        <v>63</v>
      </c>
      <c r="J140" s="111">
        <f t="shared" si="24"/>
        <v>434</v>
      </c>
    </row>
    <row r="141" spans="2:10" ht="15" customHeight="1">
      <c r="B141" s="114">
        <v>2021</v>
      </c>
      <c r="C141" s="113">
        <f t="shared" si="22"/>
        <v>59.952811602685621</v>
      </c>
      <c r="D141" s="112">
        <f t="shared" si="23"/>
        <v>66</v>
      </c>
      <c r="E141" s="112">
        <f t="shared" si="23"/>
        <v>66</v>
      </c>
      <c r="F141" s="112">
        <f t="shared" si="23"/>
        <v>61</v>
      </c>
      <c r="G141" s="112">
        <f t="shared" si="23"/>
        <v>59</v>
      </c>
      <c r="H141" s="112">
        <f t="shared" si="23"/>
        <v>65</v>
      </c>
      <c r="I141" s="112">
        <f t="shared" si="23"/>
        <v>62</v>
      </c>
      <c r="J141" s="111">
        <f t="shared" si="24"/>
        <v>438.95281160268564</v>
      </c>
    </row>
    <row r="142" spans="2:10" ht="15" customHeight="1">
      <c r="B142" s="114">
        <v>2022</v>
      </c>
      <c r="C142" s="113">
        <f t="shared" si="22"/>
        <v>66</v>
      </c>
      <c r="D142" s="112">
        <f t="shared" si="23"/>
        <v>60</v>
      </c>
      <c r="E142" s="112">
        <f t="shared" si="23"/>
        <v>66</v>
      </c>
      <c r="F142" s="112">
        <f t="shared" si="23"/>
        <v>67</v>
      </c>
      <c r="G142" s="112">
        <f t="shared" si="23"/>
        <v>62</v>
      </c>
      <c r="H142" s="112">
        <f t="shared" si="23"/>
        <v>62</v>
      </c>
      <c r="I142" s="112">
        <f t="shared" si="23"/>
        <v>67</v>
      </c>
      <c r="J142" s="111">
        <f t="shared" si="24"/>
        <v>450</v>
      </c>
    </row>
    <row r="143" spans="2:10" ht="15" customHeight="1">
      <c r="B143" s="114">
        <v>2023</v>
      </c>
      <c r="C143" s="113">
        <f t="shared" si="22"/>
        <v>60</v>
      </c>
      <c r="D143" s="112">
        <f t="shared" si="23"/>
        <v>66</v>
      </c>
      <c r="E143" s="112">
        <f t="shared" si="23"/>
        <v>60</v>
      </c>
      <c r="F143" s="112">
        <f t="shared" si="23"/>
        <v>67</v>
      </c>
      <c r="G143" s="112">
        <f t="shared" si="23"/>
        <v>68</v>
      </c>
      <c r="H143" s="112">
        <f t="shared" si="23"/>
        <v>65</v>
      </c>
      <c r="I143" s="112">
        <f t="shared" si="23"/>
        <v>64</v>
      </c>
      <c r="J143" s="111">
        <f t="shared" si="24"/>
        <v>450</v>
      </c>
    </row>
    <row r="144" spans="2:10" ht="15" customHeight="1">
      <c r="B144" s="114">
        <v>2024</v>
      </c>
      <c r="C144" s="113">
        <f t="shared" si="22"/>
        <v>66</v>
      </c>
      <c r="D144" s="112">
        <f t="shared" si="23"/>
        <v>60</v>
      </c>
      <c r="E144" s="112">
        <f t="shared" si="23"/>
        <v>66</v>
      </c>
      <c r="F144" s="112">
        <f t="shared" si="23"/>
        <v>61</v>
      </c>
      <c r="G144" s="112">
        <f t="shared" si="23"/>
        <v>68</v>
      </c>
      <c r="H144" s="112">
        <f t="shared" si="23"/>
        <v>71</v>
      </c>
      <c r="I144" s="112">
        <f t="shared" si="23"/>
        <v>67</v>
      </c>
      <c r="J144" s="111">
        <f t="shared" si="24"/>
        <v>459</v>
      </c>
    </row>
    <row r="145" spans="2:16" ht="15" customHeight="1">
      <c r="B145" s="114">
        <v>2025</v>
      </c>
      <c r="C145" s="113">
        <f t="shared" si="22"/>
        <v>66</v>
      </c>
      <c r="D145" s="112">
        <f t="shared" si="23"/>
        <v>66</v>
      </c>
      <c r="E145" s="112">
        <f t="shared" si="23"/>
        <v>60</v>
      </c>
      <c r="F145" s="112">
        <f t="shared" si="23"/>
        <v>67</v>
      </c>
      <c r="G145" s="112">
        <f t="shared" si="23"/>
        <v>62</v>
      </c>
      <c r="H145" s="112">
        <f t="shared" si="23"/>
        <v>71</v>
      </c>
      <c r="I145" s="112">
        <f t="shared" si="23"/>
        <v>73</v>
      </c>
      <c r="J145" s="111">
        <f t="shared" si="24"/>
        <v>465</v>
      </c>
    </row>
    <row r="146" spans="2:16" ht="15" customHeight="1">
      <c r="B146" s="114">
        <v>2026</v>
      </c>
      <c r="C146" s="113">
        <f t="shared" si="22"/>
        <v>66</v>
      </c>
      <c r="D146" s="112">
        <f t="shared" si="23"/>
        <v>66</v>
      </c>
      <c r="E146" s="112">
        <f t="shared" si="23"/>
        <v>66</v>
      </c>
      <c r="F146" s="112">
        <f t="shared" si="23"/>
        <v>61</v>
      </c>
      <c r="G146" s="112">
        <f t="shared" si="23"/>
        <v>68</v>
      </c>
      <c r="H146" s="112">
        <f t="shared" si="23"/>
        <v>65</v>
      </c>
      <c r="I146" s="112">
        <f t="shared" si="23"/>
        <v>73</v>
      </c>
      <c r="J146" s="111">
        <f t="shared" si="24"/>
        <v>465</v>
      </c>
    </row>
    <row r="147" spans="2:16" ht="15" customHeight="1">
      <c r="B147" s="114">
        <v>2027</v>
      </c>
      <c r="C147" s="113">
        <f t="shared" si="22"/>
        <v>66</v>
      </c>
      <c r="D147" s="112">
        <f t="shared" si="23"/>
        <v>66</v>
      </c>
      <c r="E147" s="112">
        <f t="shared" si="23"/>
        <v>66</v>
      </c>
      <c r="F147" s="112">
        <f t="shared" si="23"/>
        <v>67</v>
      </c>
      <c r="G147" s="112">
        <f t="shared" si="23"/>
        <v>62</v>
      </c>
      <c r="H147" s="112">
        <f t="shared" si="23"/>
        <v>71</v>
      </c>
      <c r="I147" s="112">
        <f t="shared" si="23"/>
        <v>67</v>
      </c>
      <c r="J147" s="111">
        <f t="shared" si="24"/>
        <v>465</v>
      </c>
    </row>
    <row r="148" spans="2:16" ht="15" customHeight="1">
      <c r="B148" s="114">
        <v>2028</v>
      </c>
      <c r="C148" s="113">
        <f t="shared" si="22"/>
        <v>66</v>
      </c>
      <c r="D148" s="112">
        <f t="shared" si="23"/>
        <v>66</v>
      </c>
      <c r="E148" s="112">
        <f t="shared" si="23"/>
        <v>66</v>
      </c>
      <c r="F148" s="112">
        <f t="shared" si="23"/>
        <v>68</v>
      </c>
      <c r="G148" s="112">
        <f t="shared" si="23"/>
        <v>68</v>
      </c>
      <c r="H148" s="112">
        <f t="shared" si="23"/>
        <v>65</v>
      </c>
      <c r="I148" s="112">
        <f t="shared" si="23"/>
        <v>73</v>
      </c>
      <c r="J148" s="111">
        <f t="shared" ref="J148:J152" si="25">SUM(C148:I148)</f>
        <v>472</v>
      </c>
    </row>
    <row r="149" spans="2:16" ht="15" customHeight="1">
      <c r="B149" s="114">
        <v>2029</v>
      </c>
      <c r="C149" s="113">
        <f t="shared" si="22"/>
        <v>66</v>
      </c>
      <c r="D149" s="112">
        <f t="shared" si="23"/>
        <v>66</v>
      </c>
      <c r="E149" s="112">
        <f t="shared" si="23"/>
        <v>66</v>
      </c>
      <c r="F149" s="112">
        <f t="shared" si="23"/>
        <v>67</v>
      </c>
      <c r="G149" s="112">
        <f t="shared" si="23"/>
        <v>68</v>
      </c>
      <c r="H149" s="112">
        <f t="shared" si="23"/>
        <v>71</v>
      </c>
      <c r="I149" s="112">
        <f t="shared" si="23"/>
        <v>67</v>
      </c>
      <c r="J149" s="111">
        <f t="shared" si="25"/>
        <v>471</v>
      </c>
    </row>
    <row r="150" spans="2:16" ht="15" customHeight="1">
      <c r="B150" s="114">
        <v>2030</v>
      </c>
      <c r="C150" s="113">
        <f t="shared" si="22"/>
        <v>66</v>
      </c>
      <c r="D150" s="112">
        <f t="shared" si="23"/>
        <v>66</v>
      </c>
      <c r="E150" s="112">
        <f t="shared" si="23"/>
        <v>66</v>
      </c>
      <c r="F150" s="112">
        <f t="shared" si="23"/>
        <v>67</v>
      </c>
      <c r="G150" s="112">
        <f t="shared" si="23"/>
        <v>67</v>
      </c>
      <c r="H150" s="112">
        <f t="shared" si="23"/>
        <v>71</v>
      </c>
      <c r="I150" s="112">
        <f t="shared" si="23"/>
        <v>73</v>
      </c>
      <c r="J150" s="111">
        <f t="shared" si="25"/>
        <v>476</v>
      </c>
    </row>
    <row r="151" spans="2:16" ht="15" customHeight="1">
      <c r="B151" s="114">
        <v>2031</v>
      </c>
      <c r="C151" s="113">
        <f t="shared" si="22"/>
        <v>66</v>
      </c>
      <c r="D151" s="112">
        <f t="shared" si="23"/>
        <v>66</v>
      </c>
      <c r="E151" s="112">
        <f t="shared" si="23"/>
        <v>66</v>
      </c>
      <c r="F151" s="112">
        <f t="shared" si="23"/>
        <v>67</v>
      </c>
      <c r="G151" s="112">
        <f t="shared" si="23"/>
        <v>67</v>
      </c>
      <c r="H151" s="112">
        <f t="shared" si="23"/>
        <v>70</v>
      </c>
      <c r="I151" s="112">
        <f t="shared" si="23"/>
        <v>73</v>
      </c>
      <c r="J151" s="111">
        <f t="shared" si="25"/>
        <v>475</v>
      </c>
    </row>
    <row r="152" spans="2:16" ht="15" customHeight="1">
      <c r="B152" s="114">
        <v>2032</v>
      </c>
      <c r="C152" s="113">
        <f t="shared" si="22"/>
        <v>66</v>
      </c>
      <c r="D152" s="112">
        <f t="shared" si="23"/>
        <v>66</v>
      </c>
      <c r="E152" s="112">
        <f t="shared" si="23"/>
        <v>66</v>
      </c>
      <c r="F152" s="112">
        <f t="shared" si="23"/>
        <v>67</v>
      </c>
      <c r="G152" s="112">
        <f t="shared" si="23"/>
        <v>67</v>
      </c>
      <c r="H152" s="112">
        <f t="shared" si="23"/>
        <v>70</v>
      </c>
      <c r="I152" s="112">
        <f t="shared" si="23"/>
        <v>72</v>
      </c>
      <c r="J152" s="111">
        <f t="shared" si="25"/>
        <v>474</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426</v>
      </c>
      <c r="D159" s="108">
        <f>J140</f>
        <v>434</v>
      </c>
      <c r="E159" s="108">
        <f>J141</f>
        <v>438.95281160268564</v>
      </c>
      <c r="F159" s="108">
        <f>J142</f>
        <v>450</v>
      </c>
      <c r="G159" s="108">
        <f>J143</f>
        <v>450</v>
      </c>
      <c r="H159" s="108">
        <f>J144</f>
        <v>459</v>
      </c>
      <c r="I159" s="108">
        <f>J145</f>
        <v>465</v>
      </c>
      <c r="J159" s="108">
        <f>J146</f>
        <v>465</v>
      </c>
      <c r="K159" s="108">
        <f>J147</f>
        <v>465</v>
      </c>
      <c r="L159" s="108">
        <f>J148</f>
        <v>472</v>
      </c>
      <c r="M159" s="108">
        <f>J149</f>
        <v>471</v>
      </c>
      <c r="N159" s="108">
        <f>J150</f>
        <v>476</v>
      </c>
      <c r="O159" s="108">
        <f>J151</f>
        <v>475</v>
      </c>
      <c r="P159" s="108">
        <f>J152</f>
        <v>474</v>
      </c>
    </row>
    <row r="160" spans="2:16" ht="15" customHeight="1">
      <c r="B160" s="107" t="s">
        <v>152</v>
      </c>
      <c r="C160" s="106">
        <f>VLOOKUP(C159,Capacity!$A$1:$C$645,2,TRUE)</f>
        <v>15</v>
      </c>
      <c r="D160" s="106">
        <f>VLOOKUP(D159,Capacity!$A$1:$C$645,2,TRUE)</f>
        <v>15</v>
      </c>
      <c r="E160" s="106">
        <f>VLOOKUP(E159,Capacity!$A$1:$C$645,2,TRUE)</f>
        <v>16</v>
      </c>
      <c r="F160" s="106">
        <f>VLOOKUP(F159,Capacity!$A$1:$C$645,2,TRUE)</f>
        <v>16</v>
      </c>
      <c r="G160" s="106">
        <f>VLOOKUP(G159,Capacity!$A$1:$C$645,2,TRUE)</f>
        <v>16</v>
      </c>
      <c r="H160" s="106">
        <f>VLOOKUP(H159,Capacity!$A$1:$C$645,2,TRUE)</f>
        <v>16</v>
      </c>
      <c r="I160" s="106">
        <f>VLOOKUP(I159,Capacity!$A$1:$C$645,2,TRUE)</f>
        <v>17</v>
      </c>
      <c r="J160" s="106">
        <f>VLOOKUP(J159,Capacity!$A$1:$C$645,2,TRUE)</f>
        <v>17</v>
      </c>
      <c r="K160" s="106">
        <f>VLOOKUP(K159,Capacity!$A$1:$C$645,2,TRUE)</f>
        <v>17</v>
      </c>
      <c r="L160" s="106">
        <f>VLOOKUP(L159,Capacity!$A$1:$C$645,2,TRUE)</f>
        <v>17</v>
      </c>
      <c r="M160" s="106">
        <f>VLOOKUP(M159,Capacity!$A$1:$C$645,2,TRUE)</f>
        <v>17</v>
      </c>
      <c r="N160" s="106">
        <f>VLOOKUP(N159,Capacity!$A$1:$C$645,2,TRUE)</f>
        <v>17</v>
      </c>
      <c r="O160" s="106">
        <f>VLOOKUP(O159,Capacity!$A$1:$C$645,2,TRUE)</f>
        <v>17</v>
      </c>
      <c r="P160" s="106">
        <f>VLOOKUP(P159,Capacity!$A$1:$C$645,2,TRUE)</f>
        <v>17</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75</v>
      </c>
      <c r="D169" s="97">
        <f>VLOOKUP($E$3,'Catchment Births'!$A$1:$U$90,11,FALSE)</f>
        <v>58</v>
      </c>
      <c r="E169" s="97">
        <f>VLOOKUP($E$3,'Catchment Births'!$A$1:$U$90,12,FALSE)</f>
        <v>93</v>
      </c>
      <c r="F169" s="97">
        <f>VLOOKUP($E$3,'Catchment Births'!$A$1:$U$90,13,FALSE)</f>
        <v>76</v>
      </c>
      <c r="G169" s="97">
        <f>VLOOKUP($E$3,'Catchment Births'!$A$1:$U$90,14,FALSE)</f>
        <v>82</v>
      </c>
      <c r="H169" s="97">
        <f>VLOOKUP($E$3,'Catchment Births'!$A$1:$U$90,15,FALSE)</f>
        <v>85</v>
      </c>
      <c r="I169" s="97">
        <f>VLOOKUP($E$3,'Catchment Births'!$A$1:$U$90,16,FALSE)</f>
        <v>78</v>
      </c>
      <c r="J169" s="97">
        <f>VLOOKUP($E$3,'Catchment Births'!$A$1:$U$90,17,FALSE)</f>
        <v>96</v>
      </c>
      <c r="K169" s="97">
        <f>VLOOKUP($E$3,'Catchment Births'!$A$1:$U$90,18,FALSE)</f>
        <v>86</v>
      </c>
      <c r="L169" s="97">
        <f>VLOOKUP($E$3,'Catchment Births'!$A$1:$U$90,19,FALSE)</f>
        <v>79</v>
      </c>
      <c r="M169" s="97">
        <f>VLOOKUP($E$3,'Catchment Births'!$A$1:$U$90,20,FALSE)</f>
        <v>102</v>
      </c>
      <c r="N169" s="97">
        <f>VLOOKUP($E$3,'Catchment Births'!$A$1:$U$90,21,FALSE)</f>
        <v>107</v>
      </c>
    </row>
    <row r="170" spans="2:14" ht="58.5" customHeight="1">
      <c r="B170" s="103" t="str">
        <f>"P1 "&amp;A35&amp;" Catchment Population (Actual)"</f>
        <v>P1 ND Catchment Population (Actual)</v>
      </c>
      <c r="C170" s="102" t="e">
        <v>#REF!</v>
      </c>
      <c r="D170" s="102">
        <v>54</v>
      </c>
      <c r="E170" s="102">
        <v>61</v>
      </c>
      <c r="F170" s="102">
        <v>67</v>
      </c>
      <c r="G170" s="102">
        <v>71</v>
      </c>
      <c r="H170" s="102">
        <v>66</v>
      </c>
      <c r="I170" s="102">
        <v>63</v>
      </c>
      <c r="J170" s="308">
        <f>VLOOKUP(E3,'Catchment Projections'!A1:BU92,42,FALSE)</f>
        <v>68</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63</v>
      </c>
      <c r="J172" s="96" t="e">
        <f>#REF!</f>
        <v>#REF!</v>
      </c>
      <c r="K172" s="96">
        <f>D51</f>
        <v>83</v>
      </c>
      <c r="L172" s="96">
        <f>E51</f>
        <v>86</v>
      </c>
      <c r="M172" s="96">
        <f>F51</f>
        <v>73</v>
      </c>
      <c r="N172" s="96">
        <f>G51</f>
        <v>83</v>
      </c>
    </row>
    <row r="173" spans="2:14" ht="12.75">
      <c r="B173" s="62"/>
      <c r="C173" s="62"/>
      <c r="D173" s="62"/>
      <c r="E173" s="62"/>
      <c r="F173" s="62"/>
      <c r="G173" s="62"/>
      <c r="H173" s="62"/>
      <c r="I173" s="62"/>
      <c r="J173" s="62"/>
      <c r="K173" s="62"/>
    </row>
    <row r="174" spans="2:14" ht="15" customHeight="1">
      <c r="B174" s="64" t="str">
        <f>"Table 5: "&amp;E3&amp;" Roll by Stage, 2002-2018"</f>
        <v>Table 5: Forthview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0</v>
      </c>
      <c r="D177" s="93">
        <v>0</v>
      </c>
      <c r="E177" s="93">
        <v>0</v>
      </c>
      <c r="F177" s="93">
        <v>0</v>
      </c>
      <c r="G177" s="93">
        <v>0</v>
      </c>
      <c r="H177" s="93">
        <v>0</v>
      </c>
      <c r="I177" s="93">
        <v>0</v>
      </c>
      <c r="J177" s="92">
        <v>0</v>
      </c>
      <c r="K177" s="62"/>
    </row>
    <row r="178" spans="2:11" ht="15" customHeight="1">
      <c r="B178" s="94">
        <v>2003</v>
      </c>
      <c r="C178" s="93">
        <v>37</v>
      </c>
      <c r="D178" s="93">
        <v>27</v>
      </c>
      <c r="E178" s="93">
        <v>30</v>
      </c>
      <c r="F178" s="93">
        <v>30</v>
      </c>
      <c r="G178" s="93">
        <v>25</v>
      </c>
      <c r="H178" s="93">
        <v>35</v>
      </c>
      <c r="I178" s="93">
        <v>28</v>
      </c>
      <c r="J178" s="92">
        <v>212</v>
      </c>
      <c r="K178" s="62"/>
    </row>
    <row r="179" spans="2:11" customFormat="1" ht="15" customHeight="1">
      <c r="B179" s="94">
        <v>2004</v>
      </c>
      <c r="C179" s="95">
        <v>37</v>
      </c>
      <c r="D179" s="95">
        <v>34</v>
      </c>
      <c r="E179" s="95">
        <v>24</v>
      </c>
      <c r="F179" s="95">
        <v>25</v>
      </c>
      <c r="G179" s="95">
        <v>32</v>
      </c>
      <c r="H179" s="95">
        <v>23</v>
      </c>
      <c r="I179" s="95">
        <v>34</v>
      </c>
      <c r="J179" s="92">
        <v>209</v>
      </c>
      <c r="K179" s="62"/>
    </row>
    <row r="180" spans="2:11" customFormat="1" ht="15" customHeight="1">
      <c r="B180" s="94">
        <v>2005</v>
      </c>
      <c r="C180" s="93">
        <v>36</v>
      </c>
      <c r="D180" s="93">
        <v>39</v>
      </c>
      <c r="E180" s="93">
        <v>33</v>
      </c>
      <c r="F180" s="93">
        <v>24</v>
      </c>
      <c r="G180" s="93">
        <v>27</v>
      </c>
      <c r="H180" s="93">
        <v>32</v>
      </c>
      <c r="I180" s="93">
        <v>24</v>
      </c>
      <c r="J180" s="92">
        <v>215</v>
      </c>
      <c r="K180" s="62"/>
    </row>
    <row r="181" spans="2:11" customFormat="1" ht="15" customHeight="1">
      <c r="B181" s="94">
        <v>2006</v>
      </c>
      <c r="C181" s="93">
        <v>49</v>
      </c>
      <c r="D181" s="93">
        <v>38</v>
      </c>
      <c r="E181" s="93">
        <v>33</v>
      </c>
      <c r="F181" s="93">
        <v>34</v>
      </c>
      <c r="G181" s="93">
        <v>20</v>
      </c>
      <c r="H181" s="93">
        <v>29</v>
      </c>
      <c r="I181" s="93">
        <v>35</v>
      </c>
      <c r="J181" s="92">
        <v>238</v>
      </c>
      <c r="K181" s="62"/>
    </row>
    <row r="182" spans="2:11" customFormat="1" ht="15" customHeight="1">
      <c r="B182" s="94">
        <v>2007</v>
      </c>
      <c r="C182" s="93">
        <v>42</v>
      </c>
      <c r="D182" s="93">
        <v>45</v>
      </c>
      <c r="E182" s="93">
        <v>34</v>
      </c>
      <c r="F182" s="93">
        <v>36</v>
      </c>
      <c r="G182" s="93">
        <v>34</v>
      </c>
      <c r="H182" s="93">
        <v>24</v>
      </c>
      <c r="I182" s="93">
        <v>29</v>
      </c>
      <c r="J182" s="92">
        <v>244</v>
      </c>
      <c r="K182" s="62"/>
    </row>
    <row r="183" spans="2:11" customFormat="1" ht="15" customHeight="1">
      <c r="B183" s="94">
        <v>2008</v>
      </c>
      <c r="C183" s="93">
        <v>43</v>
      </c>
      <c r="D183" s="93">
        <v>42</v>
      </c>
      <c r="E183" s="93">
        <v>39</v>
      </c>
      <c r="F183" s="93">
        <v>37</v>
      </c>
      <c r="G183" s="93">
        <v>37</v>
      </c>
      <c r="H183" s="93">
        <v>35</v>
      </c>
      <c r="I183" s="93">
        <v>29</v>
      </c>
      <c r="J183" s="92">
        <v>262</v>
      </c>
      <c r="K183" s="62"/>
    </row>
    <row r="184" spans="2:11" customFormat="1" ht="15" customHeight="1">
      <c r="B184" s="94">
        <v>2009</v>
      </c>
      <c r="C184" s="93">
        <v>44</v>
      </c>
      <c r="D184" s="93">
        <v>41</v>
      </c>
      <c r="E184" s="93">
        <v>42</v>
      </c>
      <c r="F184" s="93">
        <v>40</v>
      </c>
      <c r="G184" s="93">
        <v>42</v>
      </c>
      <c r="H184" s="93">
        <v>38</v>
      </c>
      <c r="I184" s="93">
        <v>37</v>
      </c>
      <c r="J184" s="94">
        <v>284</v>
      </c>
      <c r="K184" s="62"/>
    </row>
    <row r="185" spans="2:11" customFormat="1" ht="15" customHeight="1">
      <c r="B185" s="94">
        <v>2010</v>
      </c>
      <c r="C185" s="93">
        <v>41</v>
      </c>
      <c r="D185" s="93">
        <v>52</v>
      </c>
      <c r="E185" s="93">
        <v>51</v>
      </c>
      <c r="F185" s="93">
        <v>50</v>
      </c>
      <c r="G185" s="93">
        <v>44</v>
      </c>
      <c r="H185" s="93">
        <v>46</v>
      </c>
      <c r="I185" s="93">
        <v>43</v>
      </c>
      <c r="J185" s="92">
        <v>327</v>
      </c>
      <c r="K185" s="62"/>
    </row>
    <row r="186" spans="2:11" customFormat="1" ht="15" customHeight="1">
      <c r="B186" s="94">
        <v>2011</v>
      </c>
      <c r="C186" s="93">
        <v>48</v>
      </c>
      <c r="D186" s="93">
        <v>40</v>
      </c>
      <c r="E186" s="93">
        <v>57</v>
      </c>
      <c r="F186" s="93">
        <v>52</v>
      </c>
      <c r="G186" s="93">
        <v>52</v>
      </c>
      <c r="H186" s="93">
        <v>45</v>
      </c>
      <c r="I186" s="93">
        <v>48</v>
      </c>
      <c r="J186" s="92">
        <v>342</v>
      </c>
      <c r="K186" s="62"/>
    </row>
    <row r="187" spans="2:11" customFormat="1" ht="15" customHeight="1">
      <c r="B187" s="94">
        <v>2012</v>
      </c>
      <c r="C187" s="93">
        <v>58</v>
      </c>
      <c r="D187" s="93">
        <v>50</v>
      </c>
      <c r="E187" s="93">
        <v>43</v>
      </c>
      <c r="F187" s="93">
        <v>54</v>
      </c>
      <c r="G187" s="93">
        <v>52</v>
      </c>
      <c r="H187" s="93">
        <v>56</v>
      </c>
      <c r="I187" s="93">
        <v>43</v>
      </c>
      <c r="J187" s="92">
        <v>356</v>
      </c>
      <c r="K187" s="62"/>
    </row>
    <row r="188" spans="2:11" customFormat="1" ht="15" customHeight="1">
      <c r="B188" s="94">
        <v>2013</v>
      </c>
      <c r="C188" s="93">
        <v>58</v>
      </c>
      <c r="D188" s="93">
        <v>56</v>
      </c>
      <c r="E188" s="93">
        <v>45</v>
      </c>
      <c r="F188" s="93">
        <v>45</v>
      </c>
      <c r="G188" s="93">
        <v>55</v>
      </c>
      <c r="H188" s="93">
        <v>51</v>
      </c>
      <c r="I188" s="93">
        <v>55</v>
      </c>
      <c r="J188" s="94">
        <v>365</v>
      </c>
      <c r="K188" s="62"/>
    </row>
    <row r="189" spans="2:11" customFormat="1" ht="15" customHeight="1">
      <c r="B189" s="94">
        <v>2014</v>
      </c>
      <c r="C189" s="93">
        <v>53</v>
      </c>
      <c r="D189" s="93">
        <v>58</v>
      </c>
      <c r="E189" s="93">
        <v>59</v>
      </c>
      <c r="F189" s="93">
        <v>41</v>
      </c>
      <c r="G189" s="93">
        <v>46</v>
      </c>
      <c r="H189" s="93">
        <v>55</v>
      </c>
      <c r="I189" s="93">
        <v>51</v>
      </c>
      <c r="J189" s="92">
        <v>363</v>
      </c>
      <c r="K189" s="65"/>
    </row>
    <row r="190" spans="2:11" customFormat="1" ht="15" customHeight="1">
      <c r="B190" s="94">
        <v>2015</v>
      </c>
      <c r="C190" s="93">
        <v>48</v>
      </c>
      <c r="D190" s="93">
        <v>53</v>
      </c>
      <c r="E190" s="93">
        <v>56</v>
      </c>
      <c r="F190" s="93">
        <v>60</v>
      </c>
      <c r="G190" s="93">
        <v>40</v>
      </c>
      <c r="H190" s="93">
        <v>48</v>
      </c>
      <c r="I190" s="93">
        <v>58</v>
      </c>
      <c r="J190" s="92">
        <v>363</v>
      </c>
      <c r="K190" s="65"/>
    </row>
    <row r="191" spans="2:11" customFormat="1" ht="15" customHeight="1">
      <c r="B191" s="94">
        <v>2016</v>
      </c>
      <c r="C191" s="93">
        <v>54</v>
      </c>
      <c r="D191" s="93">
        <v>52</v>
      </c>
      <c r="E191" s="93">
        <v>52</v>
      </c>
      <c r="F191" s="93">
        <v>55</v>
      </c>
      <c r="G191" s="93">
        <v>58</v>
      </c>
      <c r="H191" s="93">
        <v>40</v>
      </c>
      <c r="I191" s="93">
        <v>47</v>
      </c>
      <c r="J191" s="92">
        <v>358</v>
      </c>
      <c r="K191" s="65"/>
    </row>
    <row r="192" spans="2:11" ht="15" customHeight="1">
      <c r="B192" s="94">
        <v>2017</v>
      </c>
      <c r="C192" s="93">
        <f>VLOOKUP($E$3,Rolls!A1:FA90,42,FALSE)</f>
        <v>58</v>
      </c>
      <c r="D192" s="93">
        <f>VLOOKUP($E$3,Rolls!A1:FA90,43,FALSE)</f>
        <v>59</v>
      </c>
      <c r="E192" s="93">
        <f>VLOOKUP($E$3,Rolls!A1:FA90,44,FALSE)</f>
        <v>55</v>
      </c>
      <c r="F192" s="93">
        <f>VLOOKUP($E$3,Rolls!A1:FA90,45,FALSE)</f>
        <v>55</v>
      </c>
      <c r="G192" s="93">
        <f>VLOOKUP($E$3,Rolls!A1:FA90,46,FALSE)</f>
        <v>58</v>
      </c>
      <c r="H192" s="93">
        <f>VLOOKUP($E$3,Rolls!A1:FA90,47,FALSE)</f>
        <v>62</v>
      </c>
      <c r="I192" s="93">
        <f>VLOOKUP($E$3,Rolls!A1:FA90,48,FALSE)</f>
        <v>47</v>
      </c>
      <c r="J192" s="92">
        <f>VLOOKUP($E$3,Rolls!A1:FA90,49,FALSE)</f>
        <v>394</v>
      </c>
      <c r="K192" s="65"/>
    </row>
    <row r="193" spans="2:11" ht="15" customHeight="1">
      <c r="B193" s="94">
        <v>2018</v>
      </c>
      <c r="C193" s="93">
        <f>VLOOKUP($E$3,Rolls!A1:FA90,50,FALSE)</f>
        <v>59</v>
      </c>
      <c r="D193" s="93">
        <f>VLOOKUP($E$3,Rolls!A1:FA90,51,FALSE)</f>
        <v>56</v>
      </c>
      <c r="E193" s="93">
        <f>VLOOKUP($E$3,Rolls!A1:FA90,52,FALSE)</f>
        <v>59</v>
      </c>
      <c r="F193" s="93">
        <f>VLOOKUP($E$3,Rolls!A1:FA90,53,FALSE)</f>
        <v>56</v>
      </c>
      <c r="G193" s="93">
        <f>VLOOKUP($E$3,Rolls!A1:FA90,54,FALSE)</f>
        <v>58</v>
      </c>
      <c r="H193" s="93">
        <f>VLOOKUP($E$3,Rolls!A1:FA90,55,FALSE)</f>
        <v>61</v>
      </c>
      <c r="I193" s="93">
        <f>VLOOKUP($E$3,Rolls!A1:FA90,56,FALSE)</f>
        <v>64</v>
      </c>
      <c r="J193" s="92">
        <f>VLOOKUP($E$3,Rolls!A1:FA90,57,FALSE)</f>
        <v>413</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Q193"/>
  <sheetViews>
    <sheetView topLeftCell="B39" zoomScaleNormal="100" workbookViewId="0">
      <selection activeCell="H64"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83</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Fox Covert ND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294 Pupils (11 classes)</v>
      </c>
      <c r="G12" s="16"/>
      <c r="H12" s="16"/>
    </row>
    <row r="13" spans="2:10" ht="15" customHeight="1">
      <c r="C13" s="16"/>
      <c r="D13" s="16"/>
      <c r="E13" s="16"/>
      <c r="F13" s="16"/>
      <c r="G13" s="16"/>
      <c r="H13" s="16"/>
    </row>
    <row r="14" spans="2:10" ht="15" customHeight="1">
      <c r="B14" s="15" t="str">
        <f>"Figure 1: "&amp;E3&amp;" Roll, 2002-2015"</f>
        <v>Figure 1: Fox Covert ND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Fox Covert ND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41</v>
      </c>
      <c r="E49" s="108">
        <f>VLOOKUP($E$3,'Catchment Projections'!$A$1:$BU$90,46,FALSE)</f>
        <v>56</v>
      </c>
      <c r="F49" s="108">
        <f>VLOOKUP($E$3,'Catchment Projections'!$A$1:$BU$90,47,FALSE)</f>
        <v>46</v>
      </c>
      <c r="G49" s="108">
        <f>VLOOKUP($E$3,'Catchment Projections'!$A$1:$BU$90,48,FALSE)</f>
        <v>42</v>
      </c>
      <c r="H49" s="133">
        <f>VLOOKUP($E$3,'Catchment Projections'!$A$1:$BU$90,49,FALSE)</f>
        <v>49</v>
      </c>
      <c r="I49" s="133">
        <f>VLOOKUP($E$3,'Catchment Projections'!$A$1:$BU$90,50,FALSE)</f>
        <v>49</v>
      </c>
      <c r="J49" s="133">
        <f>VLOOKUP($E$3,'Catchment Projections'!$A$1:$BU$90,51,FALSE)</f>
        <v>49</v>
      </c>
      <c r="K49" s="133">
        <f>VLOOKUP($E$3,'Catchment Projections'!$A$1:$BU$90,52,FALSE)</f>
        <v>50</v>
      </c>
      <c r="L49" s="133">
        <f>VLOOKUP($E$3,'Catchment Projections'!$A$1:$BU$90,53,FALSE)</f>
        <v>50</v>
      </c>
      <c r="M49" s="133">
        <f>VLOOKUP($E$3,'Catchment Projections'!$A$1:$BU$90,54,FALSE)</f>
        <v>51</v>
      </c>
      <c r="N49" s="133">
        <f>VLOOKUP($E$3,'Catchment Projections'!$A$1:$BU$90,55,FALSE)</f>
        <v>51</v>
      </c>
      <c r="O49" s="133">
        <f>VLOOKUP($E$3,'Catchment Projections'!$A$1:$BU$90,56,FALSE)</f>
        <v>51</v>
      </c>
      <c r="P49" s="133">
        <f>VLOOKUP($E$3,'Catchment Projections'!$A$1:$BU$90,57,FALSE)</f>
        <v>51</v>
      </c>
      <c r="Q49" s="133">
        <f>VLOOKUP($E$3,'Catchment Projections'!$A$1:$BU$90,58,FALSE)</f>
        <v>51</v>
      </c>
    </row>
    <row r="50" spans="2:17" ht="15" customHeight="1" thickBot="1">
      <c r="B50" s="410" t="s">
        <v>141</v>
      </c>
      <c r="C50" s="411"/>
      <c r="D50" s="286">
        <f>VLOOKUP(E3,'Housing Generation'!$A$3:$DQ$90,10,FALSE)</f>
        <v>0</v>
      </c>
      <c r="E50" s="286">
        <f>VLOOKUP(E3,'Housing Generation'!$A$3:$DQ$90,18,FALSE)</f>
        <v>0</v>
      </c>
      <c r="F50" s="286">
        <f>VLOOKUP(E3,'Housing Generation'!$A$3:$DQ$90,26,FALSE)</f>
        <v>0</v>
      </c>
      <c r="G50" s="243">
        <f>VLOOKUP(E3,'Housing Generation'!$A$3:$DQ$90,34,FALSE)</f>
        <v>0</v>
      </c>
      <c r="H50" s="133">
        <f>VLOOKUP(E3,'Housing Generation'!$A$3:$DQ$90,42,FALSE)</f>
        <v>0</v>
      </c>
      <c r="I50" s="133">
        <f>VLOOKUP(E3,'Housing Generation'!$A$3:$DQ$90,50,FALSE)</f>
        <v>0</v>
      </c>
      <c r="J50" s="133">
        <f>VLOOKUP(E3,'Housing Generation'!$A$3:$CK$90,58,FALSE)</f>
        <v>0</v>
      </c>
      <c r="K50" s="133">
        <f>VLOOKUP(E3,'Housing Generation'!$A$3:$CK$90,66,FALSE)</f>
        <v>0</v>
      </c>
      <c r="L50" s="133">
        <f>VLOOKUP(E3,'Housing Generation'!$A$3:$DQ$90,74,FALSE)</f>
        <v>0</v>
      </c>
      <c r="M50" s="133">
        <f>VLOOKUP(E3,'Housing Generation'!$A$3:$DQ$90,82,FALSE)</f>
        <v>0</v>
      </c>
      <c r="N50" s="133">
        <f>VLOOKUP(E3,'Housing Generation'!$A$3:$DQ$90,90,FALSE)</f>
        <v>0</v>
      </c>
      <c r="O50" s="133">
        <f>VLOOKUP(E3,'Housing Generation'!$A$3:$DQ$90,98,FALSE)</f>
        <v>0</v>
      </c>
      <c r="P50" s="133">
        <f>VLOOKUP(E3,'Housing Generation'!$A$3:$DQ$90,106,FALSE)</f>
        <v>0</v>
      </c>
      <c r="Q50" s="133">
        <f>VLOOKUP(E3,'Housing Generation'!$A$3:$DQ$90,114,FALSE)</f>
        <v>0</v>
      </c>
    </row>
    <row r="51" spans="2:17" ht="15" customHeight="1" thickTop="1">
      <c r="B51" s="421" t="s">
        <v>130</v>
      </c>
      <c r="C51" s="422"/>
      <c r="D51" s="47">
        <f t="shared" ref="D51:Q51" si="0">SUM(D49:D50)</f>
        <v>41</v>
      </c>
      <c r="E51" s="47">
        <f t="shared" si="0"/>
        <v>56</v>
      </c>
      <c r="F51" s="80">
        <f t="shared" si="0"/>
        <v>46</v>
      </c>
      <c r="G51" s="244">
        <f t="shared" si="0"/>
        <v>42</v>
      </c>
      <c r="H51" s="71">
        <f t="shared" si="0"/>
        <v>49</v>
      </c>
      <c r="I51" s="71">
        <f t="shared" si="0"/>
        <v>49</v>
      </c>
      <c r="J51" s="71">
        <f t="shared" si="0"/>
        <v>49</v>
      </c>
      <c r="K51" s="71">
        <f t="shared" si="0"/>
        <v>50</v>
      </c>
      <c r="L51" s="71">
        <f t="shared" si="0"/>
        <v>50</v>
      </c>
      <c r="M51" s="71">
        <f t="shared" si="0"/>
        <v>51</v>
      </c>
      <c r="N51" s="71">
        <f t="shared" si="0"/>
        <v>51</v>
      </c>
      <c r="O51" s="71">
        <f t="shared" si="0"/>
        <v>51</v>
      </c>
      <c r="P51" s="71">
        <f t="shared" si="0"/>
        <v>51</v>
      </c>
      <c r="Q51" s="71">
        <f t="shared" si="0"/>
        <v>51</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34</v>
      </c>
      <c r="D60" s="358">
        <f>VLOOKUP($E$3,'Catchment Projections'!$A$1:$BZ$90,74,FALSE)</f>
        <v>33</v>
      </c>
      <c r="E60" s="303">
        <f>D60/C60</f>
        <v>0.97058823529411764</v>
      </c>
      <c r="G60" s="132">
        <v>2014</v>
      </c>
      <c r="H60" s="395">
        <f>VLOOKUP($G$60,$B$177:$C$215, 2, FALSE)</f>
        <v>37</v>
      </c>
      <c r="I60" s="120">
        <f>H60-D60</f>
        <v>4</v>
      </c>
      <c r="J60" s="121">
        <f>I60/H60</f>
        <v>0.10810810810810811</v>
      </c>
    </row>
    <row r="61" spans="2:17" ht="15" customHeight="1">
      <c r="B61" s="132">
        <v>2015</v>
      </c>
      <c r="C61" s="359">
        <f>VLOOKUP($E$3,'Catchment Projections'!$A$1:$BZ$90,41,FALSE)</f>
        <v>34</v>
      </c>
      <c r="D61" s="358">
        <f>VLOOKUP($E$3,'Catchment Projections'!$A$1:$BZ$90,75,FALSE)</f>
        <v>29</v>
      </c>
      <c r="E61" s="303">
        <f>D61/C61</f>
        <v>0.8529411764705882</v>
      </c>
      <c r="G61" s="132">
        <v>2015</v>
      </c>
      <c r="H61" s="395">
        <f>VLOOKUP($G$61,$B$177:$C$215, 2, FALSE)</f>
        <v>30</v>
      </c>
      <c r="I61" s="120">
        <f>H61-D61</f>
        <v>1</v>
      </c>
      <c r="J61" s="121">
        <f>I61/H61</f>
        <v>3.3333333333333333E-2</v>
      </c>
    </row>
    <row r="62" spans="2:17" ht="15" customHeight="1">
      <c r="B62" s="131">
        <v>2016</v>
      </c>
      <c r="C62" s="359">
        <f>VLOOKUP($E$3,'Catchment Projections'!$A$1:$BZ$90,42,FALSE)</f>
        <v>47</v>
      </c>
      <c r="D62" s="358">
        <f>VLOOKUP($E$3,'Catchment Projections'!$A$1:$BZ$90,76,FALSE)</f>
        <v>46</v>
      </c>
      <c r="E62" s="57">
        <f>D62/C62</f>
        <v>0.97872340425531912</v>
      </c>
      <c r="G62" s="131">
        <v>2016</v>
      </c>
      <c r="H62" s="395">
        <f>VLOOKUP($G$62,$B$177:$C$215, 2, FALSE)</f>
        <v>49</v>
      </c>
      <c r="I62" s="120">
        <f>H62-D62</f>
        <v>3</v>
      </c>
      <c r="J62" s="121">
        <f>I62/H62</f>
        <v>6.1224489795918366E-2</v>
      </c>
    </row>
    <row r="63" spans="2:17" ht="15" customHeight="1">
      <c r="B63" s="114">
        <v>2017</v>
      </c>
      <c r="C63" s="359">
        <f>VLOOKUP($E$3,'Catchment Projections'!$A$1:$BZ$90,43,FALSE)</f>
        <v>45</v>
      </c>
      <c r="D63" s="358">
        <f>VLOOKUP($E$3,'Catchment Projections'!$A$1:$BZ$90,77,FALSE)</f>
        <v>43</v>
      </c>
      <c r="E63" s="304">
        <f>D63/C63</f>
        <v>0.9555555555555556</v>
      </c>
      <c r="G63" s="114">
        <v>2017</v>
      </c>
      <c r="H63" s="395">
        <f>VLOOKUP($G$63,$B$177:$C$215, 2, FALSE)</f>
        <v>50</v>
      </c>
      <c r="I63" s="120">
        <f>H63-D63</f>
        <v>7</v>
      </c>
      <c r="J63" s="121">
        <f>I63/H63</f>
        <v>0.14000000000000001</v>
      </c>
    </row>
    <row r="64" spans="2:17" ht="15" customHeight="1">
      <c r="B64" s="114">
        <v>2018</v>
      </c>
      <c r="C64" s="359">
        <f>VLOOKUP($E$3,'Catchment Projections'!$A$1:$BZ$90,44,FALSE)</f>
        <v>38</v>
      </c>
      <c r="D64" s="358">
        <f>VLOOKUP($E$3,'Catchment Projections'!$A$1:$BZ$90,78,FALSE)</f>
        <v>36</v>
      </c>
      <c r="E64" s="305">
        <f>D64/C64</f>
        <v>0.94736842105263153</v>
      </c>
      <c r="G64" s="114">
        <v>2018</v>
      </c>
      <c r="H64" s="395">
        <f>VLOOKUP($G$64,$B$177:$C$215, 2, FALSE)</f>
        <v>43</v>
      </c>
      <c r="I64" s="120">
        <f>H64-D64</f>
        <v>7</v>
      </c>
      <c r="J64" s="121">
        <f>I64/H64</f>
        <v>0.16279069767441862</v>
      </c>
    </row>
    <row r="65" spans="2:10" ht="15" customHeight="1">
      <c r="B65" s="412" t="s">
        <v>136</v>
      </c>
      <c r="C65" s="413"/>
      <c r="D65" s="414"/>
      <c r="E65" s="137">
        <f>IF((AVERAGE(E62:E64))="#DIV/0!","n/a",(AVERAGE(E62:E64)))</f>
        <v>0.96054912695450201</v>
      </c>
      <c r="G65" s="415" t="s">
        <v>137</v>
      </c>
      <c r="H65" s="416"/>
      <c r="I65" s="138">
        <f>MEDIAN(I60:I64)</f>
        <v>4</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41</v>
      </c>
      <c r="D70" s="408"/>
      <c r="E70" s="122">
        <f>E65</f>
        <v>0.96054912695450201</v>
      </c>
      <c r="F70" s="120">
        <f t="shared" ref="F70:F83" si="1">C70*$E$65</f>
        <v>39.382514205134584</v>
      </c>
      <c r="G70" s="118">
        <f>IF(F70&lt;26,25,IF(F70&gt;135,140,IF(F70&gt;130,135,IF(F70&gt;125,130,IF(F70&gt;120,125,IF(F70&gt;115,120,IF(F70&gt;110,115,IF(F70&gt;105,110,IF(F70&gt;100,105,IF(F70&gt;99,100,IF(F70&gt;90,99,IF(F70&gt;75,90,IF(F70&gt;72,75,IF(F70&gt;66,72,IF(F70&gt;60,66,IF(F70&gt;50,60,IF(F70&gt;30,50,IF(F70&gt;25,30,0))))))))))))))))))</f>
        <v>50</v>
      </c>
      <c r="H70" s="119">
        <f t="shared" ref="H70:H83" si="2">G70-F70</f>
        <v>10.617485794865416</v>
      </c>
      <c r="I70" s="118" t="str">
        <f>IF(I$65&lt;H70, "NO", "YES")</f>
        <v>NO</v>
      </c>
      <c r="J70" s="117">
        <f t="shared" ref="J70:J83" si="3">IF(I70="YES",G70,(MIN((SUM(F70,$I$65)),G70)))</f>
        <v>43.382514205134584</v>
      </c>
    </row>
    <row r="71" spans="2:10" ht="15" customHeight="1">
      <c r="B71" s="114">
        <v>2020</v>
      </c>
      <c r="C71" s="433">
        <f>E51</f>
        <v>56</v>
      </c>
      <c r="D71" s="408"/>
      <c r="E71" s="121">
        <f>E65</f>
        <v>0.96054912695450201</v>
      </c>
      <c r="F71" s="120">
        <f t="shared" si="1"/>
        <v>53.79075110945211</v>
      </c>
      <c r="G71" s="118">
        <f t="shared" ref="G71:G83" si="4">IF(F71&lt;26,25,IF(F71&gt;135,140,IF(F71&gt;130,135,IF(F71&gt;125,130,IF(F71&gt;120,125,IF(F71&gt;115,120,IF(F71&gt;110,115,IF(F71&gt;105,110,IF(F71&gt;100,105,IF(F71&gt;99,100,IF(F71&gt;90,99,IF(F71&gt;75,90,IF(F71&gt;72,75,IF(F71&gt;66,72,IF(F71&gt;60,66,IF(F71&gt;50,60,IF(F71&gt;30,50,IF(F71&gt;25,30,0))))))))))))))))))</f>
        <v>60</v>
      </c>
      <c r="H71" s="119">
        <f t="shared" si="2"/>
        <v>6.2092488905478902</v>
      </c>
      <c r="I71" s="118" t="str">
        <f t="shared" ref="I71:I83" si="5">IF(I$65&lt;H71, "NO", "YES")</f>
        <v>NO</v>
      </c>
      <c r="J71" s="117">
        <f t="shared" si="3"/>
        <v>57.79075110945211</v>
      </c>
    </row>
    <row r="72" spans="2:10" ht="15" customHeight="1">
      <c r="B72" s="114">
        <v>2021</v>
      </c>
      <c r="C72" s="430">
        <f>F51</f>
        <v>46</v>
      </c>
      <c r="D72" s="431"/>
      <c r="E72" s="121">
        <f>E65</f>
        <v>0.96054912695450201</v>
      </c>
      <c r="F72" s="120">
        <f t="shared" si="1"/>
        <v>44.18525983990709</v>
      </c>
      <c r="G72" s="118">
        <f t="shared" si="4"/>
        <v>50</v>
      </c>
      <c r="H72" s="119">
        <f t="shared" si="2"/>
        <v>5.8147401600929101</v>
      </c>
      <c r="I72" s="118" t="str">
        <f t="shared" si="5"/>
        <v>NO</v>
      </c>
      <c r="J72" s="117">
        <f t="shared" si="3"/>
        <v>48.18525983990709</v>
      </c>
    </row>
    <row r="73" spans="2:10" ht="15" customHeight="1">
      <c r="B73" s="114">
        <v>2022</v>
      </c>
      <c r="C73" s="430">
        <f>G51</f>
        <v>42</v>
      </c>
      <c r="D73" s="431"/>
      <c r="E73" s="121">
        <f>E65</f>
        <v>0.96054912695450201</v>
      </c>
      <c r="F73" s="120">
        <f t="shared" si="1"/>
        <v>40.343063332089088</v>
      </c>
      <c r="G73" s="118">
        <f t="shared" si="4"/>
        <v>50</v>
      </c>
      <c r="H73" s="119">
        <f t="shared" si="2"/>
        <v>9.6569366679109123</v>
      </c>
      <c r="I73" s="118" t="str">
        <f t="shared" si="5"/>
        <v>NO</v>
      </c>
      <c r="J73" s="117">
        <f t="shared" si="3"/>
        <v>44.343063332089088</v>
      </c>
    </row>
    <row r="74" spans="2:10" ht="15" customHeight="1">
      <c r="B74" s="114">
        <v>2023</v>
      </c>
      <c r="C74" s="430">
        <f>H51</f>
        <v>49</v>
      </c>
      <c r="D74" s="431"/>
      <c r="E74" s="121">
        <f>E65</f>
        <v>0.96054912695450201</v>
      </c>
      <c r="F74" s="120">
        <f t="shared" si="1"/>
        <v>47.066907220770595</v>
      </c>
      <c r="G74" s="118">
        <f t="shared" si="4"/>
        <v>50</v>
      </c>
      <c r="H74" s="119">
        <f t="shared" si="2"/>
        <v>2.9330927792294048</v>
      </c>
      <c r="I74" s="118" t="str">
        <f t="shared" si="5"/>
        <v>YES</v>
      </c>
      <c r="J74" s="117">
        <f t="shared" si="3"/>
        <v>50</v>
      </c>
    </row>
    <row r="75" spans="2:10" ht="15" customHeight="1">
      <c r="B75" s="114">
        <v>2024</v>
      </c>
      <c r="C75" s="430">
        <f>I51</f>
        <v>49</v>
      </c>
      <c r="D75" s="431"/>
      <c r="E75" s="121">
        <f>E65</f>
        <v>0.96054912695450201</v>
      </c>
      <c r="F75" s="120">
        <f t="shared" si="1"/>
        <v>47.066907220770595</v>
      </c>
      <c r="G75" s="118">
        <f t="shared" si="4"/>
        <v>50</v>
      </c>
      <c r="H75" s="119">
        <f t="shared" si="2"/>
        <v>2.9330927792294048</v>
      </c>
      <c r="I75" s="118" t="str">
        <f t="shared" si="5"/>
        <v>YES</v>
      </c>
      <c r="J75" s="117">
        <f t="shared" si="3"/>
        <v>50</v>
      </c>
    </row>
    <row r="76" spans="2:10" ht="15" customHeight="1">
      <c r="B76" s="114">
        <v>2025</v>
      </c>
      <c r="C76" s="430">
        <f>J51</f>
        <v>49</v>
      </c>
      <c r="D76" s="431"/>
      <c r="E76" s="121">
        <f>E65</f>
        <v>0.96054912695450201</v>
      </c>
      <c r="F76" s="120">
        <f t="shared" si="1"/>
        <v>47.066907220770595</v>
      </c>
      <c r="G76" s="118">
        <f t="shared" si="4"/>
        <v>50</v>
      </c>
      <c r="H76" s="119">
        <f t="shared" si="2"/>
        <v>2.9330927792294048</v>
      </c>
      <c r="I76" s="118" t="str">
        <f t="shared" si="5"/>
        <v>YES</v>
      </c>
      <c r="J76" s="117">
        <f t="shared" si="3"/>
        <v>50</v>
      </c>
    </row>
    <row r="77" spans="2:10" ht="15" customHeight="1">
      <c r="B77" s="114">
        <v>2026</v>
      </c>
      <c r="C77" s="430">
        <f>K51</f>
        <v>50</v>
      </c>
      <c r="D77" s="431"/>
      <c r="E77" s="121">
        <f>E65</f>
        <v>0.96054912695450201</v>
      </c>
      <c r="F77" s="120">
        <f t="shared" si="1"/>
        <v>48.027456347725099</v>
      </c>
      <c r="G77" s="118">
        <f t="shared" si="4"/>
        <v>50</v>
      </c>
      <c r="H77" s="119">
        <f t="shared" si="2"/>
        <v>1.9725436522749007</v>
      </c>
      <c r="I77" s="118" t="str">
        <f t="shared" si="5"/>
        <v>YES</v>
      </c>
      <c r="J77" s="117">
        <f t="shared" si="3"/>
        <v>50</v>
      </c>
    </row>
    <row r="78" spans="2:10" ht="15" customHeight="1">
      <c r="B78" s="114">
        <v>2027</v>
      </c>
      <c r="C78" s="430">
        <f>L51</f>
        <v>50</v>
      </c>
      <c r="D78" s="431"/>
      <c r="E78" s="121">
        <f>E65</f>
        <v>0.96054912695450201</v>
      </c>
      <c r="F78" s="120">
        <f t="shared" si="1"/>
        <v>48.027456347725099</v>
      </c>
      <c r="G78" s="118">
        <f t="shared" si="4"/>
        <v>50</v>
      </c>
      <c r="H78" s="119">
        <f t="shared" si="2"/>
        <v>1.9725436522749007</v>
      </c>
      <c r="I78" s="118" t="str">
        <f t="shared" si="5"/>
        <v>YES</v>
      </c>
      <c r="J78" s="117">
        <f t="shared" si="3"/>
        <v>50</v>
      </c>
    </row>
    <row r="79" spans="2:10" ht="15" customHeight="1">
      <c r="B79" s="114">
        <v>2028</v>
      </c>
      <c r="C79" s="430">
        <f>M51</f>
        <v>51</v>
      </c>
      <c r="D79" s="431"/>
      <c r="E79" s="121">
        <f t="shared" ref="E79:E83" si="6">$E$65</f>
        <v>0.96054912695450201</v>
      </c>
      <c r="F79" s="120">
        <f t="shared" si="1"/>
        <v>48.988005474679603</v>
      </c>
      <c r="G79" s="118">
        <f t="shared" si="4"/>
        <v>50</v>
      </c>
      <c r="H79" s="119">
        <f t="shared" si="2"/>
        <v>1.0119945253203966</v>
      </c>
      <c r="I79" s="118" t="str">
        <f t="shared" si="5"/>
        <v>YES</v>
      </c>
      <c r="J79" s="117">
        <f t="shared" si="3"/>
        <v>50</v>
      </c>
    </row>
    <row r="80" spans="2:10" ht="15" customHeight="1">
      <c r="B80" s="114">
        <v>2029</v>
      </c>
      <c r="C80" s="430">
        <f>N51</f>
        <v>51</v>
      </c>
      <c r="D80" s="431"/>
      <c r="E80" s="121">
        <f t="shared" si="6"/>
        <v>0.96054912695450201</v>
      </c>
      <c r="F80" s="120">
        <f t="shared" si="1"/>
        <v>48.988005474679603</v>
      </c>
      <c r="G80" s="118">
        <f t="shared" si="4"/>
        <v>50</v>
      </c>
      <c r="H80" s="119">
        <f t="shared" si="2"/>
        <v>1.0119945253203966</v>
      </c>
      <c r="I80" s="118" t="str">
        <f t="shared" si="5"/>
        <v>YES</v>
      </c>
      <c r="J80" s="117">
        <f t="shared" si="3"/>
        <v>50</v>
      </c>
    </row>
    <row r="81" spans="2:10" ht="15" customHeight="1">
      <c r="B81" s="114">
        <v>2030</v>
      </c>
      <c r="C81" s="430">
        <f>O51</f>
        <v>51</v>
      </c>
      <c r="D81" s="431"/>
      <c r="E81" s="121">
        <f t="shared" si="6"/>
        <v>0.96054912695450201</v>
      </c>
      <c r="F81" s="120">
        <f t="shared" si="1"/>
        <v>48.988005474679603</v>
      </c>
      <c r="G81" s="118">
        <f t="shared" si="4"/>
        <v>50</v>
      </c>
      <c r="H81" s="119">
        <f t="shared" si="2"/>
        <v>1.0119945253203966</v>
      </c>
      <c r="I81" s="118" t="str">
        <f t="shared" si="5"/>
        <v>YES</v>
      </c>
      <c r="J81" s="117">
        <f t="shared" si="3"/>
        <v>50</v>
      </c>
    </row>
    <row r="82" spans="2:10" ht="15" customHeight="1">
      <c r="B82" s="114">
        <v>2031</v>
      </c>
      <c r="C82" s="430">
        <f>P51</f>
        <v>51</v>
      </c>
      <c r="D82" s="431"/>
      <c r="E82" s="121">
        <f t="shared" si="6"/>
        <v>0.96054912695450201</v>
      </c>
      <c r="F82" s="120">
        <f t="shared" si="1"/>
        <v>48.988005474679603</v>
      </c>
      <c r="G82" s="118">
        <f t="shared" si="4"/>
        <v>50</v>
      </c>
      <c r="H82" s="119">
        <f t="shared" si="2"/>
        <v>1.0119945253203966</v>
      </c>
      <c r="I82" s="118" t="str">
        <f t="shared" si="5"/>
        <v>YES</v>
      </c>
      <c r="J82" s="117">
        <f t="shared" si="3"/>
        <v>50</v>
      </c>
    </row>
    <row r="83" spans="2:10" ht="15" customHeight="1">
      <c r="B83" s="114">
        <v>2032</v>
      </c>
      <c r="C83" s="430">
        <f>Q51</f>
        <v>51</v>
      </c>
      <c r="D83" s="431"/>
      <c r="E83" s="121">
        <f t="shared" si="6"/>
        <v>0.96054912695450201</v>
      </c>
      <c r="F83" s="120">
        <f t="shared" si="1"/>
        <v>48.988005474679603</v>
      </c>
      <c r="G83" s="118">
        <f t="shared" si="4"/>
        <v>50</v>
      </c>
      <c r="H83" s="119">
        <f t="shared" si="2"/>
        <v>1.0119945253203966</v>
      </c>
      <c r="I83" s="118" t="str">
        <f t="shared" si="5"/>
        <v>YES</v>
      </c>
      <c r="J83" s="117">
        <f t="shared" si="3"/>
        <v>50</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Fox Covert ND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39</v>
      </c>
      <c r="D91" s="112">
        <f t="shared" ref="D91:J91" si="7">D188</f>
        <v>26</v>
      </c>
      <c r="E91" s="112">
        <f t="shared" si="7"/>
        <v>30</v>
      </c>
      <c r="F91" s="112">
        <f t="shared" si="7"/>
        <v>28</v>
      </c>
      <c r="G91" s="112">
        <f t="shared" si="7"/>
        <v>29</v>
      </c>
      <c r="H91" s="112">
        <f t="shared" si="7"/>
        <v>33</v>
      </c>
      <c r="I91" s="112">
        <f t="shared" si="7"/>
        <v>25</v>
      </c>
      <c r="J91" s="213">
        <f t="shared" si="7"/>
        <v>210</v>
      </c>
    </row>
    <row r="92" spans="2:10" ht="15" customHeight="1">
      <c r="B92" s="114">
        <v>2014</v>
      </c>
      <c r="C92" s="112">
        <f>C189</f>
        <v>37</v>
      </c>
      <c r="D92" s="112">
        <f t="shared" ref="D92:J92" si="8">D189</f>
        <v>39</v>
      </c>
      <c r="E92" s="112">
        <f t="shared" si="8"/>
        <v>29</v>
      </c>
      <c r="F92" s="112">
        <f t="shared" si="8"/>
        <v>29</v>
      </c>
      <c r="G92" s="112">
        <f t="shared" si="8"/>
        <v>30</v>
      </c>
      <c r="H92" s="112">
        <f t="shared" si="8"/>
        <v>28</v>
      </c>
      <c r="I92" s="112">
        <f t="shared" si="8"/>
        <v>33</v>
      </c>
      <c r="J92" s="213">
        <f t="shared" si="8"/>
        <v>225</v>
      </c>
    </row>
    <row r="93" spans="2:10" ht="15" customHeight="1">
      <c r="B93" s="114">
        <v>2015</v>
      </c>
      <c r="C93" s="112">
        <f>C190</f>
        <v>30</v>
      </c>
      <c r="D93" s="112">
        <f t="shared" ref="D93:J93" si="9">D190</f>
        <v>37</v>
      </c>
      <c r="E93" s="112">
        <f t="shared" si="9"/>
        <v>40</v>
      </c>
      <c r="F93" s="112">
        <f t="shared" si="9"/>
        <v>31</v>
      </c>
      <c r="G93" s="112">
        <f t="shared" si="9"/>
        <v>30</v>
      </c>
      <c r="H93" s="112">
        <f t="shared" si="9"/>
        <v>26</v>
      </c>
      <c r="I93" s="112">
        <f t="shared" si="9"/>
        <v>26</v>
      </c>
      <c r="J93" s="213">
        <f t="shared" si="9"/>
        <v>220</v>
      </c>
    </row>
    <row r="94" spans="2:10" ht="15" customHeight="1">
      <c r="B94" s="114">
        <v>2016</v>
      </c>
      <c r="C94" s="112">
        <f>C191</f>
        <v>49</v>
      </c>
      <c r="D94" s="112">
        <f t="shared" ref="D94:J94" si="10">D191</f>
        <v>29</v>
      </c>
      <c r="E94" s="112">
        <f t="shared" si="10"/>
        <v>37</v>
      </c>
      <c r="F94" s="112">
        <f t="shared" si="10"/>
        <v>42</v>
      </c>
      <c r="G94" s="112">
        <f t="shared" si="10"/>
        <v>31</v>
      </c>
      <c r="H94" s="112">
        <f t="shared" si="10"/>
        <v>32</v>
      </c>
      <c r="I94" s="112">
        <f t="shared" si="10"/>
        <v>26</v>
      </c>
      <c r="J94" s="213">
        <f t="shared" si="10"/>
        <v>246</v>
      </c>
    </row>
    <row r="95" spans="2:10" ht="15" customHeight="1">
      <c r="B95" s="114">
        <v>2017</v>
      </c>
      <c r="C95" s="112">
        <f>C192</f>
        <v>50</v>
      </c>
      <c r="D95" s="112">
        <f t="shared" ref="D95:J95" si="11">D192</f>
        <v>49</v>
      </c>
      <c r="E95" s="112">
        <f t="shared" si="11"/>
        <v>30</v>
      </c>
      <c r="F95" s="112">
        <f t="shared" si="11"/>
        <v>37</v>
      </c>
      <c r="G95" s="112">
        <f t="shared" si="11"/>
        <v>45</v>
      </c>
      <c r="H95" s="112">
        <f t="shared" si="11"/>
        <v>30</v>
      </c>
      <c r="I95" s="112">
        <f t="shared" si="11"/>
        <v>32</v>
      </c>
      <c r="J95" s="213">
        <f t="shared" si="11"/>
        <v>273</v>
      </c>
    </row>
    <row r="96" spans="2:10" ht="15" customHeight="1">
      <c r="B96" s="307">
        <v>2018</v>
      </c>
      <c r="C96" s="112">
        <f t="shared" ref="C96:J96" si="12">C193</f>
        <v>43</v>
      </c>
      <c r="D96" s="112">
        <f t="shared" si="12"/>
        <v>48</v>
      </c>
      <c r="E96" s="112">
        <f t="shared" si="12"/>
        <v>48</v>
      </c>
      <c r="F96" s="112">
        <f t="shared" si="12"/>
        <v>32</v>
      </c>
      <c r="G96" s="112">
        <f t="shared" si="12"/>
        <v>38</v>
      </c>
      <c r="H96" s="112">
        <f t="shared" si="12"/>
        <v>46</v>
      </c>
      <c r="I96" s="112">
        <f t="shared" si="12"/>
        <v>33</v>
      </c>
      <c r="J96" s="213">
        <f t="shared" si="12"/>
        <v>288</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0</v>
      </c>
      <c r="E98" s="210">
        <f t="shared" ref="E98:I98" si="13">MEDIAN(((D91-E92)/D91),((D92-E93)/D92),((D93-E94)/D93),((D94-E95)/D94),((D95-E96)/D95))</f>
        <v>-2.564102564102564E-2</v>
      </c>
      <c r="F98" s="210">
        <f t="shared" si="13"/>
        <v>-0.05</v>
      </c>
      <c r="G98" s="210">
        <f t="shared" si="13"/>
        <v>-3.4482758620689655E-2</v>
      </c>
      <c r="H98" s="210">
        <f t="shared" si="13"/>
        <v>3.2258064516129031E-2</v>
      </c>
      <c r="I98" s="210">
        <f t="shared" si="13"/>
        <v>0</v>
      </c>
    </row>
    <row r="99" spans="2:10" ht="18.75">
      <c r="B99" s="59"/>
      <c r="C99" s="60"/>
      <c r="D99" s="61"/>
      <c r="E99" s="61"/>
      <c r="F99" s="61"/>
      <c r="G99" s="61"/>
      <c r="H99" s="61"/>
      <c r="I99" s="61"/>
      <c r="J99" s="58"/>
    </row>
    <row r="100" spans="2:10">
      <c r="B100" s="15" t="str">
        <f>"Table 4B: "&amp;E3&amp;" Projected Roll by Stage (incorporating Projected P1 and Drop-Off Rates), 2019-2032"</f>
        <v>Table 4B: Fox Covert ND Primary School Projected Roll by Stage (incorporating Projected P1 and Drop-Off Rates), 2019-2032</v>
      </c>
      <c r="F100" s="14"/>
      <c r="G100" s="14"/>
    </row>
    <row r="101" spans="2:10" ht="12.75">
      <c r="F101" s="14"/>
      <c r="G101" s="14"/>
    </row>
    <row r="102" spans="2:10">
      <c r="B102" s="115"/>
      <c r="C102" s="109" t="s">
        <v>1</v>
      </c>
      <c r="D102" s="109" t="s">
        <v>2</v>
      </c>
      <c r="E102" s="109" t="s">
        <v>3</v>
      </c>
      <c r="F102" s="109" t="s">
        <v>4</v>
      </c>
      <c r="G102" s="109" t="s">
        <v>5</v>
      </c>
      <c r="H102" s="109" t="s">
        <v>6</v>
      </c>
      <c r="I102" s="109" t="s">
        <v>7</v>
      </c>
      <c r="J102" s="109" t="s">
        <v>8</v>
      </c>
    </row>
    <row r="103" spans="2:10">
      <c r="B103" s="114">
        <v>2019</v>
      </c>
      <c r="C103" s="113">
        <f t="shared" ref="C103:C116" si="14">J70</f>
        <v>43.382514205134584</v>
      </c>
      <c r="D103" s="324">
        <f>ROUND((C96)-(C96*$D$98),0)</f>
        <v>43</v>
      </c>
      <c r="E103" s="324">
        <f>ROUND((D96)-(D96*$E$98),0)</f>
        <v>49</v>
      </c>
      <c r="F103" s="324">
        <f>ROUND((E96)-(E96*$F$98),0)</f>
        <v>50</v>
      </c>
      <c r="G103" s="324">
        <f>ROUND((F96)-(F96*$G$98),0)</f>
        <v>33</v>
      </c>
      <c r="H103" s="324">
        <f>ROUND((G96)-(G96*$H$98),0)</f>
        <v>37</v>
      </c>
      <c r="I103" s="324">
        <f>ROUND((H96)-(H96*$I$98),0)</f>
        <v>46</v>
      </c>
      <c r="J103" s="111">
        <f t="shared" ref="J103:J116" si="15">SUM(C103:I103)</f>
        <v>301.38251420513461</v>
      </c>
    </row>
    <row r="104" spans="2:10">
      <c r="B104" s="114">
        <v>2020</v>
      </c>
      <c r="C104" s="113">
        <f t="shared" si="14"/>
        <v>57.79075110945211</v>
      </c>
      <c r="D104" s="324">
        <f>ROUND((C103-E50)-(C103*$D$98),0)</f>
        <v>43</v>
      </c>
      <c r="E104" s="112">
        <f t="shared" ref="E104:E116" si="16">ROUND((D103)-(D103*$E$98),0)</f>
        <v>44</v>
      </c>
      <c r="F104" s="112">
        <f t="shared" ref="F104:F116" si="17">ROUND((E103)-(E103*$F$98),0)</f>
        <v>51</v>
      </c>
      <c r="G104" s="112">
        <f t="shared" ref="G104:G116" si="18">ROUND((F103)-(F103*$G$98),0)</f>
        <v>52</v>
      </c>
      <c r="H104" s="112">
        <f t="shared" ref="H104:H116" si="19">ROUND((G103)-(G103*$H$98),0)</f>
        <v>32</v>
      </c>
      <c r="I104" s="112">
        <f t="shared" ref="I104:I116" si="20">ROUND((H103)-(H103*$I$98),0)</f>
        <v>37</v>
      </c>
      <c r="J104" s="111">
        <f t="shared" si="15"/>
        <v>316.79075110945212</v>
      </c>
    </row>
    <row r="105" spans="2:10">
      <c r="B105" s="114">
        <v>2021</v>
      </c>
      <c r="C105" s="113">
        <f t="shared" si="14"/>
        <v>48.18525983990709</v>
      </c>
      <c r="D105" s="324">
        <f>ROUND((C104-F50)-(C104*$D$98),0)</f>
        <v>58</v>
      </c>
      <c r="E105" s="112">
        <f t="shared" si="16"/>
        <v>44</v>
      </c>
      <c r="F105" s="112">
        <f t="shared" si="17"/>
        <v>46</v>
      </c>
      <c r="G105" s="112">
        <f t="shared" si="18"/>
        <v>53</v>
      </c>
      <c r="H105" s="112">
        <f t="shared" si="19"/>
        <v>50</v>
      </c>
      <c r="I105" s="112">
        <f t="shared" si="20"/>
        <v>32</v>
      </c>
      <c r="J105" s="111">
        <f t="shared" si="15"/>
        <v>331.18525983990708</v>
      </c>
    </row>
    <row r="106" spans="2:10">
      <c r="B106" s="114">
        <v>2022</v>
      </c>
      <c r="C106" s="113">
        <f t="shared" si="14"/>
        <v>44.343063332089088</v>
      </c>
      <c r="D106" s="324">
        <f>ROUND((C105-G50)-(C105*$D$98),0)</f>
        <v>48</v>
      </c>
      <c r="E106" s="112">
        <f t="shared" si="16"/>
        <v>59</v>
      </c>
      <c r="F106" s="112">
        <f t="shared" si="17"/>
        <v>46</v>
      </c>
      <c r="G106" s="112">
        <f t="shared" si="18"/>
        <v>48</v>
      </c>
      <c r="H106" s="112">
        <f t="shared" si="19"/>
        <v>51</v>
      </c>
      <c r="I106" s="112">
        <f t="shared" si="20"/>
        <v>50</v>
      </c>
      <c r="J106" s="111">
        <f t="shared" si="15"/>
        <v>346.34306333208906</v>
      </c>
    </row>
    <row r="107" spans="2:10">
      <c r="B107" s="114">
        <v>2023</v>
      </c>
      <c r="C107" s="113">
        <f t="shared" si="14"/>
        <v>50</v>
      </c>
      <c r="D107" s="324">
        <f>ROUND((C106-H50)-(C106*$D$98),0)</f>
        <v>44</v>
      </c>
      <c r="E107" s="112">
        <f t="shared" si="16"/>
        <v>49</v>
      </c>
      <c r="F107" s="112">
        <f t="shared" si="17"/>
        <v>62</v>
      </c>
      <c r="G107" s="112">
        <f t="shared" si="18"/>
        <v>48</v>
      </c>
      <c r="H107" s="112">
        <f t="shared" si="19"/>
        <v>46</v>
      </c>
      <c r="I107" s="112">
        <f t="shared" si="20"/>
        <v>51</v>
      </c>
      <c r="J107" s="111">
        <f t="shared" si="15"/>
        <v>350</v>
      </c>
    </row>
    <row r="108" spans="2:10">
      <c r="B108" s="114">
        <v>2024</v>
      </c>
      <c r="C108" s="113">
        <f t="shared" si="14"/>
        <v>50</v>
      </c>
      <c r="D108" s="324">
        <f>ROUND((C107-I50)-(C107*$D$98),0)</f>
        <v>50</v>
      </c>
      <c r="E108" s="112">
        <f t="shared" si="16"/>
        <v>45</v>
      </c>
      <c r="F108" s="112">
        <f t="shared" si="17"/>
        <v>51</v>
      </c>
      <c r="G108" s="112">
        <f t="shared" si="18"/>
        <v>64</v>
      </c>
      <c r="H108" s="112">
        <f t="shared" si="19"/>
        <v>46</v>
      </c>
      <c r="I108" s="112">
        <f t="shared" si="20"/>
        <v>46</v>
      </c>
      <c r="J108" s="111">
        <f t="shared" si="15"/>
        <v>352</v>
      </c>
    </row>
    <row r="109" spans="2:10">
      <c r="B109" s="114">
        <v>2025</v>
      </c>
      <c r="C109" s="113">
        <f t="shared" si="14"/>
        <v>50</v>
      </c>
      <c r="D109" s="324">
        <f>ROUND((C108-J50)-(C108*$D$98),0)</f>
        <v>50</v>
      </c>
      <c r="E109" s="112">
        <f t="shared" si="16"/>
        <v>51</v>
      </c>
      <c r="F109" s="112">
        <f t="shared" si="17"/>
        <v>47</v>
      </c>
      <c r="G109" s="112">
        <f t="shared" si="18"/>
        <v>53</v>
      </c>
      <c r="H109" s="112">
        <f t="shared" si="19"/>
        <v>62</v>
      </c>
      <c r="I109" s="112">
        <f t="shared" si="20"/>
        <v>46</v>
      </c>
      <c r="J109" s="111">
        <f t="shared" si="15"/>
        <v>359</v>
      </c>
    </row>
    <row r="110" spans="2:10">
      <c r="B110" s="114">
        <v>2026</v>
      </c>
      <c r="C110" s="113">
        <f t="shared" si="14"/>
        <v>50</v>
      </c>
      <c r="D110" s="324">
        <f>ROUND((C109-K50)-(C109*$D$98),0)</f>
        <v>50</v>
      </c>
      <c r="E110" s="112">
        <f t="shared" si="16"/>
        <v>51</v>
      </c>
      <c r="F110" s="112">
        <f t="shared" si="17"/>
        <v>54</v>
      </c>
      <c r="G110" s="112">
        <f t="shared" si="18"/>
        <v>49</v>
      </c>
      <c r="H110" s="112">
        <f t="shared" si="19"/>
        <v>51</v>
      </c>
      <c r="I110" s="112">
        <f t="shared" si="20"/>
        <v>62</v>
      </c>
      <c r="J110" s="111">
        <f t="shared" si="15"/>
        <v>367</v>
      </c>
    </row>
    <row r="111" spans="2:10">
      <c r="B111" s="114">
        <v>2027</v>
      </c>
      <c r="C111" s="113">
        <f t="shared" si="14"/>
        <v>50</v>
      </c>
      <c r="D111" s="324">
        <f>ROUND((C110-L50)-(C110*$D$98),0)</f>
        <v>50</v>
      </c>
      <c r="E111" s="112">
        <f t="shared" si="16"/>
        <v>51</v>
      </c>
      <c r="F111" s="112">
        <f t="shared" si="17"/>
        <v>54</v>
      </c>
      <c r="G111" s="112">
        <f t="shared" si="18"/>
        <v>56</v>
      </c>
      <c r="H111" s="112">
        <f t="shared" si="19"/>
        <v>47</v>
      </c>
      <c r="I111" s="112">
        <f t="shared" si="20"/>
        <v>51</v>
      </c>
      <c r="J111" s="111">
        <f t="shared" si="15"/>
        <v>359</v>
      </c>
    </row>
    <row r="112" spans="2:10">
      <c r="B112" s="114">
        <v>2028</v>
      </c>
      <c r="C112" s="113">
        <f t="shared" si="14"/>
        <v>50</v>
      </c>
      <c r="D112" s="324">
        <f>ROUND((C111-M50)-(C111*$D$98),0)</f>
        <v>50</v>
      </c>
      <c r="E112" s="112">
        <f t="shared" si="16"/>
        <v>51</v>
      </c>
      <c r="F112" s="112">
        <f t="shared" si="17"/>
        <v>54</v>
      </c>
      <c r="G112" s="112">
        <f t="shared" si="18"/>
        <v>56</v>
      </c>
      <c r="H112" s="112">
        <f t="shared" si="19"/>
        <v>54</v>
      </c>
      <c r="I112" s="112">
        <f t="shared" si="20"/>
        <v>47</v>
      </c>
      <c r="J112" s="111">
        <f t="shared" si="15"/>
        <v>362</v>
      </c>
    </row>
    <row r="113" spans="2:10" ht="15" customHeight="1">
      <c r="B113" s="114">
        <v>2029</v>
      </c>
      <c r="C113" s="113">
        <f t="shared" si="14"/>
        <v>50</v>
      </c>
      <c r="D113" s="324">
        <f>ROUND((C112-N50)-(C112*$D$98),0)</f>
        <v>50</v>
      </c>
      <c r="E113" s="112">
        <f t="shared" si="16"/>
        <v>51</v>
      </c>
      <c r="F113" s="112">
        <f t="shared" si="17"/>
        <v>54</v>
      </c>
      <c r="G113" s="112">
        <f t="shared" si="18"/>
        <v>56</v>
      </c>
      <c r="H113" s="112">
        <f t="shared" si="19"/>
        <v>54</v>
      </c>
      <c r="I113" s="112">
        <f t="shared" si="20"/>
        <v>54</v>
      </c>
      <c r="J113" s="111">
        <f t="shared" si="15"/>
        <v>369</v>
      </c>
    </row>
    <row r="114" spans="2:10" ht="15" customHeight="1">
      <c r="B114" s="114">
        <v>2030</v>
      </c>
      <c r="C114" s="113">
        <f t="shared" si="14"/>
        <v>50</v>
      </c>
      <c r="D114" s="324">
        <f>ROUND((C113-O50)-(C113*$D$98),0)</f>
        <v>50</v>
      </c>
      <c r="E114" s="112">
        <f t="shared" si="16"/>
        <v>51</v>
      </c>
      <c r="F114" s="112">
        <f t="shared" si="17"/>
        <v>54</v>
      </c>
      <c r="G114" s="112">
        <f t="shared" si="18"/>
        <v>56</v>
      </c>
      <c r="H114" s="112">
        <f t="shared" si="19"/>
        <v>54</v>
      </c>
      <c r="I114" s="112">
        <f t="shared" si="20"/>
        <v>54</v>
      </c>
      <c r="J114" s="111">
        <f t="shared" si="15"/>
        <v>369</v>
      </c>
    </row>
    <row r="115" spans="2:10" ht="15" customHeight="1">
      <c r="B115" s="114">
        <v>2031</v>
      </c>
      <c r="C115" s="113">
        <f t="shared" si="14"/>
        <v>50</v>
      </c>
      <c r="D115" s="324">
        <f>ROUND((C114-P50)-(C114*$D$98),0)</f>
        <v>50</v>
      </c>
      <c r="E115" s="112">
        <f t="shared" si="16"/>
        <v>51</v>
      </c>
      <c r="F115" s="112">
        <f t="shared" si="17"/>
        <v>54</v>
      </c>
      <c r="G115" s="112">
        <f t="shared" si="18"/>
        <v>56</v>
      </c>
      <c r="H115" s="112">
        <f t="shared" si="19"/>
        <v>54</v>
      </c>
      <c r="I115" s="112">
        <f t="shared" si="20"/>
        <v>54</v>
      </c>
      <c r="J115" s="111">
        <f t="shared" si="15"/>
        <v>369</v>
      </c>
    </row>
    <row r="116" spans="2:10" ht="15" customHeight="1">
      <c r="B116" s="114">
        <v>2032</v>
      </c>
      <c r="C116" s="113">
        <f t="shared" si="14"/>
        <v>50</v>
      </c>
      <c r="D116" s="324">
        <f>ROUND((C115-Q50)-(C115*$D$98),0)</f>
        <v>50</v>
      </c>
      <c r="E116" s="112">
        <f t="shared" si="16"/>
        <v>51</v>
      </c>
      <c r="F116" s="112">
        <f t="shared" si="17"/>
        <v>54</v>
      </c>
      <c r="G116" s="112">
        <f t="shared" si="18"/>
        <v>56</v>
      </c>
      <c r="H116" s="112">
        <f t="shared" si="19"/>
        <v>54</v>
      </c>
      <c r="I116" s="112">
        <f t="shared" si="20"/>
        <v>54</v>
      </c>
      <c r="J116" s="111">
        <f t="shared" si="15"/>
        <v>369</v>
      </c>
    </row>
    <row r="117" spans="2:10" ht="15" hidden="1" customHeight="1">
      <c r="F117" s="14"/>
      <c r="G117" s="14"/>
    </row>
    <row r="118" spans="2:10" ht="15" hidden="1" customHeight="1">
      <c r="B118" s="15" t="str">
        <f>"Table 4C: "&amp;E3&amp;" Projected Pupil Generation from Housing Development, 2019-2032"</f>
        <v>Table 4C: Fox Covert ND Primary School Projected Pupil Generation from Housing Development, 2019-2032</v>
      </c>
      <c r="F118" s="14"/>
      <c r="G118" s="14"/>
    </row>
    <row r="119" spans="2:10" ht="15" hidden="1" customHeight="1">
      <c r="F119" s="14"/>
      <c r="G119" s="14"/>
    </row>
    <row r="120" spans="2:10" ht="15" hidden="1" customHeight="1">
      <c r="B120" s="115"/>
      <c r="C120" s="109" t="s">
        <v>1</v>
      </c>
      <c r="D120" s="109" t="s">
        <v>2</v>
      </c>
      <c r="E120" s="109" t="s">
        <v>3</v>
      </c>
      <c r="F120" s="109" t="s">
        <v>4</v>
      </c>
      <c r="G120" s="109" t="s">
        <v>5</v>
      </c>
      <c r="H120" s="109" t="s">
        <v>6</v>
      </c>
      <c r="I120" s="109" t="s">
        <v>7</v>
      </c>
      <c r="J120" s="109" t="s">
        <v>8</v>
      </c>
    </row>
    <row r="121" spans="2:10" ht="15" hidden="1" customHeight="1">
      <c r="B121" s="114">
        <v>2019</v>
      </c>
      <c r="C121" s="116" t="s">
        <v>97</v>
      </c>
      <c r="D121" s="112">
        <f>VLOOKUP($E$3,'Housing Generation'!$A$3:$BE$90,11,FALSE)</f>
        <v>0</v>
      </c>
      <c r="E121" s="112">
        <f>VLOOKUP($E$3,'Housing Generation'!$A$3:$BE$90,12,FALSE)</f>
        <v>0</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0</v>
      </c>
    </row>
    <row r="122" spans="2:10" ht="15" hidden="1" customHeight="1">
      <c r="B122" s="114">
        <v>2020</v>
      </c>
      <c r="C122" s="116" t="s">
        <v>97</v>
      </c>
      <c r="D122" s="112">
        <f>VLOOKUP($E$3,'Housing Generation'!$A$3:$BE$90,19,FALSE)</f>
        <v>0</v>
      </c>
      <c r="E122" s="112">
        <f>VLOOKUP($E$3,'Housing Generation'!$A$3:$BE$90,20,FALSE)</f>
        <v>0</v>
      </c>
      <c r="F122" s="112">
        <f>VLOOKUP($E$3,'Housing Generation'!$A$3:$BE$90,21,FALSE)</f>
        <v>0</v>
      </c>
      <c r="G122" s="112">
        <f>VLOOKUP($E$3,'Housing Generation'!$A$3:$BE$90,22,FALSE)</f>
        <v>0</v>
      </c>
      <c r="H122" s="112">
        <f>VLOOKUP($E$3,'Housing Generation'!$A$3:$BE$90,23,FALSE)</f>
        <v>0</v>
      </c>
      <c r="I122" s="112">
        <f>VLOOKUP($E$3,'Housing Generation'!$A$3:$BE$90,24,FALSE)</f>
        <v>0</v>
      </c>
      <c r="J122" s="111">
        <f t="shared" si="21"/>
        <v>0</v>
      </c>
    </row>
    <row r="123" spans="2:10" ht="15" hidden="1" customHeight="1">
      <c r="B123" s="114">
        <v>2021</v>
      </c>
      <c r="C123" s="116" t="s">
        <v>97</v>
      </c>
      <c r="D123" s="112">
        <f>VLOOKUP($E$3,'Housing Generation'!$A$3:$BE$90,27,FALSE)</f>
        <v>0</v>
      </c>
      <c r="E123" s="112">
        <f>VLOOKUP($E$3,'Housing Generation'!$A$3:$BE$90,28,FALSE)</f>
        <v>0</v>
      </c>
      <c r="F123" s="112">
        <f>VLOOKUP($E$3,'Housing Generation'!$A$3:$BE$90,29,FALSE)</f>
        <v>0</v>
      </c>
      <c r="G123" s="112">
        <f>VLOOKUP($E$3,'Housing Generation'!$A$3:$BE$90,30,FALSE)</f>
        <v>0</v>
      </c>
      <c r="H123" s="112">
        <f>VLOOKUP($E$3,'Housing Generation'!$A$3:$BE$90,31,FALSE)</f>
        <v>0</v>
      </c>
      <c r="I123" s="112">
        <f>VLOOKUP($E$3,'Housing Generation'!$A$3:$BE$90,32,FALSE)</f>
        <v>0</v>
      </c>
      <c r="J123" s="111">
        <f t="shared" si="21"/>
        <v>0</v>
      </c>
    </row>
    <row r="124" spans="2:10" ht="15" hidden="1" customHeight="1">
      <c r="B124" s="114">
        <v>2022</v>
      </c>
      <c r="C124" s="116" t="s">
        <v>97</v>
      </c>
      <c r="D124" s="112">
        <f>VLOOKUP($E$3,'Housing Generation'!$A$3:$BE$90,35,FALSE)</f>
        <v>0</v>
      </c>
      <c r="E124" s="112">
        <f>VLOOKUP($E$3,'Housing Generation'!$A$3:$BE$90,36,FALSE)</f>
        <v>0</v>
      </c>
      <c r="F124" s="112">
        <f>VLOOKUP($E$3,'Housing Generation'!$A$3:$BE$90,37,FALSE)</f>
        <v>0</v>
      </c>
      <c r="G124" s="112">
        <f>VLOOKUP($E$3,'Housing Generation'!$A$3:$BE$90,38,FALSE)</f>
        <v>0</v>
      </c>
      <c r="H124" s="112">
        <f>VLOOKUP($E$3,'Housing Generation'!$A$3:$BE$90,39,FALSE)</f>
        <v>0</v>
      </c>
      <c r="I124" s="112">
        <f>VLOOKUP($E$3,'Housing Generation'!$A$3:$BE$90,40,FALSE)</f>
        <v>0</v>
      </c>
      <c r="J124" s="111">
        <f t="shared" si="21"/>
        <v>0</v>
      </c>
    </row>
    <row r="125" spans="2:10" ht="15" hidden="1" customHeight="1">
      <c r="B125" s="114">
        <v>2023</v>
      </c>
      <c r="C125" s="116" t="s">
        <v>97</v>
      </c>
      <c r="D125" s="112">
        <f>VLOOKUP($E$3,'Housing Generation'!$A$3:$BE$90,43,FALSE)</f>
        <v>0</v>
      </c>
      <c r="E125" s="112">
        <f>VLOOKUP($E$3,'Housing Generation'!$A$3:$BE$90,44,FALSE)</f>
        <v>0</v>
      </c>
      <c r="F125" s="112">
        <f>VLOOKUP($E$3,'Housing Generation'!$A$3:$BE$90,45,FALSE)</f>
        <v>0</v>
      </c>
      <c r="G125" s="112">
        <f>VLOOKUP($E$3,'Housing Generation'!$A$3:$BE$90,46,FALSE)</f>
        <v>0</v>
      </c>
      <c r="H125" s="112">
        <f>VLOOKUP($E$3,'Housing Generation'!$A$3:$BE$90,47,FALSE)</f>
        <v>0</v>
      </c>
      <c r="I125" s="112">
        <f>VLOOKUP($E$3,'Housing Generation'!$A$3:$BE$90,48,FALSE)</f>
        <v>0</v>
      </c>
      <c r="J125" s="111">
        <f t="shared" si="21"/>
        <v>0</v>
      </c>
    </row>
    <row r="126" spans="2:10" ht="15" hidden="1" customHeight="1">
      <c r="B126" s="114">
        <v>2024</v>
      </c>
      <c r="C126" s="116" t="s">
        <v>97</v>
      </c>
      <c r="D126" s="112">
        <f>VLOOKUP($E$3,'Housing Generation'!$A$3:$BE$90,51,FALSE)</f>
        <v>0</v>
      </c>
      <c r="E126" s="112">
        <f>VLOOKUP($E$3,'Housing Generation'!$A$3:$BE$90,52,FALSE)</f>
        <v>0</v>
      </c>
      <c r="F126" s="112">
        <f>VLOOKUP($E$3,'Housing Generation'!$A$3:$BE$90,53,FALSE)</f>
        <v>0</v>
      </c>
      <c r="G126" s="112">
        <f>VLOOKUP($E$3,'Housing Generation'!$A$3:$BE$90,54,FALSE)</f>
        <v>0</v>
      </c>
      <c r="H126" s="112">
        <f>VLOOKUP($E$3,'Housing Generation'!$A$3:$BE$90,55,FALSE)</f>
        <v>0</v>
      </c>
      <c r="I126" s="112">
        <f>VLOOKUP($E$3,'Housing Generation'!$A$3:$BE$90,56,FALSE)</f>
        <v>0</v>
      </c>
      <c r="J126" s="111">
        <f t="shared" si="21"/>
        <v>0</v>
      </c>
    </row>
    <row r="127" spans="2:10" ht="15" hidden="1" customHeight="1">
      <c r="B127" s="114">
        <v>2025</v>
      </c>
      <c r="C127" s="240" t="s">
        <v>97</v>
      </c>
      <c r="D127" s="112">
        <f>VLOOKUP($E$3,'Housing Generation'!$A$3:$CK$90,59,FALSE)</f>
        <v>0</v>
      </c>
      <c r="E127" s="112">
        <f>VLOOKUP($E$3,'Housing Generation'!$A$3:$CK$90,60,FALSE)</f>
        <v>0</v>
      </c>
      <c r="F127" s="112">
        <f>VLOOKUP($E$3,'Housing Generation'!$A$3:$CK$90,61,FALSE)</f>
        <v>0</v>
      </c>
      <c r="G127" s="112">
        <f>VLOOKUP($E$3,'Housing Generation'!$A$3:$CK$90,62,FALSE)</f>
        <v>0</v>
      </c>
      <c r="H127" s="112">
        <f>VLOOKUP($E$3,'Housing Generation'!$A$3:$CK$90,63,FALSE)</f>
        <v>0</v>
      </c>
      <c r="I127" s="112">
        <f>VLOOKUP($E$3,'Housing Generation'!$A$3:$CK$90,64,FALSE)</f>
        <v>0</v>
      </c>
      <c r="J127" s="111">
        <f t="shared" si="21"/>
        <v>0</v>
      </c>
    </row>
    <row r="128" spans="2:10" ht="15" hidden="1" customHeight="1">
      <c r="B128" s="114">
        <v>2026</v>
      </c>
      <c r="C128" s="240" t="s">
        <v>97</v>
      </c>
      <c r="D128" s="112">
        <f>VLOOKUP($E$3,'Housing Generation'!$A$3:$CK$90,67,FALSE)</f>
        <v>0</v>
      </c>
      <c r="E128" s="112">
        <f>VLOOKUP($E$3,'Housing Generation'!$A$3:$CK$90,68,FALSE)</f>
        <v>0</v>
      </c>
      <c r="F128" s="112">
        <f>VLOOKUP($E$3,'Housing Generation'!$A$3:$CK$90,69,FALSE)</f>
        <v>0</v>
      </c>
      <c r="G128" s="112">
        <f>VLOOKUP($E$3,'Housing Generation'!$A$3:$CK$90,70,FALSE)</f>
        <v>0</v>
      </c>
      <c r="H128" s="112">
        <f>VLOOKUP($E$3,'Housing Generation'!$A$3:$CK$90,71,FALSE)</f>
        <v>0</v>
      </c>
      <c r="I128" s="112">
        <f>VLOOKUP($E$3,'Housing Generation'!$A$3:$CK$90,72,FALSE)</f>
        <v>0</v>
      </c>
      <c r="J128" s="111">
        <f t="shared" si="21"/>
        <v>0</v>
      </c>
    </row>
    <row r="129" spans="2:10" ht="15" hidden="1" customHeight="1">
      <c r="B129" s="114">
        <v>2027</v>
      </c>
      <c r="C129" s="240" t="s">
        <v>97</v>
      </c>
      <c r="D129" s="112">
        <f>VLOOKUP($E$3,'Housing Generation'!$A$3:$CK$90,75,FALSE)</f>
        <v>0</v>
      </c>
      <c r="E129" s="112">
        <f>VLOOKUP($E$3,'Housing Generation'!$A$3:$CK$90,76,FALSE)</f>
        <v>0</v>
      </c>
      <c r="F129" s="112">
        <f>VLOOKUP($E$3,'Housing Generation'!$A$3:$CK$90,77,FALSE)</f>
        <v>0</v>
      </c>
      <c r="G129" s="112">
        <f>VLOOKUP($E$3,'Housing Generation'!$A$3:$CK$90,78,FALSE)</f>
        <v>0</v>
      </c>
      <c r="H129" s="112">
        <f>VLOOKUP($E$3,'Housing Generation'!$A$3:$CK$90,79,FALSE)</f>
        <v>0</v>
      </c>
      <c r="I129" s="112">
        <f>VLOOKUP($E$3,'Housing Generation'!$A$3:$CK$90,80,FALSE)</f>
        <v>0</v>
      </c>
      <c r="J129" s="111">
        <f t="shared" si="21"/>
        <v>0</v>
      </c>
    </row>
    <row r="130" spans="2:10" ht="15" customHeight="1">
      <c r="B130" s="114">
        <v>2028</v>
      </c>
      <c r="C130" s="289" t="s">
        <v>97</v>
      </c>
      <c r="D130" s="112">
        <f>VLOOKUP($E$3,'Housing Generation'!$A$3:$CK$90,83,FALSE)</f>
        <v>0</v>
      </c>
      <c r="E130" s="112">
        <f>VLOOKUP($E$3,'Housing Generation'!$A$3:$CK$90,84,FALSE)</f>
        <v>0</v>
      </c>
      <c r="F130" s="112">
        <f>VLOOKUP($E$3,'Housing Generation'!$A$3:$CK$90,85,FALSE)</f>
        <v>0</v>
      </c>
      <c r="G130" s="112">
        <f>VLOOKUP($E$3,'Housing Generation'!$A$3:$CK$90,86,FALSE)</f>
        <v>0</v>
      </c>
      <c r="H130" s="112">
        <f>VLOOKUP($E$3,'Housing Generation'!$A$3:$CK$90,87,FALSE)</f>
        <v>0</v>
      </c>
      <c r="I130" s="112">
        <f>VLOOKUP($E$3,'Housing Generation'!$A$3:$CK$90,88,FALSE)</f>
        <v>0</v>
      </c>
      <c r="J130" s="111">
        <f t="shared" si="21"/>
        <v>0</v>
      </c>
    </row>
    <row r="131" spans="2:10" ht="15" customHeight="1">
      <c r="B131" s="114">
        <v>2029</v>
      </c>
      <c r="C131" s="289" t="s">
        <v>97</v>
      </c>
      <c r="D131" s="112">
        <f>VLOOKUP($E$3,'Housing Generation'!$A$3:$DQ$90,91,FALSE)</f>
        <v>0</v>
      </c>
      <c r="E131" s="112">
        <f>VLOOKUP($E$3,'Housing Generation'!$A$3:$DQ$90,92,FALSE)</f>
        <v>0</v>
      </c>
      <c r="F131" s="112">
        <f>VLOOKUP($E$3,'Housing Generation'!$A$3:$DQ$90,93,FALSE)</f>
        <v>0</v>
      </c>
      <c r="G131" s="112">
        <f>VLOOKUP($E$3,'Housing Generation'!$A$3:$DQ$90,94,FALSE)</f>
        <v>0</v>
      </c>
      <c r="H131" s="112">
        <f>VLOOKUP($E$3,'Housing Generation'!$A$3:$DQ$90,95,FALSE)</f>
        <v>0</v>
      </c>
      <c r="I131" s="112">
        <f>VLOOKUP($E$3,'Housing Generation'!$A$3:$DQ$90,96,FALSE)</f>
        <v>0</v>
      </c>
      <c r="J131" s="111">
        <f t="shared" si="21"/>
        <v>0</v>
      </c>
    </row>
    <row r="132" spans="2:10" ht="15" customHeight="1">
      <c r="B132" s="114">
        <v>2030</v>
      </c>
      <c r="C132" s="289" t="s">
        <v>97</v>
      </c>
      <c r="D132" s="112">
        <f>VLOOKUP($E$3,'Housing Generation'!$A$3:$DQ$90,99,FALSE)</f>
        <v>0</v>
      </c>
      <c r="E132" s="112">
        <f>VLOOKUP($E$3,'Housing Generation'!$A$3:$DQ$90,100,FALSE)</f>
        <v>0</v>
      </c>
      <c r="F132" s="112">
        <f>VLOOKUP($E$3,'Housing Generation'!$A$3:$DQ$90,101,FALSE)</f>
        <v>0</v>
      </c>
      <c r="G132" s="112">
        <f>VLOOKUP($E$3,'Housing Generation'!$A$3:$DQ$90,102,FALSE)</f>
        <v>0</v>
      </c>
      <c r="H132" s="112">
        <f>VLOOKUP($E$3,'Housing Generation'!$A$3:$DQ$90,103,FALSE)</f>
        <v>0</v>
      </c>
      <c r="I132" s="112">
        <f>VLOOKUP($E$3,'Housing Generation'!$A$3:$DQ$90,104,FALSE)</f>
        <v>0</v>
      </c>
      <c r="J132" s="111">
        <f t="shared" si="21"/>
        <v>0</v>
      </c>
    </row>
    <row r="133" spans="2:10" ht="15" customHeight="1">
      <c r="B133" s="114">
        <v>2031</v>
      </c>
      <c r="C133" s="289" t="s">
        <v>97</v>
      </c>
      <c r="D133" s="112">
        <f>VLOOKUP($E$3,'Housing Generation'!$A$3:$DQ$90,107,FALSE)</f>
        <v>0</v>
      </c>
      <c r="E133" s="112">
        <f>VLOOKUP($E$3,'Housing Generation'!$A$3:$DQ$90,108,FALSE)</f>
        <v>0</v>
      </c>
      <c r="F133" s="112">
        <f>VLOOKUP($E$3,'Housing Generation'!$A$3:$DQ$90,109,FALSE)</f>
        <v>0</v>
      </c>
      <c r="G133" s="112">
        <f>VLOOKUP($E$3,'Housing Generation'!$A$3:$DQ$90,110,FALSE)</f>
        <v>0</v>
      </c>
      <c r="H133" s="112">
        <f>VLOOKUP($E$3,'Housing Generation'!$A$3:$DQ$90,111,FALSE)</f>
        <v>0</v>
      </c>
      <c r="I133" s="112">
        <f>VLOOKUP($E$3,'Housing Generation'!$A$3:$DQ$90,112,FALSE)</f>
        <v>0</v>
      </c>
      <c r="J133" s="111">
        <f t="shared" si="21"/>
        <v>0</v>
      </c>
    </row>
    <row r="134" spans="2:10" ht="15" customHeight="1">
      <c r="B134" s="114">
        <v>2032</v>
      </c>
      <c r="C134" s="289" t="s">
        <v>97</v>
      </c>
      <c r="D134" s="112">
        <f>VLOOKUP($E$3,'Housing Generation'!$A$3:$DQ$90,115,FALSE)</f>
        <v>0</v>
      </c>
      <c r="E134" s="112">
        <f>VLOOKUP($E$3,'Housing Generation'!$A$3:$DQ$90,116,FALSE)</f>
        <v>0</v>
      </c>
      <c r="F134" s="112">
        <f>VLOOKUP($E$3,'Housing Generation'!$A$3:$DQ$90,117,FALSE)</f>
        <v>0</v>
      </c>
      <c r="G134" s="112">
        <f>VLOOKUP($E$3,'Housing Generation'!$A$3:$DQ$90,118,FALSE)</f>
        <v>0</v>
      </c>
      <c r="H134" s="112">
        <f>VLOOKUP($E$3,'Housing Generation'!$A$3:$DQ$90,119,FALSE)</f>
        <v>0</v>
      </c>
      <c r="I134" s="112">
        <f>VLOOKUP($E$3,'Housing Generation'!$A$3:$DQ$90,120,FALSE)</f>
        <v>0</v>
      </c>
      <c r="J134" s="111">
        <f t="shared" si="21"/>
        <v>0</v>
      </c>
    </row>
    <row r="135" spans="2:10" ht="15" hidden="1"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Fox Covert ND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43.382514205134584</v>
      </c>
      <c r="D139" s="112">
        <f t="shared" ref="D139:I152" si="23">D121+D103</f>
        <v>43</v>
      </c>
      <c r="E139" s="112">
        <f t="shared" si="23"/>
        <v>49</v>
      </c>
      <c r="F139" s="112">
        <f t="shared" si="23"/>
        <v>50</v>
      </c>
      <c r="G139" s="112">
        <f t="shared" si="23"/>
        <v>33</v>
      </c>
      <c r="H139" s="112">
        <f t="shared" si="23"/>
        <v>37</v>
      </c>
      <c r="I139" s="112">
        <f t="shared" si="23"/>
        <v>46</v>
      </c>
      <c r="J139" s="111">
        <f t="shared" ref="J139:J147" si="24">SUM(C139:I139)</f>
        <v>301.38251420513461</v>
      </c>
    </row>
    <row r="140" spans="2:10" ht="15" customHeight="1">
      <c r="B140" s="114">
        <v>2020</v>
      </c>
      <c r="C140" s="113">
        <f t="shared" si="22"/>
        <v>57.79075110945211</v>
      </c>
      <c r="D140" s="112">
        <f t="shared" si="23"/>
        <v>43</v>
      </c>
      <c r="E140" s="112">
        <f t="shared" si="23"/>
        <v>44</v>
      </c>
      <c r="F140" s="112">
        <f t="shared" si="23"/>
        <v>51</v>
      </c>
      <c r="G140" s="112">
        <f t="shared" si="23"/>
        <v>52</v>
      </c>
      <c r="H140" s="112">
        <f t="shared" si="23"/>
        <v>32</v>
      </c>
      <c r="I140" s="112">
        <f t="shared" si="23"/>
        <v>37</v>
      </c>
      <c r="J140" s="111">
        <f t="shared" si="24"/>
        <v>316.79075110945212</v>
      </c>
    </row>
    <row r="141" spans="2:10" ht="15" customHeight="1">
      <c r="B141" s="114">
        <v>2021</v>
      </c>
      <c r="C141" s="113">
        <f t="shared" si="22"/>
        <v>48.18525983990709</v>
      </c>
      <c r="D141" s="112">
        <f t="shared" si="23"/>
        <v>58</v>
      </c>
      <c r="E141" s="112">
        <f t="shared" si="23"/>
        <v>44</v>
      </c>
      <c r="F141" s="112">
        <f t="shared" si="23"/>
        <v>46</v>
      </c>
      <c r="G141" s="112">
        <f t="shared" si="23"/>
        <v>53</v>
      </c>
      <c r="H141" s="112">
        <f t="shared" si="23"/>
        <v>50</v>
      </c>
      <c r="I141" s="112">
        <f t="shared" si="23"/>
        <v>32</v>
      </c>
      <c r="J141" s="111">
        <f t="shared" si="24"/>
        <v>331.18525983990708</v>
      </c>
    </row>
    <row r="142" spans="2:10" ht="15" customHeight="1">
      <c r="B142" s="114">
        <v>2022</v>
      </c>
      <c r="C142" s="113">
        <f t="shared" si="22"/>
        <v>44.343063332089088</v>
      </c>
      <c r="D142" s="112">
        <f t="shared" si="23"/>
        <v>48</v>
      </c>
      <c r="E142" s="112">
        <f t="shared" si="23"/>
        <v>59</v>
      </c>
      <c r="F142" s="112">
        <f t="shared" si="23"/>
        <v>46</v>
      </c>
      <c r="G142" s="112">
        <f t="shared" si="23"/>
        <v>48</v>
      </c>
      <c r="H142" s="112">
        <f t="shared" si="23"/>
        <v>51</v>
      </c>
      <c r="I142" s="112">
        <f t="shared" si="23"/>
        <v>50</v>
      </c>
      <c r="J142" s="111">
        <f t="shared" si="24"/>
        <v>346.34306333208906</v>
      </c>
    </row>
    <row r="143" spans="2:10" ht="15" customHeight="1">
      <c r="B143" s="114">
        <v>2023</v>
      </c>
      <c r="C143" s="113">
        <f t="shared" si="22"/>
        <v>50</v>
      </c>
      <c r="D143" s="112">
        <f t="shared" si="23"/>
        <v>44</v>
      </c>
      <c r="E143" s="112">
        <f t="shared" si="23"/>
        <v>49</v>
      </c>
      <c r="F143" s="112">
        <f t="shared" si="23"/>
        <v>62</v>
      </c>
      <c r="G143" s="112">
        <f t="shared" si="23"/>
        <v>48</v>
      </c>
      <c r="H143" s="112">
        <f t="shared" si="23"/>
        <v>46</v>
      </c>
      <c r="I143" s="112">
        <f t="shared" si="23"/>
        <v>51</v>
      </c>
      <c r="J143" s="111">
        <f t="shared" si="24"/>
        <v>350</v>
      </c>
    </row>
    <row r="144" spans="2:10" ht="15" customHeight="1">
      <c r="B144" s="114">
        <v>2024</v>
      </c>
      <c r="C144" s="113">
        <f t="shared" si="22"/>
        <v>50</v>
      </c>
      <c r="D144" s="112">
        <f t="shared" si="23"/>
        <v>50</v>
      </c>
      <c r="E144" s="112">
        <f t="shared" si="23"/>
        <v>45</v>
      </c>
      <c r="F144" s="112">
        <f t="shared" si="23"/>
        <v>51</v>
      </c>
      <c r="G144" s="112">
        <f t="shared" si="23"/>
        <v>64</v>
      </c>
      <c r="H144" s="112">
        <f t="shared" si="23"/>
        <v>46</v>
      </c>
      <c r="I144" s="112">
        <f t="shared" si="23"/>
        <v>46</v>
      </c>
      <c r="J144" s="111">
        <f t="shared" si="24"/>
        <v>352</v>
      </c>
    </row>
    <row r="145" spans="2:16" ht="15" customHeight="1">
      <c r="B145" s="114">
        <v>2025</v>
      </c>
      <c r="C145" s="113">
        <f t="shared" si="22"/>
        <v>50</v>
      </c>
      <c r="D145" s="112">
        <f t="shared" si="23"/>
        <v>50</v>
      </c>
      <c r="E145" s="112">
        <f t="shared" si="23"/>
        <v>51</v>
      </c>
      <c r="F145" s="112">
        <f t="shared" si="23"/>
        <v>47</v>
      </c>
      <c r="G145" s="112">
        <f t="shared" si="23"/>
        <v>53</v>
      </c>
      <c r="H145" s="112">
        <f t="shared" si="23"/>
        <v>62</v>
      </c>
      <c r="I145" s="112">
        <f t="shared" si="23"/>
        <v>46</v>
      </c>
      <c r="J145" s="111">
        <f t="shared" si="24"/>
        <v>359</v>
      </c>
    </row>
    <row r="146" spans="2:16" ht="15" customHeight="1">
      <c r="B146" s="114">
        <v>2026</v>
      </c>
      <c r="C146" s="113">
        <f t="shared" si="22"/>
        <v>50</v>
      </c>
      <c r="D146" s="112">
        <f t="shared" si="23"/>
        <v>50</v>
      </c>
      <c r="E146" s="112">
        <f t="shared" si="23"/>
        <v>51</v>
      </c>
      <c r="F146" s="112">
        <f t="shared" si="23"/>
        <v>54</v>
      </c>
      <c r="G146" s="112">
        <f t="shared" si="23"/>
        <v>49</v>
      </c>
      <c r="H146" s="112">
        <f t="shared" si="23"/>
        <v>51</v>
      </c>
      <c r="I146" s="112">
        <f t="shared" si="23"/>
        <v>62</v>
      </c>
      <c r="J146" s="111">
        <f t="shared" si="24"/>
        <v>367</v>
      </c>
    </row>
    <row r="147" spans="2:16" ht="15" customHeight="1">
      <c r="B147" s="114">
        <v>2027</v>
      </c>
      <c r="C147" s="113">
        <f t="shared" si="22"/>
        <v>50</v>
      </c>
      <c r="D147" s="112">
        <f t="shared" si="23"/>
        <v>50</v>
      </c>
      <c r="E147" s="112">
        <f t="shared" si="23"/>
        <v>51</v>
      </c>
      <c r="F147" s="112">
        <f t="shared" si="23"/>
        <v>54</v>
      </c>
      <c r="G147" s="112">
        <f t="shared" si="23"/>
        <v>56</v>
      </c>
      <c r="H147" s="112">
        <f t="shared" si="23"/>
        <v>47</v>
      </c>
      <c r="I147" s="112">
        <f t="shared" si="23"/>
        <v>51</v>
      </c>
      <c r="J147" s="111">
        <f t="shared" si="24"/>
        <v>359</v>
      </c>
    </row>
    <row r="148" spans="2:16" ht="15" customHeight="1">
      <c r="B148" s="114">
        <v>2028</v>
      </c>
      <c r="C148" s="113">
        <f t="shared" si="22"/>
        <v>50</v>
      </c>
      <c r="D148" s="112">
        <f t="shared" si="23"/>
        <v>50</v>
      </c>
      <c r="E148" s="112">
        <f t="shared" si="23"/>
        <v>51</v>
      </c>
      <c r="F148" s="112">
        <f t="shared" si="23"/>
        <v>54</v>
      </c>
      <c r="G148" s="112">
        <f t="shared" si="23"/>
        <v>56</v>
      </c>
      <c r="H148" s="112">
        <f t="shared" si="23"/>
        <v>54</v>
      </c>
      <c r="I148" s="112">
        <f t="shared" si="23"/>
        <v>47</v>
      </c>
      <c r="J148" s="111">
        <f t="shared" ref="J148:J152" si="25">SUM(C148:I148)</f>
        <v>362</v>
      </c>
    </row>
    <row r="149" spans="2:16" ht="15" customHeight="1">
      <c r="B149" s="114">
        <v>2029</v>
      </c>
      <c r="C149" s="113">
        <f t="shared" si="22"/>
        <v>50</v>
      </c>
      <c r="D149" s="112">
        <f t="shared" si="23"/>
        <v>50</v>
      </c>
      <c r="E149" s="112">
        <f t="shared" si="23"/>
        <v>51</v>
      </c>
      <c r="F149" s="112">
        <f t="shared" si="23"/>
        <v>54</v>
      </c>
      <c r="G149" s="112">
        <f t="shared" si="23"/>
        <v>56</v>
      </c>
      <c r="H149" s="112">
        <f t="shared" si="23"/>
        <v>54</v>
      </c>
      <c r="I149" s="112">
        <f t="shared" si="23"/>
        <v>54</v>
      </c>
      <c r="J149" s="111">
        <f t="shared" si="25"/>
        <v>369</v>
      </c>
    </row>
    <row r="150" spans="2:16" ht="15" customHeight="1">
      <c r="B150" s="114">
        <v>2030</v>
      </c>
      <c r="C150" s="113">
        <f t="shared" si="22"/>
        <v>50</v>
      </c>
      <c r="D150" s="112">
        <f t="shared" si="23"/>
        <v>50</v>
      </c>
      <c r="E150" s="112">
        <f t="shared" si="23"/>
        <v>51</v>
      </c>
      <c r="F150" s="112">
        <f t="shared" si="23"/>
        <v>54</v>
      </c>
      <c r="G150" s="112">
        <f t="shared" si="23"/>
        <v>56</v>
      </c>
      <c r="H150" s="112">
        <f t="shared" si="23"/>
        <v>54</v>
      </c>
      <c r="I150" s="112">
        <f t="shared" si="23"/>
        <v>54</v>
      </c>
      <c r="J150" s="111">
        <f t="shared" si="25"/>
        <v>369</v>
      </c>
    </row>
    <row r="151" spans="2:16" ht="15" customHeight="1">
      <c r="B151" s="114">
        <v>2031</v>
      </c>
      <c r="C151" s="113">
        <f t="shared" si="22"/>
        <v>50</v>
      </c>
      <c r="D151" s="112">
        <f t="shared" si="23"/>
        <v>50</v>
      </c>
      <c r="E151" s="112">
        <f t="shared" si="23"/>
        <v>51</v>
      </c>
      <c r="F151" s="112">
        <f t="shared" si="23"/>
        <v>54</v>
      </c>
      <c r="G151" s="112">
        <f t="shared" si="23"/>
        <v>56</v>
      </c>
      <c r="H151" s="112">
        <f t="shared" si="23"/>
        <v>54</v>
      </c>
      <c r="I151" s="112">
        <f t="shared" si="23"/>
        <v>54</v>
      </c>
      <c r="J151" s="111">
        <f t="shared" si="25"/>
        <v>369</v>
      </c>
    </row>
    <row r="152" spans="2:16" ht="15" customHeight="1">
      <c r="B152" s="114">
        <v>2032</v>
      </c>
      <c r="C152" s="113">
        <f t="shared" si="22"/>
        <v>50</v>
      </c>
      <c r="D152" s="112">
        <f t="shared" si="23"/>
        <v>50</v>
      </c>
      <c r="E152" s="112">
        <f t="shared" si="23"/>
        <v>51</v>
      </c>
      <c r="F152" s="112">
        <f t="shared" si="23"/>
        <v>54</v>
      </c>
      <c r="G152" s="112">
        <f t="shared" si="23"/>
        <v>56</v>
      </c>
      <c r="H152" s="112">
        <f t="shared" si="23"/>
        <v>54</v>
      </c>
      <c r="I152" s="112">
        <f t="shared" si="23"/>
        <v>54</v>
      </c>
      <c r="J152" s="111">
        <f t="shared" si="25"/>
        <v>369</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301.38251420513461</v>
      </c>
      <c r="D159" s="108">
        <f>J140</f>
        <v>316.79075110945212</v>
      </c>
      <c r="E159" s="108">
        <f>J141</f>
        <v>331.18525983990708</v>
      </c>
      <c r="F159" s="108">
        <f>J142</f>
        <v>346.34306333208906</v>
      </c>
      <c r="G159" s="108">
        <f>J143</f>
        <v>350</v>
      </c>
      <c r="H159" s="108">
        <f>J144</f>
        <v>352</v>
      </c>
      <c r="I159" s="108">
        <f>J145</f>
        <v>359</v>
      </c>
      <c r="J159" s="108">
        <f>J146</f>
        <v>367</v>
      </c>
      <c r="K159" s="108">
        <f>J147</f>
        <v>359</v>
      </c>
      <c r="L159" s="108">
        <f>J148</f>
        <v>362</v>
      </c>
      <c r="M159" s="108">
        <f>J149</f>
        <v>369</v>
      </c>
      <c r="N159" s="108">
        <f>J150</f>
        <v>369</v>
      </c>
      <c r="O159" s="108">
        <f>J151</f>
        <v>369</v>
      </c>
      <c r="P159" s="108">
        <f>J152</f>
        <v>369</v>
      </c>
    </row>
    <row r="160" spans="2:16" ht="15" customHeight="1">
      <c r="B160" s="107" t="s">
        <v>152</v>
      </c>
      <c r="C160" s="106">
        <f>VLOOKUP(C159,Capacity!$A$1:$C$645,2,TRUE)</f>
        <v>12</v>
      </c>
      <c r="D160" s="106">
        <f>VLOOKUP(D159,Capacity!$A$1:$C$645,2,TRUE)</f>
        <v>13</v>
      </c>
      <c r="E160" s="106">
        <f>VLOOKUP(E159,Capacity!$A$1:$C$645,2,TRUE)</f>
        <v>14</v>
      </c>
      <c r="F160" s="106">
        <f>VLOOKUP(F159,Capacity!$A$1:$C$645,2,TRUE)</f>
        <v>14</v>
      </c>
      <c r="G160" s="106">
        <f>VLOOKUP(G159,Capacity!$A$1:$C$645,2,TRUE)</f>
        <v>14</v>
      </c>
      <c r="H160" s="106">
        <f>VLOOKUP(H159,Capacity!$A$1:$C$645,2,TRUE)</f>
        <v>14</v>
      </c>
      <c r="I160" s="106">
        <f>VLOOKUP(I159,Capacity!$A$1:$C$645,2,TRUE)</f>
        <v>14</v>
      </c>
      <c r="J160" s="106">
        <f>VLOOKUP(J159,Capacity!$A$1:$C$645,2,TRUE)</f>
        <v>14</v>
      </c>
      <c r="K160" s="106">
        <f>VLOOKUP(K159,Capacity!$A$1:$C$645,2,TRUE)</f>
        <v>14</v>
      </c>
      <c r="L160" s="106">
        <f>VLOOKUP(L159,Capacity!$A$1:$C$645,2,TRUE)</f>
        <v>14</v>
      </c>
      <c r="M160" s="106">
        <f>VLOOKUP(M159,Capacity!$A$1:$C$645,2,TRUE)</f>
        <v>14</v>
      </c>
      <c r="N160" s="106">
        <f>VLOOKUP(N159,Capacity!$A$1:$C$645,2,TRUE)</f>
        <v>14</v>
      </c>
      <c r="O160" s="106">
        <f>VLOOKUP(O159,Capacity!$A$1:$C$645,2,TRUE)</f>
        <v>14</v>
      </c>
      <c r="P160" s="106">
        <f>VLOOKUP(P159,Capacity!$A$1:$C$645,2,TRUE)</f>
        <v>14</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18</v>
      </c>
      <c r="D169" s="97">
        <f>VLOOKUP($E$3,'Catchment Births'!$A$1:$U$90,11,FALSE)</f>
        <v>23</v>
      </c>
      <c r="E169" s="97">
        <f>VLOOKUP($E$3,'Catchment Births'!$A$1:$U$90,12,FALSE)</f>
        <v>18</v>
      </c>
      <c r="F169" s="97">
        <f>VLOOKUP($E$3,'Catchment Births'!$A$1:$U$90,13,FALSE)</f>
        <v>32</v>
      </c>
      <c r="G169" s="97">
        <f>VLOOKUP($E$3,'Catchment Births'!$A$1:$U$90,14,FALSE)</f>
        <v>32</v>
      </c>
      <c r="H169" s="97">
        <f>VLOOKUP($E$3,'Catchment Births'!$A$1:$U$90,15,FALSE)</f>
        <v>28</v>
      </c>
      <c r="I169" s="97">
        <f>VLOOKUP($E$3,'Catchment Births'!$A$1:$U$90,16,FALSE)</f>
        <v>34</v>
      </c>
      <c r="J169" s="97">
        <f>VLOOKUP($E$3,'Catchment Births'!$A$1:$U$90,17,FALSE)</f>
        <v>40</v>
      </c>
      <c r="K169" s="97">
        <f>VLOOKUP($E$3,'Catchment Births'!$A$1:$U$90,18,FALSE)</f>
        <v>37</v>
      </c>
      <c r="L169" s="97">
        <f>VLOOKUP($E$3,'Catchment Births'!$A$1:$U$90,19,FALSE)</f>
        <v>45</v>
      </c>
      <c r="M169" s="97">
        <f>VLOOKUP($E$3,'Catchment Births'!$A$1:$U$90,20,FALSE)</f>
        <v>36</v>
      </c>
      <c r="N169" s="97">
        <f>VLOOKUP($E$3,'Catchment Births'!$A$1:$U$90,21,FALSE)</f>
        <v>50</v>
      </c>
    </row>
    <row r="170" spans="2:14" ht="58.5" customHeight="1">
      <c r="B170" s="103" t="str">
        <f>"P1 "&amp;A35&amp;" Catchment Population (Actual)"</f>
        <v>P1 ND Catchment Population (Actual)</v>
      </c>
      <c r="C170" s="102" t="e">
        <v>#REF!</v>
      </c>
      <c r="D170" s="102">
        <v>19</v>
      </c>
      <c r="E170" s="102">
        <v>27</v>
      </c>
      <c r="F170" s="102">
        <v>24</v>
      </c>
      <c r="G170" s="102">
        <v>39</v>
      </c>
      <c r="H170" s="102">
        <v>34</v>
      </c>
      <c r="I170" s="102">
        <v>34</v>
      </c>
      <c r="J170" s="308">
        <f>VLOOKUP(E3,'Catchment Projections'!A1:BU92,42,FALSE)</f>
        <v>47</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34</v>
      </c>
      <c r="J172" s="96" t="e">
        <f>#REF!</f>
        <v>#REF!</v>
      </c>
      <c r="K172" s="96">
        <f>D51</f>
        <v>41</v>
      </c>
      <c r="L172" s="96">
        <f>E51</f>
        <v>56</v>
      </c>
      <c r="M172" s="96">
        <f>F51</f>
        <v>46</v>
      </c>
      <c r="N172" s="96">
        <f>G51</f>
        <v>42</v>
      </c>
    </row>
    <row r="173" spans="2:14" ht="12.75">
      <c r="B173" s="62"/>
      <c r="C173" s="62"/>
      <c r="D173" s="62"/>
      <c r="E173" s="62"/>
      <c r="F173" s="62"/>
      <c r="G173" s="62"/>
      <c r="H173" s="62"/>
      <c r="I173" s="62"/>
      <c r="J173" s="62"/>
      <c r="K173" s="62"/>
    </row>
    <row r="174" spans="2:14" ht="15" customHeight="1">
      <c r="B174" s="64" t="str">
        <f>"Table 5: "&amp;E3&amp;" Roll by Stage, 2002-2018"</f>
        <v>Table 5: Fox Covert ND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29</v>
      </c>
      <c r="D177" s="93">
        <v>25</v>
      </c>
      <c r="E177" s="93">
        <v>17</v>
      </c>
      <c r="F177" s="93">
        <v>31</v>
      </c>
      <c r="G177" s="93">
        <v>24</v>
      </c>
      <c r="H177" s="93">
        <v>21</v>
      </c>
      <c r="I177" s="93">
        <v>28</v>
      </c>
      <c r="J177" s="92">
        <v>175</v>
      </c>
      <c r="K177" s="62"/>
    </row>
    <row r="178" spans="2:11" ht="15" customHeight="1">
      <c r="B178" s="94">
        <v>2003</v>
      </c>
      <c r="C178" s="93">
        <v>16</v>
      </c>
      <c r="D178" s="93">
        <v>30</v>
      </c>
      <c r="E178" s="93">
        <v>27</v>
      </c>
      <c r="F178" s="93">
        <v>15</v>
      </c>
      <c r="G178" s="93">
        <v>33</v>
      </c>
      <c r="H178" s="93">
        <v>22</v>
      </c>
      <c r="I178" s="93">
        <v>20</v>
      </c>
      <c r="J178" s="92">
        <v>163</v>
      </c>
      <c r="K178" s="62"/>
    </row>
    <row r="179" spans="2:11" customFormat="1" ht="15" customHeight="1">
      <c r="B179" s="94">
        <v>2004</v>
      </c>
      <c r="C179" s="95">
        <v>9</v>
      </c>
      <c r="D179" s="95">
        <v>15</v>
      </c>
      <c r="E179" s="95">
        <v>27</v>
      </c>
      <c r="F179" s="95">
        <v>24</v>
      </c>
      <c r="G179" s="95">
        <v>16</v>
      </c>
      <c r="H179" s="95">
        <v>32</v>
      </c>
      <c r="I179" s="95">
        <v>21</v>
      </c>
      <c r="J179" s="92">
        <v>144</v>
      </c>
      <c r="K179" s="62"/>
    </row>
    <row r="180" spans="2:11" customFormat="1" ht="15" customHeight="1">
      <c r="B180" s="94">
        <v>2005</v>
      </c>
      <c r="C180" s="93">
        <v>21</v>
      </c>
      <c r="D180" s="93">
        <v>11</v>
      </c>
      <c r="E180" s="93">
        <v>18</v>
      </c>
      <c r="F180" s="93">
        <v>27</v>
      </c>
      <c r="G180" s="93">
        <v>27</v>
      </c>
      <c r="H180" s="93">
        <v>14</v>
      </c>
      <c r="I180" s="93">
        <v>34</v>
      </c>
      <c r="J180" s="92">
        <v>152</v>
      </c>
      <c r="K180" s="62"/>
    </row>
    <row r="181" spans="2:11" customFormat="1" ht="15" customHeight="1">
      <c r="B181" s="94">
        <v>2006</v>
      </c>
      <c r="C181" s="93">
        <v>21</v>
      </c>
      <c r="D181" s="93">
        <v>20</v>
      </c>
      <c r="E181" s="93">
        <v>12</v>
      </c>
      <c r="F181" s="93">
        <v>17</v>
      </c>
      <c r="G181" s="93">
        <v>26</v>
      </c>
      <c r="H181" s="93">
        <v>25</v>
      </c>
      <c r="I181" s="93">
        <v>15</v>
      </c>
      <c r="J181" s="92">
        <v>136</v>
      </c>
      <c r="K181" s="62"/>
    </row>
    <row r="182" spans="2:11" customFormat="1" ht="15" customHeight="1">
      <c r="B182" s="94">
        <v>2007</v>
      </c>
      <c r="C182" s="93">
        <v>25</v>
      </c>
      <c r="D182" s="93">
        <v>22</v>
      </c>
      <c r="E182" s="93">
        <v>18</v>
      </c>
      <c r="F182" s="93">
        <v>9</v>
      </c>
      <c r="G182" s="93">
        <v>14</v>
      </c>
      <c r="H182" s="93">
        <v>25</v>
      </c>
      <c r="I182" s="93">
        <v>24</v>
      </c>
      <c r="J182" s="92">
        <v>137</v>
      </c>
      <c r="K182" s="62"/>
    </row>
    <row r="183" spans="2:11" customFormat="1" ht="15" customHeight="1">
      <c r="B183" s="94">
        <v>2008</v>
      </c>
      <c r="C183" s="93">
        <v>25</v>
      </c>
      <c r="D183" s="93">
        <v>24</v>
      </c>
      <c r="E183" s="93">
        <v>23</v>
      </c>
      <c r="F183" s="93">
        <v>18</v>
      </c>
      <c r="G183" s="93">
        <v>10</v>
      </c>
      <c r="H183" s="93">
        <v>13</v>
      </c>
      <c r="I183" s="93">
        <v>27</v>
      </c>
      <c r="J183" s="92">
        <v>140</v>
      </c>
      <c r="K183" s="62"/>
    </row>
    <row r="184" spans="2:11" customFormat="1" ht="15" customHeight="1">
      <c r="B184" s="94">
        <v>2009</v>
      </c>
      <c r="C184" s="93">
        <v>24</v>
      </c>
      <c r="D184" s="93">
        <v>30</v>
      </c>
      <c r="E184" s="93">
        <v>26</v>
      </c>
      <c r="F184" s="93">
        <v>25</v>
      </c>
      <c r="G184" s="93">
        <v>17</v>
      </c>
      <c r="H184" s="93">
        <v>13</v>
      </c>
      <c r="I184" s="93">
        <v>12</v>
      </c>
      <c r="J184" s="94">
        <v>147</v>
      </c>
      <c r="K184" s="62"/>
    </row>
    <row r="185" spans="2:11" customFormat="1" ht="15" customHeight="1">
      <c r="B185" s="94">
        <v>2010</v>
      </c>
      <c r="C185" s="93">
        <v>26</v>
      </c>
      <c r="D185" s="93">
        <v>30</v>
      </c>
      <c r="E185" s="93">
        <v>29</v>
      </c>
      <c r="F185" s="93">
        <v>29</v>
      </c>
      <c r="G185" s="93">
        <v>26</v>
      </c>
      <c r="H185" s="93">
        <v>18</v>
      </c>
      <c r="I185" s="93">
        <v>13</v>
      </c>
      <c r="J185" s="92">
        <v>171</v>
      </c>
      <c r="K185" s="62"/>
    </row>
    <row r="186" spans="2:11" customFormat="1" ht="15" customHeight="1">
      <c r="B186" s="94">
        <v>2011</v>
      </c>
      <c r="C186" s="93">
        <v>25</v>
      </c>
      <c r="D186" s="93">
        <v>29</v>
      </c>
      <c r="E186" s="93">
        <v>30</v>
      </c>
      <c r="F186" s="93">
        <v>32</v>
      </c>
      <c r="G186" s="93">
        <v>32</v>
      </c>
      <c r="H186" s="93">
        <v>26</v>
      </c>
      <c r="I186" s="93">
        <v>22</v>
      </c>
      <c r="J186" s="92">
        <v>196</v>
      </c>
      <c r="K186" s="62"/>
    </row>
    <row r="187" spans="2:11" customFormat="1" ht="15" customHeight="1">
      <c r="B187" s="94">
        <v>2012</v>
      </c>
      <c r="C187" s="93">
        <v>25</v>
      </c>
      <c r="D187" s="93">
        <v>29</v>
      </c>
      <c r="E187" s="93">
        <v>30</v>
      </c>
      <c r="F187" s="93">
        <v>30</v>
      </c>
      <c r="G187" s="93">
        <v>31</v>
      </c>
      <c r="H187" s="93">
        <v>28</v>
      </c>
      <c r="I187" s="93">
        <v>28</v>
      </c>
      <c r="J187" s="92">
        <v>201</v>
      </c>
      <c r="K187" s="62"/>
    </row>
    <row r="188" spans="2:11" customFormat="1" ht="15" customHeight="1">
      <c r="B188" s="94">
        <v>2013</v>
      </c>
      <c r="C188" s="93">
        <v>39</v>
      </c>
      <c r="D188" s="93">
        <v>26</v>
      </c>
      <c r="E188" s="93">
        <v>30</v>
      </c>
      <c r="F188" s="93">
        <v>28</v>
      </c>
      <c r="G188" s="93">
        <v>29</v>
      </c>
      <c r="H188" s="93">
        <v>33</v>
      </c>
      <c r="I188" s="93">
        <v>25</v>
      </c>
      <c r="J188" s="94">
        <v>210</v>
      </c>
      <c r="K188" s="62"/>
    </row>
    <row r="189" spans="2:11" customFormat="1" ht="15" customHeight="1">
      <c r="B189" s="94">
        <v>2014</v>
      </c>
      <c r="C189" s="93">
        <v>37</v>
      </c>
      <c r="D189" s="93">
        <v>39</v>
      </c>
      <c r="E189" s="93">
        <v>29</v>
      </c>
      <c r="F189" s="93">
        <v>29</v>
      </c>
      <c r="G189" s="93">
        <v>30</v>
      </c>
      <c r="H189" s="93">
        <v>28</v>
      </c>
      <c r="I189" s="93">
        <v>33</v>
      </c>
      <c r="J189" s="92">
        <v>225</v>
      </c>
      <c r="K189" s="65"/>
    </row>
    <row r="190" spans="2:11" customFormat="1" ht="15" customHeight="1">
      <c r="B190" s="94">
        <v>2015</v>
      </c>
      <c r="C190" s="93">
        <v>30</v>
      </c>
      <c r="D190" s="93">
        <v>37</v>
      </c>
      <c r="E190" s="93">
        <v>40</v>
      </c>
      <c r="F190" s="93">
        <v>31</v>
      </c>
      <c r="G190" s="93">
        <v>30</v>
      </c>
      <c r="H190" s="93">
        <v>26</v>
      </c>
      <c r="I190" s="93">
        <v>26</v>
      </c>
      <c r="J190" s="92">
        <v>220</v>
      </c>
      <c r="K190" s="65"/>
    </row>
    <row r="191" spans="2:11" customFormat="1" ht="15" customHeight="1">
      <c r="B191" s="94">
        <v>2016</v>
      </c>
      <c r="C191" s="93">
        <v>49</v>
      </c>
      <c r="D191" s="93">
        <v>29</v>
      </c>
      <c r="E191" s="93">
        <v>37</v>
      </c>
      <c r="F191" s="93">
        <v>42</v>
      </c>
      <c r="G191" s="93">
        <v>31</v>
      </c>
      <c r="H191" s="93">
        <v>32</v>
      </c>
      <c r="I191" s="93">
        <v>26</v>
      </c>
      <c r="J191" s="92">
        <v>246</v>
      </c>
      <c r="K191" s="65"/>
    </row>
    <row r="192" spans="2:11" ht="15" customHeight="1">
      <c r="B192" s="94">
        <v>2017</v>
      </c>
      <c r="C192" s="93">
        <f>VLOOKUP($E$3,Rolls!A1:FA90,42,FALSE)</f>
        <v>50</v>
      </c>
      <c r="D192" s="93">
        <f>VLOOKUP($E$3,Rolls!A1:FA90,43,FALSE)</f>
        <v>49</v>
      </c>
      <c r="E192" s="93">
        <f>VLOOKUP($E$3,Rolls!A1:FA90,44,FALSE)</f>
        <v>30</v>
      </c>
      <c r="F192" s="93">
        <f>VLOOKUP($E$3,Rolls!A1:FA90,45,FALSE)</f>
        <v>37</v>
      </c>
      <c r="G192" s="93">
        <f>VLOOKUP($E$3,Rolls!A1:FA90,46,FALSE)</f>
        <v>45</v>
      </c>
      <c r="H192" s="93">
        <f>VLOOKUP($E$3,Rolls!A1:FA90,47,FALSE)</f>
        <v>30</v>
      </c>
      <c r="I192" s="93">
        <f>VLOOKUP($E$3,Rolls!A1:FA90,48,FALSE)</f>
        <v>32</v>
      </c>
      <c r="J192" s="92">
        <f>VLOOKUP($E$3,Rolls!A1:FA90,49,FALSE)</f>
        <v>273</v>
      </c>
      <c r="K192" s="65"/>
    </row>
    <row r="193" spans="2:11" ht="15" customHeight="1">
      <c r="B193" s="94">
        <v>2018</v>
      </c>
      <c r="C193" s="93">
        <f>VLOOKUP($E$3,Rolls!A1:FA90,50,FALSE)</f>
        <v>43</v>
      </c>
      <c r="D193" s="93">
        <f>VLOOKUP($E$3,Rolls!A1:FA90,51,FALSE)</f>
        <v>48</v>
      </c>
      <c r="E193" s="93">
        <f>VLOOKUP($E$3,Rolls!A1:FA90,52,FALSE)</f>
        <v>48</v>
      </c>
      <c r="F193" s="93">
        <f>VLOOKUP($E$3,Rolls!A1:FA90,53,FALSE)</f>
        <v>32</v>
      </c>
      <c r="G193" s="93">
        <f>VLOOKUP($E$3,Rolls!A1:FA90,54,FALSE)</f>
        <v>38</v>
      </c>
      <c r="H193" s="93">
        <f>VLOOKUP($E$3,Rolls!A1:FA90,55,FALSE)</f>
        <v>46</v>
      </c>
      <c r="I193" s="93">
        <f>VLOOKUP($E$3,Rolls!A1:FA90,56,FALSE)</f>
        <v>33</v>
      </c>
      <c r="J193" s="92">
        <f>VLOOKUP($E$3,Rolls!A1:FA90,57,FALSE)</f>
        <v>288</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79</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Fox Covert RC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e">
        <f>(VLOOKUP(E3,Projection_Summary!A6:C93,2,FALSE))&amp;" Pupils ("&amp;(VLOOKUP(E3,Projection_Summary!A6:C93,3,FALSE))&amp;" classes)"</f>
        <v>#N/A</v>
      </c>
      <c r="G12" s="16"/>
      <c r="H12" s="16"/>
    </row>
    <row r="13" spans="2:10" ht="15" customHeight="1">
      <c r="C13" s="16"/>
      <c r="D13" s="16"/>
      <c r="E13" s="16"/>
      <c r="F13" s="16"/>
      <c r="G13" s="16"/>
      <c r="H13" s="16"/>
    </row>
    <row r="14" spans="2:10" ht="15" customHeight="1">
      <c r="B14" s="15" t="str">
        <f>"Figure 1: "&amp;E3&amp;" Roll, 2002-2015"</f>
        <v>Figure 1: Fox Covert RC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RC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Fox Covert RC Primary School</v>
      </c>
      <c r="K34" s="16"/>
    </row>
    <row r="35" spans="1:17" ht="15" customHeight="1">
      <c r="A35" s="1" t="str">
        <f>IF(ISNUMBER(SEARCH("RC",A34)),"RC", "ND")</f>
        <v>RC</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RC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24</v>
      </c>
      <c r="E49" s="108">
        <f>VLOOKUP($E$3,'Catchment Projections'!$A$1:$BU$90,46,FALSE)</f>
        <v>24</v>
      </c>
      <c r="F49" s="108">
        <f>VLOOKUP($E$3,'Catchment Projections'!$A$1:$BU$90,47,FALSE)</f>
        <v>23</v>
      </c>
      <c r="G49" s="108">
        <f>VLOOKUP($E$3,'Catchment Projections'!$A$1:$BU$90,48,FALSE)</f>
        <v>22</v>
      </c>
      <c r="H49" s="133">
        <f>VLOOKUP($E$3,'Catchment Projections'!$A$1:$BU$90,49,FALSE)</f>
        <v>23</v>
      </c>
      <c r="I49" s="133">
        <f>VLOOKUP($E$3,'Catchment Projections'!$A$1:$BU$90,50,FALSE)</f>
        <v>23</v>
      </c>
      <c r="J49" s="133">
        <f>VLOOKUP($E$3,'Catchment Projections'!$A$1:$BU$90,51,FALSE)</f>
        <v>24</v>
      </c>
      <c r="K49" s="133">
        <f>VLOOKUP($E$3,'Catchment Projections'!$A$1:$BU$90,52,FALSE)</f>
        <v>24</v>
      </c>
      <c r="L49" s="133">
        <f>VLOOKUP($E$3,'Catchment Projections'!$A$1:$BU$90,53,FALSE)</f>
        <v>24</v>
      </c>
      <c r="M49" s="133">
        <f>VLOOKUP($E$3,'Catchment Projections'!$A$1:$BU$90,54,FALSE)</f>
        <v>24</v>
      </c>
      <c r="N49" s="133">
        <f>VLOOKUP($E$3,'Catchment Projections'!$A$1:$BU$90,55,FALSE)</f>
        <v>24</v>
      </c>
      <c r="O49" s="133">
        <f>VLOOKUP($E$3,'Catchment Projections'!$A$1:$BU$90,56,FALSE)</f>
        <v>24</v>
      </c>
      <c r="P49" s="133">
        <f>VLOOKUP($E$3,'Catchment Projections'!$A$1:$BU$90,57,FALSE)</f>
        <v>24</v>
      </c>
      <c r="Q49" s="133">
        <f>VLOOKUP($E$3,'Catchment Projections'!$A$1:$BU$90,58,FALSE)</f>
        <v>24</v>
      </c>
    </row>
    <row r="50" spans="2:17" ht="15" customHeight="1" thickBot="1">
      <c r="B50" s="410" t="s">
        <v>141</v>
      </c>
      <c r="C50" s="411"/>
      <c r="D50" s="286">
        <f>VLOOKUP(E3,'Housing Generation'!$A$3:$DQ$90,10,FALSE)</f>
        <v>1</v>
      </c>
      <c r="E50" s="286">
        <f>VLOOKUP(E3,'Housing Generation'!$A$3:$DQ$90,18,FALSE)</f>
        <v>1</v>
      </c>
      <c r="F50" s="286">
        <f>VLOOKUP(E3,'Housing Generation'!$A$3:$DQ$90,26,FALSE)</f>
        <v>2</v>
      </c>
      <c r="G50" s="243">
        <f>VLOOKUP(E3,'Housing Generation'!$A$3:$DQ$90,34,FALSE)</f>
        <v>3</v>
      </c>
      <c r="H50" s="133">
        <f>VLOOKUP(E3,'Housing Generation'!$A$3:$DQ$90,42,FALSE)</f>
        <v>5</v>
      </c>
      <c r="I50" s="133">
        <f>VLOOKUP(E3,'Housing Generation'!$A$3:$DQ$90,50,FALSE)</f>
        <v>7</v>
      </c>
      <c r="J50" s="133">
        <f>VLOOKUP(E3,'Housing Generation'!$A$3:$CK$90,58,FALSE)</f>
        <v>8</v>
      </c>
      <c r="K50" s="133">
        <f>VLOOKUP(E3,'Housing Generation'!$A$3:$CK$90,66,FALSE)</f>
        <v>10</v>
      </c>
      <c r="L50" s="133">
        <f>VLOOKUP(E3,'Housing Generation'!$A$3:$DQ$90,74,FALSE)</f>
        <v>11</v>
      </c>
      <c r="M50" s="133">
        <f>VLOOKUP(E3,'Housing Generation'!$A$3:$DQ$90,82,FALSE)</f>
        <v>12</v>
      </c>
      <c r="N50" s="133">
        <f>VLOOKUP(E3,'Housing Generation'!$A$3:$DQ$90,90,FALSE)</f>
        <v>12</v>
      </c>
      <c r="O50" s="133">
        <f>VLOOKUP(E3,'Housing Generation'!$A$3:$DQ$90,98,FALSE)</f>
        <v>13</v>
      </c>
      <c r="P50" s="133">
        <f>VLOOKUP(E3,'Housing Generation'!$A$3:$DQ$90,106,FALSE)</f>
        <v>13</v>
      </c>
      <c r="Q50" s="133">
        <f>VLOOKUP(E3,'Housing Generation'!$A$3:$DQ$90,114,FALSE)</f>
        <v>13</v>
      </c>
    </row>
    <row r="51" spans="2:17" ht="15" customHeight="1" thickTop="1">
      <c r="B51" s="421" t="s">
        <v>130</v>
      </c>
      <c r="C51" s="422"/>
      <c r="D51" s="47">
        <f t="shared" ref="D51:Q51" si="0">SUM(D49:D50)</f>
        <v>25</v>
      </c>
      <c r="E51" s="47">
        <f t="shared" si="0"/>
        <v>25</v>
      </c>
      <c r="F51" s="80">
        <f t="shared" si="0"/>
        <v>25</v>
      </c>
      <c r="G51" s="244">
        <f t="shared" si="0"/>
        <v>25</v>
      </c>
      <c r="H51" s="71">
        <f t="shared" si="0"/>
        <v>28</v>
      </c>
      <c r="I51" s="71">
        <f t="shared" si="0"/>
        <v>30</v>
      </c>
      <c r="J51" s="71">
        <f t="shared" si="0"/>
        <v>32</v>
      </c>
      <c r="K51" s="71">
        <f t="shared" si="0"/>
        <v>34</v>
      </c>
      <c r="L51" s="71">
        <f t="shared" si="0"/>
        <v>35</v>
      </c>
      <c r="M51" s="71">
        <f t="shared" si="0"/>
        <v>36</v>
      </c>
      <c r="N51" s="71">
        <f t="shared" si="0"/>
        <v>36</v>
      </c>
      <c r="O51" s="71">
        <f t="shared" si="0"/>
        <v>37</v>
      </c>
      <c r="P51" s="71">
        <f t="shared" si="0"/>
        <v>37</v>
      </c>
      <c r="Q51" s="71">
        <f t="shared" si="0"/>
        <v>37</v>
      </c>
    </row>
    <row r="52" spans="2:17" ht="15" customHeight="1">
      <c r="C52" s="36"/>
      <c r="D52" s="48"/>
      <c r="E52" s="48"/>
      <c r="F52" s="48"/>
      <c r="G52" s="48"/>
      <c r="H52" s="48"/>
    </row>
    <row r="53" spans="2:17" ht="31.5" customHeight="1">
      <c r="B53" s="423" t="s">
        <v>292</v>
      </c>
      <c r="C53" s="424"/>
      <c r="D53" s="87">
        <v>0</v>
      </c>
      <c r="E53" s="139" t="s">
        <v>181</v>
      </c>
      <c r="F53" s="140">
        <v>19</v>
      </c>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RC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8.75" customHeight="1">
      <c r="B59" s="126" t="s">
        <v>122</v>
      </c>
      <c r="C59" s="136" t="s">
        <v>182</v>
      </c>
      <c r="D59" s="420" t="s">
        <v>133</v>
      </c>
      <c r="E59" s="427"/>
      <c r="G59" s="126" t="s">
        <v>122</v>
      </c>
      <c r="H59" s="125" t="s">
        <v>134</v>
      </c>
      <c r="I59" s="428" t="s">
        <v>135</v>
      </c>
      <c r="J59" s="429"/>
    </row>
    <row r="60" spans="2:17" ht="15" customHeight="1">
      <c r="B60" s="132">
        <v>2014</v>
      </c>
      <c r="C60" s="359">
        <f>VLOOKUP($E$3,'Catchment Projections'!$A$1:$BZ$90,40,FALSE)</f>
        <v>19</v>
      </c>
      <c r="D60" s="358">
        <f>VLOOKUP($E$3,'Catchment Projections'!$A$1:$BZ$90,74,FALSE)</f>
        <v>19</v>
      </c>
      <c r="E60" s="303">
        <f>D60/C60</f>
        <v>1</v>
      </c>
      <c r="G60" s="132">
        <v>2014</v>
      </c>
      <c r="H60" s="395">
        <f>VLOOKUP($G$60,$B$177:$C$215, 2, FALSE)</f>
        <v>22</v>
      </c>
      <c r="I60" s="120">
        <f>H60-D60</f>
        <v>3</v>
      </c>
      <c r="J60" s="121">
        <f>I60/H60</f>
        <v>0.13636363636363635</v>
      </c>
    </row>
    <row r="61" spans="2:17" ht="15" customHeight="1">
      <c r="B61" s="132">
        <v>2015</v>
      </c>
      <c r="C61" s="359">
        <f>VLOOKUP($E$3,'Catchment Projections'!$A$1:$BZ$90,41,FALSE)</f>
        <v>27</v>
      </c>
      <c r="D61" s="358">
        <f>VLOOKUP($E$3,'Catchment Projections'!$A$1:$BZ$90,75,FALSE)</f>
        <v>25</v>
      </c>
      <c r="E61" s="303">
        <f>D61/C61</f>
        <v>0.92592592592592593</v>
      </c>
      <c r="G61" s="132">
        <v>2015</v>
      </c>
      <c r="H61" s="395">
        <f>VLOOKUP($G$61,$B$177:$C$215, 2, FALSE)</f>
        <v>25</v>
      </c>
      <c r="I61" s="120">
        <f>H61-D61</f>
        <v>0</v>
      </c>
      <c r="J61" s="121">
        <f>I61/H61</f>
        <v>0</v>
      </c>
    </row>
    <row r="62" spans="2:17" ht="15" customHeight="1">
      <c r="B62" s="131">
        <v>2016</v>
      </c>
      <c r="C62" s="359">
        <f>VLOOKUP($E$3,'Catchment Projections'!$A$1:$BZ$90,42,FALSE)</f>
        <v>26</v>
      </c>
      <c r="D62" s="358">
        <f>VLOOKUP($E$3,'Catchment Projections'!$A$1:$BZ$90,76,FALSE)</f>
        <v>25</v>
      </c>
      <c r="E62" s="57">
        <f>D62/C62</f>
        <v>0.96153846153846156</v>
      </c>
      <c r="G62" s="131">
        <v>2016</v>
      </c>
      <c r="H62" s="395">
        <f>VLOOKUP($G$62,$B$177:$C$215, 2, FALSE)</f>
        <v>25</v>
      </c>
      <c r="I62" s="120">
        <f>H62-D62</f>
        <v>0</v>
      </c>
      <c r="J62" s="121">
        <f>I62/H62</f>
        <v>0</v>
      </c>
    </row>
    <row r="63" spans="2:17" ht="15" customHeight="1">
      <c r="B63" s="114">
        <v>2017</v>
      </c>
      <c r="C63" s="359">
        <f>VLOOKUP($E$3,'Catchment Projections'!$A$1:$BZ$90,43,FALSE)</f>
        <v>24</v>
      </c>
      <c r="D63" s="358">
        <f>VLOOKUP($E$3,'Catchment Projections'!$A$1:$BZ$90,77,FALSE)</f>
        <v>21</v>
      </c>
      <c r="E63" s="304">
        <f>D63/C63</f>
        <v>0.875</v>
      </c>
      <c r="G63" s="114">
        <v>2017</v>
      </c>
      <c r="H63" s="395">
        <f>VLOOKUP($G$63,$B$177:$C$215, 2, FALSE)</f>
        <v>24</v>
      </c>
      <c r="I63" s="120">
        <f>H63-D63</f>
        <v>3</v>
      </c>
      <c r="J63" s="121">
        <f>I63/H63</f>
        <v>0.125</v>
      </c>
    </row>
    <row r="64" spans="2:17" ht="15" customHeight="1">
      <c r="B64" s="114">
        <v>2018</v>
      </c>
      <c r="C64" s="359">
        <f>VLOOKUP($E$3,'Catchment Projections'!$A$1:$BZ$90,44,FALSE)</f>
        <v>22</v>
      </c>
      <c r="D64" s="358">
        <f>VLOOKUP($E$3,'Catchment Projections'!$A$1:$BZ$90,78,FALSE)</f>
        <v>21</v>
      </c>
      <c r="E64" s="305">
        <f>D64/C64</f>
        <v>0.95454545454545459</v>
      </c>
      <c r="G64" s="114">
        <v>2018</v>
      </c>
      <c r="H64" s="395">
        <f>VLOOKUP($G$64,$B$177:$C$215, 2, FALSE)</f>
        <v>22</v>
      </c>
      <c r="I64" s="120">
        <f>H64-D64</f>
        <v>1</v>
      </c>
      <c r="J64" s="121">
        <f>I64/H64</f>
        <v>4.5454545454545456E-2</v>
      </c>
    </row>
    <row r="65" spans="2:10" ht="15" customHeight="1">
      <c r="B65" s="412" t="s">
        <v>136</v>
      </c>
      <c r="C65" s="413"/>
      <c r="D65" s="414"/>
      <c r="E65" s="137">
        <f>IF((AVERAGE(E62:E64))="#DIV/0!","n/a",(AVERAGE(E62:E64)))</f>
        <v>0.93036130536130546</v>
      </c>
      <c r="G65" s="415" t="s">
        <v>137</v>
      </c>
      <c r="H65" s="416"/>
      <c r="I65" s="138">
        <f>MEDIAN(I60:I64)</f>
        <v>1</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179</v>
      </c>
      <c r="D69" s="408"/>
      <c r="E69" s="125" t="s">
        <v>158</v>
      </c>
      <c r="F69" s="126" t="s">
        <v>133</v>
      </c>
      <c r="G69" s="124" t="s">
        <v>183</v>
      </c>
      <c r="H69" s="125" t="s">
        <v>138</v>
      </c>
      <c r="I69" s="124" t="s">
        <v>142</v>
      </c>
      <c r="J69" s="123" t="s">
        <v>139</v>
      </c>
    </row>
    <row r="70" spans="2:10" ht="15" customHeight="1">
      <c r="B70" s="114">
        <v>2019</v>
      </c>
      <c r="C70" s="433">
        <f>D51</f>
        <v>25</v>
      </c>
      <c r="D70" s="408"/>
      <c r="E70" s="122">
        <f>E65</f>
        <v>0.93036130536130546</v>
      </c>
      <c r="F70" s="120">
        <f>C70*$E$65</f>
        <v>23.259032634032636</v>
      </c>
      <c r="G70" s="118">
        <f>IF(F70&lt;26,25,IF(F70&gt;135,140,IF(F70&gt;130,135,IF(F70&gt;125,130,IF(F70&gt;120,125,IF(F70&gt;115,120,IF(F70&gt;110,115,IF(F70&gt;105,110,IF(F70&gt;100,105,IF(F70&gt;99,100,IF(F70&gt;90,99,IF(F70&gt;75,90,IF(F70&gt;72,75,IF(F70&gt;66,72,IF(F70&gt;60,66,IF(F70&gt;50,60,IF(F70&gt;30,50,IF(F70&gt;25,30,0))))))))))))))))))</f>
        <v>25</v>
      </c>
      <c r="H70" s="119">
        <f t="shared" ref="H70:H83" si="1">G70-F70</f>
        <v>1.7409673659673643</v>
      </c>
      <c r="I70" s="118" t="str">
        <f>IF(I$65&lt;H70, "NO", "YES")</f>
        <v>NO</v>
      </c>
      <c r="J70" s="117">
        <f t="shared" ref="J70:J83" si="2">IF(I70="YES",G70,(MIN((SUM(F70,$I$65)),G70)))</f>
        <v>24.259032634032636</v>
      </c>
    </row>
    <row r="71" spans="2:10" ht="15" customHeight="1">
      <c r="B71" s="114">
        <v>2020</v>
      </c>
      <c r="C71" s="433">
        <f>E51</f>
        <v>25</v>
      </c>
      <c r="D71" s="408"/>
      <c r="E71" s="121">
        <f>E65</f>
        <v>0.93036130536130546</v>
      </c>
      <c r="F71" s="120">
        <f>C71*$E$65</f>
        <v>23.259032634032636</v>
      </c>
      <c r="G71" s="118">
        <f t="shared" ref="G71:G83" si="3">IF(F71&lt;26,25,IF(F71&gt;135,140,IF(F71&gt;130,135,IF(F71&gt;125,130,IF(F71&gt;120,125,IF(F71&gt;115,120,IF(F71&gt;110,115,IF(F71&gt;105,110,IF(F71&gt;100,105,IF(F71&gt;99,100,IF(F71&gt;90,99,IF(F71&gt;75,90,IF(F71&gt;72,75,IF(F71&gt;66,72,IF(F71&gt;60,66,IF(F71&gt;50,60,IF(F71&gt;30,50,IF(F71&gt;25,30,0))))))))))))))))))</f>
        <v>25</v>
      </c>
      <c r="H71" s="119">
        <f t="shared" si="1"/>
        <v>1.7409673659673643</v>
      </c>
      <c r="I71" s="118" t="str">
        <f t="shared" ref="I71:I83" si="4">IF(I$65&lt;H71, "NO", "YES")</f>
        <v>NO</v>
      </c>
      <c r="J71" s="117">
        <f t="shared" si="2"/>
        <v>24.259032634032636</v>
      </c>
    </row>
    <row r="72" spans="2:10" ht="15" customHeight="1">
      <c r="B72" s="114">
        <v>2021</v>
      </c>
      <c r="C72" s="430">
        <f>F51</f>
        <v>25</v>
      </c>
      <c r="D72" s="431"/>
      <c r="E72" s="121">
        <f>E65</f>
        <v>0.93036130536130546</v>
      </c>
      <c r="F72" s="120">
        <f>C72*$E$65</f>
        <v>23.259032634032636</v>
      </c>
      <c r="G72" s="118">
        <f t="shared" si="3"/>
        <v>25</v>
      </c>
      <c r="H72" s="119">
        <f t="shared" si="1"/>
        <v>1.7409673659673643</v>
      </c>
      <c r="I72" s="118" t="str">
        <f t="shared" si="4"/>
        <v>NO</v>
      </c>
      <c r="J72" s="117">
        <f t="shared" si="2"/>
        <v>24.259032634032636</v>
      </c>
    </row>
    <row r="73" spans="2:10" ht="15" customHeight="1">
      <c r="B73" s="114">
        <v>2022</v>
      </c>
      <c r="C73" s="430">
        <f>G51</f>
        <v>25</v>
      </c>
      <c r="D73" s="431"/>
      <c r="E73" s="121">
        <f>E65</f>
        <v>0.93036130536130546</v>
      </c>
      <c r="F73" s="120">
        <f>C73</f>
        <v>25</v>
      </c>
      <c r="G73" s="118">
        <f t="shared" si="3"/>
        <v>25</v>
      </c>
      <c r="H73" s="119">
        <f t="shared" si="1"/>
        <v>0</v>
      </c>
      <c r="I73" s="118" t="str">
        <f t="shared" si="4"/>
        <v>YES</v>
      </c>
      <c r="J73" s="117">
        <f t="shared" si="2"/>
        <v>25</v>
      </c>
    </row>
    <row r="74" spans="2:10" ht="15" customHeight="1">
      <c r="B74" s="114">
        <v>2023</v>
      </c>
      <c r="C74" s="430">
        <f>H51</f>
        <v>28</v>
      </c>
      <c r="D74" s="431"/>
      <c r="E74" s="121">
        <f>E65</f>
        <v>0.93036130536130546</v>
      </c>
      <c r="F74" s="120">
        <f>C74</f>
        <v>28</v>
      </c>
      <c r="G74" s="118">
        <f t="shared" si="3"/>
        <v>30</v>
      </c>
      <c r="H74" s="119">
        <f t="shared" si="1"/>
        <v>2</v>
      </c>
      <c r="I74" s="118" t="str">
        <f t="shared" si="4"/>
        <v>NO</v>
      </c>
      <c r="J74" s="117">
        <f t="shared" si="2"/>
        <v>29</v>
      </c>
    </row>
    <row r="75" spans="2:10" ht="15" customHeight="1">
      <c r="B75" s="114">
        <v>2024</v>
      </c>
      <c r="C75" s="430">
        <f>I51</f>
        <v>30</v>
      </c>
      <c r="D75" s="431"/>
      <c r="E75" s="121">
        <f>E65</f>
        <v>0.93036130536130546</v>
      </c>
      <c r="F75" s="120">
        <f>C75</f>
        <v>30</v>
      </c>
      <c r="G75" s="118">
        <f t="shared" si="3"/>
        <v>30</v>
      </c>
      <c r="H75" s="119">
        <f t="shared" si="1"/>
        <v>0</v>
      </c>
      <c r="I75" s="118" t="str">
        <f t="shared" si="4"/>
        <v>YES</v>
      </c>
      <c r="J75" s="117">
        <f t="shared" si="2"/>
        <v>30</v>
      </c>
    </row>
    <row r="76" spans="2:10" ht="15" customHeight="1">
      <c r="B76" s="114">
        <v>2025</v>
      </c>
      <c r="C76" s="430">
        <f>J51</f>
        <v>32</v>
      </c>
      <c r="D76" s="431"/>
      <c r="E76" s="121">
        <f>E65</f>
        <v>0.93036130536130546</v>
      </c>
      <c r="F76" s="120">
        <f t="shared" ref="F76:F83" si="5">C76*$E$65</f>
        <v>29.771561771561775</v>
      </c>
      <c r="G76" s="118">
        <f t="shared" si="3"/>
        <v>30</v>
      </c>
      <c r="H76" s="119">
        <f t="shared" si="1"/>
        <v>0.22843822843822537</v>
      </c>
      <c r="I76" s="118" t="str">
        <f t="shared" si="4"/>
        <v>YES</v>
      </c>
      <c r="J76" s="117">
        <f t="shared" si="2"/>
        <v>30</v>
      </c>
    </row>
    <row r="77" spans="2:10" ht="15" customHeight="1">
      <c r="B77" s="114">
        <v>2026</v>
      </c>
      <c r="C77" s="430">
        <f>K51</f>
        <v>34</v>
      </c>
      <c r="D77" s="431"/>
      <c r="E77" s="121">
        <f>E65</f>
        <v>0.93036130536130546</v>
      </c>
      <c r="F77" s="120">
        <f t="shared" si="5"/>
        <v>31.632284382284386</v>
      </c>
      <c r="G77" s="118">
        <f t="shared" si="3"/>
        <v>50</v>
      </c>
      <c r="H77" s="119">
        <f t="shared" si="1"/>
        <v>18.367715617715614</v>
      </c>
      <c r="I77" s="118" t="str">
        <f t="shared" si="4"/>
        <v>NO</v>
      </c>
      <c r="J77" s="117">
        <f t="shared" si="2"/>
        <v>32.632284382284382</v>
      </c>
    </row>
    <row r="78" spans="2:10" ht="15" customHeight="1">
      <c r="B78" s="114">
        <v>2027</v>
      </c>
      <c r="C78" s="430">
        <f>L51</f>
        <v>35</v>
      </c>
      <c r="D78" s="431"/>
      <c r="E78" s="121">
        <f>E65</f>
        <v>0.93036130536130546</v>
      </c>
      <c r="F78" s="120">
        <f t="shared" si="5"/>
        <v>32.562645687645691</v>
      </c>
      <c r="G78" s="118">
        <f t="shared" si="3"/>
        <v>50</v>
      </c>
      <c r="H78" s="119">
        <f t="shared" si="1"/>
        <v>17.437354312354309</v>
      </c>
      <c r="I78" s="118" t="str">
        <f t="shared" si="4"/>
        <v>NO</v>
      </c>
      <c r="J78" s="117">
        <f t="shared" si="2"/>
        <v>33.562645687645691</v>
      </c>
    </row>
    <row r="79" spans="2:10" ht="15" customHeight="1">
      <c r="B79" s="114">
        <v>2028</v>
      </c>
      <c r="C79" s="430">
        <f>M51</f>
        <v>36</v>
      </c>
      <c r="D79" s="431"/>
      <c r="E79" s="121">
        <f t="shared" ref="E79:E83" si="6">$E$65</f>
        <v>0.93036130536130546</v>
      </c>
      <c r="F79" s="120">
        <f t="shared" si="5"/>
        <v>33.493006993006993</v>
      </c>
      <c r="G79" s="118">
        <f t="shared" si="3"/>
        <v>50</v>
      </c>
      <c r="H79" s="119">
        <f t="shared" si="1"/>
        <v>16.506993006993007</v>
      </c>
      <c r="I79" s="118" t="str">
        <f t="shared" si="4"/>
        <v>NO</v>
      </c>
      <c r="J79" s="117">
        <f t="shared" si="2"/>
        <v>34.493006993006993</v>
      </c>
    </row>
    <row r="80" spans="2:10" ht="15" customHeight="1">
      <c r="B80" s="114">
        <v>2029</v>
      </c>
      <c r="C80" s="430">
        <f>N51</f>
        <v>36</v>
      </c>
      <c r="D80" s="431"/>
      <c r="E80" s="121">
        <f t="shared" si="6"/>
        <v>0.93036130536130546</v>
      </c>
      <c r="F80" s="120">
        <f t="shared" si="5"/>
        <v>33.493006993006993</v>
      </c>
      <c r="G80" s="118">
        <f t="shared" si="3"/>
        <v>50</v>
      </c>
      <c r="H80" s="119">
        <f t="shared" si="1"/>
        <v>16.506993006993007</v>
      </c>
      <c r="I80" s="118" t="str">
        <f t="shared" si="4"/>
        <v>NO</v>
      </c>
      <c r="J80" s="117">
        <f t="shared" si="2"/>
        <v>34.493006993006993</v>
      </c>
    </row>
    <row r="81" spans="2:10" ht="15" customHeight="1">
      <c r="B81" s="114">
        <v>2030</v>
      </c>
      <c r="C81" s="430">
        <f>O51</f>
        <v>37</v>
      </c>
      <c r="D81" s="431"/>
      <c r="E81" s="121">
        <f t="shared" si="6"/>
        <v>0.93036130536130546</v>
      </c>
      <c r="F81" s="120">
        <f t="shared" si="5"/>
        <v>34.423368298368302</v>
      </c>
      <c r="G81" s="118">
        <f t="shared" si="3"/>
        <v>50</v>
      </c>
      <c r="H81" s="119">
        <f t="shared" si="1"/>
        <v>15.576631701631698</v>
      </c>
      <c r="I81" s="118" t="str">
        <f t="shared" si="4"/>
        <v>NO</v>
      </c>
      <c r="J81" s="117">
        <f t="shared" si="2"/>
        <v>35.423368298368302</v>
      </c>
    </row>
    <row r="82" spans="2:10" ht="15" customHeight="1">
      <c r="B82" s="114">
        <v>2031</v>
      </c>
      <c r="C82" s="430">
        <f>P51</f>
        <v>37</v>
      </c>
      <c r="D82" s="431"/>
      <c r="E82" s="121">
        <f t="shared" si="6"/>
        <v>0.93036130536130546</v>
      </c>
      <c r="F82" s="120">
        <f t="shared" si="5"/>
        <v>34.423368298368302</v>
      </c>
      <c r="G82" s="118">
        <f t="shared" si="3"/>
        <v>50</v>
      </c>
      <c r="H82" s="119">
        <f t="shared" si="1"/>
        <v>15.576631701631698</v>
      </c>
      <c r="I82" s="118" t="str">
        <f t="shared" si="4"/>
        <v>NO</v>
      </c>
      <c r="J82" s="117">
        <f t="shared" si="2"/>
        <v>35.423368298368302</v>
      </c>
    </row>
    <row r="83" spans="2:10" ht="15" customHeight="1">
      <c r="B83" s="114">
        <v>2032</v>
      </c>
      <c r="C83" s="430">
        <f>Q51</f>
        <v>37</v>
      </c>
      <c r="D83" s="431"/>
      <c r="E83" s="121">
        <f t="shared" si="6"/>
        <v>0.93036130536130546</v>
      </c>
      <c r="F83" s="120">
        <f t="shared" si="5"/>
        <v>34.423368298368302</v>
      </c>
      <c r="G83" s="118">
        <f t="shared" si="3"/>
        <v>50</v>
      </c>
      <c r="H83" s="119">
        <f t="shared" si="1"/>
        <v>15.576631701631698</v>
      </c>
      <c r="I83" s="118" t="str">
        <f t="shared" si="4"/>
        <v>NO</v>
      </c>
      <c r="J83" s="117">
        <f t="shared" si="2"/>
        <v>35.423368298368302</v>
      </c>
    </row>
    <row r="84" spans="2:10" ht="15" customHeight="1">
      <c r="C84" s="16"/>
      <c r="D84" s="16"/>
      <c r="E84" s="16"/>
      <c r="F84" s="16"/>
      <c r="G84" s="16"/>
      <c r="H84" s="16"/>
    </row>
    <row r="85" spans="2:10" ht="15" customHeight="1">
      <c r="B85" s="141" t="s">
        <v>184</v>
      </c>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Fox Covert RC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29</v>
      </c>
      <c r="D91" s="112">
        <f t="shared" ref="D91:J91" si="7">D188</f>
        <v>29</v>
      </c>
      <c r="E91" s="112">
        <f t="shared" si="7"/>
        <v>29</v>
      </c>
      <c r="F91" s="112">
        <f t="shared" si="7"/>
        <v>17</v>
      </c>
      <c r="G91" s="112">
        <f t="shared" si="7"/>
        <v>22</v>
      </c>
      <c r="H91" s="112">
        <f t="shared" si="7"/>
        <v>21</v>
      </c>
      <c r="I91" s="112">
        <f t="shared" si="7"/>
        <v>27</v>
      </c>
      <c r="J91" s="213">
        <f t="shared" si="7"/>
        <v>174</v>
      </c>
    </row>
    <row r="92" spans="2:10" ht="15" customHeight="1">
      <c r="B92" s="114">
        <v>2014</v>
      </c>
      <c r="C92" s="112">
        <f>C189</f>
        <v>22</v>
      </c>
      <c r="D92" s="112">
        <f t="shared" ref="D92:J92" si="8">D189</f>
        <v>30</v>
      </c>
      <c r="E92" s="112">
        <f t="shared" si="8"/>
        <v>27</v>
      </c>
      <c r="F92" s="112">
        <f t="shared" si="8"/>
        <v>28</v>
      </c>
      <c r="G92" s="112">
        <f t="shared" si="8"/>
        <v>18</v>
      </c>
      <c r="H92" s="112">
        <f t="shared" si="8"/>
        <v>18</v>
      </c>
      <c r="I92" s="112">
        <f t="shared" si="8"/>
        <v>22</v>
      </c>
      <c r="J92" s="213">
        <f t="shared" si="8"/>
        <v>165</v>
      </c>
    </row>
    <row r="93" spans="2:10" ht="15" customHeight="1">
      <c r="B93" s="114">
        <v>2015</v>
      </c>
      <c r="C93" s="112">
        <f>C190</f>
        <v>25</v>
      </c>
      <c r="D93" s="112">
        <f t="shared" ref="D93:J93" si="9">D190</f>
        <v>28</v>
      </c>
      <c r="E93" s="112">
        <f t="shared" si="9"/>
        <v>29</v>
      </c>
      <c r="F93" s="112">
        <f t="shared" si="9"/>
        <v>29</v>
      </c>
      <c r="G93" s="112">
        <f t="shared" si="9"/>
        <v>27</v>
      </c>
      <c r="H93" s="112">
        <f t="shared" si="9"/>
        <v>16</v>
      </c>
      <c r="I93" s="112">
        <f t="shared" si="9"/>
        <v>20</v>
      </c>
      <c r="J93" s="213">
        <f t="shared" si="9"/>
        <v>174</v>
      </c>
    </row>
    <row r="94" spans="2:10" ht="15" customHeight="1">
      <c r="B94" s="114">
        <v>2016</v>
      </c>
      <c r="C94" s="112">
        <f>C191</f>
        <v>25</v>
      </c>
      <c r="D94" s="112">
        <f t="shared" ref="D94:J94" si="10">D191</f>
        <v>23</v>
      </c>
      <c r="E94" s="112">
        <f t="shared" si="10"/>
        <v>30</v>
      </c>
      <c r="F94" s="112">
        <f t="shared" si="10"/>
        <v>27</v>
      </c>
      <c r="G94" s="112">
        <f t="shared" si="10"/>
        <v>22</v>
      </c>
      <c r="H94" s="112">
        <f t="shared" si="10"/>
        <v>25</v>
      </c>
      <c r="I94" s="112">
        <f t="shared" si="10"/>
        <v>19</v>
      </c>
      <c r="J94" s="213">
        <f t="shared" si="10"/>
        <v>171</v>
      </c>
    </row>
    <row r="95" spans="2:10" ht="15" customHeight="1">
      <c r="B95" s="114">
        <v>2017</v>
      </c>
      <c r="C95" s="112">
        <f>C192</f>
        <v>24</v>
      </c>
      <c r="D95" s="112">
        <f t="shared" ref="D95:J95" si="11">D192</f>
        <v>24</v>
      </c>
      <c r="E95" s="112">
        <f t="shared" si="11"/>
        <v>27</v>
      </c>
      <c r="F95" s="112">
        <f t="shared" si="11"/>
        <v>25</v>
      </c>
      <c r="G95" s="112">
        <f t="shared" si="11"/>
        <v>26</v>
      </c>
      <c r="H95" s="112">
        <f t="shared" si="11"/>
        <v>24</v>
      </c>
      <c r="I95" s="112">
        <f t="shared" si="11"/>
        <v>30</v>
      </c>
      <c r="J95" s="213">
        <f t="shared" si="11"/>
        <v>180</v>
      </c>
    </row>
    <row r="96" spans="2:10" ht="15" customHeight="1">
      <c r="B96" s="307">
        <v>2018</v>
      </c>
      <c r="C96" s="112">
        <f t="shared" ref="C96:J96" si="12">C193</f>
        <v>22</v>
      </c>
      <c r="D96" s="112">
        <f t="shared" si="12"/>
        <v>24</v>
      </c>
      <c r="E96" s="112">
        <f t="shared" si="12"/>
        <v>22</v>
      </c>
      <c r="F96" s="112">
        <f t="shared" si="12"/>
        <v>24</v>
      </c>
      <c r="G96" s="112">
        <f t="shared" si="12"/>
        <v>21</v>
      </c>
      <c r="H96" s="112">
        <f t="shared" si="12"/>
        <v>26</v>
      </c>
      <c r="I96" s="112">
        <f t="shared" si="12"/>
        <v>23</v>
      </c>
      <c r="J96" s="213">
        <f t="shared" si="12"/>
        <v>162</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0</v>
      </c>
      <c r="E98" s="210">
        <f t="shared" ref="E98:I98" si="13">MEDIAN(((D91-E92)/D91),((D92-E93)/D92),((D93-E94)/D93),((D94-E95)/D94),((D95-E96)/D95))</f>
        <v>3.3333333333333333E-2</v>
      </c>
      <c r="F98" s="210">
        <f t="shared" si="13"/>
        <v>6.8965517241379309E-2</v>
      </c>
      <c r="G98" s="210">
        <f t="shared" si="13"/>
        <v>3.7037037037037035E-2</v>
      </c>
      <c r="H98" s="210">
        <f t="shared" si="13"/>
        <v>7.407407407407407E-2</v>
      </c>
      <c r="I98" s="210">
        <f t="shared" si="13"/>
        <v>-0.1111111111111111</v>
      </c>
    </row>
    <row r="99" spans="2:10" ht="18.75">
      <c r="B99" s="59"/>
      <c r="C99" s="60"/>
      <c r="D99" s="61"/>
      <c r="E99" s="61"/>
      <c r="F99" s="61"/>
      <c r="G99" s="61"/>
      <c r="H99" s="61"/>
      <c r="I99" s="61"/>
      <c r="J99" s="58"/>
    </row>
    <row r="100" spans="2:10">
      <c r="B100" s="15" t="str">
        <f>"Table 4B: "&amp;E3&amp;" Projected Roll by Stage (incorporating Projected P1 and Drop-Off Rates), 2019-2032"</f>
        <v>Table 4B: Fox Covert RC Primary School Projected Roll by Stage (incorporating Projected P1 and Drop-Off Rates), 2019-2032</v>
      </c>
      <c r="F100" s="14"/>
      <c r="G100" s="14"/>
    </row>
    <row r="101" spans="2:10" ht="12.75">
      <c r="F101" s="14"/>
      <c r="G101" s="14"/>
    </row>
    <row r="102" spans="2:10">
      <c r="B102" s="115"/>
      <c r="C102" s="109" t="s">
        <v>1</v>
      </c>
      <c r="D102" s="109" t="s">
        <v>2</v>
      </c>
      <c r="E102" s="109" t="s">
        <v>3</v>
      </c>
      <c r="F102" s="109" t="s">
        <v>4</v>
      </c>
      <c r="G102" s="109" t="s">
        <v>5</v>
      </c>
      <c r="H102" s="109" t="s">
        <v>6</v>
      </c>
      <c r="I102" s="109" t="s">
        <v>7</v>
      </c>
      <c r="J102" s="109" t="s">
        <v>8</v>
      </c>
    </row>
    <row r="103" spans="2:10">
      <c r="B103" s="114">
        <v>2019</v>
      </c>
      <c r="C103" s="113">
        <f t="shared" ref="C103:C116" si="14">J70</f>
        <v>24.259032634032636</v>
      </c>
      <c r="D103" s="324">
        <f>ROUND((C96)-(C96*$D$98),0)</f>
        <v>22</v>
      </c>
      <c r="E103" s="324">
        <f>ROUND((D96)-(D96*$E$98),0)</f>
        <v>23</v>
      </c>
      <c r="F103" s="324">
        <f>ROUND((E96)-(E96*$F$98),0)</f>
        <v>20</v>
      </c>
      <c r="G103" s="324">
        <f>ROUND((F96)-(F96*$G$98),0)</f>
        <v>23</v>
      </c>
      <c r="H103" s="324">
        <f>ROUND((G96)-(G96*$H$98),0)</f>
        <v>19</v>
      </c>
      <c r="I103" s="324">
        <f>ROUND((H96)-(H96*$I$98),0)</f>
        <v>29</v>
      </c>
      <c r="J103" s="111">
        <f t="shared" ref="J103:J116" si="15">SUM(C103:I103)</f>
        <v>160.25903263403262</v>
      </c>
    </row>
    <row r="104" spans="2:10">
      <c r="B104" s="114">
        <v>2020</v>
      </c>
      <c r="C104" s="113">
        <f t="shared" si="14"/>
        <v>24.259032634032636</v>
      </c>
      <c r="D104" s="324">
        <f>ROUND((C103-E50)-(C103*$D$98),0)</f>
        <v>23</v>
      </c>
      <c r="E104" s="112">
        <f t="shared" ref="E104:E116" si="16">ROUND((D103)-(D103*$E$98),0)</f>
        <v>21</v>
      </c>
      <c r="F104" s="112">
        <f t="shared" ref="F104:F116" si="17">ROUND((E103)-(E103*$F$98),0)</f>
        <v>21</v>
      </c>
      <c r="G104" s="112">
        <f t="shared" ref="G104:G116" si="18">ROUND((F103)-(F103*$G$98),0)</f>
        <v>19</v>
      </c>
      <c r="H104" s="112">
        <f t="shared" ref="H104:H116" si="19">ROUND((G103)-(G103*$H$98),0)</f>
        <v>21</v>
      </c>
      <c r="I104" s="112">
        <f t="shared" ref="I104:I116" si="20">ROUND((H103)-(H103*$I$98),0)</f>
        <v>21</v>
      </c>
      <c r="J104" s="111">
        <f t="shared" si="15"/>
        <v>150.25903263403262</v>
      </c>
    </row>
    <row r="105" spans="2:10">
      <c r="B105" s="114">
        <v>2021</v>
      </c>
      <c r="C105" s="113">
        <f t="shared" si="14"/>
        <v>24.259032634032636</v>
      </c>
      <c r="D105" s="324">
        <f>ROUND((C104-F50)-(C104*$D$98),0)</f>
        <v>22</v>
      </c>
      <c r="E105" s="112">
        <f t="shared" si="16"/>
        <v>22</v>
      </c>
      <c r="F105" s="112">
        <f t="shared" si="17"/>
        <v>20</v>
      </c>
      <c r="G105" s="112">
        <f t="shared" si="18"/>
        <v>20</v>
      </c>
      <c r="H105" s="112">
        <f t="shared" si="19"/>
        <v>18</v>
      </c>
      <c r="I105" s="112">
        <f t="shared" si="20"/>
        <v>23</v>
      </c>
      <c r="J105" s="111">
        <f t="shared" si="15"/>
        <v>149.25903263403262</v>
      </c>
    </row>
    <row r="106" spans="2:10">
      <c r="B106" s="114">
        <v>2022</v>
      </c>
      <c r="C106" s="113">
        <f t="shared" si="14"/>
        <v>25</v>
      </c>
      <c r="D106" s="324">
        <f>ROUND((C105-G50)-(C105*$D$98),0)</f>
        <v>21</v>
      </c>
      <c r="E106" s="112">
        <f t="shared" si="16"/>
        <v>21</v>
      </c>
      <c r="F106" s="112">
        <f t="shared" si="17"/>
        <v>20</v>
      </c>
      <c r="G106" s="112">
        <f t="shared" si="18"/>
        <v>19</v>
      </c>
      <c r="H106" s="112">
        <f t="shared" si="19"/>
        <v>19</v>
      </c>
      <c r="I106" s="112">
        <f t="shared" si="20"/>
        <v>20</v>
      </c>
      <c r="J106" s="111">
        <f t="shared" si="15"/>
        <v>145</v>
      </c>
    </row>
    <row r="107" spans="2:10">
      <c r="B107" s="114">
        <v>2023</v>
      </c>
      <c r="C107" s="113">
        <f t="shared" si="14"/>
        <v>29</v>
      </c>
      <c r="D107" s="324">
        <f>ROUND((C106-H50)-(C106*$D$98),0)</f>
        <v>20</v>
      </c>
      <c r="E107" s="112">
        <f t="shared" si="16"/>
        <v>20</v>
      </c>
      <c r="F107" s="112">
        <f t="shared" si="17"/>
        <v>20</v>
      </c>
      <c r="G107" s="112">
        <f t="shared" si="18"/>
        <v>19</v>
      </c>
      <c r="H107" s="112">
        <f t="shared" si="19"/>
        <v>18</v>
      </c>
      <c r="I107" s="112">
        <f t="shared" si="20"/>
        <v>21</v>
      </c>
      <c r="J107" s="111">
        <f t="shared" si="15"/>
        <v>147</v>
      </c>
    </row>
    <row r="108" spans="2:10">
      <c r="B108" s="114">
        <v>2024</v>
      </c>
      <c r="C108" s="113">
        <f t="shared" si="14"/>
        <v>30</v>
      </c>
      <c r="D108" s="324">
        <f>ROUND((C107-I50)-(C107*$D$98),0)</f>
        <v>22</v>
      </c>
      <c r="E108" s="112">
        <f t="shared" si="16"/>
        <v>19</v>
      </c>
      <c r="F108" s="112">
        <f t="shared" si="17"/>
        <v>19</v>
      </c>
      <c r="G108" s="112">
        <f t="shared" si="18"/>
        <v>19</v>
      </c>
      <c r="H108" s="112">
        <f t="shared" si="19"/>
        <v>18</v>
      </c>
      <c r="I108" s="112">
        <f t="shared" si="20"/>
        <v>20</v>
      </c>
      <c r="J108" s="111">
        <f t="shared" si="15"/>
        <v>147</v>
      </c>
    </row>
    <row r="109" spans="2:10">
      <c r="B109" s="114">
        <v>2025</v>
      </c>
      <c r="C109" s="113">
        <f t="shared" si="14"/>
        <v>30</v>
      </c>
      <c r="D109" s="324">
        <f>ROUND((C108-J50)-(C108*$D$98),0)</f>
        <v>22</v>
      </c>
      <c r="E109" s="112">
        <f t="shared" si="16"/>
        <v>21</v>
      </c>
      <c r="F109" s="112">
        <f t="shared" si="17"/>
        <v>18</v>
      </c>
      <c r="G109" s="112">
        <f t="shared" si="18"/>
        <v>18</v>
      </c>
      <c r="H109" s="112">
        <f t="shared" si="19"/>
        <v>18</v>
      </c>
      <c r="I109" s="112">
        <f t="shared" si="20"/>
        <v>20</v>
      </c>
      <c r="J109" s="111">
        <f t="shared" si="15"/>
        <v>147</v>
      </c>
    </row>
    <row r="110" spans="2:10">
      <c r="B110" s="114">
        <v>2026</v>
      </c>
      <c r="C110" s="113">
        <f t="shared" si="14"/>
        <v>32.632284382284382</v>
      </c>
      <c r="D110" s="324">
        <f>ROUND((C109-K50)-(C109*$D$98),0)</f>
        <v>20</v>
      </c>
      <c r="E110" s="112">
        <f t="shared" si="16"/>
        <v>21</v>
      </c>
      <c r="F110" s="112">
        <f t="shared" si="17"/>
        <v>20</v>
      </c>
      <c r="G110" s="112">
        <f t="shared" si="18"/>
        <v>17</v>
      </c>
      <c r="H110" s="112">
        <f t="shared" si="19"/>
        <v>17</v>
      </c>
      <c r="I110" s="112">
        <f t="shared" si="20"/>
        <v>20</v>
      </c>
      <c r="J110" s="111">
        <f t="shared" si="15"/>
        <v>147.63228438228438</v>
      </c>
    </row>
    <row r="111" spans="2:10">
      <c r="B111" s="114">
        <v>2027</v>
      </c>
      <c r="C111" s="113">
        <f t="shared" si="14"/>
        <v>33.562645687645691</v>
      </c>
      <c r="D111" s="324">
        <f>ROUND((C110-L50)-(C110*$D$98),0)</f>
        <v>22</v>
      </c>
      <c r="E111" s="112">
        <f t="shared" si="16"/>
        <v>19</v>
      </c>
      <c r="F111" s="112">
        <f t="shared" si="17"/>
        <v>20</v>
      </c>
      <c r="G111" s="112">
        <f t="shared" si="18"/>
        <v>19</v>
      </c>
      <c r="H111" s="112">
        <f t="shared" si="19"/>
        <v>16</v>
      </c>
      <c r="I111" s="112">
        <f t="shared" si="20"/>
        <v>19</v>
      </c>
      <c r="J111" s="111">
        <f t="shared" si="15"/>
        <v>148.5626456876457</v>
      </c>
    </row>
    <row r="112" spans="2:10">
      <c r="B112" s="114">
        <v>2028</v>
      </c>
      <c r="C112" s="113">
        <f t="shared" si="14"/>
        <v>34.493006993006993</v>
      </c>
      <c r="D112" s="324">
        <f>ROUND((C111-M50)-(C111*$D$98),0)</f>
        <v>22</v>
      </c>
      <c r="E112" s="112">
        <f t="shared" si="16"/>
        <v>21</v>
      </c>
      <c r="F112" s="112">
        <f t="shared" si="17"/>
        <v>18</v>
      </c>
      <c r="G112" s="112">
        <f t="shared" si="18"/>
        <v>19</v>
      </c>
      <c r="H112" s="112">
        <f t="shared" si="19"/>
        <v>18</v>
      </c>
      <c r="I112" s="112">
        <f t="shared" si="20"/>
        <v>18</v>
      </c>
      <c r="J112" s="111">
        <f t="shared" si="15"/>
        <v>150.49300699300699</v>
      </c>
    </row>
    <row r="113" spans="2:10" ht="15" customHeight="1">
      <c r="B113" s="114">
        <v>2029</v>
      </c>
      <c r="C113" s="113">
        <f t="shared" si="14"/>
        <v>34.493006993006993</v>
      </c>
      <c r="D113" s="324">
        <f>ROUND((C112-N50)-(C112*$D$98),0)</f>
        <v>22</v>
      </c>
      <c r="E113" s="112">
        <f t="shared" si="16"/>
        <v>21</v>
      </c>
      <c r="F113" s="112">
        <f t="shared" si="17"/>
        <v>20</v>
      </c>
      <c r="G113" s="112">
        <f t="shared" si="18"/>
        <v>17</v>
      </c>
      <c r="H113" s="112">
        <f t="shared" si="19"/>
        <v>18</v>
      </c>
      <c r="I113" s="112">
        <f t="shared" si="20"/>
        <v>20</v>
      </c>
      <c r="J113" s="111">
        <f t="shared" si="15"/>
        <v>152.49300699300699</v>
      </c>
    </row>
    <row r="114" spans="2:10" ht="15" customHeight="1">
      <c r="B114" s="114">
        <v>2030</v>
      </c>
      <c r="C114" s="113">
        <f t="shared" si="14"/>
        <v>35.423368298368302</v>
      </c>
      <c r="D114" s="324">
        <f>ROUND((C113-O50)-(C113*$D$98),0)</f>
        <v>21</v>
      </c>
      <c r="E114" s="112">
        <f t="shared" si="16"/>
        <v>21</v>
      </c>
      <c r="F114" s="112">
        <f t="shared" si="17"/>
        <v>20</v>
      </c>
      <c r="G114" s="112">
        <f t="shared" si="18"/>
        <v>19</v>
      </c>
      <c r="H114" s="112">
        <f t="shared" si="19"/>
        <v>16</v>
      </c>
      <c r="I114" s="112">
        <f t="shared" si="20"/>
        <v>20</v>
      </c>
      <c r="J114" s="111">
        <f t="shared" si="15"/>
        <v>152.4233682983683</v>
      </c>
    </row>
    <row r="115" spans="2:10" ht="15" customHeight="1">
      <c r="B115" s="114">
        <v>2031</v>
      </c>
      <c r="C115" s="113">
        <f t="shared" si="14"/>
        <v>35.423368298368302</v>
      </c>
      <c r="D115" s="324">
        <f>ROUND((C114-P50)-(C114*$D$98),0)</f>
        <v>22</v>
      </c>
      <c r="E115" s="112">
        <f t="shared" si="16"/>
        <v>20</v>
      </c>
      <c r="F115" s="112">
        <f t="shared" si="17"/>
        <v>20</v>
      </c>
      <c r="G115" s="112">
        <f t="shared" si="18"/>
        <v>19</v>
      </c>
      <c r="H115" s="112">
        <f t="shared" si="19"/>
        <v>18</v>
      </c>
      <c r="I115" s="112">
        <f t="shared" si="20"/>
        <v>18</v>
      </c>
      <c r="J115" s="111">
        <f t="shared" si="15"/>
        <v>152.4233682983683</v>
      </c>
    </row>
    <row r="116" spans="2:10" ht="15" customHeight="1">
      <c r="B116" s="114">
        <v>2032</v>
      </c>
      <c r="C116" s="113">
        <f t="shared" si="14"/>
        <v>35.423368298368302</v>
      </c>
      <c r="D116" s="324">
        <f>ROUND((C115-Q50)-(C115*$D$98),0)</f>
        <v>22</v>
      </c>
      <c r="E116" s="112">
        <f t="shared" si="16"/>
        <v>21</v>
      </c>
      <c r="F116" s="112">
        <f t="shared" si="17"/>
        <v>19</v>
      </c>
      <c r="G116" s="112">
        <f t="shared" si="18"/>
        <v>19</v>
      </c>
      <c r="H116" s="112">
        <f t="shared" si="19"/>
        <v>18</v>
      </c>
      <c r="I116" s="112">
        <f t="shared" si="20"/>
        <v>20</v>
      </c>
      <c r="J116" s="111">
        <f t="shared" si="15"/>
        <v>154.4233682983683</v>
      </c>
    </row>
    <row r="117" spans="2:10" ht="15" hidden="1" customHeight="1">
      <c r="F117" s="14"/>
      <c r="G117" s="14"/>
    </row>
    <row r="118" spans="2:10" ht="15" hidden="1" customHeight="1">
      <c r="B118" s="15" t="str">
        <f>"Table 4C: "&amp;E3&amp;" Projected Pupil Generation from Housing Development, 2019-2032"</f>
        <v>Table 4C: Fox Covert RC Primary School Projected Pupil Generation from Housing Development, 2019-2032</v>
      </c>
      <c r="F118" s="14"/>
      <c r="G118" s="14"/>
    </row>
    <row r="119" spans="2:10" ht="15" hidden="1" customHeight="1">
      <c r="F119" s="14"/>
      <c r="G119" s="14"/>
    </row>
    <row r="120" spans="2:10" ht="15" hidden="1" customHeight="1">
      <c r="B120" s="115"/>
      <c r="C120" s="109" t="s">
        <v>1</v>
      </c>
      <c r="D120" s="109" t="s">
        <v>2</v>
      </c>
      <c r="E120" s="109" t="s">
        <v>3</v>
      </c>
      <c r="F120" s="109" t="s">
        <v>4</v>
      </c>
      <c r="G120" s="109" t="s">
        <v>5</v>
      </c>
      <c r="H120" s="109" t="s">
        <v>6</v>
      </c>
      <c r="I120" s="109" t="s">
        <v>7</v>
      </c>
      <c r="J120" s="109" t="s">
        <v>8</v>
      </c>
    </row>
    <row r="121" spans="2:10" ht="15" hidden="1" customHeight="1">
      <c r="B121" s="114">
        <v>2019</v>
      </c>
      <c r="C121" s="116" t="s">
        <v>97</v>
      </c>
      <c r="D121" s="112">
        <f>VLOOKUP($E$3,'Housing Generation'!$A$3:$BE$90,11,FALSE)</f>
        <v>1</v>
      </c>
      <c r="E121" s="112">
        <f>VLOOKUP($E$3,'Housing Generation'!$A$3:$BE$90,12,FALSE)</f>
        <v>0</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1</v>
      </c>
    </row>
    <row r="122" spans="2:10" ht="15" hidden="1" customHeight="1">
      <c r="B122" s="114">
        <v>2020</v>
      </c>
      <c r="C122" s="116" t="s">
        <v>97</v>
      </c>
      <c r="D122" s="112">
        <f>VLOOKUP($E$3,'Housing Generation'!$A$3:$BE$90,19,FALSE)</f>
        <v>1</v>
      </c>
      <c r="E122" s="112">
        <f>VLOOKUP($E$3,'Housing Generation'!$A$3:$BE$90,20,FALSE)</f>
        <v>1</v>
      </c>
      <c r="F122" s="112">
        <f>VLOOKUP($E$3,'Housing Generation'!$A$3:$BE$90,21,FALSE)</f>
        <v>0</v>
      </c>
      <c r="G122" s="112">
        <f>VLOOKUP($E$3,'Housing Generation'!$A$3:$BE$90,22,FALSE)</f>
        <v>0</v>
      </c>
      <c r="H122" s="112">
        <f>VLOOKUP($E$3,'Housing Generation'!$A$3:$BE$90,23,FALSE)</f>
        <v>0</v>
      </c>
      <c r="I122" s="112">
        <f>VLOOKUP($E$3,'Housing Generation'!$A$3:$BE$90,24,FALSE)</f>
        <v>0</v>
      </c>
      <c r="J122" s="111">
        <f t="shared" si="21"/>
        <v>2</v>
      </c>
    </row>
    <row r="123" spans="2:10" ht="15" hidden="1" customHeight="1">
      <c r="B123" s="114">
        <v>2021</v>
      </c>
      <c r="C123" s="116" t="s">
        <v>97</v>
      </c>
      <c r="D123" s="112">
        <f>VLOOKUP($E$3,'Housing Generation'!$A$3:$BE$90,27,FALSE)</f>
        <v>2</v>
      </c>
      <c r="E123" s="112">
        <f>VLOOKUP($E$3,'Housing Generation'!$A$3:$BE$90,28,FALSE)</f>
        <v>1</v>
      </c>
      <c r="F123" s="112">
        <f>VLOOKUP($E$3,'Housing Generation'!$A$3:$BE$90,29,FALSE)</f>
        <v>1</v>
      </c>
      <c r="G123" s="112">
        <f>VLOOKUP($E$3,'Housing Generation'!$A$3:$BE$90,30,FALSE)</f>
        <v>1</v>
      </c>
      <c r="H123" s="112">
        <f>VLOOKUP($E$3,'Housing Generation'!$A$3:$BE$90,31,FALSE)</f>
        <v>1</v>
      </c>
      <c r="I123" s="112">
        <f>VLOOKUP($E$3,'Housing Generation'!$A$3:$BE$90,32,FALSE)</f>
        <v>1</v>
      </c>
      <c r="J123" s="111">
        <f t="shared" si="21"/>
        <v>7</v>
      </c>
    </row>
    <row r="124" spans="2:10" ht="15" hidden="1" customHeight="1">
      <c r="B124" s="114">
        <v>2022</v>
      </c>
      <c r="C124" s="116" t="s">
        <v>97</v>
      </c>
      <c r="D124" s="112">
        <f>VLOOKUP($E$3,'Housing Generation'!$A$3:$BE$90,35,FALSE)</f>
        <v>3</v>
      </c>
      <c r="E124" s="112">
        <f>VLOOKUP($E$3,'Housing Generation'!$A$3:$BE$90,36,FALSE)</f>
        <v>3</v>
      </c>
      <c r="F124" s="112">
        <f>VLOOKUP($E$3,'Housing Generation'!$A$3:$BE$90,37,FALSE)</f>
        <v>3</v>
      </c>
      <c r="G124" s="112">
        <f>VLOOKUP($E$3,'Housing Generation'!$A$3:$BE$90,38,FALSE)</f>
        <v>3</v>
      </c>
      <c r="H124" s="112">
        <f>VLOOKUP($E$3,'Housing Generation'!$A$3:$BE$90,39,FALSE)</f>
        <v>3</v>
      </c>
      <c r="I124" s="112">
        <f>VLOOKUP($E$3,'Housing Generation'!$A$3:$BE$90,40,FALSE)</f>
        <v>2</v>
      </c>
      <c r="J124" s="111">
        <f t="shared" si="21"/>
        <v>17</v>
      </c>
    </row>
    <row r="125" spans="2:10" ht="15" hidden="1" customHeight="1">
      <c r="B125" s="114">
        <v>2023</v>
      </c>
      <c r="C125" s="116" t="s">
        <v>97</v>
      </c>
      <c r="D125" s="112">
        <f>VLOOKUP($E$3,'Housing Generation'!$A$3:$BE$90,43,FALSE)</f>
        <v>5</v>
      </c>
      <c r="E125" s="112">
        <f>VLOOKUP($E$3,'Housing Generation'!$A$3:$BE$90,44,FALSE)</f>
        <v>5</v>
      </c>
      <c r="F125" s="112">
        <f>VLOOKUP($E$3,'Housing Generation'!$A$3:$BE$90,45,FALSE)</f>
        <v>5</v>
      </c>
      <c r="G125" s="112">
        <f>VLOOKUP($E$3,'Housing Generation'!$A$3:$BE$90,46,FALSE)</f>
        <v>5</v>
      </c>
      <c r="H125" s="112">
        <f>VLOOKUP($E$3,'Housing Generation'!$A$3:$BE$90,47,FALSE)</f>
        <v>5</v>
      </c>
      <c r="I125" s="112">
        <f>VLOOKUP($E$3,'Housing Generation'!$A$3:$BE$90,48,FALSE)</f>
        <v>4</v>
      </c>
      <c r="J125" s="111">
        <f t="shared" si="21"/>
        <v>29</v>
      </c>
    </row>
    <row r="126" spans="2:10" ht="15" hidden="1" customHeight="1">
      <c r="B126" s="114">
        <v>2024</v>
      </c>
      <c r="C126" s="116" t="s">
        <v>97</v>
      </c>
      <c r="D126" s="112">
        <f>VLOOKUP($E$3,'Housing Generation'!$A$3:$BE$90,51,FALSE)</f>
        <v>7</v>
      </c>
      <c r="E126" s="112">
        <f>VLOOKUP($E$3,'Housing Generation'!$A$3:$BE$90,52,FALSE)</f>
        <v>7</v>
      </c>
      <c r="F126" s="112">
        <f>VLOOKUP($E$3,'Housing Generation'!$A$3:$BE$90,53,FALSE)</f>
        <v>7</v>
      </c>
      <c r="G126" s="112">
        <f>VLOOKUP($E$3,'Housing Generation'!$A$3:$BE$90,54,FALSE)</f>
        <v>6</v>
      </c>
      <c r="H126" s="112">
        <f>VLOOKUP($E$3,'Housing Generation'!$A$3:$BE$90,55,FALSE)</f>
        <v>6</v>
      </c>
      <c r="I126" s="112">
        <f>VLOOKUP($E$3,'Housing Generation'!$A$3:$BE$90,56,FALSE)</f>
        <v>6</v>
      </c>
      <c r="J126" s="111">
        <f t="shared" si="21"/>
        <v>39</v>
      </c>
    </row>
    <row r="127" spans="2:10" ht="15" hidden="1" customHeight="1">
      <c r="B127" s="114">
        <v>2025</v>
      </c>
      <c r="C127" s="240" t="s">
        <v>97</v>
      </c>
      <c r="D127" s="112">
        <f>VLOOKUP($E$3,'Housing Generation'!$A$3:$CK$90,59,FALSE)</f>
        <v>8</v>
      </c>
      <c r="E127" s="112">
        <f>VLOOKUP($E$3,'Housing Generation'!$A$3:$CK$90,60,FALSE)</f>
        <v>8</v>
      </c>
      <c r="F127" s="112">
        <f>VLOOKUP($E$3,'Housing Generation'!$A$3:$CK$90,61,FALSE)</f>
        <v>8</v>
      </c>
      <c r="G127" s="112">
        <f>VLOOKUP($E$3,'Housing Generation'!$A$3:$CK$90,62,FALSE)</f>
        <v>8</v>
      </c>
      <c r="H127" s="112">
        <f>VLOOKUP($E$3,'Housing Generation'!$A$3:$CK$90,63,FALSE)</f>
        <v>8</v>
      </c>
      <c r="I127" s="112">
        <f>VLOOKUP($E$3,'Housing Generation'!$A$3:$CK$90,64,FALSE)</f>
        <v>8</v>
      </c>
      <c r="J127" s="111">
        <f t="shared" si="21"/>
        <v>48</v>
      </c>
    </row>
    <row r="128" spans="2:10" ht="15" hidden="1" customHeight="1">
      <c r="B128" s="114">
        <v>2026</v>
      </c>
      <c r="C128" s="240" t="s">
        <v>97</v>
      </c>
      <c r="D128" s="112">
        <f>VLOOKUP($E$3,'Housing Generation'!$A$3:$CK$90,67,FALSE)</f>
        <v>10</v>
      </c>
      <c r="E128" s="112">
        <f>VLOOKUP($E$3,'Housing Generation'!$A$3:$CK$90,68,FALSE)</f>
        <v>9</v>
      </c>
      <c r="F128" s="112">
        <f>VLOOKUP($E$3,'Housing Generation'!$A$3:$CK$90,69,FALSE)</f>
        <v>9</v>
      </c>
      <c r="G128" s="112">
        <f>VLOOKUP($E$3,'Housing Generation'!$A$3:$CK$90,70,FALSE)</f>
        <v>9</v>
      </c>
      <c r="H128" s="112">
        <f>VLOOKUP($E$3,'Housing Generation'!$A$3:$CK$90,71,FALSE)</f>
        <v>9</v>
      </c>
      <c r="I128" s="112">
        <f>VLOOKUP($E$3,'Housing Generation'!$A$3:$CK$90,72,FALSE)</f>
        <v>9</v>
      </c>
      <c r="J128" s="111">
        <f t="shared" si="21"/>
        <v>55</v>
      </c>
    </row>
    <row r="129" spans="2:10" ht="15" hidden="1" customHeight="1">
      <c r="B129" s="114">
        <v>2027</v>
      </c>
      <c r="C129" s="240" t="s">
        <v>97</v>
      </c>
      <c r="D129" s="112">
        <f>VLOOKUP($E$3,'Housing Generation'!$A$3:$CK$90,75,FALSE)</f>
        <v>11</v>
      </c>
      <c r="E129" s="112">
        <f>VLOOKUP($E$3,'Housing Generation'!$A$3:$CK$90,76,FALSE)</f>
        <v>11</v>
      </c>
      <c r="F129" s="112">
        <f>VLOOKUP($E$3,'Housing Generation'!$A$3:$CK$90,77,FALSE)</f>
        <v>10</v>
      </c>
      <c r="G129" s="112">
        <f>VLOOKUP($E$3,'Housing Generation'!$A$3:$CK$90,78,FALSE)</f>
        <v>10</v>
      </c>
      <c r="H129" s="112">
        <f>VLOOKUP($E$3,'Housing Generation'!$A$3:$CK$90,79,FALSE)</f>
        <v>10</v>
      </c>
      <c r="I129" s="112">
        <f>VLOOKUP($E$3,'Housing Generation'!$A$3:$CK$90,80,FALSE)</f>
        <v>10</v>
      </c>
      <c r="J129" s="111">
        <f t="shared" si="21"/>
        <v>62</v>
      </c>
    </row>
    <row r="130" spans="2:10" ht="15" customHeight="1">
      <c r="B130" s="114">
        <v>2028</v>
      </c>
      <c r="C130" s="289" t="s">
        <v>97</v>
      </c>
      <c r="D130" s="112">
        <f>VLOOKUP($E$3,'Housing Generation'!$A$3:$CK$90,83,FALSE)</f>
        <v>12</v>
      </c>
      <c r="E130" s="112">
        <f>VLOOKUP($E$3,'Housing Generation'!$A$3:$CK$90,84,FALSE)</f>
        <v>12</v>
      </c>
      <c r="F130" s="112">
        <f>VLOOKUP($E$3,'Housing Generation'!$A$3:$CK$90,85,FALSE)</f>
        <v>12</v>
      </c>
      <c r="G130" s="112">
        <f>VLOOKUP($E$3,'Housing Generation'!$A$3:$CK$90,86,FALSE)</f>
        <v>11</v>
      </c>
      <c r="H130" s="112">
        <f>VLOOKUP($E$3,'Housing Generation'!$A$3:$CK$90,87,FALSE)</f>
        <v>11</v>
      </c>
      <c r="I130" s="112">
        <f>VLOOKUP($E$3,'Housing Generation'!$A$3:$CK$90,88,FALSE)</f>
        <v>11</v>
      </c>
      <c r="J130" s="111">
        <f t="shared" si="21"/>
        <v>69</v>
      </c>
    </row>
    <row r="131" spans="2:10" ht="15" customHeight="1">
      <c r="B131" s="114">
        <v>2029</v>
      </c>
      <c r="C131" s="289" t="s">
        <v>97</v>
      </c>
      <c r="D131" s="112">
        <f>VLOOKUP($E$3,'Housing Generation'!$A$3:$DQ$90,91,FALSE)</f>
        <v>12</v>
      </c>
      <c r="E131" s="112">
        <f>VLOOKUP($E$3,'Housing Generation'!$A$3:$DQ$90,92,FALSE)</f>
        <v>12</v>
      </c>
      <c r="F131" s="112">
        <f>VLOOKUP($E$3,'Housing Generation'!$A$3:$DQ$90,93,FALSE)</f>
        <v>12</v>
      </c>
      <c r="G131" s="112">
        <f>VLOOKUP($E$3,'Housing Generation'!$A$3:$DQ$90,94,FALSE)</f>
        <v>12</v>
      </c>
      <c r="H131" s="112">
        <f>VLOOKUP($E$3,'Housing Generation'!$A$3:$DQ$90,95,FALSE)</f>
        <v>12</v>
      </c>
      <c r="I131" s="112">
        <f>VLOOKUP($E$3,'Housing Generation'!$A$3:$DQ$90,96,FALSE)</f>
        <v>11</v>
      </c>
      <c r="J131" s="111">
        <f t="shared" si="21"/>
        <v>71</v>
      </c>
    </row>
    <row r="132" spans="2:10" ht="15" customHeight="1">
      <c r="B132" s="114">
        <v>2030</v>
      </c>
      <c r="C132" s="289" t="s">
        <v>97</v>
      </c>
      <c r="D132" s="112">
        <f>VLOOKUP($E$3,'Housing Generation'!$A$3:$DQ$90,99,FALSE)</f>
        <v>12</v>
      </c>
      <c r="E132" s="112">
        <f>VLOOKUP($E$3,'Housing Generation'!$A$3:$DQ$90,100,FALSE)</f>
        <v>12</v>
      </c>
      <c r="F132" s="112">
        <f>VLOOKUP($E$3,'Housing Generation'!$A$3:$DQ$90,101,FALSE)</f>
        <v>12</v>
      </c>
      <c r="G132" s="112">
        <f>VLOOKUP($E$3,'Housing Generation'!$A$3:$DQ$90,102,FALSE)</f>
        <v>12</v>
      </c>
      <c r="H132" s="112">
        <f>VLOOKUP($E$3,'Housing Generation'!$A$3:$DQ$90,103,FALSE)</f>
        <v>12</v>
      </c>
      <c r="I132" s="112">
        <f>VLOOKUP($E$3,'Housing Generation'!$A$3:$DQ$90,104,FALSE)</f>
        <v>12</v>
      </c>
      <c r="J132" s="111">
        <f t="shared" si="21"/>
        <v>72</v>
      </c>
    </row>
    <row r="133" spans="2:10" ht="15" customHeight="1">
      <c r="B133" s="114">
        <v>2031</v>
      </c>
      <c r="C133" s="289" t="s">
        <v>97</v>
      </c>
      <c r="D133" s="112">
        <f>VLOOKUP($E$3,'Housing Generation'!$A$3:$DQ$90,107,FALSE)</f>
        <v>13</v>
      </c>
      <c r="E133" s="112">
        <f>VLOOKUP($E$3,'Housing Generation'!$A$3:$DQ$90,108,FALSE)</f>
        <v>13</v>
      </c>
      <c r="F133" s="112">
        <f>VLOOKUP($E$3,'Housing Generation'!$A$3:$DQ$90,109,FALSE)</f>
        <v>13</v>
      </c>
      <c r="G133" s="112">
        <f>VLOOKUP($E$3,'Housing Generation'!$A$3:$DQ$90,110,FALSE)</f>
        <v>12</v>
      </c>
      <c r="H133" s="112">
        <f>VLOOKUP($E$3,'Housing Generation'!$A$3:$DQ$90,111,FALSE)</f>
        <v>12</v>
      </c>
      <c r="I133" s="112">
        <f>VLOOKUP($E$3,'Housing Generation'!$A$3:$DQ$90,112,FALSE)</f>
        <v>12</v>
      </c>
      <c r="J133" s="111">
        <f t="shared" si="21"/>
        <v>75</v>
      </c>
    </row>
    <row r="134" spans="2:10" ht="15" customHeight="1">
      <c r="B134" s="114">
        <v>2032</v>
      </c>
      <c r="C134" s="289" t="s">
        <v>97</v>
      </c>
      <c r="D134" s="112">
        <f>VLOOKUP($E$3,'Housing Generation'!$A$3:$DQ$90,115,FALSE)</f>
        <v>13</v>
      </c>
      <c r="E134" s="112">
        <f>VLOOKUP($E$3,'Housing Generation'!$A$3:$DQ$90,116,FALSE)</f>
        <v>13</v>
      </c>
      <c r="F134" s="112">
        <f>VLOOKUP($E$3,'Housing Generation'!$A$3:$DQ$90,117,FALSE)</f>
        <v>13</v>
      </c>
      <c r="G134" s="112">
        <f>VLOOKUP($E$3,'Housing Generation'!$A$3:$DQ$90,118,FALSE)</f>
        <v>13</v>
      </c>
      <c r="H134" s="112">
        <f>VLOOKUP($E$3,'Housing Generation'!$A$3:$DQ$90,119,FALSE)</f>
        <v>13</v>
      </c>
      <c r="I134" s="112">
        <f>VLOOKUP($E$3,'Housing Generation'!$A$3:$DQ$90,120,FALSE)</f>
        <v>13</v>
      </c>
      <c r="J134" s="111">
        <f t="shared" si="21"/>
        <v>78</v>
      </c>
    </row>
    <row r="135" spans="2:10" ht="15" hidden="1"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Fox Covert RC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24.259032634032636</v>
      </c>
      <c r="D139" s="112">
        <f t="shared" ref="D139:I152" si="23">D121+D103</f>
        <v>23</v>
      </c>
      <c r="E139" s="112">
        <f t="shared" si="23"/>
        <v>23</v>
      </c>
      <c r="F139" s="112">
        <f t="shared" si="23"/>
        <v>20</v>
      </c>
      <c r="G139" s="112">
        <f t="shared" si="23"/>
        <v>23</v>
      </c>
      <c r="H139" s="112">
        <f t="shared" si="23"/>
        <v>19</v>
      </c>
      <c r="I139" s="112">
        <f t="shared" si="23"/>
        <v>29</v>
      </c>
      <c r="J139" s="111">
        <f t="shared" ref="J139:J147" si="24">SUM(C139:I139)</f>
        <v>161.25903263403262</v>
      </c>
    </row>
    <row r="140" spans="2:10" ht="15" customHeight="1">
      <c r="B140" s="114">
        <v>2020</v>
      </c>
      <c r="C140" s="113">
        <f t="shared" si="22"/>
        <v>24.259032634032636</v>
      </c>
      <c r="D140" s="112">
        <f t="shared" si="23"/>
        <v>24</v>
      </c>
      <c r="E140" s="112">
        <f t="shared" si="23"/>
        <v>22</v>
      </c>
      <c r="F140" s="112">
        <f t="shared" si="23"/>
        <v>21</v>
      </c>
      <c r="G140" s="112">
        <f t="shared" si="23"/>
        <v>19</v>
      </c>
      <c r="H140" s="112">
        <f t="shared" si="23"/>
        <v>21</v>
      </c>
      <c r="I140" s="112">
        <f t="shared" si="23"/>
        <v>21</v>
      </c>
      <c r="J140" s="111">
        <f t="shared" si="24"/>
        <v>152.25903263403262</v>
      </c>
    </row>
    <row r="141" spans="2:10" ht="15" customHeight="1">
      <c r="B141" s="114">
        <v>2021</v>
      </c>
      <c r="C141" s="113">
        <f t="shared" si="22"/>
        <v>24.259032634032636</v>
      </c>
      <c r="D141" s="112">
        <f t="shared" si="23"/>
        <v>24</v>
      </c>
      <c r="E141" s="112">
        <f t="shared" si="23"/>
        <v>23</v>
      </c>
      <c r="F141" s="112">
        <f t="shared" si="23"/>
        <v>21</v>
      </c>
      <c r="G141" s="112">
        <f t="shared" si="23"/>
        <v>21</v>
      </c>
      <c r="H141" s="112">
        <f t="shared" si="23"/>
        <v>19</v>
      </c>
      <c r="I141" s="112">
        <f t="shared" si="23"/>
        <v>24</v>
      </c>
      <c r="J141" s="111">
        <f t="shared" si="24"/>
        <v>156.25903263403262</v>
      </c>
    </row>
    <row r="142" spans="2:10" ht="15" customHeight="1">
      <c r="B142" s="114">
        <v>2022</v>
      </c>
      <c r="C142" s="113">
        <f t="shared" si="22"/>
        <v>25</v>
      </c>
      <c r="D142" s="112">
        <f t="shared" si="23"/>
        <v>24</v>
      </c>
      <c r="E142" s="112">
        <f t="shared" si="23"/>
        <v>24</v>
      </c>
      <c r="F142" s="112">
        <f t="shared" si="23"/>
        <v>23</v>
      </c>
      <c r="G142" s="112">
        <f t="shared" si="23"/>
        <v>22</v>
      </c>
      <c r="H142" s="112">
        <f t="shared" si="23"/>
        <v>22</v>
      </c>
      <c r="I142" s="112">
        <f t="shared" si="23"/>
        <v>22</v>
      </c>
      <c r="J142" s="111">
        <f t="shared" si="24"/>
        <v>162</v>
      </c>
    </row>
    <row r="143" spans="2:10" ht="15" customHeight="1">
      <c r="B143" s="114">
        <v>2023</v>
      </c>
      <c r="C143" s="113">
        <f t="shared" si="22"/>
        <v>29</v>
      </c>
      <c r="D143" s="112">
        <f t="shared" si="23"/>
        <v>25</v>
      </c>
      <c r="E143" s="112">
        <f t="shared" si="23"/>
        <v>25</v>
      </c>
      <c r="F143" s="112">
        <f t="shared" si="23"/>
        <v>25</v>
      </c>
      <c r="G143" s="112">
        <f t="shared" si="23"/>
        <v>24</v>
      </c>
      <c r="H143" s="112">
        <f t="shared" si="23"/>
        <v>23</v>
      </c>
      <c r="I143" s="112">
        <f t="shared" si="23"/>
        <v>25</v>
      </c>
      <c r="J143" s="111">
        <f t="shared" si="24"/>
        <v>176</v>
      </c>
    </row>
    <row r="144" spans="2:10" ht="15" customHeight="1">
      <c r="B144" s="114">
        <v>2024</v>
      </c>
      <c r="C144" s="113">
        <f t="shared" si="22"/>
        <v>30</v>
      </c>
      <c r="D144" s="112">
        <f t="shared" si="23"/>
        <v>29</v>
      </c>
      <c r="E144" s="112">
        <f t="shared" si="23"/>
        <v>26</v>
      </c>
      <c r="F144" s="112">
        <f t="shared" si="23"/>
        <v>26</v>
      </c>
      <c r="G144" s="112">
        <f t="shared" si="23"/>
        <v>25</v>
      </c>
      <c r="H144" s="112">
        <f t="shared" si="23"/>
        <v>24</v>
      </c>
      <c r="I144" s="112">
        <f t="shared" si="23"/>
        <v>26</v>
      </c>
      <c r="J144" s="111">
        <f t="shared" si="24"/>
        <v>186</v>
      </c>
    </row>
    <row r="145" spans="2:16" ht="15" customHeight="1">
      <c r="B145" s="114">
        <v>2025</v>
      </c>
      <c r="C145" s="113">
        <f t="shared" si="22"/>
        <v>30</v>
      </c>
      <c r="D145" s="112">
        <f t="shared" si="23"/>
        <v>30</v>
      </c>
      <c r="E145" s="112">
        <f t="shared" si="23"/>
        <v>29</v>
      </c>
      <c r="F145" s="112">
        <f t="shared" si="23"/>
        <v>26</v>
      </c>
      <c r="G145" s="112">
        <f t="shared" si="23"/>
        <v>26</v>
      </c>
      <c r="H145" s="112">
        <f t="shared" si="23"/>
        <v>26</v>
      </c>
      <c r="I145" s="112">
        <f t="shared" si="23"/>
        <v>28</v>
      </c>
      <c r="J145" s="111">
        <f t="shared" si="24"/>
        <v>195</v>
      </c>
    </row>
    <row r="146" spans="2:16" ht="15" customHeight="1">
      <c r="B146" s="114">
        <v>2026</v>
      </c>
      <c r="C146" s="113">
        <f t="shared" si="22"/>
        <v>32.632284382284382</v>
      </c>
      <c r="D146" s="112">
        <f t="shared" si="23"/>
        <v>30</v>
      </c>
      <c r="E146" s="112">
        <f t="shared" si="23"/>
        <v>30</v>
      </c>
      <c r="F146" s="112">
        <f t="shared" si="23"/>
        <v>29</v>
      </c>
      <c r="G146" s="112">
        <f t="shared" si="23"/>
        <v>26</v>
      </c>
      <c r="H146" s="112">
        <f t="shared" si="23"/>
        <v>26</v>
      </c>
      <c r="I146" s="112">
        <f t="shared" si="23"/>
        <v>29</v>
      </c>
      <c r="J146" s="111">
        <f t="shared" si="24"/>
        <v>202.63228438228438</v>
      </c>
    </row>
    <row r="147" spans="2:16" ht="15" customHeight="1">
      <c r="B147" s="114">
        <v>2027</v>
      </c>
      <c r="C147" s="113">
        <f t="shared" si="22"/>
        <v>33.562645687645691</v>
      </c>
      <c r="D147" s="112">
        <f t="shared" si="23"/>
        <v>33</v>
      </c>
      <c r="E147" s="112">
        <f t="shared" si="23"/>
        <v>30</v>
      </c>
      <c r="F147" s="112">
        <f t="shared" si="23"/>
        <v>30</v>
      </c>
      <c r="G147" s="112">
        <f t="shared" si="23"/>
        <v>29</v>
      </c>
      <c r="H147" s="112">
        <f t="shared" si="23"/>
        <v>26</v>
      </c>
      <c r="I147" s="112">
        <f t="shared" si="23"/>
        <v>29</v>
      </c>
      <c r="J147" s="111">
        <f t="shared" si="24"/>
        <v>210.5626456876457</v>
      </c>
    </row>
    <row r="148" spans="2:16" ht="15" customHeight="1">
      <c r="B148" s="114">
        <v>2028</v>
      </c>
      <c r="C148" s="113">
        <f t="shared" si="22"/>
        <v>34.493006993006993</v>
      </c>
      <c r="D148" s="112">
        <f t="shared" si="23"/>
        <v>34</v>
      </c>
      <c r="E148" s="112">
        <f t="shared" si="23"/>
        <v>33</v>
      </c>
      <c r="F148" s="112">
        <f t="shared" si="23"/>
        <v>30</v>
      </c>
      <c r="G148" s="112">
        <f t="shared" si="23"/>
        <v>30</v>
      </c>
      <c r="H148" s="112">
        <f t="shared" si="23"/>
        <v>29</v>
      </c>
      <c r="I148" s="112">
        <f t="shared" si="23"/>
        <v>29</v>
      </c>
      <c r="J148" s="111">
        <f t="shared" ref="J148:J152" si="25">SUM(C148:I148)</f>
        <v>219.49300699300699</v>
      </c>
    </row>
    <row r="149" spans="2:16" ht="15" customHeight="1">
      <c r="B149" s="114">
        <v>2029</v>
      </c>
      <c r="C149" s="113">
        <f t="shared" si="22"/>
        <v>34.493006993006993</v>
      </c>
      <c r="D149" s="112">
        <f t="shared" si="23"/>
        <v>34</v>
      </c>
      <c r="E149" s="112">
        <f t="shared" si="23"/>
        <v>33</v>
      </c>
      <c r="F149" s="112">
        <f t="shared" si="23"/>
        <v>32</v>
      </c>
      <c r="G149" s="112">
        <f t="shared" si="23"/>
        <v>29</v>
      </c>
      <c r="H149" s="112">
        <f t="shared" si="23"/>
        <v>30</v>
      </c>
      <c r="I149" s="112">
        <f t="shared" si="23"/>
        <v>31</v>
      </c>
      <c r="J149" s="111">
        <f t="shared" si="25"/>
        <v>223.49300699300699</v>
      </c>
    </row>
    <row r="150" spans="2:16" ht="15" customHeight="1">
      <c r="B150" s="114">
        <v>2030</v>
      </c>
      <c r="C150" s="113">
        <f t="shared" si="22"/>
        <v>35.423368298368302</v>
      </c>
      <c r="D150" s="112">
        <f t="shared" si="23"/>
        <v>33</v>
      </c>
      <c r="E150" s="112">
        <f t="shared" si="23"/>
        <v>33</v>
      </c>
      <c r="F150" s="112">
        <f t="shared" si="23"/>
        <v>32</v>
      </c>
      <c r="G150" s="112">
        <f t="shared" si="23"/>
        <v>31</v>
      </c>
      <c r="H150" s="112">
        <f t="shared" si="23"/>
        <v>28</v>
      </c>
      <c r="I150" s="112">
        <f t="shared" si="23"/>
        <v>32</v>
      </c>
      <c r="J150" s="111">
        <f t="shared" si="25"/>
        <v>224.4233682983683</v>
      </c>
    </row>
    <row r="151" spans="2:16" ht="15" customHeight="1">
      <c r="B151" s="114">
        <v>2031</v>
      </c>
      <c r="C151" s="113">
        <f t="shared" si="22"/>
        <v>35.423368298368302</v>
      </c>
      <c r="D151" s="112">
        <f t="shared" si="23"/>
        <v>35</v>
      </c>
      <c r="E151" s="112">
        <f t="shared" si="23"/>
        <v>33</v>
      </c>
      <c r="F151" s="112">
        <f t="shared" si="23"/>
        <v>33</v>
      </c>
      <c r="G151" s="112">
        <f t="shared" si="23"/>
        <v>31</v>
      </c>
      <c r="H151" s="112">
        <f t="shared" si="23"/>
        <v>30</v>
      </c>
      <c r="I151" s="112">
        <f t="shared" si="23"/>
        <v>30</v>
      </c>
      <c r="J151" s="111">
        <f t="shared" si="25"/>
        <v>227.4233682983683</v>
      </c>
    </row>
    <row r="152" spans="2:16" ht="15" customHeight="1">
      <c r="B152" s="114">
        <v>2032</v>
      </c>
      <c r="C152" s="113">
        <f t="shared" si="22"/>
        <v>35.423368298368302</v>
      </c>
      <c r="D152" s="112">
        <f t="shared" si="23"/>
        <v>35</v>
      </c>
      <c r="E152" s="112">
        <f t="shared" si="23"/>
        <v>34</v>
      </c>
      <c r="F152" s="112">
        <f t="shared" si="23"/>
        <v>32</v>
      </c>
      <c r="G152" s="112">
        <f t="shared" si="23"/>
        <v>32</v>
      </c>
      <c r="H152" s="112">
        <f t="shared" si="23"/>
        <v>31</v>
      </c>
      <c r="I152" s="112">
        <f t="shared" si="23"/>
        <v>33</v>
      </c>
      <c r="J152" s="111">
        <f t="shared" si="25"/>
        <v>232.4233682983683</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161.25903263403262</v>
      </c>
      <c r="D159" s="108">
        <f>J140</f>
        <v>152.25903263403262</v>
      </c>
      <c r="E159" s="108">
        <f>J141</f>
        <v>156.25903263403262</v>
      </c>
      <c r="F159" s="108">
        <f>J142</f>
        <v>162</v>
      </c>
      <c r="G159" s="108">
        <f>J143</f>
        <v>176</v>
      </c>
      <c r="H159" s="108">
        <f>J144</f>
        <v>186</v>
      </c>
      <c r="I159" s="108">
        <f>J145</f>
        <v>195</v>
      </c>
      <c r="J159" s="108">
        <f>J146</f>
        <v>202.63228438228438</v>
      </c>
      <c r="K159" s="108">
        <f>J147</f>
        <v>210.5626456876457</v>
      </c>
      <c r="L159" s="108">
        <f>J148</f>
        <v>219.49300699300699</v>
      </c>
      <c r="M159" s="108">
        <f>J149</f>
        <v>223.49300699300699</v>
      </c>
      <c r="N159" s="108">
        <f>J150</f>
        <v>224.4233682983683</v>
      </c>
      <c r="O159" s="108">
        <f>J151</f>
        <v>227.4233682983683</v>
      </c>
      <c r="P159" s="108">
        <f>J152</f>
        <v>232.4233682983683</v>
      </c>
    </row>
    <row r="160" spans="2:16" ht="15" customHeight="1">
      <c r="B160" s="107" t="s">
        <v>152</v>
      </c>
      <c r="C160" s="106">
        <f>VLOOKUP(C159,Capacity!$A$1:$C$645,2,TRUE)</f>
        <v>7</v>
      </c>
      <c r="D160" s="106">
        <f>VLOOKUP(D159,Capacity!$A$1:$C$645,2,TRUE)</f>
        <v>7</v>
      </c>
      <c r="E160" s="106">
        <f>VLOOKUP(E159,Capacity!$A$1:$C$645,2,TRUE)</f>
        <v>7</v>
      </c>
      <c r="F160" s="106">
        <f>VLOOKUP(F159,Capacity!$A$1:$C$645,2,TRUE)</f>
        <v>7</v>
      </c>
      <c r="G160" s="106">
        <f>VLOOKUP(G159,Capacity!$A$1:$C$645,2,TRUE)</f>
        <v>7</v>
      </c>
      <c r="H160" s="106">
        <f>VLOOKUP(H159,Capacity!$A$1:$C$645,2,TRUE)</f>
        <v>7</v>
      </c>
      <c r="I160" s="106">
        <f>VLOOKUP(I159,Capacity!$A$1:$C$645,2,TRUE)</f>
        <v>7</v>
      </c>
      <c r="J160" s="106">
        <f>VLOOKUP(J159,Capacity!$A$1:$C$645,2,TRUE)</f>
        <v>7</v>
      </c>
      <c r="K160" s="106">
        <f>VLOOKUP(K159,Capacity!$A$1:$C$645,2,TRUE)</f>
        <v>7</v>
      </c>
      <c r="L160" s="106">
        <f>VLOOKUP(L159,Capacity!$A$1:$C$645,2,TRUE)</f>
        <v>9</v>
      </c>
      <c r="M160" s="106">
        <f>VLOOKUP(M159,Capacity!$A$1:$C$645,2,TRUE)</f>
        <v>9</v>
      </c>
      <c r="N160" s="106">
        <f>VLOOKUP(N159,Capacity!$A$1:$C$645,2,TRUE)</f>
        <v>9</v>
      </c>
      <c r="O160" s="106">
        <f>VLOOKUP(O159,Capacity!$A$1:$C$645,2,TRUE)</f>
        <v>9</v>
      </c>
      <c r="P160" s="106">
        <f>VLOOKUP(P159,Capacity!$A$1:$C$645,2,TRUE)</f>
        <v>10</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421</v>
      </c>
      <c r="D169" s="97">
        <f>VLOOKUP($E$3,'Catchment Births'!$A$1:$U$90,11,FALSE)</f>
        <v>442</v>
      </c>
      <c r="E169" s="97">
        <f>VLOOKUP($E$3,'Catchment Births'!$A$1:$U$90,12,FALSE)</f>
        <v>484</v>
      </c>
      <c r="F169" s="97">
        <f>VLOOKUP($E$3,'Catchment Births'!$A$1:$U$90,13,FALSE)</f>
        <v>506</v>
      </c>
      <c r="G169" s="97">
        <f>VLOOKUP($E$3,'Catchment Births'!$A$1:$U$90,14,FALSE)</f>
        <v>518</v>
      </c>
      <c r="H169" s="97">
        <f>VLOOKUP($E$3,'Catchment Births'!$A$1:$U$90,15,FALSE)</f>
        <v>524</v>
      </c>
      <c r="I169" s="97">
        <f>VLOOKUP($E$3,'Catchment Births'!$A$1:$U$90,16,FALSE)</f>
        <v>528</v>
      </c>
      <c r="J169" s="97">
        <f>VLOOKUP($E$3,'Catchment Births'!$A$1:$U$90,17,FALSE)</f>
        <v>541</v>
      </c>
      <c r="K169" s="97">
        <f>VLOOKUP($E$3,'Catchment Births'!$A$1:$U$90,18,FALSE)</f>
        <v>536</v>
      </c>
      <c r="L169" s="97">
        <f>VLOOKUP($E$3,'Catchment Births'!$A$1:$U$90,19,FALSE)</f>
        <v>566</v>
      </c>
      <c r="M169" s="97">
        <f>VLOOKUP($E$3,'Catchment Births'!$A$1:$U$90,20,FALSE)</f>
        <v>534</v>
      </c>
      <c r="N169" s="97">
        <f>VLOOKUP($E$3,'Catchment Births'!$A$1:$U$90,21,FALSE)</f>
        <v>544</v>
      </c>
    </row>
    <row r="170" spans="2:14" ht="58.5" customHeight="1">
      <c r="B170" s="103" t="str">
        <f>"P1 "&amp;A35&amp;" Catchment Population (Actual)"</f>
        <v>P1 RC Catchment Population (Actual)</v>
      </c>
      <c r="C170" s="102" t="e">
        <v>#REF!</v>
      </c>
      <c r="D170" s="102">
        <v>21</v>
      </c>
      <c r="E170" s="102">
        <v>27</v>
      </c>
      <c r="F170" s="102">
        <v>28</v>
      </c>
      <c r="G170" s="102">
        <v>27</v>
      </c>
      <c r="H170" s="102">
        <v>19</v>
      </c>
      <c r="I170" s="102">
        <v>27</v>
      </c>
      <c r="J170" s="308">
        <f>VLOOKUP(E3,'Catchment Projections'!A1:BU92,42,FALSE)</f>
        <v>26</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180</v>
      </c>
      <c r="C172" s="99"/>
      <c r="D172" s="98"/>
      <c r="E172" s="98"/>
      <c r="F172" s="98"/>
      <c r="G172" s="97"/>
      <c r="H172" s="96"/>
      <c r="I172" s="96">
        <f>I170</f>
        <v>27</v>
      </c>
      <c r="J172" s="96" t="e">
        <f>#REF!</f>
        <v>#REF!</v>
      </c>
      <c r="K172" s="96">
        <f>D51</f>
        <v>25</v>
      </c>
      <c r="L172" s="96">
        <f>E51</f>
        <v>25</v>
      </c>
      <c r="M172" s="96">
        <f>F51</f>
        <v>25</v>
      </c>
      <c r="N172" s="96">
        <f>G51</f>
        <v>25</v>
      </c>
    </row>
    <row r="173" spans="2:14" ht="12.75">
      <c r="B173" s="62"/>
      <c r="C173" s="62"/>
      <c r="D173" s="62"/>
      <c r="E173" s="62"/>
      <c r="F173" s="62"/>
      <c r="G173" s="62"/>
      <c r="H173" s="62"/>
      <c r="I173" s="62"/>
      <c r="J173" s="62"/>
      <c r="K173" s="62"/>
    </row>
    <row r="174" spans="2:14" ht="15" customHeight="1">
      <c r="B174" s="64" t="str">
        <f>"Table 5: "&amp;E3&amp;" Roll by Stage, 2002-2018"</f>
        <v>Table 5: Fox Covert RC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20</v>
      </c>
      <c r="D177" s="93">
        <v>22</v>
      </c>
      <c r="E177" s="93">
        <v>23</v>
      </c>
      <c r="F177" s="93">
        <v>28</v>
      </c>
      <c r="G177" s="93">
        <v>22</v>
      </c>
      <c r="H177" s="93">
        <v>26</v>
      </c>
      <c r="I177" s="93">
        <v>23</v>
      </c>
      <c r="J177" s="92">
        <v>164</v>
      </c>
      <c r="K177" s="62"/>
    </row>
    <row r="178" spans="2:11" ht="15" customHeight="1">
      <c r="B178" s="94">
        <v>2003</v>
      </c>
      <c r="C178" s="93">
        <v>20</v>
      </c>
      <c r="D178" s="93">
        <v>21</v>
      </c>
      <c r="E178" s="93">
        <v>21</v>
      </c>
      <c r="F178" s="93">
        <v>23</v>
      </c>
      <c r="G178" s="93">
        <v>28</v>
      </c>
      <c r="H178" s="93">
        <v>22</v>
      </c>
      <c r="I178" s="93">
        <v>23</v>
      </c>
      <c r="J178" s="92">
        <v>158</v>
      </c>
      <c r="K178" s="62"/>
    </row>
    <row r="179" spans="2:11" customFormat="1" ht="15" customHeight="1">
      <c r="B179" s="94">
        <v>2004</v>
      </c>
      <c r="C179" s="95">
        <v>20</v>
      </c>
      <c r="D179" s="95">
        <v>19</v>
      </c>
      <c r="E179" s="95">
        <v>17</v>
      </c>
      <c r="F179" s="95">
        <v>22</v>
      </c>
      <c r="G179" s="95">
        <v>21</v>
      </c>
      <c r="H179" s="95">
        <v>27</v>
      </c>
      <c r="I179" s="95">
        <v>22</v>
      </c>
      <c r="J179" s="92">
        <v>148</v>
      </c>
      <c r="K179" s="62"/>
    </row>
    <row r="180" spans="2:11" customFormat="1" ht="15" customHeight="1">
      <c r="B180" s="94">
        <v>2005</v>
      </c>
      <c r="C180" s="93">
        <v>29</v>
      </c>
      <c r="D180" s="93">
        <v>20</v>
      </c>
      <c r="E180" s="93">
        <v>18</v>
      </c>
      <c r="F180" s="93">
        <v>22</v>
      </c>
      <c r="G180" s="93">
        <v>21</v>
      </c>
      <c r="H180" s="93">
        <v>20</v>
      </c>
      <c r="I180" s="93">
        <v>26</v>
      </c>
      <c r="J180" s="92">
        <v>156</v>
      </c>
      <c r="K180" s="62"/>
    </row>
    <row r="181" spans="2:11" customFormat="1" ht="15" customHeight="1">
      <c r="B181" s="94">
        <v>2006</v>
      </c>
      <c r="C181" s="93">
        <v>15</v>
      </c>
      <c r="D181" s="93">
        <v>28</v>
      </c>
      <c r="E181" s="93">
        <v>21</v>
      </c>
      <c r="F181" s="93">
        <v>16</v>
      </c>
      <c r="G181" s="93">
        <v>22</v>
      </c>
      <c r="H181" s="93">
        <v>21</v>
      </c>
      <c r="I181" s="93">
        <v>20</v>
      </c>
      <c r="J181" s="92">
        <v>143</v>
      </c>
      <c r="K181" s="62"/>
    </row>
    <row r="182" spans="2:11" customFormat="1" ht="15" customHeight="1">
      <c r="B182" s="94">
        <v>2007</v>
      </c>
      <c r="C182" s="93">
        <v>21</v>
      </c>
      <c r="D182" s="93">
        <v>16</v>
      </c>
      <c r="E182" s="93">
        <v>26</v>
      </c>
      <c r="F182" s="93">
        <v>19</v>
      </c>
      <c r="G182" s="93">
        <v>21</v>
      </c>
      <c r="H182" s="93">
        <v>22</v>
      </c>
      <c r="I182" s="93">
        <v>20</v>
      </c>
      <c r="J182" s="92">
        <v>145</v>
      </c>
      <c r="K182" s="62"/>
    </row>
    <row r="183" spans="2:11" customFormat="1" ht="15" customHeight="1">
      <c r="B183" s="94">
        <v>2008</v>
      </c>
      <c r="C183" s="93">
        <v>20</v>
      </c>
      <c r="D183" s="93">
        <v>23</v>
      </c>
      <c r="E183" s="93">
        <v>18</v>
      </c>
      <c r="F183" s="93">
        <v>27</v>
      </c>
      <c r="G183" s="93">
        <v>20</v>
      </c>
      <c r="H183" s="93">
        <v>20</v>
      </c>
      <c r="I183" s="93">
        <v>21</v>
      </c>
      <c r="J183" s="92">
        <v>149</v>
      </c>
      <c r="K183" s="62"/>
    </row>
    <row r="184" spans="2:11" customFormat="1" ht="15" customHeight="1">
      <c r="B184" s="94">
        <v>2009</v>
      </c>
      <c r="C184" s="93">
        <v>21</v>
      </c>
      <c r="D184" s="93">
        <v>18</v>
      </c>
      <c r="E184" s="93">
        <v>23</v>
      </c>
      <c r="F184" s="93">
        <v>17</v>
      </c>
      <c r="G184" s="93">
        <v>26</v>
      </c>
      <c r="H184" s="93">
        <v>23</v>
      </c>
      <c r="I184" s="93">
        <v>22</v>
      </c>
      <c r="J184" s="94">
        <v>150</v>
      </c>
      <c r="K184" s="62"/>
    </row>
    <row r="185" spans="2:11" customFormat="1" ht="15" customHeight="1">
      <c r="B185" s="94">
        <v>2010</v>
      </c>
      <c r="C185" s="93">
        <v>17</v>
      </c>
      <c r="D185" s="93">
        <v>20</v>
      </c>
      <c r="E185" s="93">
        <v>20</v>
      </c>
      <c r="F185" s="93">
        <v>24</v>
      </c>
      <c r="G185" s="93">
        <v>17</v>
      </c>
      <c r="H185" s="93">
        <v>28</v>
      </c>
      <c r="I185" s="93">
        <v>24</v>
      </c>
      <c r="J185" s="92">
        <v>150</v>
      </c>
      <c r="K185" s="62"/>
    </row>
    <row r="186" spans="2:11" customFormat="1" ht="15" customHeight="1">
      <c r="B186" s="94">
        <v>2011</v>
      </c>
      <c r="C186" s="93">
        <v>30</v>
      </c>
      <c r="D186" s="93">
        <v>18</v>
      </c>
      <c r="E186" s="93">
        <v>22</v>
      </c>
      <c r="F186" s="93">
        <v>20</v>
      </c>
      <c r="G186" s="93">
        <v>25</v>
      </c>
      <c r="H186" s="93">
        <v>21</v>
      </c>
      <c r="I186" s="93">
        <v>26</v>
      </c>
      <c r="J186" s="92">
        <v>162</v>
      </c>
      <c r="K186" s="62"/>
    </row>
    <row r="187" spans="2:11" customFormat="1" ht="15" customHeight="1">
      <c r="B187" s="94">
        <v>2012</v>
      </c>
      <c r="C187" s="93">
        <v>28</v>
      </c>
      <c r="D187" s="93">
        <v>29</v>
      </c>
      <c r="E187" s="93">
        <v>18</v>
      </c>
      <c r="F187" s="93">
        <v>22</v>
      </c>
      <c r="G187" s="93">
        <v>22</v>
      </c>
      <c r="H187" s="93">
        <v>25</v>
      </c>
      <c r="I187" s="93">
        <v>22</v>
      </c>
      <c r="J187" s="92">
        <v>166</v>
      </c>
      <c r="K187" s="62"/>
    </row>
    <row r="188" spans="2:11" customFormat="1" ht="15" customHeight="1">
      <c r="B188" s="94">
        <v>2013</v>
      </c>
      <c r="C188" s="93">
        <v>29</v>
      </c>
      <c r="D188" s="93">
        <v>29</v>
      </c>
      <c r="E188" s="93">
        <v>29</v>
      </c>
      <c r="F188" s="93">
        <v>17</v>
      </c>
      <c r="G188" s="93">
        <v>22</v>
      </c>
      <c r="H188" s="93">
        <v>21</v>
      </c>
      <c r="I188" s="93">
        <v>27</v>
      </c>
      <c r="J188" s="94">
        <v>174</v>
      </c>
      <c r="K188" s="62"/>
    </row>
    <row r="189" spans="2:11" customFormat="1" ht="15" customHeight="1">
      <c r="B189" s="94">
        <v>2014</v>
      </c>
      <c r="C189" s="93">
        <v>22</v>
      </c>
      <c r="D189" s="93">
        <v>30</v>
      </c>
      <c r="E189" s="93">
        <v>27</v>
      </c>
      <c r="F189" s="93">
        <v>28</v>
      </c>
      <c r="G189" s="93">
        <v>18</v>
      </c>
      <c r="H189" s="93">
        <v>18</v>
      </c>
      <c r="I189" s="93">
        <v>22</v>
      </c>
      <c r="J189" s="92">
        <v>165</v>
      </c>
      <c r="K189" s="65"/>
    </row>
    <row r="190" spans="2:11" customFormat="1" ht="15" customHeight="1">
      <c r="B190" s="94">
        <v>2015</v>
      </c>
      <c r="C190" s="93">
        <v>25</v>
      </c>
      <c r="D190" s="93">
        <v>28</v>
      </c>
      <c r="E190" s="93">
        <v>29</v>
      </c>
      <c r="F190" s="93">
        <v>29</v>
      </c>
      <c r="G190" s="93">
        <v>27</v>
      </c>
      <c r="H190" s="93">
        <v>16</v>
      </c>
      <c r="I190" s="93">
        <v>20</v>
      </c>
      <c r="J190" s="92">
        <v>174</v>
      </c>
      <c r="K190" s="65"/>
    </row>
    <row r="191" spans="2:11" customFormat="1" ht="15" customHeight="1">
      <c r="B191" s="94">
        <v>2016</v>
      </c>
      <c r="C191" s="93">
        <v>25</v>
      </c>
      <c r="D191" s="93">
        <v>23</v>
      </c>
      <c r="E191" s="93">
        <v>30</v>
      </c>
      <c r="F191" s="93">
        <v>27</v>
      </c>
      <c r="G191" s="93">
        <v>22</v>
      </c>
      <c r="H191" s="93">
        <v>25</v>
      </c>
      <c r="I191" s="93">
        <v>19</v>
      </c>
      <c r="J191" s="92">
        <v>171</v>
      </c>
      <c r="K191" s="65"/>
    </row>
    <row r="192" spans="2:11" ht="15" customHeight="1">
      <c r="B192" s="94">
        <v>2017</v>
      </c>
      <c r="C192" s="93">
        <f>VLOOKUP($E$3,Rolls!A1:FA90,42,FALSE)</f>
        <v>24</v>
      </c>
      <c r="D192" s="93">
        <f>VLOOKUP($E$3,Rolls!A1:FA90,43,FALSE)</f>
        <v>24</v>
      </c>
      <c r="E192" s="93">
        <f>VLOOKUP($E$3,Rolls!A1:FA90,44,FALSE)</f>
        <v>27</v>
      </c>
      <c r="F192" s="93">
        <f>VLOOKUP($E$3,Rolls!A1:FA90,45,FALSE)</f>
        <v>25</v>
      </c>
      <c r="G192" s="93">
        <f>VLOOKUP($E$3,Rolls!A1:FA90,46,FALSE)</f>
        <v>26</v>
      </c>
      <c r="H192" s="93">
        <f>VLOOKUP($E$3,Rolls!A1:FA90,47,FALSE)</f>
        <v>24</v>
      </c>
      <c r="I192" s="93">
        <f>VLOOKUP($E$3,Rolls!A1:FA90,48,FALSE)</f>
        <v>30</v>
      </c>
      <c r="J192" s="92">
        <f>VLOOKUP($E$3,Rolls!A1:FA90,49,FALSE)</f>
        <v>180</v>
      </c>
      <c r="K192" s="65"/>
    </row>
    <row r="193" spans="2:11" ht="15" customHeight="1">
      <c r="B193" s="94">
        <v>2018</v>
      </c>
      <c r="C193" s="93">
        <f>VLOOKUP($E$3,Rolls!A1:FA90,50,FALSE)</f>
        <v>22</v>
      </c>
      <c r="D193" s="93">
        <f>VLOOKUP($E$3,Rolls!A1:FA90,51,FALSE)</f>
        <v>24</v>
      </c>
      <c r="E193" s="93">
        <f>VLOOKUP($E$3,Rolls!A1:FA90,52,FALSE)</f>
        <v>22</v>
      </c>
      <c r="F193" s="93">
        <f>VLOOKUP($E$3,Rolls!A1:FA90,53,FALSE)</f>
        <v>24</v>
      </c>
      <c r="G193" s="93">
        <f>VLOOKUP($E$3,Rolls!A1:FA90,54,FALSE)</f>
        <v>21</v>
      </c>
      <c r="H193" s="93">
        <f>VLOOKUP($E$3,Rolls!A1:FA90,55,FALSE)</f>
        <v>26</v>
      </c>
      <c r="I193" s="93">
        <f>VLOOKUP($E$3,Rolls!A1:FA90,56,FALSE)</f>
        <v>23</v>
      </c>
      <c r="J193" s="92">
        <f>VLOOKUP($E$3,Rolls!A1:FA90,57,FALSE)</f>
        <v>162</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35</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Gilmerton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546 Pupils (19 classes)</v>
      </c>
      <c r="G12" s="16"/>
      <c r="H12" s="16"/>
    </row>
    <row r="13" spans="2:10" ht="15" customHeight="1">
      <c r="C13" s="16"/>
      <c r="D13" s="16"/>
      <c r="E13" s="16"/>
      <c r="F13" s="16"/>
      <c r="G13" s="16"/>
      <c r="H13" s="16"/>
    </row>
    <row r="14" spans="2:10" ht="15" customHeight="1">
      <c r="B14" s="15" t="str">
        <f>"Figure 1: "&amp;E3&amp;" Roll, 2002-2015"</f>
        <v>Figure 1: Gilmerton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Gilmerton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76</v>
      </c>
      <c r="E49" s="108">
        <f>VLOOKUP($E$3,'Catchment Projections'!$A$1:$BU$90,46,FALSE)</f>
        <v>88</v>
      </c>
      <c r="F49" s="108">
        <f>VLOOKUP($E$3,'Catchment Projections'!$A$1:$BU$90,47,FALSE)</f>
        <v>73</v>
      </c>
      <c r="G49" s="108">
        <f>VLOOKUP($E$3,'Catchment Projections'!$A$1:$BU$90,48,FALSE)</f>
        <v>76</v>
      </c>
      <c r="H49" s="133">
        <f>VLOOKUP($E$3,'Catchment Projections'!$A$1:$BU$90,49,FALSE)</f>
        <v>80</v>
      </c>
      <c r="I49" s="133">
        <f>VLOOKUP($E$3,'Catchment Projections'!$A$1:$BU$90,50,FALSE)</f>
        <v>81</v>
      </c>
      <c r="J49" s="133">
        <f>VLOOKUP($E$3,'Catchment Projections'!$A$1:$BU$90,51,FALSE)</f>
        <v>82</v>
      </c>
      <c r="K49" s="133">
        <f>VLOOKUP($E$3,'Catchment Projections'!$A$1:$BU$90,52,FALSE)</f>
        <v>82</v>
      </c>
      <c r="L49" s="133">
        <f>VLOOKUP($E$3,'Catchment Projections'!$A$1:$BU$90,53,FALSE)</f>
        <v>83</v>
      </c>
      <c r="M49" s="133">
        <f>VLOOKUP($E$3,'Catchment Projections'!$A$1:$BU$90,54,FALSE)</f>
        <v>83</v>
      </c>
      <c r="N49" s="133">
        <f>VLOOKUP($E$3,'Catchment Projections'!$A$1:$BU$90,55,FALSE)</f>
        <v>84</v>
      </c>
      <c r="O49" s="133">
        <f>VLOOKUP($E$3,'Catchment Projections'!$A$1:$BU$90,56,FALSE)</f>
        <v>84</v>
      </c>
      <c r="P49" s="133">
        <f>VLOOKUP($E$3,'Catchment Projections'!$A$1:$BU$90,57,FALSE)</f>
        <v>84</v>
      </c>
      <c r="Q49" s="133">
        <f>VLOOKUP($E$3,'Catchment Projections'!$A$1:$BU$90,58,FALSE)</f>
        <v>84</v>
      </c>
    </row>
    <row r="50" spans="2:17" ht="15" customHeight="1" thickBot="1">
      <c r="B50" s="410" t="s">
        <v>141</v>
      </c>
      <c r="C50" s="411"/>
      <c r="D50" s="286">
        <f>VLOOKUP(E3,'Housing Generation'!$A$3:$DQ$90,10,FALSE)</f>
        <v>5</v>
      </c>
      <c r="E50" s="286">
        <f>VLOOKUP(E3,'Housing Generation'!$A$3:$DQ$90,18,FALSE)</f>
        <v>14</v>
      </c>
      <c r="F50" s="286">
        <f>VLOOKUP(E3,'Housing Generation'!$A$3:$DQ$90,26,FALSE)</f>
        <v>25</v>
      </c>
      <c r="G50" s="243">
        <f>VLOOKUP(E3,'Housing Generation'!$A$3:$DQ$90,34,FALSE)</f>
        <v>35</v>
      </c>
      <c r="H50" s="133">
        <f>VLOOKUP(E3,'Housing Generation'!$A$3:$DQ$90,42,FALSE)</f>
        <v>42</v>
      </c>
      <c r="I50" s="133">
        <f>VLOOKUP(E3,'Housing Generation'!$A$3:$DQ$90,50,FALSE)</f>
        <v>49</v>
      </c>
      <c r="J50" s="133">
        <f>VLOOKUP(E3,'Housing Generation'!$A$3:$CK$90,58,FALSE)</f>
        <v>54</v>
      </c>
      <c r="K50" s="133">
        <f>VLOOKUP(E3,'Housing Generation'!$A$3:$CK$90,66,FALSE)</f>
        <v>58</v>
      </c>
      <c r="L50" s="133">
        <f>VLOOKUP(E3,'Housing Generation'!$A$3:$DQ$90,74,FALSE)</f>
        <v>61</v>
      </c>
      <c r="M50" s="133">
        <f>VLOOKUP(E3,'Housing Generation'!$A$3:$DQ$90,82,FALSE)</f>
        <v>61</v>
      </c>
      <c r="N50" s="133">
        <f>VLOOKUP(E3,'Housing Generation'!$A$3:$DQ$90,90,FALSE)</f>
        <v>61</v>
      </c>
      <c r="O50" s="133">
        <f>VLOOKUP(E3,'Housing Generation'!$A$3:$DQ$90,98,FALSE)</f>
        <v>61</v>
      </c>
      <c r="P50" s="133">
        <f>VLOOKUP(E3,'Housing Generation'!$A$3:$DQ$90,106,FALSE)</f>
        <v>61</v>
      </c>
      <c r="Q50" s="133">
        <f>VLOOKUP(E3,'Housing Generation'!$A$3:$DQ$90,114,FALSE)</f>
        <v>61</v>
      </c>
    </row>
    <row r="51" spans="2:17" ht="15" customHeight="1" thickTop="1">
      <c r="B51" s="421" t="s">
        <v>130</v>
      </c>
      <c r="C51" s="422"/>
      <c r="D51" s="47">
        <f t="shared" ref="D51:Q51" si="0">SUM(D49:D50)</f>
        <v>81</v>
      </c>
      <c r="E51" s="47">
        <f t="shared" si="0"/>
        <v>102</v>
      </c>
      <c r="F51" s="80">
        <f t="shared" si="0"/>
        <v>98</v>
      </c>
      <c r="G51" s="244">
        <f t="shared" si="0"/>
        <v>111</v>
      </c>
      <c r="H51" s="71">
        <f t="shared" si="0"/>
        <v>122</v>
      </c>
      <c r="I51" s="71">
        <f t="shared" si="0"/>
        <v>130</v>
      </c>
      <c r="J51" s="71">
        <f t="shared" si="0"/>
        <v>136</v>
      </c>
      <c r="K51" s="71">
        <f t="shared" si="0"/>
        <v>140</v>
      </c>
      <c r="L51" s="71">
        <f t="shared" si="0"/>
        <v>144</v>
      </c>
      <c r="M51" s="71">
        <f t="shared" si="0"/>
        <v>144</v>
      </c>
      <c r="N51" s="71">
        <f t="shared" si="0"/>
        <v>145</v>
      </c>
      <c r="O51" s="71">
        <f t="shared" si="0"/>
        <v>145</v>
      </c>
      <c r="P51" s="71">
        <f t="shared" si="0"/>
        <v>145</v>
      </c>
      <c r="Q51" s="71">
        <f t="shared" si="0"/>
        <v>145</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93</v>
      </c>
      <c r="D60" s="358">
        <f>VLOOKUP($E$3,'Catchment Projections'!$A$1:$BZ$90,74,FALSE)</f>
        <v>79</v>
      </c>
      <c r="E60" s="303">
        <f>D60/C60</f>
        <v>0.84946236559139787</v>
      </c>
      <c r="G60" s="132">
        <v>2014</v>
      </c>
      <c r="H60" s="395">
        <f>VLOOKUP($G$60,$B$177:$C$215, 2, FALSE)</f>
        <v>91</v>
      </c>
      <c r="I60" s="120">
        <f>H60-D60</f>
        <v>12</v>
      </c>
      <c r="J60" s="121">
        <f>I60/H60</f>
        <v>0.13186813186813187</v>
      </c>
    </row>
    <row r="61" spans="2:17" ht="15" customHeight="1">
      <c r="B61" s="132">
        <v>2015</v>
      </c>
      <c r="C61" s="359">
        <f>VLOOKUP($E$3,'Catchment Projections'!$A$1:$BZ$90,41,FALSE)</f>
        <v>87</v>
      </c>
      <c r="D61" s="358">
        <f>VLOOKUP($E$3,'Catchment Projections'!$A$1:$BZ$90,75,FALSE)</f>
        <v>69</v>
      </c>
      <c r="E61" s="303">
        <f>D61/C61</f>
        <v>0.7931034482758621</v>
      </c>
      <c r="G61" s="132">
        <v>2015</v>
      </c>
      <c r="H61" s="395">
        <f>VLOOKUP($G$61,$B$177:$C$215, 2, FALSE)</f>
        <v>72</v>
      </c>
      <c r="I61" s="120">
        <f>H61-D61</f>
        <v>3</v>
      </c>
      <c r="J61" s="121">
        <f>I61/H61</f>
        <v>4.1666666666666664E-2</v>
      </c>
    </row>
    <row r="62" spans="2:17" ht="15" customHeight="1">
      <c r="B62" s="131">
        <v>2016</v>
      </c>
      <c r="C62" s="359">
        <f>VLOOKUP($E$3,'Catchment Projections'!$A$1:$BZ$90,42,FALSE)</f>
        <v>63</v>
      </c>
      <c r="D62" s="358">
        <f>VLOOKUP($E$3,'Catchment Projections'!$A$1:$BZ$90,76,FALSE)</f>
        <v>55</v>
      </c>
      <c r="E62" s="57">
        <f>D62/C62</f>
        <v>0.87301587301587302</v>
      </c>
      <c r="G62" s="131">
        <v>2016</v>
      </c>
      <c r="H62" s="395">
        <f>VLOOKUP($G$62,$B$177:$C$215, 2, FALSE)</f>
        <v>62</v>
      </c>
      <c r="I62" s="120">
        <f>H62-D62</f>
        <v>7</v>
      </c>
      <c r="J62" s="121">
        <f>I62/H62</f>
        <v>0.11290322580645161</v>
      </c>
    </row>
    <row r="63" spans="2:17" ht="15" customHeight="1">
      <c r="B63" s="114">
        <v>2017</v>
      </c>
      <c r="C63" s="359">
        <f>VLOOKUP($E$3,'Catchment Projections'!$A$1:$BZ$90,43,FALSE)</f>
        <v>61</v>
      </c>
      <c r="D63" s="358">
        <f>VLOOKUP($E$3,'Catchment Projections'!$A$1:$BZ$90,77,FALSE)</f>
        <v>52</v>
      </c>
      <c r="E63" s="304">
        <f>D63/C63</f>
        <v>0.85245901639344257</v>
      </c>
      <c r="G63" s="114">
        <v>2017</v>
      </c>
      <c r="H63" s="395">
        <f>VLOOKUP($G$63,$B$177:$C$215, 2, FALSE)</f>
        <v>63</v>
      </c>
      <c r="I63" s="120">
        <f>H63-D63</f>
        <v>11</v>
      </c>
      <c r="J63" s="121">
        <f>I63/H63</f>
        <v>0.17460317460317459</v>
      </c>
    </row>
    <row r="64" spans="2:17" ht="15" customHeight="1">
      <c r="B64" s="114">
        <v>2018</v>
      </c>
      <c r="C64" s="359">
        <f>VLOOKUP($E$3,'Catchment Projections'!$A$1:$BZ$90,44,FALSE)</f>
        <v>71</v>
      </c>
      <c r="D64" s="358">
        <f>VLOOKUP($E$3,'Catchment Projections'!$A$1:$BZ$90,78,FALSE)</f>
        <v>64</v>
      </c>
      <c r="E64" s="305">
        <f>D64/C64</f>
        <v>0.90140845070422537</v>
      </c>
      <c r="G64" s="114">
        <v>2018</v>
      </c>
      <c r="H64" s="395">
        <f>VLOOKUP($G$64,$B$177:$C$215, 2, FALSE)</f>
        <v>81</v>
      </c>
      <c r="I64" s="120">
        <f>H64-D64</f>
        <v>17</v>
      </c>
      <c r="J64" s="121">
        <f>I64/H64</f>
        <v>0.20987654320987653</v>
      </c>
    </row>
    <row r="65" spans="2:10" ht="15" customHeight="1">
      <c r="B65" s="412" t="s">
        <v>136</v>
      </c>
      <c r="C65" s="413"/>
      <c r="D65" s="414"/>
      <c r="E65" s="137">
        <f>IF((AVERAGE(E62:E64))="#DIV/0!","n/a",(AVERAGE(E62:E64)))</f>
        <v>0.87562778003784703</v>
      </c>
      <c r="G65" s="415" t="s">
        <v>137</v>
      </c>
      <c r="H65" s="416"/>
      <c r="I65" s="138">
        <f>MEDIAN(I60:I64)</f>
        <v>11</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81</v>
      </c>
      <c r="D70" s="408"/>
      <c r="E70" s="122">
        <f>E65</f>
        <v>0.87562778003784703</v>
      </c>
      <c r="F70" s="120">
        <f t="shared" ref="F70:F83" si="1">C70*$E$65</f>
        <v>70.925850183065606</v>
      </c>
      <c r="G70" s="118">
        <f>IF(F70&lt;26,25,IF(F70&gt;135,140,IF(F70&gt;130,135,IF(F70&gt;125,130,IF(F70&gt;120,125,IF(F70&gt;115,120,IF(F70&gt;110,115,IF(F70&gt;105,110,IF(F70&gt;100,105,IF(F70&gt;99,100,IF(F70&gt;90,99,IF(F70&gt;75,90,IF(F70&gt;72,75,IF(F70&gt;66,72,IF(F70&gt;60,66,IF(F70&gt;50,60,IF(F70&gt;30,50,IF(F70&gt;25,30,0))))))))))))))))))</f>
        <v>72</v>
      </c>
      <c r="H70" s="119">
        <f t="shared" ref="H70:H83" si="2">G70-F70</f>
        <v>1.0741498169343942</v>
      </c>
      <c r="I70" s="118" t="str">
        <f>IF(I$65&lt;H70, "NO", "YES")</f>
        <v>YES</v>
      </c>
      <c r="J70" s="117">
        <f t="shared" ref="J70:J83" si="3">IF(I70="YES",G70,(MIN((SUM(F70,$I$65)),G70)))</f>
        <v>72</v>
      </c>
    </row>
    <row r="71" spans="2:10" ht="15" customHeight="1">
      <c r="B71" s="114">
        <v>2020</v>
      </c>
      <c r="C71" s="433">
        <f>E51</f>
        <v>102</v>
      </c>
      <c r="D71" s="408"/>
      <c r="E71" s="121">
        <f>E65</f>
        <v>0.87562778003784703</v>
      </c>
      <c r="F71" s="120">
        <f t="shared" si="1"/>
        <v>89.314033563860391</v>
      </c>
      <c r="G71" s="118">
        <f t="shared" ref="G71:G83" si="4">IF(F71&lt;26,25,IF(F71&gt;135,140,IF(F71&gt;130,135,IF(F71&gt;125,130,IF(F71&gt;120,125,IF(F71&gt;115,120,IF(F71&gt;110,115,IF(F71&gt;105,110,IF(F71&gt;100,105,IF(F71&gt;99,100,IF(F71&gt;90,99,IF(F71&gt;75,90,IF(F71&gt;72,75,IF(F71&gt;66,72,IF(F71&gt;60,66,IF(F71&gt;50,60,IF(F71&gt;30,50,IF(F71&gt;25,30,0))))))))))))))))))</f>
        <v>90</v>
      </c>
      <c r="H71" s="119">
        <f t="shared" si="2"/>
        <v>0.6859664361396085</v>
      </c>
      <c r="I71" s="118" t="str">
        <f t="shared" ref="I71:I83" si="5">IF(I$65&lt;H71, "NO", "YES")</f>
        <v>YES</v>
      </c>
      <c r="J71" s="117">
        <f t="shared" si="3"/>
        <v>90</v>
      </c>
    </row>
    <row r="72" spans="2:10" ht="15" customHeight="1">
      <c r="B72" s="114">
        <v>2021</v>
      </c>
      <c r="C72" s="430">
        <f>F51</f>
        <v>98</v>
      </c>
      <c r="D72" s="431"/>
      <c r="E72" s="121">
        <f>E65</f>
        <v>0.87562778003784703</v>
      </c>
      <c r="F72" s="120">
        <f t="shared" si="1"/>
        <v>85.811522443709009</v>
      </c>
      <c r="G72" s="118">
        <f t="shared" si="4"/>
        <v>90</v>
      </c>
      <c r="H72" s="119">
        <f t="shared" si="2"/>
        <v>4.1884775562909908</v>
      </c>
      <c r="I72" s="118" t="str">
        <f t="shared" si="5"/>
        <v>YES</v>
      </c>
      <c r="J72" s="117">
        <f t="shared" si="3"/>
        <v>90</v>
      </c>
    </row>
    <row r="73" spans="2:10" ht="15" customHeight="1">
      <c r="B73" s="114">
        <v>2022</v>
      </c>
      <c r="C73" s="430">
        <f>G51</f>
        <v>111</v>
      </c>
      <c r="D73" s="431"/>
      <c r="E73" s="121">
        <f>E65</f>
        <v>0.87562778003784703</v>
      </c>
      <c r="F73" s="120">
        <f t="shared" si="1"/>
        <v>97.194683584201016</v>
      </c>
      <c r="G73" s="118">
        <f t="shared" si="4"/>
        <v>99</v>
      </c>
      <c r="H73" s="119">
        <f t="shared" si="2"/>
        <v>1.8053164157989841</v>
      </c>
      <c r="I73" s="118" t="str">
        <f t="shared" si="5"/>
        <v>YES</v>
      </c>
      <c r="J73" s="117">
        <f t="shared" si="3"/>
        <v>99</v>
      </c>
    </row>
    <row r="74" spans="2:10" ht="15" customHeight="1">
      <c r="B74" s="114">
        <v>2023</v>
      </c>
      <c r="C74" s="430">
        <f>H51</f>
        <v>122</v>
      </c>
      <c r="D74" s="431"/>
      <c r="E74" s="121">
        <f>E65</f>
        <v>0.87562778003784703</v>
      </c>
      <c r="F74" s="120">
        <f t="shared" si="1"/>
        <v>106.82658916461733</v>
      </c>
      <c r="G74" s="118">
        <f t="shared" si="4"/>
        <v>110</v>
      </c>
      <c r="H74" s="119">
        <f t="shared" si="2"/>
        <v>3.1734108353826684</v>
      </c>
      <c r="I74" s="118" t="str">
        <f t="shared" si="5"/>
        <v>YES</v>
      </c>
      <c r="J74" s="117">
        <f t="shared" si="3"/>
        <v>110</v>
      </c>
    </row>
    <row r="75" spans="2:10" ht="15" customHeight="1">
      <c r="B75" s="114">
        <v>2024</v>
      </c>
      <c r="C75" s="430">
        <f>I51</f>
        <v>130</v>
      </c>
      <c r="D75" s="431"/>
      <c r="E75" s="121">
        <f>E65</f>
        <v>0.87562778003784703</v>
      </c>
      <c r="F75" s="120">
        <f t="shared" si="1"/>
        <v>113.83161140492011</v>
      </c>
      <c r="G75" s="118">
        <f t="shared" si="4"/>
        <v>115</v>
      </c>
      <c r="H75" s="119">
        <f t="shared" si="2"/>
        <v>1.1683885950798896</v>
      </c>
      <c r="I75" s="118" t="str">
        <f t="shared" si="5"/>
        <v>YES</v>
      </c>
      <c r="J75" s="117">
        <f t="shared" si="3"/>
        <v>115</v>
      </c>
    </row>
    <row r="76" spans="2:10" ht="15" customHeight="1">
      <c r="B76" s="114">
        <v>2025</v>
      </c>
      <c r="C76" s="430">
        <f>J51</f>
        <v>136</v>
      </c>
      <c r="D76" s="431"/>
      <c r="E76" s="121">
        <f>E65</f>
        <v>0.87562778003784703</v>
      </c>
      <c r="F76" s="120">
        <f t="shared" si="1"/>
        <v>119.0853780851472</v>
      </c>
      <c r="G76" s="118">
        <f t="shared" si="4"/>
        <v>120</v>
      </c>
      <c r="H76" s="119">
        <f t="shared" si="2"/>
        <v>0.91462191485280186</v>
      </c>
      <c r="I76" s="118" t="str">
        <f t="shared" si="5"/>
        <v>YES</v>
      </c>
      <c r="J76" s="117">
        <f t="shared" si="3"/>
        <v>120</v>
      </c>
    </row>
    <row r="77" spans="2:10" ht="15" customHeight="1">
      <c r="B77" s="114">
        <v>2026</v>
      </c>
      <c r="C77" s="430">
        <f>K51</f>
        <v>140</v>
      </c>
      <c r="D77" s="431"/>
      <c r="E77" s="121">
        <f>E65</f>
        <v>0.87562778003784703</v>
      </c>
      <c r="F77" s="120">
        <f t="shared" si="1"/>
        <v>122.58788920529858</v>
      </c>
      <c r="G77" s="118">
        <f t="shared" si="4"/>
        <v>125</v>
      </c>
      <c r="H77" s="119">
        <f t="shared" si="2"/>
        <v>2.4121107947014195</v>
      </c>
      <c r="I77" s="118" t="str">
        <f t="shared" si="5"/>
        <v>YES</v>
      </c>
      <c r="J77" s="117">
        <f t="shared" si="3"/>
        <v>125</v>
      </c>
    </row>
    <row r="78" spans="2:10" ht="15" customHeight="1">
      <c r="B78" s="114">
        <v>2027</v>
      </c>
      <c r="C78" s="430">
        <f>L51</f>
        <v>144</v>
      </c>
      <c r="D78" s="431"/>
      <c r="E78" s="121">
        <f>E65</f>
        <v>0.87562778003784703</v>
      </c>
      <c r="F78" s="120">
        <f t="shared" si="1"/>
        <v>126.09040032544998</v>
      </c>
      <c r="G78" s="118">
        <f t="shared" si="4"/>
        <v>130</v>
      </c>
      <c r="H78" s="119">
        <f t="shared" si="2"/>
        <v>3.909599674550023</v>
      </c>
      <c r="I78" s="118" t="str">
        <f t="shared" si="5"/>
        <v>YES</v>
      </c>
      <c r="J78" s="117">
        <f t="shared" si="3"/>
        <v>130</v>
      </c>
    </row>
    <row r="79" spans="2:10" ht="15" customHeight="1">
      <c r="B79" s="114">
        <v>2028</v>
      </c>
      <c r="C79" s="430">
        <f>M51</f>
        <v>144</v>
      </c>
      <c r="D79" s="431"/>
      <c r="E79" s="121">
        <f t="shared" ref="E79:E83" si="6">$E$65</f>
        <v>0.87562778003784703</v>
      </c>
      <c r="F79" s="120">
        <f t="shared" si="1"/>
        <v>126.09040032544998</v>
      </c>
      <c r="G79" s="118">
        <f t="shared" si="4"/>
        <v>130</v>
      </c>
      <c r="H79" s="119">
        <f t="shared" si="2"/>
        <v>3.909599674550023</v>
      </c>
      <c r="I79" s="118" t="str">
        <f t="shared" si="5"/>
        <v>YES</v>
      </c>
      <c r="J79" s="117">
        <f t="shared" si="3"/>
        <v>130</v>
      </c>
    </row>
    <row r="80" spans="2:10" ht="15" customHeight="1">
      <c r="B80" s="114">
        <v>2029</v>
      </c>
      <c r="C80" s="430">
        <f>N51</f>
        <v>145</v>
      </c>
      <c r="D80" s="431"/>
      <c r="E80" s="121">
        <f t="shared" si="6"/>
        <v>0.87562778003784703</v>
      </c>
      <c r="F80" s="120">
        <f t="shared" si="1"/>
        <v>126.96602810548782</v>
      </c>
      <c r="G80" s="118">
        <f t="shared" si="4"/>
        <v>130</v>
      </c>
      <c r="H80" s="119">
        <f t="shared" si="2"/>
        <v>3.0339718945121774</v>
      </c>
      <c r="I80" s="118" t="str">
        <f t="shared" si="5"/>
        <v>YES</v>
      </c>
      <c r="J80" s="117">
        <f t="shared" si="3"/>
        <v>130</v>
      </c>
    </row>
    <row r="81" spans="2:10" ht="15" customHeight="1">
      <c r="B81" s="114">
        <v>2030</v>
      </c>
      <c r="C81" s="430">
        <f>O51</f>
        <v>145</v>
      </c>
      <c r="D81" s="431"/>
      <c r="E81" s="121">
        <f t="shared" si="6"/>
        <v>0.87562778003784703</v>
      </c>
      <c r="F81" s="120">
        <f t="shared" si="1"/>
        <v>126.96602810548782</v>
      </c>
      <c r="G81" s="118">
        <f t="shared" si="4"/>
        <v>130</v>
      </c>
      <c r="H81" s="119">
        <f t="shared" si="2"/>
        <v>3.0339718945121774</v>
      </c>
      <c r="I81" s="118" t="str">
        <f t="shared" si="5"/>
        <v>YES</v>
      </c>
      <c r="J81" s="117">
        <f t="shared" si="3"/>
        <v>130</v>
      </c>
    </row>
    <row r="82" spans="2:10" ht="15" customHeight="1">
      <c r="B82" s="114">
        <v>2031</v>
      </c>
      <c r="C82" s="430">
        <f>P51</f>
        <v>145</v>
      </c>
      <c r="D82" s="431"/>
      <c r="E82" s="121">
        <f t="shared" si="6"/>
        <v>0.87562778003784703</v>
      </c>
      <c r="F82" s="120">
        <f t="shared" si="1"/>
        <v>126.96602810548782</v>
      </c>
      <c r="G82" s="118">
        <f t="shared" si="4"/>
        <v>130</v>
      </c>
      <c r="H82" s="119">
        <f t="shared" si="2"/>
        <v>3.0339718945121774</v>
      </c>
      <c r="I82" s="118" t="str">
        <f t="shared" si="5"/>
        <v>YES</v>
      </c>
      <c r="J82" s="117">
        <f t="shared" si="3"/>
        <v>130</v>
      </c>
    </row>
    <row r="83" spans="2:10" ht="15" customHeight="1">
      <c r="B83" s="114">
        <v>2032</v>
      </c>
      <c r="C83" s="430">
        <f>Q51</f>
        <v>145</v>
      </c>
      <c r="D83" s="431"/>
      <c r="E83" s="121">
        <f t="shared" si="6"/>
        <v>0.87562778003784703</v>
      </c>
      <c r="F83" s="120">
        <f t="shared" si="1"/>
        <v>126.96602810548782</v>
      </c>
      <c r="G83" s="118">
        <f t="shared" si="4"/>
        <v>130</v>
      </c>
      <c r="H83" s="119">
        <f t="shared" si="2"/>
        <v>3.0339718945121774</v>
      </c>
      <c r="I83" s="118" t="str">
        <f t="shared" si="5"/>
        <v>YES</v>
      </c>
      <c r="J83" s="117">
        <f t="shared" si="3"/>
        <v>130</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Gilmerton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84</v>
      </c>
      <c r="D91" s="112">
        <f t="shared" ref="D91:J91" si="7">D188</f>
        <v>65</v>
      </c>
      <c r="E91" s="112">
        <f t="shared" si="7"/>
        <v>52</v>
      </c>
      <c r="F91" s="112">
        <f t="shared" si="7"/>
        <v>59</v>
      </c>
      <c r="G91" s="112">
        <f t="shared" si="7"/>
        <v>48</v>
      </c>
      <c r="H91" s="112">
        <f t="shared" si="7"/>
        <v>48</v>
      </c>
      <c r="I91" s="112">
        <f t="shared" si="7"/>
        <v>44</v>
      </c>
      <c r="J91" s="213">
        <f t="shared" si="7"/>
        <v>400</v>
      </c>
    </row>
    <row r="92" spans="2:10" ht="15" customHeight="1">
      <c r="B92" s="114">
        <v>2014</v>
      </c>
      <c r="C92" s="112">
        <f>C189</f>
        <v>91</v>
      </c>
      <c r="D92" s="112">
        <f t="shared" ref="D92:J92" si="8">D189</f>
        <v>75</v>
      </c>
      <c r="E92" s="112">
        <f t="shared" si="8"/>
        <v>59</v>
      </c>
      <c r="F92" s="112">
        <f t="shared" si="8"/>
        <v>50</v>
      </c>
      <c r="G92" s="112">
        <f t="shared" si="8"/>
        <v>53</v>
      </c>
      <c r="H92" s="112">
        <f t="shared" si="8"/>
        <v>48</v>
      </c>
      <c r="I92" s="112">
        <f t="shared" si="8"/>
        <v>45</v>
      </c>
      <c r="J92" s="213">
        <f t="shared" si="8"/>
        <v>421</v>
      </c>
    </row>
    <row r="93" spans="2:10" ht="15" customHeight="1">
      <c r="B93" s="114">
        <v>2015</v>
      </c>
      <c r="C93" s="112">
        <f>C190</f>
        <v>72</v>
      </c>
      <c r="D93" s="112">
        <f t="shared" ref="D93:J93" si="9">D190</f>
        <v>89</v>
      </c>
      <c r="E93" s="112">
        <f t="shared" si="9"/>
        <v>76</v>
      </c>
      <c r="F93" s="112">
        <f t="shared" si="9"/>
        <v>60</v>
      </c>
      <c r="G93" s="112">
        <f t="shared" si="9"/>
        <v>47</v>
      </c>
      <c r="H93" s="112">
        <f t="shared" si="9"/>
        <v>55</v>
      </c>
      <c r="I93" s="112">
        <f t="shared" si="9"/>
        <v>50</v>
      </c>
      <c r="J93" s="213">
        <f t="shared" si="9"/>
        <v>449</v>
      </c>
    </row>
    <row r="94" spans="2:10" ht="15" customHeight="1">
      <c r="B94" s="114">
        <v>2016</v>
      </c>
      <c r="C94" s="112">
        <f>C191</f>
        <v>62</v>
      </c>
      <c r="D94" s="112">
        <f t="shared" ref="D94:J94" si="10">D191</f>
        <v>68</v>
      </c>
      <c r="E94" s="112">
        <f t="shared" si="10"/>
        <v>81</v>
      </c>
      <c r="F94" s="112">
        <f t="shared" si="10"/>
        <v>75</v>
      </c>
      <c r="G94" s="112">
        <f t="shared" si="10"/>
        <v>53</v>
      </c>
      <c r="H94" s="112">
        <f t="shared" si="10"/>
        <v>42</v>
      </c>
      <c r="I94" s="112">
        <f t="shared" si="10"/>
        <v>56</v>
      </c>
      <c r="J94" s="213">
        <f t="shared" si="10"/>
        <v>437</v>
      </c>
    </row>
    <row r="95" spans="2:10" ht="15" customHeight="1">
      <c r="B95" s="114">
        <v>2017</v>
      </c>
      <c r="C95" s="112">
        <f>C192</f>
        <v>63</v>
      </c>
      <c r="D95" s="112">
        <f t="shared" ref="D95:J95" si="11">D192</f>
        <v>64</v>
      </c>
      <c r="E95" s="112">
        <f t="shared" si="11"/>
        <v>63</v>
      </c>
      <c r="F95" s="112">
        <f t="shared" si="11"/>
        <v>77</v>
      </c>
      <c r="G95" s="112">
        <f t="shared" si="11"/>
        <v>74</v>
      </c>
      <c r="H95" s="112">
        <f t="shared" si="11"/>
        <v>49</v>
      </c>
      <c r="I95" s="112">
        <f t="shared" si="11"/>
        <v>45</v>
      </c>
      <c r="J95" s="213">
        <f t="shared" si="11"/>
        <v>435</v>
      </c>
    </row>
    <row r="96" spans="2:10" ht="15" customHeight="1">
      <c r="B96" s="307">
        <v>2018</v>
      </c>
      <c r="C96" s="112">
        <f t="shared" ref="C96:J96" si="12">C193</f>
        <v>81</v>
      </c>
      <c r="D96" s="112">
        <f t="shared" si="12"/>
        <v>64</v>
      </c>
      <c r="E96" s="112">
        <f t="shared" si="12"/>
        <v>59</v>
      </c>
      <c r="F96" s="112">
        <f t="shared" si="12"/>
        <v>60</v>
      </c>
      <c r="G96" s="112">
        <f t="shared" si="12"/>
        <v>75</v>
      </c>
      <c r="H96" s="112">
        <f t="shared" si="12"/>
        <v>69</v>
      </c>
      <c r="I96" s="112">
        <f t="shared" si="12"/>
        <v>50</v>
      </c>
      <c r="J96" s="213">
        <f t="shared" si="12"/>
        <v>458</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2.197802197802198E-2</v>
      </c>
      <c r="E98" s="210">
        <f t="shared" ref="E98:I98" si="13">MEDIAN(((D91-E92)/D91),((D92-E93)/D92),((D93-E94)/D93),((D94-E95)/D94),((D95-E96)/D95))</f>
        <v>7.8125E-2</v>
      </c>
      <c r="F98" s="210">
        <f t="shared" si="13"/>
        <v>3.8461538461538464E-2</v>
      </c>
      <c r="G98" s="210">
        <f t="shared" si="13"/>
        <v>0.06</v>
      </c>
      <c r="H98" s="210">
        <f t="shared" si="13"/>
        <v>6.7567567567567571E-2</v>
      </c>
      <c r="I98" s="210">
        <f t="shared" si="13"/>
        <v>-2.0408163265306121E-2</v>
      </c>
    </row>
    <row r="99" spans="2:10" ht="15" customHeight="1">
      <c r="B99" s="59"/>
      <c r="C99" s="60"/>
      <c r="D99" s="61"/>
      <c r="E99" s="61"/>
      <c r="F99" s="61"/>
      <c r="G99" s="61"/>
      <c r="H99" s="61"/>
      <c r="I99" s="61"/>
      <c r="J99" s="58"/>
    </row>
    <row r="100" spans="2:10" ht="15" customHeight="1">
      <c r="B100" s="15" t="str">
        <f>"Table 4B: "&amp;E3&amp;" Projected Roll by Stage (incorporating Projected P1 and Drop-Off Rates), 2019-2032"</f>
        <v>Table 4B: Gilmerton Primary School Projected Roll by Stage (incorporating Projected P1 and Drop-Off Rates), 2019-2032</v>
      </c>
      <c r="F100" s="14"/>
      <c r="G100" s="14"/>
    </row>
    <row r="101" spans="2:10" ht="15" customHeight="1">
      <c r="F101" s="14"/>
      <c r="G101" s="14"/>
    </row>
    <row r="102" spans="2:10" ht="15" customHeight="1">
      <c r="B102" s="115"/>
      <c r="C102" s="109" t="s">
        <v>1</v>
      </c>
      <c r="D102" s="109" t="s">
        <v>2</v>
      </c>
      <c r="E102" s="109" t="s">
        <v>3</v>
      </c>
      <c r="F102" s="109" t="s">
        <v>4</v>
      </c>
      <c r="G102" s="109" t="s">
        <v>5</v>
      </c>
      <c r="H102" s="109" t="s">
        <v>6</v>
      </c>
      <c r="I102" s="109" t="s">
        <v>7</v>
      </c>
      <c r="J102" s="109" t="s">
        <v>8</v>
      </c>
    </row>
    <row r="103" spans="2:10" ht="15" customHeight="1">
      <c r="B103" s="114">
        <v>2019</v>
      </c>
      <c r="C103" s="113">
        <f t="shared" ref="C103:C116" si="14">J70</f>
        <v>72</v>
      </c>
      <c r="D103" s="324">
        <f>ROUND((C96)-(C96*$D$98),0)</f>
        <v>79</v>
      </c>
      <c r="E103" s="324">
        <f>ROUND((D96)-(D96*$E$98),0)</f>
        <v>59</v>
      </c>
      <c r="F103" s="324">
        <f>ROUND((E96)-(E96*$F$98),0)</f>
        <v>57</v>
      </c>
      <c r="G103" s="324">
        <f>ROUND((F96)-(F96*$G$98),0)</f>
        <v>56</v>
      </c>
      <c r="H103" s="324">
        <f>ROUND((G96)-(G96*$H$98),0)</f>
        <v>70</v>
      </c>
      <c r="I103" s="324">
        <f>ROUND((H96)-(H96*$I$98),0)</f>
        <v>70</v>
      </c>
      <c r="J103" s="111">
        <f t="shared" ref="J103:J116" si="15">SUM(C103:I103)</f>
        <v>463</v>
      </c>
    </row>
    <row r="104" spans="2:10" ht="15" customHeight="1">
      <c r="B104" s="114">
        <v>2020</v>
      </c>
      <c r="C104" s="113">
        <f t="shared" si="14"/>
        <v>90</v>
      </c>
      <c r="D104" s="324">
        <f>ROUND((C103-E50)-(C103*$D$98),0)</f>
        <v>56</v>
      </c>
      <c r="E104" s="112">
        <f t="shared" ref="E104:E116" si="16">ROUND((D103)-(D103*$E$98),0)</f>
        <v>73</v>
      </c>
      <c r="F104" s="112">
        <f t="shared" ref="F104:F116" si="17">ROUND((E103)-(E103*$F$98),0)</f>
        <v>57</v>
      </c>
      <c r="G104" s="112">
        <f t="shared" ref="G104:G116" si="18">ROUND((F103)-(F103*$G$98),0)</f>
        <v>54</v>
      </c>
      <c r="H104" s="112">
        <f t="shared" ref="H104:H116" si="19">ROUND((G103)-(G103*$H$98),0)</f>
        <v>52</v>
      </c>
      <c r="I104" s="112">
        <f t="shared" ref="I104:I116" si="20">ROUND((H103)-(H103*$I$98),0)</f>
        <v>71</v>
      </c>
      <c r="J104" s="111">
        <f t="shared" si="15"/>
        <v>453</v>
      </c>
    </row>
    <row r="105" spans="2:10" ht="15" customHeight="1">
      <c r="B105" s="114">
        <v>2021</v>
      </c>
      <c r="C105" s="113">
        <f t="shared" si="14"/>
        <v>90</v>
      </c>
      <c r="D105" s="324">
        <f>ROUND((C104-F50)-(C104*$D$98),0)</f>
        <v>63</v>
      </c>
      <c r="E105" s="112">
        <f t="shared" si="16"/>
        <v>52</v>
      </c>
      <c r="F105" s="112">
        <f t="shared" si="17"/>
        <v>70</v>
      </c>
      <c r="G105" s="112">
        <f t="shared" si="18"/>
        <v>54</v>
      </c>
      <c r="H105" s="112">
        <f t="shared" si="19"/>
        <v>50</v>
      </c>
      <c r="I105" s="112">
        <f t="shared" si="20"/>
        <v>53</v>
      </c>
      <c r="J105" s="111">
        <f t="shared" si="15"/>
        <v>432</v>
      </c>
    </row>
    <row r="106" spans="2:10" ht="15" customHeight="1">
      <c r="B106" s="114">
        <v>2022</v>
      </c>
      <c r="C106" s="113">
        <f t="shared" si="14"/>
        <v>99</v>
      </c>
      <c r="D106" s="324">
        <f>ROUND((C105-G50)-(C105*$D$98),0)</f>
        <v>53</v>
      </c>
      <c r="E106" s="112">
        <f t="shared" si="16"/>
        <v>58</v>
      </c>
      <c r="F106" s="112">
        <f t="shared" si="17"/>
        <v>50</v>
      </c>
      <c r="G106" s="112">
        <f t="shared" si="18"/>
        <v>66</v>
      </c>
      <c r="H106" s="112">
        <f t="shared" si="19"/>
        <v>50</v>
      </c>
      <c r="I106" s="112">
        <f t="shared" si="20"/>
        <v>51</v>
      </c>
      <c r="J106" s="111">
        <f t="shared" si="15"/>
        <v>427</v>
      </c>
    </row>
    <row r="107" spans="2:10" ht="15" customHeight="1">
      <c r="B107" s="114">
        <v>2023</v>
      </c>
      <c r="C107" s="113">
        <f t="shared" si="14"/>
        <v>110</v>
      </c>
      <c r="D107" s="324">
        <f>ROUND((C106-H50)-(C106*$D$98),0)</f>
        <v>55</v>
      </c>
      <c r="E107" s="112">
        <f t="shared" si="16"/>
        <v>49</v>
      </c>
      <c r="F107" s="112">
        <f t="shared" si="17"/>
        <v>56</v>
      </c>
      <c r="G107" s="112">
        <f t="shared" si="18"/>
        <v>47</v>
      </c>
      <c r="H107" s="112">
        <f t="shared" si="19"/>
        <v>62</v>
      </c>
      <c r="I107" s="112">
        <f t="shared" si="20"/>
        <v>51</v>
      </c>
      <c r="J107" s="111">
        <f t="shared" si="15"/>
        <v>430</v>
      </c>
    </row>
    <row r="108" spans="2:10" ht="15" customHeight="1">
      <c r="B108" s="114">
        <v>2024</v>
      </c>
      <c r="C108" s="113">
        <f t="shared" si="14"/>
        <v>115</v>
      </c>
      <c r="D108" s="324">
        <f>ROUND((C107-I50)-(C107*$D$98),0)</f>
        <v>59</v>
      </c>
      <c r="E108" s="112">
        <f t="shared" si="16"/>
        <v>51</v>
      </c>
      <c r="F108" s="112">
        <f t="shared" si="17"/>
        <v>47</v>
      </c>
      <c r="G108" s="112">
        <f t="shared" si="18"/>
        <v>53</v>
      </c>
      <c r="H108" s="112">
        <f t="shared" si="19"/>
        <v>44</v>
      </c>
      <c r="I108" s="112">
        <f t="shared" si="20"/>
        <v>63</v>
      </c>
      <c r="J108" s="111">
        <f t="shared" si="15"/>
        <v>432</v>
      </c>
    </row>
    <row r="109" spans="2:10" ht="15" customHeight="1">
      <c r="B109" s="114">
        <v>2025</v>
      </c>
      <c r="C109" s="113">
        <f t="shared" si="14"/>
        <v>120</v>
      </c>
      <c r="D109" s="324">
        <f>ROUND((C108-J50)-(C108*$D$98),0)</f>
        <v>58</v>
      </c>
      <c r="E109" s="112">
        <f t="shared" si="16"/>
        <v>54</v>
      </c>
      <c r="F109" s="112">
        <f t="shared" si="17"/>
        <v>49</v>
      </c>
      <c r="G109" s="112">
        <f t="shared" si="18"/>
        <v>44</v>
      </c>
      <c r="H109" s="112">
        <f t="shared" si="19"/>
        <v>49</v>
      </c>
      <c r="I109" s="112">
        <f t="shared" si="20"/>
        <v>45</v>
      </c>
      <c r="J109" s="111">
        <f t="shared" si="15"/>
        <v>419</v>
      </c>
    </row>
    <row r="110" spans="2:10" ht="15" customHeight="1">
      <c r="B110" s="114">
        <v>2026</v>
      </c>
      <c r="C110" s="113">
        <f t="shared" si="14"/>
        <v>125</v>
      </c>
      <c r="D110" s="324">
        <f>ROUND((C109-K50)-(C109*$D$98),0)</f>
        <v>59</v>
      </c>
      <c r="E110" s="112">
        <f t="shared" si="16"/>
        <v>53</v>
      </c>
      <c r="F110" s="112">
        <f t="shared" si="17"/>
        <v>52</v>
      </c>
      <c r="G110" s="112">
        <f t="shared" si="18"/>
        <v>46</v>
      </c>
      <c r="H110" s="112">
        <f t="shared" si="19"/>
        <v>41</v>
      </c>
      <c r="I110" s="112">
        <f t="shared" si="20"/>
        <v>50</v>
      </c>
      <c r="J110" s="111">
        <f t="shared" si="15"/>
        <v>426</v>
      </c>
    </row>
    <row r="111" spans="2:10" ht="15" customHeight="1">
      <c r="B111" s="114">
        <v>2027</v>
      </c>
      <c r="C111" s="113">
        <f t="shared" si="14"/>
        <v>130</v>
      </c>
      <c r="D111" s="324">
        <f>ROUND((C110-L50)-(C110*$D$98),0)</f>
        <v>61</v>
      </c>
      <c r="E111" s="112">
        <f t="shared" si="16"/>
        <v>54</v>
      </c>
      <c r="F111" s="112">
        <f t="shared" si="17"/>
        <v>51</v>
      </c>
      <c r="G111" s="112">
        <f t="shared" si="18"/>
        <v>49</v>
      </c>
      <c r="H111" s="112">
        <f t="shared" si="19"/>
        <v>43</v>
      </c>
      <c r="I111" s="112">
        <f t="shared" si="20"/>
        <v>42</v>
      </c>
      <c r="J111" s="111">
        <f t="shared" si="15"/>
        <v>430</v>
      </c>
    </row>
    <row r="112" spans="2:10" ht="15" customHeight="1">
      <c r="B112" s="114">
        <v>2028</v>
      </c>
      <c r="C112" s="113">
        <f t="shared" si="14"/>
        <v>130</v>
      </c>
      <c r="D112" s="324">
        <f>ROUND((C111-M50)-(C111*$D$98),0)</f>
        <v>66</v>
      </c>
      <c r="E112" s="112">
        <f t="shared" si="16"/>
        <v>56</v>
      </c>
      <c r="F112" s="112">
        <f t="shared" si="17"/>
        <v>52</v>
      </c>
      <c r="G112" s="112">
        <f t="shared" si="18"/>
        <v>48</v>
      </c>
      <c r="H112" s="112">
        <f t="shared" si="19"/>
        <v>46</v>
      </c>
      <c r="I112" s="112">
        <f t="shared" si="20"/>
        <v>44</v>
      </c>
      <c r="J112" s="111">
        <f t="shared" si="15"/>
        <v>442</v>
      </c>
    </row>
    <row r="113" spans="2:10" ht="15" customHeight="1">
      <c r="B113" s="114">
        <v>2029</v>
      </c>
      <c r="C113" s="113">
        <f t="shared" si="14"/>
        <v>130</v>
      </c>
      <c r="D113" s="324">
        <f>ROUND((C112-N50)-(C112*$D$98),0)</f>
        <v>66</v>
      </c>
      <c r="E113" s="112">
        <f t="shared" si="16"/>
        <v>61</v>
      </c>
      <c r="F113" s="112">
        <f t="shared" si="17"/>
        <v>54</v>
      </c>
      <c r="G113" s="112">
        <f t="shared" si="18"/>
        <v>49</v>
      </c>
      <c r="H113" s="112">
        <f t="shared" si="19"/>
        <v>45</v>
      </c>
      <c r="I113" s="112">
        <f t="shared" si="20"/>
        <v>47</v>
      </c>
      <c r="J113" s="111">
        <f t="shared" si="15"/>
        <v>452</v>
      </c>
    </row>
    <row r="114" spans="2:10" ht="15" customHeight="1">
      <c r="B114" s="114">
        <v>2030</v>
      </c>
      <c r="C114" s="113">
        <f t="shared" si="14"/>
        <v>130</v>
      </c>
      <c r="D114" s="324">
        <f>ROUND((C113-O50)-(C113*$D$98),0)</f>
        <v>66</v>
      </c>
      <c r="E114" s="112">
        <f t="shared" si="16"/>
        <v>61</v>
      </c>
      <c r="F114" s="112">
        <f t="shared" si="17"/>
        <v>59</v>
      </c>
      <c r="G114" s="112">
        <f t="shared" si="18"/>
        <v>51</v>
      </c>
      <c r="H114" s="112">
        <f t="shared" si="19"/>
        <v>46</v>
      </c>
      <c r="I114" s="112">
        <f t="shared" si="20"/>
        <v>46</v>
      </c>
      <c r="J114" s="111">
        <f t="shared" si="15"/>
        <v>459</v>
      </c>
    </row>
    <row r="115" spans="2:10" ht="15" customHeight="1">
      <c r="B115" s="114">
        <v>2031</v>
      </c>
      <c r="C115" s="113">
        <f t="shared" si="14"/>
        <v>130</v>
      </c>
      <c r="D115" s="324">
        <f>ROUND((C114-P50)-(C114*$D$98),0)</f>
        <v>66</v>
      </c>
      <c r="E115" s="112">
        <f t="shared" si="16"/>
        <v>61</v>
      </c>
      <c r="F115" s="112">
        <f t="shared" si="17"/>
        <v>59</v>
      </c>
      <c r="G115" s="112">
        <f t="shared" si="18"/>
        <v>55</v>
      </c>
      <c r="H115" s="112">
        <f t="shared" si="19"/>
        <v>48</v>
      </c>
      <c r="I115" s="112">
        <f t="shared" si="20"/>
        <v>47</v>
      </c>
      <c r="J115" s="111">
        <f t="shared" si="15"/>
        <v>466</v>
      </c>
    </row>
    <row r="116" spans="2:10" ht="15" customHeight="1">
      <c r="B116" s="114">
        <v>2032</v>
      </c>
      <c r="C116" s="113">
        <f t="shared" si="14"/>
        <v>130</v>
      </c>
      <c r="D116" s="324">
        <f>ROUND((C115-Q50)-(C115*$D$98),0)</f>
        <v>66</v>
      </c>
      <c r="E116" s="112">
        <f t="shared" si="16"/>
        <v>61</v>
      </c>
      <c r="F116" s="112">
        <f t="shared" si="17"/>
        <v>59</v>
      </c>
      <c r="G116" s="112">
        <f t="shared" si="18"/>
        <v>55</v>
      </c>
      <c r="H116" s="112">
        <f t="shared" si="19"/>
        <v>51</v>
      </c>
      <c r="I116" s="112">
        <f t="shared" si="20"/>
        <v>49</v>
      </c>
      <c r="J116" s="111">
        <f t="shared" si="15"/>
        <v>471</v>
      </c>
    </row>
    <row r="117" spans="2:10" ht="15" customHeight="1">
      <c r="F117" s="14"/>
      <c r="G117" s="14"/>
    </row>
    <row r="118" spans="2:10" ht="15" customHeight="1">
      <c r="B118" s="15" t="str">
        <f>"Table 4C: "&amp;E3&amp;" Projected Pupil Generation from Housing Development, 2019-2032"</f>
        <v>Table 4C: Gilmerton Primary School Projected Pupil Generation from Housing Development, 2019-2032</v>
      </c>
      <c r="F118" s="14"/>
      <c r="G118" s="14"/>
    </row>
    <row r="119" spans="2:10" ht="15" customHeight="1">
      <c r="F119" s="14"/>
      <c r="G119" s="14"/>
    </row>
    <row r="120" spans="2:10" ht="15" customHeight="1">
      <c r="B120" s="115"/>
      <c r="C120" s="109" t="s">
        <v>1</v>
      </c>
      <c r="D120" s="109" t="s">
        <v>2</v>
      </c>
      <c r="E120" s="109" t="s">
        <v>3</v>
      </c>
      <c r="F120" s="109" t="s">
        <v>4</v>
      </c>
      <c r="G120" s="109" t="s">
        <v>5</v>
      </c>
      <c r="H120" s="109" t="s">
        <v>6</v>
      </c>
      <c r="I120" s="109" t="s">
        <v>7</v>
      </c>
      <c r="J120" s="109" t="s">
        <v>8</v>
      </c>
    </row>
    <row r="121" spans="2:10" ht="15" customHeight="1">
      <c r="B121" s="114">
        <v>2019</v>
      </c>
      <c r="C121" s="116" t="s">
        <v>97</v>
      </c>
      <c r="D121" s="112">
        <f>VLOOKUP($E$3,'Housing Generation'!$A$3:$BE$90,11,FALSE)</f>
        <v>5</v>
      </c>
      <c r="E121" s="112">
        <f>VLOOKUP($E$3,'Housing Generation'!$A$3:$BE$90,12,FALSE)</f>
        <v>5</v>
      </c>
      <c r="F121" s="112">
        <f>VLOOKUP($E$3,'Housing Generation'!$A$3:$BE$90,13,FALSE)</f>
        <v>5</v>
      </c>
      <c r="G121" s="112">
        <f>VLOOKUP($E$3,'Housing Generation'!$A$3:$BE$90,14,FALSE)</f>
        <v>4</v>
      </c>
      <c r="H121" s="112">
        <f>VLOOKUP($E$3,'Housing Generation'!$A$3:$BE$90,15,FALSE)</f>
        <v>4</v>
      </c>
      <c r="I121" s="112">
        <f>VLOOKUP($E$3,'Housing Generation'!$A$3:$BE$90,16,FALSE)</f>
        <v>4</v>
      </c>
      <c r="J121" s="111">
        <f t="shared" ref="J121:J134" si="21">SUM(D121:I121)</f>
        <v>27</v>
      </c>
    </row>
    <row r="122" spans="2:10" ht="15" customHeight="1">
      <c r="B122" s="114">
        <v>2020</v>
      </c>
      <c r="C122" s="116" t="s">
        <v>97</v>
      </c>
      <c r="D122" s="112">
        <f>VLOOKUP($E$3,'Housing Generation'!$A$3:$BE$90,19,FALSE)</f>
        <v>14</v>
      </c>
      <c r="E122" s="112">
        <f>VLOOKUP($E$3,'Housing Generation'!$A$3:$BE$90,20,FALSE)</f>
        <v>14</v>
      </c>
      <c r="F122" s="112">
        <f>VLOOKUP($E$3,'Housing Generation'!$A$3:$BE$90,21,FALSE)</f>
        <v>14</v>
      </c>
      <c r="G122" s="112">
        <f>VLOOKUP($E$3,'Housing Generation'!$A$3:$BE$90,22,FALSE)</f>
        <v>14</v>
      </c>
      <c r="H122" s="112">
        <f>VLOOKUP($E$3,'Housing Generation'!$A$3:$BE$90,23,FALSE)</f>
        <v>13</v>
      </c>
      <c r="I122" s="112">
        <f>VLOOKUP($E$3,'Housing Generation'!$A$3:$BE$90,24,FALSE)</f>
        <v>13</v>
      </c>
      <c r="J122" s="111">
        <f t="shared" si="21"/>
        <v>82</v>
      </c>
    </row>
    <row r="123" spans="2:10" ht="15" customHeight="1">
      <c r="B123" s="114">
        <v>2021</v>
      </c>
      <c r="C123" s="116" t="s">
        <v>97</v>
      </c>
      <c r="D123" s="112">
        <f>VLOOKUP($E$3,'Housing Generation'!$A$3:$BE$90,27,FALSE)</f>
        <v>25</v>
      </c>
      <c r="E123" s="112">
        <f>VLOOKUP($E$3,'Housing Generation'!$A$3:$BE$90,28,FALSE)</f>
        <v>24</v>
      </c>
      <c r="F123" s="112">
        <f>VLOOKUP($E$3,'Housing Generation'!$A$3:$BE$90,29,FALSE)</f>
        <v>24</v>
      </c>
      <c r="G123" s="112">
        <f>VLOOKUP($E$3,'Housing Generation'!$A$3:$BE$90,30,FALSE)</f>
        <v>24</v>
      </c>
      <c r="H123" s="112">
        <f>VLOOKUP($E$3,'Housing Generation'!$A$3:$BE$90,31,FALSE)</f>
        <v>24</v>
      </c>
      <c r="I123" s="112">
        <f>VLOOKUP($E$3,'Housing Generation'!$A$3:$BE$90,32,FALSE)</f>
        <v>24</v>
      </c>
      <c r="J123" s="111">
        <f t="shared" si="21"/>
        <v>145</v>
      </c>
    </row>
    <row r="124" spans="2:10" ht="15" customHeight="1">
      <c r="B124" s="114">
        <v>2022</v>
      </c>
      <c r="C124" s="116" t="s">
        <v>97</v>
      </c>
      <c r="D124" s="112">
        <f>VLOOKUP($E$3,'Housing Generation'!$A$3:$BE$90,35,FALSE)</f>
        <v>35</v>
      </c>
      <c r="E124" s="112">
        <f>VLOOKUP($E$3,'Housing Generation'!$A$3:$BE$90,36,FALSE)</f>
        <v>34</v>
      </c>
      <c r="F124" s="112">
        <f>VLOOKUP($E$3,'Housing Generation'!$A$3:$BE$90,37,FALSE)</f>
        <v>34</v>
      </c>
      <c r="G124" s="112">
        <f>VLOOKUP($E$3,'Housing Generation'!$A$3:$BE$90,38,FALSE)</f>
        <v>34</v>
      </c>
      <c r="H124" s="112">
        <f>VLOOKUP($E$3,'Housing Generation'!$A$3:$BE$90,39,FALSE)</f>
        <v>34</v>
      </c>
      <c r="I124" s="112">
        <f>VLOOKUP($E$3,'Housing Generation'!$A$3:$BE$90,40,FALSE)</f>
        <v>34</v>
      </c>
      <c r="J124" s="111">
        <f t="shared" si="21"/>
        <v>205</v>
      </c>
    </row>
    <row r="125" spans="2:10" ht="15" customHeight="1">
      <c r="B125" s="114">
        <v>2023</v>
      </c>
      <c r="C125" s="116" t="s">
        <v>97</v>
      </c>
      <c r="D125" s="112">
        <f>VLOOKUP($E$3,'Housing Generation'!$A$3:$BE$90,43,FALSE)</f>
        <v>42</v>
      </c>
      <c r="E125" s="112">
        <f>VLOOKUP($E$3,'Housing Generation'!$A$3:$BE$90,44,FALSE)</f>
        <v>42</v>
      </c>
      <c r="F125" s="112">
        <f>VLOOKUP($E$3,'Housing Generation'!$A$3:$BE$90,45,FALSE)</f>
        <v>41</v>
      </c>
      <c r="G125" s="112">
        <f>VLOOKUP($E$3,'Housing Generation'!$A$3:$BE$90,46,FALSE)</f>
        <v>41</v>
      </c>
      <c r="H125" s="112">
        <f>VLOOKUP($E$3,'Housing Generation'!$A$3:$BE$90,47,FALSE)</f>
        <v>41</v>
      </c>
      <c r="I125" s="112">
        <f>VLOOKUP($E$3,'Housing Generation'!$A$3:$BE$90,48,FALSE)</f>
        <v>41</v>
      </c>
      <c r="J125" s="111">
        <f t="shared" si="21"/>
        <v>248</v>
      </c>
    </row>
    <row r="126" spans="2:10" ht="15" customHeight="1">
      <c r="B126" s="114">
        <v>2024</v>
      </c>
      <c r="C126" s="116" t="s">
        <v>97</v>
      </c>
      <c r="D126" s="112">
        <f>VLOOKUP($E$3,'Housing Generation'!$A$3:$BE$90,51,FALSE)</f>
        <v>48</v>
      </c>
      <c r="E126" s="112">
        <f>VLOOKUP($E$3,'Housing Generation'!$A$3:$BE$90,52,FALSE)</f>
        <v>48</v>
      </c>
      <c r="F126" s="112">
        <f>VLOOKUP($E$3,'Housing Generation'!$A$3:$BE$90,53,FALSE)</f>
        <v>48</v>
      </c>
      <c r="G126" s="112">
        <f>VLOOKUP($E$3,'Housing Generation'!$A$3:$BE$90,54,FALSE)</f>
        <v>48</v>
      </c>
      <c r="H126" s="112">
        <f>VLOOKUP($E$3,'Housing Generation'!$A$3:$BE$90,55,FALSE)</f>
        <v>48</v>
      </c>
      <c r="I126" s="112">
        <f>VLOOKUP($E$3,'Housing Generation'!$A$3:$BE$90,56,FALSE)</f>
        <v>48</v>
      </c>
      <c r="J126" s="111">
        <f t="shared" si="21"/>
        <v>288</v>
      </c>
    </row>
    <row r="127" spans="2:10" ht="15" customHeight="1">
      <c r="B127" s="114">
        <v>2025</v>
      </c>
      <c r="C127" s="240" t="s">
        <v>97</v>
      </c>
      <c r="D127" s="112">
        <f>VLOOKUP($E$3,'Housing Generation'!$A$3:$CK$90,59,FALSE)</f>
        <v>54</v>
      </c>
      <c r="E127" s="112">
        <f>VLOOKUP($E$3,'Housing Generation'!$A$3:$CK$90,60,FALSE)</f>
        <v>53</v>
      </c>
      <c r="F127" s="112">
        <f>VLOOKUP($E$3,'Housing Generation'!$A$3:$CK$90,61,FALSE)</f>
        <v>53</v>
      </c>
      <c r="G127" s="112">
        <f>VLOOKUP($E$3,'Housing Generation'!$A$3:$CK$90,62,FALSE)</f>
        <v>53</v>
      </c>
      <c r="H127" s="112">
        <f>VLOOKUP($E$3,'Housing Generation'!$A$3:$CK$90,63,FALSE)</f>
        <v>53</v>
      </c>
      <c r="I127" s="112">
        <f>VLOOKUP($E$3,'Housing Generation'!$A$3:$CK$90,64,FALSE)</f>
        <v>53</v>
      </c>
      <c r="J127" s="111">
        <f t="shared" si="21"/>
        <v>319</v>
      </c>
    </row>
    <row r="128" spans="2:10" ht="15" customHeight="1">
      <c r="B128" s="114">
        <v>2026</v>
      </c>
      <c r="C128" s="240" t="s">
        <v>97</v>
      </c>
      <c r="D128" s="112">
        <f>VLOOKUP($E$3,'Housing Generation'!$A$3:$CK$90,67,FALSE)</f>
        <v>58</v>
      </c>
      <c r="E128" s="112">
        <f>VLOOKUP($E$3,'Housing Generation'!$A$3:$CK$90,68,FALSE)</f>
        <v>58</v>
      </c>
      <c r="F128" s="112">
        <f>VLOOKUP($E$3,'Housing Generation'!$A$3:$CK$90,69,FALSE)</f>
        <v>58</v>
      </c>
      <c r="G128" s="112">
        <f>VLOOKUP($E$3,'Housing Generation'!$A$3:$CK$90,70,FALSE)</f>
        <v>58</v>
      </c>
      <c r="H128" s="112">
        <f>VLOOKUP($E$3,'Housing Generation'!$A$3:$CK$90,71,FALSE)</f>
        <v>58</v>
      </c>
      <c r="I128" s="112">
        <f>VLOOKUP($E$3,'Housing Generation'!$A$3:$CK$90,72,FALSE)</f>
        <v>57</v>
      </c>
      <c r="J128" s="111">
        <f t="shared" si="21"/>
        <v>347</v>
      </c>
    </row>
    <row r="129" spans="2:10" ht="15" customHeight="1">
      <c r="B129" s="114">
        <v>2027</v>
      </c>
      <c r="C129" s="240" t="s">
        <v>97</v>
      </c>
      <c r="D129" s="112">
        <f>VLOOKUP($E$3,'Housing Generation'!$A$3:$CK$90,75,FALSE)</f>
        <v>61</v>
      </c>
      <c r="E129" s="112">
        <f>VLOOKUP($E$3,'Housing Generation'!$A$3:$CK$90,76,FALSE)</f>
        <v>60</v>
      </c>
      <c r="F129" s="112">
        <f>VLOOKUP($E$3,'Housing Generation'!$A$3:$CK$90,77,FALSE)</f>
        <v>60</v>
      </c>
      <c r="G129" s="112">
        <f>VLOOKUP($E$3,'Housing Generation'!$A$3:$CK$90,78,FALSE)</f>
        <v>60</v>
      </c>
      <c r="H129" s="112">
        <f>VLOOKUP($E$3,'Housing Generation'!$A$3:$CK$90,79,FALSE)</f>
        <v>60</v>
      </c>
      <c r="I129" s="112">
        <f>VLOOKUP($E$3,'Housing Generation'!$A$3:$CK$90,80,FALSE)</f>
        <v>60</v>
      </c>
      <c r="J129" s="111">
        <f t="shared" si="21"/>
        <v>361</v>
      </c>
    </row>
    <row r="130" spans="2:10" ht="15" customHeight="1">
      <c r="B130" s="114">
        <v>2028</v>
      </c>
      <c r="C130" s="289" t="s">
        <v>97</v>
      </c>
      <c r="D130" s="112">
        <f>VLOOKUP($E$3,'Housing Generation'!$A$3:$CK$90,83,FALSE)</f>
        <v>61</v>
      </c>
      <c r="E130" s="112">
        <f>VLOOKUP($E$3,'Housing Generation'!$A$3:$CK$90,84,FALSE)</f>
        <v>60</v>
      </c>
      <c r="F130" s="112">
        <f>VLOOKUP($E$3,'Housing Generation'!$A$3:$CK$90,85,FALSE)</f>
        <v>60</v>
      </c>
      <c r="G130" s="112">
        <f>VLOOKUP($E$3,'Housing Generation'!$A$3:$CK$90,86,FALSE)</f>
        <v>60</v>
      </c>
      <c r="H130" s="112">
        <f>VLOOKUP($E$3,'Housing Generation'!$A$3:$CK$90,87,FALSE)</f>
        <v>60</v>
      </c>
      <c r="I130" s="112">
        <f>VLOOKUP($E$3,'Housing Generation'!$A$3:$CK$90,88,FALSE)</f>
        <v>60</v>
      </c>
      <c r="J130" s="111">
        <f t="shared" si="21"/>
        <v>361</v>
      </c>
    </row>
    <row r="131" spans="2:10" ht="15" customHeight="1">
      <c r="B131" s="114">
        <v>2029</v>
      </c>
      <c r="C131" s="289" t="s">
        <v>97</v>
      </c>
      <c r="D131" s="112">
        <f>VLOOKUP($E$3,'Housing Generation'!$A$3:$DQ$90,91,FALSE)</f>
        <v>61</v>
      </c>
      <c r="E131" s="112">
        <f>VLOOKUP($E$3,'Housing Generation'!$A$3:$DQ$90,92,FALSE)</f>
        <v>60</v>
      </c>
      <c r="F131" s="112">
        <f>VLOOKUP($E$3,'Housing Generation'!$A$3:$DQ$90,93,FALSE)</f>
        <v>60</v>
      </c>
      <c r="G131" s="112">
        <f>VLOOKUP($E$3,'Housing Generation'!$A$3:$DQ$90,94,FALSE)</f>
        <v>60</v>
      </c>
      <c r="H131" s="112">
        <f>VLOOKUP($E$3,'Housing Generation'!$A$3:$DQ$90,95,FALSE)</f>
        <v>60</v>
      </c>
      <c r="I131" s="112">
        <f>VLOOKUP($E$3,'Housing Generation'!$A$3:$DQ$90,96,FALSE)</f>
        <v>60</v>
      </c>
      <c r="J131" s="111">
        <f t="shared" si="21"/>
        <v>361</v>
      </c>
    </row>
    <row r="132" spans="2:10" ht="15" customHeight="1">
      <c r="B132" s="114">
        <v>2030</v>
      </c>
      <c r="C132" s="289" t="s">
        <v>97</v>
      </c>
      <c r="D132" s="112">
        <f>VLOOKUP($E$3,'Housing Generation'!$A$3:$DQ$90,99,FALSE)</f>
        <v>61</v>
      </c>
      <c r="E132" s="112">
        <f>VLOOKUP($E$3,'Housing Generation'!$A$3:$DQ$90,100,FALSE)</f>
        <v>60</v>
      </c>
      <c r="F132" s="112">
        <f>VLOOKUP($E$3,'Housing Generation'!$A$3:$DQ$90,101,FALSE)</f>
        <v>60</v>
      </c>
      <c r="G132" s="112">
        <f>VLOOKUP($E$3,'Housing Generation'!$A$3:$DQ$90,102,FALSE)</f>
        <v>60</v>
      </c>
      <c r="H132" s="112">
        <f>VLOOKUP($E$3,'Housing Generation'!$A$3:$DQ$90,103,FALSE)</f>
        <v>60</v>
      </c>
      <c r="I132" s="112">
        <f>VLOOKUP($E$3,'Housing Generation'!$A$3:$DQ$90,104,FALSE)</f>
        <v>60</v>
      </c>
      <c r="J132" s="111">
        <f t="shared" si="21"/>
        <v>361</v>
      </c>
    </row>
    <row r="133" spans="2:10" ht="15" customHeight="1">
      <c r="B133" s="114">
        <v>2031</v>
      </c>
      <c r="C133" s="289" t="s">
        <v>97</v>
      </c>
      <c r="D133" s="112">
        <f>VLOOKUP($E$3,'Housing Generation'!$A$3:$DQ$90,107,FALSE)</f>
        <v>61</v>
      </c>
      <c r="E133" s="112">
        <f>VLOOKUP($E$3,'Housing Generation'!$A$3:$DQ$90,108,FALSE)</f>
        <v>60</v>
      </c>
      <c r="F133" s="112">
        <f>VLOOKUP($E$3,'Housing Generation'!$A$3:$DQ$90,109,FALSE)</f>
        <v>60</v>
      </c>
      <c r="G133" s="112">
        <f>VLOOKUP($E$3,'Housing Generation'!$A$3:$DQ$90,110,FALSE)</f>
        <v>60</v>
      </c>
      <c r="H133" s="112">
        <f>VLOOKUP($E$3,'Housing Generation'!$A$3:$DQ$90,111,FALSE)</f>
        <v>60</v>
      </c>
      <c r="I133" s="112">
        <f>VLOOKUP($E$3,'Housing Generation'!$A$3:$DQ$90,112,FALSE)</f>
        <v>60</v>
      </c>
      <c r="J133" s="111">
        <f t="shared" si="21"/>
        <v>361</v>
      </c>
    </row>
    <row r="134" spans="2:10" ht="15" customHeight="1">
      <c r="B134" s="114">
        <v>2032</v>
      </c>
      <c r="C134" s="289" t="s">
        <v>97</v>
      </c>
      <c r="D134" s="112">
        <f>VLOOKUP($E$3,'Housing Generation'!$A$3:$DQ$90,115,FALSE)</f>
        <v>61</v>
      </c>
      <c r="E134" s="112">
        <f>VLOOKUP($E$3,'Housing Generation'!$A$3:$DQ$90,116,FALSE)</f>
        <v>60</v>
      </c>
      <c r="F134" s="112">
        <f>VLOOKUP($E$3,'Housing Generation'!$A$3:$DQ$90,117,FALSE)</f>
        <v>60</v>
      </c>
      <c r="G134" s="112">
        <f>VLOOKUP($E$3,'Housing Generation'!$A$3:$DQ$90,118,FALSE)</f>
        <v>60</v>
      </c>
      <c r="H134" s="112">
        <f>VLOOKUP($E$3,'Housing Generation'!$A$3:$DQ$90,119,FALSE)</f>
        <v>60</v>
      </c>
      <c r="I134" s="112">
        <f>VLOOKUP($E$3,'Housing Generation'!$A$3:$DQ$90,120,FALSE)</f>
        <v>60</v>
      </c>
      <c r="J134" s="111">
        <f t="shared" si="21"/>
        <v>361</v>
      </c>
    </row>
    <row r="135" spans="2:10" ht="15"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Gilmerton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72</v>
      </c>
      <c r="D139" s="112">
        <f t="shared" ref="D139:I152" si="23">D121+D103</f>
        <v>84</v>
      </c>
      <c r="E139" s="112">
        <f t="shared" si="23"/>
        <v>64</v>
      </c>
      <c r="F139" s="112">
        <f t="shared" si="23"/>
        <v>62</v>
      </c>
      <c r="G139" s="112">
        <f t="shared" si="23"/>
        <v>60</v>
      </c>
      <c r="H139" s="112">
        <f t="shared" si="23"/>
        <v>74</v>
      </c>
      <c r="I139" s="112">
        <f t="shared" si="23"/>
        <v>74</v>
      </c>
      <c r="J139" s="111">
        <f t="shared" ref="J139:J147" si="24">SUM(C139:I139)</f>
        <v>490</v>
      </c>
    </row>
    <row r="140" spans="2:10" ht="15" customHeight="1">
      <c r="B140" s="114">
        <v>2020</v>
      </c>
      <c r="C140" s="113">
        <f t="shared" si="22"/>
        <v>90</v>
      </c>
      <c r="D140" s="112">
        <f t="shared" si="23"/>
        <v>70</v>
      </c>
      <c r="E140" s="112">
        <f t="shared" si="23"/>
        <v>87</v>
      </c>
      <c r="F140" s="112">
        <f t="shared" si="23"/>
        <v>71</v>
      </c>
      <c r="G140" s="112">
        <f t="shared" si="23"/>
        <v>68</v>
      </c>
      <c r="H140" s="112">
        <f t="shared" si="23"/>
        <v>65</v>
      </c>
      <c r="I140" s="112">
        <f t="shared" si="23"/>
        <v>84</v>
      </c>
      <c r="J140" s="111">
        <f t="shared" si="24"/>
        <v>535</v>
      </c>
    </row>
    <row r="141" spans="2:10" ht="15" customHeight="1">
      <c r="B141" s="114">
        <v>2021</v>
      </c>
      <c r="C141" s="113">
        <f t="shared" si="22"/>
        <v>90</v>
      </c>
      <c r="D141" s="112">
        <f t="shared" si="23"/>
        <v>88</v>
      </c>
      <c r="E141" s="112">
        <f t="shared" si="23"/>
        <v>76</v>
      </c>
      <c r="F141" s="112">
        <f t="shared" si="23"/>
        <v>94</v>
      </c>
      <c r="G141" s="112">
        <f t="shared" si="23"/>
        <v>78</v>
      </c>
      <c r="H141" s="112">
        <f t="shared" si="23"/>
        <v>74</v>
      </c>
      <c r="I141" s="112">
        <f t="shared" si="23"/>
        <v>77</v>
      </c>
      <c r="J141" s="111">
        <f t="shared" si="24"/>
        <v>577</v>
      </c>
    </row>
    <row r="142" spans="2:10" ht="15" customHeight="1">
      <c r="B142" s="114">
        <v>2022</v>
      </c>
      <c r="C142" s="113">
        <f t="shared" si="22"/>
        <v>99</v>
      </c>
      <c r="D142" s="112">
        <f t="shared" si="23"/>
        <v>88</v>
      </c>
      <c r="E142" s="112">
        <f t="shared" si="23"/>
        <v>92</v>
      </c>
      <c r="F142" s="112">
        <f t="shared" si="23"/>
        <v>84</v>
      </c>
      <c r="G142" s="112">
        <f t="shared" si="23"/>
        <v>100</v>
      </c>
      <c r="H142" s="112">
        <f t="shared" si="23"/>
        <v>84</v>
      </c>
      <c r="I142" s="112">
        <f t="shared" si="23"/>
        <v>85</v>
      </c>
      <c r="J142" s="111">
        <f t="shared" si="24"/>
        <v>632</v>
      </c>
    </row>
    <row r="143" spans="2:10" ht="15" customHeight="1">
      <c r="B143" s="114">
        <v>2023</v>
      </c>
      <c r="C143" s="113">
        <f t="shared" si="22"/>
        <v>110</v>
      </c>
      <c r="D143" s="112">
        <f t="shared" si="23"/>
        <v>97</v>
      </c>
      <c r="E143" s="112">
        <f t="shared" si="23"/>
        <v>91</v>
      </c>
      <c r="F143" s="112">
        <f t="shared" si="23"/>
        <v>97</v>
      </c>
      <c r="G143" s="112">
        <f t="shared" si="23"/>
        <v>88</v>
      </c>
      <c r="H143" s="112">
        <f t="shared" si="23"/>
        <v>103</v>
      </c>
      <c r="I143" s="112">
        <f t="shared" si="23"/>
        <v>92</v>
      </c>
      <c r="J143" s="111">
        <f t="shared" si="24"/>
        <v>678</v>
      </c>
    </row>
    <row r="144" spans="2:10" ht="15" customHeight="1">
      <c r="B144" s="114">
        <v>2024</v>
      </c>
      <c r="C144" s="113">
        <f t="shared" si="22"/>
        <v>115</v>
      </c>
      <c r="D144" s="112">
        <f t="shared" si="23"/>
        <v>107</v>
      </c>
      <c r="E144" s="112">
        <f t="shared" si="23"/>
        <v>99</v>
      </c>
      <c r="F144" s="112">
        <f t="shared" si="23"/>
        <v>95</v>
      </c>
      <c r="G144" s="112">
        <f t="shared" si="23"/>
        <v>101</v>
      </c>
      <c r="H144" s="112">
        <f t="shared" si="23"/>
        <v>92</v>
      </c>
      <c r="I144" s="112">
        <f t="shared" si="23"/>
        <v>111</v>
      </c>
      <c r="J144" s="111">
        <f t="shared" si="24"/>
        <v>720</v>
      </c>
    </row>
    <row r="145" spans="2:16" ht="15" customHeight="1">
      <c r="B145" s="114">
        <v>2025</v>
      </c>
      <c r="C145" s="113">
        <f t="shared" si="22"/>
        <v>120</v>
      </c>
      <c r="D145" s="112">
        <f t="shared" si="23"/>
        <v>112</v>
      </c>
      <c r="E145" s="112">
        <f t="shared" si="23"/>
        <v>107</v>
      </c>
      <c r="F145" s="112">
        <f t="shared" si="23"/>
        <v>102</v>
      </c>
      <c r="G145" s="112">
        <f t="shared" si="23"/>
        <v>97</v>
      </c>
      <c r="H145" s="112">
        <f t="shared" si="23"/>
        <v>102</v>
      </c>
      <c r="I145" s="112">
        <f t="shared" si="23"/>
        <v>98</v>
      </c>
      <c r="J145" s="111">
        <f t="shared" si="24"/>
        <v>738</v>
      </c>
    </row>
    <row r="146" spans="2:16" ht="15" customHeight="1">
      <c r="B146" s="114">
        <v>2026</v>
      </c>
      <c r="C146" s="113">
        <f t="shared" si="22"/>
        <v>125</v>
      </c>
      <c r="D146" s="112">
        <f t="shared" si="23"/>
        <v>117</v>
      </c>
      <c r="E146" s="112">
        <f t="shared" si="23"/>
        <v>111</v>
      </c>
      <c r="F146" s="112">
        <f t="shared" si="23"/>
        <v>110</v>
      </c>
      <c r="G146" s="112">
        <f t="shared" si="23"/>
        <v>104</v>
      </c>
      <c r="H146" s="112">
        <f t="shared" si="23"/>
        <v>99</v>
      </c>
      <c r="I146" s="112">
        <f t="shared" si="23"/>
        <v>107</v>
      </c>
      <c r="J146" s="111">
        <f t="shared" si="24"/>
        <v>773</v>
      </c>
    </row>
    <row r="147" spans="2:16" ht="15" customHeight="1">
      <c r="B147" s="114">
        <v>2027</v>
      </c>
      <c r="C147" s="113">
        <f t="shared" si="22"/>
        <v>130</v>
      </c>
      <c r="D147" s="112">
        <f t="shared" si="23"/>
        <v>122</v>
      </c>
      <c r="E147" s="112">
        <f t="shared" si="23"/>
        <v>114</v>
      </c>
      <c r="F147" s="112">
        <f t="shared" si="23"/>
        <v>111</v>
      </c>
      <c r="G147" s="112">
        <f t="shared" si="23"/>
        <v>109</v>
      </c>
      <c r="H147" s="112">
        <f t="shared" si="23"/>
        <v>103</v>
      </c>
      <c r="I147" s="112">
        <f t="shared" si="23"/>
        <v>102</v>
      </c>
      <c r="J147" s="111">
        <f t="shared" si="24"/>
        <v>791</v>
      </c>
    </row>
    <row r="148" spans="2:16" ht="15" customHeight="1">
      <c r="B148" s="114">
        <v>2028</v>
      </c>
      <c r="C148" s="113">
        <f t="shared" si="22"/>
        <v>130</v>
      </c>
      <c r="D148" s="112">
        <f t="shared" si="23"/>
        <v>127</v>
      </c>
      <c r="E148" s="112">
        <f t="shared" si="23"/>
        <v>116</v>
      </c>
      <c r="F148" s="112">
        <f t="shared" si="23"/>
        <v>112</v>
      </c>
      <c r="G148" s="112">
        <f t="shared" si="23"/>
        <v>108</v>
      </c>
      <c r="H148" s="112">
        <f t="shared" si="23"/>
        <v>106</v>
      </c>
      <c r="I148" s="112">
        <f t="shared" si="23"/>
        <v>104</v>
      </c>
      <c r="J148" s="111">
        <f t="shared" ref="J148:J152" si="25">SUM(C148:I148)</f>
        <v>803</v>
      </c>
    </row>
    <row r="149" spans="2:16" ht="15" customHeight="1">
      <c r="B149" s="114">
        <v>2029</v>
      </c>
      <c r="C149" s="113">
        <f t="shared" si="22"/>
        <v>130</v>
      </c>
      <c r="D149" s="112">
        <f t="shared" si="23"/>
        <v>127</v>
      </c>
      <c r="E149" s="112">
        <f t="shared" si="23"/>
        <v>121</v>
      </c>
      <c r="F149" s="112">
        <f t="shared" si="23"/>
        <v>114</v>
      </c>
      <c r="G149" s="112">
        <f t="shared" si="23"/>
        <v>109</v>
      </c>
      <c r="H149" s="112">
        <f t="shared" si="23"/>
        <v>105</v>
      </c>
      <c r="I149" s="112">
        <f t="shared" si="23"/>
        <v>107</v>
      </c>
      <c r="J149" s="111">
        <f t="shared" si="25"/>
        <v>813</v>
      </c>
    </row>
    <row r="150" spans="2:16" ht="15" customHeight="1">
      <c r="B150" s="114">
        <v>2030</v>
      </c>
      <c r="C150" s="113">
        <f t="shared" si="22"/>
        <v>130</v>
      </c>
      <c r="D150" s="112">
        <f t="shared" si="23"/>
        <v>127</v>
      </c>
      <c r="E150" s="112">
        <f t="shared" si="23"/>
        <v>121</v>
      </c>
      <c r="F150" s="112">
        <f t="shared" si="23"/>
        <v>119</v>
      </c>
      <c r="G150" s="112">
        <f t="shared" si="23"/>
        <v>111</v>
      </c>
      <c r="H150" s="112">
        <f t="shared" si="23"/>
        <v>106</v>
      </c>
      <c r="I150" s="112">
        <f t="shared" si="23"/>
        <v>106</v>
      </c>
      <c r="J150" s="111">
        <f t="shared" si="25"/>
        <v>820</v>
      </c>
    </row>
    <row r="151" spans="2:16" ht="15" customHeight="1">
      <c r="B151" s="114">
        <v>2031</v>
      </c>
      <c r="C151" s="113">
        <f t="shared" si="22"/>
        <v>130</v>
      </c>
      <c r="D151" s="112">
        <f t="shared" si="23"/>
        <v>127</v>
      </c>
      <c r="E151" s="112">
        <f t="shared" si="23"/>
        <v>121</v>
      </c>
      <c r="F151" s="112">
        <f t="shared" si="23"/>
        <v>119</v>
      </c>
      <c r="G151" s="112">
        <f t="shared" si="23"/>
        <v>115</v>
      </c>
      <c r="H151" s="112">
        <f t="shared" si="23"/>
        <v>108</v>
      </c>
      <c r="I151" s="112">
        <f t="shared" si="23"/>
        <v>107</v>
      </c>
      <c r="J151" s="111">
        <f t="shared" si="25"/>
        <v>827</v>
      </c>
    </row>
    <row r="152" spans="2:16" ht="15" customHeight="1">
      <c r="B152" s="114">
        <v>2032</v>
      </c>
      <c r="C152" s="113">
        <f t="shared" si="22"/>
        <v>130</v>
      </c>
      <c r="D152" s="112">
        <f t="shared" si="23"/>
        <v>127</v>
      </c>
      <c r="E152" s="112">
        <f t="shared" si="23"/>
        <v>121</v>
      </c>
      <c r="F152" s="112">
        <f t="shared" si="23"/>
        <v>119</v>
      </c>
      <c r="G152" s="112">
        <f t="shared" si="23"/>
        <v>115</v>
      </c>
      <c r="H152" s="112">
        <f t="shared" si="23"/>
        <v>111</v>
      </c>
      <c r="I152" s="112">
        <f t="shared" si="23"/>
        <v>109</v>
      </c>
      <c r="J152" s="111">
        <f t="shared" si="25"/>
        <v>832</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490</v>
      </c>
      <c r="D159" s="108">
        <f>J140</f>
        <v>535</v>
      </c>
      <c r="E159" s="108">
        <f>J141</f>
        <v>577</v>
      </c>
      <c r="F159" s="108">
        <f>J142</f>
        <v>632</v>
      </c>
      <c r="G159" s="108">
        <f>J143</f>
        <v>678</v>
      </c>
      <c r="H159" s="108">
        <f>J144</f>
        <v>720</v>
      </c>
      <c r="I159" s="108">
        <f>J145</f>
        <v>738</v>
      </c>
      <c r="J159" s="108">
        <f>J146</f>
        <v>773</v>
      </c>
      <c r="K159" s="108">
        <f>J147</f>
        <v>791</v>
      </c>
      <c r="L159" s="108">
        <f>J148</f>
        <v>803</v>
      </c>
      <c r="M159" s="108">
        <f>J149</f>
        <v>813</v>
      </c>
      <c r="N159" s="108">
        <f>J150</f>
        <v>820</v>
      </c>
      <c r="O159" s="108">
        <f>J151</f>
        <v>827</v>
      </c>
      <c r="P159" s="108">
        <f>J152</f>
        <v>832</v>
      </c>
    </row>
    <row r="160" spans="2:16" ht="15" customHeight="1">
      <c r="B160" s="107" t="s">
        <v>152</v>
      </c>
      <c r="C160" s="106">
        <f>VLOOKUP(C159,Capacity!$A$1:$C$645,2,TRUE)</f>
        <v>18</v>
      </c>
      <c r="D160" s="106">
        <f>VLOOKUP(D159,Capacity!$A$1:$C$645,2,TRUE)</f>
        <v>19</v>
      </c>
      <c r="E160" s="106">
        <f>VLOOKUP(E159,Capacity!$A$1:$C$645,2,TRUE)</f>
        <v>21</v>
      </c>
      <c r="F160" s="106">
        <f>VLOOKUP(F159,Capacity!$A$1:$C$645,2,TRUE)</f>
        <v>22</v>
      </c>
      <c r="G160" s="106">
        <f>VLOOKUP(G159,Capacity!$A$1:$C$645,2,TRUE)</f>
        <v>23</v>
      </c>
      <c r="H160" s="106">
        <f>VLOOKUP(H159,Capacity!$A$1:$C$645,2,TRUE)</f>
        <v>23</v>
      </c>
      <c r="I160" s="106">
        <f>VLOOKUP(I159,Capacity!$A$1:$C$645,2,TRUE)</f>
        <v>23</v>
      </c>
      <c r="J160" s="106">
        <f>VLOOKUP(J159,Capacity!$A$1:$C$645,2,TRUE)</f>
        <v>23</v>
      </c>
      <c r="K160" s="106">
        <f>VLOOKUP(K159,Capacity!$A$1:$C$645,2,TRUE)</f>
        <v>23</v>
      </c>
      <c r="L160" s="106">
        <f>VLOOKUP(L159,Capacity!$A$1:$C$645,2,TRUE)</f>
        <v>23</v>
      </c>
      <c r="M160" s="106">
        <f>VLOOKUP(M159,Capacity!$A$1:$C$645,2,TRUE)</f>
        <v>23</v>
      </c>
      <c r="N160" s="106">
        <f>VLOOKUP(N159,Capacity!$A$1:$C$645,2,TRUE)</f>
        <v>23</v>
      </c>
      <c r="O160" s="106">
        <f>VLOOKUP(O159,Capacity!$A$1:$C$645,2,TRUE)</f>
        <v>23</v>
      </c>
      <c r="P160" s="106">
        <f>VLOOKUP(P159,Capacity!$A$1:$C$645,2,TRUE)</f>
        <v>23</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106</v>
      </c>
      <c r="D169" s="97">
        <f>VLOOKUP($E$3,'Catchment Births'!$A$1:$U$90,11,FALSE)</f>
        <v>106</v>
      </c>
      <c r="E169" s="97">
        <f>VLOOKUP($E$3,'Catchment Births'!$A$1:$U$90,12,FALSE)</f>
        <v>99</v>
      </c>
      <c r="F169" s="97">
        <f>VLOOKUP($E$3,'Catchment Births'!$A$1:$U$90,13,FALSE)</f>
        <v>98</v>
      </c>
      <c r="G169" s="97">
        <f>VLOOKUP($E$3,'Catchment Births'!$A$1:$U$90,14,FALSE)</f>
        <v>85</v>
      </c>
      <c r="H169" s="97">
        <f>VLOOKUP($E$3,'Catchment Births'!$A$1:$U$90,15,FALSE)</f>
        <v>112</v>
      </c>
      <c r="I169" s="97">
        <f>VLOOKUP($E$3,'Catchment Births'!$A$1:$U$90,16,FALSE)</f>
        <v>100</v>
      </c>
      <c r="J169" s="97">
        <f>VLOOKUP($E$3,'Catchment Births'!$A$1:$U$90,17,FALSE)</f>
        <v>92</v>
      </c>
      <c r="K169" s="97">
        <f>VLOOKUP($E$3,'Catchment Births'!$A$1:$U$90,18,FALSE)</f>
        <v>94</v>
      </c>
      <c r="L169" s="97">
        <f>VLOOKUP($E$3,'Catchment Births'!$A$1:$U$90,19,FALSE)</f>
        <v>108</v>
      </c>
      <c r="M169" s="97">
        <f>VLOOKUP($E$3,'Catchment Births'!$A$1:$U$90,20,FALSE)</f>
        <v>105</v>
      </c>
      <c r="N169" s="97">
        <f>VLOOKUP($E$3,'Catchment Births'!$A$1:$U$90,21,FALSE)</f>
        <v>123</v>
      </c>
    </row>
    <row r="170" spans="2:14" ht="58.5" customHeight="1">
      <c r="B170" s="103" t="str">
        <f>"P1 "&amp;A35&amp;" Catchment Population (Actual)"</f>
        <v>P1 ND Catchment Population (Actual)</v>
      </c>
      <c r="C170" s="102" t="e">
        <v>#REF!</v>
      </c>
      <c r="D170" s="102">
        <v>61</v>
      </c>
      <c r="E170" s="102">
        <v>63</v>
      </c>
      <c r="F170" s="102">
        <v>79</v>
      </c>
      <c r="G170" s="102">
        <v>94</v>
      </c>
      <c r="H170" s="102">
        <v>93</v>
      </c>
      <c r="I170" s="102">
        <v>87</v>
      </c>
      <c r="J170" s="308">
        <f>VLOOKUP(E3,'Catchment Projections'!A1:BU92,42,FALSE)</f>
        <v>63</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87</v>
      </c>
      <c r="J172" s="96" t="e">
        <f>#REF!</f>
        <v>#REF!</v>
      </c>
      <c r="K172" s="96">
        <f>D51</f>
        <v>81</v>
      </c>
      <c r="L172" s="96">
        <f>E51</f>
        <v>102</v>
      </c>
      <c r="M172" s="96">
        <f>F51</f>
        <v>98</v>
      </c>
      <c r="N172" s="96">
        <f>G51</f>
        <v>111</v>
      </c>
    </row>
    <row r="173" spans="2:14" ht="12.75">
      <c r="B173" s="62"/>
      <c r="C173" s="62"/>
      <c r="D173" s="62"/>
      <c r="E173" s="62"/>
      <c r="F173" s="62"/>
      <c r="G173" s="62"/>
      <c r="H173" s="62"/>
      <c r="I173" s="62"/>
      <c r="J173" s="62"/>
      <c r="K173" s="62"/>
    </row>
    <row r="174" spans="2:14" ht="15" customHeight="1">
      <c r="B174" s="64" t="str">
        <f>"Table 5: "&amp;E3&amp;" Roll by Stage, 2002-2018"</f>
        <v>Table 5: Gilmerton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59</v>
      </c>
      <c r="D177" s="93">
        <v>61</v>
      </c>
      <c r="E177" s="93">
        <v>68</v>
      </c>
      <c r="F177" s="93">
        <v>51</v>
      </c>
      <c r="G177" s="93">
        <v>61</v>
      </c>
      <c r="H177" s="93">
        <v>63</v>
      </c>
      <c r="I177" s="93">
        <v>70</v>
      </c>
      <c r="J177" s="92">
        <v>433</v>
      </c>
      <c r="K177" s="62"/>
    </row>
    <row r="178" spans="2:11" ht="15" customHeight="1">
      <c r="B178" s="94">
        <v>2003</v>
      </c>
      <c r="C178" s="93">
        <v>60</v>
      </c>
      <c r="D178" s="93">
        <v>60</v>
      </c>
      <c r="E178" s="93">
        <v>63</v>
      </c>
      <c r="F178" s="93">
        <v>65</v>
      </c>
      <c r="G178" s="93">
        <v>53</v>
      </c>
      <c r="H178" s="93">
        <v>59</v>
      </c>
      <c r="I178" s="93">
        <v>61</v>
      </c>
      <c r="J178" s="92">
        <v>421</v>
      </c>
      <c r="K178" s="62"/>
    </row>
    <row r="179" spans="2:11" customFormat="1" ht="15" customHeight="1">
      <c r="B179" s="94">
        <v>2004</v>
      </c>
      <c r="C179" s="95">
        <v>60</v>
      </c>
      <c r="D179" s="95">
        <v>59</v>
      </c>
      <c r="E179" s="95">
        <v>60</v>
      </c>
      <c r="F179" s="95">
        <v>65</v>
      </c>
      <c r="G179" s="95">
        <v>64</v>
      </c>
      <c r="H179" s="95">
        <v>47</v>
      </c>
      <c r="I179" s="95">
        <v>60</v>
      </c>
      <c r="J179" s="92">
        <v>415</v>
      </c>
      <c r="K179" s="62"/>
    </row>
    <row r="180" spans="2:11" customFormat="1" ht="15" customHeight="1">
      <c r="B180" s="94">
        <v>2005</v>
      </c>
      <c r="C180" s="93">
        <v>59</v>
      </c>
      <c r="D180" s="93">
        <v>59</v>
      </c>
      <c r="E180" s="93">
        <v>57</v>
      </c>
      <c r="F180" s="93">
        <v>59</v>
      </c>
      <c r="G180" s="93">
        <v>64</v>
      </c>
      <c r="H180" s="93">
        <v>66</v>
      </c>
      <c r="I180" s="93">
        <v>50</v>
      </c>
      <c r="J180" s="92">
        <v>414</v>
      </c>
      <c r="K180" s="62"/>
    </row>
    <row r="181" spans="2:11" customFormat="1" ht="15" customHeight="1">
      <c r="B181" s="94">
        <v>2006</v>
      </c>
      <c r="C181" s="93">
        <v>57</v>
      </c>
      <c r="D181" s="93">
        <v>55</v>
      </c>
      <c r="E181" s="93">
        <v>60</v>
      </c>
      <c r="F181" s="93">
        <v>54</v>
      </c>
      <c r="G181" s="93">
        <v>60</v>
      </c>
      <c r="H181" s="93">
        <v>65</v>
      </c>
      <c r="I181" s="93">
        <v>65</v>
      </c>
      <c r="J181" s="92">
        <v>416</v>
      </c>
      <c r="K181" s="62"/>
    </row>
    <row r="182" spans="2:11" customFormat="1" ht="15" customHeight="1">
      <c r="B182" s="94">
        <v>2007</v>
      </c>
      <c r="C182" s="93">
        <v>42</v>
      </c>
      <c r="D182" s="93">
        <v>55</v>
      </c>
      <c r="E182" s="93">
        <v>52</v>
      </c>
      <c r="F182" s="93">
        <v>57</v>
      </c>
      <c r="G182" s="93">
        <v>59</v>
      </c>
      <c r="H182" s="93">
        <v>56</v>
      </c>
      <c r="I182" s="93">
        <v>62</v>
      </c>
      <c r="J182" s="92">
        <v>383</v>
      </c>
      <c r="K182" s="62"/>
    </row>
    <row r="183" spans="2:11" customFormat="1" ht="15" customHeight="1">
      <c r="B183" s="94">
        <v>2008</v>
      </c>
      <c r="C183" s="93">
        <v>48</v>
      </c>
      <c r="D183" s="93">
        <v>39</v>
      </c>
      <c r="E183" s="93">
        <v>53</v>
      </c>
      <c r="F183" s="93">
        <v>50</v>
      </c>
      <c r="G183" s="93">
        <v>56</v>
      </c>
      <c r="H183" s="93">
        <v>57</v>
      </c>
      <c r="I183" s="93">
        <v>53</v>
      </c>
      <c r="J183" s="92">
        <v>356</v>
      </c>
      <c r="K183" s="62"/>
    </row>
    <row r="184" spans="2:11" customFormat="1" ht="15" customHeight="1">
      <c r="B184" s="94">
        <v>2009</v>
      </c>
      <c r="C184" s="93">
        <v>48</v>
      </c>
      <c r="D184" s="93">
        <v>46</v>
      </c>
      <c r="E184" s="93">
        <v>46</v>
      </c>
      <c r="F184" s="93">
        <v>50</v>
      </c>
      <c r="G184" s="93">
        <v>54</v>
      </c>
      <c r="H184" s="93">
        <v>55</v>
      </c>
      <c r="I184" s="93">
        <v>61</v>
      </c>
      <c r="J184" s="94">
        <v>360</v>
      </c>
      <c r="K184" s="62"/>
    </row>
    <row r="185" spans="2:11" customFormat="1" ht="15" customHeight="1">
      <c r="B185" s="94">
        <v>2010</v>
      </c>
      <c r="C185" s="93">
        <v>54</v>
      </c>
      <c r="D185" s="93">
        <v>47</v>
      </c>
      <c r="E185" s="93">
        <v>47</v>
      </c>
      <c r="F185" s="93">
        <v>47</v>
      </c>
      <c r="G185" s="93">
        <v>49</v>
      </c>
      <c r="H185" s="93">
        <v>52</v>
      </c>
      <c r="I185" s="93">
        <v>56</v>
      </c>
      <c r="J185" s="92">
        <v>352</v>
      </c>
      <c r="K185" s="62"/>
    </row>
    <row r="186" spans="2:11" customFormat="1" ht="15" customHeight="1">
      <c r="B186" s="94">
        <v>2011</v>
      </c>
      <c r="C186" s="93">
        <v>50</v>
      </c>
      <c r="D186" s="93">
        <v>54</v>
      </c>
      <c r="E186" s="93">
        <v>49</v>
      </c>
      <c r="F186" s="93">
        <v>45</v>
      </c>
      <c r="G186" s="93">
        <v>47</v>
      </c>
      <c r="H186" s="93">
        <v>49</v>
      </c>
      <c r="I186" s="93">
        <v>52</v>
      </c>
      <c r="J186" s="92">
        <v>346</v>
      </c>
      <c r="K186" s="62"/>
    </row>
    <row r="187" spans="2:11" customFormat="1" ht="15" customHeight="1">
      <c r="B187" s="94">
        <v>2012</v>
      </c>
      <c r="C187" s="93">
        <v>66</v>
      </c>
      <c r="D187" s="93">
        <v>50</v>
      </c>
      <c r="E187" s="93">
        <v>58</v>
      </c>
      <c r="F187" s="93">
        <v>50</v>
      </c>
      <c r="G187" s="93">
        <v>47</v>
      </c>
      <c r="H187" s="93">
        <v>46</v>
      </c>
      <c r="I187" s="93">
        <v>50</v>
      </c>
      <c r="J187" s="92">
        <v>367</v>
      </c>
      <c r="K187" s="62"/>
    </row>
    <row r="188" spans="2:11" customFormat="1" ht="15" customHeight="1">
      <c r="B188" s="94">
        <v>2013</v>
      </c>
      <c r="C188" s="93">
        <v>84</v>
      </c>
      <c r="D188" s="93">
        <v>65</v>
      </c>
      <c r="E188" s="93">
        <v>52</v>
      </c>
      <c r="F188" s="93">
        <v>59</v>
      </c>
      <c r="G188" s="93">
        <v>48</v>
      </c>
      <c r="H188" s="93">
        <v>48</v>
      </c>
      <c r="I188" s="93">
        <v>44</v>
      </c>
      <c r="J188" s="94">
        <v>400</v>
      </c>
      <c r="K188" s="62"/>
    </row>
    <row r="189" spans="2:11" customFormat="1" ht="15" customHeight="1">
      <c r="B189" s="94">
        <v>2014</v>
      </c>
      <c r="C189" s="93">
        <v>91</v>
      </c>
      <c r="D189" s="93">
        <v>75</v>
      </c>
      <c r="E189" s="93">
        <v>59</v>
      </c>
      <c r="F189" s="93">
        <v>50</v>
      </c>
      <c r="G189" s="93">
        <v>53</v>
      </c>
      <c r="H189" s="93">
        <v>48</v>
      </c>
      <c r="I189" s="93">
        <v>45</v>
      </c>
      <c r="J189" s="92">
        <v>421</v>
      </c>
      <c r="K189" s="65"/>
    </row>
    <row r="190" spans="2:11" customFormat="1" ht="15" customHeight="1">
      <c r="B190" s="94">
        <v>2015</v>
      </c>
      <c r="C190" s="93">
        <v>72</v>
      </c>
      <c r="D190" s="93">
        <v>89</v>
      </c>
      <c r="E190" s="93">
        <v>76</v>
      </c>
      <c r="F190" s="93">
        <v>60</v>
      </c>
      <c r="G190" s="93">
        <v>47</v>
      </c>
      <c r="H190" s="93">
        <v>55</v>
      </c>
      <c r="I190" s="93">
        <v>50</v>
      </c>
      <c r="J190" s="92">
        <v>449</v>
      </c>
      <c r="K190" s="65"/>
    </row>
    <row r="191" spans="2:11" customFormat="1" ht="15" customHeight="1">
      <c r="B191" s="94">
        <v>2016</v>
      </c>
      <c r="C191" s="93">
        <v>62</v>
      </c>
      <c r="D191" s="93">
        <v>68</v>
      </c>
      <c r="E191" s="93">
        <v>81</v>
      </c>
      <c r="F191" s="93">
        <v>75</v>
      </c>
      <c r="G191" s="93">
        <v>53</v>
      </c>
      <c r="H191" s="93">
        <v>42</v>
      </c>
      <c r="I191" s="93">
        <v>56</v>
      </c>
      <c r="J191" s="92">
        <v>437</v>
      </c>
      <c r="K191" s="65"/>
    </row>
    <row r="192" spans="2:11" ht="15" customHeight="1">
      <c r="B192" s="94">
        <v>2017</v>
      </c>
      <c r="C192" s="93">
        <f>VLOOKUP($E$3,Rolls!A1:FA90,42,FALSE)</f>
        <v>63</v>
      </c>
      <c r="D192" s="93">
        <f>VLOOKUP($E$3,Rolls!A1:FA90,43,FALSE)</f>
        <v>64</v>
      </c>
      <c r="E192" s="93">
        <f>VLOOKUP($E$3,Rolls!A1:FA90,44,FALSE)</f>
        <v>63</v>
      </c>
      <c r="F192" s="93">
        <f>VLOOKUP($E$3,Rolls!A1:FA90,45,FALSE)</f>
        <v>77</v>
      </c>
      <c r="G192" s="93">
        <f>VLOOKUP($E$3,Rolls!A1:FA90,46,FALSE)</f>
        <v>74</v>
      </c>
      <c r="H192" s="93">
        <f>VLOOKUP($E$3,Rolls!A1:FA90,47,FALSE)</f>
        <v>49</v>
      </c>
      <c r="I192" s="93">
        <f>VLOOKUP($E$3,Rolls!A1:FA90,48,FALSE)</f>
        <v>45</v>
      </c>
      <c r="J192" s="92">
        <f>VLOOKUP($E$3,Rolls!A1:FA90,49,FALSE)</f>
        <v>435</v>
      </c>
      <c r="K192" s="65"/>
    </row>
    <row r="193" spans="2:11" ht="15" customHeight="1">
      <c r="B193" s="94">
        <v>2018</v>
      </c>
      <c r="C193" s="93">
        <f>VLOOKUP($E$3,Rolls!A1:FA90,50,FALSE)</f>
        <v>81</v>
      </c>
      <c r="D193" s="93">
        <f>VLOOKUP($E$3,Rolls!A1:FA90,51,FALSE)</f>
        <v>64</v>
      </c>
      <c r="E193" s="93">
        <f>VLOOKUP($E$3,Rolls!A1:FA90,52,FALSE)</f>
        <v>59</v>
      </c>
      <c r="F193" s="93">
        <f>VLOOKUP($E$3,Rolls!A1:FA90,53,FALSE)</f>
        <v>60</v>
      </c>
      <c r="G193" s="93">
        <f>VLOOKUP($E$3,Rolls!A1:FA90,54,FALSE)</f>
        <v>75</v>
      </c>
      <c r="H193" s="93">
        <f>VLOOKUP($E$3,Rolls!A1:FA90,55,FALSE)</f>
        <v>69</v>
      </c>
      <c r="I193" s="93">
        <f>VLOOKUP($E$3,Rolls!A1:FA90,56,FALSE)</f>
        <v>50</v>
      </c>
      <c r="J193" s="92">
        <f>VLOOKUP($E$3,Rolls!A1:FA90,57,FALSE)</f>
        <v>458</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36</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Gracemount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560 Pupils (20 classes)</v>
      </c>
      <c r="G12" s="16"/>
      <c r="H12" s="16"/>
    </row>
    <row r="13" spans="2:10" ht="15" customHeight="1">
      <c r="C13" s="16"/>
      <c r="D13" s="16"/>
      <c r="E13" s="16"/>
      <c r="F13" s="16"/>
      <c r="G13" s="16"/>
      <c r="H13" s="16"/>
    </row>
    <row r="14" spans="2:10" ht="15" customHeight="1">
      <c r="B14" s="15" t="str">
        <f>"Figure 1: "&amp;E3&amp;" Roll, 2002-2015"</f>
        <v>Figure 1: Gracemount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Gracemount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79</v>
      </c>
      <c r="E49" s="108">
        <f>VLOOKUP($E$3,'Catchment Projections'!$A$1:$BU$90,46,FALSE)</f>
        <v>70</v>
      </c>
      <c r="F49" s="108">
        <f>VLOOKUP($E$3,'Catchment Projections'!$A$1:$BU$90,47,FALSE)</f>
        <v>88</v>
      </c>
      <c r="G49" s="108">
        <f>VLOOKUP($E$3,'Catchment Projections'!$A$1:$BU$90,48,FALSE)</f>
        <v>73</v>
      </c>
      <c r="H49" s="133">
        <f>VLOOKUP($E$3,'Catchment Projections'!$A$1:$BU$90,49,FALSE)</f>
        <v>79</v>
      </c>
      <c r="I49" s="133">
        <f>VLOOKUP($E$3,'Catchment Projections'!$A$1:$BU$90,50,FALSE)</f>
        <v>79</v>
      </c>
      <c r="J49" s="133">
        <f>VLOOKUP($E$3,'Catchment Projections'!$A$1:$BU$90,51,FALSE)</f>
        <v>80</v>
      </c>
      <c r="K49" s="133">
        <f>VLOOKUP($E$3,'Catchment Projections'!$A$1:$BU$90,52,FALSE)</f>
        <v>81</v>
      </c>
      <c r="L49" s="133">
        <f>VLOOKUP($E$3,'Catchment Projections'!$A$1:$BU$90,53,FALSE)</f>
        <v>82</v>
      </c>
      <c r="M49" s="133">
        <f>VLOOKUP($E$3,'Catchment Projections'!$A$1:$BU$90,54,FALSE)</f>
        <v>82</v>
      </c>
      <c r="N49" s="133">
        <f>VLOOKUP($E$3,'Catchment Projections'!$A$1:$BU$90,55,FALSE)</f>
        <v>82</v>
      </c>
      <c r="O49" s="133">
        <f>VLOOKUP($E$3,'Catchment Projections'!$A$1:$BU$90,56,FALSE)</f>
        <v>82</v>
      </c>
      <c r="P49" s="133">
        <f>VLOOKUP($E$3,'Catchment Projections'!$A$1:$BU$90,57,FALSE)</f>
        <v>82</v>
      </c>
      <c r="Q49" s="133">
        <f>VLOOKUP($E$3,'Catchment Projections'!$A$1:$BU$90,58,FALSE)</f>
        <v>82</v>
      </c>
    </row>
    <row r="50" spans="2:17" ht="15" customHeight="1" thickBot="1">
      <c r="B50" s="410" t="s">
        <v>141</v>
      </c>
      <c r="C50" s="411"/>
      <c r="D50" s="286">
        <f>VLOOKUP(E3,'Housing Generation'!$A$3:$DQ$90,10,FALSE)</f>
        <v>5</v>
      </c>
      <c r="E50" s="286">
        <f>VLOOKUP(E3,'Housing Generation'!$A$3:$DQ$90,18,FALSE)</f>
        <v>7</v>
      </c>
      <c r="F50" s="286">
        <f>VLOOKUP(E3,'Housing Generation'!$A$3:$DQ$90,26,FALSE)</f>
        <v>8</v>
      </c>
      <c r="G50" s="243">
        <f>VLOOKUP(E3,'Housing Generation'!$A$3:$DQ$90,34,FALSE)</f>
        <v>10</v>
      </c>
      <c r="H50" s="133">
        <f>VLOOKUP(E3,'Housing Generation'!$A$3:$DQ$90,42,FALSE)</f>
        <v>11</v>
      </c>
      <c r="I50" s="133">
        <f>VLOOKUP(E3,'Housing Generation'!$A$3:$DQ$90,50,FALSE)</f>
        <v>15</v>
      </c>
      <c r="J50" s="133">
        <f>VLOOKUP(E3,'Housing Generation'!$A$3:$CK$90,58,FALSE)</f>
        <v>20</v>
      </c>
      <c r="K50" s="133">
        <f>VLOOKUP(E3,'Housing Generation'!$A$3:$CK$90,66,FALSE)</f>
        <v>24</v>
      </c>
      <c r="L50" s="133">
        <f>VLOOKUP(E3,'Housing Generation'!$A$3:$DQ$90,74,FALSE)</f>
        <v>28</v>
      </c>
      <c r="M50" s="133">
        <f>VLOOKUP(E3,'Housing Generation'!$A$3:$DQ$90,82,FALSE)</f>
        <v>30</v>
      </c>
      <c r="N50" s="133">
        <f>VLOOKUP(E3,'Housing Generation'!$A$3:$DQ$90,90,FALSE)</f>
        <v>31</v>
      </c>
      <c r="O50" s="133">
        <f>VLOOKUP(E3,'Housing Generation'!$A$3:$DQ$90,98,FALSE)</f>
        <v>32</v>
      </c>
      <c r="P50" s="133">
        <f>VLOOKUP(E3,'Housing Generation'!$A$3:$DQ$90,106,FALSE)</f>
        <v>33</v>
      </c>
      <c r="Q50" s="133">
        <f>VLOOKUP(E3,'Housing Generation'!$A$3:$DQ$90,114,FALSE)</f>
        <v>34</v>
      </c>
    </row>
    <row r="51" spans="2:17" ht="15" customHeight="1" thickTop="1">
      <c r="B51" s="421" t="s">
        <v>130</v>
      </c>
      <c r="C51" s="422"/>
      <c r="D51" s="47">
        <f t="shared" ref="D51:Q51" si="0">SUM(D49:D50)</f>
        <v>84</v>
      </c>
      <c r="E51" s="47">
        <f t="shared" si="0"/>
        <v>77</v>
      </c>
      <c r="F51" s="80">
        <f t="shared" si="0"/>
        <v>96</v>
      </c>
      <c r="G51" s="244">
        <f t="shared" si="0"/>
        <v>83</v>
      </c>
      <c r="H51" s="71">
        <f t="shared" si="0"/>
        <v>90</v>
      </c>
      <c r="I51" s="71">
        <f t="shared" si="0"/>
        <v>94</v>
      </c>
      <c r="J51" s="71">
        <f t="shared" si="0"/>
        <v>100</v>
      </c>
      <c r="K51" s="71">
        <f t="shared" si="0"/>
        <v>105</v>
      </c>
      <c r="L51" s="71">
        <f t="shared" si="0"/>
        <v>110</v>
      </c>
      <c r="M51" s="71">
        <f t="shared" si="0"/>
        <v>112</v>
      </c>
      <c r="N51" s="71">
        <f t="shared" si="0"/>
        <v>113</v>
      </c>
      <c r="O51" s="71">
        <f t="shared" si="0"/>
        <v>114</v>
      </c>
      <c r="P51" s="71">
        <f t="shared" si="0"/>
        <v>115</v>
      </c>
      <c r="Q51" s="71">
        <f t="shared" si="0"/>
        <v>116</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83</v>
      </c>
      <c r="D60" s="358">
        <f>VLOOKUP($E$3,'Catchment Projections'!$A$1:$BZ$90,74,FALSE)</f>
        <v>70</v>
      </c>
      <c r="E60" s="303">
        <f>D60/C60</f>
        <v>0.84337349397590367</v>
      </c>
      <c r="G60" s="132">
        <v>2014</v>
      </c>
      <c r="H60" s="395">
        <f>VLOOKUP($G$60,$B$177:$C$215, 2, FALSE)</f>
        <v>80</v>
      </c>
      <c r="I60" s="120">
        <f>H60-D60</f>
        <v>10</v>
      </c>
      <c r="J60" s="121">
        <f>I60/H60</f>
        <v>0.125</v>
      </c>
    </row>
    <row r="61" spans="2:17" ht="15" customHeight="1">
      <c r="B61" s="132">
        <v>2015</v>
      </c>
      <c r="C61" s="359">
        <f>VLOOKUP($E$3,'Catchment Projections'!$A$1:$BZ$90,41,FALSE)</f>
        <v>65</v>
      </c>
      <c r="D61" s="358">
        <f>VLOOKUP($E$3,'Catchment Projections'!$A$1:$BZ$90,75,FALSE)</f>
        <v>56</v>
      </c>
      <c r="E61" s="303">
        <f>D61/C61</f>
        <v>0.86153846153846159</v>
      </c>
      <c r="G61" s="132">
        <v>2015</v>
      </c>
      <c r="H61" s="395">
        <f>VLOOKUP($G$61,$B$177:$C$215, 2, FALSE)</f>
        <v>63</v>
      </c>
      <c r="I61" s="120">
        <f>H61-D61</f>
        <v>7</v>
      </c>
      <c r="J61" s="121">
        <f>I61/H61</f>
        <v>0.1111111111111111</v>
      </c>
    </row>
    <row r="62" spans="2:17" ht="15" customHeight="1">
      <c r="B62" s="131">
        <v>2016</v>
      </c>
      <c r="C62" s="359">
        <f>VLOOKUP($E$3,'Catchment Projections'!$A$1:$BZ$90,42,FALSE)</f>
        <v>81</v>
      </c>
      <c r="D62" s="358">
        <f>VLOOKUP($E$3,'Catchment Projections'!$A$1:$BZ$90,76,FALSE)</f>
        <v>68</v>
      </c>
      <c r="E62" s="57">
        <f>D62/C62</f>
        <v>0.83950617283950613</v>
      </c>
      <c r="G62" s="131">
        <v>2016</v>
      </c>
      <c r="H62" s="395">
        <f>VLOOKUP($G$62,$B$177:$C$215, 2, FALSE)</f>
        <v>73</v>
      </c>
      <c r="I62" s="120">
        <f>H62-D62</f>
        <v>5</v>
      </c>
      <c r="J62" s="121">
        <f>I62/H62</f>
        <v>6.8493150684931503E-2</v>
      </c>
    </row>
    <row r="63" spans="2:17" ht="15" customHeight="1">
      <c r="B63" s="114">
        <v>2017</v>
      </c>
      <c r="C63" s="359">
        <f>VLOOKUP($E$3,'Catchment Projections'!$A$1:$BZ$90,43,FALSE)</f>
        <v>94</v>
      </c>
      <c r="D63" s="358">
        <f>VLOOKUP($E$3,'Catchment Projections'!$A$1:$BZ$90,77,FALSE)</f>
        <v>83</v>
      </c>
      <c r="E63" s="304">
        <f>D63/C63</f>
        <v>0.88297872340425532</v>
      </c>
      <c r="G63" s="114">
        <v>2017</v>
      </c>
      <c r="H63" s="395">
        <f>VLOOKUP($G$63,$B$177:$C$215, 2, FALSE)</f>
        <v>85</v>
      </c>
      <c r="I63" s="120">
        <f>H63-D63</f>
        <v>2</v>
      </c>
      <c r="J63" s="121">
        <f>I63/H63</f>
        <v>2.3529411764705882E-2</v>
      </c>
    </row>
    <row r="64" spans="2:17" ht="15" customHeight="1">
      <c r="B64" s="114">
        <v>2018</v>
      </c>
      <c r="C64" s="359">
        <f>VLOOKUP($E$3,'Catchment Projections'!$A$1:$BZ$90,44,FALSE)</f>
        <v>64</v>
      </c>
      <c r="D64" s="358">
        <f>VLOOKUP($E$3,'Catchment Projections'!$A$1:$BZ$90,78,FALSE)</f>
        <v>51</v>
      </c>
      <c r="E64" s="305">
        <f>D64/C64</f>
        <v>0.796875</v>
      </c>
      <c r="G64" s="114">
        <v>2018</v>
      </c>
      <c r="H64" s="395">
        <f>VLOOKUP($G$64,$B$177:$C$215, 2, FALSE)</f>
        <v>63</v>
      </c>
      <c r="I64" s="120">
        <f>H64-D64</f>
        <v>12</v>
      </c>
      <c r="J64" s="121">
        <f>I64/H64</f>
        <v>0.19047619047619047</v>
      </c>
    </row>
    <row r="65" spans="2:10" ht="15" customHeight="1">
      <c r="B65" s="412" t="s">
        <v>136</v>
      </c>
      <c r="C65" s="413"/>
      <c r="D65" s="414"/>
      <c r="E65" s="137">
        <f>IF((AVERAGE(E62:E64))="#DIV/0!","n/a",(AVERAGE(E62:E64)))</f>
        <v>0.83978663208125381</v>
      </c>
      <c r="G65" s="415" t="s">
        <v>137</v>
      </c>
      <c r="H65" s="416"/>
      <c r="I65" s="138">
        <f>MEDIAN(I60:I64)</f>
        <v>7</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84</v>
      </c>
      <c r="D70" s="408"/>
      <c r="E70" s="122">
        <f>E65</f>
        <v>0.83978663208125381</v>
      </c>
      <c r="F70" s="120">
        <f t="shared" ref="F70:F83" si="1">C70*$E$65</f>
        <v>70.542077094825316</v>
      </c>
      <c r="G70" s="118">
        <f>IF(F70&lt;26,25,IF(F70&gt;135,140,IF(F70&gt;130,135,IF(F70&gt;125,130,IF(F70&gt;120,125,IF(F70&gt;115,120,IF(F70&gt;110,115,IF(F70&gt;105,110,IF(F70&gt;100,105,IF(F70&gt;99,100,IF(F70&gt;90,99,IF(F70&gt;75,90,IF(F70&gt;72,75,IF(F70&gt;66,72,IF(F70&gt;60,66,IF(F70&gt;50,60,IF(F70&gt;30,50,IF(F70&gt;25,30,0))))))))))))))))))</f>
        <v>72</v>
      </c>
      <c r="H70" s="119">
        <f t="shared" ref="H70:H83" si="2">G70-F70</f>
        <v>1.4579229051746836</v>
      </c>
      <c r="I70" s="118" t="str">
        <f>IF(I$65&lt;H70, "NO", "YES")</f>
        <v>YES</v>
      </c>
      <c r="J70" s="117">
        <f t="shared" ref="J70:J83" si="3">IF(I70="YES",G70,(MIN((SUM(F70,$I$65)),G70)))</f>
        <v>72</v>
      </c>
    </row>
    <row r="71" spans="2:10" ht="15" customHeight="1">
      <c r="B71" s="114">
        <v>2020</v>
      </c>
      <c r="C71" s="433">
        <f>E51</f>
        <v>77</v>
      </c>
      <c r="D71" s="408"/>
      <c r="E71" s="121">
        <f>E65</f>
        <v>0.83978663208125381</v>
      </c>
      <c r="F71" s="120">
        <f t="shared" si="1"/>
        <v>64.663570670256547</v>
      </c>
      <c r="G71" s="118">
        <f t="shared" ref="G71:G83" si="4">IF(F71&lt;26,25,IF(F71&gt;135,140,IF(F71&gt;130,135,IF(F71&gt;125,130,IF(F71&gt;120,125,IF(F71&gt;115,120,IF(F71&gt;110,115,IF(F71&gt;105,110,IF(F71&gt;100,105,IF(F71&gt;99,100,IF(F71&gt;90,99,IF(F71&gt;75,90,IF(F71&gt;72,75,IF(F71&gt;66,72,IF(F71&gt;60,66,IF(F71&gt;50,60,IF(F71&gt;30,50,IF(F71&gt;25,30,0))))))))))))))))))</f>
        <v>66</v>
      </c>
      <c r="H71" s="119">
        <f t="shared" si="2"/>
        <v>1.3364293297434529</v>
      </c>
      <c r="I71" s="118" t="str">
        <f t="shared" ref="I71:I83" si="5">IF(I$65&lt;H71, "NO", "YES")</f>
        <v>YES</v>
      </c>
      <c r="J71" s="117">
        <f t="shared" si="3"/>
        <v>66</v>
      </c>
    </row>
    <row r="72" spans="2:10" ht="15" customHeight="1">
      <c r="B72" s="114">
        <v>2021</v>
      </c>
      <c r="C72" s="430">
        <f>F51</f>
        <v>96</v>
      </c>
      <c r="D72" s="431"/>
      <c r="E72" s="121">
        <f>E65</f>
        <v>0.83978663208125381</v>
      </c>
      <c r="F72" s="120">
        <f t="shared" si="1"/>
        <v>80.61951667980037</v>
      </c>
      <c r="G72" s="118">
        <f t="shared" si="4"/>
        <v>90</v>
      </c>
      <c r="H72" s="119">
        <f t="shared" si="2"/>
        <v>9.3804833201996303</v>
      </c>
      <c r="I72" s="118" t="str">
        <f t="shared" si="5"/>
        <v>NO</v>
      </c>
      <c r="J72" s="117">
        <f t="shared" si="3"/>
        <v>87.61951667980037</v>
      </c>
    </row>
    <row r="73" spans="2:10" ht="15" customHeight="1">
      <c r="B73" s="114">
        <v>2022</v>
      </c>
      <c r="C73" s="430">
        <f>G51</f>
        <v>83</v>
      </c>
      <c r="D73" s="431"/>
      <c r="E73" s="121">
        <f>E65</f>
        <v>0.83978663208125381</v>
      </c>
      <c r="F73" s="120">
        <f t="shared" si="1"/>
        <v>69.70229046274406</v>
      </c>
      <c r="G73" s="118">
        <f t="shared" si="4"/>
        <v>72</v>
      </c>
      <c r="H73" s="119">
        <f t="shared" si="2"/>
        <v>2.2977095372559404</v>
      </c>
      <c r="I73" s="118" t="str">
        <f t="shared" si="5"/>
        <v>YES</v>
      </c>
      <c r="J73" s="117">
        <f t="shared" si="3"/>
        <v>72</v>
      </c>
    </row>
    <row r="74" spans="2:10" ht="15" customHeight="1">
      <c r="B74" s="114">
        <v>2023</v>
      </c>
      <c r="C74" s="430">
        <f>H51</f>
        <v>90</v>
      </c>
      <c r="D74" s="431"/>
      <c r="E74" s="121">
        <f>E65</f>
        <v>0.83978663208125381</v>
      </c>
      <c r="F74" s="120">
        <f t="shared" si="1"/>
        <v>75.580796887312843</v>
      </c>
      <c r="G74" s="118">
        <f t="shared" si="4"/>
        <v>90</v>
      </c>
      <c r="H74" s="119">
        <f t="shared" si="2"/>
        <v>14.419203112687157</v>
      </c>
      <c r="I74" s="118" t="str">
        <f t="shared" si="5"/>
        <v>NO</v>
      </c>
      <c r="J74" s="117">
        <f t="shared" si="3"/>
        <v>82.580796887312843</v>
      </c>
    </row>
    <row r="75" spans="2:10" ht="15" customHeight="1">
      <c r="B75" s="114">
        <v>2024</v>
      </c>
      <c r="C75" s="430">
        <f>I51</f>
        <v>94</v>
      </c>
      <c r="D75" s="431"/>
      <c r="E75" s="121">
        <f>E65</f>
        <v>0.83978663208125381</v>
      </c>
      <c r="F75" s="120">
        <f t="shared" si="1"/>
        <v>78.939943415637856</v>
      </c>
      <c r="G75" s="118">
        <f t="shared" si="4"/>
        <v>90</v>
      </c>
      <c r="H75" s="119">
        <f t="shared" si="2"/>
        <v>11.060056584362144</v>
      </c>
      <c r="I75" s="118" t="str">
        <f t="shared" si="5"/>
        <v>NO</v>
      </c>
      <c r="J75" s="117">
        <f t="shared" si="3"/>
        <v>85.939943415637856</v>
      </c>
    </row>
    <row r="76" spans="2:10" ht="15" customHeight="1">
      <c r="B76" s="114">
        <v>2025</v>
      </c>
      <c r="C76" s="430">
        <f>J51</f>
        <v>100</v>
      </c>
      <c r="D76" s="431"/>
      <c r="E76" s="121">
        <f>E65</f>
        <v>0.83978663208125381</v>
      </c>
      <c r="F76" s="120">
        <f t="shared" si="1"/>
        <v>83.978663208125383</v>
      </c>
      <c r="G76" s="118">
        <f t="shared" si="4"/>
        <v>90</v>
      </c>
      <c r="H76" s="119">
        <f t="shared" si="2"/>
        <v>6.0213367918746172</v>
      </c>
      <c r="I76" s="118" t="str">
        <f t="shared" si="5"/>
        <v>YES</v>
      </c>
      <c r="J76" s="117">
        <f t="shared" si="3"/>
        <v>90</v>
      </c>
    </row>
    <row r="77" spans="2:10" ht="15" customHeight="1">
      <c r="B77" s="114">
        <v>2026</v>
      </c>
      <c r="C77" s="430">
        <f>K51</f>
        <v>105</v>
      </c>
      <c r="D77" s="431"/>
      <c r="E77" s="121">
        <f>E65</f>
        <v>0.83978663208125381</v>
      </c>
      <c r="F77" s="120">
        <f t="shared" si="1"/>
        <v>88.177596368531653</v>
      </c>
      <c r="G77" s="118">
        <f t="shared" si="4"/>
        <v>90</v>
      </c>
      <c r="H77" s="119">
        <f t="shared" si="2"/>
        <v>1.8224036314683474</v>
      </c>
      <c r="I77" s="118" t="str">
        <f t="shared" si="5"/>
        <v>YES</v>
      </c>
      <c r="J77" s="117">
        <f t="shared" si="3"/>
        <v>90</v>
      </c>
    </row>
    <row r="78" spans="2:10" ht="15" customHeight="1">
      <c r="B78" s="114">
        <v>2027</v>
      </c>
      <c r="C78" s="430">
        <f>L51</f>
        <v>110</v>
      </c>
      <c r="D78" s="431"/>
      <c r="E78" s="121">
        <f>E65</f>
        <v>0.83978663208125381</v>
      </c>
      <c r="F78" s="120">
        <f t="shared" si="1"/>
        <v>92.376529528937922</v>
      </c>
      <c r="G78" s="118">
        <f t="shared" si="4"/>
        <v>99</v>
      </c>
      <c r="H78" s="119">
        <f t="shared" si="2"/>
        <v>6.6234704710620775</v>
      </c>
      <c r="I78" s="118" t="str">
        <f t="shared" si="5"/>
        <v>YES</v>
      </c>
      <c r="J78" s="117">
        <f t="shared" si="3"/>
        <v>99</v>
      </c>
    </row>
    <row r="79" spans="2:10" ht="15" customHeight="1">
      <c r="B79" s="114">
        <v>2028</v>
      </c>
      <c r="C79" s="430">
        <f>M51</f>
        <v>112</v>
      </c>
      <c r="D79" s="431"/>
      <c r="E79" s="121">
        <f t="shared" ref="E79:E83" si="6">$E$65</f>
        <v>0.83978663208125381</v>
      </c>
      <c r="F79" s="120">
        <f t="shared" si="1"/>
        <v>94.056102793100422</v>
      </c>
      <c r="G79" s="118">
        <f t="shared" si="4"/>
        <v>99</v>
      </c>
      <c r="H79" s="119">
        <f t="shared" si="2"/>
        <v>4.9438972068995781</v>
      </c>
      <c r="I79" s="118" t="str">
        <f t="shared" si="5"/>
        <v>YES</v>
      </c>
      <c r="J79" s="117">
        <f t="shared" si="3"/>
        <v>99</v>
      </c>
    </row>
    <row r="80" spans="2:10" ht="15" customHeight="1">
      <c r="B80" s="114">
        <v>2029</v>
      </c>
      <c r="C80" s="430">
        <f>N51</f>
        <v>113</v>
      </c>
      <c r="D80" s="431"/>
      <c r="E80" s="121">
        <f t="shared" si="6"/>
        <v>0.83978663208125381</v>
      </c>
      <c r="F80" s="120">
        <f t="shared" si="1"/>
        <v>94.895889425181679</v>
      </c>
      <c r="G80" s="118">
        <f t="shared" si="4"/>
        <v>99</v>
      </c>
      <c r="H80" s="119">
        <f t="shared" si="2"/>
        <v>4.1041105748183213</v>
      </c>
      <c r="I80" s="118" t="str">
        <f t="shared" si="5"/>
        <v>YES</v>
      </c>
      <c r="J80" s="117">
        <f t="shared" si="3"/>
        <v>99</v>
      </c>
    </row>
    <row r="81" spans="2:10" ht="15" customHeight="1">
      <c r="B81" s="114">
        <v>2030</v>
      </c>
      <c r="C81" s="430">
        <f>O51</f>
        <v>114</v>
      </c>
      <c r="D81" s="431"/>
      <c r="E81" s="121">
        <f t="shared" si="6"/>
        <v>0.83978663208125381</v>
      </c>
      <c r="F81" s="120">
        <f t="shared" si="1"/>
        <v>95.735676057262936</v>
      </c>
      <c r="G81" s="118">
        <f t="shared" si="4"/>
        <v>99</v>
      </c>
      <c r="H81" s="119">
        <f t="shared" si="2"/>
        <v>3.2643239427370645</v>
      </c>
      <c r="I81" s="118" t="str">
        <f t="shared" si="5"/>
        <v>YES</v>
      </c>
      <c r="J81" s="117">
        <f t="shared" si="3"/>
        <v>99</v>
      </c>
    </row>
    <row r="82" spans="2:10" ht="15" customHeight="1">
      <c r="B82" s="114">
        <v>2031</v>
      </c>
      <c r="C82" s="430">
        <f>P51</f>
        <v>115</v>
      </c>
      <c r="D82" s="431"/>
      <c r="E82" s="121">
        <f t="shared" si="6"/>
        <v>0.83978663208125381</v>
      </c>
      <c r="F82" s="120">
        <f t="shared" si="1"/>
        <v>96.575462689344192</v>
      </c>
      <c r="G82" s="118">
        <f t="shared" si="4"/>
        <v>99</v>
      </c>
      <c r="H82" s="119">
        <f t="shared" si="2"/>
        <v>2.4245373106558077</v>
      </c>
      <c r="I82" s="118" t="str">
        <f t="shared" si="5"/>
        <v>YES</v>
      </c>
      <c r="J82" s="117">
        <f t="shared" si="3"/>
        <v>99</v>
      </c>
    </row>
    <row r="83" spans="2:10" ht="15" customHeight="1">
      <c r="B83" s="114">
        <v>2032</v>
      </c>
      <c r="C83" s="430">
        <f>Q51</f>
        <v>116</v>
      </c>
      <c r="D83" s="431"/>
      <c r="E83" s="121">
        <f t="shared" si="6"/>
        <v>0.83978663208125381</v>
      </c>
      <c r="F83" s="120">
        <f t="shared" si="1"/>
        <v>97.415249321425449</v>
      </c>
      <c r="G83" s="118">
        <f t="shared" si="4"/>
        <v>99</v>
      </c>
      <c r="H83" s="119">
        <f t="shared" si="2"/>
        <v>1.5847506785745509</v>
      </c>
      <c r="I83" s="118" t="str">
        <f t="shared" si="5"/>
        <v>YES</v>
      </c>
      <c r="J83" s="117">
        <f t="shared" si="3"/>
        <v>99</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Gracemount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79</v>
      </c>
      <c r="D91" s="112">
        <f t="shared" ref="D91:J91" si="7">D188</f>
        <v>66</v>
      </c>
      <c r="E91" s="112">
        <f t="shared" si="7"/>
        <v>67</v>
      </c>
      <c r="F91" s="112">
        <f t="shared" si="7"/>
        <v>56</v>
      </c>
      <c r="G91" s="112">
        <f t="shared" si="7"/>
        <v>50</v>
      </c>
      <c r="H91" s="112">
        <f t="shared" si="7"/>
        <v>67</v>
      </c>
      <c r="I91" s="112">
        <f t="shared" si="7"/>
        <v>48</v>
      </c>
      <c r="J91" s="213">
        <f t="shared" si="7"/>
        <v>433</v>
      </c>
    </row>
    <row r="92" spans="2:10" ht="15" customHeight="1">
      <c r="B92" s="114">
        <v>2014</v>
      </c>
      <c r="C92" s="112">
        <f>C189</f>
        <v>80</v>
      </c>
      <c r="D92" s="112">
        <f t="shared" ref="D92:J92" si="8">D189</f>
        <v>81</v>
      </c>
      <c r="E92" s="112">
        <f t="shared" si="8"/>
        <v>66</v>
      </c>
      <c r="F92" s="112">
        <f t="shared" si="8"/>
        <v>66</v>
      </c>
      <c r="G92" s="112">
        <f t="shared" si="8"/>
        <v>54</v>
      </c>
      <c r="H92" s="112">
        <f t="shared" si="8"/>
        <v>51</v>
      </c>
      <c r="I92" s="112">
        <f t="shared" si="8"/>
        <v>65</v>
      </c>
      <c r="J92" s="213">
        <f t="shared" si="8"/>
        <v>463</v>
      </c>
    </row>
    <row r="93" spans="2:10" ht="15" customHeight="1">
      <c r="B93" s="114">
        <v>2015</v>
      </c>
      <c r="C93" s="112">
        <f>C190</f>
        <v>63</v>
      </c>
      <c r="D93" s="112">
        <f t="shared" ref="D93:J93" si="9">D190</f>
        <v>76</v>
      </c>
      <c r="E93" s="112">
        <f t="shared" si="9"/>
        <v>77</v>
      </c>
      <c r="F93" s="112">
        <f t="shared" si="9"/>
        <v>65</v>
      </c>
      <c r="G93" s="112">
        <f t="shared" si="9"/>
        <v>64</v>
      </c>
      <c r="H93" s="112">
        <f t="shared" si="9"/>
        <v>46</v>
      </c>
      <c r="I93" s="112">
        <f t="shared" si="9"/>
        <v>49</v>
      </c>
      <c r="J93" s="213">
        <f t="shared" si="9"/>
        <v>440</v>
      </c>
    </row>
    <row r="94" spans="2:10" ht="15" customHeight="1">
      <c r="B94" s="114">
        <v>2016</v>
      </c>
      <c r="C94" s="112">
        <f>C191</f>
        <v>73</v>
      </c>
      <c r="D94" s="112">
        <f t="shared" ref="D94:J94" si="10">D191</f>
        <v>65</v>
      </c>
      <c r="E94" s="112">
        <f t="shared" si="10"/>
        <v>75</v>
      </c>
      <c r="F94" s="112">
        <f t="shared" si="10"/>
        <v>81</v>
      </c>
      <c r="G94" s="112">
        <f t="shared" si="10"/>
        <v>62</v>
      </c>
      <c r="H94" s="112">
        <f t="shared" si="10"/>
        <v>66</v>
      </c>
      <c r="I94" s="112">
        <f t="shared" si="10"/>
        <v>50</v>
      </c>
      <c r="J94" s="213">
        <f t="shared" si="10"/>
        <v>472</v>
      </c>
    </row>
    <row r="95" spans="2:10" ht="15" customHeight="1">
      <c r="B95" s="114">
        <v>2017</v>
      </c>
      <c r="C95" s="112">
        <f>C192</f>
        <v>85</v>
      </c>
      <c r="D95" s="112">
        <f t="shared" ref="D95:J95" si="11">D192</f>
        <v>70</v>
      </c>
      <c r="E95" s="112">
        <f t="shared" si="11"/>
        <v>60</v>
      </c>
      <c r="F95" s="112">
        <f t="shared" si="11"/>
        <v>72</v>
      </c>
      <c r="G95" s="112">
        <f t="shared" si="11"/>
        <v>83</v>
      </c>
      <c r="H95" s="112">
        <f t="shared" si="11"/>
        <v>61</v>
      </c>
      <c r="I95" s="112">
        <f t="shared" si="11"/>
        <v>63</v>
      </c>
      <c r="J95" s="213">
        <f t="shared" si="11"/>
        <v>494</v>
      </c>
    </row>
    <row r="96" spans="2:10" ht="15" customHeight="1">
      <c r="B96" s="307">
        <v>2018</v>
      </c>
      <c r="C96" s="112">
        <f t="shared" ref="C96:J96" si="12">C193</f>
        <v>63</v>
      </c>
      <c r="D96" s="112">
        <f t="shared" si="12"/>
        <v>88</v>
      </c>
      <c r="E96" s="112">
        <f t="shared" si="12"/>
        <v>70</v>
      </c>
      <c r="F96" s="112">
        <f t="shared" si="12"/>
        <v>60</v>
      </c>
      <c r="G96" s="112">
        <f t="shared" si="12"/>
        <v>76</v>
      </c>
      <c r="H96" s="112">
        <f t="shared" si="12"/>
        <v>78</v>
      </c>
      <c r="I96" s="112">
        <f t="shared" si="12"/>
        <v>67</v>
      </c>
      <c r="J96" s="213">
        <f t="shared" si="12"/>
        <v>502</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-2.5316455696202531E-2</v>
      </c>
      <c r="E98" s="210">
        <f t="shared" ref="E98:I98" si="13">MEDIAN(((D91-E92)/D91),((D92-E93)/D92),((D93-E94)/D93),((D94-E95)/D94),((D95-E96)/D95))</f>
        <v>1.3157894736842105E-2</v>
      </c>
      <c r="F98" s="210">
        <f t="shared" si="13"/>
        <v>1.4925373134328358E-2</v>
      </c>
      <c r="G98" s="210">
        <f t="shared" si="13"/>
        <v>3.0303030303030304E-2</v>
      </c>
      <c r="H98" s="210">
        <f t="shared" si="13"/>
        <v>1.6129032258064516E-2</v>
      </c>
      <c r="I98" s="210">
        <f t="shared" si="13"/>
        <v>2.9850746268656716E-2</v>
      </c>
    </row>
    <row r="99" spans="2:10" ht="15" customHeight="1">
      <c r="B99" s="59"/>
      <c r="C99" s="60"/>
      <c r="D99" s="61"/>
      <c r="E99" s="61"/>
      <c r="F99" s="61"/>
      <c r="G99" s="61"/>
      <c r="H99" s="61"/>
      <c r="I99" s="61"/>
      <c r="J99" s="58"/>
    </row>
    <row r="100" spans="2:10" ht="15" customHeight="1">
      <c r="B100" s="15" t="str">
        <f>"Table 4B: "&amp;E3&amp;" Projected Roll by Stage (incorporating Projected P1 and Drop-Off Rates), 2019-2032"</f>
        <v>Table 4B: Gracemount Primary School Projected Roll by Stage (incorporating Projected P1 and Drop-Off Rates), 2019-2032</v>
      </c>
      <c r="F100" s="14"/>
      <c r="G100" s="14"/>
    </row>
    <row r="101" spans="2:10" ht="15" customHeight="1">
      <c r="F101" s="14"/>
      <c r="G101" s="14"/>
    </row>
    <row r="102" spans="2:10" ht="15" customHeight="1">
      <c r="B102" s="115"/>
      <c r="C102" s="109" t="s">
        <v>1</v>
      </c>
      <c r="D102" s="109" t="s">
        <v>2</v>
      </c>
      <c r="E102" s="109" t="s">
        <v>3</v>
      </c>
      <c r="F102" s="109" t="s">
        <v>4</v>
      </c>
      <c r="G102" s="109" t="s">
        <v>5</v>
      </c>
      <c r="H102" s="109" t="s">
        <v>6</v>
      </c>
      <c r="I102" s="109" t="s">
        <v>7</v>
      </c>
      <c r="J102" s="109" t="s">
        <v>8</v>
      </c>
    </row>
    <row r="103" spans="2:10" ht="15" customHeight="1">
      <c r="B103" s="114">
        <v>2019</v>
      </c>
      <c r="C103" s="113">
        <f t="shared" ref="C103:C116" si="14">J70</f>
        <v>72</v>
      </c>
      <c r="D103" s="324">
        <f>ROUND((C96)-(C96*$D$98),0)</f>
        <v>65</v>
      </c>
      <c r="E103" s="324">
        <f>ROUND((D96)-(D96*$E$98),0)</f>
        <v>87</v>
      </c>
      <c r="F103" s="324">
        <f>ROUND((E96)-(E96*$F$98),0)</f>
        <v>69</v>
      </c>
      <c r="G103" s="324">
        <f>ROUND((F96)-(F96*$G$98),0)</f>
        <v>58</v>
      </c>
      <c r="H103" s="324">
        <f>ROUND((G96)-(G96*$H$98),0)</f>
        <v>75</v>
      </c>
      <c r="I103" s="324">
        <f>ROUND((H96)-(H96*$I$98),0)</f>
        <v>76</v>
      </c>
      <c r="J103" s="111">
        <f t="shared" ref="J103:J116" si="15">SUM(C103:I103)</f>
        <v>502</v>
      </c>
    </row>
    <row r="104" spans="2:10" ht="15" customHeight="1">
      <c r="B104" s="114">
        <v>2020</v>
      </c>
      <c r="C104" s="113">
        <f t="shared" si="14"/>
        <v>66</v>
      </c>
      <c r="D104" s="324">
        <f>ROUND((C103-E50)-(C103*$D$98),0)</f>
        <v>67</v>
      </c>
      <c r="E104" s="112">
        <f t="shared" ref="E104:E116" si="16">ROUND((D103)-(D103*$E$98),0)</f>
        <v>64</v>
      </c>
      <c r="F104" s="112">
        <f t="shared" ref="F104:F116" si="17">ROUND((E103)-(E103*$F$98),0)</f>
        <v>86</v>
      </c>
      <c r="G104" s="112">
        <f t="shared" ref="G104:G116" si="18">ROUND((F103)-(F103*$G$98),0)</f>
        <v>67</v>
      </c>
      <c r="H104" s="112">
        <f t="shared" ref="H104:H116" si="19">ROUND((G103)-(G103*$H$98),0)</f>
        <v>57</v>
      </c>
      <c r="I104" s="112">
        <f t="shared" ref="I104:I116" si="20">ROUND((H103)-(H103*$I$98),0)</f>
        <v>73</v>
      </c>
      <c r="J104" s="111">
        <f t="shared" si="15"/>
        <v>480</v>
      </c>
    </row>
    <row r="105" spans="2:10" ht="15" customHeight="1">
      <c r="B105" s="114">
        <v>2021</v>
      </c>
      <c r="C105" s="113">
        <f t="shared" si="14"/>
        <v>87.61951667980037</v>
      </c>
      <c r="D105" s="324">
        <f>ROUND((C104-F50)-(C104*$D$98),0)</f>
        <v>60</v>
      </c>
      <c r="E105" s="112">
        <f t="shared" si="16"/>
        <v>66</v>
      </c>
      <c r="F105" s="112">
        <f t="shared" si="17"/>
        <v>63</v>
      </c>
      <c r="G105" s="112">
        <f t="shared" si="18"/>
        <v>83</v>
      </c>
      <c r="H105" s="112">
        <f t="shared" si="19"/>
        <v>66</v>
      </c>
      <c r="I105" s="112">
        <f t="shared" si="20"/>
        <v>55</v>
      </c>
      <c r="J105" s="111">
        <f t="shared" si="15"/>
        <v>480.61951667980037</v>
      </c>
    </row>
    <row r="106" spans="2:10" ht="15" customHeight="1">
      <c r="B106" s="114">
        <v>2022</v>
      </c>
      <c r="C106" s="113">
        <f t="shared" si="14"/>
        <v>72</v>
      </c>
      <c r="D106" s="324">
        <f>ROUND((C105-G50)-(C105*$D$98),0)</f>
        <v>80</v>
      </c>
      <c r="E106" s="112">
        <f t="shared" si="16"/>
        <v>59</v>
      </c>
      <c r="F106" s="112">
        <f t="shared" si="17"/>
        <v>65</v>
      </c>
      <c r="G106" s="112">
        <f t="shared" si="18"/>
        <v>61</v>
      </c>
      <c r="H106" s="112">
        <f t="shared" si="19"/>
        <v>82</v>
      </c>
      <c r="I106" s="112">
        <f t="shared" si="20"/>
        <v>64</v>
      </c>
      <c r="J106" s="111">
        <f t="shared" si="15"/>
        <v>483</v>
      </c>
    </row>
    <row r="107" spans="2:10" ht="15" customHeight="1">
      <c r="B107" s="114">
        <v>2023</v>
      </c>
      <c r="C107" s="113">
        <f t="shared" si="14"/>
        <v>82.580796887312843</v>
      </c>
      <c r="D107" s="324">
        <f>ROUND((C106-H50)-(C106*$D$98),0)</f>
        <v>63</v>
      </c>
      <c r="E107" s="112">
        <f t="shared" si="16"/>
        <v>79</v>
      </c>
      <c r="F107" s="112">
        <f t="shared" si="17"/>
        <v>58</v>
      </c>
      <c r="G107" s="112">
        <f t="shared" si="18"/>
        <v>63</v>
      </c>
      <c r="H107" s="112">
        <f t="shared" si="19"/>
        <v>60</v>
      </c>
      <c r="I107" s="112">
        <f t="shared" si="20"/>
        <v>80</v>
      </c>
      <c r="J107" s="111">
        <f t="shared" si="15"/>
        <v>485.58079688731283</v>
      </c>
    </row>
    <row r="108" spans="2:10" ht="15" customHeight="1">
      <c r="B108" s="114">
        <v>2024</v>
      </c>
      <c r="C108" s="113">
        <f t="shared" si="14"/>
        <v>85.939943415637856</v>
      </c>
      <c r="D108" s="324">
        <f>ROUND((C107-I50)-(C107*$D$98),0)</f>
        <v>70</v>
      </c>
      <c r="E108" s="112">
        <f t="shared" si="16"/>
        <v>62</v>
      </c>
      <c r="F108" s="112">
        <f t="shared" si="17"/>
        <v>78</v>
      </c>
      <c r="G108" s="112">
        <f t="shared" si="18"/>
        <v>56</v>
      </c>
      <c r="H108" s="112">
        <f t="shared" si="19"/>
        <v>62</v>
      </c>
      <c r="I108" s="112">
        <f t="shared" si="20"/>
        <v>58</v>
      </c>
      <c r="J108" s="111">
        <f t="shared" si="15"/>
        <v>471.93994341563786</v>
      </c>
    </row>
    <row r="109" spans="2:10" ht="15" customHeight="1">
      <c r="B109" s="114">
        <v>2025</v>
      </c>
      <c r="C109" s="113">
        <f t="shared" si="14"/>
        <v>90</v>
      </c>
      <c r="D109" s="324">
        <f>ROUND((C108-J50)-(C108*$D$98),0)</f>
        <v>68</v>
      </c>
      <c r="E109" s="112">
        <f t="shared" si="16"/>
        <v>69</v>
      </c>
      <c r="F109" s="112">
        <f t="shared" si="17"/>
        <v>61</v>
      </c>
      <c r="G109" s="112">
        <f t="shared" si="18"/>
        <v>76</v>
      </c>
      <c r="H109" s="112">
        <f t="shared" si="19"/>
        <v>55</v>
      </c>
      <c r="I109" s="112">
        <f t="shared" si="20"/>
        <v>60</v>
      </c>
      <c r="J109" s="111">
        <f t="shared" si="15"/>
        <v>479</v>
      </c>
    </row>
    <row r="110" spans="2:10" ht="15" customHeight="1">
      <c r="B110" s="114">
        <v>2026</v>
      </c>
      <c r="C110" s="113">
        <f t="shared" si="14"/>
        <v>90</v>
      </c>
      <c r="D110" s="324">
        <f>ROUND((C109-K50)-(C109*$D$98),0)</f>
        <v>68</v>
      </c>
      <c r="E110" s="112">
        <f t="shared" si="16"/>
        <v>67</v>
      </c>
      <c r="F110" s="112">
        <f t="shared" si="17"/>
        <v>68</v>
      </c>
      <c r="G110" s="112">
        <f t="shared" si="18"/>
        <v>59</v>
      </c>
      <c r="H110" s="112">
        <f t="shared" si="19"/>
        <v>75</v>
      </c>
      <c r="I110" s="112">
        <f t="shared" si="20"/>
        <v>53</v>
      </c>
      <c r="J110" s="111">
        <f t="shared" si="15"/>
        <v>480</v>
      </c>
    </row>
    <row r="111" spans="2:10" ht="15" customHeight="1">
      <c r="B111" s="114">
        <v>2027</v>
      </c>
      <c r="C111" s="113">
        <f t="shared" si="14"/>
        <v>99</v>
      </c>
      <c r="D111" s="324">
        <f>ROUND((C110-L50)-(C110*$D$98),0)</f>
        <v>64</v>
      </c>
      <c r="E111" s="112">
        <f t="shared" si="16"/>
        <v>67</v>
      </c>
      <c r="F111" s="112">
        <f t="shared" si="17"/>
        <v>66</v>
      </c>
      <c r="G111" s="112">
        <f t="shared" si="18"/>
        <v>66</v>
      </c>
      <c r="H111" s="112">
        <f t="shared" si="19"/>
        <v>58</v>
      </c>
      <c r="I111" s="112">
        <f t="shared" si="20"/>
        <v>73</v>
      </c>
      <c r="J111" s="111">
        <f t="shared" si="15"/>
        <v>493</v>
      </c>
    </row>
    <row r="112" spans="2:10" ht="15" customHeight="1">
      <c r="B112" s="114">
        <v>2028</v>
      </c>
      <c r="C112" s="113">
        <f t="shared" si="14"/>
        <v>99</v>
      </c>
      <c r="D112" s="324">
        <f>ROUND((C111-M50)-(C111*$D$98),0)</f>
        <v>72</v>
      </c>
      <c r="E112" s="112">
        <f t="shared" si="16"/>
        <v>63</v>
      </c>
      <c r="F112" s="112">
        <f t="shared" si="17"/>
        <v>66</v>
      </c>
      <c r="G112" s="112">
        <f t="shared" si="18"/>
        <v>64</v>
      </c>
      <c r="H112" s="112">
        <f t="shared" si="19"/>
        <v>65</v>
      </c>
      <c r="I112" s="112">
        <f t="shared" si="20"/>
        <v>56</v>
      </c>
      <c r="J112" s="111">
        <f t="shared" si="15"/>
        <v>485</v>
      </c>
    </row>
    <row r="113" spans="2:10" ht="15" customHeight="1">
      <c r="B113" s="114">
        <v>2029</v>
      </c>
      <c r="C113" s="113">
        <f t="shared" si="14"/>
        <v>99</v>
      </c>
      <c r="D113" s="324">
        <f>ROUND((C112-N50)-(C112*$D$98),0)</f>
        <v>71</v>
      </c>
      <c r="E113" s="112">
        <f t="shared" si="16"/>
        <v>71</v>
      </c>
      <c r="F113" s="112">
        <f t="shared" si="17"/>
        <v>62</v>
      </c>
      <c r="G113" s="112">
        <f t="shared" si="18"/>
        <v>64</v>
      </c>
      <c r="H113" s="112">
        <f t="shared" si="19"/>
        <v>63</v>
      </c>
      <c r="I113" s="112">
        <f t="shared" si="20"/>
        <v>63</v>
      </c>
      <c r="J113" s="111">
        <f t="shared" si="15"/>
        <v>493</v>
      </c>
    </row>
    <row r="114" spans="2:10" ht="15" customHeight="1">
      <c r="B114" s="114">
        <v>2030</v>
      </c>
      <c r="C114" s="113">
        <f t="shared" si="14"/>
        <v>99</v>
      </c>
      <c r="D114" s="324">
        <f>ROUND((C113-O50)-(C113*$D$98),0)</f>
        <v>70</v>
      </c>
      <c r="E114" s="112">
        <f t="shared" si="16"/>
        <v>70</v>
      </c>
      <c r="F114" s="112">
        <f t="shared" si="17"/>
        <v>70</v>
      </c>
      <c r="G114" s="112">
        <f t="shared" si="18"/>
        <v>60</v>
      </c>
      <c r="H114" s="112">
        <f t="shared" si="19"/>
        <v>63</v>
      </c>
      <c r="I114" s="112">
        <f t="shared" si="20"/>
        <v>61</v>
      </c>
      <c r="J114" s="111">
        <f t="shared" si="15"/>
        <v>493</v>
      </c>
    </row>
    <row r="115" spans="2:10" ht="15" customHeight="1">
      <c r="B115" s="114">
        <v>2031</v>
      </c>
      <c r="C115" s="113">
        <f t="shared" si="14"/>
        <v>99</v>
      </c>
      <c r="D115" s="324">
        <f>ROUND((C114-P50)-(C114*$D$98),0)</f>
        <v>69</v>
      </c>
      <c r="E115" s="112">
        <f t="shared" si="16"/>
        <v>69</v>
      </c>
      <c r="F115" s="112">
        <f t="shared" si="17"/>
        <v>69</v>
      </c>
      <c r="G115" s="112">
        <f t="shared" si="18"/>
        <v>68</v>
      </c>
      <c r="H115" s="112">
        <f t="shared" si="19"/>
        <v>59</v>
      </c>
      <c r="I115" s="112">
        <f t="shared" si="20"/>
        <v>61</v>
      </c>
      <c r="J115" s="111">
        <f t="shared" si="15"/>
        <v>494</v>
      </c>
    </row>
    <row r="116" spans="2:10" ht="15" customHeight="1">
      <c r="B116" s="114">
        <v>2032</v>
      </c>
      <c r="C116" s="113">
        <f t="shared" si="14"/>
        <v>99</v>
      </c>
      <c r="D116" s="324">
        <f>ROUND((C115-Q50)-(C115*$D$98),0)</f>
        <v>68</v>
      </c>
      <c r="E116" s="112">
        <f t="shared" si="16"/>
        <v>68</v>
      </c>
      <c r="F116" s="112">
        <f t="shared" si="17"/>
        <v>68</v>
      </c>
      <c r="G116" s="112">
        <f t="shared" si="18"/>
        <v>67</v>
      </c>
      <c r="H116" s="112">
        <f t="shared" si="19"/>
        <v>67</v>
      </c>
      <c r="I116" s="112">
        <f t="shared" si="20"/>
        <v>57</v>
      </c>
      <c r="J116" s="111">
        <f t="shared" si="15"/>
        <v>494</v>
      </c>
    </row>
    <row r="117" spans="2:10" ht="15" hidden="1" customHeight="1">
      <c r="F117" s="14"/>
      <c r="G117" s="14"/>
    </row>
    <row r="118" spans="2:10" ht="15" hidden="1" customHeight="1">
      <c r="B118" s="15" t="str">
        <f>"Table 4C: "&amp;E3&amp;" Projected Pupil Generation from Housing Development, 2019-2032"</f>
        <v>Table 4C: Gracemount Primary School Projected Pupil Generation from Housing Development, 2019-2032</v>
      </c>
      <c r="F118" s="14"/>
      <c r="G118" s="14"/>
    </row>
    <row r="119" spans="2:10" ht="15" hidden="1" customHeight="1">
      <c r="F119" s="14"/>
      <c r="G119" s="14"/>
    </row>
    <row r="120" spans="2:10" ht="15" hidden="1" customHeight="1">
      <c r="B120" s="115"/>
      <c r="C120" s="109" t="s">
        <v>1</v>
      </c>
      <c r="D120" s="109" t="s">
        <v>2</v>
      </c>
      <c r="E120" s="109" t="s">
        <v>3</v>
      </c>
      <c r="F120" s="109" t="s">
        <v>4</v>
      </c>
      <c r="G120" s="109" t="s">
        <v>5</v>
      </c>
      <c r="H120" s="109" t="s">
        <v>6</v>
      </c>
      <c r="I120" s="109" t="s">
        <v>7</v>
      </c>
      <c r="J120" s="109" t="s">
        <v>8</v>
      </c>
    </row>
    <row r="121" spans="2:10" ht="15" hidden="1" customHeight="1">
      <c r="B121" s="114">
        <v>2019</v>
      </c>
      <c r="C121" s="116" t="s">
        <v>97</v>
      </c>
      <c r="D121" s="112">
        <f>VLOOKUP($E$3,'Housing Generation'!$A$3:$BE$90,11,FALSE)</f>
        <v>5</v>
      </c>
      <c r="E121" s="112">
        <f>VLOOKUP($E$3,'Housing Generation'!$A$3:$BE$90,12,FALSE)</f>
        <v>5</v>
      </c>
      <c r="F121" s="112">
        <f>VLOOKUP($E$3,'Housing Generation'!$A$3:$BE$90,13,FALSE)</f>
        <v>5</v>
      </c>
      <c r="G121" s="112">
        <f>VLOOKUP($E$3,'Housing Generation'!$A$3:$BE$90,14,FALSE)</f>
        <v>5</v>
      </c>
      <c r="H121" s="112">
        <f>VLOOKUP($E$3,'Housing Generation'!$A$3:$BE$90,15,FALSE)</f>
        <v>4</v>
      </c>
      <c r="I121" s="112">
        <f>VLOOKUP($E$3,'Housing Generation'!$A$3:$BE$90,16,FALSE)</f>
        <v>4</v>
      </c>
      <c r="J121" s="111">
        <f t="shared" ref="J121:J134" si="21">SUM(D121:I121)</f>
        <v>28</v>
      </c>
    </row>
    <row r="122" spans="2:10" ht="15" hidden="1" customHeight="1">
      <c r="B122" s="114">
        <v>2020</v>
      </c>
      <c r="C122" s="116" t="s">
        <v>97</v>
      </c>
      <c r="D122" s="112">
        <f>VLOOKUP($E$3,'Housing Generation'!$A$3:$BE$90,19,FALSE)</f>
        <v>7</v>
      </c>
      <c r="E122" s="112">
        <f>VLOOKUP($E$3,'Housing Generation'!$A$3:$BE$90,20,FALSE)</f>
        <v>6</v>
      </c>
      <c r="F122" s="112">
        <f>VLOOKUP($E$3,'Housing Generation'!$A$3:$BE$90,21,FALSE)</f>
        <v>6</v>
      </c>
      <c r="G122" s="112">
        <f>VLOOKUP($E$3,'Housing Generation'!$A$3:$BE$90,22,FALSE)</f>
        <v>6</v>
      </c>
      <c r="H122" s="112">
        <f>VLOOKUP($E$3,'Housing Generation'!$A$3:$BE$90,23,FALSE)</f>
        <v>6</v>
      </c>
      <c r="I122" s="112">
        <f>VLOOKUP($E$3,'Housing Generation'!$A$3:$BE$90,24,FALSE)</f>
        <v>6</v>
      </c>
      <c r="J122" s="111">
        <f t="shared" si="21"/>
        <v>37</v>
      </c>
    </row>
    <row r="123" spans="2:10" ht="15" hidden="1" customHeight="1">
      <c r="B123" s="114">
        <v>2021</v>
      </c>
      <c r="C123" s="116" t="s">
        <v>97</v>
      </c>
      <c r="D123" s="112">
        <f>VLOOKUP($E$3,'Housing Generation'!$A$3:$BE$90,27,FALSE)</f>
        <v>8</v>
      </c>
      <c r="E123" s="112">
        <f>VLOOKUP($E$3,'Housing Generation'!$A$3:$BE$90,28,FALSE)</f>
        <v>8</v>
      </c>
      <c r="F123" s="112">
        <f>VLOOKUP($E$3,'Housing Generation'!$A$3:$BE$90,29,FALSE)</f>
        <v>8</v>
      </c>
      <c r="G123" s="112">
        <f>VLOOKUP($E$3,'Housing Generation'!$A$3:$BE$90,30,FALSE)</f>
        <v>8</v>
      </c>
      <c r="H123" s="112">
        <f>VLOOKUP($E$3,'Housing Generation'!$A$3:$BE$90,31,FALSE)</f>
        <v>8</v>
      </c>
      <c r="I123" s="112">
        <f>VLOOKUP($E$3,'Housing Generation'!$A$3:$BE$90,32,FALSE)</f>
        <v>7</v>
      </c>
      <c r="J123" s="111">
        <f t="shared" si="21"/>
        <v>47</v>
      </c>
    </row>
    <row r="124" spans="2:10" ht="15" hidden="1" customHeight="1">
      <c r="B124" s="114">
        <v>2022</v>
      </c>
      <c r="C124" s="116" t="s">
        <v>97</v>
      </c>
      <c r="D124" s="112">
        <f>VLOOKUP($E$3,'Housing Generation'!$A$3:$BE$90,35,FALSE)</f>
        <v>10</v>
      </c>
      <c r="E124" s="112">
        <f>VLOOKUP($E$3,'Housing Generation'!$A$3:$BE$90,36,FALSE)</f>
        <v>10</v>
      </c>
      <c r="F124" s="112">
        <f>VLOOKUP($E$3,'Housing Generation'!$A$3:$BE$90,37,FALSE)</f>
        <v>9</v>
      </c>
      <c r="G124" s="112">
        <f>VLOOKUP($E$3,'Housing Generation'!$A$3:$BE$90,38,FALSE)</f>
        <v>9</v>
      </c>
      <c r="H124" s="112">
        <f>VLOOKUP($E$3,'Housing Generation'!$A$3:$BE$90,39,FALSE)</f>
        <v>9</v>
      </c>
      <c r="I124" s="112">
        <f>VLOOKUP($E$3,'Housing Generation'!$A$3:$BE$90,40,FALSE)</f>
        <v>9</v>
      </c>
      <c r="J124" s="111">
        <f t="shared" si="21"/>
        <v>56</v>
      </c>
    </row>
    <row r="125" spans="2:10" ht="15" hidden="1" customHeight="1">
      <c r="B125" s="114">
        <v>2023</v>
      </c>
      <c r="C125" s="116" t="s">
        <v>97</v>
      </c>
      <c r="D125" s="112">
        <f>VLOOKUP($E$3,'Housing Generation'!$A$3:$BE$90,43,FALSE)</f>
        <v>11</v>
      </c>
      <c r="E125" s="112">
        <f>VLOOKUP($E$3,'Housing Generation'!$A$3:$BE$90,44,FALSE)</f>
        <v>11</v>
      </c>
      <c r="F125" s="112">
        <f>VLOOKUP($E$3,'Housing Generation'!$A$3:$BE$90,45,FALSE)</f>
        <v>11</v>
      </c>
      <c r="G125" s="112">
        <f>VLOOKUP($E$3,'Housing Generation'!$A$3:$BE$90,46,FALSE)</f>
        <v>11</v>
      </c>
      <c r="H125" s="112">
        <f>VLOOKUP($E$3,'Housing Generation'!$A$3:$BE$90,47,FALSE)</f>
        <v>11</v>
      </c>
      <c r="I125" s="112">
        <f>VLOOKUP($E$3,'Housing Generation'!$A$3:$BE$90,48,FALSE)</f>
        <v>11</v>
      </c>
      <c r="J125" s="111">
        <f t="shared" si="21"/>
        <v>66</v>
      </c>
    </row>
    <row r="126" spans="2:10" ht="15" hidden="1" customHeight="1">
      <c r="B126" s="114">
        <v>2024</v>
      </c>
      <c r="C126" s="116" t="s">
        <v>97</v>
      </c>
      <c r="D126" s="112">
        <f>VLOOKUP($E$3,'Housing Generation'!$A$3:$BE$90,51,FALSE)</f>
        <v>15</v>
      </c>
      <c r="E126" s="112">
        <f>VLOOKUP($E$3,'Housing Generation'!$A$3:$BE$90,52,FALSE)</f>
        <v>15</v>
      </c>
      <c r="F126" s="112">
        <f>VLOOKUP($E$3,'Housing Generation'!$A$3:$BE$90,53,FALSE)</f>
        <v>15</v>
      </c>
      <c r="G126" s="112">
        <f>VLOOKUP($E$3,'Housing Generation'!$A$3:$BE$90,54,FALSE)</f>
        <v>15</v>
      </c>
      <c r="H126" s="112">
        <f>VLOOKUP($E$3,'Housing Generation'!$A$3:$BE$90,55,FALSE)</f>
        <v>15</v>
      </c>
      <c r="I126" s="112">
        <f>VLOOKUP($E$3,'Housing Generation'!$A$3:$BE$90,56,FALSE)</f>
        <v>15</v>
      </c>
      <c r="J126" s="111">
        <f t="shared" si="21"/>
        <v>90</v>
      </c>
    </row>
    <row r="127" spans="2:10" ht="15" hidden="1" customHeight="1">
      <c r="B127" s="114">
        <v>2025</v>
      </c>
      <c r="C127" s="240" t="s">
        <v>97</v>
      </c>
      <c r="D127" s="112">
        <f>VLOOKUP($E$3,'Housing Generation'!$A$3:$CK$90,59,FALSE)</f>
        <v>19</v>
      </c>
      <c r="E127" s="112">
        <f>VLOOKUP($E$3,'Housing Generation'!$A$3:$CK$90,60,FALSE)</f>
        <v>19</v>
      </c>
      <c r="F127" s="112">
        <f>VLOOKUP($E$3,'Housing Generation'!$A$3:$CK$90,61,FALSE)</f>
        <v>19</v>
      </c>
      <c r="G127" s="112">
        <f>VLOOKUP($E$3,'Housing Generation'!$A$3:$CK$90,62,FALSE)</f>
        <v>19</v>
      </c>
      <c r="H127" s="112">
        <f>VLOOKUP($E$3,'Housing Generation'!$A$3:$CK$90,63,FALSE)</f>
        <v>19</v>
      </c>
      <c r="I127" s="112">
        <f>VLOOKUP($E$3,'Housing Generation'!$A$3:$CK$90,64,FALSE)</f>
        <v>19</v>
      </c>
      <c r="J127" s="111">
        <f t="shared" si="21"/>
        <v>114</v>
      </c>
    </row>
    <row r="128" spans="2:10" ht="15" hidden="1" customHeight="1">
      <c r="B128" s="114">
        <v>2026</v>
      </c>
      <c r="C128" s="240" t="s">
        <v>97</v>
      </c>
      <c r="D128" s="112">
        <f>VLOOKUP($E$3,'Housing Generation'!$A$3:$CK$90,67,FALSE)</f>
        <v>24</v>
      </c>
      <c r="E128" s="112">
        <f>VLOOKUP($E$3,'Housing Generation'!$A$3:$CK$90,68,FALSE)</f>
        <v>23</v>
      </c>
      <c r="F128" s="112">
        <f>VLOOKUP($E$3,'Housing Generation'!$A$3:$CK$90,69,FALSE)</f>
        <v>23</v>
      </c>
      <c r="G128" s="112">
        <f>VLOOKUP($E$3,'Housing Generation'!$A$3:$CK$90,70,FALSE)</f>
        <v>23</v>
      </c>
      <c r="H128" s="112">
        <f>VLOOKUP($E$3,'Housing Generation'!$A$3:$CK$90,71,FALSE)</f>
        <v>23</v>
      </c>
      <c r="I128" s="112">
        <f>VLOOKUP($E$3,'Housing Generation'!$A$3:$CK$90,72,FALSE)</f>
        <v>23</v>
      </c>
      <c r="J128" s="111">
        <f t="shared" si="21"/>
        <v>139</v>
      </c>
    </row>
    <row r="129" spans="2:10" ht="15" hidden="1" customHeight="1">
      <c r="B129" s="114">
        <v>2027</v>
      </c>
      <c r="C129" s="240" t="s">
        <v>97</v>
      </c>
      <c r="D129" s="112">
        <f>VLOOKUP($E$3,'Housing Generation'!$A$3:$CK$90,75,FALSE)</f>
        <v>28</v>
      </c>
      <c r="E129" s="112">
        <f>VLOOKUP($E$3,'Housing Generation'!$A$3:$CK$90,76,FALSE)</f>
        <v>28</v>
      </c>
      <c r="F129" s="112">
        <f>VLOOKUP($E$3,'Housing Generation'!$A$3:$CK$90,77,FALSE)</f>
        <v>27</v>
      </c>
      <c r="G129" s="112">
        <f>VLOOKUP($E$3,'Housing Generation'!$A$3:$CK$90,78,FALSE)</f>
        <v>27</v>
      </c>
      <c r="H129" s="112">
        <f>VLOOKUP($E$3,'Housing Generation'!$A$3:$CK$90,79,FALSE)</f>
        <v>27</v>
      </c>
      <c r="I129" s="112">
        <f>VLOOKUP($E$3,'Housing Generation'!$A$3:$CK$90,80,FALSE)</f>
        <v>27</v>
      </c>
      <c r="J129" s="111">
        <f t="shared" si="21"/>
        <v>164</v>
      </c>
    </row>
    <row r="130" spans="2:10" ht="15" customHeight="1">
      <c r="B130" s="114">
        <v>2028</v>
      </c>
      <c r="C130" s="289" t="s">
        <v>97</v>
      </c>
      <c r="D130" s="112">
        <f>VLOOKUP($E$3,'Housing Generation'!$A$3:$CK$90,83,FALSE)</f>
        <v>30</v>
      </c>
      <c r="E130" s="112">
        <f>VLOOKUP($E$3,'Housing Generation'!$A$3:$CK$90,84,FALSE)</f>
        <v>30</v>
      </c>
      <c r="F130" s="112">
        <f>VLOOKUP($E$3,'Housing Generation'!$A$3:$CK$90,85,FALSE)</f>
        <v>30</v>
      </c>
      <c r="G130" s="112">
        <f>VLOOKUP($E$3,'Housing Generation'!$A$3:$CK$90,86,FALSE)</f>
        <v>30</v>
      </c>
      <c r="H130" s="112">
        <f>VLOOKUP($E$3,'Housing Generation'!$A$3:$CK$90,87,FALSE)</f>
        <v>30</v>
      </c>
      <c r="I130" s="112">
        <f>VLOOKUP($E$3,'Housing Generation'!$A$3:$CK$90,88,FALSE)</f>
        <v>30</v>
      </c>
      <c r="J130" s="111">
        <f t="shared" si="21"/>
        <v>180</v>
      </c>
    </row>
    <row r="131" spans="2:10" ht="15" customHeight="1">
      <c r="B131" s="114">
        <v>2029</v>
      </c>
      <c r="C131" s="289" t="s">
        <v>97</v>
      </c>
      <c r="D131" s="112">
        <f>VLOOKUP($E$3,'Housing Generation'!$A$3:$DQ$90,91,FALSE)</f>
        <v>31</v>
      </c>
      <c r="E131" s="112">
        <f>VLOOKUP($E$3,'Housing Generation'!$A$3:$DQ$90,92,FALSE)</f>
        <v>31</v>
      </c>
      <c r="F131" s="112">
        <f>VLOOKUP($E$3,'Housing Generation'!$A$3:$DQ$90,93,FALSE)</f>
        <v>31</v>
      </c>
      <c r="G131" s="112">
        <f>VLOOKUP($E$3,'Housing Generation'!$A$3:$DQ$90,94,FALSE)</f>
        <v>31</v>
      </c>
      <c r="H131" s="112">
        <f>VLOOKUP($E$3,'Housing Generation'!$A$3:$DQ$90,95,FALSE)</f>
        <v>31</v>
      </c>
      <c r="I131" s="112">
        <f>VLOOKUP($E$3,'Housing Generation'!$A$3:$DQ$90,96,FALSE)</f>
        <v>30</v>
      </c>
      <c r="J131" s="111">
        <f t="shared" si="21"/>
        <v>185</v>
      </c>
    </row>
    <row r="132" spans="2:10" ht="15" customHeight="1">
      <c r="B132" s="114">
        <v>2030</v>
      </c>
      <c r="C132" s="289" t="s">
        <v>97</v>
      </c>
      <c r="D132" s="112">
        <f>VLOOKUP($E$3,'Housing Generation'!$A$3:$DQ$90,99,FALSE)</f>
        <v>32</v>
      </c>
      <c r="E132" s="112">
        <f>VLOOKUP($E$3,'Housing Generation'!$A$3:$DQ$90,100,FALSE)</f>
        <v>32</v>
      </c>
      <c r="F132" s="112">
        <f>VLOOKUP($E$3,'Housing Generation'!$A$3:$DQ$90,101,FALSE)</f>
        <v>32</v>
      </c>
      <c r="G132" s="112">
        <f>VLOOKUP($E$3,'Housing Generation'!$A$3:$DQ$90,102,FALSE)</f>
        <v>32</v>
      </c>
      <c r="H132" s="112">
        <f>VLOOKUP($E$3,'Housing Generation'!$A$3:$DQ$90,103,FALSE)</f>
        <v>31</v>
      </c>
      <c r="I132" s="112">
        <f>VLOOKUP($E$3,'Housing Generation'!$A$3:$DQ$90,104,FALSE)</f>
        <v>31</v>
      </c>
      <c r="J132" s="111">
        <f t="shared" si="21"/>
        <v>190</v>
      </c>
    </row>
    <row r="133" spans="2:10" ht="15" customHeight="1">
      <c r="B133" s="114">
        <v>2031</v>
      </c>
      <c r="C133" s="289" t="s">
        <v>97</v>
      </c>
      <c r="D133" s="112">
        <f>VLOOKUP($E$3,'Housing Generation'!$A$3:$DQ$90,107,FALSE)</f>
        <v>33</v>
      </c>
      <c r="E133" s="112">
        <f>VLOOKUP($E$3,'Housing Generation'!$A$3:$DQ$90,108,FALSE)</f>
        <v>33</v>
      </c>
      <c r="F133" s="112">
        <f>VLOOKUP($E$3,'Housing Generation'!$A$3:$DQ$90,109,FALSE)</f>
        <v>33</v>
      </c>
      <c r="G133" s="112">
        <f>VLOOKUP($E$3,'Housing Generation'!$A$3:$DQ$90,110,FALSE)</f>
        <v>32</v>
      </c>
      <c r="H133" s="112">
        <f>VLOOKUP($E$3,'Housing Generation'!$A$3:$DQ$90,111,FALSE)</f>
        <v>32</v>
      </c>
      <c r="I133" s="112">
        <f>VLOOKUP($E$3,'Housing Generation'!$A$3:$DQ$90,112,FALSE)</f>
        <v>32</v>
      </c>
      <c r="J133" s="111">
        <f t="shared" si="21"/>
        <v>195</v>
      </c>
    </row>
    <row r="134" spans="2:10" ht="15" customHeight="1">
      <c r="B134" s="114">
        <v>2032</v>
      </c>
      <c r="C134" s="289" t="s">
        <v>97</v>
      </c>
      <c r="D134" s="112">
        <f>VLOOKUP($E$3,'Housing Generation'!$A$3:$DQ$90,115,FALSE)</f>
        <v>34</v>
      </c>
      <c r="E134" s="112">
        <f>VLOOKUP($E$3,'Housing Generation'!$A$3:$DQ$90,116,FALSE)</f>
        <v>34</v>
      </c>
      <c r="F134" s="112">
        <f>VLOOKUP($E$3,'Housing Generation'!$A$3:$DQ$90,117,FALSE)</f>
        <v>33</v>
      </c>
      <c r="G134" s="112">
        <f>VLOOKUP($E$3,'Housing Generation'!$A$3:$DQ$90,118,FALSE)</f>
        <v>33</v>
      </c>
      <c r="H134" s="112">
        <f>VLOOKUP($E$3,'Housing Generation'!$A$3:$DQ$90,119,FALSE)</f>
        <v>33</v>
      </c>
      <c r="I134" s="112">
        <f>VLOOKUP($E$3,'Housing Generation'!$A$3:$DQ$90,120,FALSE)</f>
        <v>33</v>
      </c>
      <c r="J134" s="111">
        <f t="shared" si="21"/>
        <v>200</v>
      </c>
    </row>
    <row r="135" spans="2:10" ht="15" hidden="1"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Gracemount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72</v>
      </c>
      <c r="D139" s="112">
        <f t="shared" ref="D139:I152" si="23">D121+D103</f>
        <v>70</v>
      </c>
      <c r="E139" s="112">
        <f t="shared" si="23"/>
        <v>92</v>
      </c>
      <c r="F139" s="112">
        <f t="shared" si="23"/>
        <v>74</v>
      </c>
      <c r="G139" s="112">
        <f t="shared" si="23"/>
        <v>63</v>
      </c>
      <c r="H139" s="112">
        <f t="shared" si="23"/>
        <v>79</v>
      </c>
      <c r="I139" s="112">
        <f t="shared" si="23"/>
        <v>80</v>
      </c>
      <c r="J139" s="111">
        <f t="shared" ref="J139:J147" si="24">SUM(C139:I139)</f>
        <v>530</v>
      </c>
    </row>
    <row r="140" spans="2:10" ht="15" customHeight="1">
      <c r="B140" s="114">
        <v>2020</v>
      </c>
      <c r="C140" s="113">
        <f t="shared" si="22"/>
        <v>66</v>
      </c>
      <c r="D140" s="112">
        <f t="shared" si="23"/>
        <v>74</v>
      </c>
      <c r="E140" s="112">
        <f t="shared" si="23"/>
        <v>70</v>
      </c>
      <c r="F140" s="112">
        <f t="shared" si="23"/>
        <v>92</v>
      </c>
      <c r="G140" s="112">
        <f t="shared" si="23"/>
        <v>73</v>
      </c>
      <c r="H140" s="112">
        <f t="shared" si="23"/>
        <v>63</v>
      </c>
      <c r="I140" s="112">
        <f t="shared" si="23"/>
        <v>79</v>
      </c>
      <c r="J140" s="111">
        <f t="shared" si="24"/>
        <v>517</v>
      </c>
    </row>
    <row r="141" spans="2:10" ht="15" customHeight="1">
      <c r="B141" s="114">
        <v>2021</v>
      </c>
      <c r="C141" s="113">
        <f t="shared" si="22"/>
        <v>87.61951667980037</v>
      </c>
      <c r="D141" s="112">
        <f t="shared" si="23"/>
        <v>68</v>
      </c>
      <c r="E141" s="112">
        <f t="shared" si="23"/>
        <v>74</v>
      </c>
      <c r="F141" s="112">
        <f t="shared" si="23"/>
        <v>71</v>
      </c>
      <c r="G141" s="112">
        <f t="shared" si="23"/>
        <v>91</v>
      </c>
      <c r="H141" s="112">
        <f t="shared" si="23"/>
        <v>74</v>
      </c>
      <c r="I141" s="112">
        <f t="shared" si="23"/>
        <v>62</v>
      </c>
      <c r="J141" s="111">
        <f t="shared" si="24"/>
        <v>527.61951667980043</v>
      </c>
    </row>
    <row r="142" spans="2:10" ht="15" customHeight="1">
      <c r="B142" s="114">
        <v>2022</v>
      </c>
      <c r="C142" s="113">
        <f t="shared" si="22"/>
        <v>72</v>
      </c>
      <c r="D142" s="112">
        <f t="shared" si="23"/>
        <v>90</v>
      </c>
      <c r="E142" s="112">
        <f t="shared" si="23"/>
        <v>69</v>
      </c>
      <c r="F142" s="112">
        <f t="shared" si="23"/>
        <v>74</v>
      </c>
      <c r="G142" s="112">
        <f t="shared" si="23"/>
        <v>70</v>
      </c>
      <c r="H142" s="112">
        <f t="shared" si="23"/>
        <v>91</v>
      </c>
      <c r="I142" s="112">
        <f t="shared" si="23"/>
        <v>73</v>
      </c>
      <c r="J142" s="111">
        <f t="shared" si="24"/>
        <v>539</v>
      </c>
    </row>
    <row r="143" spans="2:10" ht="15" customHeight="1">
      <c r="B143" s="114">
        <v>2023</v>
      </c>
      <c r="C143" s="113">
        <f t="shared" si="22"/>
        <v>82.580796887312843</v>
      </c>
      <c r="D143" s="112">
        <f t="shared" si="23"/>
        <v>74</v>
      </c>
      <c r="E143" s="112">
        <f t="shared" si="23"/>
        <v>90</v>
      </c>
      <c r="F143" s="112">
        <f t="shared" si="23"/>
        <v>69</v>
      </c>
      <c r="G143" s="112">
        <f t="shared" si="23"/>
        <v>74</v>
      </c>
      <c r="H143" s="112">
        <f t="shared" si="23"/>
        <v>71</v>
      </c>
      <c r="I143" s="112">
        <f t="shared" si="23"/>
        <v>91</v>
      </c>
      <c r="J143" s="111">
        <f t="shared" si="24"/>
        <v>551.58079688731277</v>
      </c>
    </row>
    <row r="144" spans="2:10" ht="15" customHeight="1">
      <c r="B144" s="114">
        <v>2024</v>
      </c>
      <c r="C144" s="113">
        <f t="shared" si="22"/>
        <v>85.939943415637856</v>
      </c>
      <c r="D144" s="112">
        <f t="shared" si="23"/>
        <v>85</v>
      </c>
      <c r="E144" s="112">
        <f t="shared" si="23"/>
        <v>77</v>
      </c>
      <c r="F144" s="112">
        <f t="shared" si="23"/>
        <v>93</v>
      </c>
      <c r="G144" s="112">
        <f t="shared" si="23"/>
        <v>71</v>
      </c>
      <c r="H144" s="112">
        <f t="shared" si="23"/>
        <v>77</v>
      </c>
      <c r="I144" s="112">
        <f t="shared" si="23"/>
        <v>73</v>
      </c>
      <c r="J144" s="111">
        <f t="shared" si="24"/>
        <v>561.9399434156378</v>
      </c>
    </row>
    <row r="145" spans="2:16" ht="15" customHeight="1">
      <c r="B145" s="114">
        <v>2025</v>
      </c>
      <c r="C145" s="113">
        <f t="shared" si="22"/>
        <v>90</v>
      </c>
      <c r="D145" s="112">
        <f t="shared" si="23"/>
        <v>87</v>
      </c>
      <c r="E145" s="112">
        <f t="shared" si="23"/>
        <v>88</v>
      </c>
      <c r="F145" s="112">
        <f t="shared" si="23"/>
        <v>80</v>
      </c>
      <c r="G145" s="112">
        <f t="shared" si="23"/>
        <v>95</v>
      </c>
      <c r="H145" s="112">
        <f t="shared" si="23"/>
        <v>74</v>
      </c>
      <c r="I145" s="112">
        <f t="shared" si="23"/>
        <v>79</v>
      </c>
      <c r="J145" s="111">
        <f t="shared" si="24"/>
        <v>593</v>
      </c>
    </row>
    <row r="146" spans="2:16" ht="15" customHeight="1">
      <c r="B146" s="114">
        <v>2026</v>
      </c>
      <c r="C146" s="113">
        <f t="shared" si="22"/>
        <v>90</v>
      </c>
      <c r="D146" s="112">
        <f t="shared" si="23"/>
        <v>92</v>
      </c>
      <c r="E146" s="112">
        <f t="shared" si="23"/>
        <v>90</v>
      </c>
      <c r="F146" s="112">
        <f t="shared" si="23"/>
        <v>91</v>
      </c>
      <c r="G146" s="112">
        <f t="shared" si="23"/>
        <v>82</v>
      </c>
      <c r="H146" s="112">
        <f t="shared" si="23"/>
        <v>98</v>
      </c>
      <c r="I146" s="112">
        <f t="shared" si="23"/>
        <v>76</v>
      </c>
      <c r="J146" s="111">
        <f t="shared" si="24"/>
        <v>619</v>
      </c>
    </row>
    <row r="147" spans="2:16" ht="15" customHeight="1">
      <c r="B147" s="114">
        <v>2027</v>
      </c>
      <c r="C147" s="113">
        <f t="shared" si="22"/>
        <v>99</v>
      </c>
      <c r="D147" s="112">
        <f t="shared" si="23"/>
        <v>92</v>
      </c>
      <c r="E147" s="112">
        <f t="shared" si="23"/>
        <v>95</v>
      </c>
      <c r="F147" s="112">
        <f t="shared" si="23"/>
        <v>93</v>
      </c>
      <c r="G147" s="112">
        <f t="shared" si="23"/>
        <v>93</v>
      </c>
      <c r="H147" s="112">
        <f t="shared" si="23"/>
        <v>85</v>
      </c>
      <c r="I147" s="112">
        <f t="shared" si="23"/>
        <v>100</v>
      </c>
      <c r="J147" s="111">
        <f t="shared" si="24"/>
        <v>657</v>
      </c>
    </row>
    <row r="148" spans="2:16" ht="15" customHeight="1">
      <c r="B148" s="114">
        <v>2028</v>
      </c>
      <c r="C148" s="113">
        <f t="shared" si="22"/>
        <v>99</v>
      </c>
      <c r="D148" s="112">
        <f t="shared" si="23"/>
        <v>102</v>
      </c>
      <c r="E148" s="112">
        <f t="shared" si="23"/>
        <v>93</v>
      </c>
      <c r="F148" s="112">
        <f t="shared" si="23"/>
        <v>96</v>
      </c>
      <c r="G148" s="112">
        <f t="shared" si="23"/>
        <v>94</v>
      </c>
      <c r="H148" s="112">
        <f t="shared" si="23"/>
        <v>95</v>
      </c>
      <c r="I148" s="112">
        <f t="shared" si="23"/>
        <v>86</v>
      </c>
      <c r="J148" s="111">
        <f t="shared" ref="J148:J152" si="25">SUM(C148:I148)</f>
        <v>665</v>
      </c>
    </row>
    <row r="149" spans="2:16" ht="15" customHeight="1">
      <c r="B149" s="114">
        <v>2029</v>
      </c>
      <c r="C149" s="113">
        <f t="shared" si="22"/>
        <v>99</v>
      </c>
      <c r="D149" s="112">
        <f t="shared" si="23"/>
        <v>102</v>
      </c>
      <c r="E149" s="112">
        <f t="shared" si="23"/>
        <v>102</v>
      </c>
      <c r="F149" s="112">
        <f t="shared" si="23"/>
        <v>93</v>
      </c>
      <c r="G149" s="112">
        <f t="shared" si="23"/>
        <v>95</v>
      </c>
      <c r="H149" s="112">
        <f t="shared" si="23"/>
        <v>94</v>
      </c>
      <c r="I149" s="112">
        <f t="shared" si="23"/>
        <v>93</v>
      </c>
      <c r="J149" s="111">
        <f t="shared" si="25"/>
        <v>678</v>
      </c>
    </row>
    <row r="150" spans="2:16" ht="15" customHeight="1">
      <c r="B150" s="114">
        <v>2030</v>
      </c>
      <c r="C150" s="113">
        <f t="shared" si="22"/>
        <v>99</v>
      </c>
      <c r="D150" s="112">
        <f t="shared" si="23"/>
        <v>102</v>
      </c>
      <c r="E150" s="112">
        <f t="shared" si="23"/>
        <v>102</v>
      </c>
      <c r="F150" s="112">
        <f t="shared" si="23"/>
        <v>102</v>
      </c>
      <c r="G150" s="112">
        <f t="shared" si="23"/>
        <v>92</v>
      </c>
      <c r="H150" s="112">
        <f t="shared" si="23"/>
        <v>94</v>
      </c>
      <c r="I150" s="112">
        <f t="shared" si="23"/>
        <v>92</v>
      </c>
      <c r="J150" s="111">
        <f t="shared" si="25"/>
        <v>683</v>
      </c>
    </row>
    <row r="151" spans="2:16" ht="15" customHeight="1">
      <c r="B151" s="114">
        <v>2031</v>
      </c>
      <c r="C151" s="113">
        <f t="shared" si="22"/>
        <v>99</v>
      </c>
      <c r="D151" s="112">
        <f t="shared" si="23"/>
        <v>102</v>
      </c>
      <c r="E151" s="112">
        <f t="shared" si="23"/>
        <v>102</v>
      </c>
      <c r="F151" s="112">
        <f t="shared" si="23"/>
        <v>102</v>
      </c>
      <c r="G151" s="112">
        <f t="shared" si="23"/>
        <v>100</v>
      </c>
      <c r="H151" s="112">
        <f t="shared" si="23"/>
        <v>91</v>
      </c>
      <c r="I151" s="112">
        <f t="shared" si="23"/>
        <v>93</v>
      </c>
      <c r="J151" s="111">
        <f t="shared" si="25"/>
        <v>689</v>
      </c>
    </row>
    <row r="152" spans="2:16" ht="15" customHeight="1">
      <c r="B152" s="114">
        <v>2032</v>
      </c>
      <c r="C152" s="113">
        <f t="shared" si="22"/>
        <v>99</v>
      </c>
      <c r="D152" s="112">
        <f t="shared" si="23"/>
        <v>102</v>
      </c>
      <c r="E152" s="112">
        <f t="shared" si="23"/>
        <v>102</v>
      </c>
      <c r="F152" s="112">
        <f t="shared" si="23"/>
        <v>101</v>
      </c>
      <c r="G152" s="112">
        <f t="shared" si="23"/>
        <v>100</v>
      </c>
      <c r="H152" s="112">
        <f t="shared" si="23"/>
        <v>100</v>
      </c>
      <c r="I152" s="112">
        <f t="shared" si="23"/>
        <v>90</v>
      </c>
      <c r="J152" s="111">
        <f t="shared" si="25"/>
        <v>694</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530</v>
      </c>
      <c r="D159" s="108">
        <f>J140</f>
        <v>517</v>
      </c>
      <c r="E159" s="108">
        <f>J141</f>
        <v>527.61951667980043</v>
      </c>
      <c r="F159" s="108">
        <f>J142</f>
        <v>539</v>
      </c>
      <c r="G159" s="108">
        <f>J143</f>
        <v>551.58079688731277</v>
      </c>
      <c r="H159" s="108">
        <f>J144</f>
        <v>561.9399434156378</v>
      </c>
      <c r="I159" s="108">
        <f>J145</f>
        <v>593</v>
      </c>
      <c r="J159" s="108">
        <f>J146</f>
        <v>619</v>
      </c>
      <c r="K159" s="108">
        <f>J147</f>
        <v>657</v>
      </c>
      <c r="L159" s="108">
        <f>J148</f>
        <v>665</v>
      </c>
      <c r="M159" s="108">
        <f>J149</f>
        <v>678</v>
      </c>
      <c r="N159" s="108">
        <f>J150</f>
        <v>683</v>
      </c>
      <c r="O159" s="108">
        <f>J151</f>
        <v>689</v>
      </c>
      <c r="P159" s="108">
        <f>J152</f>
        <v>694</v>
      </c>
    </row>
    <row r="160" spans="2:16" ht="15" customHeight="1">
      <c r="B160" s="107" t="s">
        <v>152</v>
      </c>
      <c r="C160" s="106">
        <f>VLOOKUP(C159,Capacity!$A$1:$C$645,2,TRUE)</f>
        <v>19</v>
      </c>
      <c r="D160" s="106">
        <f>VLOOKUP(D159,Capacity!$A$1:$C$645,2,TRUE)</f>
        <v>19</v>
      </c>
      <c r="E160" s="106">
        <f>VLOOKUP(E159,Capacity!$A$1:$C$645,2,TRUE)</f>
        <v>19</v>
      </c>
      <c r="F160" s="106">
        <f>VLOOKUP(F159,Capacity!$A$1:$C$645,2,TRUE)</f>
        <v>19</v>
      </c>
      <c r="G160" s="106">
        <f>VLOOKUP(G159,Capacity!$A$1:$C$645,2,TRUE)</f>
        <v>20</v>
      </c>
      <c r="H160" s="106">
        <f>VLOOKUP(H159,Capacity!$A$1:$C$645,2,TRUE)</f>
        <v>21</v>
      </c>
      <c r="I160" s="106">
        <f>VLOOKUP(I159,Capacity!$A$1:$C$645,2,TRUE)</f>
        <v>21</v>
      </c>
      <c r="J160" s="106">
        <f>VLOOKUP(J159,Capacity!$A$1:$C$645,2,TRUE)</f>
        <v>21</v>
      </c>
      <c r="K160" s="106">
        <f>VLOOKUP(K159,Capacity!$A$1:$C$645,2,TRUE)</f>
        <v>23</v>
      </c>
      <c r="L160" s="106">
        <f>VLOOKUP(L159,Capacity!$A$1:$C$645,2,TRUE)</f>
        <v>23</v>
      </c>
      <c r="M160" s="106">
        <f>VLOOKUP(M159,Capacity!$A$1:$C$645,2,TRUE)</f>
        <v>23</v>
      </c>
      <c r="N160" s="106">
        <f>VLOOKUP(N159,Capacity!$A$1:$C$645,2,TRUE)</f>
        <v>23</v>
      </c>
      <c r="O160" s="106">
        <f>VLOOKUP(O159,Capacity!$A$1:$C$645,2,TRUE)</f>
        <v>23</v>
      </c>
      <c r="P160" s="106">
        <f>VLOOKUP(P159,Capacity!$A$1:$C$645,2,TRUE)</f>
        <v>23</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141</v>
      </c>
      <c r="D169" s="97">
        <f>VLOOKUP($E$3,'Catchment Births'!$A$1:$U$90,11,FALSE)</f>
        <v>143</v>
      </c>
      <c r="E169" s="97">
        <f>VLOOKUP($E$3,'Catchment Births'!$A$1:$U$90,12,FALSE)</f>
        <v>130</v>
      </c>
      <c r="F169" s="97">
        <f>VLOOKUP($E$3,'Catchment Births'!$A$1:$U$90,13,FALSE)</f>
        <v>124</v>
      </c>
      <c r="G169" s="97">
        <f>VLOOKUP($E$3,'Catchment Births'!$A$1:$U$90,14,FALSE)</f>
        <v>137</v>
      </c>
      <c r="H169" s="97">
        <f>VLOOKUP($E$3,'Catchment Births'!$A$1:$U$90,15,FALSE)</f>
        <v>129</v>
      </c>
      <c r="I169" s="97">
        <f>VLOOKUP($E$3,'Catchment Births'!$A$1:$U$90,16,FALSE)</f>
        <v>133</v>
      </c>
      <c r="J169" s="97">
        <f>VLOOKUP($E$3,'Catchment Births'!$A$1:$U$90,17,FALSE)</f>
        <v>114</v>
      </c>
      <c r="K169" s="97">
        <f>VLOOKUP($E$3,'Catchment Births'!$A$1:$U$90,18,FALSE)</f>
        <v>129</v>
      </c>
      <c r="L169" s="97">
        <f>VLOOKUP($E$3,'Catchment Births'!$A$1:$U$90,19,FALSE)</f>
        <v>138</v>
      </c>
      <c r="M169" s="97">
        <f>VLOOKUP($E$3,'Catchment Births'!$A$1:$U$90,20,FALSE)</f>
        <v>130</v>
      </c>
      <c r="N169" s="97">
        <f>VLOOKUP($E$3,'Catchment Births'!$A$1:$U$90,21,FALSE)</f>
        <v>115</v>
      </c>
    </row>
    <row r="170" spans="2:14" ht="58.5" customHeight="1">
      <c r="B170" s="103" t="str">
        <f>"P1 "&amp;A35&amp;" Catchment Population (Actual)"</f>
        <v>P1 ND Catchment Population (Actual)</v>
      </c>
      <c r="C170" s="102" t="e">
        <v>#REF!</v>
      </c>
      <c r="D170" s="102">
        <v>81</v>
      </c>
      <c r="E170" s="102">
        <v>64</v>
      </c>
      <c r="F170" s="102">
        <v>77</v>
      </c>
      <c r="G170" s="102">
        <v>81</v>
      </c>
      <c r="H170" s="102">
        <v>83</v>
      </c>
      <c r="I170" s="102">
        <v>65</v>
      </c>
      <c r="J170" s="308">
        <f>VLOOKUP(E3,'Catchment Projections'!A1:BU92,42,FALSE)</f>
        <v>81</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65</v>
      </c>
      <c r="J172" s="96" t="e">
        <f>#REF!</f>
        <v>#REF!</v>
      </c>
      <c r="K172" s="96">
        <f>D51</f>
        <v>84</v>
      </c>
      <c r="L172" s="96">
        <f>E51</f>
        <v>77</v>
      </c>
      <c r="M172" s="96">
        <f>F51</f>
        <v>96</v>
      </c>
      <c r="N172" s="96">
        <f>G51</f>
        <v>83</v>
      </c>
    </row>
    <row r="173" spans="2:14" ht="12.75">
      <c r="B173" s="62"/>
      <c r="C173" s="62"/>
      <c r="D173" s="62"/>
      <c r="E173" s="62"/>
      <c r="F173" s="62"/>
      <c r="G173" s="62"/>
      <c r="H173" s="62"/>
      <c r="I173" s="62"/>
      <c r="J173" s="62"/>
      <c r="K173" s="62"/>
    </row>
    <row r="174" spans="2:14" ht="15" customHeight="1">
      <c r="B174" s="64" t="str">
        <f>"Table 5: "&amp;E3&amp;" Roll by Stage, 2002-2018"</f>
        <v>Table 5: Gracemount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47</v>
      </c>
      <c r="D177" s="93">
        <v>44</v>
      </c>
      <c r="E177" s="93">
        <v>60</v>
      </c>
      <c r="F177" s="93">
        <v>46</v>
      </c>
      <c r="G177" s="93">
        <v>53</v>
      </c>
      <c r="H177" s="93">
        <v>46</v>
      </c>
      <c r="I177" s="93">
        <v>64</v>
      </c>
      <c r="J177" s="92">
        <v>360</v>
      </c>
      <c r="K177" s="62"/>
    </row>
    <row r="178" spans="2:11" ht="15" customHeight="1">
      <c r="B178" s="94">
        <v>2003</v>
      </c>
      <c r="C178" s="93">
        <v>52</v>
      </c>
      <c r="D178" s="93">
        <v>48</v>
      </c>
      <c r="E178" s="93">
        <v>45</v>
      </c>
      <c r="F178" s="93">
        <v>58</v>
      </c>
      <c r="G178" s="93">
        <v>46</v>
      </c>
      <c r="H178" s="93">
        <v>55</v>
      </c>
      <c r="I178" s="93">
        <v>45</v>
      </c>
      <c r="J178" s="92">
        <v>349</v>
      </c>
      <c r="K178" s="62"/>
    </row>
    <row r="179" spans="2:11" customFormat="1" ht="15" customHeight="1">
      <c r="B179" s="94">
        <v>2004</v>
      </c>
      <c r="C179" s="95">
        <v>49</v>
      </c>
      <c r="D179" s="95">
        <v>56</v>
      </c>
      <c r="E179" s="95">
        <v>51</v>
      </c>
      <c r="F179" s="95">
        <v>48</v>
      </c>
      <c r="G179" s="95">
        <v>63</v>
      </c>
      <c r="H179" s="95">
        <v>52</v>
      </c>
      <c r="I179" s="95">
        <v>57</v>
      </c>
      <c r="J179" s="92">
        <v>376</v>
      </c>
      <c r="K179" s="62"/>
    </row>
    <row r="180" spans="2:11" customFormat="1" ht="15" customHeight="1">
      <c r="B180" s="94">
        <v>2005</v>
      </c>
      <c r="C180" s="93">
        <v>42</v>
      </c>
      <c r="D180" s="93">
        <v>55</v>
      </c>
      <c r="E180" s="93">
        <v>57</v>
      </c>
      <c r="F180" s="93">
        <v>49</v>
      </c>
      <c r="G180" s="93">
        <v>46</v>
      </c>
      <c r="H180" s="93">
        <v>56</v>
      </c>
      <c r="I180" s="93">
        <v>51</v>
      </c>
      <c r="J180" s="92">
        <v>356</v>
      </c>
      <c r="K180" s="62"/>
    </row>
    <row r="181" spans="2:11" customFormat="1" ht="15" customHeight="1">
      <c r="B181" s="94">
        <v>2006</v>
      </c>
      <c r="C181" s="93">
        <v>55</v>
      </c>
      <c r="D181" s="93">
        <v>43</v>
      </c>
      <c r="E181" s="93">
        <v>47</v>
      </c>
      <c r="F181" s="93">
        <v>54</v>
      </c>
      <c r="G181" s="93">
        <v>49</v>
      </c>
      <c r="H181" s="93">
        <v>51</v>
      </c>
      <c r="I181" s="93">
        <v>54</v>
      </c>
      <c r="J181" s="92">
        <v>353</v>
      </c>
      <c r="K181" s="62"/>
    </row>
    <row r="182" spans="2:11" customFormat="1" ht="15" customHeight="1">
      <c r="B182" s="94">
        <v>2007</v>
      </c>
      <c r="C182" s="93">
        <v>48</v>
      </c>
      <c r="D182" s="93">
        <v>51</v>
      </c>
      <c r="E182" s="93">
        <v>43</v>
      </c>
      <c r="F182" s="93">
        <v>50</v>
      </c>
      <c r="G182" s="93">
        <v>54</v>
      </c>
      <c r="H182" s="93">
        <v>51</v>
      </c>
      <c r="I182" s="93">
        <v>56</v>
      </c>
      <c r="J182" s="92">
        <v>353</v>
      </c>
      <c r="K182" s="62"/>
    </row>
    <row r="183" spans="2:11" customFormat="1" ht="15" customHeight="1">
      <c r="B183" s="94">
        <v>2008</v>
      </c>
      <c r="C183" s="93">
        <v>65</v>
      </c>
      <c r="D183" s="93">
        <v>48</v>
      </c>
      <c r="E183" s="93">
        <v>52</v>
      </c>
      <c r="F183" s="93">
        <v>44</v>
      </c>
      <c r="G183" s="93">
        <v>53</v>
      </c>
      <c r="H183" s="93">
        <v>51</v>
      </c>
      <c r="I183" s="93">
        <v>47</v>
      </c>
      <c r="J183" s="92">
        <v>360</v>
      </c>
      <c r="K183" s="62"/>
    </row>
    <row r="184" spans="2:11" customFormat="1" ht="15" customHeight="1">
      <c r="B184" s="94">
        <v>2009</v>
      </c>
      <c r="C184" s="93">
        <v>41</v>
      </c>
      <c r="D184" s="93">
        <v>70</v>
      </c>
      <c r="E184" s="93">
        <v>43</v>
      </c>
      <c r="F184" s="93">
        <v>59</v>
      </c>
      <c r="G184" s="93">
        <v>40</v>
      </c>
      <c r="H184" s="93">
        <v>52</v>
      </c>
      <c r="I184" s="93">
        <v>50</v>
      </c>
      <c r="J184" s="94">
        <v>355</v>
      </c>
      <c r="K184" s="62"/>
    </row>
    <row r="185" spans="2:11" customFormat="1" ht="15" customHeight="1">
      <c r="B185" s="94">
        <v>2010</v>
      </c>
      <c r="C185" s="93">
        <v>59</v>
      </c>
      <c r="D185" s="93">
        <v>57</v>
      </c>
      <c r="E185" s="93">
        <v>78</v>
      </c>
      <c r="F185" s="93">
        <v>59</v>
      </c>
      <c r="G185" s="93">
        <v>58</v>
      </c>
      <c r="H185" s="93">
        <v>44</v>
      </c>
      <c r="I185" s="93">
        <v>68</v>
      </c>
      <c r="J185" s="92">
        <v>423</v>
      </c>
      <c r="K185" s="62"/>
    </row>
    <row r="186" spans="2:11" customFormat="1" ht="15" customHeight="1">
      <c r="B186" s="94">
        <v>2011</v>
      </c>
      <c r="C186" s="93">
        <v>65</v>
      </c>
      <c r="D186" s="93">
        <v>60</v>
      </c>
      <c r="E186" s="93">
        <v>49</v>
      </c>
      <c r="F186" s="93">
        <v>75</v>
      </c>
      <c r="G186" s="93">
        <v>54</v>
      </c>
      <c r="H186" s="226">
        <v>60</v>
      </c>
      <c r="I186" s="93">
        <v>42</v>
      </c>
      <c r="J186" s="92">
        <v>405</v>
      </c>
      <c r="K186" s="62"/>
    </row>
    <row r="187" spans="2:11" customFormat="1" ht="15" customHeight="1">
      <c r="B187" s="94">
        <v>2012</v>
      </c>
      <c r="C187" s="93">
        <v>75</v>
      </c>
      <c r="D187" s="93">
        <v>64</v>
      </c>
      <c r="E187" s="93">
        <v>56</v>
      </c>
      <c r="F187" s="93">
        <v>49</v>
      </c>
      <c r="G187" s="93">
        <v>68</v>
      </c>
      <c r="H187" s="93">
        <v>53</v>
      </c>
      <c r="I187" s="93">
        <v>54</v>
      </c>
      <c r="J187" s="92">
        <v>419</v>
      </c>
      <c r="K187" s="62"/>
    </row>
    <row r="188" spans="2:11" customFormat="1" ht="15" customHeight="1">
      <c r="B188" s="94">
        <v>2013</v>
      </c>
      <c r="C188" s="93">
        <v>79</v>
      </c>
      <c r="D188" s="93">
        <v>66</v>
      </c>
      <c r="E188" s="93">
        <v>67</v>
      </c>
      <c r="F188" s="93">
        <v>56</v>
      </c>
      <c r="G188" s="93">
        <v>50</v>
      </c>
      <c r="H188" s="93">
        <v>67</v>
      </c>
      <c r="I188" s="93">
        <v>48</v>
      </c>
      <c r="J188" s="94">
        <v>433</v>
      </c>
      <c r="K188" s="62"/>
    </row>
    <row r="189" spans="2:11" customFormat="1" ht="15" customHeight="1">
      <c r="B189" s="94">
        <v>2014</v>
      </c>
      <c r="C189" s="93">
        <v>80</v>
      </c>
      <c r="D189" s="93">
        <v>81</v>
      </c>
      <c r="E189" s="93">
        <v>66</v>
      </c>
      <c r="F189" s="93">
        <v>66</v>
      </c>
      <c r="G189" s="93">
        <v>54</v>
      </c>
      <c r="H189" s="93">
        <v>51</v>
      </c>
      <c r="I189" s="93">
        <v>65</v>
      </c>
      <c r="J189" s="92">
        <v>463</v>
      </c>
      <c r="K189" s="65"/>
    </row>
    <row r="190" spans="2:11" customFormat="1" ht="15" customHeight="1">
      <c r="B190" s="94">
        <v>2015</v>
      </c>
      <c r="C190" s="93">
        <v>63</v>
      </c>
      <c r="D190" s="93">
        <v>76</v>
      </c>
      <c r="E190" s="93">
        <v>77</v>
      </c>
      <c r="F190" s="93">
        <v>65</v>
      </c>
      <c r="G190" s="93">
        <v>64</v>
      </c>
      <c r="H190" s="93">
        <v>46</v>
      </c>
      <c r="I190" s="93">
        <v>49</v>
      </c>
      <c r="J190" s="92">
        <v>440</v>
      </c>
      <c r="K190" s="65"/>
    </row>
    <row r="191" spans="2:11" customFormat="1" ht="15" customHeight="1">
      <c r="B191" s="94">
        <v>2016</v>
      </c>
      <c r="C191" s="93">
        <v>73</v>
      </c>
      <c r="D191" s="93">
        <v>65</v>
      </c>
      <c r="E191" s="93">
        <v>75</v>
      </c>
      <c r="F191" s="93">
        <v>81</v>
      </c>
      <c r="G191" s="93">
        <v>62</v>
      </c>
      <c r="H191" s="93">
        <v>66</v>
      </c>
      <c r="I191" s="93">
        <v>50</v>
      </c>
      <c r="J191" s="92">
        <v>472</v>
      </c>
      <c r="K191" s="65"/>
    </row>
    <row r="192" spans="2:11" ht="15" customHeight="1">
      <c r="B192" s="94">
        <v>2017</v>
      </c>
      <c r="C192" s="93">
        <f>VLOOKUP($E$3,Rolls!A1:FA90,42,FALSE)</f>
        <v>85</v>
      </c>
      <c r="D192" s="93">
        <f>VLOOKUP($E$3,Rolls!A1:FA90,43,FALSE)</f>
        <v>70</v>
      </c>
      <c r="E192" s="93">
        <f>VLOOKUP($E$3,Rolls!A1:FA90,44,FALSE)</f>
        <v>60</v>
      </c>
      <c r="F192" s="93">
        <f>VLOOKUP($E$3,Rolls!A1:FA90,45,FALSE)</f>
        <v>72</v>
      </c>
      <c r="G192" s="93">
        <f>VLOOKUP($E$3,Rolls!A1:FA90,46,FALSE)</f>
        <v>83</v>
      </c>
      <c r="H192" s="93">
        <f>VLOOKUP($E$3,Rolls!A1:FA90,47,FALSE)</f>
        <v>61</v>
      </c>
      <c r="I192" s="93">
        <f>VLOOKUP($E$3,Rolls!A1:FA90,48,FALSE)</f>
        <v>63</v>
      </c>
      <c r="J192" s="92">
        <f>VLOOKUP($E$3,Rolls!A1:FA90,49,FALSE)</f>
        <v>494</v>
      </c>
      <c r="K192" s="65"/>
    </row>
    <row r="193" spans="2:11" ht="15" customHeight="1">
      <c r="B193" s="94">
        <v>2018</v>
      </c>
      <c r="C193" s="93">
        <f>VLOOKUP($E$3,Rolls!A1:FA90,50,FALSE)</f>
        <v>63</v>
      </c>
      <c r="D193" s="93">
        <f>VLOOKUP($E$3,Rolls!A1:FA90,51,FALSE)</f>
        <v>88</v>
      </c>
      <c r="E193" s="93">
        <f>VLOOKUP($E$3,Rolls!A1:FA90,52,FALSE)</f>
        <v>70</v>
      </c>
      <c r="F193" s="93">
        <f>VLOOKUP($E$3,Rolls!A1:FA90,53,FALSE)</f>
        <v>60</v>
      </c>
      <c r="G193" s="93">
        <f>VLOOKUP($E$3,Rolls!A1:FA90,54,FALSE)</f>
        <v>76</v>
      </c>
      <c r="H193" s="93">
        <f>VLOOKUP($E$3,Rolls!A1:FA90,55,FALSE)</f>
        <v>78</v>
      </c>
      <c r="I193" s="93">
        <f>VLOOKUP($E$3,Rolls!A1:FA90,56,FALSE)</f>
        <v>67</v>
      </c>
      <c r="J193" s="92">
        <f>VLOOKUP($E$3,Rolls!A1:FA90,57,FALSE)</f>
        <v>502</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37</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Granton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560 Pupils (20 classes)</v>
      </c>
      <c r="G12" s="16"/>
      <c r="H12" s="16"/>
    </row>
    <row r="13" spans="2:10" ht="15" customHeight="1">
      <c r="C13" s="16"/>
      <c r="D13" s="16"/>
      <c r="E13" s="16"/>
      <c r="F13" s="16"/>
      <c r="G13" s="16"/>
      <c r="H13" s="16"/>
    </row>
    <row r="14" spans="2:10" ht="15" customHeight="1">
      <c r="B14" s="15" t="str">
        <f>"Figure 1: "&amp;E3&amp;" Roll, 2002-2015"</f>
        <v>Figure 1: Granton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Granton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84</v>
      </c>
      <c r="E49" s="108">
        <f>VLOOKUP($E$3,'Catchment Projections'!$A$1:$BU$90,46,FALSE)</f>
        <v>93</v>
      </c>
      <c r="F49" s="108">
        <f>VLOOKUP($E$3,'Catchment Projections'!$A$1:$BU$90,47,FALSE)</f>
        <v>99</v>
      </c>
      <c r="G49" s="108">
        <f>VLOOKUP($E$3,'Catchment Projections'!$A$1:$BU$90,48,FALSE)</f>
        <v>95</v>
      </c>
      <c r="H49" s="133">
        <f>VLOOKUP($E$3,'Catchment Projections'!$A$1:$BU$90,49,FALSE)</f>
        <v>97</v>
      </c>
      <c r="I49" s="133">
        <f>VLOOKUP($E$3,'Catchment Projections'!$A$1:$BU$90,50,FALSE)</f>
        <v>99</v>
      </c>
      <c r="J49" s="133">
        <f>VLOOKUP($E$3,'Catchment Projections'!$A$1:$BU$90,51,FALSE)</f>
        <v>99</v>
      </c>
      <c r="K49" s="133">
        <f>VLOOKUP($E$3,'Catchment Projections'!$A$1:$BU$90,52,FALSE)</f>
        <v>100</v>
      </c>
      <c r="L49" s="133">
        <f>VLOOKUP($E$3,'Catchment Projections'!$A$1:$BU$90,53,FALSE)</f>
        <v>101</v>
      </c>
      <c r="M49" s="133">
        <f>VLOOKUP($E$3,'Catchment Projections'!$A$1:$BU$90,54,FALSE)</f>
        <v>102</v>
      </c>
      <c r="N49" s="133">
        <f>VLOOKUP($E$3,'Catchment Projections'!$A$1:$BU$90,55,FALSE)</f>
        <v>102</v>
      </c>
      <c r="O49" s="133">
        <f>VLOOKUP($E$3,'Catchment Projections'!$A$1:$BU$90,56,FALSE)</f>
        <v>103</v>
      </c>
      <c r="P49" s="133">
        <f>VLOOKUP($E$3,'Catchment Projections'!$A$1:$BU$90,57,FALSE)</f>
        <v>103</v>
      </c>
      <c r="Q49" s="133">
        <f>VLOOKUP($E$3,'Catchment Projections'!$A$1:$BU$90,58,FALSE)</f>
        <v>103</v>
      </c>
    </row>
    <row r="50" spans="2:17" ht="15" customHeight="1" thickBot="1">
      <c r="B50" s="410" t="s">
        <v>141</v>
      </c>
      <c r="C50" s="411"/>
      <c r="D50" s="286">
        <f>VLOOKUP(E3,'Housing Generation'!$A$3:$DQ$90,10,FALSE)</f>
        <v>0</v>
      </c>
      <c r="E50" s="286">
        <f>VLOOKUP(E3,'Housing Generation'!$A$3:$DQ$90,18,FALSE)</f>
        <v>3</v>
      </c>
      <c r="F50" s="286">
        <f>VLOOKUP(E3,'Housing Generation'!$A$3:$DQ$90,26,FALSE)</f>
        <v>5</v>
      </c>
      <c r="G50" s="243">
        <f>VLOOKUP(E3,'Housing Generation'!$A$3:$DQ$90,34,FALSE)</f>
        <v>7</v>
      </c>
      <c r="H50" s="133">
        <f>VLOOKUP(E3,'Housing Generation'!$A$3:$DQ$90,42,FALSE)</f>
        <v>8</v>
      </c>
      <c r="I50" s="133">
        <f>VLOOKUP(E3,'Housing Generation'!$A$3:$DQ$90,50,FALSE)</f>
        <v>11</v>
      </c>
      <c r="J50" s="133">
        <f>VLOOKUP(E3,'Housing Generation'!$A$3:$CK$90,58,FALSE)</f>
        <v>15</v>
      </c>
      <c r="K50" s="133">
        <f>VLOOKUP(E3,'Housing Generation'!$A$3:$CK$90,66,FALSE)</f>
        <v>18</v>
      </c>
      <c r="L50" s="133">
        <f>VLOOKUP(E3,'Housing Generation'!$A$3:$DQ$90,74,FALSE)</f>
        <v>21</v>
      </c>
      <c r="M50" s="133">
        <f>VLOOKUP(E3,'Housing Generation'!$A$3:$DQ$90,82,FALSE)</f>
        <v>26</v>
      </c>
      <c r="N50" s="133">
        <f>VLOOKUP(E3,'Housing Generation'!$A$3:$DQ$90,90,FALSE)</f>
        <v>28</v>
      </c>
      <c r="O50" s="133">
        <f>VLOOKUP(E3,'Housing Generation'!$A$3:$DQ$90,98,FALSE)</f>
        <v>30</v>
      </c>
      <c r="P50" s="133">
        <f>VLOOKUP(E3,'Housing Generation'!$A$3:$DQ$90,106,FALSE)</f>
        <v>32</v>
      </c>
      <c r="Q50" s="133">
        <f>VLOOKUP(E3,'Housing Generation'!$A$3:$DQ$90,114,FALSE)</f>
        <v>34</v>
      </c>
    </row>
    <row r="51" spans="2:17" ht="15" customHeight="1" thickTop="1">
      <c r="B51" s="421" t="s">
        <v>130</v>
      </c>
      <c r="C51" s="422"/>
      <c r="D51" s="47">
        <f t="shared" ref="D51:Q51" si="0">SUM(D49:D50)</f>
        <v>84</v>
      </c>
      <c r="E51" s="47">
        <f t="shared" si="0"/>
        <v>96</v>
      </c>
      <c r="F51" s="80">
        <f t="shared" si="0"/>
        <v>104</v>
      </c>
      <c r="G51" s="244">
        <f t="shared" si="0"/>
        <v>102</v>
      </c>
      <c r="H51" s="71">
        <f t="shared" si="0"/>
        <v>105</v>
      </c>
      <c r="I51" s="71">
        <f t="shared" si="0"/>
        <v>110</v>
      </c>
      <c r="J51" s="71">
        <f t="shared" si="0"/>
        <v>114</v>
      </c>
      <c r="K51" s="71">
        <f t="shared" si="0"/>
        <v>118</v>
      </c>
      <c r="L51" s="71">
        <f t="shared" si="0"/>
        <v>122</v>
      </c>
      <c r="M51" s="71">
        <f t="shared" si="0"/>
        <v>128</v>
      </c>
      <c r="N51" s="71">
        <f t="shared" si="0"/>
        <v>130</v>
      </c>
      <c r="O51" s="71">
        <f t="shared" si="0"/>
        <v>133</v>
      </c>
      <c r="P51" s="71">
        <f t="shared" si="0"/>
        <v>135</v>
      </c>
      <c r="Q51" s="71">
        <f t="shared" si="0"/>
        <v>137</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90</v>
      </c>
      <c r="D60" s="358">
        <f>VLOOKUP($E$3,'Catchment Projections'!$A$1:$BZ$90,74,FALSE)</f>
        <v>64</v>
      </c>
      <c r="E60" s="303">
        <f>D60/C60</f>
        <v>0.71111111111111114</v>
      </c>
      <c r="G60" s="132">
        <v>2014</v>
      </c>
      <c r="H60" s="395">
        <f>VLOOKUP($G$60,$B$177:$C$215, 2, FALSE)</f>
        <v>66</v>
      </c>
      <c r="I60" s="120">
        <f>H60-D60</f>
        <v>2</v>
      </c>
      <c r="J60" s="121">
        <f>I60/H60</f>
        <v>3.0303030303030304E-2</v>
      </c>
    </row>
    <row r="61" spans="2:17" ht="15" customHeight="1">
      <c r="B61" s="132">
        <v>2015</v>
      </c>
      <c r="C61" s="359">
        <f>VLOOKUP($E$3,'Catchment Projections'!$A$1:$BZ$90,41,FALSE)</f>
        <v>77</v>
      </c>
      <c r="D61" s="358">
        <f>VLOOKUP($E$3,'Catchment Projections'!$A$1:$BZ$90,75,FALSE)</f>
        <v>62</v>
      </c>
      <c r="E61" s="303">
        <f>D61/C61</f>
        <v>0.80519480519480524</v>
      </c>
      <c r="G61" s="132">
        <v>2015</v>
      </c>
      <c r="H61" s="395">
        <f>VLOOKUP($G$61,$B$177:$C$215, 2, FALSE)</f>
        <v>69</v>
      </c>
      <c r="I61" s="120">
        <f>H61-D61</f>
        <v>7</v>
      </c>
      <c r="J61" s="121">
        <f>I61/H61</f>
        <v>0.10144927536231885</v>
      </c>
    </row>
    <row r="62" spans="2:17" ht="15" customHeight="1">
      <c r="B62" s="131">
        <v>2016</v>
      </c>
      <c r="C62" s="359">
        <f>VLOOKUP($E$3,'Catchment Projections'!$A$1:$BZ$90,42,FALSE)</f>
        <v>103</v>
      </c>
      <c r="D62" s="358">
        <f>VLOOKUP($E$3,'Catchment Projections'!$A$1:$BZ$90,76,FALSE)</f>
        <v>94</v>
      </c>
      <c r="E62" s="57">
        <f>D62/C62</f>
        <v>0.91262135922330101</v>
      </c>
      <c r="G62" s="131">
        <v>2016</v>
      </c>
      <c r="H62" s="395">
        <f>VLOOKUP($G$62,$B$177:$C$215, 2, FALSE)</f>
        <v>106</v>
      </c>
      <c r="I62" s="120">
        <f>H62-D62</f>
        <v>12</v>
      </c>
      <c r="J62" s="121">
        <f>I62/H62</f>
        <v>0.11320754716981132</v>
      </c>
    </row>
    <row r="63" spans="2:17" ht="15" customHeight="1">
      <c r="B63" s="114">
        <v>2017</v>
      </c>
      <c r="C63" s="359">
        <f>VLOOKUP($E$3,'Catchment Projections'!$A$1:$BZ$90,43,FALSE)</f>
        <v>100</v>
      </c>
      <c r="D63" s="358">
        <f>VLOOKUP($E$3,'Catchment Projections'!$A$1:$BZ$90,77,FALSE)</f>
        <v>80</v>
      </c>
      <c r="E63" s="304">
        <f>D63/C63</f>
        <v>0.8</v>
      </c>
      <c r="G63" s="114">
        <v>2017</v>
      </c>
      <c r="H63" s="395">
        <f>VLOOKUP($G$63,$B$177:$C$215, 2, FALSE)</f>
        <v>83</v>
      </c>
      <c r="I63" s="120">
        <f>H63-D63</f>
        <v>3</v>
      </c>
      <c r="J63" s="121">
        <f>I63/H63</f>
        <v>3.614457831325301E-2</v>
      </c>
    </row>
    <row r="64" spans="2:17" ht="15" customHeight="1">
      <c r="B64" s="114">
        <v>2018</v>
      </c>
      <c r="C64" s="359">
        <f>VLOOKUP($E$3,'Catchment Projections'!$A$1:$BZ$90,44,FALSE)</f>
        <v>85</v>
      </c>
      <c r="D64" s="358">
        <f>VLOOKUP($E$3,'Catchment Projections'!$A$1:$BZ$90,78,FALSE)</f>
        <v>62</v>
      </c>
      <c r="E64" s="305">
        <f>D64/C64</f>
        <v>0.72941176470588232</v>
      </c>
      <c r="G64" s="114">
        <v>2018</v>
      </c>
      <c r="H64" s="395">
        <f>VLOOKUP($G$64,$B$177:$C$215, 2, FALSE)</f>
        <v>70</v>
      </c>
      <c r="I64" s="120">
        <f>H64-D64</f>
        <v>8</v>
      </c>
      <c r="J64" s="121">
        <f>I64/H64</f>
        <v>0.11428571428571428</v>
      </c>
    </row>
    <row r="65" spans="2:10" ht="15" customHeight="1">
      <c r="B65" s="412" t="s">
        <v>136</v>
      </c>
      <c r="C65" s="413"/>
      <c r="D65" s="414"/>
      <c r="E65" s="137">
        <f>IF((AVERAGE(E62:E64))="#DIV/0!","n/a",(AVERAGE(E62:E64)))</f>
        <v>0.81401104130972779</v>
      </c>
      <c r="G65" s="415" t="s">
        <v>137</v>
      </c>
      <c r="H65" s="416"/>
      <c r="I65" s="138">
        <f>MEDIAN(I60:I64)</f>
        <v>7</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84</v>
      </c>
      <c r="D70" s="408"/>
      <c r="E70" s="122">
        <f>E65</f>
        <v>0.81401104130972779</v>
      </c>
      <c r="F70" s="120">
        <f t="shared" ref="F70:F83" si="1">C70*$E$65</f>
        <v>68.376927470017137</v>
      </c>
      <c r="G70" s="118">
        <f>IF(F70&lt;26,25,IF(F70&gt;135,140,IF(F70&gt;130,135,IF(F70&gt;125,130,IF(F70&gt;120,125,IF(F70&gt;115,120,IF(F70&gt;110,115,IF(F70&gt;105,110,IF(F70&gt;100,105,IF(F70&gt;99,100,IF(F70&gt;90,99,IF(F70&gt;75,90,IF(F70&gt;72,75,IF(F70&gt;66,72,IF(F70&gt;60,66,IF(F70&gt;50,60,IF(F70&gt;30,50,IF(F70&gt;25,30,0))))))))))))))))))</f>
        <v>72</v>
      </c>
      <c r="H70" s="119">
        <f t="shared" ref="H70:H83" si="2">G70-F70</f>
        <v>3.6230725299828634</v>
      </c>
      <c r="I70" s="118" t="str">
        <f>IF(I$65&lt;H70, "NO", "YES")</f>
        <v>YES</v>
      </c>
      <c r="J70" s="117">
        <f t="shared" ref="J70:J83" si="3">IF(I70="YES",G70,(MIN((SUM(F70,$I$65)),G70)))</f>
        <v>72</v>
      </c>
    </row>
    <row r="71" spans="2:10" ht="15" customHeight="1">
      <c r="B71" s="114">
        <v>2020</v>
      </c>
      <c r="C71" s="433">
        <f>E51</f>
        <v>96</v>
      </c>
      <c r="D71" s="408"/>
      <c r="E71" s="121">
        <f>E65</f>
        <v>0.81401104130972779</v>
      </c>
      <c r="F71" s="120">
        <f t="shared" si="1"/>
        <v>78.145059965733864</v>
      </c>
      <c r="G71" s="118">
        <f t="shared" ref="G71:G83" si="4">IF(F71&lt;26,25,IF(F71&gt;135,140,IF(F71&gt;130,135,IF(F71&gt;125,130,IF(F71&gt;120,125,IF(F71&gt;115,120,IF(F71&gt;110,115,IF(F71&gt;105,110,IF(F71&gt;100,105,IF(F71&gt;99,100,IF(F71&gt;90,99,IF(F71&gt;75,90,IF(F71&gt;72,75,IF(F71&gt;66,72,IF(F71&gt;60,66,IF(F71&gt;50,60,IF(F71&gt;30,50,IF(F71&gt;25,30,0))))))))))))))))))</f>
        <v>90</v>
      </c>
      <c r="H71" s="119">
        <f t="shared" si="2"/>
        <v>11.854940034266136</v>
      </c>
      <c r="I71" s="118" t="str">
        <f t="shared" ref="I71:I83" si="5">IF(I$65&lt;H71, "NO", "YES")</f>
        <v>NO</v>
      </c>
      <c r="J71" s="117">
        <f t="shared" si="3"/>
        <v>85.145059965733864</v>
      </c>
    </row>
    <row r="72" spans="2:10" ht="15" customHeight="1">
      <c r="B72" s="114">
        <v>2021</v>
      </c>
      <c r="C72" s="430">
        <f>F51</f>
        <v>104</v>
      </c>
      <c r="D72" s="431"/>
      <c r="E72" s="121">
        <f>E65</f>
        <v>0.81401104130972779</v>
      </c>
      <c r="F72" s="120">
        <f t="shared" si="1"/>
        <v>84.657148296211687</v>
      </c>
      <c r="G72" s="118">
        <f t="shared" si="4"/>
        <v>90</v>
      </c>
      <c r="H72" s="119">
        <f t="shared" si="2"/>
        <v>5.3428517037883125</v>
      </c>
      <c r="I72" s="118" t="str">
        <f t="shared" si="5"/>
        <v>YES</v>
      </c>
      <c r="J72" s="117">
        <f t="shared" si="3"/>
        <v>90</v>
      </c>
    </row>
    <row r="73" spans="2:10" ht="15" customHeight="1">
      <c r="B73" s="114">
        <v>2022</v>
      </c>
      <c r="C73" s="430">
        <f>G51</f>
        <v>102</v>
      </c>
      <c r="D73" s="431"/>
      <c r="E73" s="121">
        <f>E65</f>
        <v>0.81401104130972779</v>
      </c>
      <c r="F73" s="120">
        <f t="shared" si="1"/>
        <v>83.029126213592235</v>
      </c>
      <c r="G73" s="118">
        <f t="shared" si="4"/>
        <v>90</v>
      </c>
      <c r="H73" s="119">
        <f t="shared" si="2"/>
        <v>6.9708737864077648</v>
      </c>
      <c r="I73" s="118" t="str">
        <f t="shared" si="5"/>
        <v>YES</v>
      </c>
      <c r="J73" s="117">
        <f t="shared" si="3"/>
        <v>90</v>
      </c>
    </row>
    <row r="74" spans="2:10" ht="15" customHeight="1">
      <c r="B74" s="114">
        <v>2023</v>
      </c>
      <c r="C74" s="430">
        <f>H51</f>
        <v>105</v>
      </c>
      <c r="D74" s="431"/>
      <c r="E74" s="121">
        <f>E65</f>
        <v>0.81401104130972779</v>
      </c>
      <c r="F74" s="120">
        <f t="shared" si="1"/>
        <v>85.471159337521414</v>
      </c>
      <c r="G74" s="118">
        <f t="shared" si="4"/>
        <v>90</v>
      </c>
      <c r="H74" s="119">
        <f t="shared" si="2"/>
        <v>4.5288406624785864</v>
      </c>
      <c r="I74" s="118" t="str">
        <f t="shared" si="5"/>
        <v>YES</v>
      </c>
      <c r="J74" s="117">
        <f t="shared" si="3"/>
        <v>90</v>
      </c>
    </row>
    <row r="75" spans="2:10" ht="15" customHeight="1">
      <c r="B75" s="114">
        <v>2024</v>
      </c>
      <c r="C75" s="430">
        <f>I51</f>
        <v>110</v>
      </c>
      <c r="D75" s="431"/>
      <c r="E75" s="121">
        <f>E65</f>
        <v>0.81401104130972779</v>
      </c>
      <c r="F75" s="120">
        <f t="shared" si="1"/>
        <v>89.541214544070058</v>
      </c>
      <c r="G75" s="118">
        <f t="shared" si="4"/>
        <v>90</v>
      </c>
      <c r="H75" s="119">
        <f t="shared" si="2"/>
        <v>0.45878545592994158</v>
      </c>
      <c r="I75" s="118" t="str">
        <f t="shared" si="5"/>
        <v>YES</v>
      </c>
      <c r="J75" s="117">
        <f t="shared" si="3"/>
        <v>90</v>
      </c>
    </row>
    <row r="76" spans="2:10" ht="15" customHeight="1">
      <c r="B76" s="114">
        <v>2025</v>
      </c>
      <c r="C76" s="430">
        <f>J51</f>
        <v>114</v>
      </c>
      <c r="D76" s="431"/>
      <c r="E76" s="121">
        <f>E65</f>
        <v>0.81401104130972779</v>
      </c>
      <c r="F76" s="120">
        <f t="shared" si="1"/>
        <v>92.797258709308963</v>
      </c>
      <c r="G76" s="118">
        <f t="shared" si="4"/>
        <v>99</v>
      </c>
      <c r="H76" s="119">
        <f t="shared" si="2"/>
        <v>6.2027412906910371</v>
      </c>
      <c r="I76" s="118" t="str">
        <f t="shared" si="5"/>
        <v>YES</v>
      </c>
      <c r="J76" s="117">
        <f t="shared" si="3"/>
        <v>99</v>
      </c>
    </row>
    <row r="77" spans="2:10" ht="15" customHeight="1">
      <c r="B77" s="114">
        <v>2026</v>
      </c>
      <c r="C77" s="430">
        <f>K51</f>
        <v>118</v>
      </c>
      <c r="D77" s="431"/>
      <c r="E77" s="121">
        <f>E65</f>
        <v>0.81401104130972779</v>
      </c>
      <c r="F77" s="120">
        <f t="shared" si="1"/>
        <v>96.053302874547882</v>
      </c>
      <c r="G77" s="118">
        <f t="shared" si="4"/>
        <v>99</v>
      </c>
      <c r="H77" s="119">
        <f t="shared" si="2"/>
        <v>2.9466971254521184</v>
      </c>
      <c r="I77" s="118" t="str">
        <f t="shared" si="5"/>
        <v>YES</v>
      </c>
      <c r="J77" s="117">
        <f t="shared" si="3"/>
        <v>99</v>
      </c>
    </row>
    <row r="78" spans="2:10" ht="15" customHeight="1">
      <c r="B78" s="114">
        <v>2027</v>
      </c>
      <c r="C78" s="430">
        <f>L51</f>
        <v>122</v>
      </c>
      <c r="D78" s="431"/>
      <c r="E78" s="121">
        <f>E65</f>
        <v>0.81401104130972779</v>
      </c>
      <c r="F78" s="120">
        <f t="shared" si="1"/>
        <v>99.309347039786786</v>
      </c>
      <c r="G78" s="118">
        <f t="shared" si="4"/>
        <v>100</v>
      </c>
      <c r="H78" s="119">
        <f t="shared" si="2"/>
        <v>0.69065296021321387</v>
      </c>
      <c r="I78" s="118" t="str">
        <f t="shared" si="5"/>
        <v>YES</v>
      </c>
      <c r="J78" s="117">
        <f t="shared" si="3"/>
        <v>100</v>
      </c>
    </row>
    <row r="79" spans="2:10" ht="15" customHeight="1">
      <c r="B79" s="114">
        <v>2028</v>
      </c>
      <c r="C79" s="430">
        <f>M51</f>
        <v>128</v>
      </c>
      <c r="D79" s="431"/>
      <c r="E79" s="121">
        <f t="shared" ref="E79:E83" si="6">$E$65</f>
        <v>0.81401104130972779</v>
      </c>
      <c r="F79" s="120">
        <f t="shared" si="1"/>
        <v>104.19341328764516</v>
      </c>
      <c r="G79" s="118">
        <f t="shared" si="4"/>
        <v>105</v>
      </c>
      <c r="H79" s="119">
        <f t="shared" si="2"/>
        <v>0.80658671235484292</v>
      </c>
      <c r="I79" s="118" t="str">
        <f t="shared" si="5"/>
        <v>YES</v>
      </c>
      <c r="J79" s="117">
        <f t="shared" si="3"/>
        <v>105</v>
      </c>
    </row>
    <row r="80" spans="2:10" ht="15" customHeight="1">
      <c r="B80" s="114">
        <v>2029</v>
      </c>
      <c r="C80" s="430">
        <f>N51</f>
        <v>130</v>
      </c>
      <c r="D80" s="431"/>
      <c r="E80" s="121">
        <f t="shared" si="6"/>
        <v>0.81401104130972779</v>
      </c>
      <c r="F80" s="120">
        <f t="shared" si="1"/>
        <v>105.82143537026461</v>
      </c>
      <c r="G80" s="118">
        <f t="shared" si="4"/>
        <v>110</v>
      </c>
      <c r="H80" s="119">
        <f t="shared" si="2"/>
        <v>4.1785646297353907</v>
      </c>
      <c r="I80" s="118" t="str">
        <f t="shared" si="5"/>
        <v>YES</v>
      </c>
      <c r="J80" s="117">
        <f t="shared" si="3"/>
        <v>110</v>
      </c>
    </row>
    <row r="81" spans="2:10" ht="15" customHeight="1">
      <c r="B81" s="114">
        <v>2030</v>
      </c>
      <c r="C81" s="430">
        <f>O51</f>
        <v>133</v>
      </c>
      <c r="D81" s="431"/>
      <c r="E81" s="121">
        <f t="shared" si="6"/>
        <v>0.81401104130972779</v>
      </c>
      <c r="F81" s="120">
        <f t="shared" si="1"/>
        <v>108.2634684941938</v>
      </c>
      <c r="G81" s="118">
        <f t="shared" si="4"/>
        <v>110</v>
      </c>
      <c r="H81" s="119">
        <f t="shared" si="2"/>
        <v>1.7365315058061981</v>
      </c>
      <c r="I81" s="118" t="str">
        <f t="shared" si="5"/>
        <v>YES</v>
      </c>
      <c r="J81" s="117">
        <f t="shared" si="3"/>
        <v>110</v>
      </c>
    </row>
    <row r="82" spans="2:10" ht="15" customHeight="1">
      <c r="B82" s="114">
        <v>2031</v>
      </c>
      <c r="C82" s="430">
        <f>P51</f>
        <v>135</v>
      </c>
      <c r="D82" s="431"/>
      <c r="E82" s="121">
        <f t="shared" si="6"/>
        <v>0.81401104130972779</v>
      </c>
      <c r="F82" s="120">
        <f t="shared" si="1"/>
        <v>109.89149057681325</v>
      </c>
      <c r="G82" s="118">
        <f t="shared" si="4"/>
        <v>110</v>
      </c>
      <c r="H82" s="119">
        <f t="shared" si="2"/>
        <v>0.10850942318674583</v>
      </c>
      <c r="I82" s="118" t="str">
        <f t="shared" si="5"/>
        <v>YES</v>
      </c>
      <c r="J82" s="117">
        <f t="shared" si="3"/>
        <v>110</v>
      </c>
    </row>
    <row r="83" spans="2:10" ht="15" customHeight="1">
      <c r="B83" s="114">
        <v>2032</v>
      </c>
      <c r="C83" s="430">
        <f>Q51</f>
        <v>137</v>
      </c>
      <c r="D83" s="431"/>
      <c r="E83" s="121">
        <f t="shared" si="6"/>
        <v>0.81401104130972779</v>
      </c>
      <c r="F83" s="120">
        <f t="shared" si="1"/>
        <v>111.51951265943271</v>
      </c>
      <c r="G83" s="118">
        <f t="shared" si="4"/>
        <v>115</v>
      </c>
      <c r="H83" s="119">
        <f t="shared" si="2"/>
        <v>3.4804873405672936</v>
      </c>
      <c r="I83" s="118" t="str">
        <f t="shared" si="5"/>
        <v>YES</v>
      </c>
      <c r="J83" s="117">
        <f t="shared" si="3"/>
        <v>115</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Granton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73</v>
      </c>
      <c r="D91" s="112">
        <f t="shared" ref="D91:J91" si="7">D188</f>
        <v>60</v>
      </c>
      <c r="E91" s="112">
        <f t="shared" si="7"/>
        <v>61</v>
      </c>
      <c r="F91" s="112">
        <f t="shared" si="7"/>
        <v>53</v>
      </c>
      <c r="G91" s="112">
        <f t="shared" si="7"/>
        <v>44</v>
      </c>
      <c r="H91" s="112">
        <f t="shared" si="7"/>
        <v>36</v>
      </c>
      <c r="I91" s="112">
        <f t="shared" si="7"/>
        <v>38</v>
      </c>
      <c r="J91" s="213">
        <f t="shared" si="7"/>
        <v>365</v>
      </c>
    </row>
    <row r="92" spans="2:10" ht="15" customHeight="1">
      <c r="B92" s="114">
        <v>2014</v>
      </c>
      <c r="C92" s="112">
        <f>C189</f>
        <v>66</v>
      </c>
      <c r="D92" s="112">
        <f t="shared" ref="D92:J92" si="8">D189</f>
        <v>76</v>
      </c>
      <c r="E92" s="112">
        <f t="shared" si="8"/>
        <v>45</v>
      </c>
      <c r="F92" s="112">
        <f t="shared" si="8"/>
        <v>58</v>
      </c>
      <c r="G92" s="112">
        <f t="shared" si="8"/>
        <v>50</v>
      </c>
      <c r="H92" s="112">
        <f t="shared" si="8"/>
        <v>44</v>
      </c>
      <c r="I92" s="112">
        <f t="shared" si="8"/>
        <v>36</v>
      </c>
      <c r="J92" s="213">
        <f t="shared" si="8"/>
        <v>375</v>
      </c>
    </row>
    <row r="93" spans="2:10" ht="15" customHeight="1">
      <c r="B93" s="114">
        <v>2015</v>
      </c>
      <c r="C93" s="112">
        <f>C190</f>
        <v>69</v>
      </c>
      <c r="D93" s="112">
        <f t="shared" ref="D93:J93" si="9">D190</f>
        <v>56</v>
      </c>
      <c r="E93" s="112">
        <f t="shared" si="9"/>
        <v>72</v>
      </c>
      <c r="F93" s="112">
        <f t="shared" si="9"/>
        <v>40</v>
      </c>
      <c r="G93" s="112">
        <f t="shared" si="9"/>
        <v>55</v>
      </c>
      <c r="H93" s="112">
        <f t="shared" si="9"/>
        <v>48</v>
      </c>
      <c r="I93" s="112">
        <f t="shared" si="9"/>
        <v>46</v>
      </c>
      <c r="J93" s="213">
        <f t="shared" si="9"/>
        <v>386</v>
      </c>
    </row>
    <row r="94" spans="2:10" ht="15" customHeight="1">
      <c r="B94" s="114">
        <v>2016</v>
      </c>
      <c r="C94" s="112">
        <f>C191</f>
        <v>106</v>
      </c>
      <c r="D94" s="112">
        <f t="shared" ref="D94:J94" si="10">D191</f>
        <v>57</v>
      </c>
      <c r="E94" s="112">
        <f t="shared" si="10"/>
        <v>52</v>
      </c>
      <c r="F94" s="112">
        <f t="shared" si="10"/>
        <v>69</v>
      </c>
      <c r="G94" s="112">
        <f t="shared" si="10"/>
        <v>38</v>
      </c>
      <c r="H94" s="112">
        <f t="shared" si="10"/>
        <v>52</v>
      </c>
      <c r="I94" s="112">
        <f t="shared" si="10"/>
        <v>46</v>
      </c>
      <c r="J94" s="213">
        <f t="shared" si="10"/>
        <v>420</v>
      </c>
    </row>
    <row r="95" spans="2:10" ht="15" customHeight="1">
      <c r="B95" s="114">
        <v>2017</v>
      </c>
      <c r="C95" s="112">
        <f>C192</f>
        <v>83</v>
      </c>
      <c r="D95" s="112">
        <f t="shared" ref="D95:J95" si="11">D192</f>
        <v>103</v>
      </c>
      <c r="E95" s="112">
        <f t="shared" si="11"/>
        <v>56</v>
      </c>
      <c r="F95" s="112">
        <f t="shared" si="11"/>
        <v>53</v>
      </c>
      <c r="G95" s="112">
        <f t="shared" si="11"/>
        <v>68</v>
      </c>
      <c r="H95" s="112">
        <f t="shared" si="11"/>
        <v>39</v>
      </c>
      <c r="I95" s="112">
        <f t="shared" si="11"/>
        <v>53</v>
      </c>
      <c r="J95" s="213">
        <f t="shared" si="11"/>
        <v>455</v>
      </c>
    </row>
    <row r="96" spans="2:10" ht="15" customHeight="1">
      <c r="B96" s="307">
        <v>2018</v>
      </c>
      <c r="C96" s="112">
        <f t="shared" ref="C96:J96" si="12">C193</f>
        <v>70</v>
      </c>
      <c r="D96" s="112">
        <f t="shared" si="12"/>
        <v>80</v>
      </c>
      <c r="E96" s="112">
        <f t="shared" si="12"/>
        <v>102</v>
      </c>
      <c r="F96" s="112">
        <f t="shared" si="12"/>
        <v>54</v>
      </c>
      <c r="G96" s="112">
        <f t="shared" si="12"/>
        <v>50</v>
      </c>
      <c r="H96" s="112">
        <f t="shared" si="12"/>
        <v>66</v>
      </c>
      <c r="I96" s="112">
        <f t="shared" si="12"/>
        <v>39</v>
      </c>
      <c r="J96" s="213">
        <f t="shared" si="12"/>
        <v>461</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3.614457831325301E-2</v>
      </c>
      <c r="E98" s="210">
        <f t="shared" ref="E98:I98" si="13">MEDIAN(((D91-E92)/D91),((D92-E93)/D92),((D93-E94)/D93),((D94-E95)/D94),((D95-E96)/D95))</f>
        <v>5.2631578947368418E-2</v>
      </c>
      <c r="F98" s="210">
        <f t="shared" si="13"/>
        <v>4.1666666666666664E-2</v>
      </c>
      <c r="G98" s="210">
        <f t="shared" si="13"/>
        <v>5.1724137931034482E-2</v>
      </c>
      <c r="H98" s="210">
        <f t="shared" si="13"/>
        <v>2.9411764705882353E-2</v>
      </c>
      <c r="I98" s="210">
        <f t="shared" si="13"/>
        <v>0</v>
      </c>
    </row>
    <row r="99" spans="2:10" ht="18.75">
      <c r="B99" s="59"/>
      <c r="C99" s="60"/>
      <c r="D99" s="61"/>
      <c r="E99" s="61"/>
      <c r="F99" s="61"/>
      <c r="G99" s="61"/>
      <c r="H99" s="61"/>
      <c r="I99" s="61"/>
      <c r="J99" s="58"/>
    </row>
    <row r="100" spans="2:10">
      <c r="B100" s="15" t="str">
        <f>"Table 4B: "&amp;E3&amp;" Projected Roll by Stage (incorporating Projected P1 and Drop-Off Rates), 2019-2032"</f>
        <v>Table 4B: Granton Primary School Projected Roll by Stage (incorporating Projected P1 and Drop-Off Rates), 2019-2032</v>
      </c>
      <c r="F100" s="14"/>
      <c r="G100" s="14"/>
    </row>
    <row r="101" spans="2:10" ht="12.75">
      <c r="F101" s="14"/>
      <c r="G101" s="14"/>
    </row>
    <row r="102" spans="2:10">
      <c r="B102" s="115"/>
      <c r="C102" s="109" t="s">
        <v>1</v>
      </c>
      <c r="D102" s="109" t="s">
        <v>2</v>
      </c>
      <c r="E102" s="109" t="s">
        <v>3</v>
      </c>
      <c r="F102" s="109" t="s">
        <v>4</v>
      </c>
      <c r="G102" s="109" t="s">
        <v>5</v>
      </c>
      <c r="H102" s="109" t="s">
        <v>6</v>
      </c>
      <c r="I102" s="109" t="s">
        <v>7</v>
      </c>
      <c r="J102" s="109" t="s">
        <v>8</v>
      </c>
    </row>
    <row r="103" spans="2:10">
      <c r="B103" s="114">
        <v>2019</v>
      </c>
      <c r="C103" s="113">
        <f t="shared" ref="C103:C116" si="14">J70</f>
        <v>72</v>
      </c>
      <c r="D103" s="324">
        <f>ROUND((C96)-(C96*$D$98),0)</f>
        <v>67</v>
      </c>
      <c r="E103" s="324">
        <f>ROUND((D96)-(D96*$E$98),0)</f>
        <v>76</v>
      </c>
      <c r="F103" s="324">
        <f>ROUND((E96)-(E96*$F$98),0)</f>
        <v>98</v>
      </c>
      <c r="G103" s="324">
        <f>ROUND((F96)-(F96*$G$98),0)</f>
        <v>51</v>
      </c>
      <c r="H103" s="324">
        <f>ROUND((G96)-(G96*$H$98),0)</f>
        <v>49</v>
      </c>
      <c r="I103" s="324">
        <f>ROUND((H96)-(H96*$I$98),0)</f>
        <v>66</v>
      </c>
      <c r="J103" s="111">
        <f t="shared" ref="J103:J116" si="15">SUM(C103:I103)</f>
        <v>479</v>
      </c>
    </row>
    <row r="104" spans="2:10">
      <c r="B104" s="114">
        <v>2020</v>
      </c>
      <c r="C104" s="113">
        <f t="shared" si="14"/>
        <v>85.145059965733864</v>
      </c>
      <c r="D104" s="324">
        <f>ROUND((C103-E50)-(C103*$D$98),0)</f>
        <v>66</v>
      </c>
      <c r="E104" s="112">
        <f t="shared" ref="E104:E116" si="16">ROUND((D103)-(D103*$E$98),0)</f>
        <v>63</v>
      </c>
      <c r="F104" s="112">
        <f t="shared" ref="F104:F116" si="17">ROUND((E103)-(E103*$F$98),0)</f>
        <v>73</v>
      </c>
      <c r="G104" s="112">
        <f t="shared" ref="G104:G116" si="18">ROUND((F103)-(F103*$G$98),0)</f>
        <v>93</v>
      </c>
      <c r="H104" s="112">
        <f t="shared" ref="H104:H116" si="19">ROUND((G103)-(G103*$H$98),0)</f>
        <v>50</v>
      </c>
      <c r="I104" s="112">
        <f t="shared" ref="I104:I116" si="20">ROUND((H103)-(H103*$I$98),0)</f>
        <v>49</v>
      </c>
      <c r="J104" s="111">
        <f t="shared" si="15"/>
        <v>479.14505996573388</v>
      </c>
    </row>
    <row r="105" spans="2:10">
      <c r="B105" s="114">
        <v>2021</v>
      </c>
      <c r="C105" s="113">
        <f t="shared" si="14"/>
        <v>90</v>
      </c>
      <c r="D105" s="324">
        <f>ROUND((C104-F50)-(C104*$D$98),0)</f>
        <v>77</v>
      </c>
      <c r="E105" s="112">
        <f t="shared" si="16"/>
        <v>63</v>
      </c>
      <c r="F105" s="112">
        <f t="shared" si="17"/>
        <v>60</v>
      </c>
      <c r="G105" s="112">
        <f t="shared" si="18"/>
        <v>69</v>
      </c>
      <c r="H105" s="112">
        <f t="shared" si="19"/>
        <v>90</v>
      </c>
      <c r="I105" s="112">
        <f t="shared" si="20"/>
        <v>50</v>
      </c>
      <c r="J105" s="111">
        <f t="shared" si="15"/>
        <v>499</v>
      </c>
    </row>
    <row r="106" spans="2:10">
      <c r="B106" s="114">
        <v>2022</v>
      </c>
      <c r="C106" s="113">
        <f t="shared" si="14"/>
        <v>90</v>
      </c>
      <c r="D106" s="324">
        <f>ROUND((C105-G50)-(C105*$D$98),0)</f>
        <v>80</v>
      </c>
      <c r="E106" s="112">
        <f t="shared" si="16"/>
        <v>73</v>
      </c>
      <c r="F106" s="112">
        <f t="shared" si="17"/>
        <v>60</v>
      </c>
      <c r="G106" s="112">
        <f t="shared" si="18"/>
        <v>57</v>
      </c>
      <c r="H106" s="112">
        <f t="shared" si="19"/>
        <v>67</v>
      </c>
      <c r="I106" s="112">
        <f t="shared" si="20"/>
        <v>90</v>
      </c>
      <c r="J106" s="111">
        <f t="shared" si="15"/>
        <v>517</v>
      </c>
    </row>
    <row r="107" spans="2:10">
      <c r="B107" s="114">
        <v>2023</v>
      </c>
      <c r="C107" s="113">
        <f t="shared" si="14"/>
        <v>90</v>
      </c>
      <c r="D107" s="324">
        <f>ROUND((C106-H50)-(C106*$D$98),0)</f>
        <v>79</v>
      </c>
      <c r="E107" s="112">
        <f t="shared" si="16"/>
        <v>76</v>
      </c>
      <c r="F107" s="112">
        <f t="shared" si="17"/>
        <v>70</v>
      </c>
      <c r="G107" s="112">
        <f t="shared" si="18"/>
        <v>57</v>
      </c>
      <c r="H107" s="112">
        <f t="shared" si="19"/>
        <v>55</v>
      </c>
      <c r="I107" s="112">
        <f t="shared" si="20"/>
        <v>67</v>
      </c>
      <c r="J107" s="111">
        <f t="shared" si="15"/>
        <v>494</v>
      </c>
    </row>
    <row r="108" spans="2:10">
      <c r="B108" s="114">
        <v>2024</v>
      </c>
      <c r="C108" s="113">
        <f t="shared" si="14"/>
        <v>90</v>
      </c>
      <c r="D108" s="324">
        <f>ROUND((C107-I50)-(C107*$D$98),0)</f>
        <v>76</v>
      </c>
      <c r="E108" s="112">
        <f t="shared" si="16"/>
        <v>75</v>
      </c>
      <c r="F108" s="112">
        <f t="shared" si="17"/>
        <v>73</v>
      </c>
      <c r="G108" s="112">
        <f t="shared" si="18"/>
        <v>66</v>
      </c>
      <c r="H108" s="112">
        <f t="shared" si="19"/>
        <v>55</v>
      </c>
      <c r="I108" s="112">
        <f t="shared" si="20"/>
        <v>55</v>
      </c>
      <c r="J108" s="111">
        <f t="shared" si="15"/>
        <v>490</v>
      </c>
    </row>
    <row r="109" spans="2:10">
      <c r="B109" s="114">
        <v>2025</v>
      </c>
      <c r="C109" s="113">
        <f t="shared" si="14"/>
        <v>99</v>
      </c>
      <c r="D109" s="324">
        <f>ROUND((C108-J50)-(C108*$D$98),0)</f>
        <v>72</v>
      </c>
      <c r="E109" s="112">
        <f t="shared" si="16"/>
        <v>72</v>
      </c>
      <c r="F109" s="112">
        <f t="shared" si="17"/>
        <v>72</v>
      </c>
      <c r="G109" s="112">
        <f t="shared" si="18"/>
        <v>69</v>
      </c>
      <c r="H109" s="112">
        <f t="shared" si="19"/>
        <v>64</v>
      </c>
      <c r="I109" s="112">
        <f t="shared" si="20"/>
        <v>55</v>
      </c>
      <c r="J109" s="111">
        <f t="shared" si="15"/>
        <v>503</v>
      </c>
    </row>
    <row r="110" spans="2:10">
      <c r="B110" s="114">
        <v>2026</v>
      </c>
      <c r="C110" s="113">
        <f t="shared" si="14"/>
        <v>99</v>
      </c>
      <c r="D110" s="324">
        <f>ROUND((C109-K50)-(C109*$D$98),0)</f>
        <v>77</v>
      </c>
      <c r="E110" s="112">
        <f t="shared" si="16"/>
        <v>68</v>
      </c>
      <c r="F110" s="112">
        <f t="shared" si="17"/>
        <v>69</v>
      </c>
      <c r="G110" s="112">
        <f t="shared" si="18"/>
        <v>68</v>
      </c>
      <c r="H110" s="112">
        <f t="shared" si="19"/>
        <v>67</v>
      </c>
      <c r="I110" s="112">
        <f t="shared" si="20"/>
        <v>64</v>
      </c>
      <c r="J110" s="111">
        <f t="shared" si="15"/>
        <v>512</v>
      </c>
    </row>
    <row r="111" spans="2:10">
      <c r="B111" s="114">
        <v>2027</v>
      </c>
      <c r="C111" s="113">
        <f t="shared" si="14"/>
        <v>100</v>
      </c>
      <c r="D111" s="324">
        <f>ROUND((C110-L50)-(C110*$D$98),0)</f>
        <v>74</v>
      </c>
      <c r="E111" s="112">
        <f t="shared" si="16"/>
        <v>73</v>
      </c>
      <c r="F111" s="112">
        <f t="shared" si="17"/>
        <v>65</v>
      </c>
      <c r="G111" s="112">
        <f t="shared" si="18"/>
        <v>65</v>
      </c>
      <c r="H111" s="112">
        <f t="shared" si="19"/>
        <v>66</v>
      </c>
      <c r="I111" s="112">
        <f t="shared" si="20"/>
        <v>67</v>
      </c>
      <c r="J111" s="111">
        <f t="shared" si="15"/>
        <v>510</v>
      </c>
    </row>
    <row r="112" spans="2:10">
      <c r="B112" s="114">
        <v>2028</v>
      </c>
      <c r="C112" s="113">
        <f t="shared" si="14"/>
        <v>105</v>
      </c>
      <c r="D112" s="324">
        <f>ROUND((C111-M50)-(C111*$D$98),0)</f>
        <v>70</v>
      </c>
      <c r="E112" s="112">
        <f t="shared" si="16"/>
        <v>70</v>
      </c>
      <c r="F112" s="112">
        <f t="shared" si="17"/>
        <v>70</v>
      </c>
      <c r="G112" s="112">
        <f t="shared" si="18"/>
        <v>62</v>
      </c>
      <c r="H112" s="112">
        <f t="shared" si="19"/>
        <v>63</v>
      </c>
      <c r="I112" s="112">
        <f t="shared" si="20"/>
        <v>66</v>
      </c>
      <c r="J112" s="111">
        <f t="shared" si="15"/>
        <v>506</v>
      </c>
    </row>
    <row r="113" spans="2:10" ht="15" customHeight="1">
      <c r="B113" s="114">
        <v>2029</v>
      </c>
      <c r="C113" s="113">
        <f t="shared" si="14"/>
        <v>110</v>
      </c>
      <c r="D113" s="324">
        <f>ROUND((C112-N50)-(C112*$D$98),0)</f>
        <v>73</v>
      </c>
      <c r="E113" s="112">
        <f t="shared" si="16"/>
        <v>66</v>
      </c>
      <c r="F113" s="112">
        <f t="shared" si="17"/>
        <v>67</v>
      </c>
      <c r="G113" s="112">
        <f t="shared" si="18"/>
        <v>66</v>
      </c>
      <c r="H113" s="112">
        <f t="shared" si="19"/>
        <v>60</v>
      </c>
      <c r="I113" s="112">
        <f t="shared" si="20"/>
        <v>63</v>
      </c>
      <c r="J113" s="111">
        <f t="shared" si="15"/>
        <v>505</v>
      </c>
    </row>
    <row r="114" spans="2:10" ht="15" customHeight="1">
      <c r="B114" s="114">
        <v>2030</v>
      </c>
      <c r="C114" s="113">
        <f t="shared" si="14"/>
        <v>110</v>
      </c>
      <c r="D114" s="324">
        <f>ROUND((C113-O50)-(C113*$D$98),0)</f>
        <v>76</v>
      </c>
      <c r="E114" s="112">
        <f t="shared" si="16"/>
        <v>69</v>
      </c>
      <c r="F114" s="112">
        <f t="shared" si="17"/>
        <v>63</v>
      </c>
      <c r="G114" s="112">
        <f t="shared" si="18"/>
        <v>64</v>
      </c>
      <c r="H114" s="112">
        <f t="shared" si="19"/>
        <v>64</v>
      </c>
      <c r="I114" s="112">
        <f t="shared" si="20"/>
        <v>60</v>
      </c>
      <c r="J114" s="111">
        <f t="shared" si="15"/>
        <v>506</v>
      </c>
    </row>
    <row r="115" spans="2:10" ht="15" customHeight="1">
      <c r="B115" s="114">
        <v>2031</v>
      </c>
      <c r="C115" s="113">
        <f t="shared" si="14"/>
        <v>110</v>
      </c>
      <c r="D115" s="324">
        <f>ROUND((C114-P50)-(C114*$D$98),0)</f>
        <v>74</v>
      </c>
      <c r="E115" s="112">
        <f t="shared" si="16"/>
        <v>72</v>
      </c>
      <c r="F115" s="112">
        <f t="shared" si="17"/>
        <v>66</v>
      </c>
      <c r="G115" s="112">
        <f t="shared" si="18"/>
        <v>60</v>
      </c>
      <c r="H115" s="112">
        <f t="shared" si="19"/>
        <v>62</v>
      </c>
      <c r="I115" s="112">
        <f t="shared" si="20"/>
        <v>64</v>
      </c>
      <c r="J115" s="111">
        <f t="shared" si="15"/>
        <v>508</v>
      </c>
    </row>
    <row r="116" spans="2:10" ht="15" customHeight="1">
      <c r="B116" s="114">
        <v>2032</v>
      </c>
      <c r="C116" s="113">
        <f t="shared" si="14"/>
        <v>115</v>
      </c>
      <c r="D116" s="324">
        <f>ROUND((C115-Q50)-(C115*$D$98),0)</f>
        <v>72</v>
      </c>
      <c r="E116" s="112">
        <f t="shared" si="16"/>
        <v>70</v>
      </c>
      <c r="F116" s="112">
        <f t="shared" si="17"/>
        <v>69</v>
      </c>
      <c r="G116" s="112">
        <f t="shared" si="18"/>
        <v>63</v>
      </c>
      <c r="H116" s="112">
        <f t="shared" si="19"/>
        <v>58</v>
      </c>
      <c r="I116" s="112">
        <f t="shared" si="20"/>
        <v>62</v>
      </c>
      <c r="J116" s="111">
        <f t="shared" si="15"/>
        <v>509</v>
      </c>
    </row>
    <row r="117" spans="2:10" ht="15" hidden="1" customHeight="1">
      <c r="F117" s="14"/>
      <c r="G117" s="14"/>
    </row>
    <row r="118" spans="2:10" ht="15" hidden="1" customHeight="1">
      <c r="B118" s="15" t="str">
        <f>"Table 4C: "&amp;E3&amp;" Projected Pupil Generation from Housing Development, 2019-2032"</f>
        <v>Table 4C: Granton Primary School Projected Pupil Generation from Housing Development, 2019-2032</v>
      </c>
      <c r="F118" s="14"/>
      <c r="G118" s="14"/>
    </row>
    <row r="119" spans="2:10" ht="15" hidden="1" customHeight="1">
      <c r="F119" s="14"/>
      <c r="G119" s="14"/>
    </row>
    <row r="120" spans="2:10" ht="15" hidden="1" customHeight="1">
      <c r="B120" s="115"/>
      <c r="C120" s="109" t="s">
        <v>1</v>
      </c>
      <c r="D120" s="109" t="s">
        <v>2</v>
      </c>
      <c r="E120" s="109" t="s">
        <v>3</v>
      </c>
      <c r="F120" s="109" t="s">
        <v>4</v>
      </c>
      <c r="G120" s="109" t="s">
        <v>5</v>
      </c>
      <c r="H120" s="109" t="s">
        <v>6</v>
      </c>
      <c r="I120" s="109" t="s">
        <v>7</v>
      </c>
      <c r="J120" s="109" t="s">
        <v>8</v>
      </c>
    </row>
    <row r="121" spans="2:10" ht="15" hidden="1" customHeight="1">
      <c r="B121" s="114">
        <v>2019</v>
      </c>
      <c r="C121" s="116" t="s">
        <v>97</v>
      </c>
      <c r="D121" s="112">
        <f>VLOOKUP($E$3,'Housing Generation'!$A$3:$BE$90,11,FALSE)</f>
        <v>0</v>
      </c>
      <c r="E121" s="112">
        <f>VLOOKUP($E$3,'Housing Generation'!$A$3:$BE$90,12,FALSE)</f>
        <v>0</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0</v>
      </c>
    </row>
    <row r="122" spans="2:10" ht="15" hidden="1" customHeight="1">
      <c r="B122" s="114">
        <v>2020</v>
      </c>
      <c r="C122" s="116" t="s">
        <v>97</v>
      </c>
      <c r="D122" s="112">
        <f>VLOOKUP($E$3,'Housing Generation'!$A$3:$BE$90,19,FALSE)</f>
        <v>3</v>
      </c>
      <c r="E122" s="112">
        <f>VLOOKUP($E$3,'Housing Generation'!$A$3:$BE$90,20,FALSE)</f>
        <v>3</v>
      </c>
      <c r="F122" s="112">
        <f>VLOOKUP($E$3,'Housing Generation'!$A$3:$BE$90,21,FALSE)</f>
        <v>2</v>
      </c>
      <c r="G122" s="112">
        <f>VLOOKUP($E$3,'Housing Generation'!$A$3:$BE$90,22,FALSE)</f>
        <v>2</v>
      </c>
      <c r="H122" s="112">
        <f>VLOOKUP($E$3,'Housing Generation'!$A$3:$BE$90,23,FALSE)</f>
        <v>2</v>
      </c>
      <c r="I122" s="112">
        <f>VLOOKUP($E$3,'Housing Generation'!$A$3:$BE$90,24,FALSE)</f>
        <v>2</v>
      </c>
      <c r="J122" s="111">
        <f t="shared" si="21"/>
        <v>14</v>
      </c>
    </row>
    <row r="123" spans="2:10" ht="15" hidden="1" customHeight="1">
      <c r="B123" s="114">
        <v>2021</v>
      </c>
      <c r="C123" s="116" t="s">
        <v>97</v>
      </c>
      <c r="D123" s="112">
        <f>VLOOKUP($E$3,'Housing Generation'!$A$3:$BE$90,27,FALSE)</f>
        <v>5</v>
      </c>
      <c r="E123" s="112">
        <f>VLOOKUP($E$3,'Housing Generation'!$A$3:$BE$90,28,FALSE)</f>
        <v>5</v>
      </c>
      <c r="F123" s="112">
        <f>VLOOKUP($E$3,'Housing Generation'!$A$3:$BE$90,29,FALSE)</f>
        <v>5</v>
      </c>
      <c r="G123" s="112">
        <f>VLOOKUP($E$3,'Housing Generation'!$A$3:$BE$90,30,FALSE)</f>
        <v>5</v>
      </c>
      <c r="H123" s="112">
        <f>VLOOKUP($E$3,'Housing Generation'!$A$3:$BE$90,31,FALSE)</f>
        <v>5</v>
      </c>
      <c r="I123" s="112">
        <f>VLOOKUP($E$3,'Housing Generation'!$A$3:$BE$90,32,FALSE)</f>
        <v>4</v>
      </c>
      <c r="J123" s="111">
        <f t="shared" si="21"/>
        <v>29</v>
      </c>
    </row>
    <row r="124" spans="2:10" ht="15" hidden="1" customHeight="1">
      <c r="B124" s="114">
        <v>2022</v>
      </c>
      <c r="C124" s="116" t="s">
        <v>97</v>
      </c>
      <c r="D124" s="112">
        <f>VLOOKUP($E$3,'Housing Generation'!$A$3:$BE$90,35,FALSE)</f>
        <v>7</v>
      </c>
      <c r="E124" s="112">
        <f>VLOOKUP($E$3,'Housing Generation'!$A$3:$BE$90,36,FALSE)</f>
        <v>7</v>
      </c>
      <c r="F124" s="112">
        <f>VLOOKUP($E$3,'Housing Generation'!$A$3:$BE$90,37,FALSE)</f>
        <v>7</v>
      </c>
      <c r="G124" s="112">
        <f>VLOOKUP($E$3,'Housing Generation'!$A$3:$BE$90,38,FALSE)</f>
        <v>7</v>
      </c>
      <c r="H124" s="112">
        <f>VLOOKUP($E$3,'Housing Generation'!$A$3:$BE$90,39,FALSE)</f>
        <v>6</v>
      </c>
      <c r="I124" s="112">
        <f>VLOOKUP($E$3,'Housing Generation'!$A$3:$BE$90,40,FALSE)</f>
        <v>6</v>
      </c>
      <c r="J124" s="111">
        <f t="shared" si="21"/>
        <v>40</v>
      </c>
    </row>
    <row r="125" spans="2:10" ht="15" hidden="1" customHeight="1">
      <c r="B125" s="114">
        <v>2023</v>
      </c>
      <c r="C125" s="116" t="s">
        <v>97</v>
      </c>
      <c r="D125" s="112">
        <f>VLOOKUP($E$3,'Housing Generation'!$A$3:$BE$90,43,FALSE)</f>
        <v>7</v>
      </c>
      <c r="E125" s="112">
        <f>VLOOKUP($E$3,'Housing Generation'!$A$3:$BE$90,44,FALSE)</f>
        <v>7</v>
      </c>
      <c r="F125" s="112">
        <f>VLOOKUP($E$3,'Housing Generation'!$A$3:$BE$90,45,FALSE)</f>
        <v>7</v>
      </c>
      <c r="G125" s="112">
        <f>VLOOKUP($E$3,'Housing Generation'!$A$3:$BE$90,46,FALSE)</f>
        <v>7</v>
      </c>
      <c r="H125" s="112">
        <f>VLOOKUP($E$3,'Housing Generation'!$A$3:$BE$90,47,FALSE)</f>
        <v>7</v>
      </c>
      <c r="I125" s="112">
        <f>VLOOKUP($E$3,'Housing Generation'!$A$3:$BE$90,48,FALSE)</f>
        <v>7</v>
      </c>
      <c r="J125" s="111">
        <f t="shared" si="21"/>
        <v>42</v>
      </c>
    </row>
    <row r="126" spans="2:10" ht="15" hidden="1" customHeight="1">
      <c r="B126" s="114">
        <v>2024</v>
      </c>
      <c r="C126" s="116" t="s">
        <v>97</v>
      </c>
      <c r="D126" s="112">
        <f>VLOOKUP($E$3,'Housing Generation'!$A$3:$BE$90,51,FALSE)</f>
        <v>10</v>
      </c>
      <c r="E126" s="112">
        <f>VLOOKUP($E$3,'Housing Generation'!$A$3:$BE$90,52,FALSE)</f>
        <v>10</v>
      </c>
      <c r="F126" s="112">
        <f>VLOOKUP($E$3,'Housing Generation'!$A$3:$BE$90,53,FALSE)</f>
        <v>10</v>
      </c>
      <c r="G126" s="112">
        <f>VLOOKUP($E$3,'Housing Generation'!$A$3:$BE$90,54,FALSE)</f>
        <v>10</v>
      </c>
      <c r="H126" s="112">
        <f>VLOOKUP($E$3,'Housing Generation'!$A$3:$BE$90,55,FALSE)</f>
        <v>10</v>
      </c>
      <c r="I126" s="112">
        <f>VLOOKUP($E$3,'Housing Generation'!$A$3:$BE$90,56,FALSE)</f>
        <v>10</v>
      </c>
      <c r="J126" s="111">
        <f t="shared" si="21"/>
        <v>60</v>
      </c>
    </row>
    <row r="127" spans="2:10" ht="15" hidden="1" customHeight="1">
      <c r="B127" s="114">
        <v>2025</v>
      </c>
      <c r="C127" s="240" t="s">
        <v>97</v>
      </c>
      <c r="D127" s="112">
        <f>VLOOKUP($E$3,'Housing Generation'!$A$3:$CK$90,59,FALSE)</f>
        <v>14</v>
      </c>
      <c r="E127" s="112">
        <f>VLOOKUP($E$3,'Housing Generation'!$A$3:$CK$90,60,FALSE)</f>
        <v>14</v>
      </c>
      <c r="F127" s="112">
        <f>VLOOKUP($E$3,'Housing Generation'!$A$3:$CK$90,61,FALSE)</f>
        <v>14</v>
      </c>
      <c r="G127" s="112">
        <f>VLOOKUP($E$3,'Housing Generation'!$A$3:$CK$90,62,FALSE)</f>
        <v>14</v>
      </c>
      <c r="H127" s="112">
        <f>VLOOKUP($E$3,'Housing Generation'!$A$3:$CK$90,63,FALSE)</f>
        <v>14</v>
      </c>
      <c r="I127" s="112">
        <f>VLOOKUP($E$3,'Housing Generation'!$A$3:$CK$90,64,FALSE)</f>
        <v>14</v>
      </c>
      <c r="J127" s="111">
        <f t="shared" si="21"/>
        <v>84</v>
      </c>
    </row>
    <row r="128" spans="2:10" ht="15" hidden="1" customHeight="1">
      <c r="B128" s="114">
        <v>2026</v>
      </c>
      <c r="C128" s="240" t="s">
        <v>97</v>
      </c>
      <c r="D128" s="112">
        <f>VLOOKUP($E$3,'Housing Generation'!$A$3:$CK$90,67,FALSE)</f>
        <v>18</v>
      </c>
      <c r="E128" s="112">
        <f>VLOOKUP($E$3,'Housing Generation'!$A$3:$CK$90,68,FALSE)</f>
        <v>18</v>
      </c>
      <c r="F128" s="112">
        <f>VLOOKUP($E$3,'Housing Generation'!$A$3:$CK$90,69,FALSE)</f>
        <v>18</v>
      </c>
      <c r="G128" s="112">
        <f>VLOOKUP($E$3,'Housing Generation'!$A$3:$CK$90,70,FALSE)</f>
        <v>18</v>
      </c>
      <c r="H128" s="112">
        <f>VLOOKUP($E$3,'Housing Generation'!$A$3:$CK$90,71,FALSE)</f>
        <v>18</v>
      </c>
      <c r="I128" s="112">
        <f>VLOOKUP($E$3,'Housing Generation'!$A$3:$CK$90,72,FALSE)</f>
        <v>17</v>
      </c>
      <c r="J128" s="111">
        <f t="shared" si="21"/>
        <v>107</v>
      </c>
    </row>
    <row r="129" spans="2:10" ht="15" hidden="1" customHeight="1">
      <c r="B129" s="114">
        <v>2027</v>
      </c>
      <c r="C129" s="240" t="s">
        <v>97</v>
      </c>
      <c r="D129" s="112">
        <f>VLOOKUP($E$3,'Housing Generation'!$A$3:$CK$90,75,FALSE)</f>
        <v>21</v>
      </c>
      <c r="E129" s="112">
        <f>VLOOKUP($E$3,'Housing Generation'!$A$3:$CK$90,76,FALSE)</f>
        <v>21</v>
      </c>
      <c r="F129" s="112">
        <f>VLOOKUP($E$3,'Housing Generation'!$A$3:$CK$90,77,FALSE)</f>
        <v>21</v>
      </c>
      <c r="G129" s="112">
        <f>VLOOKUP($E$3,'Housing Generation'!$A$3:$CK$90,78,FALSE)</f>
        <v>21</v>
      </c>
      <c r="H129" s="112">
        <f>VLOOKUP($E$3,'Housing Generation'!$A$3:$CK$90,79,FALSE)</f>
        <v>21</v>
      </c>
      <c r="I129" s="112">
        <f>VLOOKUP($E$3,'Housing Generation'!$A$3:$CK$90,80,FALSE)</f>
        <v>20</v>
      </c>
      <c r="J129" s="111">
        <f t="shared" si="21"/>
        <v>125</v>
      </c>
    </row>
    <row r="130" spans="2:10" ht="15" customHeight="1">
      <c r="B130" s="114">
        <v>2028</v>
      </c>
      <c r="C130" s="289" t="s">
        <v>97</v>
      </c>
      <c r="D130" s="112">
        <f>VLOOKUP($E$3,'Housing Generation'!$A$3:$CK$90,83,FALSE)</f>
        <v>26</v>
      </c>
      <c r="E130" s="112">
        <f>VLOOKUP($E$3,'Housing Generation'!$A$3:$CK$90,84,FALSE)</f>
        <v>26</v>
      </c>
      <c r="F130" s="112">
        <f>VLOOKUP($E$3,'Housing Generation'!$A$3:$CK$90,85,FALSE)</f>
        <v>26</v>
      </c>
      <c r="G130" s="112">
        <f>VLOOKUP($E$3,'Housing Generation'!$A$3:$CK$90,86,FALSE)</f>
        <v>26</v>
      </c>
      <c r="H130" s="112">
        <f>VLOOKUP($E$3,'Housing Generation'!$A$3:$CK$90,87,FALSE)</f>
        <v>26</v>
      </c>
      <c r="I130" s="112">
        <f>VLOOKUP($E$3,'Housing Generation'!$A$3:$CK$90,88,FALSE)</f>
        <v>25</v>
      </c>
      <c r="J130" s="111">
        <f t="shared" si="21"/>
        <v>155</v>
      </c>
    </row>
    <row r="131" spans="2:10" ht="15" customHeight="1">
      <c r="B131" s="114">
        <v>2029</v>
      </c>
      <c r="C131" s="289" t="s">
        <v>97</v>
      </c>
      <c r="D131" s="112">
        <f>VLOOKUP($E$3,'Housing Generation'!$A$3:$DQ$90,91,FALSE)</f>
        <v>28</v>
      </c>
      <c r="E131" s="112">
        <f>VLOOKUP($E$3,'Housing Generation'!$A$3:$DQ$90,92,FALSE)</f>
        <v>28</v>
      </c>
      <c r="F131" s="112">
        <f>VLOOKUP($E$3,'Housing Generation'!$A$3:$DQ$90,93,FALSE)</f>
        <v>28</v>
      </c>
      <c r="G131" s="112">
        <f>VLOOKUP($E$3,'Housing Generation'!$A$3:$DQ$90,94,FALSE)</f>
        <v>28</v>
      </c>
      <c r="H131" s="112">
        <f>VLOOKUP($E$3,'Housing Generation'!$A$3:$DQ$90,95,FALSE)</f>
        <v>28</v>
      </c>
      <c r="I131" s="112">
        <f>VLOOKUP($E$3,'Housing Generation'!$A$3:$DQ$90,96,FALSE)</f>
        <v>27</v>
      </c>
      <c r="J131" s="111">
        <f t="shared" si="21"/>
        <v>167</v>
      </c>
    </row>
    <row r="132" spans="2:10" ht="15" customHeight="1">
      <c r="B132" s="114">
        <v>2030</v>
      </c>
      <c r="C132" s="289" t="s">
        <v>97</v>
      </c>
      <c r="D132" s="112">
        <f>VLOOKUP($E$3,'Housing Generation'!$A$3:$DQ$90,99,FALSE)</f>
        <v>30</v>
      </c>
      <c r="E132" s="112">
        <f>VLOOKUP($E$3,'Housing Generation'!$A$3:$DQ$90,100,FALSE)</f>
        <v>30</v>
      </c>
      <c r="F132" s="112">
        <f>VLOOKUP($E$3,'Housing Generation'!$A$3:$DQ$90,101,FALSE)</f>
        <v>30</v>
      </c>
      <c r="G132" s="112">
        <f>VLOOKUP($E$3,'Housing Generation'!$A$3:$DQ$90,102,FALSE)</f>
        <v>30</v>
      </c>
      <c r="H132" s="112">
        <f>VLOOKUP($E$3,'Housing Generation'!$A$3:$DQ$90,103,FALSE)</f>
        <v>30</v>
      </c>
      <c r="I132" s="112">
        <f>VLOOKUP($E$3,'Housing Generation'!$A$3:$DQ$90,104,FALSE)</f>
        <v>29</v>
      </c>
      <c r="J132" s="111">
        <f t="shared" si="21"/>
        <v>179</v>
      </c>
    </row>
    <row r="133" spans="2:10" ht="15" customHeight="1">
      <c r="B133" s="114">
        <v>2031</v>
      </c>
      <c r="C133" s="289" t="s">
        <v>97</v>
      </c>
      <c r="D133" s="112">
        <f>VLOOKUP($E$3,'Housing Generation'!$A$3:$DQ$90,107,FALSE)</f>
        <v>32</v>
      </c>
      <c r="E133" s="112">
        <f>VLOOKUP($E$3,'Housing Generation'!$A$3:$DQ$90,108,FALSE)</f>
        <v>32</v>
      </c>
      <c r="F133" s="112">
        <f>VLOOKUP($E$3,'Housing Generation'!$A$3:$DQ$90,109,FALSE)</f>
        <v>32</v>
      </c>
      <c r="G133" s="112">
        <f>VLOOKUP($E$3,'Housing Generation'!$A$3:$DQ$90,110,FALSE)</f>
        <v>32</v>
      </c>
      <c r="H133" s="112">
        <f>VLOOKUP($E$3,'Housing Generation'!$A$3:$DQ$90,111,FALSE)</f>
        <v>32</v>
      </c>
      <c r="I133" s="112">
        <f>VLOOKUP($E$3,'Housing Generation'!$A$3:$DQ$90,112,FALSE)</f>
        <v>31</v>
      </c>
      <c r="J133" s="111">
        <f t="shared" si="21"/>
        <v>191</v>
      </c>
    </row>
    <row r="134" spans="2:10" ht="15" customHeight="1">
      <c r="B134" s="114">
        <v>2032</v>
      </c>
      <c r="C134" s="289" t="s">
        <v>97</v>
      </c>
      <c r="D134" s="112">
        <f>VLOOKUP($E$3,'Housing Generation'!$A$3:$DQ$90,115,FALSE)</f>
        <v>34</v>
      </c>
      <c r="E134" s="112">
        <f>VLOOKUP($E$3,'Housing Generation'!$A$3:$DQ$90,116,FALSE)</f>
        <v>34</v>
      </c>
      <c r="F134" s="112">
        <f>VLOOKUP($E$3,'Housing Generation'!$A$3:$DQ$90,117,FALSE)</f>
        <v>34</v>
      </c>
      <c r="G134" s="112">
        <f>VLOOKUP($E$3,'Housing Generation'!$A$3:$DQ$90,118,FALSE)</f>
        <v>34</v>
      </c>
      <c r="H134" s="112">
        <f>VLOOKUP($E$3,'Housing Generation'!$A$3:$DQ$90,119,FALSE)</f>
        <v>34</v>
      </c>
      <c r="I134" s="112">
        <f>VLOOKUP($E$3,'Housing Generation'!$A$3:$DQ$90,120,FALSE)</f>
        <v>33</v>
      </c>
      <c r="J134" s="111">
        <f t="shared" si="21"/>
        <v>203</v>
      </c>
    </row>
    <row r="135" spans="2:10" ht="15" hidden="1"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Granton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72</v>
      </c>
      <c r="D139" s="112">
        <f t="shared" ref="D139:I152" si="23">D121+D103</f>
        <v>67</v>
      </c>
      <c r="E139" s="112">
        <f t="shared" si="23"/>
        <v>76</v>
      </c>
      <c r="F139" s="112">
        <f t="shared" si="23"/>
        <v>98</v>
      </c>
      <c r="G139" s="112">
        <f t="shared" si="23"/>
        <v>51</v>
      </c>
      <c r="H139" s="112">
        <f t="shared" si="23"/>
        <v>49</v>
      </c>
      <c r="I139" s="112">
        <f t="shared" si="23"/>
        <v>66</v>
      </c>
      <c r="J139" s="111">
        <f t="shared" ref="J139:J147" si="24">SUM(C139:I139)</f>
        <v>479</v>
      </c>
    </row>
    <row r="140" spans="2:10" ht="15" customHeight="1">
      <c r="B140" s="114">
        <v>2020</v>
      </c>
      <c r="C140" s="113">
        <f t="shared" si="22"/>
        <v>85.145059965733864</v>
      </c>
      <c r="D140" s="112">
        <f t="shared" si="23"/>
        <v>69</v>
      </c>
      <c r="E140" s="112">
        <f t="shared" si="23"/>
        <v>66</v>
      </c>
      <c r="F140" s="112">
        <f t="shared" si="23"/>
        <v>75</v>
      </c>
      <c r="G140" s="112">
        <f t="shared" si="23"/>
        <v>95</v>
      </c>
      <c r="H140" s="112">
        <f t="shared" si="23"/>
        <v>52</v>
      </c>
      <c r="I140" s="112">
        <f t="shared" si="23"/>
        <v>51</v>
      </c>
      <c r="J140" s="111">
        <f t="shared" si="24"/>
        <v>493.14505996573388</v>
      </c>
    </row>
    <row r="141" spans="2:10" ht="15" customHeight="1">
      <c r="B141" s="114">
        <v>2021</v>
      </c>
      <c r="C141" s="113">
        <f t="shared" si="22"/>
        <v>90</v>
      </c>
      <c r="D141" s="112">
        <f t="shared" si="23"/>
        <v>82</v>
      </c>
      <c r="E141" s="112">
        <f t="shared" si="23"/>
        <v>68</v>
      </c>
      <c r="F141" s="112">
        <f t="shared" si="23"/>
        <v>65</v>
      </c>
      <c r="G141" s="112">
        <f t="shared" si="23"/>
        <v>74</v>
      </c>
      <c r="H141" s="112">
        <f t="shared" si="23"/>
        <v>95</v>
      </c>
      <c r="I141" s="112">
        <f t="shared" si="23"/>
        <v>54</v>
      </c>
      <c r="J141" s="111">
        <f t="shared" si="24"/>
        <v>528</v>
      </c>
    </row>
    <row r="142" spans="2:10" ht="15" customHeight="1">
      <c r="B142" s="114">
        <v>2022</v>
      </c>
      <c r="C142" s="113">
        <f t="shared" si="22"/>
        <v>90</v>
      </c>
      <c r="D142" s="112">
        <f t="shared" si="23"/>
        <v>87</v>
      </c>
      <c r="E142" s="112">
        <f t="shared" si="23"/>
        <v>80</v>
      </c>
      <c r="F142" s="112">
        <f t="shared" si="23"/>
        <v>67</v>
      </c>
      <c r="G142" s="112">
        <f t="shared" si="23"/>
        <v>64</v>
      </c>
      <c r="H142" s="112">
        <f t="shared" si="23"/>
        <v>73</v>
      </c>
      <c r="I142" s="112">
        <f t="shared" si="23"/>
        <v>96</v>
      </c>
      <c r="J142" s="111">
        <f t="shared" si="24"/>
        <v>557</v>
      </c>
    </row>
    <row r="143" spans="2:10" ht="15" customHeight="1">
      <c r="B143" s="114">
        <v>2023</v>
      </c>
      <c r="C143" s="113">
        <f t="shared" si="22"/>
        <v>90</v>
      </c>
      <c r="D143" s="112">
        <f t="shared" si="23"/>
        <v>86</v>
      </c>
      <c r="E143" s="112">
        <f t="shared" si="23"/>
        <v>83</v>
      </c>
      <c r="F143" s="112">
        <f t="shared" si="23"/>
        <v>77</v>
      </c>
      <c r="G143" s="112">
        <f t="shared" si="23"/>
        <v>64</v>
      </c>
      <c r="H143" s="112">
        <f t="shared" si="23"/>
        <v>62</v>
      </c>
      <c r="I143" s="112">
        <f t="shared" si="23"/>
        <v>74</v>
      </c>
      <c r="J143" s="111">
        <f t="shared" si="24"/>
        <v>536</v>
      </c>
    </row>
    <row r="144" spans="2:10" ht="15" customHeight="1">
      <c r="B144" s="114">
        <v>2024</v>
      </c>
      <c r="C144" s="113">
        <f t="shared" si="22"/>
        <v>90</v>
      </c>
      <c r="D144" s="112">
        <f t="shared" si="23"/>
        <v>86</v>
      </c>
      <c r="E144" s="112">
        <f t="shared" si="23"/>
        <v>85</v>
      </c>
      <c r="F144" s="112">
        <f t="shared" si="23"/>
        <v>83</v>
      </c>
      <c r="G144" s="112">
        <f t="shared" si="23"/>
        <v>76</v>
      </c>
      <c r="H144" s="112">
        <f t="shared" si="23"/>
        <v>65</v>
      </c>
      <c r="I144" s="112">
        <f t="shared" si="23"/>
        <v>65</v>
      </c>
      <c r="J144" s="111">
        <f t="shared" si="24"/>
        <v>550</v>
      </c>
    </row>
    <row r="145" spans="2:16" ht="15" customHeight="1">
      <c r="B145" s="114">
        <v>2025</v>
      </c>
      <c r="C145" s="113">
        <f t="shared" si="22"/>
        <v>99</v>
      </c>
      <c r="D145" s="112">
        <f t="shared" si="23"/>
        <v>86</v>
      </c>
      <c r="E145" s="112">
        <f t="shared" si="23"/>
        <v>86</v>
      </c>
      <c r="F145" s="112">
        <f t="shared" si="23"/>
        <v>86</v>
      </c>
      <c r="G145" s="112">
        <f t="shared" si="23"/>
        <v>83</v>
      </c>
      <c r="H145" s="112">
        <f t="shared" si="23"/>
        <v>78</v>
      </c>
      <c r="I145" s="112">
        <f t="shared" si="23"/>
        <v>69</v>
      </c>
      <c r="J145" s="111">
        <f t="shared" si="24"/>
        <v>587</v>
      </c>
    </row>
    <row r="146" spans="2:16" ht="15" customHeight="1">
      <c r="B146" s="114">
        <v>2026</v>
      </c>
      <c r="C146" s="113">
        <f t="shared" si="22"/>
        <v>99</v>
      </c>
      <c r="D146" s="112">
        <f t="shared" si="23"/>
        <v>95</v>
      </c>
      <c r="E146" s="112">
        <f t="shared" si="23"/>
        <v>86</v>
      </c>
      <c r="F146" s="112">
        <f t="shared" si="23"/>
        <v>87</v>
      </c>
      <c r="G146" s="112">
        <f t="shared" si="23"/>
        <v>86</v>
      </c>
      <c r="H146" s="112">
        <f t="shared" si="23"/>
        <v>85</v>
      </c>
      <c r="I146" s="112">
        <f t="shared" si="23"/>
        <v>81</v>
      </c>
      <c r="J146" s="111">
        <f t="shared" si="24"/>
        <v>619</v>
      </c>
    </row>
    <row r="147" spans="2:16" ht="15" customHeight="1">
      <c r="B147" s="114">
        <v>2027</v>
      </c>
      <c r="C147" s="113">
        <f t="shared" si="22"/>
        <v>100</v>
      </c>
      <c r="D147" s="112">
        <f t="shared" si="23"/>
        <v>95</v>
      </c>
      <c r="E147" s="112">
        <f t="shared" si="23"/>
        <v>94</v>
      </c>
      <c r="F147" s="112">
        <f t="shared" si="23"/>
        <v>86</v>
      </c>
      <c r="G147" s="112">
        <f t="shared" si="23"/>
        <v>86</v>
      </c>
      <c r="H147" s="112">
        <f t="shared" si="23"/>
        <v>87</v>
      </c>
      <c r="I147" s="112">
        <f t="shared" si="23"/>
        <v>87</v>
      </c>
      <c r="J147" s="111">
        <f t="shared" si="24"/>
        <v>635</v>
      </c>
    </row>
    <row r="148" spans="2:16" ht="15" customHeight="1">
      <c r="B148" s="114">
        <v>2028</v>
      </c>
      <c r="C148" s="113">
        <f t="shared" si="22"/>
        <v>105</v>
      </c>
      <c r="D148" s="112">
        <f t="shared" si="23"/>
        <v>96</v>
      </c>
      <c r="E148" s="112">
        <f t="shared" si="23"/>
        <v>96</v>
      </c>
      <c r="F148" s="112">
        <f t="shared" si="23"/>
        <v>96</v>
      </c>
      <c r="G148" s="112">
        <f t="shared" si="23"/>
        <v>88</v>
      </c>
      <c r="H148" s="112">
        <f t="shared" si="23"/>
        <v>89</v>
      </c>
      <c r="I148" s="112">
        <f t="shared" si="23"/>
        <v>91</v>
      </c>
      <c r="J148" s="111">
        <f t="shared" ref="J148:J152" si="25">SUM(C148:I148)</f>
        <v>661</v>
      </c>
    </row>
    <row r="149" spans="2:16" ht="15" customHeight="1">
      <c r="B149" s="114">
        <v>2029</v>
      </c>
      <c r="C149" s="113">
        <f t="shared" si="22"/>
        <v>110</v>
      </c>
      <c r="D149" s="112">
        <f t="shared" si="23"/>
        <v>101</v>
      </c>
      <c r="E149" s="112">
        <f t="shared" si="23"/>
        <v>94</v>
      </c>
      <c r="F149" s="112">
        <f t="shared" si="23"/>
        <v>95</v>
      </c>
      <c r="G149" s="112">
        <f t="shared" si="23"/>
        <v>94</v>
      </c>
      <c r="H149" s="112">
        <f t="shared" si="23"/>
        <v>88</v>
      </c>
      <c r="I149" s="112">
        <f t="shared" si="23"/>
        <v>90</v>
      </c>
      <c r="J149" s="111">
        <f t="shared" si="25"/>
        <v>672</v>
      </c>
    </row>
    <row r="150" spans="2:16" ht="15" customHeight="1">
      <c r="B150" s="114">
        <v>2030</v>
      </c>
      <c r="C150" s="113">
        <f t="shared" si="22"/>
        <v>110</v>
      </c>
      <c r="D150" s="112">
        <f t="shared" si="23"/>
        <v>106</v>
      </c>
      <c r="E150" s="112">
        <f t="shared" si="23"/>
        <v>99</v>
      </c>
      <c r="F150" s="112">
        <f t="shared" si="23"/>
        <v>93</v>
      </c>
      <c r="G150" s="112">
        <f t="shared" si="23"/>
        <v>94</v>
      </c>
      <c r="H150" s="112">
        <f t="shared" si="23"/>
        <v>94</v>
      </c>
      <c r="I150" s="112">
        <f t="shared" si="23"/>
        <v>89</v>
      </c>
      <c r="J150" s="111">
        <f t="shared" si="25"/>
        <v>685</v>
      </c>
    </row>
    <row r="151" spans="2:16" ht="15" customHeight="1">
      <c r="B151" s="114">
        <v>2031</v>
      </c>
      <c r="C151" s="113">
        <f t="shared" si="22"/>
        <v>110</v>
      </c>
      <c r="D151" s="112">
        <f t="shared" si="23"/>
        <v>106</v>
      </c>
      <c r="E151" s="112">
        <f t="shared" si="23"/>
        <v>104</v>
      </c>
      <c r="F151" s="112">
        <f t="shared" si="23"/>
        <v>98</v>
      </c>
      <c r="G151" s="112">
        <f t="shared" si="23"/>
        <v>92</v>
      </c>
      <c r="H151" s="112">
        <f t="shared" si="23"/>
        <v>94</v>
      </c>
      <c r="I151" s="112">
        <f t="shared" si="23"/>
        <v>95</v>
      </c>
      <c r="J151" s="111">
        <f t="shared" si="25"/>
        <v>699</v>
      </c>
    </row>
    <row r="152" spans="2:16" ht="15" customHeight="1">
      <c r="B152" s="114">
        <v>2032</v>
      </c>
      <c r="C152" s="113">
        <f t="shared" si="22"/>
        <v>115</v>
      </c>
      <c r="D152" s="112">
        <f t="shared" si="23"/>
        <v>106</v>
      </c>
      <c r="E152" s="112">
        <f t="shared" si="23"/>
        <v>104</v>
      </c>
      <c r="F152" s="112">
        <f t="shared" si="23"/>
        <v>103</v>
      </c>
      <c r="G152" s="112">
        <f t="shared" si="23"/>
        <v>97</v>
      </c>
      <c r="H152" s="112">
        <f t="shared" si="23"/>
        <v>92</v>
      </c>
      <c r="I152" s="112">
        <f t="shared" si="23"/>
        <v>95</v>
      </c>
      <c r="J152" s="111">
        <f t="shared" si="25"/>
        <v>712</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479</v>
      </c>
      <c r="D159" s="108">
        <f>J140</f>
        <v>493.14505996573388</v>
      </c>
      <c r="E159" s="108">
        <f>J141</f>
        <v>528</v>
      </c>
      <c r="F159" s="108">
        <f>J142</f>
        <v>557</v>
      </c>
      <c r="G159" s="108">
        <f>J143</f>
        <v>536</v>
      </c>
      <c r="H159" s="108">
        <f>J144</f>
        <v>550</v>
      </c>
      <c r="I159" s="108">
        <f>J145</f>
        <v>587</v>
      </c>
      <c r="J159" s="108">
        <f>J146</f>
        <v>619</v>
      </c>
      <c r="K159" s="108">
        <f>J147</f>
        <v>635</v>
      </c>
      <c r="L159" s="108">
        <f>J148</f>
        <v>661</v>
      </c>
      <c r="M159" s="108">
        <f>J149</f>
        <v>672</v>
      </c>
      <c r="N159" s="108">
        <f>J150</f>
        <v>685</v>
      </c>
      <c r="O159" s="108">
        <f>J151</f>
        <v>699</v>
      </c>
      <c r="P159" s="108">
        <f>J152</f>
        <v>712</v>
      </c>
    </row>
    <row r="160" spans="2:16" ht="15" customHeight="1">
      <c r="B160" s="107" t="s">
        <v>152</v>
      </c>
      <c r="C160" s="106">
        <f>VLOOKUP(C159,Capacity!$A$1:$C$645,2,TRUE)</f>
        <v>18</v>
      </c>
      <c r="D160" s="106">
        <f>VLOOKUP(D159,Capacity!$A$1:$C$645,2,TRUE)</f>
        <v>18</v>
      </c>
      <c r="E160" s="106">
        <f>VLOOKUP(E159,Capacity!$A$1:$C$645,2,TRUE)</f>
        <v>19</v>
      </c>
      <c r="F160" s="106">
        <f>VLOOKUP(F159,Capacity!$A$1:$C$645,2,TRUE)</f>
        <v>20</v>
      </c>
      <c r="G160" s="106">
        <f>VLOOKUP(G159,Capacity!$A$1:$C$645,2,TRUE)</f>
        <v>19</v>
      </c>
      <c r="H160" s="106">
        <f>VLOOKUP(H159,Capacity!$A$1:$C$645,2,TRUE)</f>
        <v>20</v>
      </c>
      <c r="I160" s="106">
        <f>VLOOKUP(I159,Capacity!$A$1:$C$645,2,TRUE)</f>
        <v>21</v>
      </c>
      <c r="J160" s="106">
        <f>VLOOKUP(J159,Capacity!$A$1:$C$645,2,TRUE)</f>
        <v>21</v>
      </c>
      <c r="K160" s="106">
        <f>VLOOKUP(K159,Capacity!$A$1:$C$645,2,TRUE)</f>
        <v>22</v>
      </c>
      <c r="L160" s="106">
        <f>VLOOKUP(L159,Capacity!$A$1:$C$645,2,TRUE)</f>
        <v>23</v>
      </c>
      <c r="M160" s="106">
        <f>VLOOKUP(M159,Capacity!$A$1:$C$645,2,TRUE)</f>
        <v>23</v>
      </c>
      <c r="N160" s="106">
        <f>VLOOKUP(N159,Capacity!$A$1:$C$645,2,TRUE)</f>
        <v>23</v>
      </c>
      <c r="O160" s="106">
        <f>VLOOKUP(O159,Capacity!$A$1:$C$645,2,TRUE)</f>
        <v>23</v>
      </c>
      <c r="P160" s="106">
        <f>VLOOKUP(P159,Capacity!$A$1:$C$645,2,TRUE)</f>
        <v>23</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82</v>
      </c>
      <c r="D169" s="97">
        <f>VLOOKUP($E$3,'Catchment Births'!$A$1:$U$90,11,FALSE)</f>
        <v>72</v>
      </c>
      <c r="E169" s="97">
        <f>VLOOKUP($E$3,'Catchment Births'!$A$1:$U$90,12,FALSE)</f>
        <v>97</v>
      </c>
      <c r="F169" s="97">
        <f>VLOOKUP($E$3,'Catchment Births'!$A$1:$U$90,13,FALSE)</f>
        <v>115</v>
      </c>
      <c r="G169" s="97">
        <f>VLOOKUP($E$3,'Catchment Births'!$A$1:$U$90,14,FALSE)</f>
        <v>137</v>
      </c>
      <c r="H169" s="97">
        <f>VLOOKUP($E$3,'Catchment Births'!$A$1:$U$90,15,FALSE)</f>
        <v>132</v>
      </c>
      <c r="I169" s="97">
        <f>VLOOKUP($E$3,'Catchment Births'!$A$1:$U$90,16,FALSE)</f>
        <v>139</v>
      </c>
      <c r="J169" s="97">
        <f>VLOOKUP($E$3,'Catchment Births'!$A$1:$U$90,17,FALSE)</f>
        <v>161</v>
      </c>
      <c r="K169" s="97">
        <f>VLOOKUP($E$3,'Catchment Births'!$A$1:$U$90,18,FALSE)</f>
        <v>155</v>
      </c>
      <c r="L169" s="97">
        <f>VLOOKUP($E$3,'Catchment Births'!$A$1:$U$90,19,FALSE)</f>
        <v>139</v>
      </c>
      <c r="M169" s="97">
        <f>VLOOKUP($E$3,'Catchment Births'!$A$1:$U$90,20,FALSE)</f>
        <v>134</v>
      </c>
      <c r="N169" s="97">
        <f>VLOOKUP($E$3,'Catchment Births'!$A$1:$U$90,21,FALSE)</f>
        <v>148</v>
      </c>
    </row>
    <row r="170" spans="2:14" ht="58.5" customHeight="1">
      <c r="B170" s="103" t="str">
        <f>"P1 "&amp;A35&amp;" Catchment Population (Actual)"</f>
        <v>P1 ND Catchment Population (Actual)</v>
      </c>
      <c r="C170" s="102" t="e">
        <v>#REF!</v>
      </c>
      <c r="D170" s="102">
        <v>75</v>
      </c>
      <c r="E170" s="102">
        <v>73</v>
      </c>
      <c r="F170" s="102">
        <v>83</v>
      </c>
      <c r="G170" s="102">
        <v>94</v>
      </c>
      <c r="H170" s="102">
        <v>90</v>
      </c>
      <c r="I170" s="102">
        <v>77</v>
      </c>
      <c r="J170" s="308">
        <f>VLOOKUP(E3,'Catchment Projections'!A1:BU92,42,FALSE)</f>
        <v>103</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77</v>
      </c>
      <c r="J172" s="96" t="e">
        <f>#REF!</f>
        <v>#REF!</v>
      </c>
      <c r="K172" s="96">
        <f>D51</f>
        <v>84</v>
      </c>
      <c r="L172" s="96">
        <f>E51</f>
        <v>96</v>
      </c>
      <c r="M172" s="96">
        <f>F51</f>
        <v>104</v>
      </c>
      <c r="N172" s="96">
        <f>G51</f>
        <v>102</v>
      </c>
    </row>
    <row r="173" spans="2:14" ht="12.75">
      <c r="B173" s="62"/>
      <c r="C173" s="62"/>
      <c r="D173" s="62"/>
      <c r="E173" s="62"/>
      <c r="F173" s="62"/>
      <c r="G173" s="62"/>
      <c r="H173" s="62"/>
      <c r="I173" s="62"/>
      <c r="J173" s="62"/>
      <c r="K173" s="62"/>
    </row>
    <row r="174" spans="2:14" ht="15" customHeight="1">
      <c r="B174" s="64" t="str">
        <f>"Table 5: "&amp;E3&amp;" Roll by Stage, 2002-2018"</f>
        <v>Table 5: Granton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37</v>
      </c>
      <c r="D177" s="93">
        <v>37</v>
      </c>
      <c r="E177" s="93">
        <v>36</v>
      </c>
      <c r="F177" s="93">
        <v>30</v>
      </c>
      <c r="G177" s="93">
        <v>31</v>
      </c>
      <c r="H177" s="93">
        <v>26</v>
      </c>
      <c r="I177" s="93">
        <v>41</v>
      </c>
      <c r="J177" s="92">
        <v>238</v>
      </c>
      <c r="K177" s="62"/>
    </row>
    <row r="178" spans="2:11" ht="15" customHeight="1">
      <c r="B178" s="94">
        <v>2003</v>
      </c>
      <c r="C178" s="93">
        <v>22</v>
      </c>
      <c r="D178" s="93">
        <v>33</v>
      </c>
      <c r="E178" s="93">
        <v>36</v>
      </c>
      <c r="F178" s="93">
        <v>35</v>
      </c>
      <c r="G178" s="93">
        <v>33</v>
      </c>
      <c r="H178" s="93">
        <v>32</v>
      </c>
      <c r="I178" s="93">
        <v>24</v>
      </c>
      <c r="J178" s="92">
        <v>215</v>
      </c>
      <c r="K178" s="62"/>
    </row>
    <row r="179" spans="2:11" customFormat="1" ht="15" customHeight="1">
      <c r="B179" s="94">
        <v>2004</v>
      </c>
      <c r="C179" s="95">
        <v>30</v>
      </c>
      <c r="D179" s="95">
        <v>22</v>
      </c>
      <c r="E179" s="95">
        <v>30</v>
      </c>
      <c r="F179" s="95">
        <v>36</v>
      </c>
      <c r="G179" s="95">
        <v>36</v>
      </c>
      <c r="H179" s="95">
        <v>33</v>
      </c>
      <c r="I179" s="95">
        <v>36</v>
      </c>
      <c r="J179" s="92">
        <v>223</v>
      </c>
      <c r="K179" s="62"/>
    </row>
    <row r="180" spans="2:11" customFormat="1" ht="15" customHeight="1">
      <c r="B180" s="94">
        <v>2005</v>
      </c>
      <c r="C180" s="93">
        <v>31</v>
      </c>
      <c r="D180" s="93">
        <v>28</v>
      </c>
      <c r="E180" s="93">
        <v>20</v>
      </c>
      <c r="F180" s="93">
        <v>33</v>
      </c>
      <c r="G180" s="93">
        <v>38</v>
      </c>
      <c r="H180" s="93">
        <v>36</v>
      </c>
      <c r="I180" s="93">
        <v>33</v>
      </c>
      <c r="J180" s="92">
        <v>219</v>
      </c>
      <c r="K180" s="62"/>
    </row>
    <row r="181" spans="2:11" customFormat="1" ht="15" customHeight="1">
      <c r="B181" s="94">
        <v>2006</v>
      </c>
      <c r="C181" s="93">
        <v>28</v>
      </c>
      <c r="D181" s="93">
        <v>33</v>
      </c>
      <c r="E181" s="93">
        <v>25</v>
      </c>
      <c r="F181" s="93">
        <v>18</v>
      </c>
      <c r="G181" s="93">
        <v>34</v>
      </c>
      <c r="H181" s="93">
        <v>37</v>
      </c>
      <c r="I181" s="93">
        <v>35</v>
      </c>
      <c r="J181" s="92">
        <v>210</v>
      </c>
      <c r="K181" s="62"/>
    </row>
    <row r="182" spans="2:11" customFormat="1" ht="15" customHeight="1">
      <c r="B182" s="94">
        <v>2007</v>
      </c>
      <c r="C182" s="93">
        <v>32</v>
      </c>
      <c r="D182" s="93">
        <v>30</v>
      </c>
      <c r="E182" s="93">
        <v>31</v>
      </c>
      <c r="F182" s="93">
        <v>30</v>
      </c>
      <c r="G182" s="93">
        <v>20</v>
      </c>
      <c r="H182" s="93">
        <v>33</v>
      </c>
      <c r="I182" s="93">
        <v>36</v>
      </c>
      <c r="J182" s="92">
        <v>212</v>
      </c>
      <c r="K182" s="62"/>
    </row>
    <row r="183" spans="2:11" customFormat="1" ht="15" customHeight="1">
      <c r="B183" s="94">
        <v>2008</v>
      </c>
      <c r="C183" s="93">
        <v>31</v>
      </c>
      <c r="D183" s="93">
        <v>31</v>
      </c>
      <c r="E183" s="93">
        <v>30</v>
      </c>
      <c r="F183" s="93">
        <v>27</v>
      </c>
      <c r="G183" s="93">
        <v>29</v>
      </c>
      <c r="H183" s="93">
        <v>27</v>
      </c>
      <c r="I183" s="93">
        <v>34</v>
      </c>
      <c r="J183" s="92">
        <v>209</v>
      </c>
      <c r="K183" s="62"/>
    </row>
    <row r="184" spans="2:11" customFormat="1" ht="15" customHeight="1">
      <c r="B184" s="94">
        <v>2009</v>
      </c>
      <c r="C184" s="93">
        <v>43</v>
      </c>
      <c r="D184" s="93">
        <v>28</v>
      </c>
      <c r="E184" s="93">
        <v>26</v>
      </c>
      <c r="F184" s="93">
        <v>28</v>
      </c>
      <c r="G184" s="93">
        <v>25</v>
      </c>
      <c r="H184" s="93">
        <v>28</v>
      </c>
      <c r="I184" s="93">
        <v>27</v>
      </c>
      <c r="J184" s="94">
        <v>205</v>
      </c>
      <c r="K184" s="62"/>
    </row>
    <row r="185" spans="2:11" customFormat="1" ht="15" customHeight="1">
      <c r="B185" s="94">
        <v>2010</v>
      </c>
      <c r="C185" s="93">
        <v>55</v>
      </c>
      <c r="D185" s="93">
        <v>51</v>
      </c>
      <c r="E185" s="93">
        <v>37</v>
      </c>
      <c r="F185" s="93">
        <v>38</v>
      </c>
      <c r="G185" s="93">
        <v>36</v>
      </c>
      <c r="H185" s="93">
        <v>34</v>
      </c>
      <c r="I185" s="93">
        <v>38</v>
      </c>
      <c r="J185" s="92">
        <v>289</v>
      </c>
      <c r="K185" s="62"/>
    </row>
    <row r="186" spans="2:11" customFormat="1" ht="15" customHeight="1">
      <c r="B186" s="94">
        <v>2011</v>
      </c>
      <c r="C186" s="93">
        <v>59</v>
      </c>
      <c r="D186" s="93">
        <v>55</v>
      </c>
      <c r="E186" s="93">
        <v>53</v>
      </c>
      <c r="F186" s="93">
        <v>35</v>
      </c>
      <c r="G186" s="93">
        <v>40</v>
      </c>
      <c r="H186" s="93">
        <v>38</v>
      </c>
      <c r="I186" s="93">
        <v>36</v>
      </c>
      <c r="J186" s="92">
        <v>316</v>
      </c>
      <c r="K186" s="62"/>
    </row>
    <row r="187" spans="2:11" customFormat="1" ht="15" customHeight="1">
      <c r="B187" s="94">
        <v>2012</v>
      </c>
      <c r="C187" s="93">
        <v>68</v>
      </c>
      <c r="D187" s="93">
        <v>62</v>
      </c>
      <c r="E187" s="93">
        <v>56</v>
      </c>
      <c r="F187" s="93">
        <v>49</v>
      </c>
      <c r="G187" s="93">
        <v>34</v>
      </c>
      <c r="H187" s="93">
        <v>38</v>
      </c>
      <c r="I187" s="93">
        <v>37</v>
      </c>
      <c r="J187" s="92">
        <v>344</v>
      </c>
      <c r="K187" s="62"/>
    </row>
    <row r="188" spans="2:11" customFormat="1" ht="15" customHeight="1">
      <c r="B188" s="94">
        <v>2013</v>
      </c>
      <c r="C188" s="93">
        <v>73</v>
      </c>
      <c r="D188" s="93">
        <v>60</v>
      </c>
      <c r="E188" s="93">
        <v>61</v>
      </c>
      <c r="F188" s="93">
        <v>53</v>
      </c>
      <c r="G188" s="93">
        <v>44</v>
      </c>
      <c r="H188" s="93">
        <v>36</v>
      </c>
      <c r="I188" s="93">
        <v>38</v>
      </c>
      <c r="J188" s="94">
        <v>365</v>
      </c>
      <c r="K188" s="62"/>
    </row>
    <row r="189" spans="2:11" customFormat="1" ht="15" customHeight="1">
      <c r="B189" s="94">
        <v>2014</v>
      </c>
      <c r="C189" s="93">
        <v>66</v>
      </c>
      <c r="D189" s="93">
        <v>76</v>
      </c>
      <c r="E189" s="93">
        <v>45</v>
      </c>
      <c r="F189" s="93">
        <v>58</v>
      </c>
      <c r="G189" s="93">
        <v>50</v>
      </c>
      <c r="H189" s="93">
        <v>44</v>
      </c>
      <c r="I189" s="93">
        <v>36</v>
      </c>
      <c r="J189" s="92">
        <v>375</v>
      </c>
      <c r="K189" s="65"/>
    </row>
    <row r="190" spans="2:11" customFormat="1" ht="15" customHeight="1">
      <c r="B190" s="94">
        <v>2015</v>
      </c>
      <c r="C190" s="93">
        <v>69</v>
      </c>
      <c r="D190" s="93">
        <v>56</v>
      </c>
      <c r="E190" s="93">
        <v>72</v>
      </c>
      <c r="F190" s="93">
        <v>40</v>
      </c>
      <c r="G190" s="93">
        <v>55</v>
      </c>
      <c r="H190" s="93">
        <v>48</v>
      </c>
      <c r="I190" s="93">
        <v>46</v>
      </c>
      <c r="J190" s="92">
        <v>386</v>
      </c>
      <c r="K190" s="65"/>
    </row>
    <row r="191" spans="2:11" customFormat="1" ht="15" customHeight="1">
      <c r="B191" s="94">
        <v>2016</v>
      </c>
      <c r="C191" s="93">
        <v>106</v>
      </c>
      <c r="D191" s="93">
        <v>57</v>
      </c>
      <c r="E191" s="93">
        <v>52</v>
      </c>
      <c r="F191" s="93">
        <v>69</v>
      </c>
      <c r="G191" s="93">
        <v>38</v>
      </c>
      <c r="H191" s="93">
        <v>52</v>
      </c>
      <c r="I191" s="93">
        <v>46</v>
      </c>
      <c r="J191" s="92">
        <v>420</v>
      </c>
      <c r="K191" s="65"/>
    </row>
    <row r="192" spans="2:11" ht="15" customHeight="1">
      <c r="B192" s="94">
        <v>2017</v>
      </c>
      <c r="C192" s="93">
        <f>VLOOKUP($E$3,Rolls!A1:FA90,42,FALSE)</f>
        <v>83</v>
      </c>
      <c r="D192" s="93">
        <f>VLOOKUP($E$3,Rolls!A1:FA90,43,FALSE)</f>
        <v>103</v>
      </c>
      <c r="E192" s="93">
        <f>VLOOKUP($E$3,Rolls!A1:FA90,44,FALSE)</f>
        <v>56</v>
      </c>
      <c r="F192" s="93">
        <f>VLOOKUP($E$3,Rolls!A1:FA90,45,FALSE)</f>
        <v>53</v>
      </c>
      <c r="G192" s="93">
        <f>VLOOKUP($E$3,Rolls!A1:FA90,46,FALSE)</f>
        <v>68</v>
      </c>
      <c r="H192" s="93">
        <f>VLOOKUP($E$3,Rolls!A1:FA90,47,FALSE)</f>
        <v>39</v>
      </c>
      <c r="I192" s="93">
        <f>VLOOKUP($E$3,Rolls!A1:FA90,48,FALSE)</f>
        <v>53</v>
      </c>
      <c r="J192" s="92">
        <f>VLOOKUP($E$3,Rolls!A1:FA90,49,FALSE)</f>
        <v>455</v>
      </c>
      <c r="K192" s="65"/>
    </row>
    <row r="193" spans="2:11" ht="15" customHeight="1">
      <c r="B193" s="94">
        <v>2018</v>
      </c>
      <c r="C193" s="93">
        <f>VLOOKUP($E$3,Rolls!A1:FA90,50,FALSE)</f>
        <v>70</v>
      </c>
      <c r="D193" s="93">
        <f>VLOOKUP($E$3,Rolls!A1:FA90,51,FALSE)</f>
        <v>80</v>
      </c>
      <c r="E193" s="93">
        <f>VLOOKUP($E$3,Rolls!A1:FA90,52,FALSE)</f>
        <v>102</v>
      </c>
      <c r="F193" s="93">
        <f>VLOOKUP($E$3,Rolls!A1:FA90,53,FALSE)</f>
        <v>54</v>
      </c>
      <c r="G193" s="93">
        <f>VLOOKUP($E$3,Rolls!A1:FA90,54,FALSE)</f>
        <v>50</v>
      </c>
      <c r="H193" s="93">
        <f>VLOOKUP($E$3,Rolls!A1:FA90,55,FALSE)</f>
        <v>66</v>
      </c>
      <c r="I193" s="93">
        <f>VLOOKUP($E$3,Rolls!A1:FA90,56,FALSE)</f>
        <v>39</v>
      </c>
      <c r="J193" s="92">
        <f>VLOOKUP($E$3,Rolls!A1:FA90,57,FALSE)</f>
        <v>461</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38</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Gylemuir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504 Pupils (18 classes)</v>
      </c>
      <c r="G12" s="16"/>
      <c r="H12" s="16"/>
    </row>
    <row r="13" spans="2:10" ht="15" customHeight="1">
      <c r="C13" s="16"/>
      <c r="D13" s="16"/>
      <c r="E13" s="16"/>
      <c r="F13" s="16"/>
      <c r="G13" s="16"/>
      <c r="H13" s="16"/>
    </row>
    <row r="14" spans="2:10" ht="15" customHeight="1">
      <c r="B14" s="15" t="str">
        <f>"Figure 1: "&amp;E3&amp;" Roll, 2002-2015"</f>
        <v>Figure 1: Gylemuir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Gylemuir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64</v>
      </c>
      <c r="E49" s="108">
        <f>VLOOKUP($E$3,'Catchment Projections'!$A$1:$BU$90,46,FALSE)</f>
        <v>67</v>
      </c>
      <c r="F49" s="108">
        <f>VLOOKUP($E$3,'Catchment Projections'!$A$1:$BU$90,47,FALSE)</f>
        <v>66</v>
      </c>
      <c r="G49" s="108">
        <f>VLOOKUP($E$3,'Catchment Projections'!$A$1:$BU$90,48,FALSE)</f>
        <v>73</v>
      </c>
      <c r="H49" s="133">
        <f>VLOOKUP($E$3,'Catchment Projections'!$A$1:$BU$90,49,FALSE)</f>
        <v>69</v>
      </c>
      <c r="I49" s="133">
        <f>VLOOKUP($E$3,'Catchment Projections'!$A$1:$BU$90,50,FALSE)</f>
        <v>70</v>
      </c>
      <c r="J49" s="133">
        <f>VLOOKUP($E$3,'Catchment Projections'!$A$1:$BU$90,51,FALSE)</f>
        <v>71</v>
      </c>
      <c r="K49" s="133">
        <f>VLOOKUP($E$3,'Catchment Projections'!$A$1:$BU$90,52,FALSE)</f>
        <v>72</v>
      </c>
      <c r="L49" s="133">
        <f>VLOOKUP($E$3,'Catchment Projections'!$A$1:$BU$90,53,FALSE)</f>
        <v>73</v>
      </c>
      <c r="M49" s="133">
        <f>VLOOKUP($E$3,'Catchment Projections'!$A$1:$BU$90,54,FALSE)</f>
        <v>73</v>
      </c>
      <c r="N49" s="133">
        <f>VLOOKUP($E$3,'Catchment Projections'!$A$1:$BU$90,55,FALSE)</f>
        <v>73</v>
      </c>
      <c r="O49" s="133">
        <f>VLOOKUP($E$3,'Catchment Projections'!$A$1:$BU$90,56,FALSE)</f>
        <v>73</v>
      </c>
      <c r="P49" s="133">
        <f>VLOOKUP($E$3,'Catchment Projections'!$A$1:$BU$90,57,FALSE)</f>
        <v>73</v>
      </c>
      <c r="Q49" s="133">
        <f>VLOOKUP($E$3,'Catchment Projections'!$A$1:$BU$90,58,FALSE)</f>
        <v>73</v>
      </c>
    </row>
    <row r="50" spans="2:17" ht="15" customHeight="1" thickBot="1">
      <c r="B50" s="410" t="s">
        <v>141</v>
      </c>
      <c r="C50" s="411"/>
      <c r="D50" s="286">
        <f>VLOOKUP(E3,'Housing Generation'!$A$3:$DQ$90,10,FALSE)</f>
        <v>2</v>
      </c>
      <c r="E50" s="286">
        <f>VLOOKUP(E3,'Housing Generation'!$A$3:$DQ$90,18,FALSE)</f>
        <v>2</v>
      </c>
      <c r="F50" s="286">
        <f>VLOOKUP(E3,'Housing Generation'!$A$3:$DQ$90,26,FALSE)</f>
        <v>2</v>
      </c>
      <c r="G50" s="243">
        <f>VLOOKUP(E3,'Housing Generation'!$A$3:$DQ$90,34,FALSE)</f>
        <v>2</v>
      </c>
      <c r="H50" s="133">
        <f>VLOOKUP(E3,'Housing Generation'!$A$3:$DQ$90,42,FALSE)</f>
        <v>2</v>
      </c>
      <c r="I50" s="133">
        <f>VLOOKUP(E3,'Housing Generation'!$A$3:$DQ$90,50,FALSE)</f>
        <v>3</v>
      </c>
      <c r="J50" s="133">
        <f>VLOOKUP(E3,'Housing Generation'!$A$3:$CK$90,58,FALSE)</f>
        <v>4</v>
      </c>
      <c r="K50" s="133">
        <f>VLOOKUP(E3,'Housing Generation'!$A$3:$CK$90,66,FALSE)</f>
        <v>4</v>
      </c>
      <c r="L50" s="133">
        <f>VLOOKUP(E3,'Housing Generation'!$A$3:$DQ$90,74,FALSE)</f>
        <v>5</v>
      </c>
      <c r="M50" s="133">
        <f>VLOOKUP(E3,'Housing Generation'!$A$3:$DQ$90,82,FALSE)</f>
        <v>6</v>
      </c>
      <c r="N50" s="133">
        <f>VLOOKUP(E3,'Housing Generation'!$A$3:$DQ$90,90,FALSE)</f>
        <v>6</v>
      </c>
      <c r="O50" s="133">
        <f>VLOOKUP(E3,'Housing Generation'!$A$3:$DQ$90,98,FALSE)</f>
        <v>7</v>
      </c>
      <c r="P50" s="133">
        <f>VLOOKUP(E3,'Housing Generation'!$A$3:$DQ$90,106,FALSE)</f>
        <v>7</v>
      </c>
      <c r="Q50" s="133">
        <f>VLOOKUP(E3,'Housing Generation'!$A$3:$DQ$90,114,FALSE)</f>
        <v>7</v>
      </c>
    </row>
    <row r="51" spans="2:17" ht="15" customHeight="1" thickTop="1">
      <c r="B51" s="421" t="s">
        <v>130</v>
      </c>
      <c r="C51" s="422"/>
      <c r="D51" s="47">
        <f t="shared" ref="D51:Q51" si="0">SUM(D49:D50)</f>
        <v>66</v>
      </c>
      <c r="E51" s="47">
        <f t="shared" si="0"/>
        <v>69</v>
      </c>
      <c r="F51" s="80">
        <f t="shared" si="0"/>
        <v>68</v>
      </c>
      <c r="G51" s="244">
        <f t="shared" si="0"/>
        <v>75</v>
      </c>
      <c r="H51" s="71">
        <f t="shared" si="0"/>
        <v>71</v>
      </c>
      <c r="I51" s="71">
        <f t="shared" si="0"/>
        <v>73</v>
      </c>
      <c r="J51" s="71">
        <f t="shared" si="0"/>
        <v>75</v>
      </c>
      <c r="K51" s="71">
        <f t="shared" si="0"/>
        <v>76</v>
      </c>
      <c r="L51" s="71">
        <f t="shared" si="0"/>
        <v>78</v>
      </c>
      <c r="M51" s="71">
        <f t="shared" si="0"/>
        <v>79</v>
      </c>
      <c r="N51" s="71">
        <f t="shared" si="0"/>
        <v>79</v>
      </c>
      <c r="O51" s="71">
        <f t="shared" si="0"/>
        <v>80</v>
      </c>
      <c r="P51" s="71">
        <f t="shared" si="0"/>
        <v>80</v>
      </c>
      <c r="Q51" s="71">
        <f t="shared" si="0"/>
        <v>80</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79</v>
      </c>
      <c r="D60" s="358">
        <f>VLOOKUP($E$3,'Catchment Projections'!$A$1:$BZ$90,74,FALSE)</f>
        <v>74</v>
      </c>
      <c r="E60" s="303">
        <f>D60/C60</f>
        <v>0.93670886075949367</v>
      </c>
      <c r="G60" s="132">
        <v>2014</v>
      </c>
      <c r="H60" s="395">
        <f>VLOOKUP($G$60,$B$177:$C$215, 2, FALSE)</f>
        <v>87</v>
      </c>
      <c r="I60" s="120">
        <f>H60-D60</f>
        <v>13</v>
      </c>
      <c r="J60" s="121">
        <f>I60/H60</f>
        <v>0.14942528735632185</v>
      </c>
    </row>
    <row r="61" spans="2:17" ht="15" customHeight="1">
      <c r="B61" s="132">
        <v>2015</v>
      </c>
      <c r="C61" s="359">
        <f>VLOOKUP($E$3,'Catchment Projections'!$A$1:$BZ$90,41,FALSE)</f>
        <v>71</v>
      </c>
      <c r="D61" s="358">
        <f>VLOOKUP($E$3,'Catchment Projections'!$A$1:$BZ$90,75,FALSE)</f>
        <v>68</v>
      </c>
      <c r="E61" s="303">
        <f>D61/C61</f>
        <v>0.95774647887323938</v>
      </c>
      <c r="G61" s="132">
        <v>2015</v>
      </c>
      <c r="H61" s="395">
        <f>VLOOKUP($G$61,$B$177:$C$215, 2, FALSE)</f>
        <v>74</v>
      </c>
      <c r="I61" s="120">
        <f>H61-D61</f>
        <v>6</v>
      </c>
      <c r="J61" s="121">
        <f>I61/H61</f>
        <v>8.1081081081081086E-2</v>
      </c>
    </row>
    <row r="62" spans="2:17" ht="15" customHeight="1">
      <c r="B62" s="131">
        <v>2016</v>
      </c>
      <c r="C62" s="359">
        <f>VLOOKUP($E$3,'Catchment Projections'!$A$1:$BZ$90,42,FALSE)</f>
        <v>51</v>
      </c>
      <c r="D62" s="358">
        <f>VLOOKUP($E$3,'Catchment Projections'!$A$1:$BZ$90,76,FALSE)</f>
        <v>49</v>
      </c>
      <c r="E62" s="57">
        <f>D62/C62</f>
        <v>0.96078431372549022</v>
      </c>
      <c r="G62" s="131">
        <v>2016</v>
      </c>
      <c r="H62" s="395">
        <f>VLOOKUP($G$62,$B$177:$C$215, 2, FALSE)</f>
        <v>57</v>
      </c>
      <c r="I62" s="120">
        <f>H62-D62</f>
        <v>8</v>
      </c>
      <c r="J62" s="121">
        <f>I62/H62</f>
        <v>0.14035087719298245</v>
      </c>
    </row>
    <row r="63" spans="2:17" ht="15" customHeight="1">
      <c r="B63" s="114">
        <v>2017</v>
      </c>
      <c r="C63" s="359">
        <f>VLOOKUP($E$3,'Catchment Projections'!$A$1:$BZ$90,43,FALSE)</f>
        <v>71</v>
      </c>
      <c r="D63" s="358">
        <f>VLOOKUP($E$3,'Catchment Projections'!$A$1:$BZ$90,77,FALSE)</f>
        <v>67</v>
      </c>
      <c r="E63" s="304">
        <f>D63/C63</f>
        <v>0.94366197183098588</v>
      </c>
      <c r="G63" s="114">
        <v>2017</v>
      </c>
      <c r="H63" s="395">
        <f>VLOOKUP($G$63,$B$177:$C$215, 2, FALSE)</f>
        <v>75</v>
      </c>
      <c r="I63" s="120">
        <f>H63-D63</f>
        <v>8</v>
      </c>
      <c r="J63" s="121">
        <f>I63/H63</f>
        <v>0.10666666666666667</v>
      </c>
    </row>
    <row r="64" spans="2:17" ht="15" customHeight="1">
      <c r="B64" s="114">
        <v>2018</v>
      </c>
      <c r="C64" s="359">
        <f>VLOOKUP($E$3,'Catchment Projections'!$A$1:$BZ$90,44,FALSE)</f>
        <v>86</v>
      </c>
      <c r="D64" s="358">
        <f>VLOOKUP($E$3,'Catchment Projections'!$A$1:$BZ$90,78,FALSE)</f>
        <v>81</v>
      </c>
      <c r="E64" s="305">
        <f>D64/C64</f>
        <v>0.94186046511627908</v>
      </c>
      <c r="G64" s="114">
        <v>2018</v>
      </c>
      <c r="H64" s="395">
        <f>VLOOKUP($G$64,$B$177:$C$215, 2, FALSE)</f>
        <v>85</v>
      </c>
      <c r="I64" s="120">
        <f>H64-D64</f>
        <v>4</v>
      </c>
      <c r="J64" s="121">
        <f>I64/H64</f>
        <v>4.7058823529411764E-2</v>
      </c>
    </row>
    <row r="65" spans="2:10" ht="15" customHeight="1">
      <c r="B65" s="412" t="s">
        <v>136</v>
      </c>
      <c r="C65" s="413"/>
      <c r="D65" s="414"/>
      <c r="E65" s="137">
        <f>IF((AVERAGE(E62:E64))="#DIV/0!","n/a",(AVERAGE(E62:E64)))</f>
        <v>0.94876891689091847</v>
      </c>
      <c r="G65" s="415" t="s">
        <v>137</v>
      </c>
      <c r="H65" s="416"/>
      <c r="I65" s="138">
        <f>MEDIAN(I60:I64)</f>
        <v>8</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66</v>
      </c>
      <c r="D70" s="408"/>
      <c r="E70" s="122">
        <f>E65</f>
        <v>0.94876891689091847</v>
      </c>
      <c r="F70" s="120">
        <f t="shared" ref="F70:F83" si="1">C70*$E$65</f>
        <v>62.618748514800622</v>
      </c>
      <c r="G70" s="118">
        <f>IF(F70&lt;26,25,IF(F70&gt;135,140,IF(F70&gt;130,135,IF(F70&gt;125,130,IF(F70&gt;120,125,IF(F70&gt;115,120,IF(F70&gt;110,115,IF(F70&gt;105,110,IF(F70&gt;100,105,IF(F70&gt;99,100,IF(F70&gt;90,99,IF(F70&gt;75,90,IF(F70&gt;72,75,IF(F70&gt;66,72,IF(F70&gt;60,66,IF(F70&gt;50,60,IF(F70&gt;30,50,IF(F70&gt;25,30,0))))))))))))))))))</f>
        <v>66</v>
      </c>
      <c r="H70" s="119">
        <f t="shared" ref="H70:H83" si="2">G70-F70</f>
        <v>3.3812514851993782</v>
      </c>
      <c r="I70" s="118" t="str">
        <f>IF(I$65&lt;H70, "NO", "YES")</f>
        <v>YES</v>
      </c>
      <c r="J70" s="117">
        <f t="shared" ref="J70:J83" si="3">IF(I70="YES",G70,(MIN((SUM(F70,$I$65)),G70)))</f>
        <v>66</v>
      </c>
    </row>
    <row r="71" spans="2:10" ht="15" customHeight="1">
      <c r="B71" s="114">
        <v>2020</v>
      </c>
      <c r="C71" s="433">
        <f>E51</f>
        <v>69</v>
      </c>
      <c r="D71" s="408"/>
      <c r="E71" s="121">
        <f>E65</f>
        <v>0.94876891689091847</v>
      </c>
      <c r="F71" s="120">
        <f t="shared" si="1"/>
        <v>65.465055265473367</v>
      </c>
      <c r="G71" s="118">
        <f t="shared" ref="G71:G83" si="4">IF(F71&lt;26,25,IF(F71&gt;135,140,IF(F71&gt;130,135,IF(F71&gt;125,130,IF(F71&gt;120,125,IF(F71&gt;115,120,IF(F71&gt;110,115,IF(F71&gt;105,110,IF(F71&gt;100,105,IF(F71&gt;99,100,IF(F71&gt;90,99,IF(F71&gt;75,90,IF(F71&gt;72,75,IF(F71&gt;66,72,IF(F71&gt;60,66,IF(F71&gt;50,60,IF(F71&gt;30,50,IF(F71&gt;25,30,0))))))))))))))))))</f>
        <v>66</v>
      </c>
      <c r="H71" s="119">
        <f t="shared" si="2"/>
        <v>0.53494473452663271</v>
      </c>
      <c r="I71" s="118" t="str">
        <f t="shared" ref="I71:I83" si="5">IF(I$65&lt;H71, "NO", "YES")</f>
        <v>YES</v>
      </c>
      <c r="J71" s="117">
        <f t="shared" si="3"/>
        <v>66</v>
      </c>
    </row>
    <row r="72" spans="2:10" ht="15" customHeight="1">
      <c r="B72" s="114">
        <v>2021</v>
      </c>
      <c r="C72" s="430">
        <f>F51</f>
        <v>68</v>
      </c>
      <c r="D72" s="431"/>
      <c r="E72" s="121">
        <f>E65</f>
        <v>0.94876891689091847</v>
      </c>
      <c r="F72" s="120">
        <f t="shared" si="1"/>
        <v>64.516286348582454</v>
      </c>
      <c r="G72" s="118">
        <f t="shared" si="4"/>
        <v>66</v>
      </c>
      <c r="H72" s="119">
        <f t="shared" si="2"/>
        <v>1.4837136514175455</v>
      </c>
      <c r="I72" s="118" t="str">
        <f t="shared" si="5"/>
        <v>YES</v>
      </c>
      <c r="J72" s="117">
        <f t="shared" si="3"/>
        <v>66</v>
      </c>
    </row>
    <row r="73" spans="2:10" ht="15" customHeight="1">
      <c r="B73" s="114">
        <v>2022</v>
      </c>
      <c r="C73" s="430">
        <f>G51</f>
        <v>75</v>
      </c>
      <c r="D73" s="431"/>
      <c r="E73" s="121">
        <f>E65</f>
        <v>0.94876891689091847</v>
      </c>
      <c r="F73" s="120">
        <f t="shared" si="1"/>
        <v>71.157668766818887</v>
      </c>
      <c r="G73" s="118">
        <f t="shared" si="4"/>
        <v>72</v>
      </c>
      <c r="H73" s="119">
        <f t="shared" si="2"/>
        <v>0.84233123318111325</v>
      </c>
      <c r="I73" s="118" t="str">
        <f t="shared" si="5"/>
        <v>YES</v>
      </c>
      <c r="J73" s="117">
        <f t="shared" si="3"/>
        <v>72</v>
      </c>
    </row>
    <row r="74" spans="2:10" ht="15" customHeight="1">
      <c r="B74" s="114">
        <v>2023</v>
      </c>
      <c r="C74" s="430">
        <f>H51</f>
        <v>71</v>
      </c>
      <c r="D74" s="431"/>
      <c r="E74" s="121">
        <f>E65</f>
        <v>0.94876891689091847</v>
      </c>
      <c r="F74" s="120">
        <f t="shared" si="1"/>
        <v>67.362593099255207</v>
      </c>
      <c r="G74" s="118">
        <f t="shared" si="4"/>
        <v>72</v>
      </c>
      <c r="H74" s="119">
        <f t="shared" si="2"/>
        <v>4.6374069007447929</v>
      </c>
      <c r="I74" s="118" t="str">
        <f t="shared" si="5"/>
        <v>YES</v>
      </c>
      <c r="J74" s="117">
        <f t="shared" si="3"/>
        <v>72</v>
      </c>
    </row>
    <row r="75" spans="2:10" ht="15" customHeight="1">
      <c r="B75" s="114">
        <v>2024</v>
      </c>
      <c r="C75" s="430">
        <f>I51</f>
        <v>73</v>
      </c>
      <c r="D75" s="431"/>
      <c r="E75" s="121">
        <f>E65</f>
        <v>0.94876891689091847</v>
      </c>
      <c r="F75" s="120">
        <f t="shared" si="1"/>
        <v>69.260130933037047</v>
      </c>
      <c r="G75" s="118">
        <f t="shared" si="4"/>
        <v>72</v>
      </c>
      <c r="H75" s="119">
        <f t="shared" si="2"/>
        <v>2.7398690669629531</v>
      </c>
      <c r="I75" s="118" t="str">
        <f t="shared" si="5"/>
        <v>YES</v>
      </c>
      <c r="J75" s="117">
        <f t="shared" si="3"/>
        <v>72</v>
      </c>
    </row>
    <row r="76" spans="2:10" ht="15" customHeight="1">
      <c r="B76" s="114">
        <v>2025</v>
      </c>
      <c r="C76" s="430">
        <f>J51</f>
        <v>75</v>
      </c>
      <c r="D76" s="431"/>
      <c r="E76" s="121">
        <f>E65</f>
        <v>0.94876891689091847</v>
      </c>
      <c r="F76" s="120">
        <f t="shared" si="1"/>
        <v>71.157668766818887</v>
      </c>
      <c r="G76" s="118">
        <f t="shared" si="4"/>
        <v>72</v>
      </c>
      <c r="H76" s="119">
        <f t="shared" si="2"/>
        <v>0.84233123318111325</v>
      </c>
      <c r="I76" s="118" t="str">
        <f t="shared" si="5"/>
        <v>YES</v>
      </c>
      <c r="J76" s="117">
        <f t="shared" si="3"/>
        <v>72</v>
      </c>
    </row>
    <row r="77" spans="2:10" ht="15" customHeight="1">
      <c r="B77" s="114">
        <v>2026</v>
      </c>
      <c r="C77" s="430">
        <f>K51</f>
        <v>76</v>
      </c>
      <c r="D77" s="431"/>
      <c r="E77" s="121">
        <f>E65</f>
        <v>0.94876891689091847</v>
      </c>
      <c r="F77" s="120">
        <f t="shared" si="1"/>
        <v>72.1064376837098</v>
      </c>
      <c r="G77" s="118">
        <f t="shared" si="4"/>
        <v>75</v>
      </c>
      <c r="H77" s="119">
        <f t="shared" si="2"/>
        <v>2.8935623162902004</v>
      </c>
      <c r="I77" s="118" t="str">
        <f t="shared" si="5"/>
        <v>YES</v>
      </c>
      <c r="J77" s="117">
        <f t="shared" si="3"/>
        <v>75</v>
      </c>
    </row>
    <row r="78" spans="2:10" ht="15" customHeight="1">
      <c r="B78" s="114">
        <v>2027</v>
      </c>
      <c r="C78" s="430">
        <f>L51</f>
        <v>78</v>
      </c>
      <c r="D78" s="431"/>
      <c r="E78" s="121">
        <f>E65</f>
        <v>0.94876891689091847</v>
      </c>
      <c r="F78" s="120">
        <f t="shared" si="1"/>
        <v>74.003975517491639</v>
      </c>
      <c r="G78" s="118">
        <f t="shared" si="4"/>
        <v>75</v>
      </c>
      <c r="H78" s="119">
        <f t="shared" si="2"/>
        <v>0.99602448250836062</v>
      </c>
      <c r="I78" s="118" t="str">
        <f t="shared" si="5"/>
        <v>YES</v>
      </c>
      <c r="J78" s="117">
        <f t="shared" si="3"/>
        <v>75</v>
      </c>
    </row>
    <row r="79" spans="2:10" ht="15" customHeight="1">
      <c r="B79" s="114">
        <v>2028</v>
      </c>
      <c r="C79" s="430">
        <f>M51</f>
        <v>79</v>
      </c>
      <c r="D79" s="431"/>
      <c r="E79" s="121">
        <f t="shared" ref="E79:E83" si="6">$E$65</f>
        <v>0.94876891689091847</v>
      </c>
      <c r="F79" s="120">
        <f t="shared" si="1"/>
        <v>74.952744434382552</v>
      </c>
      <c r="G79" s="118">
        <f t="shared" si="4"/>
        <v>75</v>
      </c>
      <c r="H79" s="119">
        <f t="shared" si="2"/>
        <v>4.7255565617447814E-2</v>
      </c>
      <c r="I79" s="118" t="str">
        <f t="shared" si="5"/>
        <v>YES</v>
      </c>
      <c r="J79" s="117">
        <f t="shared" si="3"/>
        <v>75</v>
      </c>
    </row>
    <row r="80" spans="2:10" ht="15" customHeight="1">
      <c r="B80" s="114">
        <v>2029</v>
      </c>
      <c r="C80" s="430">
        <f>N51</f>
        <v>79</v>
      </c>
      <c r="D80" s="431"/>
      <c r="E80" s="121">
        <f t="shared" si="6"/>
        <v>0.94876891689091847</v>
      </c>
      <c r="F80" s="120">
        <f t="shared" si="1"/>
        <v>74.952744434382552</v>
      </c>
      <c r="G80" s="118">
        <f t="shared" si="4"/>
        <v>75</v>
      </c>
      <c r="H80" s="119">
        <f t="shared" si="2"/>
        <v>4.7255565617447814E-2</v>
      </c>
      <c r="I80" s="118" t="str">
        <f t="shared" si="5"/>
        <v>YES</v>
      </c>
      <c r="J80" s="117">
        <f t="shared" si="3"/>
        <v>75</v>
      </c>
    </row>
    <row r="81" spans="2:10" ht="15" customHeight="1">
      <c r="B81" s="114">
        <v>2030</v>
      </c>
      <c r="C81" s="430">
        <f>O51</f>
        <v>80</v>
      </c>
      <c r="D81" s="431"/>
      <c r="E81" s="121">
        <f t="shared" si="6"/>
        <v>0.94876891689091847</v>
      </c>
      <c r="F81" s="120">
        <f t="shared" si="1"/>
        <v>75.901513351273479</v>
      </c>
      <c r="G81" s="118">
        <f t="shared" si="4"/>
        <v>90</v>
      </c>
      <c r="H81" s="119">
        <f t="shared" si="2"/>
        <v>14.098486648726521</v>
      </c>
      <c r="I81" s="118" t="str">
        <f t="shared" si="5"/>
        <v>NO</v>
      </c>
      <c r="J81" s="117">
        <f t="shared" si="3"/>
        <v>83.901513351273479</v>
      </c>
    </row>
    <row r="82" spans="2:10" ht="15" customHeight="1">
      <c r="B82" s="114">
        <v>2031</v>
      </c>
      <c r="C82" s="430">
        <f>P51</f>
        <v>80</v>
      </c>
      <c r="D82" s="431"/>
      <c r="E82" s="121">
        <f t="shared" si="6"/>
        <v>0.94876891689091847</v>
      </c>
      <c r="F82" s="120">
        <f t="shared" si="1"/>
        <v>75.901513351273479</v>
      </c>
      <c r="G82" s="118">
        <f t="shared" si="4"/>
        <v>90</v>
      </c>
      <c r="H82" s="119">
        <f t="shared" si="2"/>
        <v>14.098486648726521</v>
      </c>
      <c r="I82" s="118" t="str">
        <f t="shared" si="5"/>
        <v>NO</v>
      </c>
      <c r="J82" s="117">
        <f t="shared" si="3"/>
        <v>83.901513351273479</v>
      </c>
    </row>
    <row r="83" spans="2:10" ht="15" customHeight="1">
      <c r="B83" s="114">
        <v>2032</v>
      </c>
      <c r="C83" s="430">
        <f>Q51</f>
        <v>80</v>
      </c>
      <c r="D83" s="431"/>
      <c r="E83" s="121">
        <f t="shared" si="6"/>
        <v>0.94876891689091847</v>
      </c>
      <c r="F83" s="120">
        <f t="shared" si="1"/>
        <v>75.901513351273479</v>
      </c>
      <c r="G83" s="118">
        <f t="shared" si="4"/>
        <v>90</v>
      </c>
      <c r="H83" s="119">
        <f t="shared" si="2"/>
        <v>14.098486648726521</v>
      </c>
      <c r="I83" s="118" t="str">
        <f t="shared" si="5"/>
        <v>NO</v>
      </c>
      <c r="J83" s="117">
        <f t="shared" si="3"/>
        <v>83.901513351273479</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Gylemuir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83</v>
      </c>
      <c r="D91" s="112">
        <f t="shared" ref="D91:J91" si="7">D188</f>
        <v>72</v>
      </c>
      <c r="E91" s="112">
        <f t="shared" si="7"/>
        <v>60</v>
      </c>
      <c r="F91" s="112">
        <f t="shared" si="7"/>
        <v>74</v>
      </c>
      <c r="G91" s="112">
        <f t="shared" si="7"/>
        <v>48</v>
      </c>
      <c r="H91" s="112">
        <f t="shared" si="7"/>
        <v>53</v>
      </c>
      <c r="I91" s="112">
        <f t="shared" si="7"/>
        <v>59</v>
      </c>
      <c r="J91" s="213">
        <f t="shared" si="7"/>
        <v>449</v>
      </c>
    </row>
    <row r="92" spans="2:10" ht="15" customHeight="1">
      <c r="B92" s="114">
        <v>2014</v>
      </c>
      <c r="C92" s="112">
        <f>C189</f>
        <v>87</v>
      </c>
      <c r="D92" s="112">
        <f t="shared" ref="D92:J92" si="8">D189</f>
        <v>80</v>
      </c>
      <c r="E92" s="112">
        <f t="shared" si="8"/>
        <v>70</v>
      </c>
      <c r="F92" s="112">
        <f t="shared" si="8"/>
        <v>59</v>
      </c>
      <c r="G92" s="112">
        <f t="shared" si="8"/>
        <v>71</v>
      </c>
      <c r="H92" s="112">
        <f t="shared" si="8"/>
        <v>49</v>
      </c>
      <c r="I92" s="112">
        <f t="shared" si="8"/>
        <v>55</v>
      </c>
      <c r="J92" s="213">
        <f t="shared" si="8"/>
        <v>471</v>
      </c>
    </row>
    <row r="93" spans="2:10" ht="15" customHeight="1">
      <c r="B93" s="114">
        <v>2015</v>
      </c>
      <c r="C93" s="112">
        <f>C190</f>
        <v>74</v>
      </c>
      <c r="D93" s="112">
        <f t="shared" ref="D93:J93" si="9">D190</f>
        <v>83</v>
      </c>
      <c r="E93" s="112">
        <f t="shared" si="9"/>
        <v>76</v>
      </c>
      <c r="F93" s="112">
        <f t="shared" si="9"/>
        <v>65</v>
      </c>
      <c r="G93" s="112">
        <f t="shared" si="9"/>
        <v>61</v>
      </c>
      <c r="H93" s="112">
        <f t="shared" si="9"/>
        <v>69</v>
      </c>
      <c r="I93" s="112">
        <f t="shared" si="9"/>
        <v>47</v>
      </c>
      <c r="J93" s="213">
        <f t="shared" si="9"/>
        <v>475</v>
      </c>
    </row>
    <row r="94" spans="2:10" ht="15" customHeight="1">
      <c r="B94" s="114">
        <v>2016</v>
      </c>
      <c r="C94" s="112">
        <f>C191</f>
        <v>57</v>
      </c>
      <c r="D94" s="112">
        <f t="shared" ref="D94:J94" si="10">D191</f>
        <v>74</v>
      </c>
      <c r="E94" s="112">
        <f t="shared" si="10"/>
        <v>80</v>
      </c>
      <c r="F94" s="112">
        <f t="shared" si="10"/>
        <v>75</v>
      </c>
      <c r="G94" s="112">
        <f t="shared" si="10"/>
        <v>65</v>
      </c>
      <c r="H94" s="112">
        <f t="shared" si="10"/>
        <v>62</v>
      </c>
      <c r="I94" s="112">
        <f t="shared" si="10"/>
        <v>69</v>
      </c>
      <c r="J94" s="213">
        <f t="shared" si="10"/>
        <v>482</v>
      </c>
    </row>
    <row r="95" spans="2:10" ht="15" customHeight="1">
      <c r="B95" s="114">
        <v>2017</v>
      </c>
      <c r="C95" s="112">
        <f>C192</f>
        <v>75</v>
      </c>
      <c r="D95" s="112">
        <f t="shared" ref="D95:J95" si="11">D192</f>
        <v>58</v>
      </c>
      <c r="E95" s="112">
        <f t="shared" si="11"/>
        <v>73</v>
      </c>
      <c r="F95" s="112">
        <f t="shared" si="11"/>
        <v>82</v>
      </c>
      <c r="G95" s="112">
        <f t="shared" si="11"/>
        <v>75</v>
      </c>
      <c r="H95" s="112">
        <f t="shared" si="11"/>
        <v>66</v>
      </c>
      <c r="I95" s="112">
        <f t="shared" si="11"/>
        <v>58</v>
      </c>
      <c r="J95" s="213">
        <f t="shared" si="11"/>
        <v>487</v>
      </c>
    </row>
    <row r="96" spans="2:10" ht="15" customHeight="1">
      <c r="B96" s="307">
        <v>2018</v>
      </c>
      <c r="C96" s="112">
        <f t="shared" ref="C96:J96" si="12">C193</f>
        <v>85</v>
      </c>
      <c r="D96" s="112">
        <f t="shared" si="12"/>
        <v>75</v>
      </c>
      <c r="E96" s="112">
        <f t="shared" si="12"/>
        <v>59</v>
      </c>
      <c r="F96" s="112">
        <f t="shared" si="12"/>
        <v>73</v>
      </c>
      <c r="G96" s="112">
        <f t="shared" si="12"/>
        <v>79</v>
      </c>
      <c r="H96" s="112">
        <f t="shared" si="12"/>
        <v>74</v>
      </c>
      <c r="I96" s="112">
        <f t="shared" si="12"/>
        <v>62</v>
      </c>
      <c r="J96" s="213">
        <f t="shared" si="12"/>
        <v>507</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0</v>
      </c>
      <c r="E98" s="210">
        <f t="shared" ref="E98:I98" si="13">MEDIAN(((D91-E92)/D91),((D92-E93)/D92),((D93-E94)/D93),((D94-E95)/D94),((D95-E96)/D95))</f>
        <v>2.7777777777777776E-2</v>
      </c>
      <c r="F98" s="210">
        <f t="shared" si="13"/>
        <v>1.3157894736842105E-2</v>
      </c>
      <c r="G98" s="210">
        <f t="shared" si="13"/>
        <v>0</v>
      </c>
      <c r="H98" s="210">
        <f t="shared" si="13"/>
        <v>-1.5384615384615385E-2</v>
      </c>
      <c r="I98" s="210">
        <f t="shared" si="13"/>
        <v>4.0816326530612242E-2</v>
      </c>
    </row>
    <row r="99" spans="2:10" ht="18.75">
      <c r="B99" s="59"/>
      <c r="C99" s="60"/>
      <c r="D99" s="61"/>
      <c r="E99" s="61"/>
      <c r="F99" s="61"/>
      <c r="G99" s="61"/>
      <c r="H99" s="61"/>
      <c r="I99" s="61"/>
      <c r="J99" s="58"/>
    </row>
    <row r="100" spans="2:10">
      <c r="B100" s="15" t="str">
        <f>"Table 4B: "&amp;E3&amp;" Projected Roll by Stage (incorporating Projected P1 and Drop-Off Rates), 2019-2032"</f>
        <v>Table 4B: Gylemuir Primary School Projected Roll by Stage (incorporating Projected P1 and Drop-Off Rates), 2019-2032</v>
      </c>
      <c r="F100" s="14"/>
      <c r="G100" s="14"/>
    </row>
    <row r="101" spans="2:10" ht="12.75">
      <c r="F101" s="14"/>
      <c r="G101" s="14"/>
    </row>
    <row r="102" spans="2:10">
      <c r="B102" s="115"/>
      <c r="C102" s="109" t="s">
        <v>1</v>
      </c>
      <c r="D102" s="109" t="s">
        <v>2</v>
      </c>
      <c r="E102" s="109" t="s">
        <v>3</v>
      </c>
      <c r="F102" s="109" t="s">
        <v>4</v>
      </c>
      <c r="G102" s="109" t="s">
        <v>5</v>
      </c>
      <c r="H102" s="109" t="s">
        <v>6</v>
      </c>
      <c r="I102" s="109" t="s">
        <v>7</v>
      </c>
      <c r="J102" s="109" t="s">
        <v>8</v>
      </c>
    </row>
    <row r="103" spans="2:10">
      <c r="B103" s="114">
        <v>2019</v>
      </c>
      <c r="C103" s="113">
        <f t="shared" ref="C103:C116" si="14">J70</f>
        <v>66</v>
      </c>
      <c r="D103" s="324">
        <f>ROUND((C96)-(C96*$D$98),0)</f>
        <v>85</v>
      </c>
      <c r="E103" s="324">
        <f>ROUND((D96)-(D96*$E$98),0)</f>
        <v>73</v>
      </c>
      <c r="F103" s="324">
        <f>ROUND((E96)-(E96*$F$98),0)</f>
        <v>58</v>
      </c>
      <c r="G103" s="324">
        <f>ROUND((F96)-(F96*$G$98),0)</f>
        <v>73</v>
      </c>
      <c r="H103" s="324">
        <f>ROUND((G96)-(G96*$H$98),0)</f>
        <v>80</v>
      </c>
      <c r="I103" s="324">
        <f>ROUND((H96)-(H96*$I$98),0)</f>
        <v>71</v>
      </c>
      <c r="J103" s="111">
        <f t="shared" ref="J103:J116" si="15">SUM(C103:I103)</f>
        <v>506</v>
      </c>
    </row>
    <row r="104" spans="2:10">
      <c r="B104" s="114">
        <v>2020</v>
      </c>
      <c r="C104" s="113">
        <f t="shared" si="14"/>
        <v>66</v>
      </c>
      <c r="D104" s="324">
        <f>ROUND((C103-E50)-(C103*$D$98),0)</f>
        <v>64</v>
      </c>
      <c r="E104" s="112">
        <f t="shared" ref="E104:E116" si="16">ROUND((D103)-(D103*$E$98),0)</f>
        <v>83</v>
      </c>
      <c r="F104" s="112">
        <f t="shared" ref="F104:F116" si="17">ROUND((E103)-(E103*$F$98),0)</f>
        <v>72</v>
      </c>
      <c r="G104" s="112">
        <f t="shared" ref="G104:G116" si="18">ROUND((F103)-(F103*$G$98),0)</f>
        <v>58</v>
      </c>
      <c r="H104" s="112">
        <f t="shared" ref="H104:H116" si="19">ROUND((G103)-(G103*$H$98),0)</f>
        <v>74</v>
      </c>
      <c r="I104" s="112">
        <f t="shared" ref="I104:I116" si="20">ROUND((H103)-(H103*$I$98),0)</f>
        <v>77</v>
      </c>
      <c r="J104" s="111">
        <f t="shared" si="15"/>
        <v>494</v>
      </c>
    </row>
    <row r="105" spans="2:10">
      <c r="B105" s="114">
        <v>2021</v>
      </c>
      <c r="C105" s="113">
        <f t="shared" si="14"/>
        <v>66</v>
      </c>
      <c r="D105" s="324">
        <f>ROUND((C104-F50)-(C104*$D$98),0)</f>
        <v>64</v>
      </c>
      <c r="E105" s="112">
        <f t="shared" si="16"/>
        <v>62</v>
      </c>
      <c r="F105" s="112">
        <f t="shared" si="17"/>
        <v>82</v>
      </c>
      <c r="G105" s="112">
        <f t="shared" si="18"/>
        <v>72</v>
      </c>
      <c r="H105" s="112">
        <f t="shared" si="19"/>
        <v>59</v>
      </c>
      <c r="I105" s="112">
        <f t="shared" si="20"/>
        <v>71</v>
      </c>
      <c r="J105" s="111">
        <f t="shared" si="15"/>
        <v>476</v>
      </c>
    </row>
    <row r="106" spans="2:10">
      <c r="B106" s="114">
        <v>2022</v>
      </c>
      <c r="C106" s="113">
        <f t="shared" si="14"/>
        <v>72</v>
      </c>
      <c r="D106" s="324">
        <f>ROUND((C105-G50)-(C105*$D$98),0)</f>
        <v>64</v>
      </c>
      <c r="E106" s="112">
        <f t="shared" si="16"/>
        <v>62</v>
      </c>
      <c r="F106" s="112">
        <f t="shared" si="17"/>
        <v>61</v>
      </c>
      <c r="G106" s="112">
        <f t="shared" si="18"/>
        <v>82</v>
      </c>
      <c r="H106" s="112">
        <f t="shared" si="19"/>
        <v>73</v>
      </c>
      <c r="I106" s="112">
        <f t="shared" si="20"/>
        <v>57</v>
      </c>
      <c r="J106" s="111">
        <f t="shared" si="15"/>
        <v>471</v>
      </c>
    </row>
    <row r="107" spans="2:10">
      <c r="B107" s="114">
        <v>2023</v>
      </c>
      <c r="C107" s="113">
        <f t="shared" si="14"/>
        <v>72</v>
      </c>
      <c r="D107" s="324">
        <f>ROUND((C106-H50)-(C106*$D$98),0)</f>
        <v>70</v>
      </c>
      <c r="E107" s="112">
        <f t="shared" si="16"/>
        <v>62</v>
      </c>
      <c r="F107" s="112">
        <f t="shared" si="17"/>
        <v>61</v>
      </c>
      <c r="G107" s="112">
        <f t="shared" si="18"/>
        <v>61</v>
      </c>
      <c r="H107" s="112">
        <f t="shared" si="19"/>
        <v>83</v>
      </c>
      <c r="I107" s="112">
        <f t="shared" si="20"/>
        <v>70</v>
      </c>
      <c r="J107" s="111">
        <f t="shared" si="15"/>
        <v>479</v>
      </c>
    </row>
    <row r="108" spans="2:10">
      <c r="B108" s="114">
        <v>2024</v>
      </c>
      <c r="C108" s="113">
        <f t="shared" si="14"/>
        <v>72</v>
      </c>
      <c r="D108" s="324">
        <f>ROUND((C107-I50)-(C107*$D$98),0)</f>
        <v>69</v>
      </c>
      <c r="E108" s="112">
        <f t="shared" si="16"/>
        <v>68</v>
      </c>
      <c r="F108" s="112">
        <f t="shared" si="17"/>
        <v>61</v>
      </c>
      <c r="G108" s="112">
        <f t="shared" si="18"/>
        <v>61</v>
      </c>
      <c r="H108" s="112">
        <f t="shared" si="19"/>
        <v>62</v>
      </c>
      <c r="I108" s="112">
        <f t="shared" si="20"/>
        <v>80</v>
      </c>
      <c r="J108" s="111">
        <f t="shared" si="15"/>
        <v>473</v>
      </c>
    </row>
    <row r="109" spans="2:10">
      <c r="B109" s="114">
        <v>2025</v>
      </c>
      <c r="C109" s="113">
        <f t="shared" si="14"/>
        <v>72</v>
      </c>
      <c r="D109" s="324">
        <f>ROUND((C108-J50)-(C108*$D$98),0)</f>
        <v>68</v>
      </c>
      <c r="E109" s="112">
        <f t="shared" si="16"/>
        <v>67</v>
      </c>
      <c r="F109" s="112">
        <f t="shared" si="17"/>
        <v>67</v>
      </c>
      <c r="G109" s="112">
        <f t="shared" si="18"/>
        <v>61</v>
      </c>
      <c r="H109" s="112">
        <f t="shared" si="19"/>
        <v>62</v>
      </c>
      <c r="I109" s="112">
        <f t="shared" si="20"/>
        <v>59</v>
      </c>
      <c r="J109" s="111">
        <f t="shared" si="15"/>
        <v>456</v>
      </c>
    </row>
    <row r="110" spans="2:10">
      <c r="B110" s="114">
        <v>2026</v>
      </c>
      <c r="C110" s="113">
        <f t="shared" si="14"/>
        <v>75</v>
      </c>
      <c r="D110" s="324">
        <f>ROUND((C109-K50)-(C109*$D$98),0)</f>
        <v>68</v>
      </c>
      <c r="E110" s="112">
        <f t="shared" si="16"/>
        <v>66</v>
      </c>
      <c r="F110" s="112">
        <f t="shared" si="17"/>
        <v>66</v>
      </c>
      <c r="G110" s="112">
        <f t="shared" si="18"/>
        <v>67</v>
      </c>
      <c r="H110" s="112">
        <f t="shared" si="19"/>
        <v>62</v>
      </c>
      <c r="I110" s="112">
        <f t="shared" si="20"/>
        <v>59</v>
      </c>
      <c r="J110" s="111">
        <f t="shared" si="15"/>
        <v>463</v>
      </c>
    </row>
    <row r="111" spans="2:10">
      <c r="B111" s="114">
        <v>2027</v>
      </c>
      <c r="C111" s="113">
        <f t="shared" si="14"/>
        <v>75</v>
      </c>
      <c r="D111" s="324">
        <f>ROUND((C110-L50)-(C110*$D$98),0)</f>
        <v>70</v>
      </c>
      <c r="E111" s="112">
        <f t="shared" si="16"/>
        <v>66</v>
      </c>
      <c r="F111" s="112">
        <f t="shared" si="17"/>
        <v>65</v>
      </c>
      <c r="G111" s="112">
        <f t="shared" si="18"/>
        <v>66</v>
      </c>
      <c r="H111" s="112">
        <f t="shared" si="19"/>
        <v>68</v>
      </c>
      <c r="I111" s="112">
        <f t="shared" si="20"/>
        <v>59</v>
      </c>
      <c r="J111" s="111">
        <f t="shared" si="15"/>
        <v>469</v>
      </c>
    </row>
    <row r="112" spans="2:10">
      <c r="B112" s="114">
        <v>2028</v>
      </c>
      <c r="C112" s="113">
        <f t="shared" si="14"/>
        <v>75</v>
      </c>
      <c r="D112" s="324">
        <f>ROUND((C111-M50)-(C111*$D$98),0)</f>
        <v>69</v>
      </c>
      <c r="E112" s="112">
        <f t="shared" si="16"/>
        <v>68</v>
      </c>
      <c r="F112" s="112">
        <f t="shared" si="17"/>
        <v>65</v>
      </c>
      <c r="G112" s="112">
        <f t="shared" si="18"/>
        <v>65</v>
      </c>
      <c r="H112" s="112">
        <f t="shared" si="19"/>
        <v>67</v>
      </c>
      <c r="I112" s="112">
        <f t="shared" si="20"/>
        <v>65</v>
      </c>
      <c r="J112" s="111">
        <f t="shared" si="15"/>
        <v>474</v>
      </c>
    </row>
    <row r="113" spans="2:10" ht="15" customHeight="1">
      <c r="B113" s="114">
        <v>2029</v>
      </c>
      <c r="C113" s="113">
        <f t="shared" si="14"/>
        <v>75</v>
      </c>
      <c r="D113" s="324">
        <f>ROUND((C112-N50)-(C112*$D$98),0)</f>
        <v>69</v>
      </c>
      <c r="E113" s="112">
        <f t="shared" si="16"/>
        <v>67</v>
      </c>
      <c r="F113" s="112">
        <f t="shared" si="17"/>
        <v>67</v>
      </c>
      <c r="G113" s="112">
        <f t="shared" si="18"/>
        <v>65</v>
      </c>
      <c r="H113" s="112">
        <f t="shared" si="19"/>
        <v>66</v>
      </c>
      <c r="I113" s="112">
        <f t="shared" si="20"/>
        <v>64</v>
      </c>
      <c r="J113" s="111">
        <f t="shared" si="15"/>
        <v>473</v>
      </c>
    </row>
    <row r="114" spans="2:10" ht="15" customHeight="1">
      <c r="B114" s="114">
        <v>2030</v>
      </c>
      <c r="C114" s="113">
        <f t="shared" si="14"/>
        <v>83.901513351273479</v>
      </c>
      <c r="D114" s="324">
        <f>ROUND((C113-O50)-(C113*$D$98),0)</f>
        <v>68</v>
      </c>
      <c r="E114" s="112">
        <f t="shared" si="16"/>
        <v>67</v>
      </c>
      <c r="F114" s="112">
        <f t="shared" si="17"/>
        <v>66</v>
      </c>
      <c r="G114" s="112">
        <f t="shared" si="18"/>
        <v>67</v>
      </c>
      <c r="H114" s="112">
        <f t="shared" si="19"/>
        <v>66</v>
      </c>
      <c r="I114" s="112">
        <f t="shared" si="20"/>
        <v>63</v>
      </c>
      <c r="J114" s="111">
        <f t="shared" si="15"/>
        <v>480.90151335127348</v>
      </c>
    </row>
    <row r="115" spans="2:10" ht="15" customHeight="1">
      <c r="B115" s="114">
        <v>2031</v>
      </c>
      <c r="C115" s="113">
        <f t="shared" si="14"/>
        <v>83.901513351273479</v>
      </c>
      <c r="D115" s="324">
        <f>ROUND((C114-P50)-(C114*$D$98),0)</f>
        <v>77</v>
      </c>
      <c r="E115" s="112">
        <f t="shared" si="16"/>
        <v>66</v>
      </c>
      <c r="F115" s="112">
        <f t="shared" si="17"/>
        <v>66</v>
      </c>
      <c r="G115" s="112">
        <f t="shared" si="18"/>
        <v>66</v>
      </c>
      <c r="H115" s="112">
        <f t="shared" si="19"/>
        <v>68</v>
      </c>
      <c r="I115" s="112">
        <f t="shared" si="20"/>
        <v>63</v>
      </c>
      <c r="J115" s="111">
        <f t="shared" si="15"/>
        <v>489.90151335127348</v>
      </c>
    </row>
    <row r="116" spans="2:10" ht="15" customHeight="1">
      <c r="B116" s="114">
        <v>2032</v>
      </c>
      <c r="C116" s="113">
        <f t="shared" si="14"/>
        <v>83.901513351273479</v>
      </c>
      <c r="D116" s="324">
        <f>ROUND((C115-Q50)-(C115*$D$98),0)</f>
        <v>77</v>
      </c>
      <c r="E116" s="112">
        <f t="shared" si="16"/>
        <v>75</v>
      </c>
      <c r="F116" s="112">
        <f t="shared" si="17"/>
        <v>65</v>
      </c>
      <c r="G116" s="112">
        <f t="shared" si="18"/>
        <v>66</v>
      </c>
      <c r="H116" s="112">
        <f t="shared" si="19"/>
        <v>67</v>
      </c>
      <c r="I116" s="112">
        <f t="shared" si="20"/>
        <v>65</v>
      </c>
      <c r="J116" s="111">
        <f t="shared" si="15"/>
        <v>498.90151335127348</v>
      </c>
    </row>
    <row r="117" spans="2:10" ht="15" hidden="1" customHeight="1">
      <c r="F117" s="14"/>
      <c r="G117" s="14"/>
    </row>
    <row r="118" spans="2:10" ht="15" hidden="1" customHeight="1">
      <c r="B118" s="15" t="str">
        <f>"Table 4C: "&amp;E3&amp;" Projected Pupil Generation from Housing Development, 2019-2032"</f>
        <v>Table 4C: Gylemuir Primary School Projected Pupil Generation from Housing Development, 2019-2032</v>
      </c>
      <c r="F118" s="14"/>
      <c r="G118" s="14"/>
    </row>
    <row r="119" spans="2:10" ht="15" hidden="1" customHeight="1">
      <c r="F119" s="14"/>
      <c r="G119" s="14"/>
    </row>
    <row r="120" spans="2:10" ht="15" hidden="1" customHeight="1">
      <c r="B120" s="115"/>
      <c r="C120" s="109" t="s">
        <v>1</v>
      </c>
      <c r="D120" s="109" t="s">
        <v>2</v>
      </c>
      <c r="E120" s="109" t="s">
        <v>3</v>
      </c>
      <c r="F120" s="109" t="s">
        <v>4</v>
      </c>
      <c r="G120" s="109" t="s">
        <v>5</v>
      </c>
      <c r="H120" s="109" t="s">
        <v>6</v>
      </c>
      <c r="I120" s="109" t="s">
        <v>7</v>
      </c>
      <c r="J120" s="109" t="s">
        <v>8</v>
      </c>
    </row>
    <row r="121" spans="2:10" ht="15" hidden="1" customHeight="1">
      <c r="B121" s="114">
        <v>2019</v>
      </c>
      <c r="C121" s="116" t="s">
        <v>97</v>
      </c>
      <c r="D121" s="112">
        <f>VLOOKUP($E$3,'Housing Generation'!$A$3:$BE$90,11,FALSE)</f>
        <v>2</v>
      </c>
      <c r="E121" s="112">
        <f>VLOOKUP($E$3,'Housing Generation'!$A$3:$BE$90,12,FALSE)</f>
        <v>2</v>
      </c>
      <c r="F121" s="112">
        <f>VLOOKUP($E$3,'Housing Generation'!$A$3:$BE$90,13,FALSE)</f>
        <v>2</v>
      </c>
      <c r="G121" s="112">
        <f>VLOOKUP($E$3,'Housing Generation'!$A$3:$BE$90,14,FALSE)</f>
        <v>2</v>
      </c>
      <c r="H121" s="112">
        <f>VLOOKUP($E$3,'Housing Generation'!$A$3:$BE$90,15,FALSE)</f>
        <v>2</v>
      </c>
      <c r="I121" s="112">
        <f>VLOOKUP($E$3,'Housing Generation'!$A$3:$BE$90,16,FALSE)</f>
        <v>1</v>
      </c>
      <c r="J121" s="111">
        <f t="shared" ref="J121:J134" si="21">SUM(D121:I121)</f>
        <v>11</v>
      </c>
    </row>
    <row r="122" spans="2:10" ht="15" hidden="1" customHeight="1">
      <c r="B122" s="114">
        <v>2020</v>
      </c>
      <c r="C122" s="116" t="s">
        <v>97</v>
      </c>
      <c r="D122" s="112">
        <f>VLOOKUP($E$3,'Housing Generation'!$A$3:$BE$90,19,FALSE)</f>
        <v>2</v>
      </c>
      <c r="E122" s="112">
        <f>VLOOKUP($E$3,'Housing Generation'!$A$3:$BE$90,20,FALSE)</f>
        <v>2</v>
      </c>
      <c r="F122" s="112">
        <f>VLOOKUP($E$3,'Housing Generation'!$A$3:$BE$90,21,FALSE)</f>
        <v>2</v>
      </c>
      <c r="G122" s="112">
        <f>VLOOKUP($E$3,'Housing Generation'!$A$3:$BE$90,22,FALSE)</f>
        <v>2</v>
      </c>
      <c r="H122" s="112">
        <f>VLOOKUP($E$3,'Housing Generation'!$A$3:$BE$90,23,FALSE)</f>
        <v>2</v>
      </c>
      <c r="I122" s="112">
        <f>VLOOKUP($E$3,'Housing Generation'!$A$3:$BE$90,24,FALSE)</f>
        <v>1</v>
      </c>
      <c r="J122" s="111">
        <f t="shared" si="21"/>
        <v>11</v>
      </c>
    </row>
    <row r="123" spans="2:10" ht="15" hidden="1" customHeight="1">
      <c r="B123" s="114">
        <v>2021</v>
      </c>
      <c r="C123" s="116" t="s">
        <v>97</v>
      </c>
      <c r="D123" s="112">
        <f>VLOOKUP($E$3,'Housing Generation'!$A$3:$BE$90,27,FALSE)</f>
        <v>2</v>
      </c>
      <c r="E123" s="112">
        <f>VLOOKUP($E$3,'Housing Generation'!$A$3:$BE$90,28,FALSE)</f>
        <v>2</v>
      </c>
      <c r="F123" s="112">
        <f>VLOOKUP($E$3,'Housing Generation'!$A$3:$BE$90,29,FALSE)</f>
        <v>2</v>
      </c>
      <c r="G123" s="112">
        <f>VLOOKUP($E$3,'Housing Generation'!$A$3:$BE$90,30,FALSE)</f>
        <v>2</v>
      </c>
      <c r="H123" s="112">
        <f>VLOOKUP($E$3,'Housing Generation'!$A$3:$BE$90,31,FALSE)</f>
        <v>2</v>
      </c>
      <c r="I123" s="112">
        <f>VLOOKUP($E$3,'Housing Generation'!$A$3:$BE$90,32,FALSE)</f>
        <v>1</v>
      </c>
      <c r="J123" s="111">
        <f t="shared" si="21"/>
        <v>11</v>
      </c>
    </row>
    <row r="124" spans="2:10" ht="15" hidden="1" customHeight="1">
      <c r="B124" s="114">
        <v>2022</v>
      </c>
      <c r="C124" s="116" t="s">
        <v>97</v>
      </c>
      <c r="D124" s="112">
        <f>VLOOKUP($E$3,'Housing Generation'!$A$3:$BE$90,35,FALSE)</f>
        <v>2</v>
      </c>
      <c r="E124" s="112">
        <f>VLOOKUP($E$3,'Housing Generation'!$A$3:$BE$90,36,FALSE)</f>
        <v>2</v>
      </c>
      <c r="F124" s="112">
        <f>VLOOKUP($E$3,'Housing Generation'!$A$3:$BE$90,37,FALSE)</f>
        <v>2</v>
      </c>
      <c r="G124" s="112">
        <f>VLOOKUP($E$3,'Housing Generation'!$A$3:$BE$90,38,FALSE)</f>
        <v>2</v>
      </c>
      <c r="H124" s="112">
        <f>VLOOKUP($E$3,'Housing Generation'!$A$3:$BE$90,39,FALSE)</f>
        <v>2</v>
      </c>
      <c r="I124" s="112">
        <f>VLOOKUP($E$3,'Housing Generation'!$A$3:$BE$90,40,FALSE)</f>
        <v>1</v>
      </c>
      <c r="J124" s="111">
        <f t="shared" si="21"/>
        <v>11</v>
      </c>
    </row>
    <row r="125" spans="2:10" ht="15" hidden="1" customHeight="1">
      <c r="B125" s="114">
        <v>2023</v>
      </c>
      <c r="C125" s="116" t="s">
        <v>97</v>
      </c>
      <c r="D125" s="112">
        <f>VLOOKUP($E$3,'Housing Generation'!$A$3:$BE$90,43,FALSE)</f>
        <v>2</v>
      </c>
      <c r="E125" s="112">
        <f>VLOOKUP($E$3,'Housing Generation'!$A$3:$BE$90,44,FALSE)</f>
        <v>2</v>
      </c>
      <c r="F125" s="112">
        <f>VLOOKUP($E$3,'Housing Generation'!$A$3:$BE$90,45,FALSE)</f>
        <v>2</v>
      </c>
      <c r="G125" s="112">
        <f>VLOOKUP($E$3,'Housing Generation'!$A$3:$BE$90,46,FALSE)</f>
        <v>2</v>
      </c>
      <c r="H125" s="112">
        <f>VLOOKUP($E$3,'Housing Generation'!$A$3:$BE$90,47,FALSE)</f>
        <v>2</v>
      </c>
      <c r="I125" s="112">
        <f>VLOOKUP($E$3,'Housing Generation'!$A$3:$BE$90,48,FALSE)</f>
        <v>1</v>
      </c>
      <c r="J125" s="111">
        <f t="shared" si="21"/>
        <v>11</v>
      </c>
    </row>
    <row r="126" spans="2:10" ht="15" hidden="1" customHeight="1">
      <c r="B126" s="114">
        <v>2024</v>
      </c>
      <c r="C126" s="116" t="s">
        <v>97</v>
      </c>
      <c r="D126" s="112">
        <f>VLOOKUP($E$3,'Housing Generation'!$A$3:$BE$90,51,FALSE)</f>
        <v>3</v>
      </c>
      <c r="E126" s="112">
        <f>VLOOKUP($E$3,'Housing Generation'!$A$3:$BE$90,52,FALSE)</f>
        <v>3</v>
      </c>
      <c r="F126" s="112">
        <f>VLOOKUP($E$3,'Housing Generation'!$A$3:$BE$90,53,FALSE)</f>
        <v>3</v>
      </c>
      <c r="G126" s="112">
        <f>VLOOKUP($E$3,'Housing Generation'!$A$3:$BE$90,54,FALSE)</f>
        <v>2</v>
      </c>
      <c r="H126" s="112">
        <f>VLOOKUP($E$3,'Housing Generation'!$A$3:$BE$90,55,FALSE)</f>
        <v>2</v>
      </c>
      <c r="I126" s="112">
        <f>VLOOKUP($E$3,'Housing Generation'!$A$3:$BE$90,56,FALSE)</f>
        <v>2</v>
      </c>
      <c r="J126" s="111">
        <f t="shared" si="21"/>
        <v>15</v>
      </c>
    </row>
    <row r="127" spans="2:10" ht="15" hidden="1" customHeight="1">
      <c r="B127" s="114">
        <v>2025</v>
      </c>
      <c r="C127" s="240" t="s">
        <v>97</v>
      </c>
      <c r="D127" s="112">
        <f>VLOOKUP($E$3,'Housing Generation'!$A$3:$CK$90,59,FALSE)</f>
        <v>4</v>
      </c>
      <c r="E127" s="112">
        <f>VLOOKUP($E$3,'Housing Generation'!$A$3:$CK$90,60,FALSE)</f>
        <v>3</v>
      </c>
      <c r="F127" s="112">
        <f>VLOOKUP($E$3,'Housing Generation'!$A$3:$CK$90,61,FALSE)</f>
        <v>3</v>
      </c>
      <c r="G127" s="112">
        <f>VLOOKUP($E$3,'Housing Generation'!$A$3:$CK$90,62,FALSE)</f>
        <v>3</v>
      </c>
      <c r="H127" s="112">
        <f>VLOOKUP($E$3,'Housing Generation'!$A$3:$CK$90,63,FALSE)</f>
        <v>3</v>
      </c>
      <c r="I127" s="112">
        <f>VLOOKUP($E$3,'Housing Generation'!$A$3:$CK$90,64,FALSE)</f>
        <v>3</v>
      </c>
      <c r="J127" s="111">
        <f t="shared" si="21"/>
        <v>19</v>
      </c>
    </row>
    <row r="128" spans="2:10" ht="15" hidden="1" customHeight="1">
      <c r="B128" s="114">
        <v>2026</v>
      </c>
      <c r="C128" s="240" t="s">
        <v>97</v>
      </c>
      <c r="D128" s="112">
        <f>VLOOKUP($E$3,'Housing Generation'!$A$3:$CK$90,67,FALSE)</f>
        <v>4</v>
      </c>
      <c r="E128" s="112">
        <f>VLOOKUP($E$3,'Housing Generation'!$A$3:$CK$90,68,FALSE)</f>
        <v>4</v>
      </c>
      <c r="F128" s="112">
        <f>VLOOKUP($E$3,'Housing Generation'!$A$3:$CK$90,69,FALSE)</f>
        <v>4</v>
      </c>
      <c r="G128" s="112">
        <f>VLOOKUP($E$3,'Housing Generation'!$A$3:$CK$90,70,FALSE)</f>
        <v>4</v>
      </c>
      <c r="H128" s="112">
        <f>VLOOKUP($E$3,'Housing Generation'!$A$3:$CK$90,71,FALSE)</f>
        <v>4</v>
      </c>
      <c r="I128" s="112">
        <f>VLOOKUP($E$3,'Housing Generation'!$A$3:$CK$90,72,FALSE)</f>
        <v>4</v>
      </c>
      <c r="J128" s="111">
        <f t="shared" si="21"/>
        <v>24</v>
      </c>
    </row>
    <row r="129" spans="2:10" ht="15" hidden="1" customHeight="1">
      <c r="B129" s="114">
        <v>2027</v>
      </c>
      <c r="C129" s="240" t="s">
        <v>97</v>
      </c>
      <c r="D129" s="112">
        <f>VLOOKUP($E$3,'Housing Generation'!$A$3:$CK$90,75,FALSE)</f>
        <v>5</v>
      </c>
      <c r="E129" s="112">
        <f>VLOOKUP($E$3,'Housing Generation'!$A$3:$CK$90,76,FALSE)</f>
        <v>5</v>
      </c>
      <c r="F129" s="112">
        <f>VLOOKUP($E$3,'Housing Generation'!$A$3:$CK$90,77,FALSE)</f>
        <v>5</v>
      </c>
      <c r="G129" s="112">
        <f>VLOOKUP($E$3,'Housing Generation'!$A$3:$CK$90,78,FALSE)</f>
        <v>5</v>
      </c>
      <c r="H129" s="112">
        <f>VLOOKUP($E$3,'Housing Generation'!$A$3:$CK$90,79,FALSE)</f>
        <v>4</v>
      </c>
      <c r="I129" s="112">
        <f>VLOOKUP($E$3,'Housing Generation'!$A$3:$CK$90,80,FALSE)</f>
        <v>4</v>
      </c>
      <c r="J129" s="111">
        <f t="shared" si="21"/>
        <v>28</v>
      </c>
    </row>
    <row r="130" spans="2:10" ht="15" customHeight="1">
      <c r="B130" s="114">
        <v>2028</v>
      </c>
      <c r="C130" s="289" t="s">
        <v>97</v>
      </c>
      <c r="D130" s="112">
        <f>VLOOKUP($E$3,'Housing Generation'!$A$3:$CK$90,83,FALSE)</f>
        <v>6</v>
      </c>
      <c r="E130" s="112">
        <f>VLOOKUP($E$3,'Housing Generation'!$A$3:$CK$90,84,FALSE)</f>
        <v>6</v>
      </c>
      <c r="F130" s="112">
        <f>VLOOKUP($E$3,'Housing Generation'!$A$3:$CK$90,85,FALSE)</f>
        <v>5</v>
      </c>
      <c r="G130" s="112">
        <f>VLOOKUP($E$3,'Housing Generation'!$A$3:$CK$90,86,FALSE)</f>
        <v>5</v>
      </c>
      <c r="H130" s="112">
        <f>VLOOKUP($E$3,'Housing Generation'!$A$3:$CK$90,87,FALSE)</f>
        <v>5</v>
      </c>
      <c r="I130" s="112">
        <f>VLOOKUP($E$3,'Housing Generation'!$A$3:$CK$90,88,FALSE)</f>
        <v>5</v>
      </c>
      <c r="J130" s="111">
        <f t="shared" si="21"/>
        <v>32</v>
      </c>
    </row>
    <row r="131" spans="2:10" ht="15" customHeight="1">
      <c r="B131" s="114">
        <v>2029</v>
      </c>
      <c r="C131" s="289" t="s">
        <v>97</v>
      </c>
      <c r="D131" s="112">
        <f>VLOOKUP($E$3,'Housing Generation'!$A$3:$DQ$90,91,FALSE)</f>
        <v>6</v>
      </c>
      <c r="E131" s="112">
        <f>VLOOKUP($E$3,'Housing Generation'!$A$3:$DQ$90,92,FALSE)</f>
        <v>6</v>
      </c>
      <c r="F131" s="112">
        <f>VLOOKUP($E$3,'Housing Generation'!$A$3:$DQ$90,93,FALSE)</f>
        <v>6</v>
      </c>
      <c r="G131" s="112">
        <f>VLOOKUP($E$3,'Housing Generation'!$A$3:$DQ$90,94,FALSE)</f>
        <v>6</v>
      </c>
      <c r="H131" s="112">
        <f>VLOOKUP($E$3,'Housing Generation'!$A$3:$DQ$90,95,FALSE)</f>
        <v>6</v>
      </c>
      <c r="I131" s="112">
        <f>VLOOKUP($E$3,'Housing Generation'!$A$3:$DQ$90,96,FALSE)</f>
        <v>5</v>
      </c>
      <c r="J131" s="111">
        <f t="shared" si="21"/>
        <v>35</v>
      </c>
    </row>
    <row r="132" spans="2:10" ht="15" customHeight="1">
      <c r="B132" s="114">
        <v>2030</v>
      </c>
      <c r="C132" s="289" t="s">
        <v>97</v>
      </c>
      <c r="D132" s="112">
        <f>VLOOKUP($E$3,'Housing Generation'!$A$3:$DQ$90,99,FALSE)</f>
        <v>6</v>
      </c>
      <c r="E132" s="112">
        <f>VLOOKUP($E$3,'Housing Generation'!$A$3:$DQ$90,100,FALSE)</f>
        <v>6</v>
      </c>
      <c r="F132" s="112">
        <f>VLOOKUP($E$3,'Housing Generation'!$A$3:$DQ$90,101,FALSE)</f>
        <v>6</v>
      </c>
      <c r="G132" s="112">
        <f>VLOOKUP($E$3,'Housing Generation'!$A$3:$DQ$90,102,FALSE)</f>
        <v>6</v>
      </c>
      <c r="H132" s="112">
        <f>VLOOKUP($E$3,'Housing Generation'!$A$3:$DQ$90,103,FALSE)</f>
        <v>6</v>
      </c>
      <c r="I132" s="112">
        <f>VLOOKUP($E$3,'Housing Generation'!$A$3:$DQ$90,104,FALSE)</f>
        <v>6</v>
      </c>
      <c r="J132" s="111">
        <f t="shared" si="21"/>
        <v>36</v>
      </c>
    </row>
    <row r="133" spans="2:10" ht="15" customHeight="1">
      <c r="B133" s="114">
        <v>2031</v>
      </c>
      <c r="C133" s="289" t="s">
        <v>97</v>
      </c>
      <c r="D133" s="112">
        <f>VLOOKUP($E$3,'Housing Generation'!$A$3:$DQ$90,107,FALSE)</f>
        <v>7</v>
      </c>
      <c r="E133" s="112">
        <f>VLOOKUP($E$3,'Housing Generation'!$A$3:$DQ$90,108,FALSE)</f>
        <v>7</v>
      </c>
      <c r="F133" s="112">
        <f>VLOOKUP($E$3,'Housing Generation'!$A$3:$DQ$90,109,FALSE)</f>
        <v>7</v>
      </c>
      <c r="G133" s="112">
        <f>VLOOKUP($E$3,'Housing Generation'!$A$3:$DQ$90,110,FALSE)</f>
        <v>6</v>
      </c>
      <c r="H133" s="112">
        <f>VLOOKUP($E$3,'Housing Generation'!$A$3:$DQ$90,111,FALSE)</f>
        <v>6</v>
      </c>
      <c r="I133" s="112">
        <f>VLOOKUP($E$3,'Housing Generation'!$A$3:$DQ$90,112,FALSE)</f>
        <v>6</v>
      </c>
      <c r="J133" s="111">
        <f t="shared" si="21"/>
        <v>39</v>
      </c>
    </row>
    <row r="134" spans="2:10" ht="15" customHeight="1">
      <c r="B134" s="114">
        <v>2032</v>
      </c>
      <c r="C134" s="289" t="s">
        <v>97</v>
      </c>
      <c r="D134" s="112">
        <f>VLOOKUP($E$3,'Housing Generation'!$A$3:$DQ$90,115,FALSE)</f>
        <v>7</v>
      </c>
      <c r="E134" s="112">
        <f>VLOOKUP($E$3,'Housing Generation'!$A$3:$DQ$90,116,FALSE)</f>
        <v>7</v>
      </c>
      <c r="F134" s="112">
        <f>VLOOKUP($E$3,'Housing Generation'!$A$3:$DQ$90,117,FALSE)</f>
        <v>7</v>
      </c>
      <c r="G134" s="112">
        <f>VLOOKUP($E$3,'Housing Generation'!$A$3:$DQ$90,118,FALSE)</f>
        <v>7</v>
      </c>
      <c r="H134" s="112">
        <f>VLOOKUP($E$3,'Housing Generation'!$A$3:$DQ$90,119,FALSE)</f>
        <v>7</v>
      </c>
      <c r="I134" s="112">
        <f>VLOOKUP($E$3,'Housing Generation'!$A$3:$DQ$90,120,FALSE)</f>
        <v>6</v>
      </c>
      <c r="J134" s="111">
        <f t="shared" si="21"/>
        <v>41</v>
      </c>
    </row>
    <row r="135" spans="2:10" ht="15" hidden="1"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Gylemuir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66</v>
      </c>
      <c r="D139" s="112">
        <f t="shared" ref="D139:I152" si="23">D121+D103</f>
        <v>87</v>
      </c>
      <c r="E139" s="112">
        <f t="shared" si="23"/>
        <v>75</v>
      </c>
      <c r="F139" s="112">
        <f t="shared" si="23"/>
        <v>60</v>
      </c>
      <c r="G139" s="112">
        <f t="shared" si="23"/>
        <v>75</v>
      </c>
      <c r="H139" s="112">
        <f t="shared" si="23"/>
        <v>82</v>
      </c>
      <c r="I139" s="112">
        <f t="shared" si="23"/>
        <v>72</v>
      </c>
      <c r="J139" s="111">
        <f t="shared" ref="J139:J147" si="24">SUM(C139:I139)</f>
        <v>517</v>
      </c>
    </row>
    <row r="140" spans="2:10" ht="15" customHeight="1">
      <c r="B140" s="114">
        <v>2020</v>
      </c>
      <c r="C140" s="113">
        <f t="shared" si="22"/>
        <v>66</v>
      </c>
      <c r="D140" s="112">
        <f t="shared" si="23"/>
        <v>66</v>
      </c>
      <c r="E140" s="112">
        <f t="shared" si="23"/>
        <v>85</v>
      </c>
      <c r="F140" s="112">
        <f t="shared" si="23"/>
        <v>74</v>
      </c>
      <c r="G140" s="112">
        <f t="shared" si="23"/>
        <v>60</v>
      </c>
      <c r="H140" s="112">
        <f t="shared" si="23"/>
        <v>76</v>
      </c>
      <c r="I140" s="112">
        <f t="shared" si="23"/>
        <v>78</v>
      </c>
      <c r="J140" s="111">
        <f t="shared" si="24"/>
        <v>505</v>
      </c>
    </row>
    <row r="141" spans="2:10" ht="15" customHeight="1">
      <c r="B141" s="114">
        <v>2021</v>
      </c>
      <c r="C141" s="113">
        <f t="shared" si="22"/>
        <v>66</v>
      </c>
      <c r="D141" s="112">
        <f t="shared" si="23"/>
        <v>66</v>
      </c>
      <c r="E141" s="112">
        <f t="shared" si="23"/>
        <v>64</v>
      </c>
      <c r="F141" s="112">
        <f t="shared" si="23"/>
        <v>84</v>
      </c>
      <c r="G141" s="112">
        <f t="shared" si="23"/>
        <v>74</v>
      </c>
      <c r="H141" s="112">
        <f t="shared" si="23"/>
        <v>61</v>
      </c>
      <c r="I141" s="112">
        <f t="shared" si="23"/>
        <v>72</v>
      </c>
      <c r="J141" s="111">
        <f t="shared" si="24"/>
        <v>487</v>
      </c>
    </row>
    <row r="142" spans="2:10" ht="15" customHeight="1">
      <c r="B142" s="114">
        <v>2022</v>
      </c>
      <c r="C142" s="113">
        <f t="shared" si="22"/>
        <v>72</v>
      </c>
      <c r="D142" s="112">
        <f t="shared" si="23"/>
        <v>66</v>
      </c>
      <c r="E142" s="112">
        <f t="shared" si="23"/>
        <v>64</v>
      </c>
      <c r="F142" s="112">
        <f t="shared" si="23"/>
        <v>63</v>
      </c>
      <c r="G142" s="112">
        <f t="shared" si="23"/>
        <v>84</v>
      </c>
      <c r="H142" s="112">
        <f t="shared" si="23"/>
        <v>75</v>
      </c>
      <c r="I142" s="112">
        <f t="shared" si="23"/>
        <v>58</v>
      </c>
      <c r="J142" s="111">
        <f t="shared" si="24"/>
        <v>482</v>
      </c>
    </row>
    <row r="143" spans="2:10" ht="15" customHeight="1">
      <c r="B143" s="114">
        <v>2023</v>
      </c>
      <c r="C143" s="113">
        <f t="shared" si="22"/>
        <v>72</v>
      </c>
      <c r="D143" s="112">
        <f t="shared" si="23"/>
        <v>72</v>
      </c>
      <c r="E143" s="112">
        <f t="shared" si="23"/>
        <v>64</v>
      </c>
      <c r="F143" s="112">
        <f t="shared" si="23"/>
        <v>63</v>
      </c>
      <c r="G143" s="112">
        <f t="shared" si="23"/>
        <v>63</v>
      </c>
      <c r="H143" s="112">
        <f t="shared" si="23"/>
        <v>85</v>
      </c>
      <c r="I143" s="112">
        <f t="shared" si="23"/>
        <v>71</v>
      </c>
      <c r="J143" s="111">
        <f t="shared" si="24"/>
        <v>490</v>
      </c>
    </row>
    <row r="144" spans="2:10" ht="15" customHeight="1">
      <c r="B144" s="114">
        <v>2024</v>
      </c>
      <c r="C144" s="113">
        <f t="shared" si="22"/>
        <v>72</v>
      </c>
      <c r="D144" s="112">
        <f t="shared" si="23"/>
        <v>72</v>
      </c>
      <c r="E144" s="112">
        <f t="shared" si="23"/>
        <v>71</v>
      </c>
      <c r="F144" s="112">
        <f t="shared" si="23"/>
        <v>64</v>
      </c>
      <c r="G144" s="112">
        <f t="shared" si="23"/>
        <v>63</v>
      </c>
      <c r="H144" s="112">
        <f t="shared" si="23"/>
        <v>64</v>
      </c>
      <c r="I144" s="112">
        <f t="shared" si="23"/>
        <v>82</v>
      </c>
      <c r="J144" s="111">
        <f t="shared" si="24"/>
        <v>488</v>
      </c>
    </row>
    <row r="145" spans="2:16" ht="15" customHeight="1">
      <c r="B145" s="114">
        <v>2025</v>
      </c>
      <c r="C145" s="113">
        <f t="shared" si="22"/>
        <v>72</v>
      </c>
      <c r="D145" s="112">
        <f t="shared" si="23"/>
        <v>72</v>
      </c>
      <c r="E145" s="112">
        <f t="shared" si="23"/>
        <v>70</v>
      </c>
      <c r="F145" s="112">
        <f t="shared" si="23"/>
        <v>70</v>
      </c>
      <c r="G145" s="112">
        <f t="shared" si="23"/>
        <v>64</v>
      </c>
      <c r="H145" s="112">
        <f t="shared" si="23"/>
        <v>65</v>
      </c>
      <c r="I145" s="112">
        <f t="shared" si="23"/>
        <v>62</v>
      </c>
      <c r="J145" s="111">
        <f t="shared" si="24"/>
        <v>475</v>
      </c>
    </row>
    <row r="146" spans="2:16" ht="15" customHeight="1">
      <c r="B146" s="114">
        <v>2026</v>
      </c>
      <c r="C146" s="113">
        <f t="shared" si="22"/>
        <v>75</v>
      </c>
      <c r="D146" s="112">
        <f t="shared" si="23"/>
        <v>72</v>
      </c>
      <c r="E146" s="112">
        <f t="shared" si="23"/>
        <v>70</v>
      </c>
      <c r="F146" s="112">
        <f t="shared" si="23"/>
        <v>70</v>
      </c>
      <c r="G146" s="112">
        <f t="shared" si="23"/>
        <v>71</v>
      </c>
      <c r="H146" s="112">
        <f t="shared" si="23"/>
        <v>66</v>
      </c>
      <c r="I146" s="112">
        <f t="shared" si="23"/>
        <v>63</v>
      </c>
      <c r="J146" s="111">
        <f t="shared" si="24"/>
        <v>487</v>
      </c>
    </row>
    <row r="147" spans="2:16" ht="15" customHeight="1">
      <c r="B147" s="114">
        <v>2027</v>
      </c>
      <c r="C147" s="113">
        <f t="shared" si="22"/>
        <v>75</v>
      </c>
      <c r="D147" s="112">
        <f t="shared" si="23"/>
        <v>75</v>
      </c>
      <c r="E147" s="112">
        <f t="shared" si="23"/>
        <v>71</v>
      </c>
      <c r="F147" s="112">
        <f t="shared" si="23"/>
        <v>70</v>
      </c>
      <c r="G147" s="112">
        <f t="shared" si="23"/>
        <v>71</v>
      </c>
      <c r="H147" s="112">
        <f t="shared" si="23"/>
        <v>72</v>
      </c>
      <c r="I147" s="112">
        <f t="shared" si="23"/>
        <v>63</v>
      </c>
      <c r="J147" s="111">
        <f t="shared" si="24"/>
        <v>497</v>
      </c>
    </row>
    <row r="148" spans="2:16" ht="15" customHeight="1">
      <c r="B148" s="114">
        <v>2028</v>
      </c>
      <c r="C148" s="113">
        <f t="shared" si="22"/>
        <v>75</v>
      </c>
      <c r="D148" s="112">
        <f t="shared" si="23"/>
        <v>75</v>
      </c>
      <c r="E148" s="112">
        <f t="shared" si="23"/>
        <v>74</v>
      </c>
      <c r="F148" s="112">
        <f t="shared" si="23"/>
        <v>70</v>
      </c>
      <c r="G148" s="112">
        <f t="shared" si="23"/>
        <v>70</v>
      </c>
      <c r="H148" s="112">
        <f t="shared" si="23"/>
        <v>72</v>
      </c>
      <c r="I148" s="112">
        <f t="shared" si="23"/>
        <v>70</v>
      </c>
      <c r="J148" s="111">
        <f t="shared" ref="J148:J152" si="25">SUM(C148:I148)</f>
        <v>506</v>
      </c>
    </row>
    <row r="149" spans="2:16" ht="15" customHeight="1">
      <c r="B149" s="114">
        <v>2029</v>
      </c>
      <c r="C149" s="113">
        <f t="shared" si="22"/>
        <v>75</v>
      </c>
      <c r="D149" s="112">
        <f t="shared" si="23"/>
        <v>75</v>
      </c>
      <c r="E149" s="112">
        <f t="shared" si="23"/>
        <v>73</v>
      </c>
      <c r="F149" s="112">
        <f t="shared" si="23"/>
        <v>73</v>
      </c>
      <c r="G149" s="112">
        <f t="shared" si="23"/>
        <v>71</v>
      </c>
      <c r="H149" s="112">
        <f t="shared" si="23"/>
        <v>72</v>
      </c>
      <c r="I149" s="112">
        <f t="shared" si="23"/>
        <v>69</v>
      </c>
      <c r="J149" s="111">
        <f t="shared" si="25"/>
        <v>508</v>
      </c>
    </row>
    <row r="150" spans="2:16" ht="15" customHeight="1">
      <c r="B150" s="114">
        <v>2030</v>
      </c>
      <c r="C150" s="113">
        <f t="shared" si="22"/>
        <v>83.901513351273479</v>
      </c>
      <c r="D150" s="112">
        <f t="shared" si="23"/>
        <v>74</v>
      </c>
      <c r="E150" s="112">
        <f t="shared" si="23"/>
        <v>73</v>
      </c>
      <c r="F150" s="112">
        <f t="shared" si="23"/>
        <v>72</v>
      </c>
      <c r="G150" s="112">
        <f t="shared" si="23"/>
        <v>73</v>
      </c>
      <c r="H150" s="112">
        <f t="shared" si="23"/>
        <v>72</v>
      </c>
      <c r="I150" s="112">
        <f t="shared" si="23"/>
        <v>69</v>
      </c>
      <c r="J150" s="111">
        <f t="shared" si="25"/>
        <v>516.90151335127348</v>
      </c>
    </row>
    <row r="151" spans="2:16" ht="15" customHeight="1">
      <c r="B151" s="114">
        <v>2031</v>
      </c>
      <c r="C151" s="113">
        <f t="shared" si="22"/>
        <v>83.901513351273479</v>
      </c>
      <c r="D151" s="112">
        <f t="shared" si="23"/>
        <v>84</v>
      </c>
      <c r="E151" s="112">
        <f t="shared" si="23"/>
        <v>73</v>
      </c>
      <c r="F151" s="112">
        <f t="shared" si="23"/>
        <v>73</v>
      </c>
      <c r="G151" s="112">
        <f t="shared" si="23"/>
        <v>72</v>
      </c>
      <c r="H151" s="112">
        <f t="shared" si="23"/>
        <v>74</v>
      </c>
      <c r="I151" s="112">
        <f t="shared" si="23"/>
        <v>69</v>
      </c>
      <c r="J151" s="111">
        <f t="shared" si="25"/>
        <v>528.90151335127348</v>
      </c>
    </row>
    <row r="152" spans="2:16" ht="15" customHeight="1">
      <c r="B152" s="114">
        <v>2032</v>
      </c>
      <c r="C152" s="113">
        <f t="shared" si="22"/>
        <v>83.901513351273479</v>
      </c>
      <c r="D152" s="112">
        <f t="shared" si="23"/>
        <v>84</v>
      </c>
      <c r="E152" s="112">
        <f t="shared" si="23"/>
        <v>82</v>
      </c>
      <c r="F152" s="112">
        <f t="shared" si="23"/>
        <v>72</v>
      </c>
      <c r="G152" s="112">
        <f t="shared" si="23"/>
        <v>73</v>
      </c>
      <c r="H152" s="112">
        <f t="shared" si="23"/>
        <v>74</v>
      </c>
      <c r="I152" s="112">
        <f t="shared" si="23"/>
        <v>71</v>
      </c>
      <c r="J152" s="111">
        <f t="shared" si="25"/>
        <v>539.90151335127348</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517</v>
      </c>
      <c r="D159" s="108">
        <f>J140</f>
        <v>505</v>
      </c>
      <c r="E159" s="108">
        <f>J141</f>
        <v>487</v>
      </c>
      <c r="F159" s="108">
        <f>J142</f>
        <v>482</v>
      </c>
      <c r="G159" s="108">
        <f>J143</f>
        <v>490</v>
      </c>
      <c r="H159" s="108">
        <f>J144</f>
        <v>488</v>
      </c>
      <c r="I159" s="108">
        <f>J145</f>
        <v>475</v>
      </c>
      <c r="J159" s="108">
        <f>J146</f>
        <v>487</v>
      </c>
      <c r="K159" s="108">
        <f>J147</f>
        <v>497</v>
      </c>
      <c r="L159" s="108">
        <f>J148</f>
        <v>506</v>
      </c>
      <c r="M159" s="108">
        <f>J149</f>
        <v>508</v>
      </c>
      <c r="N159" s="108">
        <f>J150</f>
        <v>516.90151335127348</v>
      </c>
      <c r="O159" s="108">
        <f>J151</f>
        <v>528.90151335127348</v>
      </c>
      <c r="P159" s="108">
        <f>J152</f>
        <v>539.90151335127348</v>
      </c>
    </row>
    <row r="160" spans="2:16" ht="15" customHeight="1">
      <c r="B160" s="107" t="s">
        <v>152</v>
      </c>
      <c r="C160" s="106">
        <f>VLOOKUP(C159,Capacity!$A$1:$C$645,2,TRUE)</f>
        <v>19</v>
      </c>
      <c r="D160" s="106">
        <f>VLOOKUP(D159,Capacity!$A$1:$C$645,2,TRUE)</f>
        <v>19</v>
      </c>
      <c r="E160" s="106">
        <f>VLOOKUP(E159,Capacity!$A$1:$C$645,2,TRUE)</f>
        <v>18</v>
      </c>
      <c r="F160" s="106">
        <f>VLOOKUP(F159,Capacity!$A$1:$C$645,2,TRUE)</f>
        <v>18</v>
      </c>
      <c r="G160" s="106">
        <f>VLOOKUP(G159,Capacity!$A$1:$C$645,2,TRUE)</f>
        <v>18</v>
      </c>
      <c r="H160" s="106">
        <f>VLOOKUP(H159,Capacity!$A$1:$C$645,2,TRUE)</f>
        <v>18</v>
      </c>
      <c r="I160" s="106">
        <f>VLOOKUP(I159,Capacity!$A$1:$C$645,2,TRUE)</f>
        <v>17</v>
      </c>
      <c r="J160" s="106">
        <f>VLOOKUP(J159,Capacity!$A$1:$C$645,2,TRUE)</f>
        <v>18</v>
      </c>
      <c r="K160" s="106">
        <f>VLOOKUP(K159,Capacity!$A$1:$C$645,2,TRUE)</f>
        <v>18</v>
      </c>
      <c r="L160" s="106">
        <f>VLOOKUP(L159,Capacity!$A$1:$C$645,2,TRUE)</f>
        <v>19</v>
      </c>
      <c r="M160" s="106">
        <f>VLOOKUP(M159,Capacity!$A$1:$C$645,2,TRUE)</f>
        <v>19</v>
      </c>
      <c r="N160" s="106">
        <f>VLOOKUP(N159,Capacity!$A$1:$C$645,2,TRUE)</f>
        <v>19</v>
      </c>
      <c r="O160" s="106">
        <f>VLOOKUP(O159,Capacity!$A$1:$C$645,2,TRUE)</f>
        <v>19</v>
      </c>
      <c r="P160" s="106">
        <f>VLOOKUP(P159,Capacity!$A$1:$C$645,2,TRUE)</f>
        <v>19</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74</v>
      </c>
      <c r="D169" s="97">
        <f>VLOOKUP($E$3,'Catchment Births'!$A$1:$U$90,11,FALSE)</f>
        <v>63</v>
      </c>
      <c r="E169" s="97">
        <f>VLOOKUP($E$3,'Catchment Births'!$A$1:$U$90,12,FALSE)</f>
        <v>65</v>
      </c>
      <c r="F169" s="97">
        <f>VLOOKUP($E$3,'Catchment Births'!$A$1:$U$90,13,FALSE)</f>
        <v>78</v>
      </c>
      <c r="G169" s="97">
        <f>VLOOKUP($E$3,'Catchment Births'!$A$1:$U$90,14,FALSE)</f>
        <v>81</v>
      </c>
      <c r="H169" s="97">
        <f>VLOOKUP($E$3,'Catchment Births'!$A$1:$U$90,15,FALSE)</f>
        <v>81</v>
      </c>
      <c r="I169" s="97">
        <f>VLOOKUP($E$3,'Catchment Births'!$A$1:$U$90,16,FALSE)</f>
        <v>88</v>
      </c>
      <c r="J169" s="97">
        <f>VLOOKUP($E$3,'Catchment Births'!$A$1:$U$90,17,FALSE)</f>
        <v>81</v>
      </c>
      <c r="K169" s="97">
        <f>VLOOKUP($E$3,'Catchment Births'!$A$1:$U$90,18,FALSE)</f>
        <v>83</v>
      </c>
      <c r="L169" s="97">
        <f>VLOOKUP($E$3,'Catchment Births'!$A$1:$U$90,19,FALSE)</f>
        <v>70</v>
      </c>
      <c r="M169" s="97">
        <f>VLOOKUP($E$3,'Catchment Births'!$A$1:$U$90,20,FALSE)</f>
        <v>71</v>
      </c>
      <c r="N169" s="97">
        <f>VLOOKUP($E$3,'Catchment Births'!$A$1:$U$90,21,FALSE)</f>
        <v>75</v>
      </c>
    </row>
    <row r="170" spans="2:14" ht="58.5" customHeight="1">
      <c r="B170" s="103" t="str">
        <f>"P1 "&amp;A35&amp;" Catchment Population (Actual)"</f>
        <v>P1 ND Catchment Population (Actual)</v>
      </c>
      <c r="C170" s="102" t="e">
        <v>#REF!</v>
      </c>
      <c r="D170" s="102">
        <v>66</v>
      </c>
      <c r="E170" s="102">
        <v>55</v>
      </c>
      <c r="F170" s="102">
        <v>66</v>
      </c>
      <c r="G170" s="102">
        <v>76</v>
      </c>
      <c r="H170" s="102">
        <v>79</v>
      </c>
      <c r="I170" s="102">
        <v>71</v>
      </c>
      <c r="J170" s="308">
        <f>VLOOKUP(E3,'Catchment Projections'!A1:BU92,42,FALSE)</f>
        <v>51</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71</v>
      </c>
      <c r="J172" s="96" t="e">
        <f>#REF!</f>
        <v>#REF!</v>
      </c>
      <c r="K172" s="96">
        <f>D51</f>
        <v>66</v>
      </c>
      <c r="L172" s="96">
        <f>E51</f>
        <v>69</v>
      </c>
      <c r="M172" s="96">
        <f>F51</f>
        <v>68</v>
      </c>
      <c r="N172" s="96">
        <f>G51</f>
        <v>75</v>
      </c>
    </row>
    <row r="173" spans="2:14" ht="12.75">
      <c r="B173" s="62"/>
      <c r="C173" s="62"/>
      <c r="D173" s="62"/>
      <c r="E173" s="62"/>
      <c r="F173" s="62"/>
      <c r="G173" s="62"/>
      <c r="H173" s="62"/>
      <c r="I173" s="62"/>
      <c r="J173" s="62"/>
      <c r="K173" s="62"/>
    </row>
    <row r="174" spans="2:14" ht="15" customHeight="1">
      <c r="B174" s="64" t="str">
        <f>"Table 5: "&amp;E3&amp;" Roll by Stage, 2002-2018"</f>
        <v>Table 5: Gylemuir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73</v>
      </c>
      <c r="D177" s="93">
        <v>63</v>
      </c>
      <c r="E177" s="93">
        <v>59</v>
      </c>
      <c r="F177" s="93">
        <v>80</v>
      </c>
      <c r="G177" s="93">
        <v>67</v>
      </c>
      <c r="H177" s="93">
        <v>83</v>
      </c>
      <c r="I177" s="93">
        <v>83</v>
      </c>
      <c r="J177" s="92">
        <v>508</v>
      </c>
      <c r="K177" s="62"/>
    </row>
    <row r="178" spans="2:11" ht="15" customHeight="1">
      <c r="B178" s="94">
        <v>2003</v>
      </c>
      <c r="C178" s="93">
        <v>62</v>
      </c>
      <c r="D178" s="93">
        <v>74</v>
      </c>
      <c r="E178" s="93">
        <v>62</v>
      </c>
      <c r="F178" s="93">
        <v>58</v>
      </c>
      <c r="G178" s="93">
        <v>81</v>
      </c>
      <c r="H178" s="93">
        <v>65</v>
      </c>
      <c r="I178" s="93">
        <v>84</v>
      </c>
      <c r="J178" s="92">
        <v>486</v>
      </c>
      <c r="K178" s="62"/>
    </row>
    <row r="179" spans="2:11" customFormat="1" ht="15" customHeight="1">
      <c r="B179" s="94">
        <v>2004</v>
      </c>
      <c r="C179" s="95">
        <v>59</v>
      </c>
      <c r="D179" s="95">
        <v>59</v>
      </c>
      <c r="E179" s="95">
        <v>68</v>
      </c>
      <c r="F179" s="95">
        <v>58</v>
      </c>
      <c r="G179" s="95">
        <v>59</v>
      </c>
      <c r="H179" s="95">
        <v>78</v>
      </c>
      <c r="I179" s="95">
        <v>64</v>
      </c>
      <c r="J179" s="92">
        <v>445</v>
      </c>
      <c r="K179" s="62"/>
    </row>
    <row r="180" spans="2:11" customFormat="1" ht="15" customHeight="1">
      <c r="B180" s="94">
        <v>2005</v>
      </c>
      <c r="C180" s="93">
        <v>58</v>
      </c>
      <c r="D180" s="93">
        <v>58</v>
      </c>
      <c r="E180" s="93">
        <v>59</v>
      </c>
      <c r="F180" s="93">
        <v>59</v>
      </c>
      <c r="G180" s="93">
        <v>60</v>
      </c>
      <c r="H180" s="93">
        <v>59</v>
      </c>
      <c r="I180" s="93">
        <v>76</v>
      </c>
      <c r="J180" s="92">
        <v>429</v>
      </c>
      <c r="K180" s="62"/>
    </row>
    <row r="181" spans="2:11" customFormat="1" ht="15" customHeight="1">
      <c r="B181" s="94">
        <v>2006</v>
      </c>
      <c r="C181" s="93">
        <v>56</v>
      </c>
      <c r="D181" s="93">
        <v>55</v>
      </c>
      <c r="E181" s="93">
        <v>55</v>
      </c>
      <c r="F181" s="93">
        <v>57</v>
      </c>
      <c r="G181" s="93">
        <v>57</v>
      </c>
      <c r="H181" s="93">
        <v>61</v>
      </c>
      <c r="I181" s="93">
        <v>55</v>
      </c>
      <c r="J181" s="92">
        <v>396</v>
      </c>
      <c r="K181" s="62"/>
    </row>
    <row r="182" spans="2:11" customFormat="1" ht="15" customHeight="1">
      <c r="B182" s="94">
        <v>2007</v>
      </c>
      <c r="C182" s="93">
        <v>59</v>
      </c>
      <c r="D182" s="93">
        <v>52</v>
      </c>
      <c r="E182" s="93">
        <v>57</v>
      </c>
      <c r="F182" s="93">
        <v>54</v>
      </c>
      <c r="G182" s="93">
        <v>56</v>
      </c>
      <c r="H182" s="93">
        <v>57</v>
      </c>
      <c r="I182" s="93">
        <v>59</v>
      </c>
      <c r="J182" s="92">
        <v>394</v>
      </c>
      <c r="K182" s="62"/>
    </row>
    <row r="183" spans="2:11" customFormat="1" ht="15" customHeight="1">
      <c r="B183" s="94">
        <v>2008</v>
      </c>
      <c r="C183" s="93">
        <v>61</v>
      </c>
      <c r="D183" s="93">
        <v>58</v>
      </c>
      <c r="E183" s="93">
        <v>48</v>
      </c>
      <c r="F183" s="93">
        <v>57</v>
      </c>
      <c r="G183" s="93">
        <v>57</v>
      </c>
      <c r="H183" s="93">
        <v>54</v>
      </c>
      <c r="I183" s="93">
        <v>60</v>
      </c>
      <c r="J183" s="92">
        <v>395</v>
      </c>
      <c r="K183" s="62"/>
    </row>
    <row r="184" spans="2:11" customFormat="1" ht="15" customHeight="1">
      <c r="B184" s="94">
        <v>2009</v>
      </c>
      <c r="C184" s="93">
        <v>60</v>
      </c>
      <c r="D184" s="93">
        <v>60</v>
      </c>
      <c r="E184" s="93">
        <v>52</v>
      </c>
      <c r="F184" s="93">
        <v>47</v>
      </c>
      <c r="G184" s="93">
        <v>54</v>
      </c>
      <c r="H184" s="93">
        <v>59</v>
      </c>
      <c r="I184" s="93">
        <v>53</v>
      </c>
      <c r="J184" s="94">
        <v>385</v>
      </c>
      <c r="K184" s="62"/>
    </row>
    <row r="185" spans="2:11" customFormat="1" ht="15" customHeight="1">
      <c r="B185" s="94">
        <v>2010</v>
      </c>
      <c r="C185" s="93">
        <v>74</v>
      </c>
      <c r="D185" s="93">
        <v>60</v>
      </c>
      <c r="E185" s="93">
        <v>60</v>
      </c>
      <c r="F185" s="93">
        <v>55</v>
      </c>
      <c r="G185" s="93">
        <v>47</v>
      </c>
      <c r="H185" s="93">
        <v>53</v>
      </c>
      <c r="I185" s="93">
        <v>59</v>
      </c>
      <c r="J185" s="92">
        <v>408</v>
      </c>
      <c r="K185" s="62"/>
    </row>
    <row r="186" spans="2:11" customFormat="1" ht="15" customHeight="1">
      <c r="B186" s="94">
        <v>2011</v>
      </c>
      <c r="C186" s="93">
        <v>59</v>
      </c>
      <c r="D186" s="93">
        <v>73</v>
      </c>
      <c r="E186" s="93">
        <v>55</v>
      </c>
      <c r="F186" s="93">
        <v>55</v>
      </c>
      <c r="G186" s="93">
        <v>55</v>
      </c>
      <c r="H186" s="93">
        <v>48</v>
      </c>
      <c r="I186" s="93">
        <v>52</v>
      </c>
      <c r="J186" s="92">
        <v>397</v>
      </c>
      <c r="K186" s="62"/>
    </row>
    <row r="187" spans="2:11" customFormat="1" ht="15" customHeight="1">
      <c r="B187" s="94">
        <v>2012</v>
      </c>
      <c r="C187" s="93">
        <v>71</v>
      </c>
      <c r="D187" s="93">
        <v>59</v>
      </c>
      <c r="E187" s="93">
        <v>72</v>
      </c>
      <c r="F187" s="93">
        <v>51</v>
      </c>
      <c r="G187" s="93">
        <v>54</v>
      </c>
      <c r="H187" s="93">
        <v>56</v>
      </c>
      <c r="I187" s="93">
        <v>48</v>
      </c>
      <c r="J187" s="92">
        <v>411</v>
      </c>
      <c r="K187" s="62"/>
    </row>
    <row r="188" spans="2:11" customFormat="1" ht="15" customHeight="1">
      <c r="B188" s="94">
        <v>2013</v>
      </c>
      <c r="C188" s="93">
        <v>83</v>
      </c>
      <c r="D188" s="93">
        <v>72</v>
      </c>
      <c r="E188" s="93">
        <v>60</v>
      </c>
      <c r="F188" s="93">
        <v>74</v>
      </c>
      <c r="G188" s="93">
        <v>48</v>
      </c>
      <c r="H188" s="93">
        <v>53</v>
      </c>
      <c r="I188" s="93">
        <v>59</v>
      </c>
      <c r="J188" s="94">
        <v>449</v>
      </c>
      <c r="K188" s="62"/>
    </row>
    <row r="189" spans="2:11" customFormat="1" ht="15" customHeight="1">
      <c r="B189" s="94">
        <v>2014</v>
      </c>
      <c r="C189" s="93">
        <v>87</v>
      </c>
      <c r="D189" s="93">
        <v>80</v>
      </c>
      <c r="E189" s="93">
        <v>70</v>
      </c>
      <c r="F189" s="93">
        <v>59</v>
      </c>
      <c r="G189" s="93">
        <v>71</v>
      </c>
      <c r="H189" s="93">
        <v>49</v>
      </c>
      <c r="I189" s="93">
        <v>55</v>
      </c>
      <c r="J189" s="92">
        <v>471</v>
      </c>
      <c r="K189" s="65"/>
    </row>
    <row r="190" spans="2:11" customFormat="1" ht="15" customHeight="1">
      <c r="B190" s="94">
        <v>2015</v>
      </c>
      <c r="C190" s="93">
        <v>74</v>
      </c>
      <c r="D190" s="93">
        <v>83</v>
      </c>
      <c r="E190" s="93">
        <v>76</v>
      </c>
      <c r="F190" s="93">
        <v>65</v>
      </c>
      <c r="G190" s="93">
        <v>61</v>
      </c>
      <c r="H190" s="93">
        <v>69</v>
      </c>
      <c r="I190" s="93">
        <v>47</v>
      </c>
      <c r="J190" s="92">
        <v>475</v>
      </c>
      <c r="K190" s="65"/>
    </row>
    <row r="191" spans="2:11" customFormat="1" ht="15" customHeight="1">
      <c r="B191" s="94">
        <v>2016</v>
      </c>
      <c r="C191" s="93">
        <v>57</v>
      </c>
      <c r="D191" s="93">
        <v>74</v>
      </c>
      <c r="E191" s="93">
        <v>80</v>
      </c>
      <c r="F191" s="93">
        <v>75</v>
      </c>
      <c r="G191" s="93">
        <v>65</v>
      </c>
      <c r="H191" s="93">
        <v>62</v>
      </c>
      <c r="I191" s="93">
        <v>69</v>
      </c>
      <c r="J191" s="92">
        <v>482</v>
      </c>
      <c r="K191" s="65"/>
    </row>
    <row r="192" spans="2:11" ht="15" customHeight="1">
      <c r="B192" s="94">
        <v>2017</v>
      </c>
      <c r="C192" s="93">
        <f>VLOOKUP($E$3,Rolls!A1:FA90,42,FALSE)</f>
        <v>75</v>
      </c>
      <c r="D192" s="93">
        <f>VLOOKUP($E$3,Rolls!A1:FA90,43,FALSE)</f>
        <v>58</v>
      </c>
      <c r="E192" s="93">
        <f>VLOOKUP($E$3,Rolls!A1:FA90,44,FALSE)</f>
        <v>73</v>
      </c>
      <c r="F192" s="93">
        <f>VLOOKUP($E$3,Rolls!A1:FA90,45,FALSE)</f>
        <v>82</v>
      </c>
      <c r="G192" s="93">
        <f>VLOOKUP($E$3,Rolls!A1:FA90,46,FALSE)</f>
        <v>75</v>
      </c>
      <c r="H192" s="93">
        <f>VLOOKUP($E$3,Rolls!A1:FA90,47,FALSE)</f>
        <v>66</v>
      </c>
      <c r="I192" s="93">
        <f>VLOOKUP($E$3,Rolls!A1:FA90,48,FALSE)</f>
        <v>58</v>
      </c>
      <c r="J192" s="92">
        <f>VLOOKUP($E$3,Rolls!A1:FA90,49,FALSE)</f>
        <v>487</v>
      </c>
      <c r="K192" s="65"/>
    </row>
    <row r="193" spans="2:11" ht="15" customHeight="1">
      <c r="B193" s="94">
        <v>2018</v>
      </c>
      <c r="C193" s="93">
        <f>VLOOKUP($E$3,Rolls!A1:FA90,50,FALSE)</f>
        <v>85</v>
      </c>
      <c r="D193" s="93">
        <f>VLOOKUP($E$3,Rolls!A1:FA90,51,FALSE)</f>
        <v>75</v>
      </c>
      <c r="E193" s="93">
        <f>VLOOKUP($E$3,Rolls!A1:FA90,52,FALSE)</f>
        <v>59</v>
      </c>
      <c r="F193" s="93">
        <f>VLOOKUP($E$3,Rolls!A1:FA90,53,FALSE)</f>
        <v>73</v>
      </c>
      <c r="G193" s="93">
        <f>VLOOKUP($E$3,Rolls!A1:FA90,54,FALSE)</f>
        <v>79</v>
      </c>
      <c r="H193" s="93">
        <f>VLOOKUP($E$3,Rolls!A1:FA90,55,FALSE)</f>
        <v>74</v>
      </c>
      <c r="I193" s="93">
        <f>VLOOKUP($E$3,Rolls!A1:FA90,56,FALSE)</f>
        <v>62</v>
      </c>
      <c r="J193" s="92">
        <f>VLOOKUP($E$3,Rolls!A1:FA90,57,FALSE)</f>
        <v>507</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39</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Hermitage Park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420 Pupils (14 classes)</v>
      </c>
      <c r="G12" s="16"/>
      <c r="H12" s="16"/>
    </row>
    <row r="13" spans="2:10" ht="15" customHeight="1">
      <c r="C13" s="16"/>
      <c r="D13" s="16"/>
      <c r="E13" s="16"/>
      <c r="F13" s="16"/>
      <c r="G13" s="16"/>
      <c r="H13" s="16"/>
    </row>
    <row r="14" spans="2:10" ht="15" customHeight="1">
      <c r="B14" s="15" t="str">
        <f>"Figure 1: "&amp;E3&amp;" Roll, 2002-2015"</f>
        <v>Figure 1: Hermitage Park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Hermitage Park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51</v>
      </c>
      <c r="E49" s="108">
        <f>VLOOKUP($E$3,'Catchment Projections'!$A$1:$BU$90,46,FALSE)</f>
        <v>54</v>
      </c>
      <c r="F49" s="108">
        <f>VLOOKUP($E$3,'Catchment Projections'!$A$1:$BU$90,47,FALSE)</f>
        <v>51</v>
      </c>
      <c r="G49" s="108">
        <f>VLOOKUP($E$3,'Catchment Projections'!$A$1:$BU$90,48,FALSE)</f>
        <v>40</v>
      </c>
      <c r="H49" s="133">
        <f>VLOOKUP($E$3,'Catchment Projections'!$A$1:$BU$90,49,FALSE)</f>
        <v>49</v>
      </c>
      <c r="I49" s="133">
        <f>VLOOKUP($E$3,'Catchment Projections'!$A$1:$BU$90,50,FALSE)</f>
        <v>50</v>
      </c>
      <c r="J49" s="133">
        <f>VLOOKUP($E$3,'Catchment Projections'!$A$1:$BU$90,51,FALSE)</f>
        <v>50</v>
      </c>
      <c r="K49" s="133">
        <f>VLOOKUP($E$3,'Catchment Projections'!$A$1:$BU$90,52,FALSE)</f>
        <v>51</v>
      </c>
      <c r="L49" s="133">
        <f>VLOOKUP($E$3,'Catchment Projections'!$A$1:$BU$90,53,FALSE)</f>
        <v>51</v>
      </c>
      <c r="M49" s="133">
        <f>VLOOKUP($E$3,'Catchment Projections'!$A$1:$BU$90,54,FALSE)</f>
        <v>51</v>
      </c>
      <c r="N49" s="133">
        <f>VLOOKUP($E$3,'Catchment Projections'!$A$1:$BU$90,55,FALSE)</f>
        <v>51</v>
      </c>
      <c r="O49" s="133">
        <f>VLOOKUP($E$3,'Catchment Projections'!$A$1:$BU$90,56,FALSE)</f>
        <v>51</v>
      </c>
      <c r="P49" s="133">
        <f>VLOOKUP($E$3,'Catchment Projections'!$A$1:$BU$90,57,FALSE)</f>
        <v>51</v>
      </c>
      <c r="Q49" s="133">
        <f>VLOOKUP($E$3,'Catchment Projections'!$A$1:$BU$90,58,FALSE)</f>
        <v>51</v>
      </c>
    </row>
    <row r="50" spans="2:17" ht="15" customHeight="1" thickBot="1">
      <c r="B50" s="410" t="s">
        <v>141</v>
      </c>
      <c r="C50" s="411"/>
      <c r="D50" s="286">
        <f>VLOOKUP(E3,'Housing Generation'!$A$3:$DQ$90,10,FALSE)</f>
        <v>0</v>
      </c>
      <c r="E50" s="286">
        <f>VLOOKUP(E3,'Housing Generation'!$A$3:$DQ$90,18,FALSE)</f>
        <v>0</v>
      </c>
      <c r="F50" s="286">
        <f>VLOOKUP(E3,'Housing Generation'!$A$3:$DQ$90,26,FALSE)</f>
        <v>1</v>
      </c>
      <c r="G50" s="243">
        <f>VLOOKUP(E3,'Housing Generation'!$A$3:$DQ$90,34,FALSE)</f>
        <v>1</v>
      </c>
      <c r="H50" s="133">
        <f>VLOOKUP(E3,'Housing Generation'!$A$3:$DQ$90,42,FALSE)</f>
        <v>1</v>
      </c>
      <c r="I50" s="133">
        <f>VLOOKUP(E3,'Housing Generation'!$A$3:$DQ$90,50,FALSE)</f>
        <v>1</v>
      </c>
      <c r="J50" s="133">
        <f>VLOOKUP(E3,'Housing Generation'!$A$3:$CK$90,58,FALSE)</f>
        <v>1</v>
      </c>
      <c r="K50" s="133">
        <f>VLOOKUP(E3,'Housing Generation'!$A$3:$CK$90,66,FALSE)</f>
        <v>1</v>
      </c>
      <c r="L50" s="133">
        <f>VLOOKUP(E3,'Housing Generation'!$A$3:$DQ$90,74,FALSE)</f>
        <v>1</v>
      </c>
      <c r="M50" s="133">
        <f>VLOOKUP(E3,'Housing Generation'!$A$3:$DQ$90,82,FALSE)</f>
        <v>1</v>
      </c>
      <c r="N50" s="133">
        <f>VLOOKUP(E3,'Housing Generation'!$A$3:$DQ$90,90,FALSE)</f>
        <v>1</v>
      </c>
      <c r="O50" s="133">
        <f>VLOOKUP(E3,'Housing Generation'!$A$3:$DQ$90,98,FALSE)</f>
        <v>0</v>
      </c>
      <c r="P50" s="133">
        <f>VLOOKUP(E3,'Housing Generation'!$A$3:$DQ$90,106,FALSE)</f>
        <v>0</v>
      </c>
      <c r="Q50" s="133">
        <f>VLOOKUP(E3,'Housing Generation'!$A$3:$DQ$90,114,FALSE)</f>
        <v>0</v>
      </c>
    </row>
    <row r="51" spans="2:17" ht="15" customHeight="1" thickTop="1">
      <c r="B51" s="421" t="s">
        <v>130</v>
      </c>
      <c r="C51" s="422"/>
      <c r="D51" s="47">
        <f t="shared" ref="D51:Q51" si="0">SUM(D49:D50)</f>
        <v>51</v>
      </c>
      <c r="E51" s="47">
        <f t="shared" si="0"/>
        <v>54</v>
      </c>
      <c r="F51" s="80">
        <f t="shared" si="0"/>
        <v>52</v>
      </c>
      <c r="G51" s="244">
        <f t="shared" si="0"/>
        <v>41</v>
      </c>
      <c r="H51" s="71">
        <f t="shared" si="0"/>
        <v>50</v>
      </c>
      <c r="I51" s="71">
        <f t="shared" si="0"/>
        <v>51</v>
      </c>
      <c r="J51" s="71">
        <f t="shared" si="0"/>
        <v>51</v>
      </c>
      <c r="K51" s="71">
        <f t="shared" si="0"/>
        <v>52</v>
      </c>
      <c r="L51" s="71">
        <f t="shared" si="0"/>
        <v>52</v>
      </c>
      <c r="M51" s="71">
        <f t="shared" si="0"/>
        <v>52</v>
      </c>
      <c r="N51" s="71">
        <f t="shared" si="0"/>
        <v>52</v>
      </c>
      <c r="O51" s="71">
        <f t="shared" si="0"/>
        <v>51</v>
      </c>
      <c r="P51" s="71">
        <f t="shared" si="0"/>
        <v>51</v>
      </c>
      <c r="Q51" s="71">
        <f t="shared" si="0"/>
        <v>51</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53</v>
      </c>
      <c r="D60" s="358">
        <f>VLOOKUP($E$3,'Catchment Projections'!$A$1:$BZ$90,74,FALSE)</f>
        <v>49</v>
      </c>
      <c r="E60" s="303">
        <f>D60/C60</f>
        <v>0.92452830188679247</v>
      </c>
      <c r="G60" s="132">
        <v>2014</v>
      </c>
      <c r="H60" s="395">
        <f>VLOOKUP($G$60,$B$177:$C$215, 2, FALSE)</f>
        <v>58</v>
      </c>
      <c r="I60" s="120">
        <f>H60-D60</f>
        <v>9</v>
      </c>
      <c r="J60" s="121">
        <f>I60/H60</f>
        <v>0.15517241379310345</v>
      </c>
    </row>
    <row r="61" spans="2:17" ht="15" customHeight="1">
      <c r="B61" s="132">
        <v>2015</v>
      </c>
      <c r="C61" s="359">
        <f>VLOOKUP($E$3,'Catchment Projections'!$A$1:$BZ$90,41,FALSE)</f>
        <v>50</v>
      </c>
      <c r="D61" s="358">
        <f>VLOOKUP($E$3,'Catchment Projections'!$A$1:$BZ$90,75,FALSE)</f>
        <v>43</v>
      </c>
      <c r="E61" s="303">
        <f>D61/C61</f>
        <v>0.86</v>
      </c>
      <c r="G61" s="132">
        <v>2015</v>
      </c>
      <c r="H61" s="395">
        <f>VLOOKUP($G$61,$B$177:$C$215, 2, FALSE)</f>
        <v>57</v>
      </c>
      <c r="I61" s="120">
        <f>H61-D61</f>
        <v>14</v>
      </c>
      <c r="J61" s="121">
        <f>I61/H61</f>
        <v>0.24561403508771928</v>
      </c>
    </row>
    <row r="62" spans="2:17" ht="15" customHeight="1">
      <c r="B62" s="131">
        <v>2016</v>
      </c>
      <c r="C62" s="359">
        <f>VLOOKUP($E$3,'Catchment Projections'!$A$1:$BZ$90,42,FALSE)</f>
        <v>50</v>
      </c>
      <c r="D62" s="358">
        <f>VLOOKUP($E$3,'Catchment Projections'!$A$1:$BZ$90,76,FALSE)</f>
        <v>41</v>
      </c>
      <c r="E62" s="57">
        <f>D62/C62</f>
        <v>0.82</v>
      </c>
      <c r="G62" s="131">
        <v>2016</v>
      </c>
      <c r="H62" s="395">
        <f>VLOOKUP($G$62,$B$177:$C$215, 2, FALSE)</f>
        <v>47</v>
      </c>
      <c r="I62" s="120">
        <f>H62-D62</f>
        <v>6</v>
      </c>
      <c r="J62" s="121">
        <f>I62/H62</f>
        <v>0.1276595744680851</v>
      </c>
    </row>
    <row r="63" spans="2:17" ht="15" customHeight="1">
      <c r="B63" s="114">
        <v>2017</v>
      </c>
      <c r="C63" s="359">
        <f>VLOOKUP($E$3,'Catchment Projections'!$A$1:$BZ$90,43,FALSE)</f>
        <v>56</v>
      </c>
      <c r="D63" s="358">
        <f>VLOOKUP($E$3,'Catchment Projections'!$A$1:$BZ$90,77,FALSE)</f>
        <v>39</v>
      </c>
      <c r="E63" s="304">
        <f>D63/C63</f>
        <v>0.6964285714285714</v>
      </c>
      <c r="G63" s="114">
        <v>2017</v>
      </c>
      <c r="H63" s="395">
        <f>VLOOKUP($G$63,$B$177:$C$215, 2, FALSE)</f>
        <v>52</v>
      </c>
      <c r="I63" s="120">
        <f>H63-D63</f>
        <v>13</v>
      </c>
      <c r="J63" s="121">
        <f>I63/H63</f>
        <v>0.25</v>
      </c>
    </row>
    <row r="64" spans="2:17" ht="15" customHeight="1">
      <c r="B64" s="114">
        <v>2018</v>
      </c>
      <c r="C64" s="359">
        <f>VLOOKUP($E$3,'Catchment Projections'!$A$1:$BZ$90,44,FALSE)</f>
        <v>53</v>
      </c>
      <c r="D64" s="358">
        <f>VLOOKUP($E$3,'Catchment Projections'!$A$1:$BZ$90,78,FALSE)</f>
        <v>43</v>
      </c>
      <c r="E64" s="305">
        <f>D64/C64</f>
        <v>0.81132075471698117</v>
      </c>
      <c r="G64" s="114">
        <v>2018</v>
      </c>
      <c r="H64" s="395">
        <f>VLOOKUP($G$64,$B$177:$C$215, 2, FALSE)</f>
        <v>50</v>
      </c>
      <c r="I64" s="120">
        <f>H64-D64</f>
        <v>7</v>
      </c>
      <c r="J64" s="121">
        <f>I64/H64</f>
        <v>0.14000000000000001</v>
      </c>
    </row>
    <row r="65" spans="2:10" ht="15" customHeight="1">
      <c r="B65" s="412" t="s">
        <v>136</v>
      </c>
      <c r="C65" s="413"/>
      <c r="D65" s="414"/>
      <c r="E65" s="137">
        <f>IF((AVERAGE(E62:E64))="#DIV/0!","n/a",(AVERAGE(E62:E64)))</f>
        <v>0.77591644204851751</v>
      </c>
      <c r="G65" s="415" t="s">
        <v>137</v>
      </c>
      <c r="H65" s="416"/>
      <c r="I65" s="138">
        <f>MEDIAN(I60:I64)</f>
        <v>9</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51</v>
      </c>
      <c r="D70" s="408"/>
      <c r="E70" s="122">
        <f>E65</f>
        <v>0.77591644204851751</v>
      </c>
      <c r="F70" s="120">
        <f t="shared" ref="F70:F83" si="1">C70*$E$65</f>
        <v>39.571738544474393</v>
      </c>
      <c r="G70" s="118">
        <f>IF(F70&lt;26,25,IF(F70&gt;135,140,IF(F70&gt;130,135,IF(F70&gt;125,130,IF(F70&gt;120,125,IF(F70&gt;115,120,IF(F70&gt;110,115,IF(F70&gt;105,110,IF(F70&gt;100,105,IF(F70&gt;99,100,IF(F70&gt;90,99,IF(F70&gt;75,90,IF(F70&gt;72,75,IF(F70&gt;66,72,IF(F70&gt;60,66,IF(F70&gt;50,60,IF(F70&gt;30,50,IF(F70&gt;25,30,0))))))))))))))))))</f>
        <v>50</v>
      </c>
      <c r="H70" s="119">
        <f t="shared" ref="H70:H83" si="2">G70-F70</f>
        <v>10.428261455525607</v>
      </c>
      <c r="I70" s="118" t="str">
        <f>IF(I$65&lt;H70, "NO", "YES")</f>
        <v>NO</v>
      </c>
      <c r="J70" s="117">
        <f t="shared" ref="J70:J83" si="3">IF(I70="YES",G70,(MIN((SUM(F70,$I$65)),G70)))</f>
        <v>48.571738544474393</v>
      </c>
    </row>
    <row r="71" spans="2:10" ht="15" customHeight="1">
      <c r="B71" s="114">
        <v>2020</v>
      </c>
      <c r="C71" s="433">
        <f>E51</f>
        <v>54</v>
      </c>
      <c r="D71" s="408"/>
      <c r="E71" s="121">
        <f>E65</f>
        <v>0.77591644204851751</v>
      </c>
      <c r="F71" s="120">
        <f t="shared" si="1"/>
        <v>41.899487870619943</v>
      </c>
      <c r="G71" s="118">
        <f t="shared" ref="G71:G83" si="4">IF(F71&lt;26,25,IF(F71&gt;135,140,IF(F71&gt;130,135,IF(F71&gt;125,130,IF(F71&gt;120,125,IF(F71&gt;115,120,IF(F71&gt;110,115,IF(F71&gt;105,110,IF(F71&gt;100,105,IF(F71&gt;99,100,IF(F71&gt;90,99,IF(F71&gt;75,90,IF(F71&gt;72,75,IF(F71&gt;66,72,IF(F71&gt;60,66,IF(F71&gt;50,60,IF(F71&gt;30,50,IF(F71&gt;25,30,0))))))))))))))))))</f>
        <v>50</v>
      </c>
      <c r="H71" s="119">
        <f t="shared" si="2"/>
        <v>8.100512129380057</v>
      </c>
      <c r="I71" s="118" t="str">
        <f t="shared" ref="I71:I83" si="5">IF(I$65&lt;H71, "NO", "YES")</f>
        <v>YES</v>
      </c>
      <c r="J71" s="117">
        <f t="shared" si="3"/>
        <v>50</v>
      </c>
    </row>
    <row r="72" spans="2:10" ht="15" customHeight="1">
      <c r="B72" s="114">
        <v>2021</v>
      </c>
      <c r="C72" s="430">
        <f>F51</f>
        <v>52</v>
      </c>
      <c r="D72" s="431"/>
      <c r="E72" s="121">
        <f>E65</f>
        <v>0.77591644204851751</v>
      </c>
      <c r="F72" s="120">
        <f t="shared" si="1"/>
        <v>40.347654986522912</v>
      </c>
      <c r="G72" s="118">
        <f t="shared" si="4"/>
        <v>50</v>
      </c>
      <c r="H72" s="119">
        <f t="shared" si="2"/>
        <v>9.6523450134770883</v>
      </c>
      <c r="I72" s="118" t="str">
        <f t="shared" si="5"/>
        <v>NO</v>
      </c>
      <c r="J72" s="117">
        <f t="shared" si="3"/>
        <v>49.347654986522912</v>
      </c>
    </row>
    <row r="73" spans="2:10" ht="15" customHeight="1">
      <c r="B73" s="114">
        <v>2022</v>
      </c>
      <c r="C73" s="430">
        <f>G51</f>
        <v>41</v>
      </c>
      <c r="D73" s="431"/>
      <c r="E73" s="121">
        <f>E65</f>
        <v>0.77591644204851751</v>
      </c>
      <c r="F73" s="120">
        <f t="shared" si="1"/>
        <v>31.812574123989219</v>
      </c>
      <c r="G73" s="118">
        <f t="shared" si="4"/>
        <v>50</v>
      </c>
      <c r="H73" s="119">
        <f t="shared" si="2"/>
        <v>18.187425876010781</v>
      </c>
      <c r="I73" s="118" t="str">
        <f t="shared" si="5"/>
        <v>NO</v>
      </c>
      <c r="J73" s="117">
        <f t="shared" si="3"/>
        <v>40.812574123989222</v>
      </c>
    </row>
    <row r="74" spans="2:10" ht="15" customHeight="1">
      <c r="B74" s="114">
        <v>2023</v>
      </c>
      <c r="C74" s="430">
        <f>H51</f>
        <v>50</v>
      </c>
      <c r="D74" s="431"/>
      <c r="E74" s="121">
        <f>E65</f>
        <v>0.77591644204851751</v>
      </c>
      <c r="F74" s="120">
        <f t="shared" si="1"/>
        <v>38.795822102425873</v>
      </c>
      <c r="G74" s="118">
        <f t="shared" si="4"/>
        <v>50</v>
      </c>
      <c r="H74" s="119">
        <f t="shared" si="2"/>
        <v>11.204177897574127</v>
      </c>
      <c r="I74" s="118" t="str">
        <f t="shared" si="5"/>
        <v>NO</v>
      </c>
      <c r="J74" s="117">
        <f t="shared" si="3"/>
        <v>47.795822102425873</v>
      </c>
    </row>
    <row r="75" spans="2:10" ht="15" customHeight="1">
      <c r="B75" s="114">
        <v>2024</v>
      </c>
      <c r="C75" s="430">
        <f>I51</f>
        <v>51</v>
      </c>
      <c r="D75" s="431"/>
      <c r="E75" s="121">
        <f>E65</f>
        <v>0.77591644204851751</v>
      </c>
      <c r="F75" s="120">
        <f t="shared" si="1"/>
        <v>39.571738544474393</v>
      </c>
      <c r="G75" s="118">
        <f t="shared" si="4"/>
        <v>50</v>
      </c>
      <c r="H75" s="119">
        <f t="shared" si="2"/>
        <v>10.428261455525607</v>
      </c>
      <c r="I75" s="118" t="str">
        <f t="shared" si="5"/>
        <v>NO</v>
      </c>
      <c r="J75" s="117">
        <f t="shared" si="3"/>
        <v>48.571738544474393</v>
      </c>
    </row>
    <row r="76" spans="2:10" ht="15" customHeight="1">
      <c r="B76" s="114">
        <v>2025</v>
      </c>
      <c r="C76" s="430">
        <f>J51</f>
        <v>51</v>
      </c>
      <c r="D76" s="431"/>
      <c r="E76" s="121">
        <f>E65</f>
        <v>0.77591644204851751</v>
      </c>
      <c r="F76" s="120">
        <f t="shared" si="1"/>
        <v>39.571738544474393</v>
      </c>
      <c r="G76" s="118">
        <f t="shared" si="4"/>
        <v>50</v>
      </c>
      <c r="H76" s="119">
        <f t="shared" si="2"/>
        <v>10.428261455525607</v>
      </c>
      <c r="I76" s="118" t="str">
        <f t="shared" si="5"/>
        <v>NO</v>
      </c>
      <c r="J76" s="117">
        <f t="shared" si="3"/>
        <v>48.571738544474393</v>
      </c>
    </row>
    <row r="77" spans="2:10" ht="15" customHeight="1">
      <c r="B77" s="114">
        <v>2026</v>
      </c>
      <c r="C77" s="430">
        <f>K51</f>
        <v>52</v>
      </c>
      <c r="D77" s="431"/>
      <c r="E77" s="121">
        <f>E65</f>
        <v>0.77591644204851751</v>
      </c>
      <c r="F77" s="120">
        <f t="shared" si="1"/>
        <v>40.347654986522912</v>
      </c>
      <c r="G77" s="118">
        <f t="shared" si="4"/>
        <v>50</v>
      </c>
      <c r="H77" s="119">
        <f t="shared" si="2"/>
        <v>9.6523450134770883</v>
      </c>
      <c r="I77" s="118" t="str">
        <f t="shared" si="5"/>
        <v>NO</v>
      </c>
      <c r="J77" s="117">
        <f t="shared" si="3"/>
        <v>49.347654986522912</v>
      </c>
    </row>
    <row r="78" spans="2:10" ht="15" customHeight="1">
      <c r="B78" s="114">
        <v>2027</v>
      </c>
      <c r="C78" s="430">
        <f>L51</f>
        <v>52</v>
      </c>
      <c r="D78" s="431"/>
      <c r="E78" s="121">
        <f>E65</f>
        <v>0.77591644204851751</v>
      </c>
      <c r="F78" s="120">
        <f t="shared" si="1"/>
        <v>40.347654986522912</v>
      </c>
      <c r="G78" s="118">
        <f t="shared" si="4"/>
        <v>50</v>
      </c>
      <c r="H78" s="119">
        <f t="shared" si="2"/>
        <v>9.6523450134770883</v>
      </c>
      <c r="I78" s="118" t="str">
        <f t="shared" si="5"/>
        <v>NO</v>
      </c>
      <c r="J78" s="117">
        <f t="shared" si="3"/>
        <v>49.347654986522912</v>
      </c>
    </row>
    <row r="79" spans="2:10" ht="15" customHeight="1">
      <c r="B79" s="114">
        <v>2028</v>
      </c>
      <c r="C79" s="430">
        <f>M51</f>
        <v>52</v>
      </c>
      <c r="D79" s="431"/>
      <c r="E79" s="121">
        <f t="shared" ref="E79:E83" si="6">$E$65</f>
        <v>0.77591644204851751</v>
      </c>
      <c r="F79" s="120">
        <f t="shared" si="1"/>
        <v>40.347654986522912</v>
      </c>
      <c r="G79" s="118">
        <f t="shared" si="4"/>
        <v>50</v>
      </c>
      <c r="H79" s="119">
        <f t="shared" si="2"/>
        <v>9.6523450134770883</v>
      </c>
      <c r="I79" s="118" t="str">
        <f t="shared" si="5"/>
        <v>NO</v>
      </c>
      <c r="J79" s="117">
        <f t="shared" si="3"/>
        <v>49.347654986522912</v>
      </c>
    </row>
    <row r="80" spans="2:10" ht="15" customHeight="1">
      <c r="B80" s="114">
        <v>2029</v>
      </c>
      <c r="C80" s="430">
        <f>N51</f>
        <v>52</v>
      </c>
      <c r="D80" s="431"/>
      <c r="E80" s="121">
        <f t="shared" si="6"/>
        <v>0.77591644204851751</v>
      </c>
      <c r="F80" s="120">
        <f t="shared" si="1"/>
        <v>40.347654986522912</v>
      </c>
      <c r="G80" s="118">
        <f t="shared" si="4"/>
        <v>50</v>
      </c>
      <c r="H80" s="119">
        <f t="shared" si="2"/>
        <v>9.6523450134770883</v>
      </c>
      <c r="I80" s="118" t="str">
        <f t="shared" si="5"/>
        <v>NO</v>
      </c>
      <c r="J80" s="117">
        <f t="shared" si="3"/>
        <v>49.347654986522912</v>
      </c>
    </row>
    <row r="81" spans="2:10" ht="15" customHeight="1">
      <c r="B81" s="114">
        <v>2030</v>
      </c>
      <c r="C81" s="430">
        <f>O51</f>
        <v>51</v>
      </c>
      <c r="D81" s="431"/>
      <c r="E81" s="121">
        <f t="shared" si="6"/>
        <v>0.77591644204851751</v>
      </c>
      <c r="F81" s="120">
        <f t="shared" si="1"/>
        <v>39.571738544474393</v>
      </c>
      <c r="G81" s="118">
        <f t="shared" si="4"/>
        <v>50</v>
      </c>
      <c r="H81" s="119">
        <f t="shared" si="2"/>
        <v>10.428261455525607</v>
      </c>
      <c r="I81" s="118" t="str">
        <f t="shared" si="5"/>
        <v>NO</v>
      </c>
      <c r="J81" s="117">
        <f t="shared" si="3"/>
        <v>48.571738544474393</v>
      </c>
    </row>
    <row r="82" spans="2:10" ht="15" customHeight="1">
      <c r="B82" s="114">
        <v>2031</v>
      </c>
      <c r="C82" s="430">
        <f>P51</f>
        <v>51</v>
      </c>
      <c r="D82" s="431"/>
      <c r="E82" s="121">
        <f t="shared" si="6"/>
        <v>0.77591644204851751</v>
      </c>
      <c r="F82" s="120">
        <f t="shared" si="1"/>
        <v>39.571738544474393</v>
      </c>
      <c r="G82" s="118">
        <f t="shared" si="4"/>
        <v>50</v>
      </c>
      <c r="H82" s="119">
        <f t="shared" si="2"/>
        <v>10.428261455525607</v>
      </c>
      <c r="I82" s="118" t="str">
        <f t="shared" si="5"/>
        <v>NO</v>
      </c>
      <c r="J82" s="117">
        <f t="shared" si="3"/>
        <v>48.571738544474393</v>
      </c>
    </row>
    <row r="83" spans="2:10" ht="15" customHeight="1">
      <c r="B83" s="114">
        <v>2032</v>
      </c>
      <c r="C83" s="430">
        <f>Q51</f>
        <v>51</v>
      </c>
      <c r="D83" s="431"/>
      <c r="E83" s="121">
        <f t="shared" si="6"/>
        <v>0.77591644204851751</v>
      </c>
      <c r="F83" s="120">
        <f t="shared" si="1"/>
        <v>39.571738544474393</v>
      </c>
      <c r="G83" s="118">
        <f t="shared" si="4"/>
        <v>50</v>
      </c>
      <c r="H83" s="119">
        <f t="shared" si="2"/>
        <v>10.428261455525607</v>
      </c>
      <c r="I83" s="118" t="str">
        <f t="shared" si="5"/>
        <v>NO</v>
      </c>
      <c r="J83" s="117">
        <f t="shared" si="3"/>
        <v>48.571738544474393</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Hermitage Park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55</v>
      </c>
      <c r="D91" s="112">
        <f t="shared" ref="D91:J91" si="7">D188</f>
        <v>49</v>
      </c>
      <c r="E91" s="112">
        <f t="shared" si="7"/>
        <v>60</v>
      </c>
      <c r="F91" s="112">
        <f t="shared" si="7"/>
        <v>47</v>
      </c>
      <c r="G91" s="112">
        <f t="shared" si="7"/>
        <v>45</v>
      </c>
      <c r="H91" s="112">
        <f t="shared" si="7"/>
        <v>49</v>
      </c>
      <c r="I91" s="112">
        <f t="shared" si="7"/>
        <v>47</v>
      </c>
      <c r="J91" s="213">
        <f t="shared" si="7"/>
        <v>352</v>
      </c>
    </row>
    <row r="92" spans="2:10" ht="15" customHeight="1">
      <c r="B92" s="114">
        <v>2014</v>
      </c>
      <c r="C92" s="112">
        <f>C189</f>
        <v>58</v>
      </c>
      <c r="D92" s="112">
        <f t="shared" ref="D92:J92" si="8">D189</f>
        <v>56</v>
      </c>
      <c r="E92" s="112">
        <f t="shared" si="8"/>
        <v>44</v>
      </c>
      <c r="F92" s="112">
        <f t="shared" si="8"/>
        <v>52</v>
      </c>
      <c r="G92" s="112">
        <f t="shared" si="8"/>
        <v>47</v>
      </c>
      <c r="H92" s="112">
        <f t="shared" si="8"/>
        <v>38</v>
      </c>
      <c r="I92" s="112">
        <f t="shared" si="8"/>
        <v>48</v>
      </c>
      <c r="J92" s="213">
        <f t="shared" si="8"/>
        <v>343</v>
      </c>
    </row>
    <row r="93" spans="2:10" ht="15" customHeight="1">
      <c r="B93" s="114">
        <v>2015</v>
      </c>
      <c r="C93" s="112">
        <f>C190</f>
        <v>57</v>
      </c>
      <c r="D93" s="112">
        <f t="shared" ref="D93:J93" si="9">D190</f>
        <v>57</v>
      </c>
      <c r="E93" s="112">
        <f t="shared" si="9"/>
        <v>55</v>
      </c>
      <c r="F93" s="112">
        <f t="shared" si="9"/>
        <v>42</v>
      </c>
      <c r="G93" s="112">
        <f t="shared" si="9"/>
        <v>55</v>
      </c>
      <c r="H93" s="112">
        <f t="shared" si="9"/>
        <v>45</v>
      </c>
      <c r="I93" s="112">
        <f t="shared" si="9"/>
        <v>37</v>
      </c>
      <c r="J93" s="213">
        <f t="shared" si="9"/>
        <v>348</v>
      </c>
    </row>
    <row r="94" spans="2:10" ht="15" customHeight="1">
      <c r="B94" s="114">
        <v>2016</v>
      </c>
      <c r="C94" s="112">
        <f>C191</f>
        <v>47</v>
      </c>
      <c r="D94" s="112">
        <f t="shared" ref="D94:J94" si="10">D191</f>
        <v>55</v>
      </c>
      <c r="E94" s="112">
        <f t="shared" si="10"/>
        <v>54</v>
      </c>
      <c r="F94" s="112">
        <f t="shared" si="10"/>
        <v>49</v>
      </c>
      <c r="G94" s="112">
        <f t="shared" si="10"/>
        <v>44</v>
      </c>
      <c r="H94" s="112">
        <f t="shared" si="10"/>
        <v>54</v>
      </c>
      <c r="I94" s="112">
        <f t="shared" si="10"/>
        <v>48</v>
      </c>
      <c r="J94" s="213">
        <f t="shared" si="10"/>
        <v>351</v>
      </c>
    </row>
    <row r="95" spans="2:10" ht="15" customHeight="1">
      <c r="B95" s="114">
        <v>2017</v>
      </c>
      <c r="C95" s="112">
        <f>C192</f>
        <v>52</v>
      </c>
      <c r="D95" s="112">
        <f t="shared" ref="D95:J95" si="11">D192</f>
        <v>43</v>
      </c>
      <c r="E95" s="112">
        <f t="shared" si="11"/>
        <v>51</v>
      </c>
      <c r="F95" s="112">
        <f t="shared" si="11"/>
        <v>49</v>
      </c>
      <c r="G95" s="112">
        <f t="shared" si="11"/>
        <v>47</v>
      </c>
      <c r="H95" s="112">
        <f t="shared" si="11"/>
        <v>40</v>
      </c>
      <c r="I95" s="112">
        <f t="shared" si="11"/>
        <v>54</v>
      </c>
      <c r="J95" s="213">
        <f t="shared" si="11"/>
        <v>336</v>
      </c>
    </row>
    <row r="96" spans="2:10" ht="15" customHeight="1">
      <c r="B96" s="307">
        <v>2018</v>
      </c>
      <c r="C96" s="112">
        <f t="shared" ref="C96:J96" si="12">C193</f>
        <v>50</v>
      </c>
      <c r="D96" s="112">
        <f t="shared" si="12"/>
        <v>52</v>
      </c>
      <c r="E96" s="112">
        <f t="shared" si="12"/>
        <v>41</v>
      </c>
      <c r="F96" s="112">
        <f t="shared" si="12"/>
        <v>48</v>
      </c>
      <c r="G96" s="112">
        <f t="shared" si="12"/>
        <v>47</v>
      </c>
      <c r="H96" s="112">
        <f t="shared" si="12"/>
        <v>44</v>
      </c>
      <c r="I96" s="112">
        <f t="shared" si="12"/>
        <v>40</v>
      </c>
      <c r="J96" s="213">
        <f t="shared" si="12"/>
        <v>322</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1.7241379310344827E-2</v>
      </c>
      <c r="E98" s="210">
        <f t="shared" ref="E98:I98" si="13">MEDIAN(((D91-E92)/D91),((D92-E93)/D92),((D93-E94)/D93),((D94-E95)/D94),((D95-E96)/D95))</f>
        <v>5.2631578947368418E-2</v>
      </c>
      <c r="F98" s="210">
        <f t="shared" si="13"/>
        <v>9.2592592592592587E-2</v>
      </c>
      <c r="G98" s="210">
        <f t="shared" si="13"/>
        <v>0</v>
      </c>
      <c r="H98" s="210">
        <f t="shared" si="13"/>
        <v>6.3829787234042548E-2</v>
      </c>
      <c r="I98" s="210">
        <f t="shared" si="13"/>
        <v>0</v>
      </c>
    </row>
    <row r="99" spans="2:10" ht="15" customHeight="1">
      <c r="B99" s="59"/>
      <c r="C99" s="60"/>
      <c r="D99" s="61"/>
      <c r="E99" s="61"/>
      <c r="F99" s="61"/>
      <c r="G99" s="61"/>
      <c r="H99" s="61"/>
      <c r="I99" s="61"/>
      <c r="J99" s="58"/>
    </row>
    <row r="100" spans="2:10" ht="15" customHeight="1">
      <c r="B100" s="15" t="str">
        <f>"Table 4B: "&amp;E3&amp;" Projected Roll by Stage (incorporating Projected P1 and Drop-Off Rates), 2019-2032"</f>
        <v>Table 4B: Hermitage Park Primary School Projected Roll by Stage (incorporating Projected P1 and Drop-Off Rates), 2019-2032</v>
      </c>
      <c r="F100" s="14"/>
      <c r="G100" s="14"/>
    </row>
    <row r="101" spans="2:10" ht="15" customHeight="1">
      <c r="F101" s="14"/>
      <c r="G101" s="14"/>
    </row>
    <row r="102" spans="2:10" ht="15" customHeight="1">
      <c r="B102" s="115"/>
      <c r="C102" s="109" t="s">
        <v>1</v>
      </c>
      <c r="D102" s="109" t="s">
        <v>2</v>
      </c>
      <c r="E102" s="109" t="s">
        <v>3</v>
      </c>
      <c r="F102" s="109" t="s">
        <v>4</v>
      </c>
      <c r="G102" s="109" t="s">
        <v>5</v>
      </c>
      <c r="H102" s="109" t="s">
        <v>6</v>
      </c>
      <c r="I102" s="109" t="s">
        <v>7</v>
      </c>
      <c r="J102" s="109" t="s">
        <v>8</v>
      </c>
    </row>
    <row r="103" spans="2:10" ht="15" customHeight="1">
      <c r="B103" s="114">
        <v>2019</v>
      </c>
      <c r="C103" s="113">
        <f t="shared" ref="C103:C116" si="14">J70</f>
        <v>48.571738544474393</v>
      </c>
      <c r="D103" s="324">
        <f>ROUND((C96)-(C96*$D$98),0)</f>
        <v>49</v>
      </c>
      <c r="E103" s="324">
        <f>ROUND((D96)-(D96*$E$98),0)</f>
        <v>49</v>
      </c>
      <c r="F103" s="324">
        <f>ROUND((E96)-(E96*$F$98),0)</f>
        <v>37</v>
      </c>
      <c r="G103" s="324">
        <f>ROUND((F96)-(F96*$G$98),0)</f>
        <v>48</v>
      </c>
      <c r="H103" s="324">
        <f>ROUND((G96)-(G96*$H$98),0)</f>
        <v>44</v>
      </c>
      <c r="I103" s="324">
        <f>ROUND((H96)-(H96*$I$98),0)</f>
        <v>44</v>
      </c>
      <c r="J103" s="111">
        <f t="shared" ref="J103:J116" si="15">SUM(C103:I103)</f>
        <v>319.57173854447439</v>
      </c>
    </row>
    <row r="104" spans="2:10" ht="15" customHeight="1">
      <c r="B104" s="114">
        <v>2020</v>
      </c>
      <c r="C104" s="113">
        <f t="shared" si="14"/>
        <v>50</v>
      </c>
      <c r="D104" s="324">
        <f>ROUND((C103-E50)-(C103*$D$98),0)</f>
        <v>48</v>
      </c>
      <c r="E104" s="112">
        <f t="shared" ref="E104:E116" si="16">ROUND((D103)-(D103*$E$98),0)</f>
        <v>46</v>
      </c>
      <c r="F104" s="112">
        <f t="shared" ref="F104:F116" si="17">ROUND((E103)-(E103*$F$98),0)</f>
        <v>44</v>
      </c>
      <c r="G104" s="112">
        <f t="shared" ref="G104:G116" si="18">ROUND((F103)-(F103*$G$98),0)</f>
        <v>37</v>
      </c>
      <c r="H104" s="112">
        <f t="shared" ref="H104:H116" si="19">ROUND((G103)-(G103*$H$98),0)</f>
        <v>45</v>
      </c>
      <c r="I104" s="112">
        <f t="shared" ref="I104:I116" si="20">ROUND((H103)-(H103*$I$98),0)</f>
        <v>44</v>
      </c>
      <c r="J104" s="111">
        <f t="shared" si="15"/>
        <v>314</v>
      </c>
    </row>
    <row r="105" spans="2:10" ht="15" customHeight="1">
      <c r="B105" s="114">
        <v>2021</v>
      </c>
      <c r="C105" s="113">
        <f t="shared" si="14"/>
        <v>49.347654986522912</v>
      </c>
      <c r="D105" s="324">
        <f>ROUND((C104-F50)-(C104*$D$98),0)</f>
        <v>48</v>
      </c>
      <c r="E105" s="112">
        <f t="shared" si="16"/>
        <v>45</v>
      </c>
      <c r="F105" s="112">
        <f t="shared" si="17"/>
        <v>42</v>
      </c>
      <c r="G105" s="112">
        <f t="shared" si="18"/>
        <v>44</v>
      </c>
      <c r="H105" s="112">
        <f t="shared" si="19"/>
        <v>35</v>
      </c>
      <c r="I105" s="112">
        <f t="shared" si="20"/>
        <v>45</v>
      </c>
      <c r="J105" s="111">
        <f t="shared" si="15"/>
        <v>308.34765498652291</v>
      </c>
    </row>
    <row r="106" spans="2:10" ht="15" customHeight="1">
      <c r="B106" s="114">
        <v>2022</v>
      </c>
      <c r="C106" s="113">
        <f t="shared" si="14"/>
        <v>40.812574123989222</v>
      </c>
      <c r="D106" s="324">
        <f>ROUND((C105-G50)-(C105*$D$98),0)</f>
        <v>47</v>
      </c>
      <c r="E106" s="112">
        <f t="shared" si="16"/>
        <v>45</v>
      </c>
      <c r="F106" s="112">
        <f t="shared" si="17"/>
        <v>41</v>
      </c>
      <c r="G106" s="112">
        <f t="shared" si="18"/>
        <v>42</v>
      </c>
      <c r="H106" s="112">
        <f t="shared" si="19"/>
        <v>41</v>
      </c>
      <c r="I106" s="112">
        <f t="shared" si="20"/>
        <v>35</v>
      </c>
      <c r="J106" s="111">
        <f t="shared" si="15"/>
        <v>291.81257412398924</v>
      </c>
    </row>
    <row r="107" spans="2:10" ht="15" customHeight="1">
      <c r="B107" s="114">
        <v>2023</v>
      </c>
      <c r="C107" s="113">
        <f t="shared" si="14"/>
        <v>47.795822102425873</v>
      </c>
      <c r="D107" s="324">
        <f>ROUND((C106-H50)-(C106*$D$98),0)</f>
        <v>39</v>
      </c>
      <c r="E107" s="112">
        <f t="shared" si="16"/>
        <v>45</v>
      </c>
      <c r="F107" s="112">
        <f t="shared" si="17"/>
        <v>41</v>
      </c>
      <c r="G107" s="112">
        <f t="shared" si="18"/>
        <v>41</v>
      </c>
      <c r="H107" s="112">
        <f t="shared" si="19"/>
        <v>39</v>
      </c>
      <c r="I107" s="112">
        <f t="shared" si="20"/>
        <v>41</v>
      </c>
      <c r="J107" s="111">
        <f t="shared" si="15"/>
        <v>293.79582210242586</v>
      </c>
    </row>
    <row r="108" spans="2:10" ht="15" customHeight="1">
      <c r="B108" s="114">
        <v>2024</v>
      </c>
      <c r="C108" s="113">
        <f t="shared" si="14"/>
        <v>48.571738544474393</v>
      </c>
      <c r="D108" s="324">
        <f>ROUND((C107-I50)-(C107*$D$98),0)</f>
        <v>46</v>
      </c>
      <c r="E108" s="112">
        <f t="shared" si="16"/>
        <v>37</v>
      </c>
      <c r="F108" s="112">
        <f t="shared" si="17"/>
        <v>41</v>
      </c>
      <c r="G108" s="112">
        <f t="shared" si="18"/>
        <v>41</v>
      </c>
      <c r="H108" s="112">
        <f t="shared" si="19"/>
        <v>38</v>
      </c>
      <c r="I108" s="112">
        <f t="shared" si="20"/>
        <v>39</v>
      </c>
      <c r="J108" s="111">
        <f t="shared" si="15"/>
        <v>290.57173854447439</v>
      </c>
    </row>
    <row r="109" spans="2:10" ht="15" customHeight="1">
      <c r="B109" s="114">
        <v>2025</v>
      </c>
      <c r="C109" s="113">
        <f t="shared" si="14"/>
        <v>48.571738544474393</v>
      </c>
      <c r="D109" s="324">
        <f>ROUND((C108-J50)-(C108*$D$98),0)</f>
        <v>47</v>
      </c>
      <c r="E109" s="112">
        <f t="shared" si="16"/>
        <v>44</v>
      </c>
      <c r="F109" s="112">
        <f t="shared" si="17"/>
        <v>34</v>
      </c>
      <c r="G109" s="112">
        <f t="shared" si="18"/>
        <v>41</v>
      </c>
      <c r="H109" s="112">
        <f t="shared" si="19"/>
        <v>38</v>
      </c>
      <c r="I109" s="112">
        <f t="shared" si="20"/>
        <v>38</v>
      </c>
      <c r="J109" s="111">
        <f t="shared" si="15"/>
        <v>290.57173854447439</v>
      </c>
    </row>
    <row r="110" spans="2:10" ht="15" customHeight="1">
      <c r="B110" s="114">
        <v>2026</v>
      </c>
      <c r="C110" s="113">
        <f t="shared" si="14"/>
        <v>49.347654986522912</v>
      </c>
      <c r="D110" s="324">
        <f>ROUND((C109-K50)-(C109*$D$98),0)</f>
        <v>47</v>
      </c>
      <c r="E110" s="112">
        <f t="shared" si="16"/>
        <v>45</v>
      </c>
      <c r="F110" s="112">
        <f t="shared" si="17"/>
        <v>40</v>
      </c>
      <c r="G110" s="112">
        <f t="shared" si="18"/>
        <v>34</v>
      </c>
      <c r="H110" s="112">
        <f t="shared" si="19"/>
        <v>38</v>
      </c>
      <c r="I110" s="112">
        <f t="shared" si="20"/>
        <v>38</v>
      </c>
      <c r="J110" s="111">
        <f t="shared" si="15"/>
        <v>291.34765498652291</v>
      </c>
    </row>
    <row r="111" spans="2:10" ht="15" customHeight="1">
      <c r="B111" s="114">
        <v>2027</v>
      </c>
      <c r="C111" s="113">
        <f t="shared" si="14"/>
        <v>49.347654986522912</v>
      </c>
      <c r="D111" s="324">
        <f>ROUND((C110-L50)-(C110*$D$98),0)</f>
        <v>47</v>
      </c>
      <c r="E111" s="112">
        <f t="shared" si="16"/>
        <v>45</v>
      </c>
      <c r="F111" s="112">
        <f t="shared" si="17"/>
        <v>41</v>
      </c>
      <c r="G111" s="112">
        <f t="shared" si="18"/>
        <v>40</v>
      </c>
      <c r="H111" s="112">
        <f t="shared" si="19"/>
        <v>32</v>
      </c>
      <c r="I111" s="112">
        <f t="shared" si="20"/>
        <v>38</v>
      </c>
      <c r="J111" s="111">
        <f t="shared" si="15"/>
        <v>292.34765498652291</v>
      </c>
    </row>
    <row r="112" spans="2:10" ht="15" customHeight="1">
      <c r="B112" s="114">
        <v>2028</v>
      </c>
      <c r="C112" s="113">
        <f t="shared" si="14"/>
        <v>49.347654986522912</v>
      </c>
      <c r="D112" s="324">
        <f>ROUND((C111-M50)-(C111*$D$98),0)</f>
        <v>47</v>
      </c>
      <c r="E112" s="112">
        <f t="shared" si="16"/>
        <v>45</v>
      </c>
      <c r="F112" s="112">
        <f t="shared" si="17"/>
        <v>41</v>
      </c>
      <c r="G112" s="112">
        <f t="shared" si="18"/>
        <v>41</v>
      </c>
      <c r="H112" s="112">
        <f t="shared" si="19"/>
        <v>37</v>
      </c>
      <c r="I112" s="112">
        <f t="shared" si="20"/>
        <v>32</v>
      </c>
      <c r="J112" s="111">
        <f t="shared" si="15"/>
        <v>292.34765498652291</v>
      </c>
    </row>
    <row r="113" spans="2:10" ht="15" customHeight="1">
      <c r="B113" s="114">
        <v>2029</v>
      </c>
      <c r="C113" s="113">
        <f t="shared" si="14"/>
        <v>49.347654986522912</v>
      </c>
      <c r="D113" s="324">
        <f>ROUND((C112-N50)-(C112*$D$98),0)</f>
        <v>47</v>
      </c>
      <c r="E113" s="112">
        <f t="shared" si="16"/>
        <v>45</v>
      </c>
      <c r="F113" s="112">
        <f t="shared" si="17"/>
        <v>41</v>
      </c>
      <c r="G113" s="112">
        <f t="shared" si="18"/>
        <v>41</v>
      </c>
      <c r="H113" s="112">
        <f t="shared" si="19"/>
        <v>38</v>
      </c>
      <c r="I113" s="112">
        <f t="shared" si="20"/>
        <v>37</v>
      </c>
      <c r="J113" s="111">
        <f t="shared" si="15"/>
        <v>298.34765498652291</v>
      </c>
    </row>
    <row r="114" spans="2:10" ht="15" customHeight="1">
      <c r="B114" s="114">
        <v>2030</v>
      </c>
      <c r="C114" s="113">
        <f t="shared" si="14"/>
        <v>48.571738544474393</v>
      </c>
      <c r="D114" s="324">
        <f>ROUND((C113-O50)-(C113*$D$98),0)</f>
        <v>48</v>
      </c>
      <c r="E114" s="112">
        <f t="shared" si="16"/>
        <v>45</v>
      </c>
      <c r="F114" s="112">
        <f t="shared" si="17"/>
        <v>41</v>
      </c>
      <c r="G114" s="112">
        <f t="shared" si="18"/>
        <v>41</v>
      </c>
      <c r="H114" s="112">
        <f t="shared" si="19"/>
        <v>38</v>
      </c>
      <c r="I114" s="112">
        <f t="shared" si="20"/>
        <v>38</v>
      </c>
      <c r="J114" s="111">
        <f t="shared" si="15"/>
        <v>299.57173854447439</v>
      </c>
    </row>
    <row r="115" spans="2:10" ht="15" customHeight="1">
      <c r="B115" s="114">
        <v>2031</v>
      </c>
      <c r="C115" s="113">
        <f t="shared" si="14"/>
        <v>48.571738544474393</v>
      </c>
      <c r="D115" s="324">
        <f>ROUND((C114-P50)-(C114*$D$98),0)</f>
        <v>48</v>
      </c>
      <c r="E115" s="112">
        <f t="shared" si="16"/>
        <v>45</v>
      </c>
      <c r="F115" s="112">
        <f t="shared" si="17"/>
        <v>41</v>
      </c>
      <c r="G115" s="112">
        <f t="shared" si="18"/>
        <v>41</v>
      </c>
      <c r="H115" s="112">
        <f t="shared" si="19"/>
        <v>38</v>
      </c>
      <c r="I115" s="112">
        <f t="shared" si="20"/>
        <v>38</v>
      </c>
      <c r="J115" s="111">
        <f t="shared" si="15"/>
        <v>299.57173854447439</v>
      </c>
    </row>
    <row r="116" spans="2:10" ht="15" customHeight="1">
      <c r="B116" s="114">
        <v>2032</v>
      </c>
      <c r="C116" s="113">
        <f t="shared" si="14"/>
        <v>48.571738544474393</v>
      </c>
      <c r="D116" s="324">
        <f>ROUND((C115-Q50)-(C115*$D$98),0)</f>
        <v>48</v>
      </c>
      <c r="E116" s="112">
        <f t="shared" si="16"/>
        <v>45</v>
      </c>
      <c r="F116" s="112">
        <f t="shared" si="17"/>
        <v>41</v>
      </c>
      <c r="G116" s="112">
        <f t="shared" si="18"/>
        <v>41</v>
      </c>
      <c r="H116" s="112">
        <f t="shared" si="19"/>
        <v>38</v>
      </c>
      <c r="I116" s="112">
        <f t="shared" si="20"/>
        <v>38</v>
      </c>
      <c r="J116" s="111">
        <f t="shared" si="15"/>
        <v>299.57173854447439</v>
      </c>
    </row>
    <row r="117" spans="2:10" ht="15" customHeight="1">
      <c r="F117" s="14"/>
      <c r="G117" s="14"/>
    </row>
    <row r="118" spans="2:10" ht="15" customHeight="1">
      <c r="B118" s="15" t="str">
        <f>"Table 4C: "&amp;E3&amp;" Projected Pupil Generation from Housing Development, 2019-2032"</f>
        <v>Table 4C: Hermitage Park Primary School Projected Pupil Generation from Housing Development, 2019-2032</v>
      </c>
      <c r="F118" s="14"/>
      <c r="G118" s="14"/>
    </row>
    <row r="119" spans="2:10" ht="15" customHeight="1">
      <c r="F119" s="14"/>
      <c r="G119" s="14"/>
    </row>
    <row r="120" spans="2:10" ht="15" customHeight="1">
      <c r="B120" s="115"/>
      <c r="C120" s="109" t="s">
        <v>1</v>
      </c>
      <c r="D120" s="109" t="s">
        <v>2</v>
      </c>
      <c r="E120" s="109" t="s">
        <v>3</v>
      </c>
      <c r="F120" s="109" t="s">
        <v>4</v>
      </c>
      <c r="G120" s="109" t="s">
        <v>5</v>
      </c>
      <c r="H120" s="109" t="s">
        <v>6</v>
      </c>
      <c r="I120" s="109" t="s">
        <v>7</v>
      </c>
      <c r="J120" s="109" t="s">
        <v>8</v>
      </c>
    </row>
    <row r="121" spans="2:10" ht="15" customHeight="1">
      <c r="B121" s="114">
        <v>2019</v>
      </c>
      <c r="C121" s="116" t="s">
        <v>97</v>
      </c>
      <c r="D121" s="112">
        <f>VLOOKUP($E$3,'Housing Generation'!$A$3:$BE$90,11,FALSE)</f>
        <v>0</v>
      </c>
      <c r="E121" s="112">
        <f>VLOOKUP($E$3,'Housing Generation'!$A$3:$BE$90,12,FALSE)</f>
        <v>0</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0</v>
      </c>
    </row>
    <row r="122" spans="2:10" ht="15" customHeight="1">
      <c r="B122" s="114">
        <v>2020</v>
      </c>
      <c r="C122" s="116" t="s">
        <v>97</v>
      </c>
      <c r="D122" s="112">
        <f>VLOOKUP($E$3,'Housing Generation'!$A$3:$BE$90,19,FALSE)</f>
        <v>0</v>
      </c>
      <c r="E122" s="112">
        <f>VLOOKUP($E$3,'Housing Generation'!$A$3:$BE$90,20,FALSE)</f>
        <v>0</v>
      </c>
      <c r="F122" s="112">
        <f>VLOOKUP($E$3,'Housing Generation'!$A$3:$BE$90,21,FALSE)</f>
        <v>0</v>
      </c>
      <c r="G122" s="112">
        <f>VLOOKUP($E$3,'Housing Generation'!$A$3:$BE$90,22,FALSE)</f>
        <v>0</v>
      </c>
      <c r="H122" s="112">
        <f>VLOOKUP($E$3,'Housing Generation'!$A$3:$BE$90,23,FALSE)</f>
        <v>0</v>
      </c>
      <c r="I122" s="112">
        <f>VLOOKUP($E$3,'Housing Generation'!$A$3:$BE$90,24,FALSE)</f>
        <v>0</v>
      </c>
      <c r="J122" s="111">
        <f t="shared" si="21"/>
        <v>0</v>
      </c>
    </row>
    <row r="123" spans="2:10" ht="15" customHeight="1">
      <c r="B123" s="114">
        <v>2021</v>
      </c>
      <c r="C123" s="116" t="s">
        <v>97</v>
      </c>
      <c r="D123" s="112">
        <f>VLOOKUP($E$3,'Housing Generation'!$A$3:$BE$90,27,FALSE)</f>
        <v>0</v>
      </c>
      <c r="E123" s="112">
        <f>VLOOKUP($E$3,'Housing Generation'!$A$3:$BE$90,28,FALSE)</f>
        <v>0</v>
      </c>
      <c r="F123" s="112">
        <f>VLOOKUP($E$3,'Housing Generation'!$A$3:$BE$90,29,FALSE)</f>
        <v>0</v>
      </c>
      <c r="G123" s="112">
        <f>VLOOKUP($E$3,'Housing Generation'!$A$3:$BE$90,30,FALSE)</f>
        <v>0</v>
      </c>
      <c r="H123" s="112">
        <f>VLOOKUP($E$3,'Housing Generation'!$A$3:$BE$90,31,FALSE)</f>
        <v>0</v>
      </c>
      <c r="I123" s="112">
        <f>VLOOKUP($E$3,'Housing Generation'!$A$3:$BE$90,32,FALSE)</f>
        <v>0</v>
      </c>
      <c r="J123" s="111">
        <f t="shared" si="21"/>
        <v>0</v>
      </c>
    </row>
    <row r="124" spans="2:10" ht="15" customHeight="1">
      <c r="B124" s="114">
        <v>2022</v>
      </c>
      <c r="C124" s="116" t="s">
        <v>97</v>
      </c>
      <c r="D124" s="112">
        <f>VLOOKUP($E$3,'Housing Generation'!$A$3:$BE$90,35,FALSE)</f>
        <v>1</v>
      </c>
      <c r="E124" s="112">
        <f>VLOOKUP($E$3,'Housing Generation'!$A$3:$BE$90,36,FALSE)</f>
        <v>0</v>
      </c>
      <c r="F124" s="112">
        <f>VLOOKUP($E$3,'Housing Generation'!$A$3:$BE$90,37,FALSE)</f>
        <v>0</v>
      </c>
      <c r="G124" s="112">
        <f>VLOOKUP($E$3,'Housing Generation'!$A$3:$BE$90,38,FALSE)</f>
        <v>0</v>
      </c>
      <c r="H124" s="112">
        <f>VLOOKUP($E$3,'Housing Generation'!$A$3:$BE$90,39,FALSE)</f>
        <v>0</v>
      </c>
      <c r="I124" s="112">
        <f>VLOOKUP($E$3,'Housing Generation'!$A$3:$BE$90,40,FALSE)</f>
        <v>0</v>
      </c>
      <c r="J124" s="111">
        <f t="shared" si="21"/>
        <v>1</v>
      </c>
    </row>
    <row r="125" spans="2:10" ht="15" customHeight="1">
      <c r="B125" s="114">
        <v>2023</v>
      </c>
      <c r="C125" s="116" t="s">
        <v>97</v>
      </c>
      <c r="D125" s="112">
        <f>VLOOKUP($E$3,'Housing Generation'!$A$3:$BE$90,43,FALSE)</f>
        <v>1</v>
      </c>
      <c r="E125" s="112">
        <f>VLOOKUP($E$3,'Housing Generation'!$A$3:$BE$90,44,FALSE)</f>
        <v>0</v>
      </c>
      <c r="F125" s="112">
        <f>VLOOKUP($E$3,'Housing Generation'!$A$3:$BE$90,45,FALSE)</f>
        <v>0</v>
      </c>
      <c r="G125" s="112">
        <f>VLOOKUP($E$3,'Housing Generation'!$A$3:$BE$90,46,FALSE)</f>
        <v>0</v>
      </c>
      <c r="H125" s="112">
        <f>VLOOKUP($E$3,'Housing Generation'!$A$3:$BE$90,47,FALSE)</f>
        <v>0</v>
      </c>
      <c r="I125" s="112">
        <f>VLOOKUP($E$3,'Housing Generation'!$A$3:$BE$90,48,FALSE)</f>
        <v>0</v>
      </c>
      <c r="J125" s="111">
        <f t="shared" si="21"/>
        <v>1</v>
      </c>
    </row>
    <row r="126" spans="2:10" ht="15" customHeight="1">
      <c r="B126" s="114">
        <v>2024</v>
      </c>
      <c r="C126" s="116" t="s">
        <v>97</v>
      </c>
      <c r="D126" s="112">
        <f>VLOOKUP($E$3,'Housing Generation'!$A$3:$BE$90,51,FALSE)</f>
        <v>1</v>
      </c>
      <c r="E126" s="112">
        <f>VLOOKUP($E$3,'Housing Generation'!$A$3:$BE$90,52,FALSE)</f>
        <v>0</v>
      </c>
      <c r="F126" s="112">
        <f>VLOOKUP($E$3,'Housing Generation'!$A$3:$BE$90,53,FALSE)</f>
        <v>0</v>
      </c>
      <c r="G126" s="112">
        <f>VLOOKUP($E$3,'Housing Generation'!$A$3:$BE$90,54,FALSE)</f>
        <v>0</v>
      </c>
      <c r="H126" s="112">
        <f>VLOOKUP($E$3,'Housing Generation'!$A$3:$BE$90,55,FALSE)</f>
        <v>0</v>
      </c>
      <c r="I126" s="112">
        <f>VLOOKUP($E$3,'Housing Generation'!$A$3:$BE$90,56,FALSE)</f>
        <v>0</v>
      </c>
      <c r="J126" s="111">
        <f t="shared" si="21"/>
        <v>1</v>
      </c>
    </row>
    <row r="127" spans="2:10" ht="15" customHeight="1">
      <c r="B127" s="114">
        <v>2025</v>
      </c>
      <c r="C127" s="240" t="s">
        <v>97</v>
      </c>
      <c r="D127" s="112">
        <f>VLOOKUP($E$3,'Housing Generation'!$A$3:$CK$90,59,FALSE)</f>
        <v>1</v>
      </c>
      <c r="E127" s="112">
        <f>VLOOKUP($E$3,'Housing Generation'!$A$3:$CK$90,60,FALSE)</f>
        <v>0</v>
      </c>
      <c r="F127" s="112">
        <f>VLOOKUP($E$3,'Housing Generation'!$A$3:$CK$90,61,FALSE)</f>
        <v>0</v>
      </c>
      <c r="G127" s="112">
        <f>VLOOKUP($E$3,'Housing Generation'!$A$3:$CK$90,62,FALSE)</f>
        <v>0</v>
      </c>
      <c r="H127" s="112">
        <f>VLOOKUP($E$3,'Housing Generation'!$A$3:$CK$90,63,FALSE)</f>
        <v>0</v>
      </c>
      <c r="I127" s="112">
        <f>VLOOKUP($E$3,'Housing Generation'!$A$3:$CK$90,64,FALSE)</f>
        <v>0</v>
      </c>
      <c r="J127" s="111">
        <f t="shared" si="21"/>
        <v>1</v>
      </c>
    </row>
    <row r="128" spans="2:10" ht="15" customHeight="1">
      <c r="B128" s="114">
        <v>2026</v>
      </c>
      <c r="C128" s="240" t="s">
        <v>97</v>
      </c>
      <c r="D128" s="112">
        <f>VLOOKUP($E$3,'Housing Generation'!$A$3:$CK$90,67,FALSE)</f>
        <v>1</v>
      </c>
      <c r="E128" s="112">
        <f>VLOOKUP($E$3,'Housing Generation'!$A$3:$CK$90,68,FALSE)</f>
        <v>0</v>
      </c>
      <c r="F128" s="112">
        <f>VLOOKUP($E$3,'Housing Generation'!$A$3:$CK$90,69,FALSE)</f>
        <v>0</v>
      </c>
      <c r="G128" s="112">
        <f>VLOOKUP($E$3,'Housing Generation'!$A$3:$CK$90,70,FALSE)</f>
        <v>0</v>
      </c>
      <c r="H128" s="112">
        <f>VLOOKUP($E$3,'Housing Generation'!$A$3:$CK$90,71,FALSE)</f>
        <v>0</v>
      </c>
      <c r="I128" s="112">
        <f>VLOOKUP($E$3,'Housing Generation'!$A$3:$CK$90,72,FALSE)</f>
        <v>0</v>
      </c>
      <c r="J128" s="111">
        <f t="shared" si="21"/>
        <v>1</v>
      </c>
    </row>
    <row r="129" spans="2:10" ht="15" customHeight="1">
      <c r="B129" s="114">
        <v>2027</v>
      </c>
      <c r="C129" s="240" t="s">
        <v>97</v>
      </c>
      <c r="D129" s="112">
        <f>VLOOKUP($E$3,'Housing Generation'!$A$3:$CK$90,75,FALSE)</f>
        <v>1</v>
      </c>
      <c r="E129" s="112">
        <f>VLOOKUP($E$3,'Housing Generation'!$A$3:$CK$90,76,FALSE)</f>
        <v>0</v>
      </c>
      <c r="F129" s="112">
        <f>VLOOKUP($E$3,'Housing Generation'!$A$3:$CK$90,77,FALSE)</f>
        <v>0</v>
      </c>
      <c r="G129" s="112">
        <f>VLOOKUP($E$3,'Housing Generation'!$A$3:$CK$90,78,FALSE)</f>
        <v>0</v>
      </c>
      <c r="H129" s="112">
        <f>VLOOKUP($E$3,'Housing Generation'!$A$3:$CK$90,79,FALSE)</f>
        <v>0</v>
      </c>
      <c r="I129" s="112">
        <f>VLOOKUP($E$3,'Housing Generation'!$A$3:$CK$90,80,FALSE)</f>
        <v>0</v>
      </c>
      <c r="J129" s="111">
        <f t="shared" si="21"/>
        <v>1</v>
      </c>
    </row>
    <row r="130" spans="2:10" ht="15" customHeight="1">
      <c r="B130" s="114">
        <v>2028</v>
      </c>
      <c r="C130" s="289" t="s">
        <v>97</v>
      </c>
      <c r="D130" s="112">
        <f>VLOOKUP($E$3,'Housing Generation'!$A$3:$CK$90,83,FALSE)</f>
        <v>1</v>
      </c>
      <c r="E130" s="112">
        <f>VLOOKUP($E$3,'Housing Generation'!$A$3:$CK$90,84,FALSE)</f>
        <v>0</v>
      </c>
      <c r="F130" s="112">
        <f>VLOOKUP($E$3,'Housing Generation'!$A$3:$CK$90,85,FALSE)</f>
        <v>0</v>
      </c>
      <c r="G130" s="112">
        <f>VLOOKUP($E$3,'Housing Generation'!$A$3:$CK$90,86,FALSE)</f>
        <v>0</v>
      </c>
      <c r="H130" s="112">
        <f>VLOOKUP($E$3,'Housing Generation'!$A$3:$CK$90,87,FALSE)</f>
        <v>0</v>
      </c>
      <c r="I130" s="112">
        <f>VLOOKUP($E$3,'Housing Generation'!$A$3:$CK$90,88,FALSE)</f>
        <v>0</v>
      </c>
      <c r="J130" s="111">
        <f t="shared" si="21"/>
        <v>1</v>
      </c>
    </row>
    <row r="131" spans="2:10" ht="15" customHeight="1">
      <c r="B131" s="114">
        <v>2029</v>
      </c>
      <c r="C131" s="289" t="s">
        <v>97</v>
      </c>
      <c r="D131" s="112">
        <f>VLOOKUP($E$3,'Housing Generation'!$A$3:$DQ$90,91,FALSE)</f>
        <v>1</v>
      </c>
      <c r="E131" s="112">
        <f>VLOOKUP($E$3,'Housing Generation'!$A$3:$DQ$90,92,FALSE)</f>
        <v>0</v>
      </c>
      <c r="F131" s="112">
        <f>VLOOKUP($E$3,'Housing Generation'!$A$3:$DQ$90,93,FALSE)</f>
        <v>0</v>
      </c>
      <c r="G131" s="112">
        <f>VLOOKUP($E$3,'Housing Generation'!$A$3:$DQ$90,94,FALSE)</f>
        <v>0</v>
      </c>
      <c r="H131" s="112">
        <f>VLOOKUP($E$3,'Housing Generation'!$A$3:$DQ$90,95,FALSE)</f>
        <v>0</v>
      </c>
      <c r="I131" s="112">
        <f>VLOOKUP($E$3,'Housing Generation'!$A$3:$DQ$90,96,FALSE)</f>
        <v>0</v>
      </c>
      <c r="J131" s="111">
        <f t="shared" si="21"/>
        <v>1</v>
      </c>
    </row>
    <row r="132" spans="2:10" ht="15" customHeight="1">
      <c r="B132" s="114">
        <v>2030</v>
      </c>
      <c r="C132" s="289" t="s">
        <v>97</v>
      </c>
      <c r="D132" s="112">
        <f>VLOOKUP($E$3,'Housing Generation'!$A$3:$DQ$90,99,FALSE)</f>
        <v>0</v>
      </c>
      <c r="E132" s="112">
        <f>VLOOKUP($E$3,'Housing Generation'!$A$3:$DQ$90,100,FALSE)</f>
        <v>0</v>
      </c>
      <c r="F132" s="112">
        <f>VLOOKUP($E$3,'Housing Generation'!$A$3:$DQ$90,101,FALSE)</f>
        <v>0</v>
      </c>
      <c r="G132" s="112">
        <f>VLOOKUP($E$3,'Housing Generation'!$A$3:$DQ$90,102,FALSE)</f>
        <v>0</v>
      </c>
      <c r="H132" s="112">
        <f>VLOOKUP($E$3,'Housing Generation'!$A$3:$DQ$90,103,FALSE)</f>
        <v>0</v>
      </c>
      <c r="I132" s="112">
        <f>VLOOKUP($E$3,'Housing Generation'!$A$3:$DQ$90,104,FALSE)</f>
        <v>0</v>
      </c>
      <c r="J132" s="111">
        <f t="shared" si="21"/>
        <v>0</v>
      </c>
    </row>
    <row r="133" spans="2:10" ht="15" customHeight="1">
      <c r="B133" s="114">
        <v>2031</v>
      </c>
      <c r="C133" s="289" t="s">
        <v>97</v>
      </c>
      <c r="D133" s="112">
        <f>VLOOKUP($E$3,'Housing Generation'!$A$3:$DQ$90,107,FALSE)</f>
        <v>0</v>
      </c>
      <c r="E133" s="112">
        <f>VLOOKUP($E$3,'Housing Generation'!$A$3:$DQ$90,108,FALSE)</f>
        <v>0</v>
      </c>
      <c r="F133" s="112">
        <f>VLOOKUP($E$3,'Housing Generation'!$A$3:$DQ$90,109,FALSE)</f>
        <v>0</v>
      </c>
      <c r="G133" s="112">
        <f>VLOOKUP($E$3,'Housing Generation'!$A$3:$DQ$90,110,FALSE)</f>
        <v>0</v>
      </c>
      <c r="H133" s="112">
        <f>VLOOKUP($E$3,'Housing Generation'!$A$3:$DQ$90,111,FALSE)</f>
        <v>0</v>
      </c>
      <c r="I133" s="112">
        <f>VLOOKUP($E$3,'Housing Generation'!$A$3:$DQ$90,112,FALSE)</f>
        <v>0</v>
      </c>
      <c r="J133" s="111">
        <f t="shared" si="21"/>
        <v>0</v>
      </c>
    </row>
    <row r="134" spans="2:10" ht="15" customHeight="1">
      <c r="B134" s="114">
        <v>2032</v>
      </c>
      <c r="C134" s="289" t="s">
        <v>97</v>
      </c>
      <c r="D134" s="112">
        <f>VLOOKUP($E$3,'Housing Generation'!$A$3:$DQ$90,115,FALSE)</f>
        <v>0</v>
      </c>
      <c r="E134" s="112">
        <f>VLOOKUP($E$3,'Housing Generation'!$A$3:$DQ$90,116,FALSE)</f>
        <v>0</v>
      </c>
      <c r="F134" s="112">
        <f>VLOOKUP($E$3,'Housing Generation'!$A$3:$DQ$90,117,FALSE)</f>
        <v>0</v>
      </c>
      <c r="G134" s="112">
        <f>VLOOKUP($E$3,'Housing Generation'!$A$3:$DQ$90,118,FALSE)</f>
        <v>0</v>
      </c>
      <c r="H134" s="112">
        <f>VLOOKUP($E$3,'Housing Generation'!$A$3:$DQ$90,119,FALSE)</f>
        <v>0</v>
      </c>
      <c r="I134" s="112">
        <f>VLOOKUP($E$3,'Housing Generation'!$A$3:$DQ$90,120,FALSE)</f>
        <v>0</v>
      </c>
      <c r="J134" s="111">
        <f t="shared" si="21"/>
        <v>0</v>
      </c>
    </row>
    <row r="135" spans="2:10" ht="15" hidden="1"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Hermitage Park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48.571738544474393</v>
      </c>
      <c r="D139" s="112">
        <f t="shared" ref="D139:I152" si="23">D121+D103</f>
        <v>49</v>
      </c>
      <c r="E139" s="112">
        <f t="shared" si="23"/>
        <v>49</v>
      </c>
      <c r="F139" s="112">
        <f t="shared" si="23"/>
        <v>37</v>
      </c>
      <c r="G139" s="112">
        <f t="shared" si="23"/>
        <v>48</v>
      </c>
      <c r="H139" s="112">
        <f t="shared" si="23"/>
        <v>44</v>
      </c>
      <c r="I139" s="112">
        <f t="shared" si="23"/>
        <v>44</v>
      </c>
      <c r="J139" s="111">
        <f t="shared" ref="J139:J147" si="24">SUM(C139:I139)</f>
        <v>319.57173854447439</v>
      </c>
    </row>
    <row r="140" spans="2:10" ht="15" customHeight="1">
      <c r="B140" s="114">
        <v>2020</v>
      </c>
      <c r="C140" s="113">
        <f t="shared" si="22"/>
        <v>50</v>
      </c>
      <c r="D140" s="112">
        <f t="shared" si="23"/>
        <v>48</v>
      </c>
      <c r="E140" s="112">
        <f t="shared" si="23"/>
        <v>46</v>
      </c>
      <c r="F140" s="112">
        <f t="shared" si="23"/>
        <v>44</v>
      </c>
      <c r="G140" s="112">
        <f t="shared" si="23"/>
        <v>37</v>
      </c>
      <c r="H140" s="112">
        <f t="shared" si="23"/>
        <v>45</v>
      </c>
      <c r="I140" s="112">
        <f t="shared" si="23"/>
        <v>44</v>
      </c>
      <c r="J140" s="111">
        <f t="shared" si="24"/>
        <v>314</v>
      </c>
    </row>
    <row r="141" spans="2:10" ht="15" customHeight="1">
      <c r="B141" s="114">
        <v>2021</v>
      </c>
      <c r="C141" s="113">
        <f t="shared" si="22"/>
        <v>49.347654986522912</v>
      </c>
      <c r="D141" s="112">
        <f t="shared" si="23"/>
        <v>48</v>
      </c>
      <c r="E141" s="112">
        <f t="shared" si="23"/>
        <v>45</v>
      </c>
      <c r="F141" s="112">
        <f t="shared" si="23"/>
        <v>42</v>
      </c>
      <c r="G141" s="112">
        <f t="shared" si="23"/>
        <v>44</v>
      </c>
      <c r="H141" s="112">
        <f t="shared" si="23"/>
        <v>35</v>
      </c>
      <c r="I141" s="112">
        <f t="shared" si="23"/>
        <v>45</v>
      </c>
      <c r="J141" s="111">
        <f t="shared" si="24"/>
        <v>308.34765498652291</v>
      </c>
    </row>
    <row r="142" spans="2:10" ht="15" customHeight="1">
      <c r="B142" s="114">
        <v>2022</v>
      </c>
      <c r="C142" s="113">
        <f t="shared" si="22"/>
        <v>40.812574123989222</v>
      </c>
      <c r="D142" s="112">
        <f t="shared" si="23"/>
        <v>48</v>
      </c>
      <c r="E142" s="112">
        <f t="shared" si="23"/>
        <v>45</v>
      </c>
      <c r="F142" s="112">
        <f t="shared" si="23"/>
        <v>41</v>
      </c>
      <c r="G142" s="112">
        <f t="shared" si="23"/>
        <v>42</v>
      </c>
      <c r="H142" s="112">
        <f t="shared" si="23"/>
        <v>41</v>
      </c>
      <c r="I142" s="112">
        <f t="shared" si="23"/>
        <v>35</v>
      </c>
      <c r="J142" s="111">
        <f t="shared" si="24"/>
        <v>292.81257412398924</v>
      </c>
    </row>
    <row r="143" spans="2:10" ht="15" customHeight="1">
      <c r="B143" s="114">
        <v>2023</v>
      </c>
      <c r="C143" s="113">
        <f t="shared" si="22"/>
        <v>47.795822102425873</v>
      </c>
      <c r="D143" s="112">
        <f t="shared" si="23"/>
        <v>40</v>
      </c>
      <c r="E143" s="112">
        <f t="shared" si="23"/>
        <v>45</v>
      </c>
      <c r="F143" s="112">
        <f t="shared" si="23"/>
        <v>41</v>
      </c>
      <c r="G143" s="112">
        <f t="shared" si="23"/>
        <v>41</v>
      </c>
      <c r="H143" s="112">
        <f t="shared" si="23"/>
        <v>39</v>
      </c>
      <c r="I143" s="112">
        <f t="shared" si="23"/>
        <v>41</v>
      </c>
      <c r="J143" s="111">
        <f t="shared" si="24"/>
        <v>294.79582210242586</v>
      </c>
    </row>
    <row r="144" spans="2:10" ht="15" customHeight="1">
      <c r="B144" s="114">
        <v>2024</v>
      </c>
      <c r="C144" s="113">
        <f t="shared" si="22"/>
        <v>48.571738544474393</v>
      </c>
      <c r="D144" s="112">
        <f t="shared" si="23"/>
        <v>47</v>
      </c>
      <c r="E144" s="112">
        <f t="shared" si="23"/>
        <v>37</v>
      </c>
      <c r="F144" s="112">
        <f t="shared" si="23"/>
        <v>41</v>
      </c>
      <c r="G144" s="112">
        <f t="shared" si="23"/>
        <v>41</v>
      </c>
      <c r="H144" s="112">
        <f t="shared" si="23"/>
        <v>38</v>
      </c>
      <c r="I144" s="112">
        <f t="shared" si="23"/>
        <v>39</v>
      </c>
      <c r="J144" s="111">
        <f t="shared" si="24"/>
        <v>291.57173854447439</v>
      </c>
    </row>
    <row r="145" spans="2:16" ht="15" customHeight="1">
      <c r="B145" s="114">
        <v>2025</v>
      </c>
      <c r="C145" s="113">
        <f t="shared" si="22"/>
        <v>48.571738544474393</v>
      </c>
      <c r="D145" s="112">
        <f t="shared" si="23"/>
        <v>48</v>
      </c>
      <c r="E145" s="112">
        <f t="shared" si="23"/>
        <v>44</v>
      </c>
      <c r="F145" s="112">
        <f t="shared" si="23"/>
        <v>34</v>
      </c>
      <c r="G145" s="112">
        <f t="shared" si="23"/>
        <v>41</v>
      </c>
      <c r="H145" s="112">
        <f t="shared" si="23"/>
        <v>38</v>
      </c>
      <c r="I145" s="112">
        <f t="shared" si="23"/>
        <v>38</v>
      </c>
      <c r="J145" s="111">
        <f t="shared" si="24"/>
        <v>291.57173854447439</v>
      </c>
    </row>
    <row r="146" spans="2:16" ht="15" customHeight="1">
      <c r="B146" s="114">
        <v>2026</v>
      </c>
      <c r="C146" s="113">
        <f t="shared" si="22"/>
        <v>49.347654986522912</v>
      </c>
      <c r="D146" s="112">
        <f t="shared" si="23"/>
        <v>48</v>
      </c>
      <c r="E146" s="112">
        <f t="shared" si="23"/>
        <v>45</v>
      </c>
      <c r="F146" s="112">
        <f t="shared" si="23"/>
        <v>40</v>
      </c>
      <c r="G146" s="112">
        <f t="shared" si="23"/>
        <v>34</v>
      </c>
      <c r="H146" s="112">
        <f t="shared" si="23"/>
        <v>38</v>
      </c>
      <c r="I146" s="112">
        <f t="shared" si="23"/>
        <v>38</v>
      </c>
      <c r="J146" s="111">
        <f t="shared" si="24"/>
        <v>292.34765498652291</v>
      </c>
    </row>
    <row r="147" spans="2:16" ht="15" customHeight="1">
      <c r="B147" s="114">
        <v>2027</v>
      </c>
      <c r="C147" s="113">
        <f t="shared" si="22"/>
        <v>49.347654986522912</v>
      </c>
      <c r="D147" s="112">
        <f t="shared" si="23"/>
        <v>48</v>
      </c>
      <c r="E147" s="112">
        <f t="shared" si="23"/>
        <v>45</v>
      </c>
      <c r="F147" s="112">
        <f t="shared" si="23"/>
        <v>41</v>
      </c>
      <c r="G147" s="112">
        <f t="shared" si="23"/>
        <v>40</v>
      </c>
      <c r="H147" s="112">
        <f t="shared" si="23"/>
        <v>32</v>
      </c>
      <c r="I147" s="112">
        <f t="shared" si="23"/>
        <v>38</v>
      </c>
      <c r="J147" s="111">
        <f t="shared" si="24"/>
        <v>293.34765498652291</v>
      </c>
    </row>
    <row r="148" spans="2:16" ht="15" customHeight="1">
      <c r="B148" s="114">
        <v>2028</v>
      </c>
      <c r="C148" s="113">
        <f t="shared" si="22"/>
        <v>49.347654986522912</v>
      </c>
      <c r="D148" s="112">
        <f t="shared" si="23"/>
        <v>48</v>
      </c>
      <c r="E148" s="112">
        <f t="shared" si="23"/>
        <v>45</v>
      </c>
      <c r="F148" s="112">
        <f t="shared" si="23"/>
        <v>41</v>
      </c>
      <c r="G148" s="112">
        <f t="shared" si="23"/>
        <v>41</v>
      </c>
      <c r="H148" s="112">
        <f t="shared" si="23"/>
        <v>37</v>
      </c>
      <c r="I148" s="112">
        <f t="shared" si="23"/>
        <v>32</v>
      </c>
      <c r="J148" s="111">
        <f t="shared" ref="J148:J152" si="25">SUM(C148:I148)</f>
        <v>293.34765498652291</v>
      </c>
    </row>
    <row r="149" spans="2:16" ht="15" customHeight="1">
      <c r="B149" s="114">
        <v>2029</v>
      </c>
      <c r="C149" s="113">
        <f t="shared" si="22"/>
        <v>49.347654986522912</v>
      </c>
      <c r="D149" s="112">
        <f t="shared" si="23"/>
        <v>48</v>
      </c>
      <c r="E149" s="112">
        <f t="shared" si="23"/>
        <v>45</v>
      </c>
      <c r="F149" s="112">
        <f t="shared" si="23"/>
        <v>41</v>
      </c>
      <c r="G149" s="112">
        <f t="shared" si="23"/>
        <v>41</v>
      </c>
      <c r="H149" s="112">
        <f t="shared" si="23"/>
        <v>38</v>
      </c>
      <c r="I149" s="112">
        <f t="shared" si="23"/>
        <v>37</v>
      </c>
      <c r="J149" s="111">
        <f t="shared" si="25"/>
        <v>299.34765498652291</v>
      </c>
    </row>
    <row r="150" spans="2:16" ht="15" customHeight="1">
      <c r="B150" s="114">
        <v>2030</v>
      </c>
      <c r="C150" s="113">
        <f t="shared" si="22"/>
        <v>48.571738544474393</v>
      </c>
      <c r="D150" s="112">
        <f t="shared" si="23"/>
        <v>48</v>
      </c>
      <c r="E150" s="112">
        <f t="shared" si="23"/>
        <v>45</v>
      </c>
      <c r="F150" s="112">
        <f t="shared" si="23"/>
        <v>41</v>
      </c>
      <c r="G150" s="112">
        <f t="shared" si="23"/>
        <v>41</v>
      </c>
      <c r="H150" s="112">
        <f t="shared" si="23"/>
        <v>38</v>
      </c>
      <c r="I150" s="112">
        <f t="shared" si="23"/>
        <v>38</v>
      </c>
      <c r="J150" s="111">
        <f t="shared" si="25"/>
        <v>299.57173854447439</v>
      </c>
    </row>
    <row r="151" spans="2:16" ht="15" customHeight="1">
      <c r="B151" s="114">
        <v>2031</v>
      </c>
      <c r="C151" s="113">
        <f t="shared" si="22"/>
        <v>48.571738544474393</v>
      </c>
      <c r="D151" s="112">
        <f t="shared" si="23"/>
        <v>48</v>
      </c>
      <c r="E151" s="112">
        <f t="shared" si="23"/>
        <v>45</v>
      </c>
      <c r="F151" s="112">
        <f t="shared" si="23"/>
        <v>41</v>
      </c>
      <c r="G151" s="112">
        <f t="shared" si="23"/>
        <v>41</v>
      </c>
      <c r="H151" s="112">
        <f t="shared" si="23"/>
        <v>38</v>
      </c>
      <c r="I151" s="112">
        <f t="shared" si="23"/>
        <v>38</v>
      </c>
      <c r="J151" s="111">
        <f t="shared" si="25"/>
        <v>299.57173854447439</v>
      </c>
    </row>
    <row r="152" spans="2:16" ht="15" customHeight="1">
      <c r="B152" s="114">
        <v>2032</v>
      </c>
      <c r="C152" s="113">
        <f t="shared" si="22"/>
        <v>48.571738544474393</v>
      </c>
      <c r="D152" s="112">
        <f t="shared" si="23"/>
        <v>48</v>
      </c>
      <c r="E152" s="112">
        <f t="shared" si="23"/>
        <v>45</v>
      </c>
      <c r="F152" s="112">
        <f t="shared" si="23"/>
        <v>41</v>
      </c>
      <c r="G152" s="112">
        <f t="shared" si="23"/>
        <v>41</v>
      </c>
      <c r="H152" s="112">
        <f t="shared" si="23"/>
        <v>38</v>
      </c>
      <c r="I152" s="112">
        <f t="shared" si="23"/>
        <v>38</v>
      </c>
      <c r="J152" s="111">
        <f t="shared" si="25"/>
        <v>299.57173854447439</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319.57173854447439</v>
      </c>
      <c r="D159" s="108">
        <f>J140</f>
        <v>314</v>
      </c>
      <c r="E159" s="108">
        <f>J141</f>
        <v>308.34765498652291</v>
      </c>
      <c r="F159" s="108">
        <f>J142</f>
        <v>292.81257412398924</v>
      </c>
      <c r="G159" s="108">
        <f>J143</f>
        <v>294.79582210242586</v>
      </c>
      <c r="H159" s="108">
        <f>J144</f>
        <v>291.57173854447439</v>
      </c>
      <c r="I159" s="108">
        <f>J145</f>
        <v>291.57173854447439</v>
      </c>
      <c r="J159" s="108">
        <f>J146</f>
        <v>292.34765498652291</v>
      </c>
      <c r="K159" s="108">
        <f>J147</f>
        <v>293.34765498652291</v>
      </c>
      <c r="L159" s="108">
        <f>J148</f>
        <v>293.34765498652291</v>
      </c>
      <c r="M159" s="108">
        <f>J149</f>
        <v>299.34765498652291</v>
      </c>
      <c r="N159" s="108">
        <f>J150</f>
        <v>299.57173854447439</v>
      </c>
      <c r="O159" s="108">
        <f>J151</f>
        <v>299.57173854447439</v>
      </c>
      <c r="P159" s="108">
        <f>J152</f>
        <v>299.57173854447439</v>
      </c>
    </row>
    <row r="160" spans="2:16" ht="15" customHeight="1">
      <c r="B160" s="107" t="s">
        <v>152</v>
      </c>
      <c r="C160" s="106">
        <f>VLOOKUP(C159,Capacity!$A$1:$C$645,2,TRUE)</f>
        <v>13</v>
      </c>
      <c r="D160" s="106">
        <f>VLOOKUP(D159,Capacity!$A$1:$C$645,2,TRUE)</f>
        <v>12</v>
      </c>
      <c r="E160" s="106">
        <f>VLOOKUP(E159,Capacity!$A$1:$C$645,2,TRUE)</f>
        <v>12</v>
      </c>
      <c r="F160" s="106">
        <f>VLOOKUP(F159,Capacity!$A$1:$C$645,2,TRUE)</f>
        <v>11</v>
      </c>
      <c r="G160" s="106">
        <f>VLOOKUP(G159,Capacity!$A$1:$C$645,2,TRUE)</f>
        <v>11</v>
      </c>
      <c r="H160" s="106">
        <f>VLOOKUP(H159,Capacity!$A$1:$C$645,2,TRUE)</f>
        <v>11</v>
      </c>
      <c r="I160" s="106">
        <f>VLOOKUP(I159,Capacity!$A$1:$C$645,2,TRUE)</f>
        <v>11</v>
      </c>
      <c r="J160" s="106">
        <f>VLOOKUP(J159,Capacity!$A$1:$C$645,2,TRUE)</f>
        <v>11</v>
      </c>
      <c r="K160" s="106">
        <f>VLOOKUP(K159,Capacity!$A$1:$C$645,2,TRUE)</f>
        <v>11</v>
      </c>
      <c r="L160" s="106">
        <f>VLOOKUP(L159,Capacity!$A$1:$C$645,2,TRUE)</f>
        <v>11</v>
      </c>
      <c r="M160" s="106">
        <f>VLOOKUP(M159,Capacity!$A$1:$C$645,2,TRUE)</f>
        <v>12</v>
      </c>
      <c r="N160" s="106">
        <f>VLOOKUP(N159,Capacity!$A$1:$C$645,2,TRUE)</f>
        <v>12</v>
      </c>
      <c r="O160" s="106">
        <f>VLOOKUP(O159,Capacity!$A$1:$C$645,2,TRUE)</f>
        <v>12</v>
      </c>
      <c r="P160" s="106">
        <f>VLOOKUP(P159,Capacity!$A$1:$C$645,2,TRUE)</f>
        <v>12</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66</v>
      </c>
      <c r="D169" s="97">
        <f>VLOOKUP($E$3,'Catchment Births'!$A$1:$U$90,11,FALSE)</f>
        <v>63</v>
      </c>
      <c r="E169" s="97">
        <f>VLOOKUP($E$3,'Catchment Births'!$A$1:$U$90,12,FALSE)</f>
        <v>63</v>
      </c>
      <c r="F169" s="97">
        <f>VLOOKUP($E$3,'Catchment Births'!$A$1:$U$90,13,FALSE)</f>
        <v>74</v>
      </c>
      <c r="G169" s="97">
        <f>VLOOKUP($E$3,'Catchment Births'!$A$1:$U$90,14,FALSE)</f>
        <v>90</v>
      </c>
      <c r="H169" s="97">
        <f>VLOOKUP($E$3,'Catchment Births'!$A$1:$U$90,15,FALSE)</f>
        <v>99</v>
      </c>
      <c r="I169" s="97">
        <f>VLOOKUP($E$3,'Catchment Births'!$A$1:$U$90,16,FALSE)</f>
        <v>89</v>
      </c>
      <c r="J169" s="97">
        <f>VLOOKUP($E$3,'Catchment Births'!$A$1:$U$90,17,FALSE)</f>
        <v>84</v>
      </c>
      <c r="K169" s="97">
        <f>VLOOKUP($E$3,'Catchment Births'!$A$1:$U$90,18,FALSE)</f>
        <v>101</v>
      </c>
      <c r="L169" s="97">
        <f>VLOOKUP($E$3,'Catchment Births'!$A$1:$U$90,19,FALSE)</f>
        <v>101</v>
      </c>
      <c r="M169" s="97">
        <f>VLOOKUP($E$3,'Catchment Births'!$A$1:$U$90,20,FALSE)</f>
        <v>90</v>
      </c>
      <c r="N169" s="97">
        <f>VLOOKUP($E$3,'Catchment Births'!$A$1:$U$90,21,FALSE)</f>
        <v>93</v>
      </c>
    </row>
    <row r="170" spans="2:14" ht="58.5" customHeight="1">
      <c r="B170" s="103" t="str">
        <f>"P1 "&amp;A35&amp;" Catchment Population (Actual)"</f>
        <v>P1 ND Catchment Population (Actual)</v>
      </c>
      <c r="C170" s="102" t="e">
        <v>#REF!</v>
      </c>
      <c r="D170" s="102">
        <v>31</v>
      </c>
      <c r="E170" s="102">
        <v>45</v>
      </c>
      <c r="F170" s="102">
        <v>47</v>
      </c>
      <c r="G170" s="102">
        <v>48</v>
      </c>
      <c r="H170" s="102">
        <v>53</v>
      </c>
      <c r="I170" s="102">
        <v>50</v>
      </c>
      <c r="J170" s="308">
        <f>VLOOKUP(E3,'Catchment Projections'!A1:BU92,42,FALSE)</f>
        <v>50</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50</v>
      </c>
      <c r="J172" s="96" t="e">
        <f>#REF!</f>
        <v>#REF!</v>
      </c>
      <c r="K172" s="96">
        <f>D51</f>
        <v>51</v>
      </c>
      <c r="L172" s="96">
        <f>E51</f>
        <v>54</v>
      </c>
      <c r="M172" s="96">
        <f>F51</f>
        <v>52</v>
      </c>
      <c r="N172" s="96">
        <f>G51</f>
        <v>41</v>
      </c>
    </row>
    <row r="173" spans="2:14" ht="12.75">
      <c r="B173" s="62"/>
      <c r="C173" s="62"/>
      <c r="D173" s="62"/>
      <c r="E173" s="62"/>
      <c r="F173" s="62"/>
      <c r="G173" s="62"/>
      <c r="H173" s="62"/>
      <c r="I173" s="62"/>
      <c r="J173" s="62"/>
      <c r="K173" s="62"/>
    </row>
    <row r="174" spans="2:14" ht="15" customHeight="1">
      <c r="B174" s="64" t="str">
        <f>"Table 5: "&amp;E3&amp;" Roll by Stage, 2002-2018"</f>
        <v>Table 5: Hermitage Park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54</v>
      </c>
      <c r="D177" s="93">
        <v>48</v>
      </c>
      <c r="E177" s="93">
        <v>50</v>
      </c>
      <c r="F177" s="93">
        <v>59</v>
      </c>
      <c r="G177" s="93">
        <v>60</v>
      </c>
      <c r="H177" s="93">
        <v>61</v>
      </c>
      <c r="I177" s="93">
        <v>58</v>
      </c>
      <c r="J177" s="92">
        <v>390</v>
      </c>
      <c r="K177" s="62"/>
    </row>
    <row r="178" spans="2:11" ht="15" customHeight="1">
      <c r="B178" s="94">
        <v>2003</v>
      </c>
      <c r="C178" s="93">
        <v>55</v>
      </c>
      <c r="D178" s="93">
        <v>50</v>
      </c>
      <c r="E178" s="93">
        <v>47</v>
      </c>
      <c r="F178" s="93">
        <v>55</v>
      </c>
      <c r="G178" s="93">
        <v>61</v>
      </c>
      <c r="H178" s="93">
        <v>60</v>
      </c>
      <c r="I178" s="93">
        <v>61</v>
      </c>
      <c r="J178" s="92">
        <v>389</v>
      </c>
      <c r="K178" s="62"/>
    </row>
    <row r="179" spans="2:11" customFormat="1" ht="15" customHeight="1">
      <c r="B179" s="94">
        <v>2004</v>
      </c>
      <c r="C179" s="95">
        <v>55</v>
      </c>
      <c r="D179" s="95">
        <v>54</v>
      </c>
      <c r="E179" s="95">
        <v>48</v>
      </c>
      <c r="F179" s="95">
        <v>49</v>
      </c>
      <c r="G179" s="95">
        <v>52</v>
      </c>
      <c r="H179" s="95">
        <v>60</v>
      </c>
      <c r="I179" s="95">
        <v>59</v>
      </c>
      <c r="J179" s="92">
        <v>377</v>
      </c>
      <c r="K179" s="62"/>
    </row>
    <row r="180" spans="2:11" customFormat="1" ht="15" customHeight="1">
      <c r="B180" s="94">
        <v>2005</v>
      </c>
      <c r="C180" s="93">
        <v>43</v>
      </c>
      <c r="D180" s="93">
        <v>51</v>
      </c>
      <c r="E180" s="93">
        <v>57</v>
      </c>
      <c r="F180" s="93">
        <v>50</v>
      </c>
      <c r="G180" s="93">
        <v>48</v>
      </c>
      <c r="H180" s="93">
        <v>50</v>
      </c>
      <c r="I180" s="93">
        <v>61</v>
      </c>
      <c r="J180" s="92">
        <v>360</v>
      </c>
      <c r="K180" s="62"/>
    </row>
    <row r="181" spans="2:11" customFormat="1" ht="15" customHeight="1">
      <c r="B181" s="94">
        <v>2006</v>
      </c>
      <c r="C181" s="93">
        <v>54</v>
      </c>
      <c r="D181" s="93">
        <v>44</v>
      </c>
      <c r="E181" s="93">
        <v>48</v>
      </c>
      <c r="F181" s="93">
        <v>58</v>
      </c>
      <c r="G181" s="93">
        <v>47</v>
      </c>
      <c r="H181" s="93">
        <v>48</v>
      </c>
      <c r="I181" s="93">
        <v>50</v>
      </c>
      <c r="J181" s="92">
        <v>349</v>
      </c>
      <c r="K181" s="62"/>
    </row>
    <row r="182" spans="2:11" customFormat="1" ht="15" customHeight="1">
      <c r="B182" s="94">
        <v>2007</v>
      </c>
      <c r="C182" s="93">
        <v>49</v>
      </c>
      <c r="D182" s="93">
        <v>52</v>
      </c>
      <c r="E182" s="93">
        <v>47</v>
      </c>
      <c r="F182" s="93">
        <v>48</v>
      </c>
      <c r="G182" s="93">
        <v>60</v>
      </c>
      <c r="H182" s="93">
        <v>46</v>
      </c>
      <c r="I182" s="93">
        <v>50</v>
      </c>
      <c r="J182" s="92">
        <v>352</v>
      </c>
      <c r="K182" s="62"/>
    </row>
    <row r="183" spans="2:11" customFormat="1" ht="15" customHeight="1">
      <c r="B183" s="94">
        <v>2008</v>
      </c>
      <c r="C183" s="93">
        <v>54</v>
      </c>
      <c r="D183" s="93">
        <v>51</v>
      </c>
      <c r="E183" s="93">
        <v>57</v>
      </c>
      <c r="F183" s="93">
        <v>47</v>
      </c>
      <c r="G183" s="93">
        <v>48</v>
      </c>
      <c r="H183" s="93">
        <v>58</v>
      </c>
      <c r="I183" s="93">
        <v>49</v>
      </c>
      <c r="J183" s="92">
        <v>364</v>
      </c>
      <c r="K183" s="62"/>
    </row>
    <row r="184" spans="2:11" customFormat="1" ht="15" customHeight="1">
      <c r="B184" s="94">
        <v>2009</v>
      </c>
      <c r="C184" s="93">
        <v>46</v>
      </c>
      <c r="D184" s="93">
        <v>52</v>
      </c>
      <c r="E184" s="93">
        <v>54</v>
      </c>
      <c r="F184" s="93">
        <v>53</v>
      </c>
      <c r="G184" s="93">
        <v>48</v>
      </c>
      <c r="H184" s="93">
        <v>46</v>
      </c>
      <c r="I184" s="93">
        <v>57</v>
      </c>
      <c r="J184" s="94">
        <v>356</v>
      </c>
      <c r="K184" s="62"/>
    </row>
    <row r="185" spans="2:11" customFormat="1" ht="15" customHeight="1">
      <c r="B185" s="94">
        <v>2010</v>
      </c>
      <c r="C185" s="93">
        <v>51</v>
      </c>
      <c r="D185" s="93">
        <v>48</v>
      </c>
      <c r="E185" s="93">
        <v>55</v>
      </c>
      <c r="F185" s="93">
        <v>55</v>
      </c>
      <c r="G185" s="93">
        <v>54</v>
      </c>
      <c r="H185" s="93">
        <v>44</v>
      </c>
      <c r="I185" s="93">
        <v>45</v>
      </c>
      <c r="J185" s="92">
        <v>352</v>
      </c>
      <c r="K185" s="62"/>
    </row>
    <row r="186" spans="2:11" customFormat="1" ht="15" customHeight="1">
      <c r="B186" s="94">
        <v>2011</v>
      </c>
      <c r="C186" s="93">
        <v>55</v>
      </c>
      <c r="D186" s="93">
        <v>49</v>
      </c>
      <c r="E186" s="93">
        <v>49</v>
      </c>
      <c r="F186" s="93">
        <v>52</v>
      </c>
      <c r="G186" s="93">
        <v>48</v>
      </c>
      <c r="H186" s="93">
        <v>54</v>
      </c>
      <c r="I186" s="93">
        <v>44</v>
      </c>
      <c r="J186" s="92">
        <v>351</v>
      </c>
      <c r="K186" s="62"/>
    </row>
    <row r="187" spans="2:11" customFormat="1" ht="15" customHeight="1">
      <c r="B187" s="94">
        <v>2012</v>
      </c>
      <c r="C187" s="93">
        <v>51</v>
      </c>
      <c r="D187" s="93">
        <v>60</v>
      </c>
      <c r="E187" s="93">
        <v>48</v>
      </c>
      <c r="F187" s="93">
        <v>47</v>
      </c>
      <c r="G187" s="93">
        <v>54</v>
      </c>
      <c r="H187" s="93">
        <v>47</v>
      </c>
      <c r="I187" s="93">
        <v>55</v>
      </c>
      <c r="J187" s="92">
        <v>362</v>
      </c>
      <c r="K187" s="62"/>
    </row>
    <row r="188" spans="2:11" customFormat="1" ht="15" customHeight="1">
      <c r="B188" s="94">
        <v>2013</v>
      </c>
      <c r="C188" s="93">
        <v>55</v>
      </c>
      <c r="D188" s="93">
        <v>49</v>
      </c>
      <c r="E188" s="93">
        <v>60</v>
      </c>
      <c r="F188" s="93">
        <v>47</v>
      </c>
      <c r="G188" s="93">
        <v>45</v>
      </c>
      <c r="H188" s="93">
        <v>49</v>
      </c>
      <c r="I188" s="93">
        <v>47</v>
      </c>
      <c r="J188" s="94">
        <v>352</v>
      </c>
      <c r="K188" s="62"/>
    </row>
    <row r="189" spans="2:11" customFormat="1" ht="15" customHeight="1">
      <c r="B189" s="94">
        <v>2014</v>
      </c>
      <c r="C189" s="93">
        <v>58</v>
      </c>
      <c r="D189" s="93">
        <v>56</v>
      </c>
      <c r="E189" s="93">
        <v>44</v>
      </c>
      <c r="F189" s="93">
        <v>52</v>
      </c>
      <c r="G189" s="93">
        <v>47</v>
      </c>
      <c r="H189" s="93">
        <v>38</v>
      </c>
      <c r="I189" s="93">
        <v>48</v>
      </c>
      <c r="J189" s="92">
        <v>343</v>
      </c>
      <c r="K189" s="65"/>
    </row>
    <row r="190" spans="2:11" customFormat="1" ht="15" customHeight="1">
      <c r="B190" s="94">
        <v>2015</v>
      </c>
      <c r="C190" s="93">
        <v>57</v>
      </c>
      <c r="D190" s="93">
        <v>57</v>
      </c>
      <c r="E190" s="93">
        <v>55</v>
      </c>
      <c r="F190" s="93">
        <v>42</v>
      </c>
      <c r="G190" s="93">
        <v>55</v>
      </c>
      <c r="H190" s="93">
        <v>45</v>
      </c>
      <c r="I190" s="93">
        <v>37</v>
      </c>
      <c r="J190" s="92">
        <v>348</v>
      </c>
      <c r="K190" s="65"/>
    </row>
    <row r="191" spans="2:11" customFormat="1" ht="15" customHeight="1">
      <c r="B191" s="94">
        <v>2016</v>
      </c>
      <c r="C191" s="93">
        <v>47</v>
      </c>
      <c r="D191" s="93">
        <v>55</v>
      </c>
      <c r="E191" s="93">
        <v>54</v>
      </c>
      <c r="F191" s="93">
        <v>49</v>
      </c>
      <c r="G191" s="93">
        <v>44</v>
      </c>
      <c r="H191" s="93">
        <v>54</v>
      </c>
      <c r="I191" s="93">
        <v>48</v>
      </c>
      <c r="J191" s="92">
        <v>351</v>
      </c>
      <c r="K191" s="65"/>
    </row>
    <row r="192" spans="2:11" ht="15" customHeight="1">
      <c r="B192" s="94">
        <v>2017</v>
      </c>
      <c r="C192" s="93">
        <f>VLOOKUP($E$3,Rolls!A1:FA90,42,FALSE)</f>
        <v>52</v>
      </c>
      <c r="D192" s="93">
        <f>VLOOKUP($E$3,Rolls!A1:FA90,43,FALSE)</f>
        <v>43</v>
      </c>
      <c r="E192" s="93">
        <f>VLOOKUP($E$3,Rolls!A1:FA90,44,FALSE)</f>
        <v>51</v>
      </c>
      <c r="F192" s="93">
        <f>VLOOKUP($E$3,Rolls!A1:FA90,45,FALSE)</f>
        <v>49</v>
      </c>
      <c r="G192" s="93">
        <f>VLOOKUP($E$3,Rolls!A1:FA90,46,FALSE)</f>
        <v>47</v>
      </c>
      <c r="H192" s="93">
        <f>VLOOKUP($E$3,Rolls!A1:FA90,47,FALSE)</f>
        <v>40</v>
      </c>
      <c r="I192" s="93">
        <f>VLOOKUP($E$3,Rolls!A1:FA90,48,FALSE)</f>
        <v>54</v>
      </c>
      <c r="J192" s="92">
        <f>VLOOKUP($E$3,Rolls!A1:FA90,49,FALSE)</f>
        <v>336</v>
      </c>
      <c r="K192" s="65"/>
    </row>
    <row r="193" spans="2:11" ht="15" customHeight="1">
      <c r="B193" s="94">
        <v>2018</v>
      </c>
      <c r="C193" s="93">
        <f>VLOOKUP($E$3,Rolls!A1:FA90,50,FALSE)</f>
        <v>50</v>
      </c>
      <c r="D193" s="93">
        <f>VLOOKUP($E$3,Rolls!A1:FA90,51,FALSE)</f>
        <v>52</v>
      </c>
      <c r="E193" s="93">
        <f>VLOOKUP($E$3,Rolls!A1:FA90,52,FALSE)</f>
        <v>41</v>
      </c>
      <c r="F193" s="93">
        <f>VLOOKUP($E$3,Rolls!A1:FA90,53,FALSE)</f>
        <v>48</v>
      </c>
      <c r="G193" s="93">
        <f>VLOOKUP($E$3,Rolls!A1:FA90,54,FALSE)</f>
        <v>47</v>
      </c>
      <c r="H193" s="93">
        <f>VLOOKUP($E$3,Rolls!A1:FA90,55,FALSE)</f>
        <v>44</v>
      </c>
      <c r="I193" s="93">
        <f>VLOOKUP($E$3,Rolls!A1:FA90,56,FALSE)</f>
        <v>40</v>
      </c>
      <c r="J193" s="92">
        <f>VLOOKUP($E$3,Rolls!A1:FA90,57,FALSE)</f>
        <v>322</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40</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Hillwood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84 Pupils (4 classes)</v>
      </c>
      <c r="G12" s="16"/>
      <c r="H12" s="16"/>
    </row>
    <row r="13" spans="2:10" ht="15" customHeight="1">
      <c r="C13" s="16"/>
      <c r="D13" s="16"/>
      <c r="E13" s="16"/>
      <c r="F13" s="16"/>
      <c r="G13" s="16"/>
      <c r="H13" s="16"/>
    </row>
    <row r="14" spans="2:10" ht="15" customHeight="1">
      <c r="B14" s="15" t="str">
        <f>"Figure 1: "&amp;E3&amp;" Roll, 2002-2015"</f>
        <v>Figure 1: Hillwood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Hillwood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14</v>
      </c>
      <c r="E49" s="108">
        <f>VLOOKUP($E$3,'Catchment Projections'!$A$1:$BU$90,46,FALSE)</f>
        <v>7</v>
      </c>
      <c r="F49" s="108">
        <f>VLOOKUP($E$3,'Catchment Projections'!$A$1:$BU$90,47,FALSE)</f>
        <v>16</v>
      </c>
      <c r="G49" s="108">
        <f>VLOOKUP($E$3,'Catchment Projections'!$A$1:$BU$90,48,FALSE)</f>
        <v>14</v>
      </c>
      <c r="H49" s="133">
        <f>VLOOKUP($E$3,'Catchment Projections'!$A$1:$BU$90,49,FALSE)</f>
        <v>13</v>
      </c>
      <c r="I49" s="133">
        <f>VLOOKUP($E$3,'Catchment Projections'!$A$1:$BU$90,50,FALSE)</f>
        <v>13</v>
      </c>
      <c r="J49" s="133">
        <f>VLOOKUP($E$3,'Catchment Projections'!$A$1:$BU$90,51,FALSE)</f>
        <v>13</v>
      </c>
      <c r="K49" s="133">
        <f>VLOOKUP($E$3,'Catchment Projections'!$A$1:$BU$90,52,FALSE)</f>
        <v>13</v>
      </c>
      <c r="L49" s="133">
        <f>VLOOKUP($E$3,'Catchment Projections'!$A$1:$BU$90,53,FALSE)</f>
        <v>13</v>
      </c>
      <c r="M49" s="133">
        <f>VLOOKUP($E$3,'Catchment Projections'!$A$1:$BU$90,54,FALSE)</f>
        <v>13</v>
      </c>
      <c r="N49" s="133">
        <f>VLOOKUP($E$3,'Catchment Projections'!$A$1:$BU$90,55,FALSE)</f>
        <v>13</v>
      </c>
      <c r="O49" s="133">
        <f>VLOOKUP($E$3,'Catchment Projections'!$A$1:$BU$90,56,FALSE)</f>
        <v>13</v>
      </c>
      <c r="P49" s="133">
        <f>VLOOKUP($E$3,'Catchment Projections'!$A$1:$BU$90,57,FALSE)</f>
        <v>13</v>
      </c>
      <c r="Q49" s="133">
        <f>VLOOKUP($E$3,'Catchment Projections'!$A$1:$BU$90,58,FALSE)</f>
        <v>13</v>
      </c>
    </row>
    <row r="50" spans="2:17" ht="15" customHeight="1" thickBot="1">
      <c r="B50" s="410" t="s">
        <v>141</v>
      </c>
      <c r="C50" s="411"/>
      <c r="D50" s="286">
        <f>VLOOKUP(E3,'Housing Generation'!$A$3:$DQ$90,10,FALSE)</f>
        <v>0</v>
      </c>
      <c r="E50" s="286">
        <f>VLOOKUP(E3,'Housing Generation'!$A$3:$DQ$90,18,FALSE)</f>
        <v>1</v>
      </c>
      <c r="F50" s="286">
        <f>VLOOKUP(E3,'Housing Generation'!$A$3:$DQ$90,26,FALSE)</f>
        <v>2</v>
      </c>
      <c r="G50" s="243">
        <f>VLOOKUP(E3,'Housing Generation'!$A$3:$DQ$90,34,FALSE)</f>
        <v>4</v>
      </c>
      <c r="H50" s="133">
        <f>VLOOKUP(E3,'Housing Generation'!$A$3:$DQ$90,42,FALSE)</f>
        <v>5</v>
      </c>
      <c r="I50" s="133">
        <f>VLOOKUP(E3,'Housing Generation'!$A$3:$DQ$90,50,FALSE)</f>
        <v>5</v>
      </c>
      <c r="J50" s="133">
        <f>VLOOKUP(E3,'Housing Generation'!$A$3:$CK$90,58,FALSE)</f>
        <v>5</v>
      </c>
      <c r="K50" s="133">
        <f>VLOOKUP(E3,'Housing Generation'!$A$3:$CK$90,66,FALSE)</f>
        <v>5</v>
      </c>
      <c r="L50" s="133">
        <f>VLOOKUP(E3,'Housing Generation'!$A$3:$DQ$90,74,FALSE)</f>
        <v>5</v>
      </c>
      <c r="M50" s="133">
        <f>VLOOKUP(E3,'Housing Generation'!$A$3:$DQ$90,82,FALSE)</f>
        <v>5</v>
      </c>
      <c r="N50" s="133">
        <f>VLOOKUP(E3,'Housing Generation'!$A$3:$DQ$90,90,FALSE)</f>
        <v>6</v>
      </c>
      <c r="O50" s="133">
        <f>VLOOKUP(E3,'Housing Generation'!$A$3:$DQ$90,98,FALSE)</f>
        <v>8</v>
      </c>
      <c r="P50" s="133">
        <f>VLOOKUP(E3,'Housing Generation'!$A$3:$DQ$90,106,FALSE)</f>
        <v>10</v>
      </c>
      <c r="Q50" s="133">
        <f>VLOOKUP(E3,'Housing Generation'!$A$3:$DQ$90,114,FALSE)</f>
        <v>13</v>
      </c>
    </row>
    <row r="51" spans="2:17" ht="15" customHeight="1" thickTop="1">
      <c r="B51" s="421" t="s">
        <v>130</v>
      </c>
      <c r="C51" s="422"/>
      <c r="D51" s="47">
        <f t="shared" ref="D51:Q51" si="0">SUM(D49:D50)</f>
        <v>14</v>
      </c>
      <c r="E51" s="47">
        <f t="shared" si="0"/>
        <v>8</v>
      </c>
      <c r="F51" s="80">
        <f t="shared" si="0"/>
        <v>18</v>
      </c>
      <c r="G51" s="244">
        <f t="shared" si="0"/>
        <v>18</v>
      </c>
      <c r="H51" s="71">
        <f t="shared" si="0"/>
        <v>18</v>
      </c>
      <c r="I51" s="71">
        <f t="shared" si="0"/>
        <v>18</v>
      </c>
      <c r="J51" s="71">
        <f t="shared" si="0"/>
        <v>18</v>
      </c>
      <c r="K51" s="71">
        <f t="shared" si="0"/>
        <v>18</v>
      </c>
      <c r="L51" s="71">
        <f t="shared" si="0"/>
        <v>18</v>
      </c>
      <c r="M51" s="71">
        <f t="shared" si="0"/>
        <v>18</v>
      </c>
      <c r="N51" s="71">
        <f t="shared" si="0"/>
        <v>19</v>
      </c>
      <c r="O51" s="71">
        <f t="shared" si="0"/>
        <v>21</v>
      </c>
      <c r="P51" s="71">
        <f t="shared" si="0"/>
        <v>23</v>
      </c>
      <c r="Q51" s="71">
        <f t="shared" si="0"/>
        <v>26</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6</v>
      </c>
      <c r="D60" s="358">
        <f>VLOOKUP($E$3,'Catchment Projections'!$A$1:$BZ$90,74,FALSE)</f>
        <v>4</v>
      </c>
      <c r="E60" s="303">
        <f>D60/C60</f>
        <v>0.66666666666666663</v>
      </c>
      <c r="G60" s="132">
        <v>2014</v>
      </c>
      <c r="H60" s="395">
        <f>VLOOKUP($G$60,$B$177:$C$215, 2, FALSE)</f>
        <v>7</v>
      </c>
      <c r="I60" s="120">
        <f>H60-D60</f>
        <v>3</v>
      </c>
      <c r="J60" s="121">
        <f>I60/H60</f>
        <v>0.42857142857142855</v>
      </c>
    </row>
    <row r="61" spans="2:17" ht="15" customHeight="1">
      <c r="B61" s="132">
        <v>2015</v>
      </c>
      <c r="C61" s="359">
        <f>VLOOKUP($E$3,'Catchment Projections'!$A$1:$BZ$90,41,FALSE)</f>
        <v>15</v>
      </c>
      <c r="D61" s="358">
        <f>VLOOKUP($E$3,'Catchment Projections'!$A$1:$BZ$90,75,FALSE)</f>
        <v>11</v>
      </c>
      <c r="E61" s="303">
        <f>D61/C61</f>
        <v>0.73333333333333328</v>
      </c>
      <c r="G61" s="132">
        <v>2015</v>
      </c>
      <c r="H61" s="395">
        <f>VLOOKUP($G$61,$B$177:$C$215, 2, FALSE)</f>
        <v>12</v>
      </c>
      <c r="I61" s="120">
        <f>H61-D61</f>
        <v>1</v>
      </c>
      <c r="J61" s="121">
        <f>I61/H61</f>
        <v>8.3333333333333329E-2</v>
      </c>
    </row>
    <row r="62" spans="2:17" ht="15" customHeight="1">
      <c r="B62" s="131">
        <v>2016</v>
      </c>
      <c r="C62" s="359">
        <f>VLOOKUP($E$3,'Catchment Projections'!$A$1:$BZ$90,42,FALSE)</f>
        <v>15</v>
      </c>
      <c r="D62" s="358">
        <f>VLOOKUP($E$3,'Catchment Projections'!$A$1:$BZ$90,76,FALSE)</f>
        <v>13</v>
      </c>
      <c r="E62" s="57">
        <f>D62/C62</f>
        <v>0.8666666666666667</v>
      </c>
      <c r="G62" s="131">
        <v>2016</v>
      </c>
      <c r="H62" s="395">
        <f>VLOOKUP($G$62,$B$177:$C$215, 2, FALSE)</f>
        <v>14</v>
      </c>
      <c r="I62" s="120">
        <f>H62-D62</f>
        <v>1</v>
      </c>
      <c r="J62" s="121">
        <f>I62/H62</f>
        <v>7.1428571428571425E-2</v>
      </c>
    </row>
    <row r="63" spans="2:17" ht="15" customHeight="1">
      <c r="B63" s="114">
        <v>2017</v>
      </c>
      <c r="C63" s="359">
        <f>VLOOKUP($E$3,'Catchment Projections'!$A$1:$BZ$90,43,FALSE)</f>
        <v>12</v>
      </c>
      <c r="D63" s="358">
        <f>VLOOKUP($E$3,'Catchment Projections'!$A$1:$BZ$90,77,FALSE)</f>
        <v>11</v>
      </c>
      <c r="E63" s="304">
        <f>D63/C63</f>
        <v>0.91666666666666663</v>
      </c>
      <c r="G63" s="114">
        <v>2017</v>
      </c>
      <c r="H63" s="395">
        <f>VLOOKUP($G$63,$B$177:$C$215, 2, FALSE)</f>
        <v>12</v>
      </c>
      <c r="I63" s="120">
        <f>H63-D63</f>
        <v>1</v>
      </c>
      <c r="J63" s="121">
        <f>I63/H63</f>
        <v>8.3333333333333329E-2</v>
      </c>
    </row>
    <row r="64" spans="2:17" ht="15" customHeight="1">
      <c r="B64" s="114">
        <v>2018</v>
      </c>
      <c r="C64" s="359">
        <f>VLOOKUP($E$3,'Catchment Projections'!$A$1:$BZ$90,44,FALSE)</f>
        <v>7</v>
      </c>
      <c r="D64" s="358">
        <f>VLOOKUP($E$3,'Catchment Projections'!$A$1:$BZ$90,78,FALSE)</f>
        <v>3</v>
      </c>
      <c r="E64" s="305">
        <f>D64/C64</f>
        <v>0.42857142857142855</v>
      </c>
      <c r="G64" s="114">
        <v>2018</v>
      </c>
      <c r="H64" s="395">
        <f>VLOOKUP($G$64,$B$177:$C$215, 2, FALSE)</f>
        <v>5</v>
      </c>
      <c r="I64" s="120">
        <f>H64-D64</f>
        <v>2</v>
      </c>
      <c r="J64" s="121">
        <f>I64/H64</f>
        <v>0.4</v>
      </c>
    </row>
    <row r="65" spans="2:10" ht="15" customHeight="1">
      <c r="B65" s="412" t="s">
        <v>136</v>
      </c>
      <c r="C65" s="413"/>
      <c r="D65" s="414"/>
      <c r="E65" s="137">
        <f>IF((AVERAGE(E62:E64))="#DIV/0!","n/a",(AVERAGE(E62:E64)))</f>
        <v>0.73730158730158724</v>
      </c>
      <c r="G65" s="415" t="s">
        <v>137</v>
      </c>
      <c r="H65" s="416"/>
      <c r="I65" s="138">
        <f>MEDIAN(I60:I64)</f>
        <v>1</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14</v>
      </c>
      <c r="D70" s="408"/>
      <c r="E70" s="122">
        <f>E65</f>
        <v>0.73730158730158724</v>
      </c>
      <c r="F70" s="120">
        <f t="shared" ref="F70:F83" si="1">C70*$E$65</f>
        <v>10.322222222222221</v>
      </c>
      <c r="G70" s="118">
        <f>IF(F70&lt;26,25,IF(F70&gt;135,140,IF(F70&gt;130,135,IF(F70&gt;125,130,IF(F70&gt;120,125,IF(F70&gt;115,120,IF(F70&gt;110,115,IF(F70&gt;105,110,IF(F70&gt;100,105,IF(F70&gt;99,100,IF(F70&gt;90,99,IF(F70&gt;75,90,IF(F70&gt;72,75,IF(F70&gt;66,72,IF(F70&gt;60,66,IF(F70&gt;50,60,IF(F70&gt;30,50,IF(F70&gt;25,30,0))))))))))))))))))</f>
        <v>25</v>
      </c>
      <c r="H70" s="119">
        <f t="shared" ref="H70:H83" si="2">G70-F70</f>
        <v>14.677777777777779</v>
      </c>
      <c r="I70" s="118" t="str">
        <f>IF(I$65&lt;H70, "NO", "YES")</f>
        <v>NO</v>
      </c>
      <c r="J70" s="117">
        <f t="shared" ref="J70:J83" si="3">IF(I70="YES",G70,(MIN((SUM(F70,$I$65)),G70)))</f>
        <v>11.322222222222221</v>
      </c>
    </row>
    <row r="71" spans="2:10" ht="15" customHeight="1">
      <c r="B71" s="114">
        <v>2020</v>
      </c>
      <c r="C71" s="433">
        <f>E51</f>
        <v>8</v>
      </c>
      <c r="D71" s="408"/>
      <c r="E71" s="121">
        <f>E65</f>
        <v>0.73730158730158724</v>
      </c>
      <c r="F71" s="120">
        <f t="shared" si="1"/>
        <v>5.8984126984126979</v>
      </c>
      <c r="G71" s="118">
        <f t="shared" ref="G71:G83" si="4">IF(F71&lt;26,25,IF(F71&gt;135,140,IF(F71&gt;130,135,IF(F71&gt;125,130,IF(F71&gt;120,125,IF(F71&gt;115,120,IF(F71&gt;110,115,IF(F71&gt;105,110,IF(F71&gt;100,105,IF(F71&gt;99,100,IF(F71&gt;90,99,IF(F71&gt;75,90,IF(F71&gt;72,75,IF(F71&gt;66,72,IF(F71&gt;60,66,IF(F71&gt;50,60,IF(F71&gt;30,50,IF(F71&gt;25,30,0))))))))))))))))))</f>
        <v>25</v>
      </c>
      <c r="H71" s="119">
        <f t="shared" si="2"/>
        <v>19.101587301587301</v>
      </c>
      <c r="I71" s="118" t="str">
        <f t="shared" ref="I71:I83" si="5">IF(I$65&lt;H71, "NO", "YES")</f>
        <v>NO</v>
      </c>
      <c r="J71" s="117">
        <f t="shared" si="3"/>
        <v>6.8984126984126979</v>
      </c>
    </row>
    <row r="72" spans="2:10" ht="15" customHeight="1">
      <c r="B72" s="114">
        <v>2021</v>
      </c>
      <c r="C72" s="430">
        <f>F51</f>
        <v>18</v>
      </c>
      <c r="D72" s="431"/>
      <c r="E72" s="121">
        <f>E65</f>
        <v>0.73730158730158724</v>
      </c>
      <c r="F72" s="120">
        <f t="shared" si="1"/>
        <v>13.27142857142857</v>
      </c>
      <c r="G72" s="118">
        <f t="shared" si="4"/>
        <v>25</v>
      </c>
      <c r="H72" s="119">
        <f t="shared" si="2"/>
        <v>11.72857142857143</v>
      </c>
      <c r="I72" s="118" t="str">
        <f t="shared" si="5"/>
        <v>NO</v>
      </c>
      <c r="J72" s="117">
        <f t="shared" si="3"/>
        <v>14.27142857142857</v>
      </c>
    </row>
    <row r="73" spans="2:10" ht="15" customHeight="1">
      <c r="B73" s="114">
        <v>2022</v>
      </c>
      <c r="C73" s="430">
        <f>G51</f>
        <v>18</v>
      </c>
      <c r="D73" s="431"/>
      <c r="E73" s="121">
        <f>E65</f>
        <v>0.73730158730158724</v>
      </c>
      <c r="F73" s="120">
        <f t="shared" si="1"/>
        <v>13.27142857142857</v>
      </c>
      <c r="G73" s="118">
        <f t="shared" si="4"/>
        <v>25</v>
      </c>
      <c r="H73" s="119">
        <f t="shared" si="2"/>
        <v>11.72857142857143</v>
      </c>
      <c r="I73" s="118" t="str">
        <f t="shared" si="5"/>
        <v>NO</v>
      </c>
      <c r="J73" s="117">
        <f t="shared" si="3"/>
        <v>14.27142857142857</v>
      </c>
    </row>
    <row r="74" spans="2:10" ht="15" customHeight="1">
      <c r="B74" s="114">
        <v>2023</v>
      </c>
      <c r="C74" s="430">
        <f>H51</f>
        <v>18</v>
      </c>
      <c r="D74" s="431"/>
      <c r="E74" s="121">
        <f>E65</f>
        <v>0.73730158730158724</v>
      </c>
      <c r="F74" s="120">
        <f t="shared" si="1"/>
        <v>13.27142857142857</v>
      </c>
      <c r="G74" s="118">
        <f t="shared" si="4"/>
        <v>25</v>
      </c>
      <c r="H74" s="119">
        <f t="shared" si="2"/>
        <v>11.72857142857143</v>
      </c>
      <c r="I74" s="118" t="str">
        <f t="shared" si="5"/>
        <v>NO</v>
      </c>
      <c r="J74" s="117">
        <f t="shared" si="3"/>
        <v>14.27142857142857</v>
      </c>
    </row>
    <row r="75" spans="2:10" ht="15" customHeight="1">
      <c r="B75" s="114">
        <v>2024</v>
      </c>
      <c r="C75" s="430">
        <f>I51</f>
        <v>18</v>
      </c>
      <c r="D75" s="431"/>
      <c r="E75" s="121">
        <f>E65</f>
        <v>0.73730158730158724</v>
      </c>
      <c r="F75" s="120">
        <f t="shared" si="1"/>
        <v>13.27142857142857</v>
      </c>
      <c r="G75" s="118">
        <f t="shared" si="4"/>
        <v>25</v>
      </c>
      <c r="H75" s="119">
        <f t="shared" si="2"/>
        <v>11.72857142857143</v>
      </c>
      <c r="I75" s="118" t="str">
        <f t="shared" si="5"/>
        <v>NO</v>
      </c>
      <c r="J75" s="117">
        <f t="shared" si="3"/>
        <v>14.27142857142857</v>
      </c>
    </row>
    <row r="76" spans="2:10" ht="15" customHeight="1">
      <c r="B76" s="114">
        <v>2025</v>
      </c>
      <c r="C76" s="430">
        <f>J51</f>
        <v>18</v>
      </c>
      <c r="D76" s="431"/>
      <c r="E76" s="121">
        <f>E65</f>
        <v>0.73730158730158724</v>
      </c>
      <c r="F76" s="120">
        <f t="shared" si="1"/>
        <v>13.27142857142857</v>
      </c>
      <c r="G76" s="118">
        <f t="shared" si="4"/>
        <v>25</v>
      </c>
      <c r="H76" s="119">
        <f t="shared" si="2"/>
        <v>11.72857142857143</v>
      </c>
      <c r="I76" s="118" t="str">
        <f t="shared" si="5"/>
        <v>NO</v>
      </c>
      <c r="J76" s="117">
        <f t="shared" si="3"/>
        <v>14.27142857142857</v>
      </c>
    </row>
    <row r="77" spans="2:10" ht="15" customHeight="1">
      <c r="B77" s="114">
        <v>2026</v>
      </c>
      <c r="C77" s="430">
        <f>K51</f>
        <v>18</v>
      </c>
      <c r="D77" s="431"/>
      <c r="E77" s="121">
        <f>E65</f>
        <v>0.73730158730158724</v>
      </c>
      <c r="F77" s="120">
        <f t="shared" si="1"/>
        <v>13.27142857142857</v>
      </c>
      <c r="G77" s="118">
        <f t="shared" si="4"/>
        <v>25</v>
      </c>
      <c r="H77" s="119">
        <f t="shared" si="2"/>
        <v>11.72857142857143</v>
      </c>
      <c r="I77" s="118" t="str">
        <f t="shared" si="5"/>
        <v>NO</v>
      </c>
      <c r="J77" s="117">
        <f t="shared" si="3"/>
        <v>14.27142857142857</v>
      </c>
    </row>
    <row r="78" spans="2:10" ht="15" customHeight="1">
      <c r="B78" s="114">
        <v>2027</v>
      </c>
      <c r="C78" s="430">
        <f>L51</f>
        <v>18</v>
      </c>
      <c r="D78" s="431"/>
      <c r="E78" s="121">
        <f>E65</f>
        <v>0.73730158730158724</v>
      </c>
      <c r="F78" s="120">
        <f t="shared" si="1"/>
        <v>13.27142857142857</v>
      </c>
      <c r="G78" s="118">
        <f t="shared" si="4"/>
        <v>25</v>
      </c>
      <c r="H78" s="119">
        <f t="shared" si="2"/>
        <v>11.72857142857143</v>
      </c>
      <c r="I78" s="118" t="str">
        <f t="shared" si="5"/>
        <v>NO</v>
      </c>
      <c r="J78" s="117">
        <f t="shared" si="3"/>
        <v>14.27142857142857</v>
      </c>
    </row>
    <row r="79" spans="2:10" ht="15" customHeight="1">
      <c r="B79" s="114">
        <v>2028</v>
      </c>
      <c r="C79" s="430">
        <f>M51</f>
        <v>18</v>
      </c>
      <c r="D79" s="431"/>
      <c r="E79" s="121">
        <f t="shared" ref="E79:E83" si="6">$E$65</f>
        <v>0.73730158730158724</v>
      </c>
      <c r="F79" s="120">
        <f t="shared" si="1"/>
        <v>13.27142857142857</v>
      </c>
      <c r="G79" s="118">
        <f t="shared" si="4"/>
        <v>25</v>
      </c>
      <c r="H79" s="119">
        <f t="shared" si="2"/>
        <v>11.72857142857143</v>
      </c>
      <c r="I79" s="118" t="str">
        <f t="shared" si="5"/>
        <v>NO</v>
      </c>
      <c r="J79" s="117">
        <f t="shared" si="3"/>
        <v>14.27142857142857</v>
      </c>
    </row>
    <row r="80" spans="2:10" ht="15" customHeight="1">
      <c r="B80" s="114">
        <v>2029</v>
      </c>
      <c r="C80" s="430">
        <f>N51</f>
        <v>19</v>
      </c>
      <c r="D80" s="431"/>
      <c r="E80" s="121">
        <f t="shared" si="6"/>
        <v>0.73730158730158724</v>
      </c>
      <c r="F80" s="120">
        <f t="shared" si="1"/>
        <v>14.008730158730158</v>
      </c>
      <c r="G80" s="118">
        <f t="shared" si="4"/>
        <v>25</v>
      </c>
      <c r="H80" s="119">
        <f t="shared" si="2"/>
        <v>10.991269841269842</v>
      </c>
      <c r="I80" s="118" t="str">
        <f t="shared" si="5"/>
        <v>NO</v>
      </c>
      <c r="J80" s="117">
        <f t="shared" si="3"/>
        <v>15.008730158730158</v>
      </c>
    </row>
    <row r="81" spans="2:10" ht="15" customHeight="1">
      <c r="B81" s="114">
        <v>2030</v>
      </c>
      <c r="C81" s="430">
        <f>O51</f>
        <v>21</v>
      </c>
      <c r="D81" s="431"/>
      <c r="E81" s="121">
        <f t="shared" si="6"/>
        <v>0.73730158730158724</v>
      </c>
      <c r="F81" s="120">
        <f t="shared" si="1"/>
        <v>15.483333333333333</v>
      </c>
      <c r="G81" s="118">
        <f t="shared" si="4"/>
        <v>25</v>
      </c>
      <c r="H81" s="119">
        <f t="shared" si="2"/>
        <v>9.5166666666666675</v>
      </c>
      <c r="I81" s="118" t="str">
        <f t="shared" si="5"/>
        <v>NO</v>
      </c>
      <c r="J81" s="117">
        <f t="shared" si="3"/>
        <v>16.483333333333334</v>
      </c>
    </row>
    <row r="82" spans="2:10" ht="15" customHeight="1">
      <c r="B82" s="114">
        <v>2031</v>
      </c>
      <c r="C82" s="430">
        <f>P51</f>
        <v>23</v>
      </c>
      <c r="D82" s="431"/>
      <c r="E82" s="121">
        <f t="shared" si="6"/>
        <v>0.73730158730158724</v>
      </c>
      <c r="F82" s="120">
        <f t="shared" si="1"/>
        <v>16.957936507936505</v>
      </c>
      <c r="G82" s="118">
        <f t="shared" si="4"/>
        <v>25</v>
      </c>
      <c r="H82" s="119">
        <f t="shared" si="2"/>
        <v>8.0420634920634946</v>
      </c>
      <c r="I82" s="118" t="str">
        <f t="shared" si="5"/>
        <v>NO</v>
      </c>
      <c r="J82" s="117">
        <f t="shared" si="3"/>
        <v>17.957936507936505</v>
      </c>
    </row>
    <row r="83" spans="2:10" ht="15" customHeight="1">
      <c r="B83" s="114">
        <v>2032</v>
      </c>
      <c r="C83" s="430">
        <f>Q51</f>
        <v>26</v>
      </c>
      <c r="D83" s="431"/>
      <c r="E83" s="121">
        <f t="shared" si="6"/>
        <v>0.73730158730158724</v>
      </c>
      <c r="F83" s="120">
        <f t="shared" si="1"/>
        <v>19.169841269841267</v>
      </c>
      <c r="G83" s="118">
        <f t="shared" si="4"/>
        <v>25</v>
      </c>
      <c r="H83" s="119">
        <f t="shared" si="2"/>
        <v>5.8301587301587325</v>
      </c>
      <c r="I83" s="118" t="str">
        <f t="shared" si="5"/>
        <v>NO</v>
      </c>
      <c r="J83" s="117">
        <f t="shared" si="3"/>
        <v>20.169841269841267</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Hillwood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7</v>
      </c>
      <c r="D91" s="112">
        <f t="shared" ref="D91:J91" si="7">D188</f>
        <v>9</v>
      </c>
      <c r="E91" s="112">
        <f t="shared" si="7"/>
        <v>8</v>
      </c>
      <c r="F91" s="112">
        <f t="shared" si="7"/>
        <v>9</v>
      </c>
      <c r="G91" s="112">
        <f t="shared" si="7"/>
        <v>11</v>
      </c>
      <c r="H91" s="112">
        <f t="shared" si="7"/>
        <v>5</v>
      </c>
      <c r="I91" s="112">
        <f t="shared" si="7"/>
        <v>0</v>
      </c>
      <c r="J91" s="213">
        <f t="shared" si="7"/>
        <v>49</v>
      </c>
    </row>
    <row r="92" spans="2:10" ht="15" customHeight="1">
      <c r="B92" s="114">
        <v>2014</v>
      </c>
      <c r="C92" s="112">
        <f>C189</f>
        <v>7</v>
      </c>
      <c r="D92" s="112">
        <f t="shared" ref="D92:J92" si="8">D189</f>
        <v>8</v>
      </c>
      <c r="E92" s="112">
        <f t="shared" si="8"/>
        <v>9</v>
      </c>
      <c r="F92" s="112">
        <f t="shared" si="8"/>
        <v>7</v>
      </c>
      <c r="G92" s="112">
        <f t="shared" si="8"/>
        <v>7</v>
      </c>
      <c r="H92" s="112">
        <f t="shared" si="8"/>
        <v>11</v>
      </c>
      <c r="I92" s="112">
        <f t="shared" si="8"/>
        <v>6</v>
      </c>
      <c r="J92" s="213">
        <f t="shared" si="8"/>
        <v>55</v>
      </c>
    </row>
    <row r="93" spans="2:10" ht="15" customHeight="1">
      <c r="B93" s="114">
        <v>2015</v>
      </c>
      <c r="C93" s="112">
        <f>C190</f>
        <v>12</v>
      </c>
      <c r="D93" s="112">
        <f t="shared" ref="D93:J93" si="9">D190</f>
        <v>8</v>
      </c>
      <c r="E93" s="112">
        <f t="shared" si="9"/>
        <v>10</v>
      </c>
      <c r="F93" s="112">
        <f t="shared" si="9"/>
        <v>11</v>
      </c>
      <c r="G93" s="112">
        <f t="shared" si="9"/>
        <v>7</v>
      </c>
      <c r="H93" s="112">
        <f t="shared" si="9"/>
        <v>9</v>
      </c>
      <c r="I93" s="112">
        <f t="shared" si="9"/>
        <v>11</v>
      </c>
      <c r="J93" s="213">
        <f t="shared" si="9"/>
        <v>68</v>
      </c>
    </row>
    <row r="94" spans="2:10" ht="15" customHeight="1">
      <c r="B94" s="114">
        <v>2016</v>
      </c>
      <c r="C94" s="112">
        <f>C191</f>
        <v>14</v>
      </c>
      <c r="D94" s="112">
        <f t="shared" ref="D94:J94" si="10">D191</f>
        <v>12</v>
      </c>
      <c r="E94" s="112">
        <f t="shared" si="10"/>
        <v>7</v>
      </c>
      <c r="F94" s="112">
        <f t="shared" si="10"/>
        <v>7</v>
      </c>
      <c r="G94" s="112">
        <f t="shared" si="10"/>
        <v>8</v>
      </c>
      <c r="H94" s="112">
        <f t="shared" si="10"/>
        <v>6</v>
      </c>
      <c r="I94" s="112">
        <f t="shared" si="10"/>
        <v>7</v>
      </c>
      <c r="J94" s="213">
        <f t="shared" si="10"/>
        <v>61</v>
      </c>
    </row>
    <row r="95" spans="2:10" ht="15" customHeight="1">
      <c r="B95" s="114">
        <v>2017</v>
      </c>
      <c r="C95" s="112">
        <f>C192</f>
        <v>12</v>
      </c>
      <c r="D95" s="112">
        <f t="shared" ref="D95:J95" si="11">D192</f>
        <v>15</v>
      </c>
      <c r="E95" s="112">
        <f t="shared" si="11"/>
        <v>10</v>
      </c>
      <c r="F95" s="112">
        <f t="shared" si="11"/>
        <v>6</v>
      </c>
      <c r="G95" s="112">
        <f t="shared" si="11"/>
        <v>7</v>
      </c>
      <c r="H95" s="112">
        <f t="shared" si="11"/>
        <v>7</v>
      </c>
      <c r="I95" s="112">
        <f t="shared" si="11"/>
        <v>6</v>
      </c>
      <c r="J95" s="213">
        <f t="shared" si="11"/>
        <v>63</v>
      </c>
    </row>
    <row r="96" spans="2:10" ht="15" customHeight="1">
      <c r="B96" s="307">
        <v>2018</v>
      </c>
      <c r="C96" s="112">
        <f t="shared" ref="C96:J96" si="12">C193</f>
        <v>5</v>
      </c>
      <c r="D96" s="112">
        <f t="shared" si="12"/>
        <v>12</v>
      </c>
      <c r="E96" s="112">
        <f t="shared" si="12"/>
        <v>16</v>
      </c>
      <c r="F96" s="112">
        <f t="shared" si="12"/>
        <v>10</v>
      </c>
      <c r="G96" s="112">
        <f t="shared" si="12"/>
        <v>6</v>
      </c>
      <c r="H96" s="112">
        <f t="shared" si="12"/>
        <v>6</v>
      </c>
      <c r="I96" s="112">
        <f t="shared" si="12"/>
        <v>7</v>
      </c>
      <c r="J96" s="213">
        <f t="shared" si="12"/>
        <v>62</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-7.1428571428571425E-2</v>
      </c>
      <c r="E98" s="210">
        <f t="shared" ref="E98:I98" si="13">MEDIAN(((D91-E92)/D91),((D92-E93)/D92),((D93-E94)/D93),((D94-E95)/D94),((D95-E96)/D95))</f>
        <v>0</v>
      </c>
      <c r="F98" s="210">
        <f t="shared" si="13"/>
        <v>0.125</v>
      </c>
      <c r="G98" s="210">
        <f t="shared" si="13"/>
        <v>0</v>
      </c>
      <c r="H98" s="210">
        <f t="shared" si="13"/>
        <v>0.125</v>
      </c>
      <c r="I98" s="210">
        <f t="shared" si="13"/>
        <v>0</v>
      </c>
    </row>
    <row r="99" spans="2:10" ht="15" customHeight="1">
      <c r="B99" s="59"/>
      <c r="C99" s="60"/>
      <c r="D99" s="61"/>
      <c r="E99" s="61"/>
      <c r="F99" s="61"/>
      <c r="G99" s="61"/>
      <c r="H99" s="61"/>
      <c r="I99" s="61"/>
      <c r="J99" s="58"/>
    </row>
    <row r="100" spans="2:10" ht="15" customHeight="1">
      <c r="B100" s="15" t="str">
        <f>"Table 4B: "&amp;E3&amp;" Projected Roll by Stage (incorporating Projected P1 and Drop-Off Rates), 2019-2032"</f>
        <v>Table 4B: Hillwood Primary School Projected Roll by Stage (incorporating Projected P1 and Drop-Off Rates), 2019-2032</v>
      </c>
      <c r="F100" s="14"/>
      <c r="G100" s="14"/>
    </row>
    <row r="101" spans="2:10" ht="15" customHeight="1">
      <c r="F101" s="14"/>
      <c r="G101" s="14"/>
    </row>
    <row r="102" spans="2:10" ht="15" customHeight="1">
      <c r="B102" s="115"/>
      <c r="C102" s="109" t="s">
        <v>1</v>
      </c>
      <c r="D102" s="109" t="s">
        <v>2</v>
      </c>
      <c r="E102" s="109" t="s">
        <v>3</v>
      </c>
      <c r="F102" s="109" t="s">
        <v>4</v>
      </c>
      <c r="G102" s="109" t="s">
        <v>5</v>
      </c>
      <c r="H102" s="109" t="s">
        <v>6</v>
      </c>
      <c r="I102" s="109" t="s">
        <v>7</v>
      </c>
      <c r="J102" s="109" t="s">
        <v>8</v>
      </c>
    </row>
    <row r="103" spans="2:10" ht="15" customHeight="1">
      <c r="B103" s="114">
        <v>2019</v>
      </c>
      <c r="C103" s="113">
        <f t="shared" ref="C103:C116" si="14">J70</f>
        <v>11.322222222222221</v>
      </c>
      <c r="D103" s="324">
        <f>ROUND((C96)-(C96*$D$98),0)</f>
        <v>5</v>
      </c>
      <c r="E103" s="324">
        <f>ROUND((D96)-(D96*$E$98),0)</f>
        <v>12</v>
      </c>
      <c r="F103" s="324">
        <f>ROUND((E96)-(E96*$F$98),0)</f>
        <v>14</v>
      </c>
      <c r="G103" s="324">
        <f>ROUND((F96)-(F96*$G$98),0)</f>
        <v>10</v>
      </c>
      <c r="H103" s="324">
        <f>ROUND((G96)-(G96*$H$98),0)</f>
        <v>5</v>
      </c>
      <c r="I103" s="324">
        <f>ROUND((H96)-(H96*$I$98),0)</f>
        <v>6</v>
      </c>
      <c r="J103" s="111">
        <f t="shared" ref="J103:J116" si="15">SUM(C103:I103)</f>
        <v>63.322222222222223</v>
      </c>
    </row>
    <row r="104" spans="2:10" ht="15" customHeight="1">
      <c r="B104" s="114">
        <v>2020</v>
      </c>
      <c r="C104" s="113">
        <f t="shared" si="14"/>
        <v>6.8984126984126979</v>
      </c>
      <c r="D104" s="324">
        <f>ROUND((C103-E50)-(C103*$D$98),0)</f>
        <v>11</v>
      </c>
      <c r="E104" s="112">
        <f t="shared" ref="E104:E116" si="16">ROUND((D103)-(D103*$E$98),0)</f>
        <v>5</v>
      </c>
      <c r="F104" s="112">
        <f t="shared" ref="F104:F116" si="17">ROUND((E103)-(E103*$F$98),0)</f>
        <v>11</v>
      </c>
      <c r="G104" s="112">
        <f t="shared" ref="G104:G116" si="18">ROUND((F103)-(F103*$G$98),0)</f>
        <v>14</v>
      </c>
      <c r="H104" s="112">
        <f t="shared" ref="H104:H116" si="19">ROUND((G103)-(G103*$H$98),0)</f>
        <v>9</v>
      </c>
      <c r="I104" s="112">
        <f t="shared" ref="I104:I116" si="20">ROUND((H103)-(H103*$I$98),0)</f>
        <v>5</v>
      </c>
      <c r="J104" s="111">
        <f t="shared" si="15"/>
        <v>61.898412698412699</v>
      </c>
    </row>
    <row r="105" spans="2:10" ht="15" customHeight="1">
      <c r="B105" s="114">
        <v>2021</v>
      </c>
      <c r="C105" s="113">
        <f t="shared" si="14"/>
        <v>14.27142857142857</v>
      </c>
      <c r="D105" s="324">
        <f>ROUND((C104-F50)-(C104*$D$98),0)</f>
        <v>5</v>
      </c>
      <c r="E105" s="112">
        <f t="shared" si="16"/>
        <v>11</v>
      </c>
      <c r="F105" s="112">
        <f t="shared" si="17"/>
        <v>4</v>
      </c>
      <c r="G105" s="112">
        <f t="shared" si="18"/>
        <v>11</v>
      </c>
      <c r="H105" s="112">
        <f t="shared" si="19"/>
        <v>12</v>
      </c>
      <c r="I105" s="112">
        <f t="shared" si="20"/>
        <v>9</v>
      </c>
      <c r="J105" s="111">
        <f t="shared" si="15"/>
        <v>66.271428571428572</v>
      </c>
    </row>
    <row r="106" spans="2:10" ht="15" customHeight="1">
      <c r="B106" s="114">
        <v>2022</v>
      </c>
      <c r="C106" s="113">
        <f t="shared" si="14"/>
        <v>14.27142857142857</v>
      </c>
      <c r="D106" s="324">
        <f>ROUND((C105-G50)-(C105*$D$98),0)</f>
        <v>11</v>
      </c>
      <c r="E106" s="112">
        <f t="shared" si="16"/>
        <v>5</v>
      </c>
      <c r="F106" s="112">
        <f t="shared" si="17"/>
        <v>10</v>
      </c>
      <c r="G106" s="112">
        <f t="shared" si="18"/>
        <v>4</v>
      </c>
      <c r="H106" s="112">
        <f t="shared" si="19"/>
        <v>10</v>
      </c>
      <c r="I106" s="112">
        <f t="shared" si="20"/>
        <v>12</v>
      </c>
      <c r="J106" s="111">
        <f t="shared" si="15"/>
        <v>66.271428571428572</v>
      </c>
    </row>
    <row r="107" spans="2:10" ht="15" customHeight="1">
      <c r="B107" s="114">
        <v>2023</v>
      </c>
      <c r="C107" s="113">
        <f t="shared" si="14"/>
        <v>14.27142857142857</v>
      </c>
      <c r="D107" s="324">
        <f>ROUND((C106-H50)-(C106*$D$98),0)</f>
        <v>10</v>
      </c>
      <c r="E107" s="112">
        <f t="shared" si="16"/>
        <v>11</v>
      </c>
      <c r="F107" s="112">
        <f t="shared" si="17"/>
        <v>4</v>
      </c>
      <c r="G107" s="112">
        <f t="shared" si="18"/>
        <v>10</v>
      </c>
      <c r="H107" s="112">
        <f t="shared" si="19"/>
        <v>4</v>
      </c>
      <c r="I107" s="112">
        <f t="shared" si="20"/>
        <v>10</v>
      </c>
      <c r="J107" s="111">
        <f t="shared" si="15"/>
        <v>63.271428571428572</v>
      </c>
    </row>
    <row r="108" spans="2:10" ht="15" customHeight="1">
      <c r="B108" s="114">
        <v>2024</v>
      </c>
      <c r="C108" s="113">
        <f t="shared" si="14"/>
        <v>14.27142857142857</v>
      </c>
      <c r="D108" s="324">
        <f>ROUND((C107-I50)-(C107*$D$98),0)</f>
        <v>10</v>
      </c>
      <c r="E108" s="112">
        <f t="shared" si="16"/>
        <v>10</v>
      </c>
      <c r="F108" s="112">
        <f t="shared" si="17"/>
        <v>10</v>
      </c>
      <c r="G108" s="112">
        <f t="shared" si="18"/>
        <v>4</v>
      </c>
      <c r="H108" s="112">
        <f t="shared" si="19"/>
        <v>9</v>
      </c>
      <c r="I108" s="112">
        <f t="shared" si="20"/>
        <v>4</v>
      </c>
      <c r="J108" s="111">
        <f t="shared" si="15"/>
        <v>61.271428571428572</v>
      </c>
    </row>
    <row r="109" spans="2:10" ht="15" customHeight="1">
      <c r="B109" s="114">
        <v>2025</v>
      </c>
      <c r="C109" s="113">
        <f t="shared" si="14"/>
        <v>14.27142857142857</v>
      </c>
      <c r="D109" s="324">
        <f>ROUND((C108-J50)-(C108*$D$98),0)</f>
        <v>10</v>
      </c>
      <c r="E109" s="112">
        <f t="shared" si="16"/>
        <v>10</v>
      </c>
      <c r="F109" s="112">
        <f t="shared" si="17"/>
        <v>9</v>
      </c>
      <c r="G109" s="112">
        <f t="shared" si="18"/>
        <v>10</v>
      </c>
      <c r="H109" s="112">
        <f t="shared" si="19"/>
        <v>4</v>
      </c>
      <c r="I109" s="112">
        <f t="shared" si="20"/>
        <v>9</v>
      </c>
      <c r="J109" s="111">
        <f t="shared" si="15"/>
        <v>66.271428571428572</v>
      </c>
    </row>
    <row r="110" spans="2:10" ht="15" customHeight="1">
      <c r="B110" s="114">
        <v>2026</v>
      </c>
      <c r="C110" s="113">
        <f t="shared" si="14"/>
        <v>14.27142857142857</v>
      </c>
      <c r="D110" s="324">
        <f>ROUND((C109-K50)-(C109*$D$98),0)</f>
        <v>10</v>
      </c>
      <c r="E110" s="112">
        <f t="shared" si="16"/>
        <v>10</v>
      </c>
      <c r="F110" s="112">
        <f t="shared" si="17"/>
        <v>9</v>
      </c>
      <c r="G110" s="112">
        <f t="shared" si="18"/>
        <v>9</v>
      </c>
      <c r="H110" s="112">
        <f t="shared" si="19"/>
        <v>9</v>
      </c>
      <c r="I110" s="112">
        <f t="shared" si="20"/>
        <v>4</v>
      </c>
      <c r="J110" s="111">
        <f t="shared" si="15"/>
        <v>65.271428571428572</v>
      </c>
    </row>
    <row r="111" spans="2:10" ht="15" customHeight="1">
      <c r="B111" s="114">
        <v>2027</v>
      </c>
      <c r="C111" s="113">
        <f t="shared" si="14"/>
        <v>14.27142857142857</v>
      </c>
      <c r="D111" s="324">
        <f>ROUND((C110-L50)-(C110*$D$98),0)</f>
        <v>10</v>
      </c>
      <c r="E111" s="112">
        <f t="shared" si="16"/>
        <v>10</v>
      </c>
      <c r="F111" s="112">
        <f t="shared" si="17"/>
        <v>9</v>
      </c>
      <c r="G111" s="112">
        <f t="shared" si="18"/>
        <v>9</v>
      </c>
      <c r="H111" s="112">
        <f t="shared" si="19"/>
        <v>8</v>
      </c>
      <c r="I111" s="112">
        <f t="shared" si="20"/>
        <v>9</v>
      </c>
      <c r="J111" s="111">
        <f t="shared" si="15"/>
        <v>69.271428571428572</v>
      </c>
    </row>
    <row r="112" spans="2:10" ht="15" customHeight="1">
      <c r="B112" s="114">
        <v>2028</v>
      </c>
      <c r="C112" s="113">
        <f t="shared" si="14"/>
        <v>14.27142857142857</v>
      </c>
      <c r="D112" s="324">
        <f>ROUND((C111-M50)-(C111*$D$98),0)</f>
        <v>10</v>
      </c>
      <c r="E112" s="112">
        <f t="shared" si="16"/>
        <v>10</v>
      </c>
      <c r="F112" s="112">
        <f t="shared" si="17"/>
        <v>9</v>
      </c>
      <c r="G112" s="112">
        <f t="shared" si="18"/>
        <v>9</v>
      </c>
      <c r="H112" s="112">
        <f t="shared" si="19"/>
        <v>8</v>
      </c>
      <c r="I112" s="112">
        <f t="shared" si="20"/>
        <v>8</v>
      </c>
      <c r="J112" s="111">
        <f t="shared" si="15"/>
        <v>68.271428571428572</v>
      </c>
    </row>
    <row r="113" spans="2:10" ht="15" customHeight="1">
      <c r="B113" s="114">
        <v>2029</v>
      </c>
      <c r="C113" s="113">
        <f t="shared" si="14"/>
        <v>15.008730158730158</v>
      </c>
      <c r="D113" s="324">
        <f>ROUND((C112-N50)-(C112*$D$98),0)</f>
        <v>9</v>
      </c>
      <c r="E113" s="112">
        <f t="shared" si="16"/>
        <v>10</v>
      </c>
      <c r="F113" s="112">
        <f t="shared" si="17"/>
        <v>9</v>
      </c>
      <c r="G113" s="112">
        <f t="shared" si="18"/>
        <v>9</v>
      </c>
      <c r="H113" s="112">
        <f t="shared" si="19"/>
        <v>8</v>
      </c>
      <c r="I113" s="112">
        <f t="shared" si="20"/>
        <v>8</v>
      </c>
      <c r="J113" s="111">
        <f t="shared" si="15"/>
        <v>68.00873015873016</v>
      </c>
    </row>
    <row r="114" spans="2:10" ht="15" customHeight="1">
      <c r="B114" s="114">
        <v>2030</v>
      </c>
      <c r="C114" s="113">
        <f t="shared" si="14"/>
        <v>16.483333333333334</v>
      </c>
      <c r="D114" s="324">
        <f>ROUND((C113-O50)-(C113*$D$98),0)</f>
        <v>8</v>
      </c>
      <c r="E114" s="112">
        <f t="shared" si="16"/>
        <v>9</v>
      </c>
      <c r="F114" s="112">
        <f t="shared" si="17"/>
        <v>9</v>
      </c>
      <c r="G114" s="112">
        <f t="shared" si="18"/>
        <v>9</v>
      </c>
      <c r="H114" s="112">
        <f t="shared" si="19"/>
        <v>8</v>
      </c>
      <c r="I114" s="112">
        <f t="shared" si="20"/>
        <v>8</v>
      </c>
      <c r="J114" s="111">
        <f t="shared" si="15"/>
        <v>67.483333333333334</v>
      </c>
    </row>
    <row r="115" spans="2:10" ht="15" customHeight="1">
      <c r="B115" s="114">
        <v>2031</v>
      </c>
      <c r="C115" s="113">
        <f t="shared" si="14"/>
        <v>17.957936507936505</v>
      </c>
      <c r="D115" s="324">
        <f>ROUND((C114-P50)-(C114*$D$98),0)</f>
        <v>8</v>
      </c>
      <c r="E115" s="112">
        <f t="shared" si="16"/>
        <v>8</v>
      </c>
      <c r="F115" s="112">
        <f t="shared" si="17"/>
        <v>8</v>
      </c>
      <c r="G115" s="112">
        <f t="shared" si="18"/>
        <v>9</v>
      </c>
      <c r="H115" s="112">
        <f t="shared" si="19"/>
        <v>8</v>
      </c>
      <c r="I115" s="112">
        <f t="shared" si="20"/>
        <v>8</v>
      </c>
      <c r="J115" s="111">
        <f t="shared" si="15"/>
        <v>66.957936507936509</v>
      </c>
    </row>
    <row r="116" spans="2:10" ht="15" customHeight="1">
      <c r="B116" s="114">
        <v>2032</v>
      </c>
      <c r="C116" s="113">
        <f t="shared" si="14"/>
        <v>20.169841269841267</v>
      </c>
      <c r="D116" s="324">
        <f>ROUND((C115-Q50)-(C115*$D$98),0)</f>
        <v>6</v>
      </c>
      <c r="E116" s="112">
        <f t="shared" si="16"/>
        <v>8</v>
      </c>
      <c r="F116" s="112">
        <f t="shared" si="17"/>
        <v>7</v>
      </c>
      <c r="G116" s="112">
        <f t="shared" si="18"/>
        <v>8</v>
      </c>
      <c r="H116" s="112">
        <f t="shared" si="19"/>
        <v>8</v>
      </c>
      <c r="I116" s="112">
        <f t="shared" si="20"/>
        <v>8</v>
      </c>
      <c r="J116" s="111">
        <f t="shared" si="15"/>
        <v>65.169841269841271</v>
      </c>
    </row>
    <row r="117" spans="2:10" ht="15" customHeight="1">
      <c r="F117" s="14"/>
      <c r="G117" s="14"/>
    </row>
    <row r="118" spans="2:10" ht="15" customHeight="1">
      <c r="B118" s="15" t="str">
        <f>"Table 4C: "&amp;E3&amp;" Projected Pupil Generation from Housing Development, 2019-2032"</f>
        <v>Table 4C: Hillwood Primary School Projected Pupil Generation from Housing Development, 2019-2032</v>
      </c>
      <c r="F118" s="14"/>
      <c r="G118" s="14"/>
    </row>
    <row r="119" spans="2:10" ht="15" customHeight="1">
      <c r="F119" s="14"/>
      <c r="G119" s="14"/>
    </row>
    <row r="120" spans="2:10" ht="15" customHeight="1">
      <c r="B120" s="115"/>
      <c r="C120" s="109" t="s">
        <v>1</v>
      </c>
      <c r="D120" s="109" t="s">
        <v>2</v>
      </c>
      <c r="E120" s="109" t="s">
        <v>3</v>
      </c>
      <c r="F120" s="109" t="s">
        <v>4</v>
      </c>
      <c r="G120" s="109" t="s">
        <v>5</v>
      </c>
      <c r="H120" s="109" t="s">
        <v>6</v>
      </c>
      <c r="I120" s="109" t="s">
        <v>7</v>
      </c>
      <c r="J120" s="109" t="s">
        <v>8</v>
      </c>
    </row>
    <row r="121" spans="2:10" ht="15" customHeight="1">
      <c r="B121" s="114">
        <v>2019</v>
      </c>
      <c r="C121" s="116" t="s">
        <v>97</v>
      </c>
      <c r="D121" s="112">
        <f>VLOOKUP($E$3,'Housing Generation'!$A$3:$BE$90,11,FALSE)</f>
        <v>0</v>
      </c>
      <c r="E121" s="112">
        <f>VLOOKUP($E$3,'Housing Generation'!$A$3:$BE$90,12,FALSE)</f>
        <v>0</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0</v>
      </c>
    </row>
    <row r="122" spans="2:10" ht="15" customHeight="1">
      <c r="B122" s="114">
        <v>2020</v>
      </c>
      <c r="C122" s="116" t="s">
        <v>97</v>
      </c>
      <c r="D122" s="112">
        <f>VLOOKUP($E$3,'Housing Generation'!$A$3:$BE$90,19,FALSE)</f>
        <v>1</v>
      </c>
      <c r="E122" s="112">
        <f>VLOOKUP($E$3,'Housing Generation'!$A$3:$BE$90,20,FALSE)</f>
        <v>1</v>
      </c>
      <c r="F122" s="112">
        <f>VLOOKUP($E$3,'Housing Generation'!$A$3:$BE$90,21,FALSE)</f>
        <v>1</v>
      </c>
      <c r="G122" s="112">
        <f>VLOOKUP($E$3,'Housing Generation'!$A$3:$BE$90,22,FALSE)</f>
        <v>1</v>
      </c>
      <c r="H122" s="112">
        <f>VLOOKUP($E$3,'Housing Generation'!$A$3:$BE$90,23,FALSE)</f>
        <v>0</v>
      </c>
      <c r="I122" s="112">
        <f>VLOOKUP($E$3,'Housing Generation'!$A$3:$BE$90,24,FALSE)</f>
        <v>0</v>
      </c>
      <c r="J122" s="111">
        <f t="shared" si="21"/>
        <v>4</v>
      </c>
    </row>
    <row r="123" spans="2:10" ht="15" customHeight="1">
      <c r="B123" s="114">
        <v>2021</v>
      </c>
      <c r="C123" s="116" t="s">
        <v>97</v>
      </c>
      <c r="D123" s="112">
        <f>VLOOKUP($E$3,'Housing Generation'!$A$3:$BE$90,27,FALSE)</f>
        <v>2</v>
      </c>
      <c r="E123" s="112">
        <f>VLOOKUP($E$3,'Housing Generation'!$A$3:$BE$90,28,FALSE)</f>
        <v>2</v>
      </c>
      <c r="F123" s="112">
        <f>VLOOKUP($E$3,'Housing Generation'!$A$3:$BE$90,29,FALSE)</f>
        <v>2</v>
      </c>
      <c r="G123" s="112">
        <f>VLOOKUP($E$3,'Housing Generation'!$A$3:$BE$90,30,FALSE)</f>
        <v>2</v>
      </c>
      <c r="H123" s="112">
        <f>VLOOKUP($E$3,'Housing Generation'!$A$3:$BE$90,31,FALSE)</f>
        <v>2</v>
      </c>
      <c r="I123" s="112">
        <f>VLOOKUP($E$3,'Housing Generation'!$A$3:$BE$90,32,FALSE)</f>
        <v>2</v>
      </c>
      <c r="J123" s="111">
        <f t="shared" si="21"/>
        <v>12</v>
      </c>
    </row>
    <row r="124" spans="2:10" ht="15" customHeight="1">
      <c r="B124" s="114">
        <v>2022</v>
      </c>
      <c r="C124" s="116" t="s">
        <v>97</v>
      </c>
      <c r="D124" s="112">
        <f>VLOOKUP($E$3,'Housing Generation'!$A$3:$BE$90,35,FALSE)</f>
        <v>4</v>
      </c>
      <c r="E124" s="112">
        <f>VLOOKUP($E$3,'Housing Generation'!$A$3:$BE$90,36,FALSE)</f>
        <v>3</v>
      </c>
      <c r="F124" s="112">
        <f>VLOOKUP($E$3,'Housing Generation'!$A$3:$BE$90,37,FALSE)</f>
        <v>3</v>
      </c>
      <c r="G124" s="112">
        <f>VLOOKUP($E$3,'Housing Generation'!$A$3:$BE$90,38,FALSE)</f>
        <v>3</v>
      </c>
      <c r="H124" s="112">
        <f>VLOOKUP($E$3,'Housing Generation'!$A$3:$BE$90,39,FALSE)</f>
        <v>3</v>
      </c>
      <c r="I124" s="112">
        <f>VLOOKUP($E$3,'Housing Generation'!$A$3:$BE$90,40,FALSE)</f>
        <v>3</v>
      </c>
      <c r="J124" s="111">
        <f t="shared" si="21"/>
        <v>19</v>
      </c>
    </row>
    <row r="125" spans="2:10" ht="15" customHeight="1">
      <c r="B125" s="114">
        <v>2023</v>
      </c>
      <c r="C125" s="116" t="s">
        <v>97</v>
      </c>
      <c r="D125" s="112">
        <f>VLOOKUP($E$3,'Housing Generation'!$A$3:$BE$90,43,FALSE)</f>
        <v>5</v>
      </c>
      <c r="E125" s="112">
        <f>VLOOKUP($E$3,'Housing Generation'!$A$3:$BE$90,44,FALSE)</f>
        <v>4</v>
      </c>
      <c r="F125" s="112">
        <f>VLOOKUP($E$3,'Housing Generation'!$A$3:$BE$90,45,FALSE)</f>
        <v>4</v>
      </c>
      <c r="G125" s="112">
        <f>VLOOKUP($E$3,'Housing Generation'!$A$3:$BE$90,46,FALSE)</f>
        <v>4</v>
      </c>
      <c r="H125" s="112">
        <f>VLOOKUP($E$3,'Housing Generation'!$A$3:$BE$90,47,FALSE)</f>
        <v>4</v>
      </c>
      <c r="I125" s="112">
        <f>VLOOKUP($E$3,'Housing Generation'!$A$3:$BE$90,48,FALSE)</f>
        <v>4</v>
      </c>
      <c r="J125" s="111">
        <f t="shared" si="21"/>
        <v>25</v>
      </c>
    </row>
    <row r="126" spans="2:10" ht="15" customHeight="1">
      <c r="B126" s="114">
        <v>2024</v>
      </c>
      <c r="C126" s="116" t="s">
        <v>97</v>
      </c>
      <c r="D126" s="112">
        <f>VLOOKUP($E$3,'Housing Generation'!$A$3:$BE$90,51,FALSE)</f>
        <v>5</v>
      </c>
      <c r="E126" s="112">
        <f>VLOOKUP($E$3,'Housing Generation'!$A$3:$BE$90,52,FALSE)</f>
        <v>4</v>
      </c>
      <c r="F126" s="112">
        <f>VLOOKUP($E$3,'Housing Generation'!$A$3:$BE$90,53,FALSE)</f>
        <v>4</v>
      </c>
      <c r="G126" s="112">
        <f>VLOOKUP($E$3,'Housing Generation'!$A$3:$BE$90,54,FALSE)</f>
        <v>4</v>
      </c>
      <c r="H126" s="112">
        <f>VLOOKUP($E$3,'Housing Generation'!$A$3:$BE$90,55,FALSE)</f>
        <v>4</v>
      </c>
      <c r="I126" s="112">
        <f>VLOOKUP($E$3,'Housing Generation'!$A$3:$BE$90,56,FALSE)</f>
        <v>4</v>
      </c>
      <c r="J126" s="111">
        <f t="shared" si="21"/>
        <v>25</v>
      </c>
    </row>
    <row r="127" spans="2:10" ht="15" customHeight="1">
      <c r="B127" s="114">
        <v>2025</v>
      </c>
      <c r="C127" s="240" t="s">
        <v>97</v>
      </c>
      <c r="D127" s="112">
        <f>VLOOKUP($E$3,'Housing Generation'!$A$3:$CK$90,59,FALSE)</f>
        <v>5</v>
      </c>
      <c r="E127" s="112">
        <f>VLOOKUP($E$3,'Housing Generation'!$A$3:$CK$90,60,FALSE)</f>
        <v>4</v>
      </c>
      <c r="F127" s="112">
        <f>VLOOKUP($E$3,'Housing Generation'!$A$3:$CK$90,61,FALSE)</f>
        <v>4</v>
      </c>
      <c r="G127" s="112">
        <f>VLOOKUP($E$3,'Housing Generation'!$A$3:$CK$90,62,FALSE)</f>
        <v>4</v>
      </c>
      <c r="H127" s="112">
        <f>VLOOKUP($E$3,'Housing Generation'!$A$3:$CK$90,63,FALSE)</f>
        <v>4</v>
      </c>
      <c r="I127" s="112">
        <f>VLOOKUP($E$3,'Housing Generation'!$A$3:$CK$90,64,FALSE)</f>
        <v>4</v>
      </c>
      <c r="J127" s="111">
        <f t="shared" si="21"/>
        <v>25</v>
      </c>
    </row>
    <row r="128" spans="2:10" ht="15" customHeight="1">
      <c r="B128" s="114">
        <v>2026</v>
      </c>
      <c r="C128" s="240" t="s">
        <v>97</v>
      </c>
      <c r="D128" s="112">
        <f>VLOOKUP($E$3,'Housing Generation'!$A$3:$CK$90,67,FALSE)</f>
        <v>5</v>
      </c>
      <c r="E128" s="112">
        <f>VLOOKUP($E$3,'Housing Generation'!$A$3:$CK$90,68,FALSE)</f>
        <v>4</v>
      </c>
      <c r="F128" s="112">
        <f>VLOOKUP($E$3,'Housing Generation'!$A$3:$CK$90,69,FALSE)</f>
        <v>4</v>
      </c>
      <c r="G128" s="112">
        <f>VLOOKUP($E$3,'Housing Generation'!$A$3:$CK$90,70,FALSE)</f>
        <v>4</v>
      </c>
      <c r="H128" s="112">
        <f>VLOOKUP($E$3,'Housing Generation'!$A$3:$CK$90,71,FALSE)</f>
        <v>4</v>
      </c>
      <c r="I128" s="112">
        <f>VLOOKUP($E$3,'Housing Generation'!$A$3:$CK$90,72,FALSE)</f>
        <v>4</v>
      </c>
      <c r="J128" s="111">
        <f t="shared" si="21"/>
        <v>25</v>
      </c>
    </row>
    <row r="129" spans="2:10" ht="15" customHeight="1">
      <c r="B129" s="114">
        <v>2027</v>
      </c>
      <c r="C129" s="240" t="s">
        <v>97</v>
      </c>
      <c r="D129" s="112">
        <f>VLOOKUP($E$3,'Housing Generation'!$A$3:$CK$90,75,FALSE)</f>
        <v>5</v>
      </c>
      <c r="E129" s="112">
        <f>VLOOKUP($E$3,'Housing Generation'!$A$3:$CK$90,76,FALSE)</f>
        <v>4</v>
      </c>
      <c r="F129" s="112">
        <f>VLOOKUP($E$3,'Housing Generation'!$A$3:$CK$90,77,FALSE)</f>
        <v>4</v>
      </c>
      <c r="G129" s="112">
        <f>VLOOKUP($E$3,'Housing Generation'!$A$3:$CK$90,78,FALSE)</f>
        <v>4</v>
      </c>
      <c r="H129" s="112">
        <f>VLOOKUP($E$3,'Housing Generation'!$A$3:$CK$90,79,FALSE)</f>
        <v>4</v>
      </c>
      <c r="I129" s="112">
        <f>VLOOKUP($E$3,'Housing Generation'!$A$3:$CK$90,80,FALSE)</f>
        <v>4</v>
      </c>
      <c r="J129" s="111">
        <f t="shared" si="21"/>
        <v>25</v>
      </c>
    </row>
    <row r="130" spans="2:10" ht="15" customHeight="1">
      <c r="B130" s="114">
        <v>2028</v>
      </c>
      <c r="C130" s="289" t="s">
        <v>97</v>
      </c>
      <c r="D130" s="112">
        <f>VLOOKUP($E$3,'Housing Generation'!$A$3:$CK$90,83,FALSE)</f>
        <v>5</v>
      </c>
      <c r="E130" s="112">
        <f>VLOOKUP($E$3,'Housing Generation'!$A$3:$CK$90,84,FALSE)</f>
        <v>4</v>
      </c>
      <c r="F130" s="112">
        <f>VLOOKUP($E$3,'Housing Generation'!$A$3:$CK$90,85,FALSE)</f>
        <v>4</v>
      </c>
      <c r="G130" s="112">
        <f>VLOOKUP($E$3,'Housing Generation'!$A$3:$CK$90,86,FALSE)</f>
        <v>4</v>
      </c>
      <c r="H130" s="112">
        <f>VLOOKUP($E$3,'Housing Generation'!$A$3:$CK$90,87,FALSE)</f>
        <v>4</v>
      </c>
      <c r="I130" s="112">
        <f>VLOOKUP($E$3,'Housing Generation'!$A$3:$CK$90,88,FALSE)</f>
        <v>4</v>
      </c>
      <c r="J130" s="111">
        <f t="shared" si="21"/>
        <v>25</v>
      </c>
    </row>
    <row r="131" spans="2:10" ht="15" customHeight="1">
      <c r="B131" s="114">
        <v>2029</v>
      </c>
      <c r="C131" s="289" t="s">
        <v>97</v>
      </c>
      <c r="D131" s="112">
        <f>VLOOKUP($E$3,'Housing Generation'!$A$3:$DQ$90,91,FALSE)</f>
        <v>6</v>
      </c>
      <c r="E131" s="112">
        <f>VLOOKUP($E$3,'Housing Generation'!$A$3:$DQ$90,92,FALSE)</f>
        <v>6</v>
      </c>
      <c r="F131" s="112">
        <f>VLOOKUP($E$3,'Housing Generation'!$A$3:$DQ$90,93,FALSE)</f>
        <v>6</v>
      </c>
      <c r="G131" s="112">
        <f>VLOOKUP($E$3,'Housing Generation'!$A$3:$DQ$90,94,FALSE)</f>
        <v>6</v>
      </c>
      <c r="H131" s="112">
        <f>VLOOKUP($E$3,'Housing Generation'!$A$3:$DQ$90,95,FALSE)</f>
        <v>5</v>
      </c>
      <c r="I131" s="112">
        <f>VLOOKUP($E$3,'Housing Generation'!$A$3:$DQ$90,96,FALSE)</f>
        <v>5</v>
      </c>
      <c r="J131" s="111">
        <f t="shared" si="21"/>
        <v>34</v>
      </c>
    </row>
    <row r="132" spans="2:10" ht="15" customHeight="1">
      <c r="B132" s="114">
        <v>2030</v>
      </c>
      <c r="C132" s="289" t="s">
        <v>97</v>
      </c>
      <c r="D132" s="112">
        <f>VLOOKUP($E$3,'Housing Generation'!$A$3:$DQ$90,99,FALSE)</f>
        <v>8</v>
      </c>
      <c r="E132" s="112">
        <f>VLOOKUP($E$3,'Housing Generation'!$A$3:$DQ$90,100,FALSE)</f>
        <v>8</v>
      </c>
      <c r="F132" s="112">
        <f>VLOOKUP($E$3,'Housing Generation'!$A$3:$DQ$90,101,FALSE)</f>
        <v>8</v>
      </c>
      <c r="G132" s="112">
        <f>VLOOKUP($E$3,'Housing Generation'!$A$3:$DQ$90,102,FALSE)</f>
        <v>8</v>
      </c>
      <c r="H132" s="112">
        <f>VLOOKUP($E$3,'Housing Generation'!$A$3:$DQ$90,103,FALSE)</f>
        <v>8</v>
      </c>
      <c r="I132" s="112">
        <f>VLOOKUP($E$3,'Housing Generation'!$A$3:$DQ$90,104,FALSE)</f>
        <v>7</v>
      </c>
      <c r="J132" s="111">
        <f t="shared" si="21"/>
        <v>47</v>
      </c>
    </row>
    <row r="133" spans="2:10" ht="15" customHeight="1">
      <c r="B133" s="114">
        <v>2031</v>
      </c>
      <c r="C133" s="289" t="s">
        <v>97</v>
      </c>
      <c r="D133" s="112">
        <f>VLOOKUP($E$3,'Housing Generation'!$A$3:$DQ$90,107,FALSE)</f>
        <v>10</v>
      </c>
      <c r="E133" s="112">
        <f>VLOOKUP($E$3,'Housing Generation'!$A$3:$DQ$90,108,FALSE)</f>
        <v>10</v>
      </c>
      <c r="F133" s="112">
        <f>VLOOKUP($E$3,'Housing Generation'!$A$3:$DQ$90,109,FALSE)</f>
        <v>10</v>
      </c>
      <c r="G133" s="112">
        <f>VLOOKUP($E$3,'Housing Generation'!$A$3:$DQ$90,110,FALSE)</f>
        <v>10</v>
      </c>
      <c r="H133" s="112">
        <f>VLOOKUP($E$3,'Housing Generation'!$A$3:$DQ$90,111,FALSE)</f>
        <v>10</v>
      </c>
      <c r="I133" s="112">
        <f>VLOOKUP($E$3,'Housing Generation'!$A$3:$DQ$90,112,FALSE)</f>
        <v>10</v>
      </c>
      <c r="J133" s="111">
        <f t="shared" si="21"/>
        <v>60</v>
      </c>
    </row>
    <row r="134" spans="2:10" ht="15" customHeight="1">
      <c r="B134" s="114">
        <v>2032</v>
      </c>
      <c r="C134" s="289" t="s">
        <v>97</v>
      </c>
      <c r="D134" s="112">
        <f>VLOOKUP($E$3,'Housing Generation'!$A$3:$DQ$90,115,FALSE)</f>
        <v>12</v>
      </c>
      <c r="E134" s="112">
        <f>VLOOKUP($E$3,'Housing Generation'!$A$3:$DQ$90,116,FALSE)</f>
        <v>12</v>
      </c>
      <c r="F134" s="112">
        <f>VLOOKUP($E$3,'Housing Generation'!$A$3:$DQ$90,117,FALSE)</f>
        <v>12</v>
      </c>
      <c r="G134" s="112">
        <f>VLOOKUP($E$3,'Housing Generation'!$A$3:$DQ$90,118,FALSE)</f>
        <v>12</v>
      </c>
      <c r="H134" s="112">
        <f>VLOOKUP($E$3,'Housing Generation'!$A$3:$DQ$90,119,FALSE)</f>
        <v>12</v>
      </c>
      <c r="I134" s="112">
        <f>VLOOKUP($E$3,'Housing Generation'!$A$3:$DQ$90,120,FALSE)</f>
        <v>12</v>
      </c>
      <c r="J134" s="111">
        <f t="shared" si="21"/>
        <v>72</v>
      </c>
    </row>
    <row r="135" spans="2:10" ht="15" hidden="1"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Hillwood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11.322222222222221</v>
      </c>
      <c r="D139" s="112">
        <f t="shared" ref="D139:I152" si="23">D121+D103</f>
        <v>5</v>
      </c>
      <c r="E139" s="112">
        <f t="shared" si="23"/>
        <v>12</v>
      </c>
      <c r="F139" s="112">
        <f t="shared" si="23"/>
        <v>14</v>
      </c>
      <c r="G139" s="112">
        <f t="shared" si="23"/>
        <v>10</v>
      </c>
      <c r="H139" s="112">
        <f t="shared" si="23"/>
        <v>5</v>
      </c>
      <c r="I139" s="112">
        <f t="shared" si="23"/>
        <v>6</v>
      </c>
      <c r="J139" s="111">
        <f t="shared" ref="J139:J147" si="24">SUM(C139:I139)</f>
        <v>63.322222222222223</v>
      </c>
    </row>
    <row r="140" spans="2:10" ht="15" customHeight="1">
      <c r="B140" s="114">
        <v>2020</v>
      </c>
      <c r="C140" s="113">
        <f t="shared" si="22"/>
        <v>6.8984126984126979</v>
      </c>
      <c r="D140" s="112">
        <f t="shared" si="23"/>
        <v>12</v>
      </c>
      <c r="E140" s="112">
        <f t="shared" si="23"/>
        <v>6</v>
      </c>
      <c r="F140" s="112">
        <f t="shared" si="23"/>
        <v>12</v>
      </c>
      <c r="G140" s="112">
        <f t="shared" si="23"/>
        <v>15</v>
      </c>
      <c r="H140" s="112">
        <f t="shared" si="23"/>
        <v>9</v>
      </c>
      <c r="I140" s="112">
        <f t="shared" si="23"/>
        <v>5</v>
      </c>
      <c r="J140" s="111">
        <f t="shared" si="24"/>
        <v>65.898412698412699</v>
      </c>
    </row>
    <row r="141" spans="2:10" ht="15" customHeight="1">
      <c r="B141" s="114">
        <v>2021</v>
      </c>
      <c r="C141" s="113">
        <f t="shared" si="22"/>
        <v>14.27142857142857</v>
      </c>
      <c r="D141" s="112">
        <f t="shared" si="23"/>
        <v>7</v>
      </c>
      <c r="E141" s="112">
        <f t="shared" si="23"/>
        <v>13</v>
      </c>
      <c r="F141" s="112">
        <f t="shared" si="23"/>
        <v>6</v>
      </c>
      <c r="G141" s="112">
        <f t="shared" si="23"/>
        <v>13</v>
      </c>
      <c r="H141" s="112">
        <f t="shared" si="23"/>
        <v>14</v>
      </c>
      <c r="I141" s="112">
        <f t="shared" si="23"/>
        <v>11</v>
      </c>
      <c r="J141" s="111">
        <f t="shared" si="24"/>
        <v>78.271428571428572</v>
      </c>
    </row>
    <row r="142" spans="2:10" ht="15" customHeight="1">
      <c r="B142" s="114">
        <v>2022</v>
      </c>
      <c r="C142" s="113">
        <f t="shared" si="22"/>
        <v>14.27142857142857</v>
      </c>
      <c r="D142" s="112">
        <f t="shared" si="23"/>
        <v>15</v>
      </c>
      <c r="E142" s="112">
        <f t="shared" si="23"/>
        <v>8</v>
      </c>
      <c r="F142" s="112">
        <f t="shared" si="23"/>
        <v>13</v>
      </c>
      <c r="G142" s="112">
        <f t="shared" si="23"/>
        <v>7</v>
      </c>
      <c r="H142" s="112">
        <f t="shared" si="23"/>
        <v>13</v>
      </c>
      <c r="I142" s="112">
        <f t="shared" si="23"/>
        <v>15</v>
      </c>
      <c r="J142" s="111">
        <f t="shared" si="24"/>
        <v>85.271428571428572</v>
      </c>
    </row>
    <row r="143" spans="2:10" ht="15" customHeight="1">
      <c r="B143" s="114">
        <v>2023</v>
      </c>
      <c r="C143" s="113">
        <f t="shared" si="22"/>
        <v>14.27142857142857</v>
      </c>
      <c r="D143" s="112">
        <f t="shared" si="23"/>
        <v>15</v>
      </c>
      <c r="E143" s="112">
        <f t="shared" si="23"/>
        <v>15</v>
      </c>
      <c r="F143" s="112">
        <f t="shared" si="23"/>
        <v>8</v>
      </c>
      <c r="G143" s="112">
        <f t="shared" si="23"/>
        <v>14</v>
      </c>
      <c r="H143" s="112">
        <f t="shared" si="23"/>
        <v>8</v>
      </c>
      <c r="I143" s="112">
        <f t="shared" si="23"/>
        <v>14</v>
      </c>
      <c r="J143" s="111">
        <f t="shared" si="24"/>
        <v>88.271428571428572</v>
      </c>
    </row>
    <row r="144" spans="2:10" ht="15" customHeight="1">
      <c r="B144" s="114">
        <v>2024</v>
      </c>
      <c r="C144" s="113">
        <f t="shared" si="22"/>
        <v>14.27142857142857</v>
      </c>
      <c r="D144" s="112">
        <f t="shared" si="23"/>
        <v>15</v>
      </c>
      <c r="E144" s="112">
        <f t="shared" si="23"/>
        <v>14</v>
      </c>
      <c r="F144" s="112">
        <f t="shared" si="23"/>
        <v>14</v>
      </c>
      <c r="G144" s="112">
        <f t="shared" si="23"/>
        <v>8</v>
      </c>
      <c r="H144" s="112">
        <f t="shared" si="23"/>
        <v>13</v>
      </c>
      <c r="I144" s="112">
        <f t="shared" si="23"/>
        <v>8</v>
      </c>
      <c r="J144" s="111">
        <f t="shared" si="24"/>
        <v>86.271428571428572</v>
      </c>
    </row>
    <row r="145" spans="2:16" ht="15" customHeight="1">
      <c r="B145" s="114">
        <v>2025</v>
      </c>
      <c r="C145" s="113">
        <f t="shared" si="22"/>
        <v>14.27142857142857</v>
      </c>
      <c r="D145" s="112">
        <f t="shared" si="23"/>
        <v>15</v>
      </c>
      <c r="E145" s="112">
        <f t="shared" si="23"/>
        <v>14</v>
      </c>
      <c r="F145" s="112">
        <f t="shared" si="23"/>
        <v>13</v>
      </c>
      <c r="G145" s="112">
        <f t="shared" si="23"/>
        <v>14</v>
      </c>
      <c r="H145" s="112">
        <f t="shared" si="23"/>
        <v>8</v>
      </c>
      <c r="I145" s="112">
        <f t="shared" si="23"/>
        <v>13</v>
      </c>
      <c r="J145" s="111">
        <f t="shared" si="24"/>
        <v>91.271428571428572</v>
      </c>
    </row>
    <row r="146" spans="2:16" ht="15" customHeight="1">
      <c r="B146" s="114">
        <v>2026</v>
      </c>
      <c r="C146" s="113">
        <f t="shared" si="22"/>
        <v>14.27142857142857</v>
      </c>
      <c r="D146" s="112">
        <f t="shared" si="23"/>
        <v>15</v>
      </c>
      <c r="E146" s="112">
        <f t="shared" si="23"/>
        <v>14</v>
      </c>
      <c r="F146" s="112">
        <f t="shared" si="23"/>
        <v>13</v>
      </c>
      <c r="G146" s="112">
        <f t="shared" si="23"/>
        <v>13</v>
      </c>
      <c r="H146" s="112">
        <f t="shared" si="23"/>
        <v>13</v>
      </c>
      <c r="I146" s="112">
        <f t="shared" si="23"/>
        <v>8</v>
      </c>
      <c r="J146" s="111">
        <f t="shared" si="24"/>
        <v>90.271428571428572</v>
      </c>
    </row>
    <row r="147" spans="2:16" ht="15" customHeight="1">
      <c r="B147" s="114">
        <v>2027</v>
      </c>
      <c r="C147" s="113">
        <f t="shared" si="22"/>
        <v>14.27142857142857</v>
      </c>
      <c r="D147" s="112">
        <f t="shared" si="23"/>
        <v>15</v>
      </c>
      <c r="E147" s="112">
        <f t="shared" si="23"/>
        <v>14</v>
      </c>
      <c r="F147" s="112">
        <f t="shared" si="23"/>
        <v>13</v>
      </c>
      <c r="G147" s="112">
        <f t="shared" si="23"/>
        <v>13</v>
      </c>
      <c r="H147" s="112">
        <f t="shared" si="23"/>
        <v>12</v>
      </c>
      <c r="I147" s="112">
        <f t="shared" si="23"/>
        <v>13</v>
      </c>
      <c r="J147" s="111">
        <f t="shared" si="24"/>
        <v>94.271428571428572</v>
      </c>
    </row>
    <row r="148" spans="2:16" ht="15" customHeight="1">
      <c r="B148" s="114">
        <v>2028</v>
      </c>
      <c r="C148" s="113">
        <f t="shared" si="22"/>
        <v>14.27142857142857</v>
      </c>
      <c r="D148" s="112">
        <f t="shared" si="23"/>
        <v>15</v>
      </c>
      <c r="E148" s="112">
        <f t="shared" si="23"/>
        <v>14</v>
      </c>
      <c r="F148" s="112">
        <f t="shared" si="23"/>
        <v>13</v>
      </c>
      <c r="G148" s="112">
        <f t="shared" si="23"/>
        <v>13</v>
      </c>
      <c r="H148" s="112">
        <f t="shared" si="23"/>
        <v>12</v>
      </c>
      <c r="I148" s="112">
        <f t="shared" si="23"/>
        <v>12</v>
      </c>
      <c r="J148" s="111">
        <f t="shared" ref="J148:J152" si="25">SUM(C148:I148)</f>
        <v>93.271428571428572</v>
      </c>
    </row>
    <row r="149" spans="2:16" ht="15" customHeight="1">
      <c r="B149" s="114">
        <v>2029</v>
      </c>
      <c r="C149" s="113">
        <f t="shared" si="22"/>
        <v>15.008730158730158</v>
      </c>
      <c r="D149" s="112">
        <f t="shared" si="23"/>
        <v>15</v>
      </c>
      <c r="E149" s="112">
        <f t="shared" si="23"/>
        <v>16</v>
      </c>
      <c r="F149" s="112">
        <f t="shared" si="23"/>
        <v>15</v>
      </c>
      <c r="G149" s="112">
        <f t="shared" si="23"/>
        <v>15</v>
      </c>
      <c r="H149" s="112">
        <f t="shared" si="23"/>
        <v>13</v>
      </c>
      <c r="I149" s="112">
        <f t="shared" si="23"/>
        <v>13</v>
      </c>
      <c r="J149" s="111">
        <f t="shared" si="25"/>
        <v>102.00873015873016</v>
      </c>
    </row>
    <row r="150" spans="2:16" ht="15" customHeight="1">
      <c r="B150" s="114">
        <v>2030</v>
      </c>
      <c r="C150" s="113">
        <f t="shared" si="22"/>
        <v>16.483333333333334</v>
      </c>
      <c r="D150" s="112">
        <f t="shared" si="23"/>
        <v>16</v>
      </c>
      <c r="E150" s="112">
        <f t="shared" si="23"/>
        <v>17</v>
      </c>
      <c r="F150" s="112">
        <f t="shared" si="23"/>
        <v>17</v>
      </c>
      <c r="G150" s="112">
        <f t="shared" si="23"/>
        <v>17</v>
      </c>
      <c r="H150" s="112">
        <f t="shared" si="23"/>
        <v>16</v>
      </c>
      <c r="I150" s="112">
        <f t="shared" si="23"/>
        <v>15</v>
      </c>
      <c r="J150" s="111">
        <f t="shared" si="25"/>
        <v>114.48333333333333</v>
      </c>
    </row>
    <row r="151" spans="2:16" ht="15" customHeight="1">
      <c r="B151" s="114">
        <v>2031</v>
      </c>
      <c r="C151" s="113">
        <f t="shared" si="22"/>
        <v>17.957936507936505</v>
      </c>
      <c r="D151" s="112">
        <f t="shared" si="23"/>
        <v>18</v>
      </c>
      <c r="E151" s="112">
        <f t="shared" si="23"/>
        <v>18</v>
      </c>
      <c r="F151" s="112">
        <f t="shared" si="23"/>
        <v>18</v>
      </c>
      <c r="G151" s="112">
        <f t="shared" si="23"/>
        <v>19</v>
      </c>
      <c r="H151" s="112">
        <f t="shared" si="23"/>
        <v>18</v>
      </c>
      <c r="I151" s="112">
        <f t="shared" si="23"/>
        <v>18</v>
      </c>
      <c r="J151" s="111">
        <f t="shared" si="25"/>
        <v>126.95793650793651</v>
      </c>
    </row>
    <row r="152" spans="2:16" ht="15" customHeight="1">
      <c r="B152" s="114">
        <v>2032</v>
      </c>
      <c r="C152" s="113">
        <f t="shared" si="22"/>
        <v>20.169841269841267</v>
      </c>
      <c r="D152" s="112">
        <f t="shared" si="23"/>
        <v>18</v>
      </c>
      <c r="E152" s="112">
        <f t="shared" si="23"/>
        <v>20</v>
      </c>
      <c r="F152" s="112">
        <f t="shared" si="23"/>
        <v>19</v>
      </c>
      <c r="G152" s="112">
        <f t="shared" si="23"/>
        <v>20</v>
      </c>
      <c r="H152" s="112">
        <f t="shared" si="23"/>
        <v>20</v>
      </c>
      <c r="I152" s="112">
        <f t="shared" si="23"/>
        <v>20</v>
      </c>
      <c r="J152" s="111">
        <f t="shared" si="25"/>
        <v>137.16984126984127</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63.322222222222223</v>
      </c>
      <c r="D159" s="108">
        <f>J140</f>
        <v>65.898412698412699</v>
      </c>
      <c r="E159" s="108">
        <f>J141</f>
        <v>78.271428571428572</v>
      </c>
      <c r="F159" s="108">
        <f>J142</f>
        <v>85.271428571428572</v>
      </c>
      <c r="G159" s="108">
        <f>J143</f>
        <v>88.271428571428572</v>
      </c>
      <c r="H159" s="108">
        <f>J144</f>
        <v>86.271428571428572</v>
      </c>
      <c r="I159" s="108">
        <f>J145</f>
        <v>91.271428571428572</v>
      </c>
      <c r="J159" s="108">
        <f>J146</f>
        <v>90.271428571428572</v>
      </c>
      <c r="K159" s="108">
        <f>J147</f>
        <v>94.271428571428572</v>
      </c>
      <c r="L159" s="108">
        <f>J148</f>
        <v>93.271428571428572</v>
      </c>
      <c r="M159" s="108">
        <f>J149</f>
        <v>102.00873015873016</v>
      </c>
      <c r="N159" s="108">
        <f>J150</f>
        <v>114.48333333333333</v>
      </c>
      <c r="O159" s="108">
        <f>J151</f>
        <v>126.95793650793651</v>
      </c>
      <c r="P159" s="108">
        <f>J152</f>
        <v>137.16984126984127</v>
      </c>
    </row>
    <row r="160" spans="2:16" ht="15" customHeight="1">
      <c r="B160" s="107" t="s">
        <v>152</v>
      </c>
      <c r="C160" s="106">
        <f>VLOOKUP(C159,Capacity!$A$1:$C$645,2,TRUE)</f>
        <v>4</v>
      </c>
      <c r="D160" s="106">
        <f>VLOOKUP(D159,Capacity!$A$1:$C$645,2,TRUE)</f>
        <v>4</v>
      </c>
      <c r="E160" s="106">
        <f>VLOOKUP(E159,Capacity!$A$1:$C$645,2,TRUE)</f>
        <v>4</v>
      </c>
      <c r="F160" s="106">
        <f>VLOOKUP(F159,Capacity!$A$1:$C$645,2,TRUE)</f>
        <v>5</v>
      </c>
      <c r="G160" s="106">
        <f>VLOOKUP(G159,Capacity!$A$1:$C$645,2,TRUE)</f>
        <v>5</v>
      </c>
      <c r="H160" s="106">
        <f>VLOOKUP(H159,Capacity!$A$1:$C$645,2,TRUE)</f>
        <v>5</v>
      </c>
      <c r="I160" s="106">
        <f>VLOOKUP(I159,Capacity!$A$1:$C$645,2,TRUE)</f>
        <v>5</v>
      </c>
      <c r="J160" s="106">
        <f>VLOOKUP(J159,Capacity!$A$1:$C$645,2,TRUE)</f>
        <v>5</v>
      </c>
      <c r="K160" s="106">
        <f>VLOOKUP(K159,Capacity!$A$1:$C$645,2,TRUE)</f>
        <v>5</v>
      </c>
      <c r="L160" s="106">
        <f>VLOOKUP(L159,Capacity!$A$1:$C$645,2,TRUE)</f>
        <v>5</v>
      </c>
      <c r="M160" s="106">
        <f>VLOOKUP(M159,Capacity!$A$1:$C$645,2,TRUE)</f>
        <v>5</v>
      </c>
      <c r="N160" s="106">
        <f>VLOOKUP(N159,Capacity!$A$1:$C$645,2,TRUE)</f>
        <v>6</v>
      </c>
      <c r="O160" s="106">
        <f>VLOOKUP(O159,Capacity!$A$1:$C$645,2,TRUE)</f>
        <v>6</v>
      </c>
      <c r="P160" s="106">
        <f>VLOOKUP(P159,Capacity!$A$1:$C$645,2,TRUE)</f>
        <v>6</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15</v>
      </c>
      <c r="D169" s="97">
        <f>VLOOKUP($E$3,'Catchment Births'!$A$1:$U$90,11,FALSE)</f>
        <v>13</v>
      </c>
      <c r="E169" s="97">
        <f>VLOOKUP($E$3,'Catchment Births'!$A$1:$U$90,12,FALSE)</f>
        <v>6</v>
      </c>
      <c r="F169" s="97">
        <f>VLOOKUP($E$3,'Catchment Births'!$A$1:$U$90,13,FALSE)</f>
        <v>6</v>
      </c>
      <c r="G169" s="97">
        <f>VLOOKUP($E$3,'Catchment Births'!$A$1:$U$90,14,FALSE)</f>
        <v>9</v>
      </c>
      <c r="H169" s="97">
        <f>VLOOKUP($E$3,'Catchment Births'!$A$1:$U$90,15,FALSE)</f>
        <v>9</v>
      </c>
      <c r="I169" s="97">
        <f>VLOOKUP($E$3,'Catchment Births'!$A$1:$U$90,16,FALSE)</f>
        <v>10</v>
      </c>
      <c r="J169" s="97">
        <f>VLOOKUP($E$3,'Catchment Births'!$A$1:$U$90,17,FALSE)</f>
        <v>16</v>
      </c>
      <c r="K169" s="97">
        <f>VLOOKUP($E$3,'Catchment Births'!$A$1:$U$90,18,FALSE)</f>
        <v>16</v>
      </c>
      <c r="L169" s="97">
        <f>VLOOKUP($E$3,'Catchment Births'!$A$1:$U$90,19,FALSE)</f>
        <v>10</v>
      </c>
      <c r="M169" s="97">
        <f>VLOOKUP($E$3,'Catchment Births'!$A$1:$U$90,20,FALSE)</f>
        <v>15</v>
      </c>
      <c r="N169" s="97">
        <f>VLOOKUP($E$3,'Catchment Births'!$A$1:$U$90,21,FALSE)</f>
        <v>8</v>
      </c>
    </row>
    <row r="170" spans="2:14" ht="58.5" customHeight="1">
      <c r="B170" s="103" t="str">
        <f>"P1 "&amp;A35&amp;" Catchment Population (Actual)"</f>
        <v>P1 ND Catchment Population (Actual)</v>
      </c>
      <c r="C170" s="102" t="e">
        <v>#REF!</v>
      </c>
      <c r="D170" s="102">
        <v>13</v>
      </c>
      <c r="E170" s="102">
        <v>11</v>
      </c>
      <c r="F170" s="102">
        <v>8</v>
      </c>
      <c r="G170" s="102">
        <v>6</v>
      </c>
      <c r="H170" s="102">
        <v>6</v>
      </c>
      <c r="I170" s="102">
        <v>15</v>
      </c>
      <c r="J170" s="308">
        <f>VLOOKUP(E3,'Catchment Projections'!A1:BU92,42,FALSE)</f>
        <v>15</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15</v>
      </c>
      <c r="J172" s="96" t="e">
        <f>#REF!</f>
        <v>#REF!</v>
      </c>
      <c r="K172" s="96">
        <f>D51</f>
        <v>14</v>
      </c>
      <c r="L172" s="96">
        <f>E51</f>
        <v>8</v>
      </c>
      <c r="M172" s="96">
        <f>F51</f>
        <v>18</v>
      </c>
      <c r="N172" s="96">
        <f>G51</f>
        <v>18</v>
      </c>
    </row>
    <row r="173" spans="2:14" ht="12.75">
      <c r="B173" s="62"/>
      <c r="C173" s="62"/>
      <c r="D173" s="62"/>
      <c r="E173" s="62"/>
      <c r="F173" s="62"/>
      <c r="G173" s="62"/>
      <c r="H173" s="62"/>
      <c r="I173" s="62"/>
      <c r="J173" s="62"/>
      <c r="K173" s="62"/>
    </row>
    <row r="174" spans="2:14" ht="15" customHeight="1">
      <c r="B174" s="64" t="str">
        <f>"Table 5: "&amp;E3&amp;" Roll by Stage, 2002-2018"</f>
        <v>Table 5: Hillwood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12</v>
      </c>
      <c r="D177" s="93">
        <v>9</v>
      </c>
      <c r="E177" s="93">
        <v>10</v>
      </c>
      <c r="F177" s="93">
        <v>16</v>
      </c>
      <c r="G177" s="93">
        <v>7</v>
      </c>
      <c r="H177" s="93">
        <v>11</v>
      </c>
      <c r="I177" s="93">
        <v>12</v>
      </c>
      <c r="J177" s="92">
        <v>77</v>
      </c>
      <c r="K177" s="62"/>
    </row>
    <row r="178" spans="2:11" ht="15" customHeight="1">
      <c r="B178" s="94">
        <v>2003</v>
      </c>
      <c r="C178" s="93">
        <v>8</v>
      </c>
      <c r="D178" s="93">
        <v>12</v>
      </c>
      <c r="E178" s="93">
        <v>10</v>
      </c>
      <c r="F178" s="93">
        <v>10</v>
      </c>
      <c r="G178" s="93">
        <v>16</v>
      </c>
      <c r="H178" s="93">
        <v>8</v>
      </c>
      <c r="I178" s="93">
        <v>11</v>
      </c>
      <c r="J178" s="92">
        <v>75</v>
      </c>
      <c r="K178" s="62"/>
    </row>
    <row r="179" spans="2:11" customFormat="1" ht="15" customHeight="1">
      <c r="B179" s="94">
        <v>2004</v>
      </c>
      <c r="C179" s="95">
        <v>8</v>
      </c>
      <c r="D179" s="95">
        <v>11</v>
      </c>
      <c r="E179" s="95">
        <v>14</v>
      </c>
      <c r="F179" s="95">
        <v>8</v>
      </c>
      <c r="G179" s="95">
        <v>10</v>
      </c>
      <c r="H179" s="95">
        <v>19</v>
      </c>
      <c r="I179" s="95">
        <v>8</v>
      </c>
      <c r="J179" s="92">
        <v>78</v>
      </c>
      <c r="K179" s="62"/>
    </row>
    <row r="180" spans="2:11" customFormat="1" ht="15" customHeight="1">
      <c r="B180" s="94">
        <v>2005</v>
      </c>
      <c r="C180" s="93">
        <v>9</v>
      </c>
      <c r="D180" s="93">
        <v>8</v>
      </c>
      <c r="E180" s="93">
        <v>10</v>
      </c>
      <c r="F180" s="93">
        <v>14</v>
      </c>
      <c r="G180" s="93">
        <v>8</v>
      </c>
      <c r="H180" s="93">
        <v>9</v>
      </c>
      <c r="I180" s="93">
        <v>18</v>
      </c>
      <c r="J180" s="92">
        <v>76</v>
      </c>
      <c r="K180" s="62"/>
    </row>
    <row r="181" spans="2:11" customFormat="1" ht="15" customHeight="1">
      <c r="B181" s="94">
        <v>2006</v>
      </c>
      <c r="C181" s="93">
        <v>9</v>
      </c>
      <c r="D181" s="93">
        <v>10</v>
      </c>
      <c r="E181" s="93">
        <v>10</v>
      </c>
      <c r="F181" s="93">
        <v>10</v>
      </c>
      <c r="G181" s="93">
        <v>14</v>
      </c>
      <c r="H181" s="93">
        <v>10</v>
      </c>
      <c r="I181" s="93">
        <v>9</v>
      </c>
      <c r="J181" s="92">
        <v>72</v>
      </c>
      <c r="K181" s="62"/>
    </row>
    <row r="182" spans="2:11" customFormat="1" ht="15" customHeight="1">
      <c r="B182" s="94">
        <v>2007</v>
      </c>
      <c r="C182" s="93">
        <v>4</v>
      </c>
      <c r="D182" s="93">
        <v>8</v>
      </c>
      <c r="E182" s="93">
        <v>12</v>
      </c>
      <c r="F182" s="93">
        <v>9</v>
      </c>
      <c r="G182" s="93">
        <v>9</v>
      </c>
      <c r="H182" s="93">
        <v>14</v>
      </c>
      <c r="I182" s="93">
        <v>11</v>
      </c>
      <c r="J182" s="92">
        <v>67</v>
      </c>
      <c r="K182" s="62"/>
    </row>
    <row r="183" spans="2:11" customFormat="1" ht="15" customHeight="1">
      <c r="B183" s="94">
        <v>2008</v>
      </c>
      <c r="C183" s="93">
        <v>9</v>
      </c>
      <c r="D183" s="93">
        <v>2</v>
      </c>
      <c r="E183" s="93">
        <v>10</v>
      </c>
      <c r="F183" s="93">
        <v>12</v>
      </c>
      <c r="G183" s="93">
        <v>9</v>
      </c>
      <c r="H183" s="93">
        <v>9</v>
      </c>
      <c r="I183" s="93">
        <v>10</v>
      </c>
      <c r="J183" s="92">
        <v>61</v>
      </c>
      <c r="K183" s="62"/>
    </row>
    <row r="184" spans="2:11" customFormat="1" ht="15" customHeight="1">
      <c r="B184" s="94">
        <v>2009</v>
      </c>
      <c r="C184" s="93">
        <v>12</v>
      </c>
      <c r="D184" s="93">
        <v>6</v>
      </c>
      <c r="E184" s="93">
        <v>3</v>
      </c>
      <c r="F184" s="93">
        <v>10</v>
      </c>
      <c r="G184" s="93">
        <v>12</v>
      </c>
      <c r="H184" s="93">
        <v>9</v>
      </c>
      <c r="I184" s="93">
        <v>7</v>
      </c>
      <c r="J184" s="94">
        <v>59</v>
      </c>
      <c r="K184" s="62"/>
    </row>
    <row r="185" spans="2:11" customFormat="1" ht="15" customHeight="1">
      <c r="B185" s="94">
        <v>2010</v>
      </c>
      <c r="C185" s="93">
        <v>10</v>
      </c>
      <c r="D185" s="93">
        <v>13</v>
      </c>
      <c r="E185" s="93">
        <v>7</v>
      </c>
      <c r="F185" s="93">
        <v>3</v>
      </c>
      <c r="G185" s="93">
        <v>11</v>
      </c>
      <c r="H185" s="93">
        <v>12</v>
      </c>
      <c r="I185" s="93">
        <v>8</v>
      </c>
      <c r="J185" s="92">
        <v>64</v>
      </c>
      <c r="K185" s="62"/>
    </row>
    <row r="186" spans="2:11" customFormat="1" ht="15" customHeight="1">
      <c r="B186" s="94">
        <v>2011</v>
      </c>
      <c r="C186" s="93">
        <v>8</v>
      </c>
      <c r="D186" s="93">
        <v>10</v>
      </c>
      <c r="E186" s="93">
        <v>12</v>
      </c>
      <c r="F186" s="93">
        <v>7</v>
      </c>
      <c r="G186" s="93">
        <v>3</v>
      </c>
      <c r="H186" s="93">
        <v>10</v>
      </c>
      <c r="I186" s="93">
        <v>11</v>
      </c>
      <c r="J186" s="92">
        <v>61</v>
      </c>
      <c r="K186" s="62"/>
    </row>
    <row r="187" spans="2:11" customFormat="1" ht="15" customHeight="1">
      <c r="B187" s="94">
        <v>2012</v>
      </c>
      <c r="C187" s="93">
        <v>8</v>
      </c>
      <c r="D187" s="93">
        <v>7</v>
      </c>
      <c r="E187" s="93">
        <v>11</v>
      </c>
      <c r="F187" s="93">
        <v>11</v>
      </c>
      <c r="G187" s="93">
        <v>7</v>
      </c>
      <c r="H187" s="93">
        <v>2</v>
      </c>
      <c r="I187" s="93">
        <v>10</v>
      </c>
      <c r="J187" s="92">
        <v>56</v>
      </c>
      <c r="K187" s="62"/>
    </row>
    <row r="188" spans="2:11" customFormat="1" ht="15" customHeight="1">
      <c r="B188" s="94">
        <v>2013</v>
      </c>
      <c r="C188" s="93">
        <v>7</v>
      </c>
      <c r="D188" s="93">
        <v>9</v>
      </c>
      <c r="E188" s="93">
        <v>8</v>
      </c>
      <c r="F188" s="93">
        <v>9</v>
      </c>
      <c r="G188" s="93">
        <v>11</v>
      </c>
      <c r="H188" s="93">
        <v>5</v>
      </c>
      <c r="I188" s="93">
        <v>0</v>
      </c>
      <c r="J188" s="94">
        <v>49</v>
      </c>
      <c r="K188" s="62"/>
    </row>
    <row r="189" spans="2:11" customFormat="1" ht="15" customHeight="1">
      <c r="B189" s="94">
        <v>2014</v>
      </c>
      <c r="C189" s="93">
        <v>7</v>
      </c>
      <c r="D189" s="93">
        <v>8</v>
      </c>
      <c r="E189" s="93">
        <v>9</v>
      </c>
      <c r="F189" s="93">
        <v>7</v>
      </c>
      <c r="G189" s="93">
        <v>7</v>
      </c>
      <c r="H189" s="93">
        <v>11</v>
      </c>
      <c r="I189" s="93">
        <v>6</v>
      </c>
      <c r="J189" s="92">
        <v>55</v>
      </c>
      <c r="K189" s="65"/>
    </row>
    <row r="190" spans="2:11" customFormat="1" ht="15" customHeight="1">
      <c r="B190" s="94">
        <v>2015</v>
      </c>
      <c r="C190" s="93">
        <v>12</v>
      </c>
      <c r="D190" s="93">
        <v>8</v>
      </c>
      <c r="E190" s="93">
        <v>10</v>
      </c>
      <c r="F190" s="93">
        <v>11</v>
      </c>
      <c r="G190" s="93">
        <v>7</v>
      </c>
      <c r="H190" s="93">
        <v>9</v>
      </c>
      <c r="I190" s="93">
        <v>11</v>
      </c>
      <c r="J190" s="92">
        <v>68</v>
      </c>
      <c r="K190" s="65"/>
    </row>
    <row r="191" spans="2:11" customFormat="1" ht="15" customHeight="1">
      <c r="B191" s="94">
        <v>2016</v>
      </c>
      <c r="C191" s="93">
        <v>14</v>
      </c>
      <c r="D191" s="93">
        <v>12</v>
      </c>
      <c r="E191" s="93">
        <v>7</v>
      </c>
      <c r="F191" s="93">
        <v>7</v>
      </c>
      <c r="G191" s="93">
        <v>8</v>
      </c>
      <c r="H191" s="93">
        <v>6</v>
      </c>
      <c r="I191" s="93">
        <v>7</v>
      </c>
      <c r="J191" s="92">
        <v>61</v>
      </c>
      <c r="K191" s="65"/>
    </row>
    <row r="192" spans="2:11" ht="15" customHeight="1">
      <c r="B192" s="94">
        <v>2017</v>
      </c>
      <c r="C192" s="93">
        <f>VLOOKUP($E$3,Rolls!A1:FA90,42,FALSE)</f>
        <v>12</v>
      </c>
      <c r="D192" s="93">
        <f>VLOOKUP($E$3,Rolls!A1:FA90,43,FALSE)</f>
        <v>15</v>
      </c>
      <c r="E192" s="93">
        <f>VLOOKUP($E$3,Rolls!A1:FA90,44,FALSE)</f>
        <v>10</v>
      </c>
      <c r="F192" s="93">
        <f>VLOOKUP($E$3,Rolls!A1:FA90,45,FALSE)</f>
        <v>6</v>
      </c>
      <c r="G192" s="93">
        <f>VLOOKUP($E$3,Rolls!A1:FA90,46,FALSE)</f>
        <v>7</v>
      </c>
      <c r="H192" s="93">
        <f>VLOOKUP($E$3,Rolls!A1:FA90,47,FALSE)</f>
        <v>7</v>
      </c>
      <c r="I192" s="93">
        <f>VLOOKUP($E$3,Rolls!A1:FA90,48,FALSE)</f>
        <v>6</v>
      </c>
      <c r="J192" s="92">
        <f>VLOOKUP($E$3,Rolls!A1:FA90,49,FALSE)</f>
        <v>63</v>
      </c>
      <c r="K192" s="65"/>
    </row>
    <row r="193" spans="2:11" ht="15" customHeight="1">
      <c r="B193" s="94">
        <v>2018</v>
      </c>
      <c r="C193" s="93">
        <f>VLOOKUP($E$3,Rolls!A1:FA90,50,FALSE)</f>
        <v>5</v>
      </c>
      <c r="D193" s="93">
        <f>VLOOKUP($E$3,Rolls!A1:FA90,51,FALSE)</f>
        <v>12</v>
      </c>
      <c r="E193" s="93">
        <f>VLOOKUP($E$3,Rolls!A1:FA90,52,FALSE)</f>
        <v>16</v>
      </c>
      <c r="F193" s="93">
        <f>VLOOKUP($E$3,Rolls!A1:FA90,53,FALSE)</f>
        <v>10</v>
      </c>
      <c r="G193" s="93">
        <f>VLOOKUP($E$3,Rolls!A1:FA90,54,FALSE)</f>
        <v>6</v>
      </c>
      <c r="H193" s="93">
        <f>VLOOKUP($E$3,Rolls!A1:FA90,55,FALSE)</f>
        <v>6</v>
      </c>
      <c r="I193" s="93">
        <f>VLOOKUP($E$3,Rolls!A1:FA90,56,FALSE)</f>
        <v>7</v>
      </c>
      <c r="J193" s="92">
        <f>VLOOKUP($E$3,Rolls!A1:FA90,57,FALSE)</f>
        <v>62</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Q193"/>
  <sheetViews>
    <sheetView topLeftCell="B39" zoomScaleNormal="100" workbookViewId="0">
      <selection activeCell="H64"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84</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Holy Cross RC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315 Pupils (12 classes)</v>
      </c>
      <c r="G12" s="16"/>
      <c r="H12" s="16"/>
    </row>
    <row r="13" spans="2:10" ht="15" customHeight="1">
      <c r="C13" s="16"/>
      <c r="D13" s="16"/>
      <c r="E13" s="16"/>
      <c r="F13" s="16"/>
      <c r="G13" s="16"/>
      <c r="H13" s="16"/>
    </row>
    <row r="14" spans="2:10" ht="15" customHeight="1">
      <c r="B14" s="15" t="str">
        <f>"Figure 1: "&amp;E3&amp;" Roll, 2002-2015"</f>
        <v>Figure 1: Holy Cross RC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2010-2020"</f>
        <v>Figure 2: Actual Catchment Births (from 5yrs prior),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Holy Cross RC Primary School</v>
      </c>
      <c r="K34" s="16"/>
    </row>
    <row r="35" spans="1:17" ht="15" customHeight="1">
      <c r="A35" s="1" t="str">
        <f>IF(ISNUMBER(SEARCH("RC",A34)),"RC", "ND")</f>
        <v>RC</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RC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48</v>
      </c>
      <c r="E49" s="108">
        <f>VLOOKUP($E$3,'Catchment Projections'!$A$1:$BU$90,46,FALSE)</f>
        <v>46</v>
      </c>
      <c r="F49" s="108">
        <f>VLOOKUP($E$3,'Catchment Projections'!$A$1:$BU$90,47,FALSE)</f>
        <v>42</v>
      </c>
      <c r="G49" s="108">
        <f>VLOOKUP($E$3,'Catchment Projections'!$A$1:$BU$90,48,FALSE)</f>
        <v>45</v>
      </c>
      <c r="H49" s="133">
        <f>VLOOKUP($E$3,'Catchment Projections'!$A$1:$BU$90,49,FALSE)</f>
        <v>45</v>
      </c>
      <c r="I49" s="133">
        <f>VLOOKUP($E$3,'Catchment Projections'!$A$1:$BU$90,50,FALSE)</f>
        <v>45</v>
      </c>
      <c r="J49" s="133">
        <f>VLOOKUP($E$3,'Catchment Projections'!$A$1:$BU$90,51,FALSE)</f>
        <v>46</v>
      </c>
      <c r="K49" s="133">
        <f>VLOOKUP($E$3,'Catchment Projections'!$A$1:$BU$90,52,FALSE)</f>
        <v>46</v>
      </c>
      <c r="L49" s="133">
        <f>VLOOKUP($E$3,'Catchment Projections'!$A$1:$BU$90,53,FALSE)</f>
        <v>46</v>
      </c>
      <c r="M49" s="133">
        <f>VLOOKUP($E$3,'Catchment Projections'!$A$1:$BU$90,54,FALSE)</f>
        <v>47</v>
      </c>
      <c r="N49" s="133">
        <f>VLOOKUP($E$3,'Catchment Projections'!$A$1:$BU$90,55,FALSE)</f>
        <v>47</v>
      </c>
      <c r="O49" s="133">
        <f>VLOOKUP($E$3,'Catchment Projections'!$A$1:$BU$90,56,FALSE)</f>
        <v>47</v>
      </c>
      <c r="P49" s="133">
        <f>VLOOKUP($E$3,'Catchment Projections'!$A$1:$BU$90,57,FALSE)</f>
        <v>47</v>
      </c>
      <c r="Q49" s="133">
        <f>VLOOKUP($E$3,'Catchment Projections'!$A$1:$BU$90,58,FALSE)</f>
        <v>47</v>
      </c>
    </row>
    <row r="50" spans="2:17" ht="15" customHeight="1" thickBot="1">
      <c r="B50" s="410" t="s">
        <v>141</v>
      </c>
      <c r="C50" s="411"/>
      <c r="D50" s="286">
        <f>VLOOKUP(E3,'Housing Generation'!$A$3:$DQ$90,10,FALSE)</f>
        <v>1</v>
      </c>
      <c r="E50" s="286">
        <f>VLOOKUP(E3,'Housing Generation'!$A$3:$DQ$90,18,FALSE)</f>
        <v>1</v>
      </c>
      <c r="F50" s="286">
        <f>VLOOKUP(E3,'Housing Generation'!$A$3:$DQ$90,26,FALSE)</f>
        <v>1</v>
      </c>
      <c r="G50" s="243">
        <f>VLOOKUP(E3,'Housing Generation'!$A$3:$DQ$90,34,FALSE)</f>
        <v>2</v>
      </c>
      <c r="H50" s="133">
        <f>VLOOKUP(E3,'Housing Generation'!$A$3:$DQ$90,42,FALSE)</f>
        <v>2</v>
      </c>
      <c r="I50" s="133">
        <f>VLOOKUP(E3,'Housing Generation'!$A$3:$DQ$90,50,FALSE)</f>
        <v>3</v>
      </c>
      <c r="J50" s="133">
        <f>VLOOKUP(E3,'Housing Generation'!$A$3:$CK$90,58,FALSE)</f>
        <v>4</v>
      </c>
      <c r="K50" s="133">
        <f>VLOOKUP(E3,'Housing Generation'!$A$3:$CK$90,66,FALSE)</f>
        <v>4</v>
      </c>
      <c r="L50" s="133">
        <f>VLOOKUP(E3,'Housing Generation'!$A$3:$DQ$90,74,FALSE)</f>
        <v>5</v>
      </c>
      <c r="M50" s="133">
        <f>VLOOKUP(E3,'Housing Generation'!$A$3:$DQ$90,82,FALSE)</f>
        <v>6</v>
      </c>
      <c r="N50" s="133">
        <f>VLOOKUP(E3,'Housing Generation'!$A$3:$DQ$90,90,FALSE)</f>
        <v>6</v>
      </c>
      <c r="O50" s="133">
        <f>VLOOKUP(E3,'Housing Generation'!$A$3:$DQ$90,98,FALSE)</f>
        <v>7</v>
      </c>
      <c r="P50" s="133">
        <f>VLOOKUP(E3,'Housing Generation'!$A$3:$DQ$90,106,FALSE)</f>
        <v>7</v>
      </c>
      <c r="Q50" s="133">
        <f>VLOOKUP(E3,'Housing Generation'!$A$3:$DQ$90,114,FALSE)</f>
        <v>7</v>
      </c>
    </row>
    <row r="51" spans="2:17" ht="15" customHeight="1" thickTop="1">
      <c r="B51" s="421" t="s">
        <v>130</v>
      </c>
      <c r="C51" s="422"/>
      <c r="D51" s="47">
        <f t="shared" ref="D51:Q51" si="0">SUM(D49:D50)</f>
        <v>49</v>
      </c>
      <c r="E51" s="47">
        <f t="shared" si="0"/>
        <v>47</v>
      </c>
      <c r="F51" s="80">
        <f t="shared" si="0"/>
        <v>43</v>
      </c>
      <c r="G51" s="244">
        <f t="shared" si="0"/>
        <v>47</v>
      </c>
      <c r="H51" s="71">
        <f t="shared" si="0"/>
        <v>47</v>
      </c>
      <c r="I51" s="71">
        <f t="shared" si="0"/>
        <v>48</v>
      </c>
      <c r="J51" s="71">
        <f t="shared" si="0"/>
        <v>50</v>
      </c>
      <c r="K51" s="71">
        <f t="shared" si="0"/>
        <v>50</v>
      </c>
      <c r="L51" s="71">
        <f t="shared" si="0"/>
        <v>51</v>
      </c>
      <c r="M51" s="71">
        <f t="shared" si="0"/>
        <v>53</v>
      </c>
      <c r="N51" s="71">
        <f t="shared" si="0"/>
        <v>53</v>
      </c>
      <c r="O51" s="71">
        <f t="shared" si="0"/>
        <v>54</v>
      </c>
      <c r="P51" s="71">
        <f t="shared" si="0"/>
        <v>54</v>
      </c>
      <c r="Q51" s="71">
        <f t="shared" si="0"/>
        <v>54</v>
      </c>
    </row>
    <row r="52" spans="2:17" ht="15" customHeight="1">
      <c r="C52" s="36"/>
      <c r="D52" s="48"/>
      <c r="E52" s="48"/>
      <c r="F52" s="48"/>
      <c r="G52" s="48"/>
      <c r="H52" s="48"/>
    </row>
    <row r="53" spans="2:17" ht="31.5" customHeight="1">
      <c r="B53" s="423" t="s">
        <v>292</v>
      </c>
      <c r="C53" s="424"/>
      <c r="D53" s="87">
        <v>0</v>
      </c>
      <c r="E53" s="139" t="s">
        <v>181</v>
      </c>
      <c r="F53" s="140">
        <v>33</v>
      </c>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RC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45</v>
      </c>
      <c r="D60" s="358">
        <f>VLOOKUP($E$3,'Catchment Projections'!$A$1:$BZ$90,74,FALSE)</f>
        <v>42</v>
      </c>
      <c r="E60" s="303">
        <f>D60/C60</f>
        <v>0.93333333333333335</v>
      </c>
      <c r="G60" s="132">
        <v>2014</v>
      </c>
      <c r="H60" s="395">
        <f>VLOOKUP($G$60,$B$177:$C$215, 2, FALSE)</f>
        <v>46</v>
      </c>
      <c r="I60" s="120">
        <f>H60-D60</f>
        <v>4</v>
      </c>
      <c r="J60" s="121">
        <f>I60/H60</f>
        <v>8.6956521739130432E-2</v>
      </c>
    </row>
    <row r="61" spans="2:17" ht="15" customHeight="1">
      <c r="B61" s="132">
        <v>2015</v>
      </c>
      <c r="C61" s="359">
        <f>VLOOKUP($E$3,'Catchment Projections'!$A$1:$BZ$90,41,FALSE)</f>
        <v>44</v>
      </c>
      <c r="D61" s="358">
        <f>VLOOKUP($E$3,'Catchment Projections'!$A$1:$BZ$90,75,FALSE)</f>
        <v>43</v>
      </c>
      <c r="E61" s="303">
        <f>D61/C61</f>
        <v>0.97727272727272729</v>
      </c>
      <c r="G61" s="132">
        <v>2015</v>
      </c>
      <c r="H61" s="395">
        <f>VLOOKUP($G$61,$B$177:$C$215, 2, FALSE)</f>
        <v>57</v>
      </c>
      <c r="I61" s="120">
        <f>H61-D61</f>
        <v>14</v>
      </c>
      <c r="J61" s="121">
        <f>I61/H61</f>
        <v>0.24561403508771928</v>
      </c>
    </row>
    <row r="62" spans="2:17" ht="15" customHeight="1">
      <c r="B62" s="131">
        <v>2016</v>
      </c>
      <c r="C62" s="359">
        <f>VLOOKUP($E$3,'Catchment Projections'!$A$1:$BZ$90,42,FALSE)</f>
        <v>47</v>
      </c>
      <c r="D62" s="358">
        <f>VLOOKUP($E$3,'Catchment Projections'!$A$1:$BZ$90,76,FALSE)</f>
        <v>46</v>
      </c>
      <c r="E62" s="57">
        <f>D62/C62</f>
        <v>0.97872340425531912</v>
      </c>
      <c r="G62" s="131">
        <v>2016</v>
      </c>
      <c r="H62" s="395">
        <f>VLOOKUP($G$62,$B$177:$C$215, 2, FALSE)</f>
        <v>48</v>
      </c>
      <c r="I62" s="120">
        <f>H62-D62</f>
        <v>2</v>
      </c>
      <c r="J62" s="121">
        <f>I62/H62</f>
        <v>4.1666666666666664E-2</v>
      </c>
    </row>
    <row r="63" spans="2:17" ht="15" customHeight="1">
      <c r="B63" s="114">
        <v>2017</v>
      </c>
      <c r="C63" s="359">
        <f>VLOOKUP($E$3,'Catchment Projections'!$A$1:$BZ$90,43,FALSE)</f>
        <v>57</v>
      </c>
      <c r="D63" s="358">
        <f>VLOOKUP($E$3,'Catchment Projections'!$A$1:$BZ$90,77,FALSE)</f>
        <v>55</v>
      </c>
      <c r="E63" s="304">
        <f>D63/C63</f>
        <v>0.96491228070175439</v>
      </c>
      <c r="G63" s="114">
        <v>2017</v>
      </c>
      <c r="H63" s="395">
        <f>VLOOKUP($G$63,$B$177:$C$215, 2, FALSE)</f>
        <v>55</v>
      </c>
      <c r="I63" s="120">
        <f>H63-D63</f>
        <v>0</v>
      </c>
      <c r="J63" s="121">
        <f>I63/H63</f>
        <v>0</v>
      </c>
    </row>
    <row r="64" spans="2:17" ht="15" customHeight="1">
      <c r="B64" s="114">
        <v>2018</v>
      </c>
      <c r="C64" s="359">
        <f>VLOOKUP($E$3,'Catchment Projections'!$A$1:$BZ$90,44,FALSE)</f>
        <v>46</v>
      </c>
      <c r="D64" s="358">
        <f>VLOOKUP($E$3,'Catchment Projections'!$A$1:$BZ$90,78,FALSE)</f>
        <v>45</v>
      </c>
      <c r="E64" s="305">
        <f>D64/C64</f>
        <v>0.97826086956521741</v>
      </c>
      <c r="G64" s="114">
        <v>2018</v>
      </c>
      <c r="H64" s="395">
        <f>VLOOKUP($G$64,$B$177:$C$215, 2, FALSE)</f>
        <v>47</v>
      </c>
      <c r="I64" s="120">
        <f>H64-D64</f>
        <v>2</v>
      </c>
      <c r="J64" s="121">
        <f>I64/H64</f>
        <v>4.2553191489361701E-2</v>
      </c>
    </row>
    <row r="65" spans="2:10" ht="15" customHeight="1">
      <c r="B65" s="412" t="s">
        <v>136</v>
      </c>
      <c r="C65" s="413"/>
      <c r="D65" s="414"/>
      <c r="E65" s="137">
        <f>IF((AVERAGE(E62:E64))="#DIV/0!","n/a",(AVERAGE(E62:E64)))</f>
        <v>0.97396551817409704</v>
      </c>
      <c r="G65" s="415" t="s">
        <v>137</v>
      </c>
      <c r="H65" s="416"/>
      <c r="I65" s="138">
        <f>MEDIAN(I60:I64)</f>
        <v>2</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179</v>
      </c>
      <c r="D69" s="408"/>
      <c r="E69" s="125" t="s">
        <v>158</v>
      </c>
      <c r="F69" s="126" t="s">
        <v>133</v>
      </c>
      <c r="G69" s="124" t="s">
        <v>183</v>
      </c>
      <c r="H69" s="125" t="s">
        <v>138</v>
      </c>
      <c r="I69" s="124" t="s">
        <v>142</v>
      </c>
      <c r="J69" s="123" t="s">
        <v>139</v>
      </c>
    </row>
    <row r="70" spans="2:10" ht="15" customHeight="1">
      <c r="B70" s="114">
        <v>2019</v>
      </c>
      <c r="C70" s="433">
        <f>D51</f>
        <v>49</v>
      </c>
      <c r="D70" s="408"/>
      <c r="E70" s="122">
        <f>E65</f>
        <v>0.97396551817409704</v>
      </c>
      <c r="F70" s="120">
        <f t="shared" ref="F70:F83" si="1">C70*$E$65</f>
        <v>47.724310390530754</v>
      </c>
      <c r="G70" s="118">
        <f>IF(F70&lt;26,25,IF(F70&gt;135,140,IF(F70&gt;130,135,IF(F70&gt;125,130,IF(F70&gt;120,125,IF(F70&gt;115,120,IF(F70&gt;110,115,IF(F70&gt;105,110,IF(F70&gt;100,105,IF(F70&gt;99,100,IF(F70&gt;90,99,IF(F70&gt;75,90,IF(F70&gt;72,75,IF(F70&gt;66,72,IF(F70&gt;60,66,IF(F70&gt;50,60,IF(F70&gt;30,50,IF(F70&gt;25,30,0))))))))))))))))))</f>
        <v>50</v>
      </c>
      <c r="H70" s="119">
        <f t="shared" ref="H70:H83" si="2">G70-F70</f>
        <v>2.2756896094692465</v>
      </c>
      <c r="I70" s="118" t="str">
        <f>IF(I$65&lt;H70, "NO", "YES")</f>
        <v>NO</v>
      </c>
      <c r="J70" s="117">
        <f t="shared" ref="J70:J83" si="3">IF(I70="YES",G70,(MIN((SUM(F70,$I$65)),G70)))</f>
        <v>49.724310390530754</v>
      </c>
    </row>
    <row r="71" spans="2:10" ht="15" customHeight="1">
      <c r="B71" s="114">
        <v>2020</v>
      </c>
      <c r="C71" s="433">
        <f>E51</f>
        <v>47</v>
      </c>
      <c r="D71" s="408"/>
      <c r="E71" s="121">
        <f>E65</f>
        <v>0.97396551817409704</v>
      </c>
      <c r="F71" s="120">
        <f t="shared" si="1"/>
        <v>45.776379354182559</v>
      </c>
      <c r="G71" s="118">
        <f t="shared" ref="G71:G83" si="4">IF(F71&lt;26,25,IF(F71&gt;135,140,IF(F71&gt;130,135,IF(F71&gt;125,130,IF(F71&gt;120,125,IF(F71&gt;115,120,IF(F71&gt;110,115,IF(F71&gt;105,110,IF(F71&gt;100,105,IF(F71&gt;99,100,IF(F71&gt;90,99,IF(F71&gt;75,90,IF(F71&gt;72,75,IF(F71&gt;66,72,IF(F71&gt;60,66,IF(F71&gt;50,60,IF(F71&gt;30,50,IF(F71&gt;25,30,0))))))))))))))))))</f>
        <v>50</v>
      </c>
      <c r="H71" s="119">
        <f t="shared" si="2"/>
        <v>4.2236206458174408</v>
      </c>
      <c r="I71" s="118" t="str">
        <f t="shared" ref="I71:I83" si="5">IF(I$65&lt;H71, "NO", "YES")</f>
        <v>NO</v>
      </c>
      <c r="J71" s="117">
        <f t="shared" si="3"/>
        <v>47.776379354182559</v>
      </c>
    </row>
    <row r="72" spans="2:10" ht="15" customHeight="1">
      <c r="B72" s="114">
        <v>2021</v>
      </c>
      <c r="C72" s="430">
        <f>F51</f>
        <v>43</v>
      </c>
      <c r="D72" s="431"/>
      <c r="E72" s="121">
        <f>E65</f>
        <v>0.97396551817409704</v>
      </c>
      <c r="F72" s="120">
        <f t="shared" si="1"/>
        <v>41.880517281486171</v>
      </c>
      <c r="G72" s="118">
        <f t="shared" si="4"/>
        <v>50</v>
      </c>
      <c r="H72" s="119">
        <f t="shared" si="2"/>
        <v>8.1194827185138294</v>
      </c>
      <c r="I72" s="118" t="str">
        <f t="shared" si="5"/>
        <v>NO</v>
      </c>
      <c r="J72" s="117">
        <f t="shared" si="3"/>
        <v>43.880517281486171</v>
      </c>
    </row>
    <row r="73" spans="2:10" ht="15" customHeight="1">
      <c r="B73" s="114">
        <v>2022</v>
      </c>
      <c r="C73" s="430">
        <f>G51</f>
        <v>47</v>
      </c>
      <c r="D73" s="431"/>
      <c r="E73" s="121">
        <f>E65</f>
        <v>0.97396551817409704</v>
      </c>
      <c r="F73" s="120">
        <f t="shared" si="1"/>
        <v>45.776379354182559</v>
      </c>
      <c r="G73" s="118">
        <f t="shared" si="4"/>
        <v>50</v>
      </c>
      <c r="H73" s="119">
        <f t="shared" si="2"/>
        <v>4.2236206458174408</v>
      </c>
      <c r="I73" s="118" t="str">
        <f t="shared" si="5"/>
        <v>NO</v>
      </c>
      <c r="J73" s="117">
        <f t="shared" si="3"/>
        <v>47.776379354182559</v>
      </c>
    </row>
    <row r="74" spans="2:10" ht="15" customHeight="1">
      <c r="B74" s="114">
        <v>2023</v>
      </c>
      <c r="C74" s="430">
        <f>H51</f>
        <v>47</v>
      </c>
      <c r="D74" s="431"/>
      <c r="E74" s="121">
        <f>E65</f>
        <v>0.97396551817409704</v>
      </c>
      <c r="F74" s="120">
        <f t="shared" si="1"/>
        <v>45.776379354182559</v>
      </c>
      <c r="G74" s="118">
        <f t="shared" si="4"/>
        <v>50</v>
      </c>
      <c r="H74" s="119">
        <f t="shared" si="2"/>
        <v>4.2236206458174408</v>
      </c>
      <c r="I74" s="118" t="str">
        <f t="shared" si="5"/>
        <v>NO</v>
      </c>
      <c r="J74" s="117">
        <f t="shared" si="3"/>
        <v>47.776379354182559</v>
      </c>
    </row>
    <row r="75" spans="2:10" ht="15" customHeight="1">
      <c r="B75" s="114">
        <v>2024</v>
      </c>
      <c r="C75" s="430">
        <f>I51</f>
        <v>48</v>
      </c>
      <c r="D75" s="431"/>
      <c r="E75" s="121">
        <f>E65</f>
        <v>0.97396551817409704</v>
      </c>
      <c r="F75" s="120">
        <f t="shared" si="1"/>
        <v>46.750344872356656</v>
      </c>
      <c r="G75" s="118">
        <f t="shared" si="4"/>
        <v>50</v>
      </c>
      <c r="H75" s="119">
        <f t="shared" si="2"/>
        <v>3.2496551276433436</v>
      </c>
      <c r="I75" s="118" t="str">
        <f t="shared" si="5"/>
        <v>NO</v>
      </c>
      <c r="J75" s="117">
        <f t="shared" si="3"/>
        <v>48.750344872356656</v>
      </c>
    </row>
    <row r="76" spans="2:10" ht="15" customHeight="1">
      <c r="B76" s="114">
        <v>2025</v>
      </c>
      <c r="C76" s="430">
        <f>J51</f>
        <v>50</v>
      </c>
      <c r="D76" s="431"/>
      <c r="E76" s="121">
        <f>E65</f>
        <v>0.97396551817409704</v>
      </c>
      <c r="F76" s="120">
        <f t="shared" si="1"/>
        <v>48.698275908704851</v>
      </c>
      <c r="G76" s="118">
        <f t="shared" si="4"/>
        <v>50</v>
      </c>
      <c r="H76" s="119">
        <f t="shared" si="2"/>
        <v>1.3017240912951493</v>
      </c>
      <c r="I76" s="118" t="str">
        <f t="shared" si="5"/>
        <v>YES</v>
      </c>
      <c r="J76" s="117">
        <f t="shared" si="3"/>
        <v>50</v>
      </c>
    </row>
    <row r="77" spans="2:10" ht="15" customHeight="1">
      <c r="B77" s="114">
        <v>2026</v>
      </c>
      <c r="C77" s="430">
        <f>K51</f>
        <v>50</v>
      </c>
      <c r="D77" s="431"/>
      <c r="E77" s="121">
        <f>E65</f>
        <v>0.97396551817409704</v>
      </c>
      <c r="F77" s="120">
        <f t="shared" si="1"/>
        <v>48.698275908704851</v>
      </c>
      <c r="G77" s="118">
        <f t="shared" si="4"/>
        <v>50</v>
      </c>
      <c r="H77" s="119">
        <f t="shared" si="2"/>
        <v>1.3017240912951493</v>
      </c>
      <c r="I77" s="118" t="str">
        <f t="shared" si="5"/>
        <v>YES</v>
      </c>
      <c r="J77" s="117">
        <f t="shared" si="3"/>
        <v>50</v>
      </c>
    </row>
    <row r="78" spans="2:10" ht="15" customHeight="1">
      <c r="B78" s="114">
        <v>2027</v>
      </c>
      <c r="C78" s="430">
        <f>L51</f>
        <v>51</v>
      </c>
      <c r="D78" s="431"/>
      <c r="E78" s="121">
        <f>E65</f>
        <v>0.97396551817409704</v>
      </c>
      <c r="F78" s="120">
        <f t="shared" si="1"/>
        <v>49.672241426878948</v>
      </c>
      <c r="G78" s="118">
        <f t="shared" si="4"/>
        <v>50</v>
      </c>
      <c r="H78" s="119">
        <f t="shared" si="2"/>
        <v>0.32775857312105217</v>
      </c>
      <c r="I78" s="118" t="str">
        <f t="shared" si="5"/>
        <v>YES</v>
      </c>
      <c r="J78" s="117">
        <f t="shared" si="3"/>
        <v>50</v>
      </c>
    </row>
    <row r="79" spans="2:10" ht="15" customHeight="1">
      <c r="B79" s="114">
        <v>2028</v>
      </c>
      <c r="C79" s="430">
        <f>M51</f>
        <v>53</v>
      </c>
      <c r="D79" s="431"/>
      <c r="E79" s="121">
        <f t="shared" ref="E79:E83" si="6">$E$65</f>
        <v>0.97396551817409704</v>
      </c>
      <c r="F79" s="120">
        <f t="shared" si="1"/>
        <v>51.620172463227142</v>
      </c>
      <c r="G79" s="118">
        <f t="shared" si="4"/>
        <v>60</v>
      </c>
      <c r="H79" s="119">
        <f t="shared" si="2"/>
        <v>8.3798275367728579</v>
      </c>
      <c r="I79" s="118" t="str">
        <f t="shared" si="5"/>
        <v>NO</v>
      </c>
      <c r="J79" s="117">
        <f t="shared" si="3"/>
        <v>53.620172463227142</v>
      </c>
    </row>
    <row r="80" spans="2:10" ht="15" customHeight="1">
      <c r="B80" s="114">
        <v>2029</v>
      </c>
      <c r="C80" s="430">
        <f>N51</f>
        <v>53</v>
      </c>
      <c r="D80" s="431"/>
      <c r="E80" s="121">
        <f t="shared" si="6"/>
        <v>0.97396551817409704</v>
      </c>
      <c r="F80" s="120">
        <f t="shared" si="1"/>
        <v>51.620172463227142</v>
      </c>
      <c r="G80" s="118">
        <f t="shared" si="4"/>
        <v>60</v>
      </c>
      <c r="H80" s="119">
        <f t="shared" si="2"/>
        <v>8.3798275367728579</v>
      </c>
      <c r="I80" s="118" t="str">
        <f t="shared" si="5"/>
        <v>NO</v>
      </c>
      <c r="J80" s="117">
        <f t="shared" si="3"/>
        <v>53.620172463227142</v>
      </c>
    </row>
    <row r="81" spans="2:10" ht="15" customHeight="1">
      <c r="B81" s="114">
        <v>2030</v>
      </c>
      <c r="C81" s="430">
        <f>O51</f>
        <v>54</v>
      </c>
      <c r="D81" s="431"/>
      <c r="E81" s="121">
        <f t="shared" si="6"/>
        <v>0.97396551817409704</v>
      </c>
      <c r="F81" s="120">
        <f t="shared" si="1"/>
        <v>52.594137981401239</v>
      </c>
      <c r="G81" s="118">
        <f t="shared" si="4"/>
        <v>60</v>
      </c>
      <c r="H81" s="119">
        <f t="shared" si="2"/>
        <v>7.4058620185987607</v>
      </c>
      <c r="I81" s="118" t="str">
        <f t="shared" si="5"/>
        <v>NO</v>
      </c>
      <c r="J81" s="117">
        <f t="shared" si="3"/>
        <v>54.594137981401239</v>
      </c>
    </row>
    <row r="82" spans="2:10" ht="15" customHeight="1">
      <c r="B82" s="114">
        <v>2031</v>
      </c>
      <c r="C82" s="430">
        <f>P51</f>
        <v>54</v>
      </c>
      <c r="D82" s="431"/>
      <c r="E82" s="121">
        <f t="shared" si="6"/>
        <v>0.97396551817409704</v>
      </c>
      <c r="F82" s="120">
        <f t="shared" si="1"/>
        <v>52.594137981401239</v>
      </c>
      <c r="G82" s="118">
        <f t="shared" si="4"/>
        <v>60</v>
      </c>
      <c r="H82" s="119">
        <f t="shared" si="2"/>
        <v>7.4058620185987607</v>
      </c>
      <c r="I82" s="118" t="str">
        <f t="shared" si="5"/>
        <v>NO</v>
      </c>
      <c r="J82" s="117">
        <f t="shared" si="3"/>
        <v>54.594137981401239</v>
      </c>
    </row>
    <row r="83" spans="2:10" ht="15" customHeight="1">
      <c r="B83" s="114">
        <v>2032</v>
      </c>
      <c r="C83" s="430">
        <f>Q51</f>
        <v>54</v>
      </c>
      <c r="D83" s="431"/>
      <c r="E83" s="121">
        <f t="shared" si="6"/>
        <v>0.97396551817409704</v>
      </c>
      <c r="F83" s="120">
        <f t="shared" si="1"/>
        <v>52.594137981401239</v>
      </c>
      <c r="G83" s="118">
        <f t="shared" si="4"/>
        <v>60</v>
      </c>
      <c r="H83" s="119">
        <f t="shared" si="2"/>
        <v>7.4058620185987607</v>
      </c>
      <c r="I83" s="118" t="str">
        <f t="shared" si="5"/>
        <v>NO</v>
      </c>
      <c r="J83" s="117">
        <f t="shared" si="3"/>
        <v>54.594137981401239</v>
      </c>
    </row>
    <row r="84" spans="2:10" ht="15" customHeight="1">
      <c r="C84" s="16"/>
      <c r="D84" s="16"/>
      <c r="E84" s="16"/>
      <c r="F84" s="16"/>
      <c r="G84" s="16"/>
      <c r="H84" s="16"/>
    </row>
    <row r="85" spans="2:10" ht="15" customHeight="1">
      <c r="B85" s="141" t="s">
        <v>185</v>
      </c>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Holy Cross RC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58</v>
      </c>
      <c r="D91" s="112">
        <f t="shared" ref="D91:J91" si="7">D188</f>
        <v>49</v>
      </c>
      <c r="E91" s="112">
        <f t="shared" si="7"/>
        <v>46</v>
      </c>
      <c r="F91" s="112">
        <f t="shared" si="7"/>
        <v>39</v>
      </c>
      <c r="G91" s="112">
        <f t="shared" si="7"/>
        <v>27</v>
      </c>
      <c r="H91" s="112">
        <f t="shared" si="7"/>
        <v>37</v>
      </c>
      <c r="I91" s="112">
        <f t="shared" si="7"/>
        <v>26</v>
      </c>
      <c r="J91" s="213">
        <f t="shared" si="7"/>
        <v>282</v>
      </c>
    </row>
    <row r="92" spans="2:10" ht="15" customHeight="1">
      <c r="B92" s="114">
        <v>2014</v>
      </c>
      <c r="C92" s="112">
        <f>C189</f>
        <v>46</v>
      </c>
      <c r="D92" s="112">
        <f t="shared" ref="D92:J92" si="8">D189</f>
        <v>54</v>
      </c>
      <c r="E92" s="112">
        <f t="shared" si="8"/>
        <v>45</v>
      </c>
      <c r="F92" s="112">
        <f t="shared" si="8"/>
        <v>42</v>
      </c>
      <c r="G92" s="112">
        <f t="shared" si="8"/>
        <v>32</v>
      </c>
      <c r="H92" s="112">
        <f t="shared" si="8"/>
        <v>29</v>
      </c>
      <c r="I92" s="112">
        <f t="shared" si="8"/>
        <v>34</v>
      </c>
      <c r="J92" s="213">
        <f t="shared" si="8"/>
        <v>282</v>
      </c>
    </row>
    <row r="93" spans="2:10" ht="15" customHeight="1">
      <c r="B93" s="114">
        <v>2015</v>
      </c>
      <c r="C93" s="112">
        <f>C190</f>
        <v>57</v>
      </c>
      <c r="D93" s="112">
        <f t="shared" ref="D93:J93" si="9">D190</f>
        <v>43</v>
      </c>
      <c r="E93" s="112">
        <f t="shared" si="9"/>
        <v>51</v>
      </c>
      <c r="F93" s="112">
        <f t="shared" si="9"/>
        <v>39</v>
      </c>
      <c r="G93" s="112">
        <f t="shared" si="9"/>
        <v>43</v>
      </c>
      <c r="H93" s="112">
        <f t="shared" si="9"/>
        <v>31</v>
      </c>
      <c r="I93" s="112">
        <f t="shared" si="9"/>
        <v>27</v>
      </c>
      <c r="J93" s="213">
        <f t="shared" si="9"/>
        <v>291</v>
      </c>
    </row>
    <row r="94" spans="2:10" ht="15" customHeight="1">
      <c r="B94" s="114">
        <v>2016</v>
      </c>
      <c r="C94" s="112">
        <f>C191</f>
        <v>48</v>
      </c>
      <c r="D94" s="112">
        <f t="shared" ref="D94:J94" si="10">D191</f>
        <v>54</v>
      </c>
      <c r="E94" s="112">
        <f t="shared" si="10"/>
        <v>39</v>
      </c>
      <c r="F94" s="112">
        <f t="shared" si="10"/>
        <v>50</v>
      </c>
      <c r="G94" s="112">
        <f t="shared" si="10"/>
        <v>37</v>
      </c>
      <c r="H94" s="112">
        <f t="shared" si="10"/>
        <v>40</v>
      </c>
      <c r="I94" s="112">
        <f t="shared" si="10"/>
        <v>29</v>
      </c>
      <c r="J94" s="213">
        <f t="shared" si="10"/>
        <v>297</v>
      </c>
    </row>
    <row r="95" spans="2:10" ht="15" customHeight="1">
      <c r="B95" s="114">
        <v>2017</v>
      </c>
      <c r="C95" s="112">
        <f>C192</f>
        <v>55</v>
      </c>
      <c r="D95" s="112">
        <f t="shared" ref="D95:J95" si="11">D192</f>
        <v>50</v>
      </c>
      <c r="E95" s="112">
        <f t="shared" si="11"/>
        <v>51</v>
      </c>
      <c r="F95" s="112">
        <f t="shared" si="11"/>
        <v>37</v>
      </c>
      <c r="G95" s="112">
        <f t="shared" si="11"/>
        <v>48</v>
      </c>
      <c r="H95" s="112">
        <f t="shared" si="11"/>
        <v>37</v>
      </c>
      <c r="I95" s="112">
        <f t="shared" si="11"/>
        <v>41</v>
      </c>
      <c r="J95" s="213">
        <f t="shared" si="11"/>
        <v>319</v>
      </c>
    </row>
    <row r="96" spans="2:10" ht="15" customHeight="1">
      <c r="B96" s="307">
        <v>2018</v>
      </c>
      <c r="C96" s="112">
        <f t="shared" ref="C96:J96" si="12">C193</f>
        <v>47</v>
      </c>
      <c r="D96" s="112">
        <f t="shared" si="12"/>
        <v>54</v>
      </c>
      <c r="E96" s="112">
        <f t="shared" si="12"/>
        <v>53</v>
      </c>
      <c r="F96" s="112">
        <f t="shared" si="12"/>
        <v>55</v>
      </c>
      <c r="G96" s="112">
        <f t="shared" si="12"/>
        <v>33</v>
      </c>
      <c r="H96" s="112">
        <f t="shared" si="12"/>
        <v>45</v>
      </c>
      <c r="I96" s="112">
        <f t="shared" si="12"/>
        <v>36</v>
      </c>
      <c r="J96" s="213">
        <f t="shared" si="12"/>
        <v>323</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5.2631578947368418E-2</v>
      </c>
      <c r="E98" s="210">
        <f t="shared" ref="E98:I98" si="13">MEDIAN(((D91-E92)/D91),((D92-E93)/D92),((D93-E94)/D93),((D94-E95)/D94),((D95-E96)/D95))</f>
        <v>5.5555555555555552E-2</v>
      </c>
      <c r="F98" s="210">
        <f t="shared" si="13"/>
        <v>5.128205128205128E-2</v>
      </c>
      <c r="G98" s="210">
        <f t="shared" si="13"/>
        <v>5.128205128205128E-2</v>
      </c>
      <c r="H98" s="210">
        <f t="shared" si="13"/>
        <v>3.125E-2</v>
      </c>
      <c r="I98" s="210">
        <f t="shared" si="13"/>
        <v>6.4516129032258063E-2</v>
      </c>
    </row>
    <row r="99" spans="2:10" ht="15" customHeight="1">
      <c r="B99" s="59"/>
      <c r="C99" s="60"/>
      <c r="D99" s="61"/>
      <c r="E99" s="61"/>
      <c r="F99" s="61"/>
      <c r="G99" s="61"/>
      <c r="H99" s="61"/>
      <c r="I99" s="61"/>
      <c r="J99" s="58"/>
    </row>
    <row r="100" spans="2:10" ht="15" customHeight="1">
      <c r="B100" s="15" t="str">
        <f>"Table 4B: "&amp;E3&amp;" Projected Roll by Stage (incorporating Projected P1 and Drop-Off Rates), 2019-2032"</f>
        <v>Table 4B: Holy Cross RC Primary School Projected Roll by Stage (incorporating Projected P1 and Drop-Off Rates), 2019-2032</v>
      </c>
      <c r="F100" s="14"/>
      <c r="G100" s="14"/>
    </row>
    <row r="101" spans="2:10" ht="15" customHeight="1">
      <c r="F101" s="14"/>
      <c r="G101" s="14"/>
    </row>
    <row r="102" spans="2:10" ht="15" customHeight="1">
      <c r="B102" s="115"/>
      <c r="C102" s="109" t="s">
        <v>1</v>
      </c>
      <c r="D102" s="109" t="s">
        <v>2</v>
      </c>
      <c r="E102" s="109" t="s">
        <v>3</v>
      </c>
      <c r="F102" s="109" t="s">
        <v>4</v>
      </c>
      <c r="G102" s="109" t="s">
        <v>5</v>
      </c>
      <c r="H102" s="109" t="s">
        <v>6</v>
      </c>
      <c r="I102" s="109" t="s">
        <v>7</v>
      </c>
      <c r="J102" s="109" t="s">
        <v>8</v>
      </c>
    </row>
    <row r="103" spans="2:10" ht="15" customHeight="1">
      <c r="B103" s="114">
        <v>2019</v>
      </c>
      <c r="C103" s="113">
        <f t="shared" ref="C103:C116" si="14">J70</f>
        <v>49.724310390530754</v>
      </c>
      <c r="D103" s="324">
        <f>ROUND((C96)-(C96*$D$98),0)</f>
        <v>45</v>
      </c>
      <c r="E103" s="324">
        <f>ROUND((D96)-(D96*$E$98),0)</f>
        <v>51</v>
      </c>
      <c r="F103" s="324">
        <f>ROUND((E96)-(E96*$F$98),0)</f>
        <v>50</v>
      </c>
      <c r="G103" s="324">
        <f>ROUND((F96)-(F96*$G$98),0)</f>
        <v>52</v>
      </c>
      <c r="H103" s="324">
        <f>ROUND((G96)-(G96*$H$98),0)</f>
        <v>32</v>
      </c>
      <c r="I103" s="324">
        <f>ROUND((H96)-(H96*$I$98),0)</f>
        <v>42</v>
      </c>
      <c r="J103" s="111">
        <f t="shared" ref="J103:J116" si="15">SUM(C103:I103)</f>
        <v>321.72431039053072</v>
      </c>
    </row>
    <row r="104" spans="2:10" ht="15" customHeight="1">
      <c r="B104" s="114">
        <v>2020</v>
      </c>
      <c r="C104" s="113">
        <f t="shared" si="14"/>
        <v>47.776379354182559</v>
      </c>
      <c r="D104" s="324">
        <f>ROUND((C103-E50)-(C103*$D$98),0)</f>
        <v>46</v>
      </c>
      <c r="E104" s="112">
        <f t="shared" ref="E104:E116" si="16">ROUND((D103)-(D103*$E$98),0)</f>
        <v>43</v>
      </c>
      <c r="F104" s="112">
        <f t="shared" ref="F104:F116" si="17">ROUND((E103)-(E103*$F$98),0)</f>
        <v>48</v>
      </c>
      <c r="G104" s="112">
        <f t="shared" ref="G104:G116" si="18">ROUND((F103)-(F103*$G$98),0)</f>
        <v>47</v>
      </c>
      <c r="H104" s="112">
        <f t="shared" ref="H104:H116" si="19">ROUND((G103)-(G103*$H$98),0)</f>
        <v>50</v>
      </c>
      <c r="I104" s="112">
        <f t="shared" ref="I104:I116" si="20">ROUND((H103)-(H103*$I$98),0)</f>
        <v>30</v>
      </c>
      <c r="J104" s="111">
        <f t="shared" si="15"/>
        <v>311.77637935418255</v>
      </c>
    </row>
    <row r="105" spans="2:10" ht="15" customHeight="1">
      <c r="B105" s="114">
        <v>2021</v>
      </c>
      <c r="C105" s="113">
        <f t="shared" si="14"/>
        <v>43.880517281486171</v>
      </c>
      <c r="D105" s="324">
        <f>ROUND((C104-F50)-(C104*$D$98),0)</f>
        <v>44</v>
      </c>
      <c r="E105" s="112">
        <f t="shared" si="16"/>
        <v>43</v>
      </c>
      <c r="F105" s="112">
        <f t="shared" si="17"/>
        <v>41</v>
      </c>
      <c r="G105" s="112">
        <f t="shared" si="18"/>
        <v>46</v>
      </c>
      <c r="H105" s="112">
        <f t="shared" si="19"/>
        <v>46</v>
      </c>
      <c r="I105" s="112">
        <f t="shared" si="20"/>
        <v>47</v>
      </c>
      <c r="J105" s="111">
        <f t="shared" si="15"/>
        <v>310.88051728148616</v>
      </c>
    </row>
    <row r="106" spans="2:10" ht="15" customHeight="1">
      <c r="B106" s="114">
        <v>2022</v>
      </c>
      <c r="C106" s="113">
        <f t="shared" si="14"/>
        <v>47.776379354182559</v>
      </c>
      <c r="D106" s="324">
        <f>ROUND((C105-G50)-(C105*$D$98),0)</f>
        <v>40</v>
      </c>
      <c r="E106" s="112">
        <f t="shared" si="16"/>
        <v>42</v>
      </c>
      <c r="F106" s="112">
        <f t="shared" si="17"/>
        <v>41</v>
      </c>
      <c r="G106" s="112">
        <f t="shared" si="18"/>
        <v>39</v>
      </c>
      <c r="H106" s="112">
        <f t="shared" si="19"/>
        <v>45</v>
      </c>
      <c r="I106" s="112">
        <f t="shared" si="20"/>
        <v>43</v>
      </c>
      <c r="J106" s="111">
        <f t="shared" si="15"/>
        <v>297.77637935418255</v>
      </c>
    </row>
    <row r="107" spans="2:10" ht="15" customHeight="1">
      <c r="B107" s="114">
        <v>2023</v>
      </c>
      <c r="C107" s="113">
        <f t="shared" si="14"/>
        <v>47.776379354182559</v>
      </c>
      <c r="D107" s="324">
        <f>ROUND((C106-H50)-(C106*$D$98),0)</f>
        <v>43</v>
      </c>
      <c r="E107" s="112">
        <f t="shared" si="16"/>
        <v>38</v>
      </c>
      <c r="F107" s="112">
        <f t="shared" si="17"/>
        <v>40</v>
      </c>
      <c r="G107" s="112">
        <f t="shared" si="18"/>
        <v>39</v>
      </c>
      <c r="H107" s="112">
        <f t="shared" si="19"/>
        <v>38</v>
      </c>
      <c r="I107" s="112">
        <f t="shared" si="20"/>
        <v>42</v>
      </c>
      <c r="J107" s="111">
        <f t="shared" si="15"/>
        <v>287.77637935418255</v>
      </c>
    </row>
    <row r="108" spans="2:10" ht="15" customHeight="1">
      <c r="B108" s="114">
        <v>2024</v>
      </c>
      <c r="C108" s="113">
        <f t="shared" si="14"/>
        <v>48.750344872356656</v>
      </c>
      <c r="D108" s="324">
        <f>ROUND((C107-I50)-(C107*$D$98),0)</f>
        <v>42</v>
      </c>
      <c r="E108" s="112">
        <f t="shared" si="16"/>
        <v>41</v>
      </c>
      <c r="F108" s="112">
        <f t="shared" si="17"/>
        <v>36</v>
      </c>
      <c r="G108" s="112">
        <f t="shared" si="18"/>
        <v>38</v>
      </c>
      <c r="H108" s="112">
        <f t="shared" si="19"/>
        <v>38</v>
      </c>
      <c r="I108" s="112">
        <f t="shared" si="20"/>
        <v>36</v>
      </c>
      <c r="J108" s="111">
        <f t="shared" si="15"/>
        <v>279.75034487235666</v>
      </c>
    </row>
    <row r="109" spans="2:10" ht="15" customHeight="1">
      <c r="B109" s="114">
        <v>2025</v>
      </c>
      <c r="C109" s="113">
        <f t="shared" si="14"/>
        <v>50</v>
      </c>
      <c r="D109" s="324">
        <f>ROUND((C108-J50)-(C108*$D$98),0)</f>
        <v>42</v>
      </c>
      <c r="E109" s="112">
        <f t="shared" si="16"/>
        <v>40</v>
      </c>
      <c r="F109" s="112">
        <f t="shared" si="17"/>
        <v>39</v>
      </c>
      <c r="G109" s="112">
        <f t="shared" si="18"/>
        <v>34</v>
      </c>
      <c r="H109" s="112">
        <f t="shared" si="19"/>
        <v>37</v>
      </c>
      <c r="I109" s="112">
        <f t="shared" si="20"/>
        <v>36</v>
      </c>
      <c r="J109" s="111">
        <f t="shared" si="15"/>
        <v>278</v>
      </c>
    </row>
    <row r="110" spans="2:10" ht="15" customHeight="1">
      <c r="B110" s="114">
        <v>2026</v>
      </c>
      <c r="C110" s="113">
        <f t="shared" si="14"/>
        <v>50</v>
      </c>
      <c r="D110" s="324">
        <f>ROUND((C109-K50)-(C109*$D$98),0)</f>
        <v>43</v>
      </c>
      <c r="E110" s="112">
        <f t="shared" si="16"/>
        <v>40</v>
      </c>
      <c r="F110" s="112">
        <f t="shared" si="17"/>
        <v>38</v>
      </c>
      <c r="G110" s="112">
        <f t="shared" si="18"/>
        <v>37</v>
      </c>
      <c r="H110" s="112">
        <f t="shared" si="19"/>
        <v>33</v>
      </c>
      <c r="I110" s="112">
        <f t="shared" si="20"/>
        <v>35</v>
      </c>
      <c r="J110" s="111">
        <f t="shared" si="15"/>
        <v>276</v>
      </c>
    </row>
    <row r="111" spans="2:10" ht="15" customHeight="1">
      <c r="B111" s="114">
        <v>2027</v>
      </c>
      <c r="C111" s="113">
        <f t="shared" si="14"/>
        <v>50</v>
      </c>
      <c r="D111" s="324">
        <f>ROUND((C110-L50)-(C110*$D$98),0)</f>
        <v>42</v>
      </c>
      <c r="E111" s="112">
        <f t="shared" si="16"/>
        <v>41</v>
      </c>
      <c r="F111" s="112">
        <f t="shared" si="17"/>
        <v>38</v>
      </c>
      <c r="G111" s="112">
        <f t="shared" si="18"/>
        <v>36</v>
      </c>
      <c r="H111" s="112">
        <f t="shared" si="19"/>
        <v>36</v>
      </c>
      <c r="I111" s="112">
        <f t="shared" si="20"/>
        <v>31</v>
      </c>
      <c r="J111" s="111">
        <f t="shared" si="15"/>
        <v>274</v>
      </c>
    </row>
    <row r="112" spans="2:10" ht="15" customHeight="1">
      <c r="B112" s="114">
        <v>2028</v>
      </c>
      <c r="C112" s="113">
        <f t="shared" si="14"/>
        <v>53.620172463227142</v>
      </c>
      <c r="D112" s="324">
        <f>ROUND((C111-M50)-(C111*$D$98),0)</f>
        <v>41</v>
      </c>
      <c r="E112" s="112">
        <f t="shared" si="16"/>
        <v>40</v>
      </c>
      <c r="F112" s="112">
        <f t="shared" si="17"/>
        <v>39</v>
      </c>
      <c r="G112" s="112">
        <f t="shared" si="18"/>
        <v>36</v>
      </c>
      <c r="H112" s="112">
        <f t="shared" si="19"/>
        <v>35</v>
      </c>
      <c r="I112" s="112">
        <f t="shared" si="20"/>
        <v>34</v>
      </c>
      <c r="J112" s="111">
        <f t="shared" si="15"/>
        <v>278.62017246322716</v>
      </c>
    </row>
    <row r="113" spans="2:10" ht="15" customHeight="1">
      <c r="B113" s="114">
        <v>2029</v>
      </c>
      <c r="C113" s="113">
        <f t="shared" si="14"/>
        <v>53.620172463227142</v>
      </c>
      <c r="D113" s="324">
        <f>ROUND((C112-N50)-(C112*$D$98),0)</f>
        <v>45</v>
      </c>
      <c r="E113" s="112">
        <f t="shared" si="16"/>
        <v>39</v>
      </c>
      <c r="F113" s="112">
        <f t="shared" si="17"/>
        <v>38</v>
      </c>
      <c r="G113" s="112">
        <f t="shared" si="18"/>
        <v>37</v>
      </c>
      <c r="H113" s="112">
        <f t="shared" si="19"/>
        <v>35</v>
      </c>
      <c r="I113" s="112">
        <f t="shared" si="20"/>
        <v>33</v>
      </c>
      <c r="J113" s="111">
        <f t="shared" si="15"/>
        <v>280.62017246322716</v>
      </c>
    </row>
    <row r="114" spans="2:10" ht="15" customHeight="1">
      <c r="B114" s="114">
        <v>2030</v>
      </c>
      <c r="C114" s="113">
        <f t="shared" si="14"/>
        <v>54.594137981401239</v>
      </c>
      <c r="D114" s="324">
        <f>ROUND((C113-O50)-(C113*$D$98),0)</f>
        <v>44</v>
      </c>
      <c r="E114" s="112">
        <f t="shared" si="16"/>
        <v>43</v>
      </c>
      <c r="F114" s="112">
        <f t="shared" si="17"/>
        <v>37</v>
      </c>
      <c r="G114" s="112">
        <f t="shared" si="18"/>
        <v>36</v>
      </c>
      <c r="H114" s="112">
        <f t="shared" si="19"/>
        <v>36</v>
      </c>
      <c r="I114" s="112">
        <f t="shared" si="20"/>
        <v>33</v>
      </c>
      <c r="J114" s="111">
        <f t="shared" si="15"/>
        <v>283.59413798140122</v>
      </c>
    </row>
    <row r="115" spans="2:10" ht="15" customHeight="1">
      <c r="B115" s="114">
        <v>2031</v>
      </c>
      <c r="C115" s="113">
        <f t="shared" si="14"/>
        <v>54.594137981401239</v>
      </c>
      <c r="D115" s="324">
        <f>ROUND((C114-P50)-(C114*$D$98),0)</f>
        <v>45</v>
      </c>
      <c r="E115" s="112">
        <f t="shared" si="16"/>
        <v>42</v>
      </c>
      <c r="F115" s="112">
        <f t="shared" si="17"/>
        <v>41</v>
      </c>
      <c r="G115" s="112">
        <f t="shared" si="18"/>
        <v>35</v>
      </c>
      <c r="H115" s="112">
        <f t="shared" si="19"/>
        <v>35</v>
      </c>
      <c r="I115" s="112">
        <f t="shared" si="20"/>
        <v>34</v>
      </c>
      <c r="J115" s="111">
        <f t="shared" si="15"/>
        <v>286.59413798140122</v>
      </c>
    </row>
    <row r="116" spans="2:10" ht="15" customHeight="1">
      <c r="B116" s="114">
        <v>2032</v>
      </c>
      <c r="C116" s="113">
        <f t="shared" si="14"/>
        <v>54.594137981401239</v>
      </c>
      <c r="D116" s="324">
        <f>ROUND((C115-Q50)-(C115*$D$98),0)</f>
        <v>45</v>
      </c>
      <c r="E116" s="112">
        <f t="shared" si="16"/>
        <v>43</v>
      </c>
      <c r="F116" s="112">
        <f t="shared" si="17"/>
        <v>40</v>
      </c>
      <c r="G116" s="112">
        <f t="shared" si="18"/>
        <v>39</v>
      </c>
      <c r="H116" s="112">
        <f t="shared" si="19"/>
        <v>34</v>
      </c>
      <c r="I116" s="112">
        <f t="shared" si="20"/>
        <v>33</v>
      </c>
      <c r="J116" s="111">
        <f t="shared" si="15"/>
        <v>288.59413798140122</v>
      </c>
    </row>
    <row r="117" spans="2:10" ht="15" hidden="1" customHeight="1">
      <c r="F117" s="14"/>
      <c r="G117" s="14"/>
    </row>
    <row r="118" spans="2:10" ht="15" hidden="1" customHeight="1">
      <c r="B118" s="15" t="str">
        <f>"Table 4C: "&amp;E3&amp;" Projected Pupil Generation from Housing Development, 2019-2032"</f>
        <v>Table 4C: Holy Cross RC Primary School Projected Pupil Generation from Housing Development, 2019-2032</v>
      </c>
      <c r="F118" s="14"/>
      <c r="G118" s="14"/>
    </row>
    <row r="119" spans="2:10" ht="15" hidden="1" customHeight="1">
      <c r="F119" s="14"/>
      <c r="G119" s="14"/>
    </row>
    <row r="120" spans="2:10" ht="15" hidden="1" customHeight="1">
      <c r="B120" s="115"/>
      <c r="C120" s="109" t="s">
        <v>1</v>
      </c>
      <c r="D120" s="109" t="s">
        <v>2</v>
      </c>
      <c r="E120" s="109" t="s">
        <v>3</v>
      </c>
      <c r="F120" s="109" t="s">
        <v>4</v>
      </c>
      <c r="G120" s="109" t="s">
        <v>5</v>
      </c>
      <c r="H120" s="109" t="s">
        <v>6</v>
      </c>
      <c r="I120" s="109" t="s">
        <v>7</v>
      </c>
      <c r="J120" s="109" t="s">
        <v>8</v>
      </c>
    </row>
    <row r="121" spans="2:10" ht="15" hidden="1" customHeight="1">
      <c r="B121" s="114">
        <v>2019</v>
      </c>
      <c r="C121" s="116" t="s">
        <v>97</v>
      </c>
      <c r="D121" s="112">
        <f>VLOOKUP($E$3,'Housing Generation'!$A$3:$BE$90,11,FALSE)</f>
        <v>0</v>
      </c>
      <c r="E121" s="112">
        <f>VLOOKUP($E$3,'Housing Generation'!$A$3:$BE$90,12,FALSE)</f>
        <v>0</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0</v>
      </c>
    </row>
    <row r="122" spans="2:10" ht="15" hidden="1" customHeight="1">
      <c r="B122" s="114">
        <v>2020</v>
      </c>
      <c r="C122" s="116" t="s">
        <v>97</v>
      </c>
      <c r="D122" s="112">
        <f>VLOOKUP($E$3,'Housing Generation'!$A$3:$BE$90,19,FALSE)</f>
        <v>1</v>
      </c>
      <c r="E122" s="112">
        <f>VLOOKUP($E$3,'Housing Generation'!$A$3:$BE$90,20,FALSE)</f>
        <v>1</v>
      </c>
      <c r="F122" s="112">
        <f>VLOOKUP($E$3,'Housing Generation'!$A$3:$BE$90,21,FALSE)</f>
        <v>1</v>
      </c>
      <c r="G122" s="112">
        <f>VLOOKUP($E$3,'Housing Generation'!$A$3:$BE$90,22,FALSE)</f>
        <v>0</v>
      </c>
      <c r="H122" s="112">
        <f>VLOOKUP($E$3,'Housing Generation'!$A$3:$BE$90,23,FALSE)</f>
        <v>0</v>
      </c>
      <c r="I122" s="112">
        <f>VLOOKUP($E$3,'Housing Generation'!$A$3:$BE$90,24,FALSE)</f>
        <v>0</v>
      </c>
      <c r="J122" s="111">
        <f t="shared" si="21"/>
        <v>3</v>
      </c>
    </row>
    <row r="123" spans="2:10" ht="15" hidden="1" customHeight="1">
      <c r="B123" s="114">
        <v>2021</v>
      </c>
      <c r="C123" s="116" t="s">
        <v>97</v>
      </c>
      <c r="D123" s="112">
        <f>VLOOKUP($E$3,'Housing Generation'!$A$3:$BE$90,27,FALSE)</f>
        <v>1</v>
      </c>
      <c r="E123" s="112">
        <f>VLOOKUP($E$3,'Housing Generation'!$A$3:$BE$90,28,FALSE)</f>
        <v>1</v>
      </c>
      <c r="F123" s="112">
        <f>VLOOKUP($E$3,'Housing Generation'!$A$3:$BE$90,29,FALSE)</f>
        <v>1</v>
      </c>
      <c r="G123" s="112">
        <f>VLOOKUP($E$3,'Housing Generation'!$A$3:$BE$90,30,FALSE)</f>
        <v>1</v>
      </c>
      <c r="H123" s="112">
        <f>VLOOKUP($E$3,'Housing Generation'!$A$3:$BE$90,31,FALSE)</f>
        <v>1</v>
      </c>
      <c r="I123" s="112">
        <f>VLOOKUP($E$3,'Housing Generation'!$A$3:$BE$90,32,FALSE)</f>
        <v>1</v>
      </c>
      <c r="J123" s="111">
        <f t="shared" si="21"/>
        <v>6</v>
      </c>
    </row>
    <row r="124" spans="2:10" ht="15" hidden="1" customHeight="1">
      <c r="B124" s="114">
        <v>2022</v>
      </c>
      <c r="C124" s="116" t="s">
        <v>97</v>
      </c>
      <c r="D124" s="112">
        <f>VLOOKUP($E$3,'Housing Generation'!$A$3:$BE$90,35,FALSE)</f>
        <v>2</v>
      </c>
      <c r="E124" s="112">
        <f>VLOOKUP($E$3,'Housing Generation'!$A$3:$BE$90,36,FALSE)</f>
        <v>1</v>
      </c>
      <c r="F124" s="112">
        <f>VLOOKUP($E$3,'Housing Generation'!$A$3:$BE$90,37,FALSE)</f>
        <v>1</v>
      </c>
      <c r="G124" s="112">
        <f>VLOOKUP($E$3,'Housing Generation'!$A$3:$BE$90,38,FALSE)</f>
        <v>1</v>
      </c>
      <c r="H124" s="112">
        <f>VLOOKUP($E$3,'Housing Generation'!$A$3:$BE$90,39,FALSE)</f>
        <v>1</v>
      </c>
      <c r="I124" s="112">
        <f>VLOOKUP($E$3,'Housing Generation'!$A$3:$BE$90,40,FALSE)</f>
        <v>1</v>
      </c>
      <c r="J124" s="111">
        <f t="shared" si="21"/>
        <v>7</v>
      </c>
    </row>
    <row r="125" spans="2:10" ht="15" hidden="1" customHeight="1">
      <c r="B125" s="114">
        <v>2023</v>
      </c>
      <c r="C125" s="116" t="s">
        <v>97</v>
      </c>
      <c r="D125" s="112">
        <f>VLOOKUP($E$3,'Housing Generation'!$A$3:$BE$90,43,FALSE)</f>
        <v>2</v>
      </c>
      <c r="E125" s="112">
        <f>VLOOKUP($E$3,'Housing Generation'!$A$3:$BE$90,44,FALSE)</f>
        <v>2</v>
      </c>
      <c r="F125" s="112">
        <f>VLOOKUP($E$3,'Housing Generation'!$A$3:$BE$90,45,FALSE)</f>
        <v>2</v>
      </c>
      <c r="G125" s="112">
        <f>VLOOKUP($E$3,'Housing Generation'!$A$3:$BE$90,46,FALSE)</f>
        <v>1</v>
      </c>
      <c r="H125" s="112">
        <f>VLOOKUP($E$3,'Housing Generation'!$A$3:$BE$90,47,FALSE)</f>
        <v>1</v>
      </c>
      <c r="I125" s="112">
        <f>VLOOKUP($E$3,'Housing Generation'!$A$3:$BE$90,48,FALSE)</f>
        <v>1</v>
      </c>
      <c r="J125" s="111">
        <f t="shared" si="21"/>
        <v>9</v>
      </c>
    </row>
    <row r="126" spans="2:10" ht="15" hidden="1" customHeight="1">
      <c r="B126" s="114">
        <v>2024</v>
      </c>
      <c r="C126" s="116" t="s">
        <v>97</v>
      </c>
      <c r="D126" s="112">
        <f>VLOOKUP($E$3,'Housing Generation'!$A$3:$BE$90,51,FALSE)</f>
        <v>3</v>
      </c>
      <c r="E126" s="112">
        <f>VLOOKUP($E$3,'Housing Generation'!$A$3:$BE$90,52,FALSE)</f>
        <v>2</v>
      </c>
      <c r="F126" s="112">
        <f>VLOOKUP($E$3,'Housing Generation'!$A$3:$BE$90,53,FALSE)</f>
        <v>2</v>
      </c>
      <c r="G126" s="112">
        <f>VLOOKUP($E$3,'Housing Generation'!$A$3:$BE$90,54,FALSE)</f>
        <v>2</v>
      </c>
      <c r="H126" s="112">
        <f>VLOOKUP($E$3,'Housing Generation'!$A$3:$BE$90,55,FALSE)</f>
        <v>2</v>
      </c>
      <c r="I126" s="112">
        <f>VLOOKUP($E$3,'Housing Generation'!$A$3:$BE$90,56,FALSE)</f>
        <v>2</v>
      </c>
      <c r="J126" s="111">
        <f t="shared" si="21"/>
        <v>13</v>
      </c>
    </row>
    <row r="127" spans="2:10" ht="15" hidden="1" customHeight="1">
      <c r="B127" s="114">
        <v>2025</v>
      </c>
      <c r="C127" s="240" t="s">
        <v>97</v>
      </c>
      <c r="D127" s="112">
        <f>VLOOKUP($E$3,'Housing Generation'!$A$3:$CK$90,59,FALSE)</f>
        <v>3</v>
      </c>
      <c r="E127" s="112">
        <f>VLOOKUP($E$3,'Housing Generation'!$A$3:$CK$90,60,FALSE)</f>
        <v>3</v>
      </c>
      <c r="F127" s="112">
        <f>VLOOKUP($E$3,'Housing Generation'!$A$3:$CK$90,61,FALSE)</f>
        <v>3</v>
      </c>
      <c r="G127" s="112">
        <f>VLOOKUP($E$3,'Housing Generation'!$A$3:$CK$90,62,FALSE)</f>
        <v>3</v>
      </c>
      <c r="H127" s="112">
        <f>VLOOKUP($E$3,'Housing Generation'!$A$3:$CK$90,63,FALSE)</f>
        <v>3</v>
      </c>
      <c r="I127" s="112">
        <f>VLOOKUP($E$3,'Housing Generation'!$A$3:$CK$90,64,FALSE)</f>
        <v>3</v>
      </c>
      <c r="J127" s="111">
        <f t="shared" si="21"/>
        <v>18</v>
      </c>
    </row>
    <row r="128" spans="2:10" ht="15" hidden="1" customHeight="1">
      <c r="B128" s="114">
        <v>2026</v>
      </c>
      <c r="C128" s="240" t="s">
        <v>97</v>
      </c>
      <c r="D128" s="112">
        <f>VLOOKUP($E$3,'Housing Generation'!$A$3:$CK$90,67,FALSE)</f>
        <v>4</v>
      </c>
      <c r="E128" s="112">
        <f>VLOOKUP($E$3,'Housing Generation'!$A$3:$CK$90,68,FALSE)</f>
        <v>4</v>
      </c>
      <c r="F128" s="112">
        <f>VLOOKUP($E$3,'Housing Generation'!$A$3:$CK$90,69,FALSE)</f>
        <v>4</v>
      </c>
      <c r="G128" s="112">
        <f>VLOOKUP($E$3,'Housing Generation'!$A$3:$CK$90,70,FALSE)</f>
        <v>4</v>
      </c>
      <c r="H128" s="112">
        <f>VLOOKUP($E$3,'Housing Generation'!$A$3:$CK$90,71,FALSE)</f>
        <v>4</v>
      </c>
      <c r="I128" s="112">
        <f>VLOOKUP($E$3,'Housing Generation'!$A$3:$CK$90,72,FALSE)</f>
        <v>4</v>
      </c>
      <c r="J128" s="111">
        <f t="shared" si="21"/>
        <v>24</v>
      </c>
    </row>
    <row r="129" spans="2:10" ht="15" hidden="1" customHeight="1">
      <c r="B129" s="114">
        <v>2027</v>
      </c>
      <c r="C129" s="240" t="s">
        <v>97</v>
      </c>
      <c r="D129" s="112">
        <f>VLOOKUP($E$3,'Housing Generation'!$A$3:$CK$90,75,FALSE)</f>
        <v>5</v>
      </c>
      <c r="E129" s="112">
        <f>VLOOKUP($E$3,'Housing Generation'!$A$3:$CK$90,76,FALSE)</f>
        <v>5</v>
      </c>
      <c r="F129" s="112">
        <f>VLOOKUP($E$3,'Housing Generation'!$A$3:$CK$90,77,FALSE)</f>
        <v>5</v>
      </c>
      <c r="G129" s="112">
        <f>VLOOKUP($E$3,'Housing Generation'!$A$3:$CK$90,78,FALSE)</f>
        <v>5</v>
      </c>
      <c r="H129" s="112">
        <f>VLOOKUP($E$3,'Housing Generation'!$A$3:$CK$90,79,FALSE)</f>
        <v>4</v>
      </c>
      <c r="I129" s="112">
        <f>VLOOKUP($E$3,'Housing Generation'!$A$3:$CK$90,80,FALSE)</f>
        <v>4</v>
      </c>
      <c r="J129" s="111">
        <f t="shared" si="21"/>
        <v>28</v>
      </c>
    </row>
    <row r="130" spans="2:10" ht="15" customHeight="1">
      <c r="B130" s="114">
        <v>2028</v>
      </c>
      <c r="C130" s="289" t="s">
        <v>97</v>
      </c>
      <c r="D130" s="112">
        <f>VLOOKUP($E$3,'Housing Generation'!$A$3:$CK$90,83,FALSE)</f>
        <v>6</v>
      </c>
      <c r="E130" s="112">
        <f>VLOOKUP($E$3,'Housing Generation'!$A$3:$CK$90,84,FALSE)</f>
        <v>6</v>
      </c>
      <c r="F130" s="112">
        <f>VLOOKUP($E$3,'Housing Generation'!$A$3:$CK$90,85,FALSE)</f>
        <v>6</v>
      </c>
      <c r="G130" s="112">
        <f>VLOOKUP($E$3,'Housing Generation'!$A$3:$CK$90,86,FALSE)</f>
        <v>6</v>
      </c>
      <c r="H130" s="112">
        <f>VLOOKUP($E$3,'Housing Generation'!$A$3:$CK$90,87,FALSE)</f>
        <v>5</v>
      </c>
      <c r="I130" s="112">
        <f>VLOOKUP($E$3,'Housing Generation'!$A$3:$CK$90,88,FALSE)</f>
        <v>5</v>
      </c>
      <c r="J130" s="111">
        <f t="shared" si="21"/>
        <v>34</v>
      </c>
    </row>
    <row r="131" spans="2:10" ht="15" customHeight="1">
      <c r="B131" s="114">
        <v>2029</v>
      </c>
      <c r="C131" s="289" t="s">
        <v>97</v>
      </c>
      <c r="D131" s="112">
        <f>VLOOKUP($E$3,'Housing Generation'!$A$3:$DQ$90,91,FALSE)</f>
        <v>6</v>
      </c>
      <c r="E131" s="112">
        <f>VLOOKUP($E$3,'Housing Generation'!$A$3:$DQ$90,92,FALSE)</f>
        <v>6</v>
      </c>
      <c r="F131" s="112">
        <f>VLOOKUP($E$3,'Housing Generation'!$A$3:$DQ$90,93,FALSE)</f>
        <v>6</v>
      </c>
      <c r="G131" s="112">
        <f>VLOOKUP($E$3,'Housing Generation'!$A$3:$DQ$90,94,FALSE)</f>
        <v>6</v>
      </c>
      <c r="H131" s="112">
        <f>VLOOKUP($E$3,'Housing Generation'!$A$3:$DQ$90,95,FALSE)</f>
        <v>6</v>
      </c>
      <c r="I131" s="112">
        <f>VLOOKUP($E$3,'Housing Generation'!$A$3:$DQ$90,96,FALSE)</f>
        <v>6</v>
      </c>
      <c r="J131" s="111">
        <f t="shared" si="21"/>
        <v>36</v>
      </c>
    </row>
    <row r="132" spans="2:10" ht="15" customHeight="1">
      <c r="B132" s="114">
        <v>2030</v>
      </c>
      <c r="C132" s="289" t="s">
        <v>97</v>
      </c>
      <c r="D132" s="112">
        <f>VLOOKUP($E$3,'Housing Generation'!$A$3:$DQ$90,99,FALSE)</f>
        <v>7</v>
      </c>
      <c r="E132" s="112">
        <f>VLOOKUP($E$3,'Housing Generation'!$A$3:$DQ$90,100,FALSE)</f>
        <v>6</v>
      </c>
      <c r="F132" s="112">
        <f>VLOOKUP($E$3,'Housing Generation'!$A$3:$DQ$90,101,FALSE)</f>
        <v>6</v>
      </c>
      <c r="G132" s="112">
        <f>VLOOKUP($E$3,'Housing Generation'!$A$3:$DQ$90,102,FALSE)</f>
        <v>6</v>
      </c>
      <c r="H132" s="112">
        <f>VLOOKUP($E$3,'Housing Generation'!$A$3:$DQ$90,103,FALSE)</f>
        <v>6</v>
      </c>
      <c r="I132" s="112">
        <f>VLOOKUP($E$3,'Housing Generation'!$A$3:$DQ$90,104,FALSE)</f>
        <v>6</v>
      </c>
      <c r="J132" s="111">
        <f t="shared" si="21"/>
        <v>37</v>
      </c>
    </row>
    <row r="133" spans="2:10" ht="15" customHeight="1">
      <c r="B133" s="114">
        <v>2031</v>
      </c>
      <c r="C133" s="289" t="s">
        <v>97</v>
      </c>
      <c r="D133" s="112">
        <f>VLOOKUP($E$3,'Housing Generation'!$A$3:$DQ$90,107,FALSE)</f>
        <v>7</v>
      </c>
      <c r="E133" s="112">
        <f>VLOOKUP($E$3,'Housing Generation'!$A$3:$DQ$90,108,FALSE)</f>
        <v>7</v>
      </c>
      <c r="F133" s="112">
        <f>VLOOKUP($E$3,'Housing Generation'!$A$3:$DQ$90,109,FALSE)</f>
        <v>7</v>
      </c>
      <c r="G133" s="112">
        <f>VLOOKUP($E$3,'Housing Generation'!$A$3:$DQ$90,110,FALSE)</f>
        <v>6</v>
      </c>
      <c r="H133" s="112">
        <f>VLOOKUP($E$3,'Housing Generation'!$A$3:$DQ$90,111,FALSE)</f>
        <v>6</v>
      </c>
      <c r="I133" s="112">
        <f>VLOOKUP($E$3,'Housing Generation'!$A$3:$DQ$90,112,FALSE)</f>
        <v>6</v>
      </c>
      <c r="J133" s="111">
        <f t="shared" si="21"/>
        <v>39</v>
      </c>
    </row>
    <row r="134" spans="2:10" ht="15" customHeight="1">
      <c r="B134" s="114">
        <v>2032</v>
      </c>
      <c r="C134" s="289" t="s">
        <v>97</v>
      </c>
      <c r="D134" s="112">
        <f>VLOOKUP($E$3,'Housing Generation'!$A$3:$DQ$90,115,FALSE)</f>
        <v>7</v>
      </c>
      <c r="E134" s="112">
        <f>VLOOKUP($E$3,'Housing Generation'!$A$3:$DQ$90,116,FALSE)</f>
        <v>7</v>
      </c>
      <c r="F134" s="112">
        <f>VLOOKUP($E$3,'Housing Generation'!$A$3:$DQ$90,117,FALSE)</f>
        <v>7</v>
      </c>
      <c r="G134" s="112">
        <f>VLOOKUP($E$3,'Housing Generation'!$A$3:$DQ$90,118,FALSE)</f>
        <v>7</v>
      </c>
      <c r="H134" s="112">
        <f>VLOOKUP($E$3,'Housing Generation'!$A$3:$DQ$90,119,FALSE)</f>
        <v>7</v>
      </c>
      <c r="I134" s="112">
        <f>VLOOKUP($E$3,'Housing Generation'!$A$3:$DQ$90,120,FALSE)</f>
        <v>6</v>
      </c>
      <c r="J134" s="111">
        <f t="shared" si="21"/>
        <v>41</v>
      </c>
    </row>
    <row r="135" spans="2:10" ht="15" hidden="1"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Holy Cross RC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49.724310390530754</v>
      </c>
      <c r="D139" s="112">
        <f t="shared" ref="D139:I152" si="23">D121+D103</f>
        <v>45</v>
      </c>
      <c r="E139" s="112">
        <f t="shared" si="23"/>
        <v>51</v>
      </c>
      <c r="F139" s="112">
        <f t="shared" si="23"/>
        <v>50</v>
      </c>
      <c r="G139" s="112">
        <f t="shared" si="23"/>
        <v>52</v>
      </c>
      <c r="H139" s="112">
        <f t="shared" si="23"/>
        <v>32</v>
      </c>
      <c r="I139" s="112">
        <f t="shared" si="23"/>
        <v>42</v>
      </c>
      <c r="J139" s="111">
        <f t="shared" ref="J139:J147" si="24">SUM(C139:I139)</f>
        <v>321.72431039053072</v>
      </c>
    </row>
    <row r="140" spans="2:10" ht="15" customHeight="1">
      <c r="B140" s="114">
        <v>2020</v>
      </c>
      <c r="C140" s="113">
        <f t="shared" si="22"/>
        <v>47.776379354182559</v>
      </c>
      <c r="D140" s="112">
        <f t="shared" si="23"/>
        <v>47</v>
      </c>
      <c r="E140" s="112">
        <f t="shared" si="23"/>
        <v>44</v>
      </c>
      <c r="F140" s="112">
        <f t="shared" si="23"/>
        <v>49</v>
      </c>
      <c r="G140" s="112">
        <f t="shared" si="23"/>
        <v>47</v>
      </c>
      <c r="H140" s="112">
        <f t="shared" si="23"/>
        <v>50</v>
      </c>
      <c r="I140" s="112">
        <f t="shared" si="23"/>
        <v>30</v>
      </c>
      <c r="J140" s="111">
        <f t="shared" si="24"/>
        <v>314.77637935418255</v>
      </c>
    </row>
    <row r="141" spans="2:10" ht="15" customHeight="1">
      <c r="B141" s="114">
        <v>2021</v>
      </c>
      <c r="C141" s="113">
        <f t="shared" si="22"/>
        <v>43.880517281486171</v>
      </c>
      <c r="D141" s="112">
        <f t="shared" si="23"/>
        <v>45</v>
      </c>
      <c r="E141" s="112">
        <f t="shared" si="23"/>
        <v>44</v>
      </c>
      <c r="F141" s="112">
        <f t="shared" si="23"/>
        <v>42</v>
      </c>
      <c r="G141" s="112">
        <f t="shared" si="23"/>
        <v>47</v>
      </c>
      <c r="H141" s="112">
        <f t="shared" si="23"/>
        <v>47</v>
      </c>
      <c r="I141" s="112">
        <f t="shared" si="23"/>
        <v>48</v>
      </c>
      <c r="J141" s="111">
        <f t="shared" si="24"/>
        <v>316.88051728148616</v>
      </c>
    </row>
    <row r="142" spans="2:10" ht="15" customHeight="1">
      <c r="B142" s="114">
        <v>2022</v>
      </c>
      <c r="C142" s="113">
        <f t="shared" si="22"/>
        <v>47.776379354182559</v>
      </c>
      <c r="D142" s="112">
        <f t="shared" si="23"/>
        <v>42</v>
      </c>
      <c r="E142" s="112">
        <f t="shared" si="23"/>
        <v>43</v>
      </c>
      <c r="F142" s="112">
        <f t="shared" si="23"/>
        <v>42</v>
      </c>
      <c r="G142" s="112">
        <f t="shared" si="23"/>
        <v>40</v>
      </c>
      <c r="H142" s="112">
        <f t="shared" si="23"/>
        <v>46</v>
      </c>
      <c r="I142" s="112">
        <f t="shared" si="23"/>
        <v>44</v>
      </c>
      <c r="J142" s="111">
        <f t="shared" si="24"/>
        <v>304.77637935418255</v>
      </c>
    </row>
    <row r="143" spans="2:10" ht="15" customHeight="1">
      <c r="B143" s="114">
        <v>2023</v>
      </c>
      <c r="C143" s="113">
        <f t="shared" si="22"/>
        <v>47.776379354182559</v>
      </c>
      <c r="D143" s="112">
        <f t="shared" si="23"/>
        <v>45</v>
      </c>
      <c r="E143" s="112">
        <f t="shared" si="23"/>
        <v>40</v>
      </c>
      <c r="F143" s="112">
        <f t="shared" si="23"/>
        <v>42</v>
      </c>
      <c r="G143" s="112">
        <f t="shared" si="23"/>
        <v>40</v>
      </c>
      <c r="H143" s="112">
        <f t="shared" si="23"/>
        <v>39</v>
      </c>
      <c r="I143" s="112">
        <f t="shared" si="23"/>
        <v>43</v>
      </c>
      <c r="J143" s="111">
        <f t="shared" si="24"/>
        <v>296.77637935418255</v>
      </c>
    </row>
    <row r="144" spans="2:10" ht="15" customHeight="1">
      <c r="B144" s="114">
        <v>2024</v>
      </c>
      <c r="C144" s="113">
        <f t="shared" si="22"/>
        <v>48.750344872356656</v>
      </c>
      <c r="D144" s="112">
        <f t="shared" si="23"/>
        <v>45</v>
      </c>
      <c r="E144" s="112">
        <f t="shared" si="23"/>
        <v>43</v>
      </c>
      <c r="F144" s="112">
        <f t="shared" si="23"/>
        <v>38</v>
      </c>
      <c r="G144" s="112">
        <f t="shared" si="23"/>
        <v>40</v>
      </c>
      <c r="H144" s="112">
        <f t="shared" si="23"/>
        <v>40</v>
      </c>
      <c r="I144" s="112">
        <f t="shared" si="23"/>
        <v>38</v>
      </c>
      <c r="J144" s="111">
        <f t="shared" si="24"/>
        <v>292.75034487235666</v>
      </c>
    </row>
    <row r="145" spans="2:16" ht="15" customHeight="1">
      <c r="B145" s="114">
        <v>2025</v>
      </c>
      <c r="C145" s="113">
        <f t="shared" si="22"/>
        <v>50</v>
      </c>
      <c r="D145" s="112">
        <f t="shared" si="23"/>
        <v>45</v>
      </c>
      <c r="E145" s="112">
        <f t="shared" si="23"/>
        <v>43</v>
      </c>
      <c r="F145" s="112">
        <f t="shared" si="23"/>
        <v>42</v>
      </c>
      <c r="G145" s="112">
        <f t="shared" si="23"/>
        <v>37</v>
      </c>
      <c r="H145" s="112">
        <f t="shared" si="23"/>
        <v>40</v>
      </c>
      <c r="I145" s="112">
        <f t="shared" si="23"/>
        <v>39</v>
      </c>
      <c r="J145" s="111">
        <f t="shared" si="24"/>
        <v>296</v>
      </c>
    </row>
    <row r="146" spans="2:16" ht="15" customHeight="1">
      <c r="B146" s="114">
        <v>2026</v>
      </c>
      <c r="C146" s="113">
        <f t="shared" si="22"/>
        <v>50</v>
      </c>
      <c r="D146" s="112">
        <f t="shared" si="23"/>
        <v>47</v>
      </c>
      <c r="E146" s="112">
        <f t="shared" si="23"/>
        <v>44</v>
      </c>
      <c r="F146" s="112">
        <f t="shared" si="23"/>
        <v>42</v>
      </c>
      <c r="G146" s="112">
        <f t="shared" si="23"/>
        <v>41</v>
      </c>
      <c r="H146" s="112">
        <f t="shared" si="23"/>
        <v>37</v>
      </c>
      <c r="I146" s="112">
        <f t="shared" si="23"/>
        <v>39</v>
      </c>
      <c r="J146" s="111">
        <f t="shared" si="24"/>
        <v>300</v>
      </c>
    </row>
    <row r="147" spans="2:16" ht="15" customHeight="1">
      <c r="B147" s="114">
        <v>2027</v>
      </c>
      <c r="C147" s="113">
        <f t="shared" si="22"/>
        <v>50</v>
      </c>
      <c r="D147" s="112">
        <f t="shared" si="23"/>
        <v>47</v>
      </c>
      <c r="E147" s="112">
        <f t="shared" si="23"/>
        <v>46</v>
      </c>
      <c r="F147" s="112">
        <f t="shared" si="23"/>
        <v>43</v>
      </c>
      <c r="G147" s="112">
        <f t="shared" si="23"/>
        <v>41</v>
      </c>
      <c r="H147" s="112">
        <f t="shared" si="23"/>
        <v>40</v>
      </c>
      <c r="I147" s="112">
        <f t="shared" si="23"/>
        <v>35</v>
      </c>
      <c r="J147" s="111">
        <f t="shared" si="24"/>
        <v>302</v>
      </c>
    </row>
    <row r="148" spans="2:16" ht="15" customHeight="1">
      <c r="B148" s="114">
        <v>2028</v>
      </c>
      <c r="C148" s="113">
        <f t="shared" si="22"/>
        <v>53.620172463227142</v>
      </c>
      <c r="D148" s="112">
        <f t="shared" si="23"/>
        <v>47</v>
      </c>
      <c r="E148" s="112">
        <f t="shared" si="23"/>
        <v>46</v>
      </c>
      <c r="F148" s="112">
        <f t="shared" si="23"/>
        <v>45</v>
      </c>
      <c r="G148" s="112">
        <f t="shared" si="23"/>
        <v>42</v>
      </c>
      <c r="H148" s="112">
        <f t="shared" si="23"/>
        <v>40</v>
      </c>
      <c r="I148" s="112">
        <f t="shared" si="23"/>
        <v>39</v>
      </c>
      <c r="J148" s="111">
        <f t="shared" ref="J148:J152" si="25">SUM(C148:I148)</f>
        <v>312.62017246322716</v>
      </c>
    </row>
    <row r="149" spans="2:16" ht="15" customHeight="1">
      <c r="B149" s="114">
        <v>2029</v>
      </c>
      <c r="C149" s="113">
        <f t="shared" si="22"/>
        <v>53.620172463227142</v>
      </c>
      <c r="D149" s="112">
        <f t="shared" si="23"/>
        <v>51</v>
      </c>
      <c r="E149" s="112">
        <f t="shared" si="23"/>
        <v>45</v>
      </c>
      <c r="F149" s="112">
        <f t="shared" si="23"/>
        <v>44</v>
      </c>
      <c r="G149" s="112">
        <f t="shared" si="23"/>
        <v>43</v>
      </c>
      <c r="H149" s="112">
        <f t="shared" si="23"/>
        <v>41</v>
      </c>
      <c r="I149" s="112">
        <f t="shared" si="23"/>
        <v>39</v>
      </c>
      <c r="J149" s="111">
        <f t="shared" si="25"/>
        <v>316.62017246322716</v>
      </c>
    </row>
    <row r="150" spans="2:16" ht="15" customHeight="1">
      <c r="B150" s="114">
        <v>2030</v>
      </c>
      <c r="C150" s="113">
        <f t="shared" si="22"/>
        <v>54.594137981401239</v>
      </c>
      <c r="D150" s="112">
        <f t="shared" si="23"/>
        <v>51</v>
      </c>
      <c r="E150" s="112">
        <f t="shared" si="23"/>
        <v>49</v>
      </c>
      <c r="F150" s="112">
        <f t="shared" si="23"/>
        <v>43</v>
      </c>
      <c r="G150" s="112">
        <f t="shared" si="23"/>
        <v>42</v>
      </c>
      <c r="H150" s="112">
        <f t="shared" si="23"/>
        <v>42</v>
      </c>
      <c r="I150" s="112">
        <f t="shared" si="23"/>
        <v>39</v>
      </c>
      <c r="J150" s="111">
        <f t="shared" si="25"/>
        <v>320.59413798140122</v>
      </c>
    </row>
    <row r="151" spans="2:16" ht="15" customHeight="1">
      <c r="B151" s="114">
        <v>2031</v>
      </c>
      <c r="C151" s="113">
        <f t="shared" si="22"/>
        <v>54.594137981401239</v>
      </c>
      <c r="D151" s="112">
        <f t="shared" si="23"/>
        <v>52</v>
      </c>
      <c r="E151" s="112">
        <f t="shared" si="23"/>
        <v>49</v>
      </c>
      <c r="F151" s="112">
        <f t="shared" si="23"/>
        <v>48</v>
      </c>
      <c r="G151" s="112">
        <f t="shared" si="23"/>
        <v>41</v>
      </c>
      <c r="H151" s="112">
        <f t="shared" si="23"/>
        <v>41</v>
      </c>
      <c r="I151" s="112">
        <f t="shared" si="23"/>
        <v>40</v>
      </c>
      <c r="J151" s="111">
        <f t="shared" si="25"/>
        <v>325.59413798140122</v>
      </c>
    </row>
    <row r="152" spans="2:16" ht="15" customHeight="1">
      <c r="B152" s="114">
        <v>2032</v>
      </c>
      <c r="C152" s="113">
        <f t="shared" si="22"/>
        <v>54.594137981401239</v>
      </c>
      <c r="D152" s="112">
        <f t="shared" si="23"/>
        <v>52</v>
      </c>
      <c r="E152" s="112">
        <f t="shared" si="23"/>
        <v>50</v>
      </c>
      <c r="F152" s="112">
        <f t="shared" si="23"/>
        <v>47</v>
      </c>
      <c r="G152" s="112">
        <f t="shared" si="23"/>
        <v>46</v>
      </c>
      <c r="H152" s="112">
        <f t="shared" si="23"/>
        <v>41</v>
      </c>
      <c r="I152" s="112">
        <f t="shared" si="23"/>
        <v>39</v>
      </c>
      <c r="J152" s="111">
        <f t="shared" si="25"/>
        <v>329.59413798140122</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321.72431039053072</v>
      </c>
      <c r="D159" s="108">
        <f>J140</f>
        <v>314.77637935418255</v>
      </c>
      <c r="E159" s="108">
        <f>J141</f>
        <v>316.88051728148616</v>
      </c>
      <c r="F159" s="108">
        <f>J142</f>
        <v>304.77637935418255</v>
      </c>
      <c r="G159" s="108">
        <f>J143</f>
        <v>296.77637935418255</v>
      </c>
      <c r="H159" s="108">
        <f>J144</f>
        <v>292.75034487235666</v>
      </c>
      <c r="I159" s="108">
        <f>J145</f>
        <v>296</v>
      </c>
      <c r="J159" s="108">
        <f>J146</f>
        <v>300</v>
      </c>
      <c r="K159" s="108">
        <f>J147</f>
        <v>302</v>
      </c>
      <c r="L159" s="108">
        <f>J148</f>
        <v>312.62017246322716</v>
      </c>
      <c r="M159" s="108">
        <f>J149</f>
        <v>316.62017246322716</v>
      </c>
      <c r="N159" s="108">
        <f>J150</f>
        <v>320.59413798140122</v>
      </c>
      <c r="O159" s="108">
        <f>J151</f>
        <v>325.59413798140122</v>
      </c>
      <c r="P159" s="108">
        <f>J152</f>
        <v>329.59413798140122</v>
      </c>
    </row>
    <row r="160" spans="2:16" ht="15" customHeight="1">
      <c r="B160" s="107" t="s">
        <v>152</v>
      </c>
      <c r="C160" s="106">
        <f>VLOOKUP(C159,Capacity!$A$1:$C$645,2,TRUE)</f>
        <v>13</v>
      </c>
      <c r="D160" s="106">
        <f>VLOOKUP(D159,Capacity!$A$1:$C$645,2,TRUE)</f>
        <v>12</v>
      </c>
      <c r="E160" s="106">
        <f>VLOOKUP(E159,Capacity!$A$1:$C$645,2,TRUE)</f>
        <v>13</v>
      </c>
      <c r="F160" s="106">
        <f>VLOOKUP(F159,Capacity!$A$1:$C$645,2,TRUE)</f>
        <v>12</v>
      </c>
      <c r="G160" s="106">
        <f>VLOOKUP(G159,Capacity!$A$1:$C$645,2,TRUE)</f>
        <v>12</v>
      </c>
      <c r="H160" s="106">
        <f>VLOOKUP(H159,Capacity!$A$1:$C$645,2,TRUE)</f>
        <v>11</v>
      </c>
      <c r="I160" s="106">
        <f>VLOOKUP(I159,Capacity!$A$1:$C$645,2,TRUE)</f>
        <v>12</v>
      </c>
      <c r="J160" s="106">
        <f>VLOOKUP(J159,Capacity!$A$1:$C$645,2,TRUE)</f>
        <v>12</v>
      </c>
      <c r="K160" s="106">
        <f>VLOOKUP(K159,Capacity!$A$1:$C$645,2,TRUE)</f>
        <v>12</v>
      </c>
      <c r="L160" s="106">
        <f>VLOOKUP(L159,Capacity!$A$1:$C$645,2,TRUE)</f>
        <v>12</v>
      </c>
      <c r="M160" s="106">
        <f>VLOOKUP(M159,Capacity!$A$1:$C$645,2,TRUE)</f>
        <v>13</v>
      </c>
      <c r="N160" s="106">
        <f>VLOOKUP(N159,Capacity!$A$1:$C$645,2,TRUE)</f>
        <v>13</v>
      </c>
      <c r="O160" s="106">
        <f>VLOOKUP(O159,Capacity!$A$1:$C$645,2,TRUE)</f>
        <v>13</v>
      </c>
      <c r="P160" s="106">
        <f>VLOOKUP(P159,Capacity!$A$1:$C$645,2,TRUE)</f>
        <v>13</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278</v>
      </c>
      <c r="D169" s="97">
        <f>VLOOKUP($E$3,'Catchment Births'!$A$1:$U$90,11,FALSE)</f>
        <v>293</v>
      </c>
      <c r="E169" s="97">
        <f>VLOOKUP($E$3,'Catchment Births'!$A$1:$U$90,12,FALSE)</f>
        <v>331</v>
      </c>
      <c r="F169" s="97">
        <f>VLOOKUP($E$3,'Catchment Births'!$A$1:$U$90,13,FALSE)</f>
        <v>371</v>
      </c>
      <c r="G169" s="97">
        <f>VLOOKUP($E$3,'Catchment Births'!$A$1:$U$90,14,FALSE)</f>
        <v>395</v>
      </c>
      <c r="H169" s="97">
        <f>VLOOKUP($E$3,'Catchment Births'!$A$1:$U$90,15,FALSE)</f>
        <v>419</v>
      </c>
      <c r="I169" s="97">
        <f>VLOOKUP($E$3,'Catchment Births'!$A$1:$U$90,16,FALSE)</f>
        <v>446</v>
      </c>
      <c r="J169" s="97">
        <f>VLOOKUP($E$3,'Catchment Births'!$A$1:$U$90,17,FALSE)</f>
        <v>456</v>
      </c>
      <c r="K169" s="97">
        <f>VLOOKUP($E$3,'Catchment Births'!$A$1:$U$90,18,FALSE)</f>
        <v>419</v>
      </c>
      <c r="L169" s="97">
        <f>VLOOKUP($E$3,'Catchment Births'!$A$1:$U$90,19,FALSE)</f>
        <v>404</v>
      </c>
      <c r="M169" s="97">
        <f>VLOOKUP($E$3,'Catchment Births'!$A$1:$U$90,20,FALSE)</f>
        <v>423</v>
      </c>
      <c r="N169" s="97">
        <f>VLOOKUP($E$3,'Catchment Births'!$A$1:$U$90,21,FALSE)</f>
        <v>403</v>
      </c>
    </row>
    <row r="170" spans="2:14" ht="58.5" customHeight="1">
      <c r="B170" s="103" t="str">
        <f>"P1 "&amp;A35&amp;" Catchment Population (Actual)"</f>
        <v>P1 RC Catchment Population (Actual)</v>
      </c>
      <c r="C170" s="102" t="e">
        <v>#REF!</v>
      </c>
      <c r="D170" s="102">
        <v>38</v>
      </c>
      <c r="E170" s="102">
        <v>55</v>
      </c>
      <c r="F170" s="102">
        <v>55</v>
      </c>
      <c r="G170" s="102">
        <v>55</v>
      </c>
      <c r="H170" s="102">
        <v>45</v>
      </c>
      <c r="I170" s="102">
        <v>44</v>
      </c>
      <c r="J170" s="308">
        <f>VLOOKUP(E3,'Catchment Projections'!A1:BU92,42,FALSE)</f>
        <v>47</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180</v>
      </c>
      <c r="C172" s="99"/>
      <c r="D172" s="98"/>
      <c r="E172" s="98"/>
      <c r="F172" s="98"/>
      <c r="G172" s="97"/>
      <c r="H172" s="96"/>
      <c r="I172" s="96">
        <f>I170</f>
        <v>44</v>
      </c>
      <c r="J172" s="96" t="e">
        <f>#REF!</f>
        <v>#REF!</v>
      </c>
      <c r="K172" s="96">
        <f>D51</f>
        <v>49</v>
      </c>
      <c r="L172" s="96">
        <f>E51</f>
        <v>47</v>
      </c>
      <c r="M172" s="96">
        <f>F51</f>
        <v>43</v>
      </c>
      <c r="N172" s="96">
        <f>G51</f>
        <v>47</v>
      </c>
    </row>
    <row r="173" spans="2:14" ht="12.75">
      <c r="B173" s="62"/>
      <c r="C173" s="62"/>
      <c r="D173" s="62"/>
      <c r="E173" s="62"/>
      <c r="F173" s="62"/>
      <c r="G173" s="62"/>
      <c r="H173" s="62"/>
      <c r="I173" s="62"/>
      <c r="J173" s="62"/>
      <c r="K173" s="62"/>
    </row>
    <row r="174" spans="2:14" ht="15" customHeight="1">
      <c r="B174" s="64" t="str">
        <f>"Table 5: "&amp;E3&amp;" Roll by Stage, 2002-2018"</f>
        <v>Table 5: Holy Cross RC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39</v>
      </c>
      <c r="D177" s="93">
        <v>32</v>
      </c>
      <c r="E177" s="93">
        <v>37</v>
      </c>
      <c r="F177" s="93">
        <v>35</v>
      </c>
      <c r="G177" s="93">
        <v>50</v>
      </c>
      <c r="H177" s="93">
        <v>36</v>
      </c>
      <c r="I177" s="93">
        <v>41</v>
      </c>
      <c r="J177" s="92">
        <v>270</v>
      </c>
      <c r="K177" s="62"/>
    </row>
    <row r="178" spans="2:11" ht="15" customHeight="1">
      <c r="B178" s="94">
        <v>2003</v>
      </c>
      <c r="C178" s="93">
        <v>30</v>
      </c>
      <c r="D178" s="93">
        <v>36</v>
      </c>
      <c r="E178" s="93">
        <v>28</v>
      </c>
      <c r="F178" s="93">
        <v>39</v>
      </c>
      <c r="G178" s="93">
        <v>29</v>
      </c>
      <c r="H178" s="93">
        <v>48</v>
      </c>
      <c r="I178" s="93">
        <v>33</v>
      </c>
      <c r="J178" s="92">
        <v>243</v>
      </c>
      <c r="K178" s="62"/>
    </row>
    <row r="179" spans="2:11" customFormat="1" ht="15" customHeight="1">
      <c r="B179" s="94">
        <v>2004</v>
      </c>
      <c r="C179" s="95">
        <v>25</v>
      </c>
      <c r="D179" s="95">
        <v>28</v>
      </c>
      <c r="E179" s="95">
        <v>38</v>
      </c>
      <c r="F179" s="95">
        <v>30</v>
      </c>
      <c r="G179" s="95">
        <v>36</v>
      </c>
      <c r="H179" s="95">
        <v>29</v>
      </c>
      <c r="I179" s="95">
        <v>43</v>
      </c>
      <c r="J179" s="92">
        <v>229</v>
      </c>
      <c r="K179" s="62"/>
    </row>
    <row r="180" spans="2:11" customFormat="1" ht="15" customHeight="1">
      <c r="B180" s="94">
        <v>2005</v>
      </c>
      <c r="C180" s="93">
        <v>25</v>
      </c>
      <c r="D180" s="93">
        <v>22</v>
      </c>
      <c r="E180" s="93">
        <v>26</v>
      </c>
      <c r="F180" s="93">
        <v>37</v>
      </c>
      <c r="G180" s="93">
        <v>28</v>
      </c>
      <c r="H180" s="93">
        <v>34</v>
      </c>
      <c r="I180" s="93">
        <v>30</v>
      </c>
      <c r="J180" s="92">
        <v>202</v>
      </c>
      <c r="K180" s="62"/>
    </row>
    <row r="181" spans="2:11" customFormat="1" ht="15" customHeight="1">
      <c r="B181" s="94">
        <v>2006</v>
      </c>
      <c r="C181" s="93">
        <v>24</v>
      </c>
      <c r="D181" s="93">
        <v>26</v>
      </c>
      <c r="E181" s="93">
        <v>23</v>
      </c>
      <c r="F181" s="93">
        <v>25</v>
      </c>
      <c r="G181" s="93">
        <v>37</v>
      </c>
      <c r="H181" s="93">
        <v>25</v>
      </c>
      <c r="I181" s="93">
        <v>34</v>
      </c>
      <c r="J181" s="92">
        <v>194</v>
      </c>
      <c r="K181" s="62"/>
    </row>
    <row r="182" spans="2:11" customFormat="1" ht="15" customHeight="1">
      <c r="B182" s="94">
        <v>2007</v>
      </c>
      <c r="C182" s="93">
        <v>28</v>
      </c>
      <c r="D182" s="93">
        <v>26</v>
      </c>
      <c r="E182" s="93">
        <v>28</v>
      </c>
      <c r="F182" s="93">
        <v>20</v>
      </c>
      <c r="G182" s="93">
        <v>25</v>
      </c>
      <c r="H182" s="93">
        <v>37</v>
      </c>
      <c r="I182" s="93">
        <v>24</v>
      </c>
      <c r="J182" s="92">
        <v>188</v>
      </c>
      <c r="K182" s="62"/>
    </row>
    <row r="183" spans="2:11" customFormat="1" ht="15" customHeight="1">
      <c r="B183" s="94">
        <v>2008</v>
      </c>
      <c r="C183" s="93">
        <v>43</v>
      </c>
      <c r="D183" s="93">
        <v>29</v>
      </c>
      <c r="E183" s="93">
        <v>27</v>
      </c>
      <c r="F183" s="93">
        <v>29</v>
      </c>
      <c r="G183" s="93">
        <v>21</v>
      </c>
      <c r="H183" s="93">
        <v>23</v>
      </c>
      <c r="I183" s="93">
        <v>41</v>
      </c>
      <c r="J183" s="92">
        <v>213</v>
      </c>
      <c r="K183" s="62"/>
    </row>
    <row r="184" spans="2:11" customFormat="1" ht="15" customHeight="1">
      <c r="B184" s="94">
        <v>2009</v>
      </c>
      <c r="C184" s="93">
        <v>34</v>
      </c>
      <c r="D184" s="93">
        <v>43</v>
      </c>
      <c r="E184" s="93">
        <v>27</v>
      </c>
      <c r="F184" s="93">
        <v>25</v>
      </c>
      <c r="G184" s="93">
        <v>28</v>
      </c>
      <c r="H184" s="93">
        <v>21</v>
      </c>
      <c r="I184" s="93">
        <v>22</v>
      </c>
      <c r="J184" s="94">
        <v>200</v>
      </c>
      <c r="K184" s="62"/>
    </row>
    <row r="185" spans="2:11" customFormat="1" ht="15" customHeight="1">
      <c r="B185" s="94">
        <v>2010</v>
      </c>
      <c r="C185" s="93">
        <v>43</v>
      </c>
      <c r="D185" s="93">
        <v>33</v>
      </c>
      <c r="E185" s="93">
        <v>44</v>
      </c>
      <c r="F185" s="93">
        <v>27</v>
      </c>
      <c r="G185" s="93">
        <v>23</v>
      </c>
      <c r="H185" s="93">
        <v>30</v>
      </c>
      <c r="I185" s="93">
        <v>19</v>
      </c>
      <c r="J185" s="92">
        <v>219</v>
      </c>
      <c r="K185" s="62"/>
    </row>
    <row r="186" spans="2:11" customFormat="1" ht="15" customHeight="1">
      <c r="B186" s="94">
        <v>2011</v>
      </c>
      <c r="C186" s="93">
        <v>61</v>
      </c>
      <c r="D186" s="93">
        <v>42</v>
      </c>
      <c r="E186" s="93">
        <v>29</v>
      </c>
      <c r="F186" s="93">
        <v>40</v>
      </c>
      <c r="G186" s="93">
        <v>27</v>
      </c>
      <c r="H186" s="93">
        <v>24</v>
      </c>
      <c r="I186" s="93">
        <v>28</v>
      </c>
      <c r="J186" s="92">
        <v>251</v>
      </c>
      <c r="K186" s="62"/>
    </row>
    <row r="187" spans="2:11" customFormat="1" ht="15" customHeight="1">
      <c r="B187" s="94">
        <v>2012</v>
      </c>
      <c r="C187" s="93">
        <v>58</v>
      </c>
      <c r="D187" s="93">
        <v>58</v>
      </c>
      <c r="E187" s="93">
        <v>38</v>
      </c>
      <c r="F187" s="93">
        <v>28</v>
      </c>
      <c r="G187" s="93">
        <v>40</v>
      </c>
      <c r="H187" s="93">
        <v>27</v>
      </c>
      <c r="I187" s="93">
        <v>24</v>
      </c>
      <c r="J187" s="92">
        <v>273</v>
      </c>
      <c r="K187" s="62"/>
    </row>
    <row r="188" spans="2:11" customFormat="1" ht="15" customHeight="1">
      <c r="B188" s="94">
        <v>2013</v>
      </c>
      <c r="C188" s="93">
        <v>58</v>
      </c>
      <c r="D188" s="93">
        <v>49</v>
      </c>
      <c r="E188" s="93">
        <v>46</v>
      </c>
      <c r="F188" s="93">
        <v>39</v>
      </c>
      <c r="G188" s="93">
        <v>27</v>
      </c>
      <c r="H188" s="93">
        <v>37</v>
      </c>
      <c r="I188" s="93">
        <v>26</v>
      </c>
      <c r="J188" s="94">
        <v>282</v>
      </c>
      <c r="K188" s="62"/>
    </row>
    <row r="189" spans="2:11" customFormat="1" ht="15" customHeight="1">
      <c r="B189" s="94">
        <v>2014</v>
      </c>
      <c r="C189" s="93">
        <v>46</v>
      </c>
      <c r="D189" s="93">
        <v>54</v>
      </c>
      <c r="E189" s="93">
        <v>45</v>
      </c>
      <c r="F189" s="93">
        <v>42</v>
      </c>
      <c r="G189" s="93">
        <v>32</v>
      </c>
      <c r="H189" s="93">
        <v>29</v>
      </c>
      <c r="I189" s="93">
        <v>34</v>
      </c>
      <c r="J189" s="92">
        <v>282</v>
      </c>
      <c r="K189" s="65"/>
    </row>
    <row r="190" spans="2:11" customFormat="1" ht="15" customHeight="1">
      <c r="B190" s="94">
        <v>2015</v>
      </c>
      <c r="C190" s="93">
        <v>57</v>
      </c>
      <c r="D190" s="93">
        <v>43</v>
      </c>
      <c r="E190" s="93">
        <v>51</v>
      </c>
      <c r="F190" s="93">
        <v>39</v>
      </c>
      <c r="G190" s="93">
        <v>43</v>
      </c>
      <c r="H190" s="93">
        <v>31</v>
      </c>
      <c r="I190" s="93">
        <v>27</v>
      </c>
      <c r="J190" s="92">
        <v>291</v>
      </c>
      <c r="K190" s="65"/>
    </row>
    <row r="191" spans="2:11" customFormat="1" ht="15" customHeight="1">
      <c r="B191" s="94">
        <v>2016</v>
      </c>
      <c r="C191" s="93">
        <v>48</v>
      </c>
      <c r="D191" s="93">
        <v>54</v>
      </c>
      <c r="E191" s="93">
        <v>39</v>
      </c>
      <c r="F191" s="93">
        <v>50</v>
      </c>
      <c r="G191" s="93">
        <v>37</v>
      </c>
      <c r="H191" s="93">
        <v>40</v>
      </c>
      <c r="I191" s="93">
        <v>29</v>
      </c>
      <c r="J191" s="92">
        <v>297</v>
      </c>
      <c r="K191" s="65"/>
    </row>
    <row r="192" spans="2:11" ht="15" customHeight="1">
      <c r="B192" s="94">
        <v>2017</v>
      </c>
      <c r="C192" s="93">
        <f>VLOOKUP($E$3,Rolls!A1:FA90,42,FALSE)</f>
        <v>55</v>
      </c>
      <c r="D192" s="93">
        <f>VLOOKUP($E$3,Rolls!A1:FA90,43,FALSE)</f>
        <v>50</v>
      </c>
      <c r="E192" s="93">
        <f>VLOOKUP($E$3,Rolls!A1:FA90,44,FALSE)</f>
        <v>51</v>
      </c>
      <c r="F192" s="93">
        <f>VLOOKUP($E$3,Rolls!A1:FA90,45,FALSE)</f>
        <v>37</v>
      </c>
      <c r="G192" s="93">
        <f>VLOOKUP($E$3,Rolls!A1:FA90,46,FALSE)</f>
        <v>48</v>
      </c>
      <c r="H192" s="93">
        <f>VLOOKUP($E$3,Rolls!A1:FA90,47,FALSE)</f>
        <v>37</v>
      </c>
      <c r="I192" s="93">
        <f>VLOOKUP($E$3,Rolls!A1:FA90,48,FALSE)</f>
        <v>41</v>
      </c>
      <c r="J192" s="92">
        <f>VLOOKUP($E$3,Rolls!A1:FA90,49,FALSE)</f>
        <v>319</v>
      </c>
      <c r="K192" s="65"/>
    </row>
    <row r="193" spans="2:11" ht="15" customHeight="1">
      <c r="B193" s="94">
        <v>2018</v>
      </c>
      <c r="C193" s="93">
        <f>VLOOKUP($E$3,Rolls!A1:FA90,50,FALSE)</f>
        <v>47</v>
      </c>
      <c r="D193" s="93">
        <f>VLOOKUP($E$3,Rolls!A1:FA90,51,FALSE)</f>
        <v>54</v>
      </c>
      <c r="E193" s="93">
        <f>VLOOKUP($E$3,Rolls!A1:FA90,52,FALSE)</f>
        <v>53</v>
      </c>
      <c r="F193" s="93">
        <f>VLOOKUP($E$3,Rolls!A1:FA90,53,FALSE)</f>
        <v>55</v>
      </c>
      <c r="G193" s="93">
        <f>VLOOKUP($E$3,Rolls!A1:FA90,54,FALSE)</f>
        <v>33</v>
      </c>
      <c r="H193" s="93">
        <f>VLOOKUP($E$3,Rolls!A1:FA90,55,FALSE)</f>
        <v>45</v>
      </c>
      <c r="I193" s="93">
        <f>VLOOKUP($E$3,Rolls!A1:FA90,56,FALSE)</f>
        <v>36</v>
      </c>
      <c r="J193" s="92">
        <f>VLOOKUP($E$3,Rolls!A1:FA90,57,FALSE)</f>
        <v>323</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Q193"/>
  <sheetViews>
    <sheetView topLeftCell="B4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41</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James Gillespie's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630 Pupils (21 classes)</v>
      </c>
      <c r="G12" s="16"/>
      <c r="H12" s="16"/>
    </row>
    <row r="13" spans="2:10" ht="15" customHeight="1">
      <c r="C13" s="16"/>
      <c r="D13" s="16"/>
      <c r="E13" s="16"/>
      <c r="F13" s="16"/>
      <c r="G13" s="16"/>
      <c r="H13" s="16"/>
    </row>
    <row r="14" spans="2:10" ht="15" customHeight="1">
      <c r="B14" s="15" t="str">
        <f>"Figure 1: "&amp;E3&amp;" Roll, 2002-2015"</f>
        <v>Figure 1: James Gillespie's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James Gillespie's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92</v>
      </c>
      <c r="E49" s="108">
        <f>VLOOKUP($E$3,'Catchment Projections'!$A$1:$BU$90,46,FALSE)</f>
        <v>89</v>
      </c>
      <c r="F49" s="108">
        <f>VLOOKUP($E$3,'Catchment Projections'!$A$1:$BU$90,47,FALSE)</f>
        <v>58</v>
      </c>
      <c r="G49" s="108">
        <f>VLOOKUP($E$3,'Catchment Projections'!$A$1:$BU$90,48,FALSE)</f>
        <v>62</v>
      </c>
      <c r="H49" s="133">
        <f>VLOOKUP($E$3,'Catchment Projections'!$A$1:$BU$90,49,FALSE)</f>
        <v>71</v>
      </c>
      <c r="I49" s="133">
        <f>VLOOKUP($E$3,'Catchment Projections'!$A$1:$BU$90,50,FALSE)</f>
        <v>72</v>
      </c>
      <c r="J49" s="133">
        <f>VLOOKUP($E$3,'Catchment Projections'!$A$1:$BU$90,51,FALSE)</f>
        <v>73</v>
      </c>
      <c r="K49" s="133">
        <f>VLOOKUP($E$3,'Catchment Projections'!$A$1:$BU$90,52,FALSE)</f>
        <v>74</v>
      </c>
      <c r="L49" s="133">
        <f>VLOOKUP($E$3,'Catchment Projections'!$A$1:$BU$90,53,FALSE)</f>
        <v>74</v>
      </c>
      <c r="M49" s="133">
        <f>VLOOKUP($E$3,'Catchment Projections'!$A$1:$BU$90,54,FALSE)</f>
        <v>74</v>
      </c>
      <c r="N49" s="133">
        <f>VLOOKUP($E$3,'Catchment Projections'!$A$1:$BU$90,55,FALSE)</f>
        <v>74</v>
      </c>
      <c r="O49" s="133">
        <f>VLOOKUP($E$3,'Catchment Projections'!$A$1:$BU$90,56,FALSE)</f>
        <v>74</v>
      </c>
      <c r="P49" s="133">
        <f>VLOOKUP($E$3,'Catchment Projections'!$A$1:$BU$90,57,FALSE)</f>
        <v>74</v>
      </c>
      <c r="Q49" s="133">
        <f>VLOOKUP($E$3,'Catchment Projections'!$A$1:$BU$90,58,FALSE)</f>
        <v>74</v>
      </c>
    </row>
    <row r="50" spans="2:17" ht="15" customHeight="1" thickBot="1">
      <c r="B50" s="410" t="s">
        <v>141</v>
      </c>
      <c r="C50" s="411"/>
      <c r="D50" s="286">
        <f>VLOOKUP(E3,'Housing Generation'!$A$3:$DQ$90,10,FALSE)</f>
        <v>0</v>
      </c>
      <c r="E50" s="286">
        <f>VLOOKUP(E3,'Housing Generation'!$A$3:$DQ$90,18,FALSE)</f>
        <v>0</v>
      </c>
      <c r="F50" s="286">
        <f>VLOOKUP(E3,'Housing Generation'!$A$3:$DQ$90,26,FALSE)</f>
        <v>0</v>
      </c>
      <c r="G50" s="243">
        <f>VLOOKUP(E3,'Housing Generation'!$A$3:$DQ$90,34,FALSE)</f>
        <v>0</v>
      </c>
      <c r="H50" s="133">
        <f>VLOOKUP(E3,'Housing Generation'!$A$3:$DQ$90,42,FALSE)</f>
        <v>0</v>
      </c>
      <c r="I50" s="133">
        <f>VLOOKUP(E3,'Housing Generation'!$A$3:$DQ$90,50,FALSE)</f>
        <v>2</v>
      </c>
      <c r="J50" s="133">
        <f>VLOOKUP(E3,'Housing Generation'!$A$3:$CK$90,58,FALSE)</f>
        <v>4</v>
      </c>
      <c r="K50" s="133">
        <f>VLOOKUP(E3,'Housing Generation'!$A$3:$CK$90,66,FALSE)</f>
        <v>5</v>
      </c>
      <c r="L50" s="133">
        <f>VLOOKUP(E3,'Housing Generation'!$A$3:$DQ$90,74,FALSE)</f>
        <v>7</v>
      </c>
      <c r="M50" s="133">
        <f>VLOOKUP(E3,'Housing Generation'!$A$3:$DQ$90,82,FALSE)</f>
        <v>8</v>
      </c>
      <c r="N50" s="133">
        <f>VLOOKUP(E3,'Housing Generation'!$A$3:$DQ$90,90,FALSE)</f>
        <v>8</v>
      </c>
      <c r="O50" s="133">
        <f>VLOOKUP(E3,'Housing Generation'!$A$3:$DQ$90,98,FALSE)</f>
        <v>9</v>
      </c>
      <c r="P50" s="133">
        <f>VLOOKUP(E3,'Housing Generation'!$A$3:$DQ$90,106,FALSE)</f>
        <v>9</v>
      </c>
      <c r="Q50" s="133">
        <f>VLOOKUP(E3,'Housing Generation'!$A$3:$DQ$90,114,FALSE)</f>
        <v>9</v>
      </c>
    </row>
    <row r="51" spans="2:17" ht="15" customHeight="1" thickTop="1">
      <c r="B51" s="421" t="s">
        <v>130</v>
      </c>
      <c r="C51" s="422"/>
      <c r="D51" s="47">
        <f t="shared" ref="D51:Q51" si="0">SUM(D49:D50)</f>
        <v>92</v>
      </c>
      <c r="E51" s="47">
        <f t="shared" si="0"/>
        <v>89</v>
      </c>
      <c r="F51" s="80">
        <f t="shared" si="0"/>
        <v>58</v>
      </c>
      <c r="G51" s="244">
        <f t="shared" si="0"/>
        <v>62</v>
      </c>
      <c r="H51" s="71">
        <f t="shared" si="0"/>
        <v>71</v>
      </c>
      <c r="I51" s="71">
        <f t="shared" si="0"/>
        <v>74</v>
      </c>
      <c r="J51" s="71">
        <f t="shared" si="0"/>
        <v>77</v>
      </c>
      <c r="K51" s="71">
        <f t="shared" si="0"/>
        <v>79</v>
      </c>
      <c r="L51" s="71">
        <f t="shared" si="0"/>
        <v>81</v>
      </c>
      <c r="M51" s="71">
        <f t="shared" si="0"/>
        <v>82</v>
      </c>
      <c r="N51" s="71">
        <f t="shared" si="0"/>
        <v>82</v>
      </c>
      <c r="O51" s="71">
        <f t="shared" si="0"/>
        <v>83</v>
      </c>
      <c r="P51" s="71">
        <f t="shared" si="0"/>
        <v>83</v>
      </c>
      <c r="Q51" s="71">
        <f t="shared" si="0"/>
        <v>83</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85</v>
      </c>
      <c r="D60" s="358">
        <f>VLOOKUP($E$3,'Catchment Projections'!$A$1:$BZ$90,74,FALSE)</f>
        <v>79</v>
      </c>
      <c r="E60" s="303">
        <f>D60/C60</f>
        <v>0.92941176470588238</v>
      </c>
      <c r="G60" s="132">
        <v>2014</v>
      </c>
      <c r="H60" s="395">
        <f>VLOOKUP($G$60,$B$177:$C$215, 2, FALSE)</f>
        <v>85</v>
      </c>
      <c r="I60" s="120">
        <f>H60-D60</f>
        <v>6</v>
      </c>
      <c r="J60" s="121">
        <f>I60/H60</f>
        <v>7.0588235294117646E-2</v>
      </c>
    </row>
    <row r="61" spans="2:17" ht="15" customHeight="1">
      <c r="B61" s="132">
        <v>2015</v>
      </c>
      <c r="C61" s="359">
        <f>VLOOKUP($E$3,'Catchment Projections'!$A$1:$BZ$90,41,FALSE)</f>
        <v>93</v>
      </c>
      <c r="D61" s="358">
        <f>VLOOKUP($E$3,'Catchment Projections'!$A$1:$BZ$90,75,FALSE)</f>
        <v>84</v>
      </c>
      <c r="E61" s="303">
        <f>D61/C61</f>
        <v>0.90322580645161288</v>
      </c>
      <c r="G61" s="132">
        <v>2015</v>
      </c>
      <c r="H61" s="395">
        <f>VLOOKUP($G$61,$B$177:$C$215, 2, FALSE)</f>
        <v>88</v>
      </c>
      <c r="I61" s="120">
        <f>H61-D61</f>
        <v>4</v>
      </c>
      <c r="J61" s="121">
        <f>I61/H61</f>
        <v>4.5454545454545456E-2</v>
      </c>
    </row>
    <row r="62" spans="2:17" ht="15" customHeight="1">
      <c r="B62" s="131">
        <v>2016</v>
      </c>
      <c r="C62" s="359">
        <f>VLOOKUP($E$3,'Catchment Projections'!$A$1:$BZ$90,42,FALSE)</f>
        <v>70</v>
      </c>
      <c r="D62" s="358">
        <f>VLOOKUP($E$3,'Catchment Projections'!$A$1:$BZ$90,76,FALSE)</f>
        <v>67</v>
      </c>
      <c r="E62" s="57">
        <f>D62/C62</f>
        <v>0.95714285714285718</v>
      </c>
      <c r="G62" s="131">
        <v>2016</v>
      </c>
      <c r="H62" s="395">
        <f>VLOOKUP($G$62,$B$177:$C$215, 2, FALSE)</f>
        <v>81</v>
      </c>
      <c r="I62" s="120">
        <f>H62-D62</f>
        <v>14</v>
      </c>
      <c r="J62" s="121">
        <f>I62/H62</f>
        <v>0.1728395061728395</v>
      </c>
    </row>
    <row r="63" spans="2:17" ht="15" customHeight="1">
      <c r="B63" s="114">
        <v>2017</v>
      </c>
      <c r="C63" s="359">
        <f>VLOOKUP($E$3,'Catchment Projections'!$A$1:$BZ$90,43,FALSE)</f>
        <v>89</v>
      </c>
      <c r="D63" s="358">
        <f>VLOOKUP($E$3,'Catchment Projections'!$A$1:$BZ$90,77,FALSE)</f>
        <v>83</v>
      </c>
      <c r="E63" s="304">
        <f>D63/C63</f>
        <v>0.93258426966292129</v>
      </c>
      <c r="G63" s="114">
        <v>2017</v>
      </c>
      <c r="H63" s="395">
        <f>VLOOKUP($G$63,$B$177:$C$215, 2, FALSE)</f>
        <v>86</v>
      </c>
      <c r="I63" s="120">
        <f>H63-D63</f>
        <v>3</v>
      </c>
      <c r="J63" s="121">
        <f>I63/H63</f>
        <v>3.4883720930232558E-2</v>
      </c>
    </row>
    <row r="64" spans="2:17" ht="15" customHeight="1">
      <c r="B64" s="114">
        <v>2018</v>
      </c>
      <c r="C64" s="359">
        <f>VLOOKUP($E$3,'Catchment Projections'!$A$1:$BZ$90,44,FALSE)</f>
        <v>86</v>
      </c>
      <c r="D64" s="358">
        <f>VLOOKUP($E$3,'Catchment Projections'!$A$1:$BZ$90,78,FALSE)</f>
        <v>84</v>
      </c>
      <c r="E64" s="305">
        <f>D64/C64</f>
        <v>0.97674418604651159</v>
      </c>
      <c r="G64" s="114">
        <v>2018</v>
      </c>
      <c r="H64" s="395">
        <f>VLOOKUP($G$64,$B$177:$C$215, 2, FALSE)</f>
        <v>88</v>
      </c>
      <c r="I64" s="120">
        <f>H64-D64</f>
        <v>4</v>
      </c>
      <c r="J64" s="121">
        <f>I64/H64</f>
        <v>4.5454545454545456E-2</v>
      </c>
    </row>
    <row r="65" spans="2:10" ht="15" customHeight="1">
      <c r="B65" s="412" t="s">
        <v>136</v>
      </c>
      <c r="C65" s="413"/>
      <c r="D65" s="414"/>
      <c r="E65" s="137">
        <f>IF((AVERAGE(E62:E64))="#DIV/0!","n/a",(AVERAGE(E62:E64)))</f>
        <v>0.95549043761743002</v>
      </c>
      <c r="G65" s="415" t="s">
        <v>137</v>
      </c>
      <c r="H65" s="416"/>
      <c r="I65" s="138">
        <f>MEDIAN(I60:I64)</f>
        <v>4</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92</v>
      </c>
      <c r="D70" s="408"/>
      <c r="E70" s="122">
        <f>E65</f>
        <v>0.95549043761743002</v>
      </c>
      <c r="F70" s="120">
        <f t="shared" ref="F70:F83" si="1">C70*$E$65</f>
        <v>87.905120260803557</v>
      </c>
      <c r="G70" s="118">
        <f>IF(F70&lt;26,25,IF(F70&gt;135,140,IF(F70&gt;130,135,IF(F70&gt;125,130,IF(F70&gt;120,125,IF(F70&gt;115,120,IF(F70&gt;110,115,IF(F70&gt;105,110,IF(F70&gt;100,105,IF(F70&gt;99,100,IF(F70&gt;90,99,IF(F70&gt;75,90,IF(F70&gt;72,75,IF(F70&gt;66,72,IF(F70&gt;60,66,IF(F70&gt;50,60,IF(F70&gt;30,50,IF(F70&gt;25,30,0))))))))))))))))))</f>
        <v>90</v>
      </c>
      <c r="H70" s="119">
        <f t="shared" ref="H70:H83" si="2">G70-F70</f>
        <v>2.0948797391964433</v>
      </c>
      <c r="I70" s="118" t="str">
        <f>IF(I$65&lt;H70, "NO", "YES")</f>
        <v>YES</v>
      </c>
      <c r="J70" s="117">
        <f t="shared" ref="J70:J83" si="3">IF(I70="YES",G70,(MIN((SUM(F70,$I$65)),G70)))</f>
        <v>90</v>
      </c>
    </row>
    <row r="71" spans="2:10" ht="15" customHeight="1">
      <c r="B71" s="114">
        <v>2020</v>
      </c>
      <c r="C71" s="433">
        <f>E51</f>
        <v>89</v>
      </c>
      <c r="D71" s="408"/>
      <c r="E71" s="121">
        <f>E65</f>
        <v>0.95549043761743002</v>
      </c>
      <c r="F71" s="120">
        <f t="shared" si="1"/>
        <v>85.038648947951273</v>
      </c>
      <c r="G71" s="118">
        <f t="shared" ref="G71:G83" si="4">IF(F71&lt;26,25,IF(F71&gt;135,140,IF(F71&gt;130,135,IF(F71&gt;125,130,IF(F71&gt;120,125,IF(F71&gt;115,120,IF(F71&gt;110,115,IF(F71&gt;105,110,IF(F71&gt;100,105,IF(F71&gt;99,100,IF(F71&gt;90,99,IF(F71&gt;75,90,IF(F71&gt;72,75,IF(F71&gt;66,72,IF(F71&gt;60,66,IF(F71&gt;50,60,IF(F71&gt;30,50,IF(F71&gt;25,30,0))))))))))))))))))</f>
        <v>90</v>
      </c>
      <c r="H71" s="119">
        <f t="shared" si="2"/>
        <v>4.9613510520487267</v>
      </c>
      <c r="I71" s="118" t="str">
        <f t="shared" ref="I71:I83" si="5">IF(I$65&lt;H71, "NO", "YES")</f>
        <v>NO</v>
      </c>
      <c r="J71" s="117">
        <f t="shared" si="3"/>
        <v>89.038648947951273</v>
      </c>
    </row>
    <row r="72" spans="2:10" ht="15" customHeight="1">
      <c r="B72" s="114">
        <v>2021</v>
      </c>
      <c r="C72" s="430">
        <f>F51</f>
        <v>58</v>
      </c>
      <c r="D72" s="431"/>
      <c r="E72" s="121">
        <f>E65</f>
        <v>0.95549043761743002</v>
      </c>
      <c r="F72" s="120">
        <f t="shared" si="1"/>
        <v>55.41844538181094</v>
      </c>
      <c r="G72" s="118">
        <f t="shared" si="4"/>
        <v>60</v>
      </c>
      <c r="H72" s="119">
        <f t="shared" si="2"/>
        <v>4.5815546181890596</v>
      </c>
      <c r="I72" s="118" t="str">
        <f t="shared" si="5"/>
        <v>NO</v>
      </c>
      <c r="J72" s="117">
        <f t="shared" si="3"/>
        <v>59.41844538181094</v>
      </c>
    </row>
    <row r="73" spans="2:10" ht="15" customHeight="1">
      <c r="B73" s="114">
        <v>2022</v>
      </c>
      <c r="C73" s="430">
        <f>G51</f>
        <v>62</v>
      </c>
      <c r="D73" s="431"/>
      <c r="E73" s="121">
        <f>E65</f>
        <v>0.95549043761743002</v>
      </c>
      <c r="F73" s="120">
        <f t="shared" si="1"/>
        <v>59.240407132280659</v>
      </c>
      <c r="G73" s="118">
        <f t="shared" si="4"/>
        <v>60</v>
      </c>
      <c r="H73" s="119">
        <f t="shared" si="2"/>
        <v>0.75959286771934131</v>
      </c>
      <c r="I73" s="118" t="str">
        <f t="shared" si="5"/>
        <v>YES</v>
      </c>
      <c r="J73" s="117">
        <f t="shared" si="3"/>
        <v>60</v>
      </c>
    </row>
    <row r="74" spans="2:10" ht="15" customHeight="1">
      <c r="B74" s="114">
        <v>2023</v>
      </c>
      <c r="C74" s="430">
        <f>H51</f>
        <v>71</v>
      </c>
      <c r="D74" s="431"/>
      <c r="E74" s="121">
        <f>E65</f>
        <v>0.95549043761743002</v>
      </c>
      <c r="F74" s="120">
        <f t="shared" si="1"/>
        <v>67.83982107083753</v>
      </c>
      <c r="G74" s="118">
        <f t="shared" si="4"/>
        <v>72</v>
      </c>
      <c r="H74" s="119">
        <f t="shared" si="2"/>
        <v>4.1601789291624698</v>
      </c>
      <c r="I74" s="118" t="str">
        <f t="shared" si="5"/>
        <v>NO</v>
      </c>
      <c r="J74" s="117">
        <f t="shared" si="3"/>
        <v>71.83982107083753</v>
      </c>
    </row>
    <row r="75" spans="2:10" ht="15" customHeight="1">
      <c r="B75" s="114">
        <v>2024</v>
      </c>
      <c r="C75" s="430">
        <f>I51</f>
        <v>74</v>
      </c>
      <c r="D75" s="431"/>
      <c r="E75" s="121">
        <f>E65</f>
        <v>0.95549043761743002</v>
      </c>
      <c r="F75" s="120">
        <f t="shared" si="1"/>
        <v>70.706292383689828</v>
      </c>
      <c r="G75" s="118">
        <f t="shared" si="4"/>
        <v>72</v>
      </c>
      <c r="H75" s="119">
        <f t="shared" si="2"/>
        <v>1.2937076163101722</v>
      </c>
      <c r="I75" s="118" t="str">
        <f t="shared" si="5"/>
        <v>YES</v>
      </c>
      <c r="J75" s="117">
        <f t="shared" si="3"/>
        <v>72</v>
      </c>
    </row>
    <row r="76" spans="2:10" ht="15" customHeight="1">
      <c r="B76" s="114">
        <v>2025</v>
      </c>
      <c r="C76" s="430">
        <f>J51</f>
        <v>77</v>
      </c>
      <c r="D76" s="431"/>
      <c r="E76" s="121">
        <f>E65</f>
        <v>0.95549043761743002</v>
      </c>
      <c r="F76" s="120">
        <f t="shared" si="1"/>
        <v>73.572763696542111</v>
      </c>
      <c r="G76" s="118">
        <f t="shared" si="4"/>
        <v>75</v>
      </c>
      <c r="H76" s="119">
        <f t="shared" si="2"/>
        <v>1.4272363034578888</v>
      </c>
      <c r="I76" s="118" t="str">
        <f t="shared" si="5"/>
        <v>YES</v>
      </c>
      <c r="J76" s="117">
        <f t="shared" si="3"/>
        <v>75</v>
      </c>
    </row>
    <row r="77" spans="2:10" ht="15" customHeight="1">
      <c r="B77" s="114">
        <v>2026</v>
      </c>
      <c r="C77" s="430">
        <f>K51</f>
        <v>79</v>
      </c>
      <c r="D77" s="431"/>
      <c r="E77" s="121">
        <f>E65</f>
        <v>0.95549043761743002</v>
      </c>
      <c r="F77" s="120">
        <f t="shared" si="1"/>
        <v>75.483744571776967</v>
      </c>
      <c r="G77" s="118">
        <f t="shared" si="4"/>
        <v>90</v>
      </c>
      <c r="H77" s="119">
        <f t="shared" si="2"/>
        <v>14.516255428223033</v>
      </c>
      <c r="I77" s="118" t="str">
        <f t="shared" si="5"/>
        <v>NO</v>
      </c>
      <c r="J77" s="117">
        <f t="shared" si="3"/>
        <v>79.483744571776967</v>
      </c>
    </row>
    <row r="78" spans="2:10" ht="15" customHeight="1">
      <c r="B78" s="114">
        <v>2027</v>
      </c>
      <c r="C78" s="430">
        <f>L51</f>
        <v>81</v>
      </c>
      <c r="D78" s="431"/>
      <c r="E78" s="121">
        <f>E65</f>
        <v>0.95549043761743002</v>
      </c>
      <c r="F78" s="120">
        <f t="shared" si="1"/>
        <v>77.394725447011837</v>
      </c>
      <c r="G78" s="118">
        <f t="shared" si="4"/>
        <v>90</v>
      </c>
      <c r="H78" s="119">
        <f t="shared" si="2"/>
        <v>12.605274552988163</v>
      </c>
      <c r="I78" s="118" t="str">
        <f t="shared" si="5"/>
        <v>NO</v>
      </c>
      <c r="J78" s="117">
        <f t="shared" si="3"/>
        <v>81.394725447011837</v>
      </c>
    </row>
    <row r="79" spans="2:10" ht="15" customHeight="1">
      <c r="B79" s="114">
        <v>2028</v>
      </c>
      <c r="C79" s="430">
        <f>M51</f>
        <v>82</v>
      </c>
      <c r="D79" s="431"/>
      <c r="E79" s="121">
        <f t="shared" ref="E79:E83" si="6">$E$65</f>
        <v>0.95549043761743002</v>
      </c>
      <c r="F79" s="120">
        <f t="shared" si="1"/>
        <v>78.350215884629264</v>
      </c>
      <c r="G79" s="118">
        <f t="shared" si="4"/>
        <v>90</v>
      </c>
      <c r="H79" s="119">
        <f t="shared" si="2"/>
        <v>11.649784115370736</v>
      </c>
      <c r="I79" s="118" t="str">
        <f t="shared" si="5"/>
        <v>NO</v>
      </c>
      <c r="J79" s="117">
        <f t="shared" si="3"/>
        <v>82.350215884629264</v>
      </c>
    </row>
    <row r="80" spans="2:10" ht="15" customHeight="1">
      <c r="B80" s="114">
        <v>2029</v>
      </c>
      <c r="C80" s="430">
        <f>N51</f>
        <v>82</v>
      </c>
      <c r="D80" s="431"/>
      <c r="E80" s="121">
        <f t="shared" si="6"/>
        <v>0.95549043761743002</v>
      </c>
      <c r="F80" s="120">
        <f t="shared" si="1"/>
        <v>78.350215884629264</v>
      </c>
      <c r="G80" s="118">
        <f t="shared" si="4"/>
        <v>90</v>
      </c>
      <c r="H80" s="119">
        <f t="shared" si="2"/>
        <v>11.649784115370736</v>
      </c>
      <c r="I80" s="118" t="str">
        <f t="shared" si="5"/>
        <v>NO</v>
      </c>
      <c r="J80" s="117">
        <f t="shared" si="3"/>
        <v>82.350215884629264</v>
      </c>
    </row>
    <row r="81" spans="2:10" ht="15" customHeight="1">
      <c r="B81" s="114">
        <v>2030</v>
      </c>
      <c r="C81" s="430">
        <f>O51</f>
        <v>83</v>
      </c>
      <c r="D81" s="431"/>
      <c r="E81" s="121">
        <f t="shared" si="6"/>
        <v>0.95549043761743002</v>
      </c>
      <c r="F81" s="120">
        <f t="shared" si="1"/>
        <v>79.305706322246692</v>
      </c>
      <c r="G81" s="118">
        <f t="shared" si="4"/>
        <v>90</v>
      </c>
      <c r="H81" s="119">
        <f t="shared" si="2"/>
        <v>10.694293677753308</v>
      </c>
      <c r="I81" s="118" t="str">
        <f t="shared" si="5"/>
        <v>NO</v>
      </c>
      <c r="J81" s="117">
        <f t="shared" si="3"/>
        <v>83.305706322246692</v>
      </c>
    </row>
    <row r="82" spans="2:10" ht="15" customHeight="1">
      <c r="B82" s="114">
        <v>2031</v>
      </c>
      <c r="C82" s="430">
        <f>P51</f>
        <v>83</v>
      </c>
      <c r="D82" s="431"/>
      <c r="E82" s="121">
        <f t="shared" si="6"/>
        <v>0.95549043761743002</v>
      </c>
      <c r="F82" s="120">
        <f t="shared" si="1"/>
        <v>79.305706322246692</v>
      </c>
      <c r="G82" s="118">
        <f t="shared" si="4"/>
        <v>90</v>
      </c>
      <c r="H82" s="119">
        <f t="shared" si="2"/>
        <v>10.694293677753308</v>
      </c>
      <c r="I82" s="118" t="str">
        <f t="shared" si="5"/>
        <v>NO</v>
      </c>
      <c r="J82" s="117">
        <f t="shared" si="3"/>
        <v>83.305706322246692</v>
      </c>
    </row>
    <row r="83" spans="2:10" ht="15" customHeight="1">
      <c r="B83" s="114">
        <v>2032</v>
      </c>
      <c r="C83" s="430">
        <f>Q51</f>
        <v>83</v>
      </c>
      <c r="D83" s="431"/>
      <c r="E83" s="121">
        <f t="shared" si="6"/>
        <v>0.95549043761743002</v>
      </c>
      <c r="F83" s="120">
        <f t="shared" si="1"/>
        <v>79.305706322246692</v>
      </c>
      <c r="G83" s="118">
        <f t="shared" si="4"/>
        <v>90</v>
      </c>
      <c r="H83" s="119">
        <f t="shared" si="2"/>
        <v>10.694293677753308</v>
      </c>
      <c r="I83" s="118" t="str">
        <f t="shared" si="5"/>
        <v>NO</v>
      </c>
      <c r="J83" s="117">
        <f t="shared" si="3"/>
        <v>83.305706322246692</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James Gillespie's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75</v>
      </c>
      <c r="D91" s="112">
        <f t="shared" ref="D91:J91" si="7">D188</f>
        <v>61</v>
      </c>
      <c r="E91" s="112">
        <f t="shared" si="7"/>
        <v>58</v>
      </c>
      <c r="F91" s="112">
        <f t="shared" si="7"/>
        <v>59</v>
      </c>
      <c r="G91" s="112">
        <f t="shared" si="7"/>
        <v>60</v>
      </c>
      <c r="H91" s="112">
        <f t="shared" si="7"/>
        <v>49</v>
      </c>
      <c r="I91" s="112">
        <f t="shared" si="7"/>
        <v>57</v>
      </c>
      <c r="J91" s="213">
        <f t="shared" si="7"/>
        <v>419</v>
      </c>
    </row>
    <row r="92" spans="2:10" ht="15" customHeight="1">
      <c r="B92" s="114">
        <v>2014</v>
      </c>
      <c r="C92" s="112">
        <f>C189</f>
        <v>85</v>
      </c>
      <c r="D92" s="112">
        <f t="shared" ref="D92:J92" si="8">D189</f>
        <v>83</v>
      </c>
      <c r="E92" s="112">
        <f t="shared" si="8"/>
        <v>60</v>
      </c>
      <c r="F92" s="112">
        <f t="shared" si="8"/>
        <v>60</v>
      </c>
      <c r="G92" s="112">
        <f t="shared" si="8"/>
        <v>55</v>
      </c>
      <c r="H92" s="112">
        <f t="shared" si="8"/>
        <v>59</v>
      </c>
      <c r="I92" s="112">
        <f t="shared" si="8"/>
        <v>49</v>
      </c>
      <c r="J92" s="213">
        <f t="shared" si="8"/>
        <v>451</v>
      </c>
    </row>
    <row r="93" spans="2:10" ht="15" customHeight="1">
      <c r="B93" s="114">
        <v>2015</v>
      </c>
      <c r="C93" s="112">
        <f>C190</f>
        <v>88</v>
      </c>
      <c r="D93" s="112">
        <f t="shared" ref="D93:J93" si="9">D190</f>
        <v>85</v>
      </c>
      <c r="E93" s="112">
        <f t="shared" si="9"/>
        <v>87</v>
      </c>
      <c r="F93" s="112">
        <f t="shared" si="9"/>
        <v>59</v>
      </c>
      <c r="G93" s="112">
        <f t="shared" si="9"/>
        <v>60</v>
      </c>
      <c r="H93" s="112">
        <f t="shared" si="9"/>
        <v>57</v>
      </c>
      <c r="I93" s="112">
        <f t="shared" si="9"/>
        <v>59</v>
      </c>
      <c r="J93" s="213">
        <f t="shared" si="9"/>
        <v>495</v>
      </c>
    </row>
    <row r="94" spans="2:10" ht="15" customHeight="1">
      <c r="B94" s="114">
        <v>2016</v>
      </c>
      <c r="C94" s="112">
        <f>C191</f>
        <v>81</v>
      </c>
      <c r="D94" s="112">
        <f t="shared" ref="D94:J94" si="10">D191</f>
        <v>90</v>
      </c>
      <c r="E94" s="112">
        <f t="shared" si="10"/>
        <v>85</v>
      </c>
      <c r="F94" s="112">
        <f t="shared" si="10"/>
        <v>89</v>
      </c>
      <c r="G94" s="112">
        <f t="shared" si="10"/>
        <v>60</v>
      </c>
      <c r="H94" s="112">
        <f t="shared" si="10"/>
        <v>59</v>
      </c>
      <c r="I94" s="112">
        <f t="shared" si="10"/>
        <v>60</v>
      </c>
      <c r="J94" s="213">
        <f t="shared" si="10"/>
        <v>524</v>
      </c>
    </row>
    <row r="95" spans="2:10" ht="15" customHeight="1">
      <c r="B95" s="114">
        <v>2017</v>
      </c>
      <c r="C95" s="112">
        <f>C192</f>
        <v>86</v>
      </c>
      <c r="D95" s="112">
        <f t="shared" ref="D95:J95" si="11">D192</f>
        <v>82</v>
      </c>
      <c r="E95" s="112">
        <f t="shared" si="11"/>
        <v>90</v>
      </c>
      <c r="F95" s="112">
        <f t="shared" si="11"/>
        <v>83</v>
      </c>
      <c r="G95" s="112">
        <f t="shared" si="11"/>
        <v>89</v>
      </c>
      <c r="H95" s="112">
        <f t="shared" si="11"/>
        <v>65</v>
      </c>
      <c r="I95" s="112">
        <f t="shared" si="11"/>
        <v>62</v>
      </c>
      <c r="J95" s="213">
        <f t="shared" si="11"/>
        <v>557</v>
      </c>
    </row>
    <row r="96" spans="2:10" ht="15" customHeight="1">
      <c r="B96" s="307">
        <v>2018</v>
      </c>
      <c r="C96" s="112">
        <f t="shared" ref="C96:J96" si="12">C193</f>
        <v>88</v>
      </c>
      <c r="D96" s="112">
        <f t="shared" si="12"/>
        <v>87</v>
      </c>
      <c r="E96" s="112">
        <f t="shared" si="12"/>
        <v>87</v>
      </c>
      <c r="F96" s="112">
        <f t="shared" si="12"/>
        <v>93</v>
      </c>
      <c r="G96" s="112">
        <f t="shared" si="12"/>
        <v>86</v>
      </c>
      <c r="H96" s="112">
        <f t="shared" si="12"/>
        <v>89</v>
      </c>
      <c r="I96" s="112">
        <f t="shared" si="12"/>
        <v>66</v>
      </c>
      <c r="J96" s="213">
        <f t="shared" si="12"/>
        <v>596</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-1.2345679012345678E-2</v>
      </c>
      <c r="E98" s="210">
        <f t="shared" ref="E98:I98" si="13">MEDIAN(((D91-E92)/D91),((D92-E93)/D92),((D93-E94)/D93),((D94-E95)/D94),((D95-E96)/D95))</f>
        <v>0</v>
      </c>
      <c r="F98" s="210">
        <f t="shared" si="13"/>
        <v>-2.2988505747126436E-2</v>
      </c>
      <c r="G98" s="210">
        <f t="shared" si="13"/>
        <v>0</v>
      </c>
      <c r="H98" s="210">
        <f t="shared" si="13"/>
        <v>0</v>
      </c>
      <c r="I98" s="210">
        <f t="shared" si="13"/>
        <v>-1.5384615384615385E-2</v>
      </c>
    </row>
    <row r="99" spans="2:10" ht="15" customHeight="1">
      <c r="B99" s="59"/>
      <c r="C99" s="60"/>
      <c r="D99" s="61"/>
      <c r="E99" s="61"/>
      <c r="F99" s="61"/>
      <c r="G99" s="61"/>
      <c r="H99" s="61"/>
      <c r="I99" s="61"/>
      <c r="J99" s="58"/>
    </row>
    <row r="100" spans="2:10" ht="15" customHeight="1">
      <c r="B100" s="15" t="str">
        <f>"Table 4B: "&amp;E3&amp;" Projected Roll by Stage (incorporating Projected P1 and Drop-Off Rates), 2019-2032"</f>
        <v>Table 4B: James Gillespie's Primary School Projected Roll by Stage (incorporating Projected P1 and Drop-Off Rates), 2019-2032</v>
      </c>
      <c r="F100" s="14"/>
      <c r="G100" s="14"/>
    </row>
    <row r="101" spans="2:10" ht="15" customHeight="1">
      <c r="F101" s="14"/>
      <c r="G101" s="14"/>
    </row>
    <row r="102" spans="2:10" ht="15" customHeight="1">
      <c r="B102" s="115"/>
      <c r="C102" s="109" t="s">
        <v>1</v>
      </c>
      <c r="D102" s="109" t="s">
        <v>2</v>
      </c>
      <c r="E102" s="109" t="s">
        <v>3</v>
      </c>
      <c r="F102" s="109" t="s">
        <v>4</v>
      </c>
      <c r="G102" s="109" t="s">
        <v>5</v>
      </c>
      <c r="H102" s="109" t="s">
        <v>6</v>
      </c>
      <c r="I102" s="109" t="s">
        <v>7</v>
      </c>
      <c r="J102" s="109" t="s">
        <v>8</v>
      </c>
    </row>
    <row r="103" spans="2:10" ht="15" customHeight="1">
      <c r="B103" s="114">
        <v>2019</v>
      </c>
      <c r="C103" s="113">
        <f t="shared" ref="C103:C116" si="14">J70</f>
        <v>90</v>
      </c>
      <c r="D103" s="324">
        <f>ROUND((C96)-(C96*$D$98),0)</f>
        <v>89</v>
      </c>
      <c r="E103" s="324">
        <f>ROUND((D96)-(D96*$E$98),0)</f>
        <v>87</v>
      </c>
      <c r="F103" s="324">
        <f>ROUND((E96)-(E96*$F$98),0)</f>
        <v>89</v>
      </c>
      <c r="G103" s="324">
        <f>ROUND((F96)-(F96*$G$98),0)</f>
        <v>93</v>
      </c>
      <c r="H103" s="324">
        <f>ROUND((G96)-(G96*$H$98),0)</f>
        <v>86</v>
      </c>
      <c r="I103" s="324">
        <f>ROUND((H96)-(H96*$I$98),0)</f>
        <v>90</v>
      </c>
      <c r="J103" s="111">
        <f t="shared" ref="J103:J116" si="15">SUM(C103:I103)</f>
        <v>624</v>
      </c>
    </row>
    <row r="104" spans="2:10" ht="15" customHeight="1">
      <c r="B104" s="114">
        <v>2020</v>
      </c>
      <c r="C104" s="113">
        <f t="shared" si="14"/>
        <v>89.038648947951273</v>
      </c>
      <c r="D104" s="324">
        <f>ROUND((C103-E50)-(C103*$D$98),0)</f>
        <v>91</v>
      </c>
      <c r="E104" s="112">
        <f t="shared" ref="E104:E116" si="16">ROUND((D103)-(D103*$E$98),0)</f>
        <v>89</v>
      </c>
      <c r="F104" s="112">
        <f t="shared" ref="F104:F116" si="17">ROUND((E103)-(E103*$F$98),0)</f>
        <v>89</v>
      </c>
      <c r="G104" s="112">
        <f t="shared" ref="G104:G116" si="18">ROUND((F103)-(F103*$G$98),0)</f>
        <v>89</v>
      </c>
      <c r="H104" s="112">
        <f t="shared" ref="H104:H116" si="19">ROUND((G103)-(G103*$H$98),0)</f>
        <v>93</v>
      </c>
      <c r="I104" s="112">
        <f t="shared" ref="I104:I116" si="20">ROUND((H103)-(H103*$I$98),0)</f>
        <v>87</v>
      </c>
      <c r="J104" s="111">
        <f t="shared" si="15"/>
        <v>627.03864894795129</v>
      </c>
    </row>
    <row r="105" spans="2:10" ht="15" customHeight="1">
      <c r="B105" s="114">
        <v>2021</v>
      </c>
      <c r="C105" s="113">
        <f t="shared" si="14"/>
        <v>59.41844538181094</v>
      </c>
      <c r="D105" s="324">
        <f>ROUND((C104-F50)-(C104*$D$98),0)</f>
        <v>90</v>
      </c>
      <c r="E105" s="112">
        <f t="shared" si="16"/>
        <v>91</v>
      </c>
      <c r="F105" s="112">
        <f t="shared" si="17"/>
        <v>91</v>
      </c>
      <c r="G105" s="112">
        <f t="shared" si="18"/>
        <v>89</v>
      </c>
      <c r="H105" s="112">
        <f t="shared" si="19"/>
        <v>89</v>
      </c>
      <c r="I105" s="112">
        <f t="shared" si="20"/>
        <v>94</v>
      </c>
      <c r="J105" s="111">
        <f t="shared" si="15"/>
        <v>603.4184453818109</v>
      </c>
    </row>
    <row r="106" spans="2:10" ht="15" customHeight="1">
      <c r="B106" s="114">
        <v>2022</v>
      </c>
      <c r="C106" s="113">
        <f t="shared" si="14"/>
        <v>60</v>
      </c>
      <c r="D106" s="324">
        <f>ROUND((C105-G50)-(C105*$D$98),0)</f>
        <v>60</v>
      </c>
      <c r="E106" s="112">
        <f t="shared" si="16"/>
        <v>90</v>
      </c>
      <c r="F106" s="112">
        <f t="shared" si="17"/>
        <v>93</v>
      </c>
      <c r="G106" s="112">
        <f t="shared" si="18"/>
        <v>91</v>
      </c>
      <c r="H106" s="112">
        <f t="shared" si="19"/>
        <v>89</v>
      </c>
      <c r="I106" s="112">
        <f t="shared" si="20"/>
        <v>90</v>
      </c>
      <c r="J106" s="111">
        <f t="shared" si="15"/>
        <v>573</v>
      </c>
    </row>
    <row r="107" spans="2:10" ht="15" customHeight="1">
      <c r="B107" s="114">
        <v>2023</v>
      </c>
      <c r="C107" s="113">
        <f t="shared" si="14"/>
        <v>71.83982107083753</v>
      </c>
      <c r="D107" s="324">
        <f>ROUND((C106-H50)-(C106*$D$98),0)</f>
        <v>61</v>
      </c>
      <c r="E107" s="112">
        <f t="shared" si="16"/>
        <v>60</v>
      </c>
      <c r="F107" s="112">
        <f t="shared" si="17"/>
        <v>92</v>
      </c>
      <c r="G107" s="112">
        <f t="shared" si="18"/>
        <v>93</v>
      </c>
      <c r="H107" s="112">
        <f t="shared" si="19"/>
        <v>91</v>
      </c>
      <c r="I107" s="112">
        <f t="shared" si="20"/>
        <v>90</v>
      </c>
      <c r="J107" s="111">
        <f t="shared" si="15"/>
        <v>558.8398210708375</v>
      </c>
    </row>
    <row r="108" spans="2:10" ht="15" customHeight="1">
      <c r="B108" s="114">
        <v>2024</v>
      </c>
      <c r="C108" s="113">
        <f t="shared" si="14"/>
        <v>72</v>
      </c>
      <c r="D108" s="324">
        <f>ROUND((C107-I50)-(C107*$D$98),0)</f>
        <v>71</v>
      </c>
      <c r="E108" s="112">
        <f t="shared" si="16"/>
        <v>61</v>
      </c>
      <c r="F108" s="112">
        <f t="shared" si="17"/>
        <v>61</v>
      </c>
      <c r="G108" s="112">
        <f t="shared" si="18"/>
        <v>92</v>
      </c>
      <c r="H108" s="112">
        <f t="shared" si="19"/>
        <v>93</v>
      </c>
      <c r="I108" s="112">
        <f t="shared" si="20"/>
        <v>92</v>
      </c>
      <c r="J108" s="111">
        <f t="shared" si="15"/>
        <v>542</v>
      </c>
    </row>
    <row r="109" spans="2:10" ht="15" customHeight="1">
      <c r="B109" s="114">
        <v>2025</v>
      </c>
      <c r="C109" s="113">
        <f t="shared" si="14"/>
        <v>75</v>
      </c>
      <c r="D109" s="324">
        <f>ROUND((C108-J50)-(C108*$D$98),0)</f>
        <v>69</v>
      </c>
      <c r="E109" s="112">
        <f t="shared" si="16"/>
        <v>71</v>
      </c>
      <c r="F109" s="112">
        <f t="shared" si="17"/>
        <v>62</v>
      </c>
      <c r="G109" s="112">
        <f t="shared" si="18"/>
        <v>61</v>
      </c>
      <c r="H109" s="112">
        <f t="shared" si="19"/>
        <v>92</v>
      </c>
      <c r="I109" s="112">
        <f t="shared" si="20"/>
        <v>94</v>
      </c>
      <c r="J109" s="111">
        <f t="shared" si="15"/>
        <v>524</v>
      </c>
    </row>
    <row r="110" spans="2:10" ht="15" customHeight="1">
      <c r="B110" s="114">
        <v>2026</v>
      </c>
      <c r="C110" s="113">
        <f t="shared" si="14"/>
        <v>79.483744571776967</v>
      </c>
      <c r="D110" s="324">
        <f>ROUND((C109-K50)-(C109*$D$98),0)</f>
        <v>71</v>
      </c>
      <c r="E110" s="112">
        <f t="shared" si="16"/>
        <v>69</v>
      </c>
      <c r="F110" s="112">
        <f t="shared" si="17"/>
        <v>73</v>
      </c>
      <c r="G110" s="112">
        <f t="shared" si="18"/>
        <v>62</v>
      </c>
      <c r="H110" s="112">
        <f t="shared" si="19"/>
        <v>61</v>
      </c>
      <c r="I110" s="112">
        <f t="shared" si="20"/>
        <v>93</v>
      </c>
      <c r="J110" s="111">
        <f t="shared" si="15"/>
        <v>508.48374457177698</v>
      </c>
    </row>
    <row r="111" spans="2:10" ht="15" customHeight="1">
      <c r="B111" s="114">
        <v>2027</v>
      </c>
      <c r="C111" s="113">
        <f t="shared" si="14"/>
        <v>81.394725447011837</v>
      </c>
      <c r="D111" s="324">
        <f>ROUND((C110-L50)-(C110*$D$98),0)</f>
        <v>73</v>
      </c>
      <c r="E111" s="112">
        <f t="shared" si="16"/>
        <v>71</v>
      </c>
      <c r="F111" s="112">
        <f t="shared" si="17"/>
        <v>71</v>
      </c>
      <c r="G111" s="112">
        <f t="shared" si="18"/>
        <v>73</v>
      </c>
      <c r="H111" s="112">
        <f t="shared" si="19"/>
        <v>62</v>
      </c>
      <c r="I111" s="112">
        <f t="shared" si="20"/>
        <v>62</v>
      </c>
      <c r="J111" s="111">
        <f t="shared" si="15"/>
        <v>493.39472544701187</v>
      </c>
    </row>
    <row r="112" spans="2:10" ht="15" customHeight="1">
      <c r="B112" s="114">
        <v>2028</v>
      </c>
      <c r="C112" s="113">
        <f t="shared" si="14"/>
        <v>82.350215884629264</v>
      </c>
      <c r="D112" s="324">
        <f>ROUND((C111-M50)-(C111*$D$98),0)</f>
        <v>74</v>
      </c>
      <c r="E112" s="112">
        <f t="shared" si="16"/>
        <v>73</v>
      </c>
      <c r="F112" s="112">
        <f t="shared" si="17"/>
        <v>73</v>
      </c>
      <c r="G112" s="112">
        <f t="shared" si="18"/>
        <v>71</v>
      </c>
      <c r="H112" s="112">
        <f t="shared" si="19"/>
        <v>73</v>
      </c>
      <c r="I112" s="112">
        <f t="shared" si="20"/>
        <v>63</v>
      </c>
      <c r="J112" s="111">
        <f t="shared" si="15"/>
        <v>509.35021588462928</v>
      </c>
    </row>
    <row r="113" spans="2:10" ht="15" customHeight="1">
      <c r="B113" s="114">
        <v>2029</v>
      </c>
      <c r="C113" s="113">
        <f t="shared" si="14"/>
        <v>82.350215884629264</v>
      </c>
      <c r="D113" s="324">
        <f>ROUND((C112-N50)-(C112*$D$98),0)</f>
        <v>75</v>
      </c>
      <c r="E113" s="112">
        <f t="shared" si="16"/>
        <v>74</v>
      </c>
      <c r="F113" s="112">
        <f t="shared" si="17"/>
        <v>75</v>
      </c>
      <c r="G113" s="112">
        <f t="shared" si="18"/>
        <v>73</v>
      </c>
      <c r="H113" s="112">
        <f t="shared" si="19"/>
        <v>71</v>
      </c>
      <c r="I113" s="112">
        <f t="shared" si="20"/>
        <v>74</v>
      </c>
      <c r="J113" s="111">
        <f t="shared" si="15"/>
        <v>524.35021588462928</v>
      </c>
    </row>
    <row r="114" spans="2:10" ht="15" customHeight="1">
      <c r="B114" s="114">
        <v>2030</v>
      </c>
      <c r="C114" s="113">
        <f t="shared" si="14"/>
        <v>83.305706322246692</v>
      </c>
      <c r="D114" s="324">
        <f>ROUND((C113-O50)-(C113*$D$98),0)</f>
        <v>74</v>
      </c>
      <c r="E114" s="112">
        <f t="shared" si="16"/>
        <v>75</v>
      </c>
      <c r="F114" s="112">
        <f t="shared" si="17"/>
        <v>76</v>
      </c>
      <c r="G114" s="112">
        <f t="shared" si="18"/>
        <v>75</v>
      </c>
      <c r="H114" s="112">
        <f t="shared" si="19"/>
        <v>73</v>
      </c>
      <c r="I114" s="112">
        <f t="shared" si="20"/>
        <v>72</v>
      </c>
      <c r="J114" s="111">
        <f t="shared" si="15"/>
        <v>528.30570632224669</v>
      </c>
    </row>
    <row r="115" spans="2:10" ht="15" customHeight="1">
      <c r="B115" s="114">
        <v>2031</v>
      </c>
      <c r="C115" s="113">
        <f t="shared" si="14"/>
        <v>83.305706322246692</v>
      </c>
      <c r="D115" s="324">
        <f>ROUND((C114-P50)-(C114*$D$98),0)</f>
        <v>75</v>
      </c>
      <c r="E115" s="112">
        <f t="shared" si="16"/>
        <v>74</v>
      </c>
      <c r="F115" s="112">
        <f t="shared" si="17"/>
        <v>77</v>
      </c>
      <c r="G115" s="112">
        <f t="shared" si="18"/>
        <v>76</v>
      </c>
      <c r="H115" s="112">
        <f t="shared" si="19"/>
        <v>75</v>
      </c>
      <c r="I115" s="112">
        <f t="shared" si="20"/>
        <v>74</v>
      </c>
      <c r="J115" s="111">
        <f t="shared" si="15"/>
        <v>534.30570632224669</v>
      </c>
    </row>
    <row r="116" spans="2:10" ht="15" customHeight="1">
      <c r="B116" s="114">
        <v>2032</v>
      </c>
      <c r="C116" s="113">
        <f t="shared" si="14"/>
        <v>83.305706322246692</v>
      </c>
      <c r="D116" s="324">
        <f>ROUND((C115-Q50)-(C115*$D$98),0)</f>
        <v>75</v>
      </c>
      <c r="E116" s="112">
        <f t="shared" si="16"/>
        <v>75</v>
      </c>
      <c r="F116" s="112">
        <f t="shared" si="17"/>
        <v>76</v>
      </c>
      <c r="G116" s="112">
        <f t="shared" si="18"/>
        <v>77</v>
      </c>
      <c r="H116" s="112">
        <f t="shared" si="19"/>
        <v>76</v>
      </c>
      <c r="I116" s="112">
        <f t="shared" si="20"/>
        <v>76</v>
      </c>
      <c r="J116" s="111">
        <f t="shared" si="15"/>
        <v>538.30570632224669</v>
      </c>
    </row>
    <row r="117" spans="2:10" ht="15" customHeight="1">
      <c r="F117" s="14"/>
      <c r="G117" s="14"/>
    </row>
    <row r="118" spans="2:10" ht="15" customHeight="1">
      <c r="B118" s="15" t="str">
        <f>"Table 4C: "&amp;E3&amp;" Projected Pupil Generation from Housing Development, 2019-2032"</f>
        <v>Table 4C: James Gillespie's Primary School Projected Pupil Generation from Housing Development, 2019-2032</v>
      </c>
      <c r="F118" s="14"/>
      <c r="G118" s="14"/>
    </row>
    <row r="119" spans="2:10" ht="15" customHeight="1">
      <c r="F119" s="14"/>
      <c r="G119" s="14"/>
    </row>
    <row r="120" spans="2:10" ht="15" customHeight="1">
      <c r="B120" s="115"/>
      <c r="C120" s="109" t="s">
        <v>1</v>
      </c>
      <c r="D120" s="109" t="s">
        <v>2</v>
      </c>
      <c r="E120" s="109" t="s">
        <v>3</v>
      </c>
      <c r="F120" s="109" t="s">
        <v>4</v>
      </c>
      <c r="G120" s="109" t="s">
        <v>5</v>
      </c>
      <c r="H120" s="109" t="s">
        <v>6</v>
      </c>
      <c r="I120" s="109" t="s">
        <v>7</v>
      </c>
      <c r="J120" s="109" t="s">
        <v>8</v>
      </c>
    </row>
    <row r="121" spans="2:10" ht="15" customHeight="1">
      <c r="B121" s="114">
        <v>2019</v>
      </c>
      <c r="C121" s="116" t="s">
        <v>97</v>
      </c>
      <c r="D121" s="112">
        <f>VLOOKUP($E$3,'Housing Generation'!$A$3:$BE$90,11,FALSE)</f>
        <v>0</v>
      </c>
      <c r="E121" s="112">
        <f>VLOOKUP($E$3,'Housing Generation'!$A$3:$BE$90,12,FALSE)</f>
        <v>0</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0</v>
      </c>
    </row>
    <row r="122" spans="2:10" ht="15" customHeight="1">
      <c r="B122" s="114">
        <v>2020</v>
      </c>
      <c r="C122" s="116" t="s">
        <v>97</v>
      </c>
      <c r="D122" s="112">
        <f>VLOOKUP($E$3,'Housing Generation'!$A$3:$BE$90,19,FALSE)</f>
        <v>0</v>
      </c>
      <c r="E122" s="112">
        <f>VLOOKUP($E$3,'Housing Generation'!$A$3:$BE$90,20,FALSE)</f>
        <v>0</v>
      </c>
      <c r="F122" s="112">
        <f>VLOOKUP($E$3,'Housing Generation'!$A$3:$BE$90,21,FALSE)</f>
        <v>0</v>
      </c>
      <c r="G122" s="112">
        <f>VLOOKUP($E$3,'Housing Generation'!$A$3:$BE$90,22,FALSE)</f>
        <v>0</v>
      </c>
      <c r="H122" s="112">
        <f>VLOOKUP($E$3,'Housing Generation'!$A$3:$BE$90,23,FALSE)</f>
        <v>0</v>
      </c>
      <c r="I122" s="112">
        <f>VLOOKUP($E$3,'Housing Generation'!$A$3:$BE$90,24,FALSE)</f>
        <v>0</v>
      </c>
      <c r="J122" s="111">
        <f t="shared" si="21"/>
        <v>0</v>
      </c>
    </row>
    <row r="123" spans="2:10" ht="15" customHeight="1">
      <c r="B123" s="114">
        <v>2021</v>
      </c>
      <c r="C123" s="116" t="s">
        <v>97</v>
      </c>
      <c r="D123" s="112">
        <f>VLOOKUP($E$3,'Housing Generation'!$A$3:$BE$90,27,FALSE)</f>
        <v>0</v>
      </c>
      <c r="E123" s="112">
        <f>VLOOKUP($E$3,'Housing Generation'!$A$3:$BE$90,28,FALSE)</f>
        <v>0</v>
      </c>
      <c r="F123" s="112">
        <f>VLOOKUP($E$3,'Housing Generation'!$A$3:$BE$90,29,FALSE)</f>
        <v>0</v>
      </c>
      <c r="G123" s="112">
        <f>VLOOKUP($E$3,'Housing Generation'!$A$3:$BE$90,30,FALSE)</f>
        <v>0</v>
      </c>
      <c r="H123" s="112">
        <f>VLOOKUP($E$3,'Housing Generation'!$A$3:$BE$90,31,FALSE)</f>
        <v>0</v>
      </c>
      <c r="I123" s="112">
        <f>VLOOKUP($E$3,'Housing Generation'!$A$3:$BE$90,32,FALSE)</f>
        <v>0</v>
      </c>
      <c r="J123" s="111">
        <f t="shared" si="21"/>
        <v>0</v>
      </c>
    </row>
    <row r="124" spans="2:10" ht="15" customHeight="1">
      <c r="B124" s="114">
        <v>2022</v>
      </c>
      <c r="C124" s="116" t="s">
        <v>97</v>
      </c>
      <c r="D124" s="112">
        <f>VLOOKUP($E$3,'Housing Generation'!$A$3:$BE$90,35,FALSE)</f>
        <v>0</v>
      </c>
      <c r="E124" s="112">
        <f>VLOOKUP($E$3,'Housing Generation'!$A$3:$BE$90,36,FALSE)</f>
        <v>0</v>
      </c>
      <c r="F124" s="112">
        <f>VLOOKUP($E$3,'Housing Generation'!$A$3:$BE$90,37,FALSE)</f>
        <v>0</v>
      </c>
      <c r="G124" s="112">
        <f>VLOOKUP($E$3,'Housing Generation'!$A$3:$BE$90,38,FALSE)</f>
        <v>0</v>
      </c>
      <c r="H124" s="112">
        <f>VLOOKUP($E$3,'Housing Generation'!$A$3:$BE$90,39,FALSE)</f>
        <v>0</v>
      </c>
      <c r="I124" s="112">
        <f>VLOOKUP($E$3,'Housing Generation'!$A$3:$BE$90,40,FALSE)</f>
        <v>0</v>
      </c>
      <c r="J124" s="111">
        <f t="shared" si="21"/>
        <v>0</v>
      </c>
    </row>
    <row r="125" spans="2:10" ht="15" customHeight="1">
      <c r="B125" s="114">
        <v>2023</v>
      </c>
      <c r="C125" s="116" t="s">
        <v>97</v>
      </c>
      <c r="D125" s="112">
        <f>VLOOKUP($E$3,'Housing Generation'!$A$3:$BE$90,43,FALSE)</f>
        <v>0</v>
      </c>
      <c r="E125" s="112">
        <f>VLOOKUP($E$3,'Housing Generation'!$A$3:$BE$90,44,FALSE)</f>
        <v>0</v>
      </c>
      <c r="F125" s="112">
        <f>VLOOKUP($E$3,'Housing Generation'!$A$3:$BE$90,45,FALSE)</f>
        <v>0</v>
      </c>
      <c r="G125" s="112">
        <f>VLOOKUP($E$3,'Housing Generation'!$A$3:$BE$90,46,FALSE)</f>
        <v>0</v>
      </c>
      <c r="H125" s="112">
        <f>VLOOKUP($E$3,'Housing Generation'!$A$3:$BE$90,47,FALSE)</f>
        <v>0</v>
      </c>
      <c r="I125" s="112">
        <f>VLOOKUP($E$3,'Housing Generation'!$A$3:$BE$90,48,FALSE)</f>
        <v>0</v>
      </c>
      <c r="J125" s="111">
        <f t="shared" si="21"/>
        <v>0</v>
      </c>
    </row>
    <row r="126" spans="2:10" ht="15" customHeight="1">
      <c r="B126" s="114">
        <v>2024</v>
      </c>
      <c r="C126" s="116" t="s">
        <v>97</v>
      </c>
      <c r="D126" s="112">
        <f>VLOOKUP($E$3,'Housing Generation'!$A$3:$BE$90,51,FALSE)</f>
        <v>2</v>
      </c>
      <c r="E126" s="112">
        <f>VLOOKUP($E$3,'Housing Generation'!$A$3:$BE$90,52,FALSE)</f>
        <v>2</v>
      </c>
      <c r="F126" s="112">
        <f>VLOOKUP($E$3,'Housing Generation'!$A$3:$BE$90,53,FALSE)</f>
        <v>2</v>
      </c>
      <c r="G126" s="112">
        <f>VLOOKUP($E$3,'Housing Generation'!$A$3:$BE$90,54,FALSE)</f>
        <v>2</v>
      </c>
      <c r="H126" s="112">
        <f>VLOOKUP($E$3,'Housing Generation'!$A$3:$BE$90,55,FALSE)</f>
        <v>2</v>
      </c>
      <c r="I126" s="112">
        <f>VLOOKUP($E$3,'Housing Generation'!$A$3:$BE$90,56,FALSE)</f>
        <v>2</v>
      </c>
      <c r="J126" s="111">
        <f t="shared" si="21"/>
        <v>12</v>
      </c>
    </row>
    <row r="127" spans="2:10" ht="15" customHeight="1">
      <c r="B127" s="114">
        <v>2025</v>
      </c>
      <c r="C127" s="240" t="s">
        <v>97</v>
      </c>
      <c r="D127" s="112">
        <f>VLOOKUP($E$3,'Housing Generation'!$A$3:$CK$90,59,FALSE)</f>
        <v>4</v>
      </c>
      <c r="E127" s="112">
        <f>VLOOKUP($E$3,'Housing Generation'!$A$3:$CK$90,60,FALSE)</f>
        <v>4</v>
      </c>
      <c r="F127" s="112">
        <f>VLOOKUP($E$3,'Housing Generation'!$A$3:$CK$90,61,FALSE)</f>
        <v>3</v>
      </c>
      <c r="G127" s="112">
        <f>VLOOKUP($E$3,'Housing Generation'!$A$3:$CK$90,62,FALSE)</f>
        <v>3</v>
      </c>
      <c r="H127" s="112">
        <f>VLOOKUP($E$3,'Housing Generation'!$A$3:$CK$90,63,FALSE)</f>
        <v>3</v>
      </c>
      <c r="I127" s="112">
        <f>VLOOKUP($E$3,'Housing Generation'!$A$3:$CK$90,64,FALSE)</f>
        <v>3</v>
      </c>
      <c r="J127" s="111">
        <f t="shared" si="21"/>
        <v>20</v>
      </c>
    </row>
    <row r="128" spans="2:10" ht="15" customHeight="1">
      <c r="B128" s="114">
        <v>2026</v>
      </c>
      <c r="C128" s="240" t="s">
        <v>97</v>
      </c>
      <c r="D128" s="112">
        <f>VLOOKUP($E$3,'Housing Generation'!$A$3:$CK$90,67,FALSE)</f>
        <v>5</v>
      </c>
      <c r="E128" s="112">
        <f>VLOOKUP($E$3,'Housing Generation'!$A$3:$CK$90,68,FALSE)</f>
        <v>5</v>
      </c>
      <c r="F128" s="112">
        <f>VLOOKUP($E$3,'Housing Generation'!$A$3:$CK$90,69,FALSE)</f>
        <v>5</v>
      </c>
      <c r="G128" s="112">
        <f>VLOOKUP($E$3,'Housing Generation'!$A$3:$CK$90,70,FALSE)</f>
        <v>5</v>
      </c>
      <c r="H128" s="112">
        <f>VLOOKUP($E$3,'Housing Generation'!$A$3:$CK$90,71,FALSE)</f>
        <v>5</v>
      </c>
      <c r="I128" s="112">
        <f>VLOOKUP($E$3,'Housing Generation'!$A$3:$CK$90,72,FALSE)</f>
        <v>4</v>
      </c>
      <c r="J128" s="111">
        <f t="shared" si="21"/>
        <v>29</v>
      </c>
    </row>
    <row r="129" spans="2:10" ht="15" customHeight="1">
      <c r="B129" s="114">
        <v>2027</v>
      </c>
      <c r="C129" s="240" t="s">
        <v>97</v>
      </c>
      <c r="D129" s="112">
        <f>VLOOKUP($E$3,'Housing Generation'!$A$3:$CK$90,75,FALSE)</f>
        <v>7</v>
      </c>
      <c r="E129" s="112">
        <f>VLOOKUP($E$3,'Housing Generation'!$A$3:$CK$90,76,FALSE)</f>
        <v>6</v>
      </c>
      <c r="F129" s="112">
        <f>VLOOKUP($E$3,'Housing Generation'!$A$3:$CK$90,77,FALSE)</f>
        <v>6</v>
      </c>
      <c r="G129" s="112">
        <f>VLOOKUP($E$3,'Housing Generation'!$A$3:$CK$90,78,FALSE)</f>
        <v>6</v>
      </c>
      <c r="H129" s="112">
        <f>VLOOKUP($E$3,'Housing Generation'!$A$3:$CK$90,79,FALSE)</f>
        <v>6</v>
      </c>
      <c r="I129" s="112">
        <f>VLOOKUP($E$3,'Housing Generation'!$A$3:$CK$90,80,FALSE)</f>
        <v>6</v>
      </c>
      <c r="J129" s="111">
        <f t="shared" si="21"/>
        <v>37</v>
      </c>
    </row>
    <row r="130" spans="2:10" ht="15" customHeight="1">
      <c r="B130" s="114">
        <v>2028</v>
      </c>
      <c r="C130" s="289" t="s">
        <v>97</v>
      </c>
      <c r="D130" s="112">
        <f>VLOOKUP($E$3,'Housing Generation'!$A$3:$CK$90,83,FALSE)</f>
        <v>8</v>
      </c>
      <c r="E130" s="112">
        <f>VLOOKUP($E$3,'Housing Generation'!$A$3:$CK$90,84,FALSE)</f>
        <v>8</v>
      </c>
      <c r="F130" s="112">
        <f>VLOOKUP($E$3,'Housing Generation'!$A$3:$CK$90,85,FALSE)</f>
        <v>8</v>
      </c>
      <c r="G130" s="112">
        <f>VLOOKUP($E$3,'Housing Generation'!$A$3:$CK$90,86,FALSE)</f>
        <v>8</v>
      </c>
      <c r="H130" s="112">
        <f>VLOOKUP($E$3,'Housing Generation'!$A$3:$CK$90,87,FALSE)</f>
        <v>7</v>
      </c>
      <c r="I130" s="112">
        <f>VLOOKUP($E$3,'Housing Generation'!$A$3:$CK$90,88,FALSE)</f>
        <v>7</v>
      </c>
      <c r="J130" s="111">
        <f t="shared" si="21"/>
        <v>46</v>
      </c>
    </row>
    <row r="131" spans="2:10" ht="15" customHeight="1">
      <c r="B131" s="114">
        <v>2029</v>
      </c>
      <c r="C131" s="289" t="s">
        <v>97</v>
      </c>
      <c r="D131" s="112">
        <f>VLOOKUP($E$3,'Housing Generation'!$A$3:$DQ$90,91,FALSE)</f>
        <v>8</v>
      </c>
      <c r="E131" s="112">
        <f>VLOOKUP($E$3,'Housing Generation'!$A$3:$DQ$90,92,FALSE)</f>
        <v>8</v>
      </c>
      <c r="F131" s="112">
        <f>VLOOKUP($E$3,'Housing Generation'!$A$3:$DQ$90,93,FALSE)</f>
        <v>8</v>
      </c>
      <c r="G131" s="112">
        <f>VLOOKUP($E$3,'Housing Generation'!$A$3:$DQ$90,94,FALSE)</f>
        <v>8</v>
      </c>
      <c r="H131" s="112">
        <f>VLOOKUP($E$3,'Housing Generation'!$A$3:$DQ$90,95,FALSE)</f>
        <v>8</v>
      </c>
      <c r="I131" s="112">
        <f>VLOOKUP($E$3,'Housing Generation'!$A$3:$DQ$90,96,FALSE)</f>
        <v>8</v>
      </c>
      <c r="J131" s="111">
        <f t="shared" si="21"/>
        <v>48</v>
      </c>
    </row>
    <row r="132" spans="2:10" ht="15" customHeight="1">
      <c r="B132" s="114">
        <v>2030</v>
      </c>
      <c r="C132" s="289" t="s">
        <v>97</v>
      </c>
      <c r="D132" s="112">
        <f>VLOOKUP($E$3,'Housing Generation'!$A$3:$DQ$90,99,FALSE)</f>
        <v>9</v>
      </c>
      <c r="E132" s="112">
        <f>VLOOKUP($E$3,'Housing Generation'!$A$3:$DQ$90,100,FALSE)</f>
        <v>8</v>
      </c>
      <c r="F132" s="112">
        <f>VLOOKUP($E$3,'Housing Generation'!$A$3:$DQ$90,101,FALSE)</f>
        <v>8</v>
      </c>
      <c r="G132" s="112">
        <f>VLOOKUP($E$3,'Housing Generation'!$A$3:$DQ$90,102,FALSE)</f>
        <v>8</v>
      </c>
      <c r="H132" s="112">
        <f>VLOOKUP($E$3,'Housing Generation'!$A$3:$DQ$90,103,FALSE)</f>
        <v>8</v>
      </c>
      <c r="I132" s="112">
        <f>VLOOKUP($E$3,'Housing Generation'!$A$3:$DQ$90,104,FALSE)</f>
        <v>8</v>
      </c>
      <c r="J132" s="111">
        <f t="shared" si="21"/>
        <v>49</v>
      </c>
    </row>
    <row r="133" spans="2:10" ht="15" customHeight="1">
      <c r="B133" s="114">
        <v>2031</v>
      </c>
      <c r="C133" s="289" t="s">
        <v>97</v>
      </c>
      <c r="D133" s="112">
        <f>VLOOKUP($E$3,'Housing Generation'!$A$3:$DQ$90,107,FALSE)</f>
        <v>9</v>
      </c>
      <c r="E133" s="112">
        <f>VLOOKUP($E$3,'Housing Generation'!$A$3:$DQ$90,108,FALSE)</f>
        <v>9</v>
      </c>
      <c r="F133" s="112">
        <f>VLOOKUP($E$3,'Housing Generation'!$A$3:$DQ$90,109,FALSE)</f>
        <v>9</v>
      </c>
      <c r="G133" s="112">
        <f>VLOOKUP($E$3,'Housing Generation'!$A$3:$DQ$90,110,FALSE)</f>
        <v>8</v>
      </c>
      <c r="H133" s="112">
        <f>VLOOKUP($E$3,'Housing Generation'!$A$3:$DQ$90,111,FALSE)</f>
        <v>8</v>
      </c>
      <c r="I133" s="112">
        <f>VLOOKUP($E$3,'Housing Generation'!$A$3:$DQ$90,112,FALSE)</f>
        <v>8</v>
      </c>
      <c r="J133" s="111">
        <f t="shared" si="21"/>
        <v>51</v>
      </c>
    </row>
    <row r="134" spans="2:10" ht="15" customHeight="1">
      <c r="B134" s="114">
        <v>2032</v>
      </c>
      <c r="C134" s="289" t="s">
        <v>97</v>
      </c>
      <c r="D134" s="112">
        <f>VLOOKUP($E$3,'Housing Generation'!$A$3:$DQ$90,115,FALSE)</f>
        <v>9</v>
      </c>
      <c r="E134" s="112">
        <f>VLOOKUP($E$3,'Housing Generation'!$A$3:$DQ$90,116,FALSE)</f>
        <v>9</v>
      </c>
      <c r="F134" s="112">
        <f>VLOOKUP($E$3,'Housing Generation'!$A$3:$DQ$90,117,FALSE)</f>
        <v>9</v>
      </c>
      <c r="G134" s="112">
        <f>VLOOKUP($E$3,'Housing Generation'!$A$3:$DQ$90,118,FALSE)</f>
        <v>9</v>
      </c>
      <c r="H134" s="112">
        <f>VLOOKUP($E$3,'Housing Generation'!$A$3:$DQ$90,119,FALSE)</f>
        <v>9</v>
      </c>
      <c r="I134" s="112">
        <f>VLOOKUP($E$3,'Housing Generation'!$A$3:$DQ$90,120,FALSE)</f>
        <v>8</v>
      </c>
      <c r="J134" s="111">
        <f t="shared" si="21"/>
        <v>53</v>
      </c>
    </row>
    <row r="135" spans="2:10" ht="15"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James Gillespie's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90</v>
      </c>
      <c r="D139" s="112">
        <f t="shared" ref="D139:I152" si="23">D121+D103</f>
        <v>89</v>
      </c>
      <c r="E139" s="112">
        <f t="shared" si="23"/>
        <v>87</v>
      </c>
      <c r="F139" s="112">
        <f t="shared" si="23"/>
        <v>89</v>
      </c>
      <c r="G139" s="112">
        <f t="shared" si="23"/>
        <v>93</v>
      </c>
      <c r="H139" s="112">
        <f t="shared" si="23"/>
        <v>86</v>
      </c>
      <c r="I139" s="112">
        <f t="shared" si="23"/>
        <v>90</v>
      </c>
      <c r="J139" s="111">
        <f t="shared" ref="J139:J147" si="24">SUM(C139:I139)</f>
        <v>624</v>
      </c>
    </row>
    <row r="140" spans="2:10" ht="15" customHeight="1">
      <c r="B140" s="114">
        <v>2020</v>
      </c>
      <c r="C140" s="113">
        <f t="shared" si="22"/>
        <v>89.038648947951273</v>
      </c>
      <c r="D140" s="112">
        <f t="shared" si="23"/>
        <v>91</v>
      </c>
      <c r="E140" s="112">
        <f t="shared" si="23"/>
        <v>89</v>
      </c>
      <c r="F140" s="112">
        <f t="shared" si="23"/>
        <v>89</v>
      </c>
      <c r="G140" s="112">
        <f t="shared" si="23"/>
        <v>89</v>
      </c>
      <c r="H140" s="112">
        <f t="shared" si="23"/>
        <v>93</v>
      </c>
      <c r="I140" s="112">
        <f t="shared" si="23"/>
        <v>87</v>
      </c>
      <c r="J140" s="111">
        <f t="shared" si="24"/>
        <v>627.03864894795129</v>
      </c>
    </row>
    <row r="141" spans="2:10" ht="15" customHeight="1">
      <c r="B141" s="114">
        <v>2021</v>
      </c>
      <c r="C141" s="113">
        <f t="shared" si="22"/>
        <v>59.41844538181094</v>
      </c>
      <c r="D141" s="112">
        <f t="shared" si="23"/>
        <v>90</v>
      </c>
      <c r="E141" s="112">
        <f t="shared" si="23"/>
        <v>91</v>
      </c>
      <c r="F141" s="112">
        <f t="shared" si="23"/>
        <v>91</v>
      </c>
      <c r="G141" s="112">
        <f t="shared" si="23"/>
        <v>89</v>
      </c>
      <c r="H141" s="112">
        <f t="shared" si="23"/>
        <v>89</v>
      </c>
      <c r="I141" s="112">
        <f t="shared" si="23"/>
        <v>94</v>
      </c>
      <c r="J141" s="111">
        <f t="shared" si="24"/>
        <v>603.4184453818109</v>
      </c>
    </row>
    <row r="142" spans="2:10" ht="15" customHeight="1">
      <c r="B142" s="114">
        <v>2022</v>
      </c>
      <c r="C142" s="113">
        <f t="shared" si="22"/>
        <v>60</v>
      </c>
      <c r="D142" s="112">
        <f t="shared" si="23"/>
        <v>60</v>
      </c>
      <c r="E142" s="112">
        <f t="shared" si="23"/>
        <v>90</v>
      </c>
      <c r="F142" s="112">
        <f t="shared" si="23"/>
        <v>93</v>
      </c>
      <c r="G142" s="112">
        <f t="shared" si="23"/>
        <v>91</v>
      </c>
      <c r="H142" s="112">
        <f t="shared" si="23"/>
        <v>89</v>
      </c>
      <c r="I142" s="112">
        <f t="shared" si="23"/>
        <v>90</v>
      </c>
      <c r="J142" s="111">
        <f t="shared" si="24"/>
        <v>573</v>
      </c>
    </row>
    <row r="143" spans="2:10" ht="15" customHeight="1">
      <c r="B143" s="114">
        <v>2023</v>
      </c>
      <c r="C143" s="113">
        <f t="shared" si="22"/>
        <v>71.83982107083753</v>
      </c>
      <c r="D143" s="112">
        <f t="shared" si="23"/>
        <v>61</v>
      </c>
      <c r="E143" s="112">
        <f t="shared" si="23"/>
        <v>60</v>
      </c>
      <c r="F143" s="112">
        <f t="shared" si="23"/>
        <v>92</v>
      </c>
      <c r="G143" s="112">
        <f t="shared" si="23"/>
        <v>93</v>
      </c>
      <c r="H143" s="112">
        <f t="shared" si="23"/>
        <v>91</v>
      </c>
      <c r="I143" s="112">
        <f t="shared" si="23"/>
        <v>90</v>
      </c>
      <c r="J143" s="111">
        <f t="shared" si="24"/>
        <v>558.8398210708375</v>
      </c>
    </row>
    <row r="144" spans="2:10" ht="15" customHeight="1">
      <c r="B144" s="114">
        <v>2024</v>
      </c>
      <c r="C144" s="113">
        <f t="shared" si="22"/>
        <v>72</v>
      </c>
      <c r="D144" s="112">
        <f t="shared" si="23"/>
        <v>73</v>
      </c>
      <c r="E144" s="112">
        <f t="shared" si="23"/>
        <v>63</v>
      </c>
      <c r="F144" s="112">
        <f t="shared" si="23"/>
        <v>63</v>
      </c>
      <c r="G144" s="112">
        <f t="shared" si="23"/>
        <v>94</v>
      </c>
      <c r="H144" s="112">
        <f t="shared" si="23"/>
        <v>95</v>
      </c>
      <c r="I144" s="112">
        <f t="shared" si="23"/>
        <v>94</v>
      </c>
      <c r="J144" s="111">
        <f t="shared" si="24"/>
        <v>554</v>
      </c>
    </row>
    <row r="145" spans="2:16" ht="15" customHeight="1">
      <c r="B145" s="114">
        <v>2025</v>
      </c>
      <c r="C145" s="113">
        <f t="shared" si="22"/>
        <v>75</v>
      </c>
      <c r="D145" s="112">
        <f t="shared" si="23"/>
        <v>73</v>
      </c>
      <c r="E145" s="112">
        <f t="shared" si="23"/>
        <v>75</v>
      </c>
      <c r="F145" s="112">
        <f t="shared" si="23"/>
        <v>65</v>
      </c>
      <c r="G145" s="112">
        <f t="shared" si="23"/>
        <v>64</v>
      </c>
      <c r="H145" s="112">
        <f t="shared" si="23"/>
        <v>95</v>
      </c>
      <c r="I145" s="112">
        <f t="shared" si="23"/>
        <v>97</v>
      </c>
      <c r="J145" s="111">
        <f t="shared" si="24"/>
        <v>544</v>
      </c>
    </row>
    <row r="146" spans="2:16" ht="15" customHeight="1">
      <c r="B146" s="114">
        <v>2026</v>
      </c>
      <c r="C146" s="113">
        <f t="shared" si="22"/>
        <v>79.483744571776967</v>
      </c>
      <c r="D146" s="112">
        <f t="shared" si="23"/>
        <v>76</v>
      </c>
      <c r="E146" s="112">
        <f t="shared" si="23"/>
        <v>74</v>
      </c>
      <c r="F146" s="112">
        <f t="shared" si="23"/>
        <v>78</v>
      </c>
      <c r="G146" s="112">
        <f t="shared" si="23"/>
        <v>67</v>
      </c>
      <c r="H146" s="112">
        <f t="shared" si="23"/>
        <v>66</v>
      </c>
      <c r="I146" s="112">
        <f t="shared" si="23"/>
        <v>97</v>
      </c>
      <c r="J146" s="111">
        <f t="shared" si="24"/>
        <v>537.48374457177692</v>
      </c>
    </row>
    <row r="147" spans="2:16" ht="15" customHeight="1">
      <c r="B147" s="114">
        <v>2027</v>
      </c>
      <c r="C147" s="113">
        <f t="shared" si="22"/>
        <v>81.394725447011837</v>
      </c>
      <c r="D147" s="112">
        <f t="shared" si="23"/>
        <v>80</v>
      </c>
      <c r="E147" s="112">
        <f t="shared" si="23"/>
        <v>77</v>
      </c>
      <c r="F147" s="112">
        <f t="shared" si="23"/>
        <v>77</v>
      </c>
      <c r="G147" s="112">
        <f t="shared" si="23"/>
        <v>79</v>
      </c>
      <c r="H147" s="112">
        <f t="shared" si="23"/>
        <v>68</v>
      </c>
      <c r="I147" s="112">
        <f t="shared" si="23"/>
        <v>68</v>
      </c>
      <c r="J147" s="111">
        <f t="shared" si="24"/>
        <v>530.39472544701187</v>
      </c>
    </row>
    <row r="148" spans="2:16" ht="15" customHeight="1">
      <c r="B148" s="114">
        <v>2028</v>
      </c>
      <c r="C148" s="113">
        <f t="shared" si="22"/>
        <v>82.350215884629264</v>
      </c>
      <c r="D148" s="112">
        <f t="shared" si="23"/>
        <v>82</v>
      </c>
      <c r="E148" s="112">
        <f t="shared" si="23"/>
        <v>81</v>
      </c>
      <c r="F148" s="112">
        <f t="shared" si="23"/>
        <v>81</v>
      </c>
      <c r="G148" s="112">
        <f t="shared" si="23"/>
        <v>79</v>
      </c>
      <c r="H148" s="112">
        <f t="shared" si="23"/>
        <v>80</v>
      </c>
      <c r="I148" s="112">
        <f t="shared" si="23"/>
        <v>70</v>
      </c>
      <c r="J148" s="111">
        <f t="shared" ref="J148:J152" si="25">SUM(C148:I148)</f>
        <v>555.35021588462928</v>
      </c>
    </row>
    <row r="149" spans="2:16" ht="15" customHeight="1">
      <c r="B149" s="114">
        <v>2029</v>
      </c>
      <c r="C149" s="113">
        <f t="shared" si="22"/>
        <v>82.350215884629264</v>
      </c>
      <c r="D149" s="112">
        <f t="shared" si="23"/>
        <v>83</v>
      </c>
      <c r="E149" s="112">
        <f t="shared" si="23"/>
        <v>82</v>
      </c>
      <c r="F149" s="112">
        <f t="shared" si="23"/>
        <v>83</v>
      </c>
      <c r="G149" s="112">
        <f t="shared" si="23"/>
        <v>81</v>
      </c>
      <c r="H149" s="112">
        <f t="shared" si="23"/>
        <v>79</v>
      </c>
      <c r="I149" s="112">
        <f t="shared" si="23"/>
        <v>82</v>
      </c>
      <c r="J149" s="111">
        <f t="shared" si="25"/>
        <v>572.35021588462928</v>
      </c>
    </row>
    <row r="150" spans="2:16" ht="15" customHeight="1">
      <c r="B150" s="114">
        <v>2030</v>
      </c>
      <c r="C150" s="113">
        <f t="shared" si="22"/>
        <v>83.305706322246692</v>
      </c>
      <c r="D150" s="112">
        <f t="shared" si="23"/>
        <v>83</v>
      </c>
      <c r="E150" s="112">
        <f t="shared" si="23"/>
        <v>83</v>
      </c>
      <c r="F150" s="112">
        <f t="shared" si="23"/>
        <v>84</v>
      </c>
      <c r="G150" s="112">
        <f t="shared" si="23"/>
        <v>83</v>
      </c>
      <c r="H150" s="112">
        <f t="shared" si="23"/>
        <v>81</v>
      </c>
      <c r="I150" s="112">
        <f t="shared" si="23"/>
        <v>80</v>
      </c>
      <c r="J150" s="111">
        <f t="shared" si="25"/>
        <v>577.30570632224669</v>
      </c>
    </row>
    <row r="151" spans="2:16" ht="15" customHeight="1">
      <c r="B151" s="114">
        <v>2031</v>
      </c>
      <c r="C151" s="113">
        <f t="shared" si="22"/>
        <v>83.305706322246692</v>
      </c>
      <c r="D151" s="112">
        <f t="shared" si="23"/>
        <v>84</v>
      </c>
      <c r="E151" s="112">
        <f t="shared" si="23"/>
        <v>83</v>
      </c>
      <c r="F151" s="112">
        <f t="shared" si="23"/>
        <v>86</v>
      </c>
      <c r="G151" s="112">
        <f t="shared" si="23"/>
        <v>84</v>
      </c>
      <c r="H151" s="112">
        <f t="shared" si="23"/>
        <v>83</v>
      </c>
      <c r="I151" s="112">
        <f t="shared" si="23"/>
        <v>82</v>
      </c>
      <c r="J151" s="111">
        <f t="shared" si="25"/>
        <v>585.30570632224669</v>
      </c>
    </row>
    <row r="152" spans="2:16" ht="15" customHeight="1">
      <c r="B152" s="114">
        <v>2032</v>
      </c>
      <c r="C152" s="113">
        <f t="shared" si="22"/>
        <v>83.305706322246692</v>
      </c>
      <c r="D152" s="112">
        <f t="shared" si="23"/>
        <v>84</v>
      </c>
      <c r="E152" s="112">
        <f t="shared" si="23"/>
        <v>84</v>
      </c>
      <c r="F152" s="112">
        <f t="shared" si="23"/>
        <v>85</v>
      </c>
      <c r="G152" s="112">
        <f t="shared" si="23"/>
        <v>86</v>
      </c>
      <c r="H152" s="112">
        <f t="shared" si="23"/>
        <v>85</v>
      </c>
      <c r="I152" s="112">
        <f t="shared" si="23"/>
        <v>84</v>
      </c>
      <c r="J152" s="111">
        <f t="shared" si="25"/>
        <v>591.30570632224669</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624</v>
      </c>
      <c r="D159" s="108">
        <f>J140</f>
        <v>627.03864894795129</v>
      </c>
      <c r="E159" s="108">
        <f>J141</f>
        <v>603.4184453818109</v>
      </c>
      <c r="F159" s="108">
        <f>J142</f>
        <v>573</v>
      </c>
      <c r="G159" s="108">
        <f>J143</f>
        <v>558.8398210708375</v>
      </c>
      <c r="H159" s="108">
        <f>J144</f>
        <v>554</v>
      </c>
      <c r="I159" s="108">
        <f>J145</f>
        <v>544</v>
      </c>
      <c r="J159" s="108">
        <f>J146</f>
        <v>537.48374457177692</v>
      </c>
      <c r="K159" s="108">
        <f>J147</f>
        <v>530.39472544701187</v>
      </c>
      <c r="L159" s="108">
        <f>J148</f>
        <v>555.35021588462928</v>
      </c>
      <c r="M159" s="108">
        <f>J149</f>
        <v>572.35021588462928</v>
      </c>
      <c r="N159" s="108">
        <f>J150</f>
        <v>577.30570632224669</v>
      </c>
      <c r="O159" s="108">
        <f>J151</f>
        <v>585.30570632224669</v>
      </c>
      <c r="P159" s="108">
        <f>J152</f>
        <v>591.30570632224669</v>
      </c>
    </row>
    <row r="160" spans="2:16" ht="15" customHeight="1">
      <c r="B160" s="107" t="s">
        <v>152</v>
      </c>
      <c r="C160" s="106">
        <f>VLOOKUP(C159,Capacity!$A$1:$C$645,2,TRUE)</f>
        <v>21</v>
      </c>
      <c r="D160" s="106">
        <f>VLOOKUP(D159,Capacity!$A$1:$C$645,2,TRUE)</f>
        <v>21</v>
      </c>
      <c r="E160" s="106">
        <f>VLOOKUP(E159,Capacity!$A$1:$C$645,2,TRUE)</f>
        <v>21</v>
      </c>
      <c r="F160" s="106">
        <f>VLOOKUP(F159,Capacity!$A$1:$C$645,2,TRUE)</f>
        <v>21</v>
      </c>
      <c r="G160" s="106">
        <f>VLOOKUP(G159,Capacity!$A$1:$C$645,2,TRUE)</f>
        <v>20</v>
      </c>
      <c r="H160" s="106">
        <f>VLOOKUP(H159,Capacity!$A$1:$C$645,2,TRUE)</f>
        <v>20</v>
      </c>
      <c r="I160" s="106">
        <f>VLOOKUP(I159,Capacity!$A$1:$C$645,2,TRUE)</f>
        <v>19</v>
      </c>
      <c r="J160" s="106">
        <f>VLOOKUP(J159,Capacity!$A$1:$C$645,2,TRUE)</f>
        <v>19</v>
      </c>
      <c r="K160" s="106">
        <f>VLOOKUP(K159,Capacity!$A$1:$C$645,2,TRUE)</f>
        <v>19</v>
      </c>
      <c r="L160" s="106">
        <f>VLOOKUP(L159,Capacity!$A$1:$C$645,2,TRUE)</f>
        <v>20</v>
      </c>
      <c r="M160" s="106">
        <f>VLOOKUP(M159,Capacity!$A$1:$C$645,2,TRUE)</f>
        <v>21</v>
      </c>
      <c r="N160" s="106">
        <f>VLOOKUP(N159,Capacity!$A$1:$C$645,2,TRUE)</f>
        <v>21</v>
      </c>
      <c r="O160" s="106">
        <f>VLOOKUP(O159,Capacity!$A$1:$C$645,2,TRUE)</f>
        <v>21</v>
      </c>
      <c r="P160" s="106">
        <f>VLOOKUP(P159,Capacity!$A$1:$C$645,2,TRUE)</f>
        <v>21</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83</v>
      </c>
      <c r="D169" s="97">
        <f>VLOOKUP($E$3,'Catchment Births'!$A$1:$U$90,11,FALSE)</f>
        <v>78</v>
      </c>
      <c r="E169" s="97">
        <f>VLOOKUP($E$3,'Catchment Births'!$A$1:$U$90,12,FALSE)</f>
        <v>97</v>
      </c>
      <c r="F169" s="97">
        <f>VLOOKUP($E$3,'Catchment Births'!$A$1:$U$90,13,FALSE)</f>
        <v>74</v>
      </c>
      <c r="G169" s="97">
        <f>VLOOKUP($E$3,'Catchment Births'!$A$1:$U$90,14,FALSE)</f>
        <v>75</v>
      </c>
      <c r="H169" s="97">
        <f>VLOOKUP($E$3,'Catchment Births'!$A$1:$U$90,15,FALSE)</f>
        <v>96</v>
      </c>
      <c r="I169" s="97">
        <f>VLOOKUP($E$3,'Catchment Births'!$A$1:$U$90,16,FALSE)</f>
        <v>101</v>
      </c>
      <c r="J169" s="97">
        <f>VLOOKUP($E$3,'Catchment Births'!$A$1:$U$90,17,FALSE)</f>
        <v>62</v>
      </c>
      <c r="K169" s="97">
        <f>VLOOKUP($E$3,'Catchment Births'!$A$1:$U$90,18,FALSE)</f>
        <v>84</v>
      </c>
      <c r="L169" s="97">
        <f>VLOOKUP($E$3,'Catchment Births'!$A$1:$U$90,19,FALSE)</f>
        <v>90</v>
      </c>
      <c r="M169" s="97">
        <f>VLOOKUP($E$3,'Catchment Births'!$A$1:$U$90,20,FALSE)</f>
        <v>93</v>
      </c>
      <c r="N169" s="97">
        <f>VLOOKUP($E$3,'Catchment Births'!$A$1:$U$90,21,FALSE)</f>
        <v>90</v>
      </c>
    </row>
    <row r="170" spans="2:14" ht="58.5" customHeight="1">
      <c r="B170" s="103" t="str">
        <f>"P1 "&amp;A35&amp;" Catchment Population (Actual)"</f>
        <v>P1 ND Catchment Population (Actual)</v>
      </c>
      <c r="C170" s="102" t="e">
        <v>#REF!</v>
      </c>
      <c r="D170" s="102">
        <v>64</v>
      </c>
      <c r="E170" s="102">
        <v>65</v>
      </c>
      <c r="F170" s="102">
        <v>66</v>
      </c>
      <c r="G170" s="102">
        <v>79</v>
      </c>
      <c r="H170" s="102">
        <v>85</v>
      </c>
      <c r="I170" s="102">
        <v>93</v>
      </c>
      <c r="J170" s="308">
        <f>VLOOKUP(E3,'Catchment Projections'!A1:BU92,42,FALSE)</f>
        <v>70</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93</v>
      </c>
      <c r="J172" s="96" t="e">
        <f>#REF!</f>
        <v>#REF!</v>
      </c>
      <c r="K172" s="96">
        <f>D51</f>
        <v>92</v>
      </c>
      <c r="L172" s="96">
        <f>E51</f>
        <v>89</v>
      </c>
      <c r="M172" s="96">
        <f>F51</f>
        <v>58</v>
      </c>
      <c r="N172" s="96">
        <f>G51</f>
        <v>62</v>
      </c>
    </row>
    <row r="173" spans="2:14" ht="12.75">
      <c r="B173" s="62"/>
      <c r="C173" s="62"/>
      <c r="D173" s="62"/>
      <c r="E173" s="62"/>
      <c r="F173" s="62"/>
      <c r="G173" s="62"/>
      <c r="H173" s="62"/>
      <c r="I173" s="62"/>
      <c r="J173" s="62"/>
      <c r="K173" s="62"/>
    </row>
    <row r="174" spans="2:14" ht="15" customHeight="1">
      <c r="B174" s="64" t="str">
        <f>"Table 5: "&amp;E3&amp;" Roll by Stage, 2002-2018"</f>
        <v>Table 5: James Gillespie's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56</v>
      </c>
      <c r="D177" s="93">
        <v>66</v>
      </c>
      <c r="E177" s="93">
        <v>63</v>
      </c>
      <c r="F177" s="93">
        <v>61</v>
      </c>
      <c r="G177" s="93">
        <v>66</v>
      </c>
      <c r="H177" s="93">
        <v>66</v>
      </c>
      <c r="I177" s="93">
        <v>63</v>
      </c>
      <c r="J177" s="92">
        <v>441</v>
      </c>
      <c r="K177" s="62"/>
    </row>
    <row r="178" spans="2:11" ht="15" customHeight="1">
      <c r="B178" s="94">
        <v>2003</v>
      </c>
      <c r="C178" s="93">
        <v>59</v>
      </c>
      <c r="D178" s="93">
        <v>60</v>
      </c>
      <c r="E178" s="93">
        <v>66</v>
      </c>
      <c r="F178" s="93">
        <v>65</v>
      </c>
      <c r="G178" s="93">
        <v>62</v>
      </c>
      <c r="H178" s="93">
        <v>64</v>
      </c>
      <c r="I178" s="93">
        <v>65</v>
      </c>
      <c r="J178" s="92">
        <v>441</v>
      </c>
      <c r="K178" s="62"/>
    </row>
    <row r="179" spans="2:11" customFormat="1" ht="15" customHeight="1">
      <c r="B179" s="94">
        <v>2004</v>
      </c>
      <c r="C179" s="95">
        <v>60</v>
      </c>
      <c r="D179" s="95">
        <v>58</v>
      </c>
      <c r="E179" s="95">
        <v>56</v>
      </c>
      <c r="F179" s="95">
        <v>66</v>
      </c>
      <c r="G179" s="95">
        <v>66</v>
      </c>
      <c r="H179" s="95">
        <v>62</v>
      </c>
      <c r="I179" s="95">
        <v>61</v>
      </c>
      <c r="J179" s="92">
        <v>429</v>
      </c>
      <c r="K179" s="62"/>
    </row>
    <row r="180" spans="2:11" customFormat="1" ht="15" customHeight="1">
      <c r="B180" s="94">
        <v>2005</v>
      </c>
      <c r="C180" s="93">
        <v>55</v>
      </c>
      <c r="D180" s="93">
        <v>56</v>
      </c>
      <c r="E180" s="93">
        <v>59</v>
      </c>
      <c r="F180" s="93">
        <v>56</v>
      </c>
      <c r="G180" s="93">
        <v>62</v>
      </c>
      <c r="H180" s="93">
        <v>65</v>
      </c>
      <c r="I180" s="93">
        <v>62</v>
      </c>
      <c r="J180" s="92">
        <v>415</v>
      </c>
      <c r="K180" s="62"/>
    </row>
    <row r="181" spans="2:11" customFormat="1" ht="15" customHeight="1">
      <c r="B181" s="94">
        <v>2006</v>
      </c>
      <c r="C181" s="93">
        <v>54</v>
      </c>
      <c r="D181" s="93">
        <v>55</v>
      </c>
      <c r="E181" s="93">
        <v>57</v>
      </c>
      <c r="F181" s="93">
        <v>61</v>
      </c>
      <c r="G181" s="93">
        <v>57</v>
      </c>
      <c r="H181" s="93">
        <v>62</v>
      </c>
      <c r="I181" s="93">
        <v>63</v>
      </c>
      <c r="J181" s="92">
        <v>409</v>
      </c>
      <c r="K181" s="62"/>
    </row>
    <row r="182" spans="2:11" customFormat="1" ht="15" customHeight="1">
      <c r="B182" s="94">
        <v>2007</v>
      </c>
      <c r="C182" s="93">
        <v>61</v>
      </c>
      <c r="D182" s="93">
        <v>60</v>
      </c>
      <c r="E182" s="93">
        <v>57</v>
      </c>
      <c r="F182" s="93">
        <v>60</v>
      </c>
      <c r="G182" s="93">
        <v>57</v>
      </c>
      <c r="H182" s="93">
        <v>56</v>
      </c>
      <c r="I182" s="93">
        <v>61</v>
      </c>
      <c r="J182" s="92">
        <v>412</v>
      </c>
      <c r="K182" s="62"/>
    </row>
    <row r="183" spans="2:11" customFormat="1" ht="15" customHeight="1">
      <c r="B183" s="94">
        <v>2008</v>
      </c>
      <c r="C183" s="93">
        <v>51</v>
      </c>
      <c r="D183" s="93">
        <v>59</v>
      </c>
      <c r="E183" s="93">
        <v>58</v>
      </c>
      <c r="F183" s="93">
        <v>56</v>
      </c>
      <c r="G183" s="93">
        <v>59</v>
      </c>
      <c r="H183" s="93">
        <v>59</v>
      </c>
      <c r="I183" s="93">
        <v>55</v>
      </c>
      <c r="J183" s="92">
        <v>397</v>
      </c>
      <c r="K183" s="62"/>
    </row>
    <row r="184" spans="2:11" customFormat="1" ht="15" customHeight="1">
      <c r="B184" s="94">
        <v>2009</v>
      </c>
      <c r="C184" s="93">
        <v>66</v>
      </c>
      <c r="D184" s="93">
        <v>49</v>
      </c>
      <c r="E184" s="93">
        <v>60</v>
      </c>
      <c r="F184" s="93">
        <v>58</v>
      </c>
      <c r="G184" s="93">
        <v>53</v>
      </c>
      <c r="H184" s="93">
        <v>60</v>
      </c>
      <c r="I184" s="93">
        <v>57</v>
      </c>
      <c r="J184" s="94">
        <v>403</v>
      </c>
      <c r="K184" s="62"/>
    </row>
    <row r="185" spans="2:11" customFormat="1" ht="15" customHeight="1">
      <c r="B185" s="94">
        <v>2010</v>
      </c>
      <c r="C185" s="93">
        <v>57</v>
      </c>
      <c r="D185" s="93">
        <v>66</v>
      </c>
      <c r="E185" s="93">
        <v>49</v>
      </c>
      <c r="F185" s="93">
        <v>58</v>
      </c>
      <c r="G185" s="93">
        <v>59</v>
      </c>
      <c r="H185" s="93">
        <v>55</v>
      </c>
      <c r="I185" s="93">
        <v>58</v>
      </c>
      <c r="J185" s="92">
        <v>402</v>
      </c>
      <c r="K185" s="62"/>
    </row>
    <row r="186" spans="2:11" customFormat="1" ht="15" customHeight="1">
      <c r="B186" s="94">
        <v>2011</v>
      </c>
      <c r="C186" s="93">
        <v>60</v>
      </c>
      <c r="D186" s="93">
        <v>58</v>
      </c>
      <c r="E186" s="93">
        <v>65</v>
      </c>
      <c r="F186" s="93">
        <v>49</v>
      </c>
      <c r="G186" s="93">
        <v>60</v>
      </c>
      <c r="H186" s="93">
        <v>57</v>
      </c>
      <c r="I186" s="93">
        <v>57</v>
      </c>
      <c r="J186" s="92">
        <v>406</v>
      </c>
      <c r="K186" s="62"/>
    </row>
    <row r="187" spans="2:11" customFormat="1" ht="15" customHeight="1">
      <c r="B187" s="94">
        <v>2012</v>
      </c>
      <c r="C187" s="93">
        <v>60</v>
      </c>
      <c r="D187" s="93">
        <v>59</v>
      </c>
      <c r="E187" s="93">
        <v>60</v>
      </c>
      <c r="F187" s="93">
        <v>62</v>
      </c>
      <c r="G187" s="93">
        <v>50</v>
      </c>
      <c r="H187" s="93">
        <v>60</v>
      </c>
      <c r="I187" s="93">
        <v>56</v>
      </c>
      <c r="J187" s="92">
        <v>407</v>
      </c>
      <c r="K187" s="62"/>
    </row>
    <row r="188" spans="2:11" customFormat="1" ht="15" customHeight="1">
      <c r="B188" s="94">
        <v>2013</v>
      </c>
      <c r="C188" s="93">
        <v>75</v>
      </c>
      <c r="D188" s="93">
        <v>61</v>
      </c>
      <c r="E188" s="93">
        <v>58</v>
      </c>
      <c r="F188" s="93">
        <v>59</v>
      </c>
      <c r="G188" s="93">
        <v>60</v>
      </c>
      <c r="H188" s="93">
        <v>49</v>
      </c>
      <c r="I188" s="93">
        <v>57</v>
      </c>
      <c r="J188" s="94">
        <v>419</v>
      </c>
      <c r="K188" s="62"/>
    </row>
    <row r="189" spans="2:11" customFormat="1" ht="15" customHeight="1">
      <c r="B189" s="94">
        <v>2014</v>
      </c>
      <c r="C189" s="93">
        <v>85</v>
      </c>
      <c r="D189" s="93">
        <v>83</v>
      </c>
      <c r="E189" s="93">
        <v>60</v>
      </c>
      <c r="F189" s="93">
        <v>60</v>
      </c>
      <c r="G189" s="93">
        <v>55</v>
      </c>
      <c r="H189" s="93">
        <v>59</v>
      </c>
      <c r="I189" s="93">
        <v>49</v>
      </c>
      <c r="J189" s="92">
        <v>451</v>
      </c>
      <c r="K189" s="65"/>
    </row>
    <row r="190" spans="2:11" customFormat="1" ht="15" customHeight="1">
      <c r="B190" s="94">
        <v>2015</v>
      </c>
      <c r="C190" s="93">
        <v>88</v>
      </c>
      <c r="D190" s="93">
        <v>85</v>
      </c>
      <c r="E190" s="93">
        <v>87</v>
      </c>
      <c r="F190" s="93">
        <v>59</v>
      </c>
      <c r="G190" s="93">
        <v>60</v>
      </c>
      <c r="H190" s="93">
        <v>57</v>
      </c>
      <c r="I190" s="93">
        <v>59</v>
      </c>
      <c r="J190" s="92">
        <v>495</v>
      </c>
      <c r="K190" s="65"/>
    </row>
    <row r="191" spans="2:11" customFormat="1" ht="15" customHeight="1">
      <c r="B191" s="94">
        <v>2016</v>
      </c>
      <c r="C191" s="93">
        <v>81</v>
      </c>
      <c r="D191" s="93">
        <v>90</v>
      </c>
      <c r="E191" s="93">
        <v>85</v>
      </c>
      <c r="F191" s="93">
        <v>89</v>
      </c>
      <c r="G191" s="93">
        <v>60</v>
      </c>
      <c r="H191" s="93">
        <v>59</v>
      </c>
      <c r="I191" s="93">
        <v>60</v>
      </c>
      <c r="J191" s="92">
        <v>524</v>
      </c>
      <c r="K191" s="65"/>
    </row>
    <row r="192" spans="2:11" ht="15" customHeight="1">
      <c r="B192" s="94">
        <v>2017</v>
      </c>
      <c r="C192" s="93">
        <f>VLOOKUP($E$3,Rolls!A1:FA90,42,FALSE)</f>
        <v>86</v>
      </c>
      <c r="D192" s="93">
        <f>VLOOKUP($E$3,Rolls!A1:FA90,43,FALSE)</f>
        <v>82</v>
      </c>
      <c r="E192" s="93">
        <f>VLOOKUP($E$3,Rolls!A1:FA90,44,FALSE)</f>
        <v>90</v>
      </c>
      <c r="F192" s="93">
        <f>VLOOKUP($E$3,Rolls!A1:FA90,45,FALSE)</f>
        <v>83</v>
      </c>
      <c r="G192" s="93">
        <f>VLOOKUP($E$3,Rolls!A1:FA90,46,FALSE)</f>
        <v>89</v>
      </c>
      <c r="H192" s="93">
        <f>VLOOKUP($E$3,Rolls!A1:FA90,47,FALSE)</f>
        <v>65</v>
      </c>
      <c r="I192" s="93">
        <f>VLOOKUP($E$3,Rolls!A1:FA90,48,FALSE)</f>
        <v>62</v>
      </c>
      <c r="J192" s="92">
        <f>VLOOKUP($E$3,Rolls!A1:FA90,49,FALSE)</f>
        <v>557</v>
      </c>
      <c r="K192" s="65"/>
    </row>
    <row r="193" spans="2:11" ht="15" customHeight="1">
      <c r="B193" s="94">
        <v>2018</v>
      </c>
      <c r="C193" s="93">
        <f>VLOOKUP($E$3,Rolls!A1:FA90,50,FALSE)</f>
        <v>88</v>
      </c>
      <c r="D193" s="93">
        <f>VLOOKUP($E$3,Rolls!A1:FA90,51,FALSE)</f>
        <v>87</v>
      </c>
      <c r="E193" s="93">
        <f>VLOOKUP($E$3,Rolls!A1:FA90,52,FALSE)</f>
        <v>87</v>
      </c>
      <c r="F193" s="93">
        <f>VLOOKUP($E$3,Rolls!A1:FA90,53,FALSE)</f>
        <v>93</v>
      </c>
      <c r="G193" s="93">
        <f>VLOOKUP($E$3,Rolls!A1:FA90,54,FALSE)</f>
        <v>86</v>
      </c>
      <c r="H193" s="93">
        <f>VLOOKUP($E$3,Rolls!A1:FA90,55,FALSE)</f>
        <v>89</v>
      </c>
      <c r="I193" s="93">
        <f>VLOOKUP($E$3,Rolls!A1:FA90,56,FALSE)</f>
        <v>66</v>
      </c>
      <c r="J193" s="92">
        <f>VLOOKUP($E$3,Rolls!A1:FA90,57,FALSE)</f>
        <v>596</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42</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Juniper Green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434 Pupils (15 classes)</v>
      </c>
      <c r="G12" s="16"/>
      <c r="H12" s="16"/>
    </row>
    <row r="13" spans="2:10" ht="15" customHeight="1">
      <c r="C13" s="16"/>
      <c r="D13" s="16"/>
      <c r="E13" s="16"/>
      <c r="F13" s="16"/>
      <c r="G13" s="16"/>
      <c r="H13" s="16"/>
    </row>
    <row r="14" spans="2:10" ht="15" customHeight="1">
      <c r="B14" s="15" t="str">
        <f>"Figure 1: "&amp;E3&amp;" Roll, 2002-2015"</f>
        <v>Figure 1: Juniper Green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Juniper Green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71</v>
      </c>
      <c r="E49" s="108">
        <f>VLOOKUP($E$3,'Catchment Projections'!$A$1:$BU$90,46,FALSE)</f>
        <v>50</v>
      </c>
      <c r="F49" s="108">
        <f>VLOOKUP($E$3,'Catchment Projections'!$A$1:$BU$90,47,FALSE)</f>
        <v>44</v>
      </c>
      <c r="G49" s="108">
        <f>VLOOKUP($E$3,'Catchment Projections'!$A$1:$BU$90,48,FALSE)</f>
        <v>65</v>
      </c>
      <c r="H49" s="133">
        <f>VLOOKUP($E$3,'Catchment Projections'!$A$1:$BU$90,49,FALSE)</f>
        <v>54</v>
      </c>
      <c r="I49" s="133">
        <f>VLOOKUP($E$3,'Catchment Projections'!$A$1:$BU$90,50,FALSE)</f>
        <v>54</v>
      </c>
      <c r="J49" s="133">
        <f>VLOOKUP($E$3,'Catchment Projections'!$A$1:$BU$90,51,FALSE)</f>
        <v>55</v>
      </c>
      <c r="K49" s="133">
        <f>VLOOKUP($E$3,'Catchment Projections'!$A$1:$BU$90,52,FALSE)</f>
        <v>56</v>
      </c>
      <c r="L49" s="133">
        <f>VLOOKUP($E$3,'Catchment Projections'!$A$1:$BU$90,53,FALSE)</f>
        <v>56</v>
      </c>
      <c r="M49" s="133">
        <f>VLOOKUP($E$3,'Catchment Projections'!$A$1:$BU$90,54,FALSE)</f>
        <v>56</v>
      </c>
      <c r="N49" s="133">
        <f>VLOOKUP($E$3,'Catchment Projections'!$A$1:$BU$90,55,FALSE)</f>
        <v>56</v>
      </c>
      <c r="O49" s="133">
        <f>VLOOKUP($E$3,'Catchment Projections'!$A$1:$BU$90,56,FALSE)</f>
        <v>57</v>
      </c>
      <c r="P49" s="133">
        <f>VLOOKUP($E$3,'Catchment Projections'!$A$1:$BU$90,57,FALSE)</f>
        <v>57</v>
      </c>
      <c r="Q49" s="133">
        <f>VLOOKUP($E$3,'Catchment Projections'!$A$1:$BU$90,58,FALSE)</f>
        <v>57</v>
      </c>
    </row>
    <row r="50" spans="2:17" ht="15" customHeight="1" thickBot="1">
      <c r="B50" s="410" t="s">
        <v>141</v>
      </c>
      <c r="C50" s="411"/>
      <c r="D50" s="286">
        <f>VLOOKUP(E3,'Housing Generation'!$A$3:$DQ$90,10,FALSE)</f>
        <v>0</v>
      </c>
      <c r="E50" s="286">
        <f>VLOOKUP(E3,'Housing Generation'!$A$3:$DQ$90,18,FALSE)</f>
        <v>0</v>
      </c>
      <c r="F50" s="286">
        <f>VLOOKUP(E3,'Housing Generation'!$A$3:$DQ$90,26,FALSE)</f>
        <v>0</v>
      </c>
      <c r="G50" s="243">
        <f>VLOOKUP(E3,'Housing Generation'!$A$3:$DQ$90,34,FALSE)</f>
        <v>1</v>
      </c>
      <c r="H50" s="133">
        <f>VLOOKUP(E3,'Housing Generation'!$A$3:$DQ$90,42,FALSE)</f>
        <v>3</v>
      </c>
      <c r="I50" s="133">
        <f>VLOOKUP(E3,'Housing Generation'!$A$3:$DQ$90,50,FALSE)</f>
        <v>4</v>
      </c>
      <c r="J50" s="133">
        <f>VLOOKUP(E3,'Housing Generation'!$A$3:$CK$90,58,FALSE)</f>
        <v>6</v>
      </c>
      <c r="K50" s="133">
        <f>VLOOKUP(E3,'Housing Generation'!$A$3:$CK$90,66,FALSE)</f>
        <v>6</v>
      </c>
      <c r="L50" s="133">
        <f>VLOOKUP(E3,'Housing Generation'!$A$3:$DQ$90,74,FALSE)</f>
        <v>6</v>
      </c>
      <c r="M50" s="133">
        <f>VLOOKUP(E3,'Housing Generation'!$A$3:$DQ$90,82,FALSE)</f>
        <v>6</v>
      </c>
      <c r="N50" s="133">
        <f>VLOOKUP(E3,'Housing Generation'!$A$3:$DQ$90,90,FALSE)</f>
        <v>6</v>
      </c>
      <c r="O50" s="133">
        <f>VLOOKUP(E3,'Housing Generation'!$A$3:$DQ$90,98,FALSE)</f>
        <v>6</v>
      </c>
      <c r="P50" s="133">
        <f>VLOOKUP(E3,'Housing Generation'!$A$3:$DQ$90,106,FALSE)</f>
        <v>6</v>
      </c>
      <c r="Q50" s="133">
        <f>VLOOKUP(E3,'Housing Generation'!$A$3:$DQ$90,114,FALSE)</f>
        <v>6</v>
      </c>
    </row>
    <row r="51" spans="2:17" ht="15" customHeight="1" thickTop="1">
      <c r="B51" s="421" t="s">
        <v>130</v>
      </c>
      <c r="C51" s="422"/>
      <c r="D51" s="47">
        <f t="shared" ref="D51:Q51" si="0">SUM(D49:D50)</f>
        <v>71</v>
      </c>
      <c r="E51" s="47">
        <f t="shared" si="0"/>
        <v>50</v>
      </c>
      <c r="F51" s="80">
        <f t="shared" si="0"/>
        <v>44</v>
      </c>
      <c r="G51" s="244">
        <f t="shared" si="0"/>
        <v>66</v>
      </c>
      <c r="H51" s="71">
        <f t="shared" si="0"/>
        <v>57</v>
      </c>
      <c r="I51" s="71">
        <f t="shared" si="0"/>
        <v>58</v>
      </c>
      <c r="J51" s="71">
        <f t="shared" si="0"/>
        <v>61</v>
      </c>
      <c r="K51" s="71">
        <f t="shared" si="0"/>
        <v>62</v>
      </c>
      <c r="L51" s="71">
        <f t="shared" si="0"/>
        <v>62</v>
      </c>
      <c r="M51" s="71">
        <f t="shared" si="0"/>
        <v>62</v>
      </c>
      <c r="N51" s="71">
        <f t="shared" si="0"/>
        <v>62</v>
      </c>
      <c r="O51" s="71">
        <f t="shared" si="0"/>
        <v>63</v>
      </c>
      <c r="P51" s="71">
        <f t="shared" si="0"/>
        <v>63</v>
      </c>
      <c r="Q51" s="71">
        <f t="shared" si="0"/>
        <v>63</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49</v>
      </c>
      <c r="D60" s="358">
        <f>VLOOKUP($E$3,'Catchment Projections'!$A$1:$BZ$90,74,FALSE)</f>
        <v>47</v>
      </c>
      <c r="E60" s="303">
        <f>D60/C60</f>
        <v>0.95918367346938771</v>
      </c>
      <c r="G60" s="132">
        <v>2014</v>
      </c>
      <c r="H60" s="395">
        <f>VLOOKUP($G$60,$B$177:$C$215, 2, FALSE)</f>
        <v>59</v>
      </c>
      <c r="I60" s="120">
        <f>H60-D60</f>
        <v>12</v>
      </c>
      <c r="J60" s="121">
        <f>I60/H60</f>
        <v>0.20338983050847459</v>
      </c>
    </row>
    <row r="61" spans="2:17" ht="15" customHeight="1">
      <c r="B61" s="132">
        <v>2015</v>
      </c>
      <c r="C61" s="359">
        <f>VLOOKUP($E$3,'Catchment Projections'!$A$1:$BZ$90,41,FALSE)</f>
        <v>62</v>
      </c>
      <c r="D61" s="358">
        <f>VLOOKUP($E$3,'Catchment Projections'!$A$1:$BZ$90,75,FALSE)</f>
        <v>61</v>
      </c>
      <c r="E61" s="303">
        <f>D61/C61</f>
        <v>0.9838709677419355</v>
      </c>
      <c r="G61" s="132">
        <v>2015</v>
      </c>
      <c r="H61" s="395">
        <f>VLOOKUP($G$61,$B$177:$C$215, 2, FALSE)</f>
        <v>63</v>
      </c>
      <c r="I61" s="120">
        <f>H61-D61</f>
        <v>2</v>
      </c>
      <c r="J61" s="121">
        <f>I61/H61</f>
        <v>3.1746031746031744E-2</v>
      </c>
    </row>
    <row r="62" spans="2:17" ht="15" customHeight="1">
      <c r="B62" s="131">
        <v>2016</v>
      </c>
      <c r="C62" s="359">
        <f>VLOOKUP($E$3,'Catchment Projections'!$A$1:$BZ$90,42,FALSE)</f>
        <v>54</v>
      </c>
      <c r="D62" s="358">
        <f>VLOOKUP($E$3,'Catchment Projections'!$A$1:$BZ$90,76,FALSE)</f>
        <v>53</v>
      </c>
      <c r="E62" s="57">
        <f>D62/C62</f>
        <v>0.98148148148148151</v>
      </c>
      <c r="G62" s="131">
        <v>2016</v>
      </c>
      <c r="H62" s="395">
        <f>VLOOKUP($G$62,$B$177:$C$215, 2, FALSE)</f>
        <v>57</v>
      </c>
      <c r="I62" s="120">
        <f>H62-D62</f>
        <v>4</v>
      </c>
      <c r="J62" s="121">
        <f>I62/H62</f>
        <v>7.0175438596491224E-2</v>
      </c>
    </row>
    <row r="63" spans="2:17" ht="15" customHeight="1">
      <c r="B63" s="114">
        <v>2017</v>
      </c>
      <c r="C63" s="359">
        <f>VLOOKUP($E$3,'Catchment Projections'!$A$1:$BZ$90,43,FALSE)</f>
        <v>53</v>
      </c>
      <c r="D63" s="358">
        <f>VLOOKUP($E$3,'Catchment Projections'!$A$1:$BZ$90,77,FALSE)</f>
        <v>50</v>
      </c>
      <c r="E63" s="304">
        <f>D63/C63</f>
        <v>0.94339622641509435</v>
      </c>
      <c r="G63" s="114">
        <v>2017</v>
      </c>
      <c r="H63" s="395">
        <f>VLOOKUP($G$63,$B$177:$C$215, 2, FALSE)</f>
        <v>53</v>
      </c>
      <c r="I63" s="120">
        <f>H63-D63</f>
        <v>3</v>
      </c>
      <c r="J63" s="121">
        <f>I63/H63</f>
        <v>5.6603773584905662E-2</v>
      </c>
    </row>
    <row r="64" spans="2:17" ht="15" customHeight="1">
      <c r="B64" s="114">
        <v>2018</v>
      </c>
      <c r="C64" s="359">
        <f>VLOOKUP($E$3,'Catchment Projections'!$A$1:$BZ$90,44,FALSE)</f>
        <v>39</v>
      </c>
      <c r="D64" s="358">
        <f>VLOOKUP($E$3,'Catchment Projections'!$A$1:$BZ$90,78,FALSE)</f>
        <v>38</v>
      </c>
      <c r="E64" s="305">
        <f>D64/C64</f>
        <v>0.97435897435897434</v>
      </c>
      <c r="G64" s="114">
        <v>2018</v>
      </c>
      <c r="H64" s="395">
        <f>VLOOKUP($G$64,$B$177:$C$215, 2, FALSE)</f>
        <v>47</v>
      </c>
      <c r="I64" s="120">
        <f>H64-D64</f>
        <v>9</v>
      </c>
      <c r="J64" s="121">
        <f>I64/H64</f>
        <v>0.19148936170212766</v>
      </c>
    </row>
    <row r="65" spans="2:10" ht="15" customHeight="1">
      <c r="B65" s="412" t="s">
        <v>136</v>
      </c>
      <c r="C65" s="413"/>
      <c r="D65" s="414"/>
      <c r="E65" s="137">
        <f>IF((AVERAGE(E62:E64))="#DIV/0!","n/a",(AVERAGE(E62:E64)))</f>
        <v>0.96641222741851684</v>
      </c>
      <c r="G65" s="415" t="s">
        <v>137</v>
      </c>
      <c r="H65" s="416"/>
      <c r="I65" s="138">
        <f>MEDIAN(I60:I64)</f>
        <v>4</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71</v>
      </c>
      <c r="D70" s="408"/>
      <c r="E70" s="122">
        <f>E65</f>
        <v>0.96641222741851684</v>
      </c>
      <c r="F70" s="120">
        <f t="shared" ref="F70:F83" si="1">C70*$E$65</f>
        <v>68.615268146714698</v>
      </c>
      <c r="G70" s="118">
        <f>IF(F70&lt;26,25,IF(F70&gt;135,140,IF(F70&gt;130,135,IF(F70&gt;125,130,IF(F70&gt;120,125,IF(F70&gt;115,120,IF(F70&gt;110,115,IF(F70&gt;105,110,IF(F70&gt;100,105,IF(F70&gt;99,100,IF(F70&gt;90,99,IF(F70&gt;75,90,IF(F70&gt;72,75,IF(F70&gt;66,72,IF(F70&gt;60,66,IF(F70&gt;50,60,IF(F70&gt;30,50,IF(F70&gt;25,30,0))))))))))))))))))</f>
        <v>72</v>
      </c>
      <c r="H70" s="119">
        <f t="shared" ref="H70:H83" si="2">G70-F70</f>
        <v>3.3847318532853023</v>
      </c>
      <c r="I70" s="118" t="str">
        <f>IF(I$65&lt;H70, "NO", "YES")</f>
        <v>YES</v>
      </c>
      <c r="J70" s="117">
        <f t="shared" ref="J70:J83" si="3">IF(I70="YES",G70,(MIN((SUM(F70,$I$65)),G70)))</f>
        <v>72</v>
      </c>
    </row>
    <row r="71" spans="2:10" ht="15" customHeight="1">
      <c r="B71" s="114">
        <v>2020</v>
      </c>
      <c r="C71" s="433">
        <f>E51</f>
        <v>50</v>
      </c>
      <c r="D71" s="408"/>
      <c r="E71" s="121">
        <f>E65</f>
        <v>0.96641222741851684</v>
      </c>
      <c r="F71" s="120">
        <f t="shared" si="1"/>
        <v>48.320611370925839</v>
      </c>
      <c r="G71" s="118">
        <f t="shared" ref="G71:G83" si="4">IF(F71&lt;26,25,IF(F71&gt;135,140,IF(F71&gt;130,135,IF(F71&gt;125,130,IF(F71&gt;120,125,IF(F71&gt;115,120,IF(F71&gt;110,115,IF(F71&gt;105,110,IF(F71&gt;100,105,IF(F71&gt;99,100,IF(F71&gt;90,99,IF(F71&gt;75,90,IF(F71&gt;72,75,IF(F71&gt;66,72,IF(F71&gt;60,66,IF(F71&gt;50,60,IF(F71&gt;30,50,IF(F71&gt;25,30,0))))))))))))))))))</f>
        <v>50</v>
      </c>
      <c r="H71" s="119">
        <f t="shared" si="2"/>
        <v>1.6793886290741611</v>
      </c>
      <c r="I71" s="118" t="str">
        <f t="shared" ref="I71:I83" si="5">IF(I$65&lt;H71, "NO", "YES")</f>
        <v>YES</v>
      </c>
      <c r="J71" s="117">
        <f t="shared" si="3"/>
        <v>50</v>
      </c>
    </row>
    <row r="72" spans="2:10" ht="15" customHeight="1">
      <c r="B72" s="114">
        <v>2021</v>
      </c>
      <c r="C72" s="430">
        <f>F51</f>
        <v>44</v>
      </c>
      <c r="D72" s="431"/>
      <c r="E72" s="121">
        <f>E65</f>
        <v>0.96641222741851684</v>
      </c>
      <c r="F72" s="120">
        <f t="shared" si="1"/>
        <v>42.522138006414743</v>
      </c>
      <c r="G72" s="118">
        <f t="shared" si="4"/>
        <v>50</v>
      </c>
      <c r="H72" s="119">
        <f t="shared" si="2"/>
        <v>7.4778619935852575</v>
      </c>
      <c r="I72" s="118" t="str">
        <f t="shared" si="5"/>
        <v>NO</v>
      </c>
      <c r="J72" s="117">
        <f t="shared" si="3"/>
        <v>46.522138006414743</v>
      </c>
    </row>
    <row r="73" spans="2:10" ht="15" customHeight="1">
      <c r="B73" s="114">
        <v>2022</v>
      </c>
      <c r="C73" s="430">
        <f>G51</f>
        <v>66</v>
      </c>
      <c r="D73" s="431"/>
      <c r="E73" s="121">
        <f>E65</f>
        <v>0.96641222741851684</v>
      </c>
      <c r="F73" s="120">
        <f t="shared" si="1"/>
        <v>63.78320700962211</v>
      </c>
      <c r="G73" s="118">
        <f t="shared" si="4"/>
        <v>66</v>
      </c>
      <c r="H73" s="119">
        <f t="shared" si="2"/>
        <v>2.2167929903778898</v>
      </c>
      <c r="I73" s="118" t="str">
        <f t="shared" si="5"/>
        <v>YES</v>
      </c>
      <c r="J73" s="117">
        <f t="shared" si="3"/>
        <v>66</v>
      </c>
    </row>
    <row r="74" spans="2:10" ht="15" customHeight="1">
      <c r="B74" s="114">
        <v>2023</v>
      </c>
      <c r="C74" s="430">
        <f>H51</f>
        <v>57</v>
      </c>
      <c r="D74" s="431"/>
      <c r="E74" s="121">
        <f>E65</f>
        <v>0.96641222741851684</v>
      </c>
      <c r="F74" s="120">
        <f t="shared" si="1"/>
        <v>55.085496962855458</v>
      </c>
      <c r="G74" s="118">
        <f t="shared" si="4"/>
        <v>60</v>
      </c>
      <c r="H74" s="119">
        <f t="shared" si="2"/>
        <v>4.9145030371445415</v>
      </c>
      <c r="I74" s="118" t="str">
        <f t="shared" si="5"/>
        <v>NO</v>
      </c>
      <c r="J74" s="117">
        <f t="shared" si="3"/>
        <v>59.085496962855458</v>
      </c>
    </row>
    <row r="75" spans="2:10" ht="15" customHeight="1">
      <c r="B75" s="114">
        <v>2024</v>
      </c>
      <c r="C75" s="430">
        <f>I51</f>
        <v>58</v>
      </c>
      <c r="D75" s="431"/>
      <c r="E75" s="121">
        <f>E65</f>
        <v>0.96641222741851684</v>
      </c>
      <c r="F75" s="120">
        <f t="shared" si="1"/>
        <v>56.051909190273975</v>
      </c>
      <c r="G75" s="118">
        <f t="shared" si="4"/>
        <v>60</v>
      </c>
      <c r="H75" s="119">
        <f t="shared" si="2"/>
        <v>3.9480908097260254</v>
      </c>
      <c r="I75" s="118" t="str">
        <f t="shared" si="5"/>
        <v>YES</v>
      </c>
      <c r="J75" s="117">
        <f t="shared" si="3"/>
        <v>60</v>
      </c>
    </row>
    <row r="76" spans="2:10" ht="15" customHeight="1">
      <c r="B76" s="114">
        <v>2025</v>
      </c>
      <c r="C76" s="430">
        <f>J51</f>
        <v>61</v>
      </c>
      <c r="D76" s="431"/>
      <c r="E76" s="121">
        <f>E65</f>
        <v>0.96641222741851684</v>
      </c>
      <c r="F76" s="120">
        <f t="shared" si="1"/>
        <v>58.95114587252953</v>
      </c>
      <c r="G76" s="118">
        <f t="shared" si="4"/>
        <v>60</v>
      </c>
      <c r="H76" s="119">
        <f t="shared" si="2"/>
        <v>1.0488541274704701</v>
      </c>
      <c r="I76" s="118" t="str">
        <f t="shared" si="5"/>
        <v>YES</v>
      </c>
      <c r="J76" s="117">
        <f t="shared" si="3"/>
        <v>60</v>
      </c>
    </row>
    <row r="77" spans="2:10" ht="15" customHeight="1">
      <c r="B77" s="114">
        <v>2026</v>
      </c>
      <c r="C77" s="430">
        <f>K51</f>
        <v>62</v>
      </c>
      <c r="D77" s="431"/>
      <c r="E77" s="121">
        <f>E65</f>
        <v>0.96641222741851684</v>
      </c>
      <c r="F77" s="120">
        <f t="shared" si="1"/>
        <v>59.917558099948046</v>
      </c>
      <c r="G77" s="118">
        <f t="shared" si="4"/>
        <v>60</v>
      </c>
      <c r="H77" s="119">
        <f t="shared" si="2"/>
        <v>8.2441900051954065E-2</v>
      </c>
      <c r="I77" s="118" t="str">
        <f t="shared" si="5"/>
        <v>YES</v>
      </c>
      <c r="J77" s="117">
        <f t="shared" si="3"/>
        <v>60</v>
      </c>
    </row>
    <row r="78" spans="2:10" ht="15" customHeight="1">
      <c r="B78" s="114">
        <v>2027</v>
      </c>
      <c r="C78" s="430">
        <f>L51</f>
        <v>62</v>
      </c>
      <c r="D78" s="431"/>
      <c r="E78" s="121">
        <f>E65</f>
        <v>0.96641222741851684</v>
      </c>
      <c r="F78" s="120">
        <f t="shared" si="1"/>
        <v>59.917558099948046</v>
      </c>
      <c r="G78" s="118">
        <f t="shared" si="4"/>
        <v>60</v>
      </c>
      <c r="H78" s="119">
        <f t="shared" si="2"/>
        <v>8.2441900051954065E-2</v>
      </c>
      <c r="I78" s="118" t="str">
        <f t="shared" si="5"/>
        <v>YES</v>
      </c>
      <c r="J78" s="117">
        <f t="shared" si="3"/>
        <v>60</v>
      </c>
    </row>
    <row r="79" spans="2:10" ht="15" customHeight="1">
      <c r="B79" s="114">
        <v>2028</v>
      </c>
      <c r="C79" s="430">
        <f>M51</f>
        <v>62</v>
      </c>
      <c r="D79" s="431"/>
      <c r="E79" s="121">
        <f t="shared" ref="E79:E83" si="6">$E$65</f>
        <v>0.96641222741851684</v>
      </c>
      <c r="F79" s="120">
        <f t="shared" si="1"/>
        <v>59.917558099948046</v>
      </c>
      <c r="G79" s="118">
        <f t="shared" si="4"/>
        <v>60</v>
      </c>
      <c r="H79" s="119">
        <f t="shared" si="2"/>
        <v>8.2441900051954065E-2</v>
      </c>
      <c r="I79" s="118" t="str">
        <f t="shared" si="5"/>
        <v>YES</v>
      </c>
      <c r="J79" s="117">
        <f t="shared" si="3"/>
        <v>60</v>
      </c>
    </row>
    <row r="80" spans="2:10" ht="15" customHeight="1">
      <c r="B80" s="114">
        <v>2029</v>
      </c>
      <c r="C80" s="430">
        <f>N51</f>
        <v>62</v>
      </c>
      <c r="D80" s="431"/>
      <c r="E80" s="121">
        <f t="shared" si="6"/>
        <v>0.96641222741851684</v>
      </c>
      <c r="F80" s="120">
        <f t="shared" si="1"/>
        <v>59.917558099948046</v>
      </c>
      <c r="G80" s="118">
        <f t="shared" si="4"/>
        <v>60</v>
      </c>
      <c r="H80" s="119">
        <f t="shared" si="2"/>
        <v>8.2441900051954065E-2</v>
      </c>
      <c r="I80" s="118" t="str">
        <f t="shared" si="5"/>
        <v>YES</v>
      </c>
      <c r="J80" s="117">
        <f t="shared" si="3"/>
        <v>60</v>
      </c>
    </row>
    <row r="81" spans="2:10" ht="15" customHeight="1">
      <c r="B81" s="114">
        <v>2030</v>
      </c>
      <c r="C81" s="430">
        <f>O51</f>
        <v>63</v>
      </c>
      <c r="D81" s="431"/>
      <c r="E81" s="121">
        <f t="shared" si="6"/>
        <v>0.96641222741851684</v>
      </c>
      <c r="F81" s="120">
        <f t="shared" si="1"/>
        <v>60.883970327366562</v>
      </c>
      <c r="G81" s="118">
        <f t="shared" si="4"/>
        <v>66</v>
      </c>
      <c r="H81" s="119">
        <f t="shared" si="2"/>
        <v>5.116029672633438</v>
      </c>
      <c r="I81" s="118" t="str">
        <f t="shared" si="5"/>
        <v>NO</v>
      </c>
      <c r="J81" s="117">
        <f t="shared" si="3"/>
        <v>64.883970327366569</v>
      </c>
    </row>
    <row r="82" spans="2:10" ht="15" customHeight="1">
      <c r="B82" s="114">
        <v>2031</v>
      </c>
      <c r="C82" s="430">
        <f>P51</f>
        <v>63</v>
      </c>
      <c r="D82" s="431"/>
      <c r="E82" s="121">
        <f t="shared" si="6"/>
        <v>0.96641222741851684</v>
      </c>
      <c r="F82" s="120">
        <f t="shared" si="1"/>
        <v>60.883970327366562</v>
      </c>
      <c r="G82" s="118">
        <f t="shared" si="4"/>
        <v>66</v>
      </c>
      <c r="H82" s="119">
        <f t="shared" si="2"/>
        <v>5.116029672633438</v>
      </c>
      <c r="I82" s="118" t="str">
        <f t="shared" si="5"/>
        <v>NO</v>
      </c>
      <c r="J82" s="117">
        <f t="shared" si="3"/>
        <v>64.883970327366569</v>
      </c>
    </row>
    <row r="83" spans="2:10" ht="15" customHeight="1">
      <c r="B83" s="114">
        <v>2032</v>
      </c>
      <c r="C83" s="430">
        <f>Q51</f>
        <v>63</v>
      </c>
      <c r="D83" s="431"/>
      <c r="E83" s="121">
        <f t="shared" si="6"/>
        <v>0.96641222741851684</v>
      </c>
      <c r="F83" s="120">
        <f t="shared" si="1"/>
        <v>60.883970327366562</v>
      </c>
      <c r="G83" s="118">
        <f t="shared" si="4"/>
        <v>66</v>
      </c>
      <c r="H83" s="119">
        <f t="shared" si="2"/>
        <v>5.116029672633438</v>
      </c>
      <c r="I83" s="118" t="str">
        <f t="shared" si="5"/>
        <v>NO</v>
      </c>
      <c r="J83" s="117">
        <f t="shared" si="3"/>
        <v>64.883970327366569</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Juniper Green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60</v>
      </c>
      <c r="D91" s="112">
        <f t="shared" ref="D91:J91" si="7">D188</f>
        <v>60</v>
      </c>
      <c r="E91" s="112">
        <f t="shared" si="7"/>
        <v>58</v>
      </c>
      <c r="F91" s="112">
        <f t="shared" si="7"/>
        <v>63</v>
      </c>
      <c r="G91" s="112">
        <f t="shared" si="7"/>
        <v>52</v>
      </c>
      <c r="H91" s="112">
        <f t="shared" si="7"/>
        <v>52</v>
      </c>
      <c r="I91" s="112">
        <f t="shared" si="7"/>
        <v>59</v>
      </c>
      <c r="J91" s="213">
        <f t="shared" si="7"/>
        <v>404</v>
      </c>
    </row>
    <row r="92" spans="2:10" ht="15" customHeight="1">
      <c r="B92" s="114">
        <v>2014</v>
      </c>
      <c r="C92" s="112">
        <f>C189</f>
        <v>59</v>
      </c>
      <c r="D92" s="112">
        <f t="shared" ref="D92:J92" si="8">D189</f>
        <v>60</v>
      </c>
      <c r="E92" s="112">
        <f t="shared" si="8"/>
        <v>60</v>
      </c>
      <c r="F92" s="112">
        <f t="shared" si="8"/>
        <v>58</v>
      </c>
      <c r="G92" s="112">
        <f t="shared" si="8"/>
        <v>59</v>
      </c>
      <c r="H92" s="112">
        <f t="shared" si="8"/>
        <v>52</v>
      </c>
      <c r="I92" s="112">
        <f t="shared" si="8"/>
        <v>52</v>
      </c>
      <c r="J92" s="213">
        <f t="shared" si="8"/>
        <v>400</v>
      </c>
    </row>
    <row r="93" spans="2:10" ht="15" customHeight="1">
      <c r="B93" s="114">
        <v>2015</v>
      </c>
      <c r="C93" s="112">
        <f>C190</f>
        <v>63</v>
      </c>
      <c r="D93" s="112">
        <f t="shared" ref="D93:J93" si="9">D190</f>
        <v>58</v>
      </c>
      <c r="E93" s="112">
        <f t="shared" si="9"/>
        <v>61</v>
      </c>
      <c r="F93" s="112">
        <f t="shared" si="9"/>
        <v>65</v>
      </c>
      <c r="G93" s="112">
        <f t="shared" si="9"/>
        <v>58</v>
      </c>
      <c r="H93" s="112">
        <f t="shared" si="9"/>
        <v>59</v>
      </c>
      <c r="I93" s="112">
        <f t="shared" si="9"/>
        <v>56</v>
      </c>
      <c r="J93" s="213">
        <f t="shared" si="9"/>
        <v>420</v>
      </c>
    </row>
    <row r="94" spans="2:10" ht="15" customHeight="1">
      <c r="B94" s="114">
        <v>2016</v>
      </c>
      <c r="C94" s="112">
        <f>C191</f>
        <v>57</v>
      </c>
      <c r="D94" s="112">
        <f t="shared" ref="D94:J94" si="10">D191</f>
        <v>64</v>
      </c>
      <c r="E94" s="112">
        <f t="shared" si="10"/>
        <v>59</v>
      </c>
      <c r="F94" s="112">
        <f t="shared" si="10"/>
        <v>61</v>
      </c>
      <c r="G94" s="112">
        <f t="shared" si="10"/>
        <v>63</v>
      </c>
      <c r="H94" s="112">
        <f t="shared" si="10"/>
        <v>59</v>
      </c>
      <c r="I94" s="112">
        <f t="shared" si="10"/>
        <v>57</v>
      </c>
      <c r="J94" s="213">
        <f t="shared" si="10"/>
        <v>420</v>
      </c>
    </row>
    <row r="95" spans="2:10" ht="15" customHeight="1">
      <c r="B95" s="114">
        <v>2017</v>
      </c>
      <c r="C95" s="112">
        <f>C192</f>
        <v>53</v>
      </c>
      <c r="D95" s="112">
        <f t="shared" ref="D95:J95" si="11">D192</f>
        <v>54</v>
      </c>
      <c r="E95" s="112">
        <f t="shared" si="11"/>
        <v>63</v>
      </c>
      <c r="F95" s="112">
        <f t="shared" si="11"/>
        <v>61</v>
      </c>
      <c r="G95" s="112">
        <f t="shared" si="11"/>
        <v>61</v>
      </c>
      <c r="H95" s="112">
        <f t="shared" si="11"/>
        <v>57</v>
      </c>
      <c r="I95" s="112">
        <f t="shared" si="11"/>
        <v>53</v>
      </c>
      <c r="J95" s="213">
        <f t="shared" si="11"/>
        <v>402</v>
      </c>
    </row>
    <row r="96" spans="2:10" ht="15" customHeight="1">
      <c r="B96" s="307">
        <v>2018</v>
      </c>
      <c r="C96" s="112">
        <f t="shared" ref="C96:J96" si="12">C193</f>
        <v>47</v>
      </c>
      <c r="D96" s="112">
        <f t="shared" si="12"/>
        <v>54</v>
      </c>
      <c r="E96" s="112">
        <f t="shared" si="12"/>
        <v>53</v>
      </c>
      <c r="F96" s="112">
        <f t="shared" si="12"/>
        <v>63</v>
      </c>
      <c r="G96" s="112">
        <f t="shared" si="12"/>
        <v>58</v>
      </c>
      <c r="H96" s="112">
        <f t="shared" si="12"/>
        <v>63</v>
      </c>
      <c r="I96" s="112">
        <f t="shared" si="12"/>
        <v>52</v>
      </c>
      <c r="J96" s="213">
        <f t="shared" si="12"/>
        <v>390</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0</v>
      </c>
      <c r="E98" s="210">
        <f t="shared" ref="E98:I98" si="13">MEDIAN(((D91-E92)/D91),((D92-E93)/D92),((D93-E94)/D93),((D94-E95)/D94),((D95-E96)/D95))</f>
        <v>0</v>
      </c>
      <c r="F98" s="210">
        <f t="shared" si="13"/>
        <v>0</v>
      </c>
      <c r="G98" s="210">
        <f t="shared" si="13"/>
        <v>3.0769230769230771E-2</v>
      </c>
      <c r="H98" s="210">
        <f t="shared" si="13"/>
        <v>0</v>
      </c>
      <c r="I98" s="210">
        <f t="shared" si="13"/>
        <v>3.3898305084745763E-2</v>
      </c>
    </row>
    <row r="99" spans="2:10" ht="15" customHeight="1">
      <c r="B99" s="59"/>
      <c r="C99" s="60"/>
      <c r="D99" s="61"/>
      <c r="E99" s="61"/>
      <c r="F99" s="61"/>
      <c r="G99" s="61"/>
      <c r="H99" s="61"/>
      <c r="I99" s="61"/>
      <c r="J99" s="58"/>
    </row>
    <row r="100" spans="2:10" ht="15" customHeight="1">
      <c r="B100" s="15" t="str">
        <f>"Table 4B: "&amp;E3&amp;" Projected Roll by Stage (incorporating Projected P1 and Drop-Off Rates), 2019-2032"</f>
        <v>Table 4B: Juniper Green Primary School Projected Roll by Stage (incorporating Projected P1 and Drop-Off Rates), 2019-2032</v>
      </c>
      <c r="F100" s="14"/>
      <c r="G100" s="14"/>
    </row>
    <row r="101" spans="2:10" ht="15" customHeight="1">
      <c r="F101" s="14"/>
      <c r="G101" s="14"/>
    </row>
    <row r="102" spans="2:10" ht="15" customHeight="1">
      <c r="B102" s="115"/>
      <c r="C102" s="109" t="s">
        <v>1</v>
      </c>
      <c r="D102" s="109" t="s">
        <v>2</v>
      </c>
      <c r="E102" s="109" t="s">
        <v>3</v>
      </c>
      <c r="F102" s="109" t="s">
        <v>4</v>
      </c>
      <c r="G102" s="109" t="s">
        <v>5</v>
      </c>
      <c r="H102" s="109" t="s">
        <v>6</v>
      </c>
      <c r="I102" s="109" t="s">
        <v>7</v>
      </c>
      <c r="J102" s="109" t="s">
        <v>8</v>
      </c>
    </row>
    <row r="103" spans="2:10" ht="15" customHeight="1">
      <c r="B103" s="114">
        <v>2019</v>
      </c>
      <c r="C103" s="113">
        <f t="shared" ref="C103:C116" si="14">J70</f>
        <v>72</v>
      </c>
      <c r="D103" s="324">
        <f>ROUND((C96)-(C96*$D$98),0)</f>
        <v>47</v>
      </c>
      <c r="E103" s="324">
        <f>ROUND((D96)-(D96*$E$98),0)</f>
        <v>54</v>
      </c>
      <c r="F103" s="324">
        <f>ROUND((E96)-(E96*$F$98),0)</f>
        <v>53</v>
      </c>
      <c r="G103" s="324">
        <f>ROUND((F96)-(F96*$G$98),0)</f>
        <v>61</v>
      </c>
      <c r="H103" s="324">
        <f>ROUND((G96)-(G96*$H$98),0)</f>
        <v>58</v>
      </c>
      <c r="I103" s="324">
        <f>ROUND((H96)-(H96*$I$98),0)</f>
        <v>61</v>
      </c>
      <c r="J103" s="111">
        <f t="shared" ref="J103:J116" si="15">SUM(C103:I103)</f>
        <v>406</v>
      </c>
    </row>
    <row r="104" spans="2:10" ht="15" customHeight="1">
      <c r="B104" s="114">
        <v>2020</v>
      </c>
      <c r="C104" s="113">
        <f t="shared" si="14"/>
        <v>50</v>
      </c>
      <c r="D104" s="324">
        <f>ROUND((C103-E50)-(C103*$D$98),0)</f>
        <v>72</v>
      </c>
      <c r="E104" s="112">
        <f t="shared" ref="E104:E116" si="16">ROUND((D103)-(D103*$E$98),0)</f>
        <v>47</v>
      </c>
      <c r="F104" s="112">
        <f t="shared" ref="F104:F116" si="17">ROUND((E103)-(E103*$F$98),0)</f>
        <v>54</v>
      </c>
      <c r="G104" s="112">
        <f t="shared" ref="G104:G116" si="18">ROUND((F103)-(F103*$G$98),0)</f>
        <v>51</v>
      </c>
      <c r="H104" s="112">
        <f t="shared" ref="H104:H116" si="19">ROUND((G103)-(G103*$H$98),0)</f>
        <v>61</v>
      </c>
      <c r="I104" s="112">
        <f t="shared" ref="I104:I116" si="20">ROUND((H103)-(H103*$I$98),0)</f>
        <v>56</v>
      </c>
      <c r="J104" s="111">
        <f t="shared" si="15"/>
        <v>391</v>
      </c>
    </row>
    <row r="105" spans="2:10" ht="15" customHeight="1">
      <c r="B105" s="114">
        <v>2021</v>
      </c>
      <c r="C105" s="113">
        <f t="shared" si="14"/>
        <v>46.522138006414743</v>
      </c>
      <c r="D105" s="324">
        <f>ROUND((C104-F50)-(C104*$D$98),0)</f>
        <v>50</v>
      </c>
      <c r="E105" s="112">
        <f t="shared" si="16"/>
        <v>72</v>
      </c>
      <c r="F105" s="112">
        <f t="shared" si="17"/>
        <v>47</v>
      </c>
      <c r="G105" s="112">
        <f t="shared" si="18"/>
        <v>52</v>
      </c>
      <c r="H105" s="112">
        <f t="shared" si="19"/>
        <v>51</v>
      </c>
      <c r="I105" s="112">
        <f t="shared" si="20"/>
        <v>59</v>
      </c>
      <c r="J105" s="111">
        <f t="shared" si="15"/>
        <v>377.52213800641471</v>
      </c>
    </row>
    <row r="106" spans="2:10" ht="15" customHeight="1">
      <c r="B106" s="114">
        <v>2022</v>
      </c>
      <c r="C106" s="113">
        <f t="shared" si="14"/>
        <v>66</v>
      </c>
      <c r="D106" s="324">
        <f>ROUND((C105-G50)-(C105*$D$98),0)</f>
        <v>46</v>
      </c>
      <c r="E106" s="112">
        <f t="shared" si="16"/>
        <v>50</v>
      </c>
      <c r="F106" s="112">
        <f t="shared" si="17"/>
        <v>72</v>
      </c>
      <c r="G106" s="112">
        <f t="shared" si="18"/>
        <v>46</v>
      </c>
      <c r="H106" s="112">
        <f t="shared" si="19"/>
        <v>52</v>
      </c>
      <c r="I106" s="112">
        <f t="shared" si="20"/>
        <v>49</v>
      </c>
      <c r="J106" s="111">
        <f t="shared" si="15"/>
        <v>381</v>
      </c>
    </row>
    <row r="107" spans="2:10" ht="15" customHeight="1">
      <c r="B107" s="114">
        <v>2023</v>
      </c>
      <c r="C107" s="113">
        <f t="shared" si="14"/>
        <v>59.085496962855458</v>
      </c>
      <c r="D107" s="324">
        <f>ROUND((C106-H50)-(C106*$D$98),0)</f>
        <v>63</v>
      </c>
      <c r="E107" s="112">
        <f t="shared" si="16"/>
        <v>46</v>
      </c>
      <c r="F107" s="112">
        <f t="shared" si="17"/>
        <v>50</v>
      </c>
      <c r="G107" s="112">
        <f t="shared" si="18"/>
        <v>70</v>
      </c>
      <c r="H107" s="112">
        <f t="shared" si="19"/>
        <v>46</v>
      </c>
      <c r="I107" s="112">
        <f t="shared" si="20"/>
        <v>50</v>
      </c>
      <c r="J107" s="111">
        <f t="shared" si="15"/>
        <v>384.08549696285547</v>
      </c>
    </row>
    <row r="108" spans="2:10" ht="15" customHeight="1">
      <c r="B108" s="114">
        <v>2024</v>
      </c>
      <c r="C108" s="113">
        <f t="shared" si="14"/>
        <v>60</v>
      </c>
      <c r="D108" s="324">
        <f>ROUND((C107-I50)-(C107*$D$98),0)</f>
        <v>55</v>
      </c>
      <c r="E108" s="112">
        <f t="shared" si="16"/>
        <v>63</v>
      </c>
      <c r="F108" s="112">
        <f t="shared" si="17"/>
        <v>46</v>
      </c>
      <c r="G108" s="112">
        <f t="shared" si="18"/>
        <v>48</v>
      </c>
      <c r="H108" s="112">
        <f t="shared" si="19"/>
        <v>70</v>
      </c>
      <c r="I108" s="112">
        <f t="shared" si="20"/>
        <v>44</v>
      </c>
      <c r="J108" s="111">
        <f t="shared" si="15"/>
        <v>386</v>
      </c>
    </row>
    <row r="109" spans="2:10" ht="15" customHeight="1">
      <c r="B109" s="114">
        <v>2025</v>
      </c>
      <c r="C109" s="113">
        <f t="shared" si="14"/>
        <v>60</v>
      </c>
      <c r="D109" s="324">
        <f>ROUND((C108-J50)-(C108*$D$98),0)</f>
        <v>54</v>
      </c>
      <c r="E109" s="112">
        <f t="shared" si="16"/>
        <v>55</v>
      </c>
      <c r="F109" s="112">
        <f t="shared" si="17"/>
        <v>63</v>
      </c>
      <c r="G109" s="112">
        <f t="shared" si="18"/>
        <v>45</v>
      </c>
      <c r="H109" s="112">
        <f t="shared" si="19"/>
        <v>48</v>
      </c>
      <c r="I109" s="112">
        <f t="shared" si="20"/>
        <v>68</v>
      </c>
      <c r="J109" s="111">
        <f t="shared" si="15"/>
        <v>393</v>
      </c>
    </row>
    <row r="110" spans="2:10" ht="15" customHeight="1">
      <c r="B110" s="114">
        <v>2026</v>
      </c>
      <c r="C110" s="113">
        <f t="shared" si="14"/>
        <v>60</v>
      </c>
      <c r="D110" s="324">
        <f>ROUND((C109-K50)-(C109*$D$98),0)</f>
        <v>54</v>
      </c>
      <c r="E110" s="112">
        <f t="shared" si="16"/>
        <v>54</v>
      </c>
      <c r="F110" s="112">
        <f t="shared" si="17"/>
        <v>55</v>
      </c>
      <c r="G110" s="112">
        <f t="shared" si="18"/>
        <v>61</v>
      </c>
      <c r="H110" s="112">
        <f t="shared" si="19"/>
        <v>45</v>
      </c>
      <c r="I110" s="112">
        <f t="shared" si="20"/>
        <v>46</v>
      </c>
      <c r="J110" s="111">
        <f t="shared" si="15"/>
        <v>375</v>
      </c>
    </row>
    <row r="111" spans="2:10" ht="15" customHeight="1">
      <c r="B111" s="114">
        <v>2027</v>
      </c>
      <c r="C111" s="113">
        <f t="shared" si="14"/>
        <v>60</v>
      </c>
      <c r="D111" s="324">
        <f>ROUND((C110-L50)-(C110*$D$98),0)</f>
        <v>54</v>
      </c>
      <c r="E111" s="112">
        <f t="shared" si="16"/>
        <v>54</v>
      </c>
      <c r="F111" s="112">
        <f t="shared" si="17"/>
        <v>54</v>
      </c>
      <c r="G111" s="112">
        <f t="shared" si="18"/>
        <v>53</v>
      </c>
      <c r="H111" s="112">
        <f t="shared" si="19"/>
        <v>61</v>
      </c>
      <c r="I111" s="112">
        <f t="shared" si="20"/>
        <v>43</v>
      </c>
      <c r="J111" s="111">
        <f t="shared" si="15"/>
        <v>379</v>
      </c>
    </row>
    <row r="112" spans="2:10" ht="15" customHeight="1">
      <c r="B112" s="114">
        <v>2028</v>
      </c>
      <c r="C112" s="113">
        <f t="shared" si="14"/>
        <v>60</v>
      </c>
      <c r="D112" s="324">
        <f>ROUND((C111-M50)-(C111*$D$98),0)</f>
        <v>54</v>
      </c>
      <c r="E112" s="112">
        <f t="shared" si="16"/>
        <v>54</v>
      </c>
      <c r="F112" s="112">
        <f t="shared" si="17"/>
        <v>54</v>
      </c>
      <c r="G112" s="112">
        <f t="shared" si="18"/>
        <v>52</v>
      </c>
      <c r="H112" s="112">
        <f t="shared" si="19"/>
        <v>53</v>
      </c>
      <c r="I112" s="112">
        <f t="shared" si="20"/>
        <v>59</v>
      </c>
      <c r="J112" s="111">
        <f t="shared" si="15"/>
        <v>386</v>
      </c>
    </row>
    <row r="113" spans="2:10" ht="15" customHeight="1">
      <c r="B113" s="114">
        <v>2029</v>
      </c>
      <c r="C113" s="113">
        <f t="shared" si="14"/>
        <v>60</v>
      </c>
      <c r="D113" s="324">
        <f>ROUND((C112-N50)-(C112*$D$98),0)</f>
        <v>54</v>
      </c>
      <c r="E113" s="112">
        <f t="shared" si="16"/>
        <v>54</v>
      </c>
      <c r="F113" s="112">
        <f t="shared" si="17"/>
        <v>54</v>
      </c>
      <c r="G113" s="112">
        <f t="shared" si="18"/>
        <v>52</v>
      </c>
      <c r="H113" s="112">
        <f t="shared" si="19"/>
        <v>52</v>
      </c>
      <c r="I113" s="112">
        <f t="shared" si="20"/>
        <v>51</v>
      </c>
      <c r="J113" s="111">
        <f t="shared" si="15"/>
        <v>377</v>
      </c>
    </row>
    <row r="114" spans="2:10" ht="15" customHeight="1">
      <c r="B114" s="114">
        <v>2030</v>
      </c>
      <c r="C114" s="113">
        <f t="shared" si="14"/>
        <v>64.883970327366569</v>
      </c>
      <c r="D114" s="324">
        <f>ROUND((C113-O50)-(C113*$D$98),0)</f>
        <v>54</v>
      </c>
      <c r="E114" s="112">
        <f t="shared" si="16"/>
        <v>54</v>
      </c>
      <c r="F114" s="112">
        <f t="shared" si="17"/>
        <v>54</v>
      </c>
      <c r="G114" s="112">
        <f t="shared" si="18"/>
        <v>52</v>
      </c>
      <c r="H114" s="112">
        <f t="shared" si="19"/>
        <v>52</v>
      </c>
      <c r="I114" s="112">
        <f t="shared" si="20"/>
        <v>50</v>
      </c>
      <c r="J114" s="111">
        <f t="shared" si="15"/>
        <v>380.88397032736657</v>
      </c>
    </row>
    <row r="115" spans="2:10" ht="15" customHeight="1">
      <c r="B115" s="114">
        <v>2031</v>
      </c>
      <c r="C115" s="113">
        <f t="shared" si="14"/>
        <v>64.883970327366569</v>
      </c>
      <c r="D115" s="324">
        <f>ROUND((C114-P50)-(C114*$D$98),0)</f>
        <v>59</v>
      </c>
      <c r="E115" s="112">
        <f t="shared" si="16"/>
        <v>54</v>
      </c>
      <c r="F115" s="112">
        <f t="shared" si="17"/>
        <v>54</v>
      </c>
      <c r="G115" s="112">
        <f t="shared" si="18"/>
        <v>52</v>
      </c>
      <c r="H115" s="112">
        <f t="shared" si="19"/>
        <v>52</v>
      </c>
      <c r="I115" s="112">
        <f t="shared" si="20"/>
        <v>50</v>
      </c>
      <c r="J115" s="111">
        <f t="shared" si="15"/>
        <v>385.88397032736657</v>
      </c>
    </row>
    <row r="116" spans="2:10" ht="15" customHeight="1">
      <c r="B116" s="114">
        <v>2032</v>
      </c>
      <c r="C116" s="113">
        <f t="shared" si="14"/>
        <v>64.883970327366569</v>
      </c>
      <c r="D116" s="324">
        <f>ROUND((C115-Q50)-(C115*$D$98),0)</f>
        <v>59</v>
      </c>
      <c r="E116" s="112">
        <f t="shared" si="16"/>
        <v>59</v>
      </c>
      <c r="F116" s="112">
        <f t="shared" si="17"/>
        <v>54</v>
      </c>
      <c r="G116" s="112">
        <f t="shared" si="18"/>
        <v>52</v>
      </c>
      <c r="H116" s="112">
        <f t="shared" si="19"/>
        <v>52</v>
      </c>
      <c r="I116" s="112">
        <f t="shared" si="20"/>
        <v>50</v>
      </c>
      <c r="J116" s="111">
        <f t="shared" si="15"/>
        <v>390.88397032736657</v>
      </c>
    </row>
    <row r="117" spans="2:10" ht="15" customHeight="1">
      <c r="F117" s="14"/>
      <c r="G117" s="14"/>
    </row>
    <row r="118" spans="2:10" ht="15" customHeight="1">
      <c r="B118" s="15" t="str">
        <f>"Table 4C: "&amp;E3&amp;" Projected Pupil Generation from Housing Development, 2019-2032"</f>
        <v>Table 4C: Juniper Green Primary School Projected Pupil Generation from Housing Development, 2019-2032</v>
      </c>
      <c r="F118" s="14"/>
      <c r="G118" s="14"/>
    </row>
    <row r="119" spans="2:10" ht="15" customHeight="1">
      <c r="F119" s="14"/>
      <c r="G119" s="14"/>
    </row>
    <row r="120" spans="2:10" ht="15" customHeight="1">
      <c r="B120" s="115"/>
      <c r="C120" s="109" t="s">
        <v>1</v>
      </c>
      <c r="D120" s="109" t="s">
        <v>2</v>
      </c>
      <c r="E120" s="109" t="s">
        <v>3</v>
      </c>
      <c r="F120" s="109" t="s">
        <v>4</v>
      </c>
      <c r="G120" s="109" t="s">
        <v>5</v>
      </c>
      <c r="H120" s="109" t="s">
        <v>6</v>
      </c>
      <c r="I120" s="109" t="s">
        <v>7</v>
      </c>
      <c r="J120" s="109" t="s">
        <v>8</v>
      </c>
    </row>
    <row r="121" spans="2:10" ht="15" customHeight="1">
      <c r="B121" s="114">
        <v>2019</v>
      </c>
      <c r="C121" s="116" t="s">
        <v>97</v>
      </c>
      <c r="D121" s="112">
        <f>VLOOKUP($E$3,'Housing Generation'!$A$3:$BE$90,11,FALSE)</f>
        <v>0</v>
      </c>
      <c r="E121" s="112">
        <f>VLOOKUP($E$3,'Housing Generation'!$A$3:$BE$90,12,FALSE)</f>
        <v>0</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0</v>
      </c>
    </row>
    <row r="122" spans="2:10" ht="15" customHeight="1">
      <c r="B122" s="114">
        <v>2020</v>
      </c>
      <c r="C122" s="116" t="s">
        <v>97</v>
      </c>
      <c r="D122" s="112">
        <f>VLOOKUP($E$3,'Housing Generation'!$A$3:$BE$90,19,FALSE)</f>
        <v>0</v>
      </c>
      <c r="E122" s="112">
        <f>VLOOKUP($E$3,'Housing Generation'!$A$3:$BE$90,20,FALSE)</f>
        <v>0</v>
      </c>
      <c r="F122" s="112">
        <f>VLOOKUP($E$3,'Housing Generation'!$A$3:$BE$90,21,FALSE)</f>
        <v>0</v>
      </c>
      <c r="G122" s="112">
        <f>VLOOKUP($E$3,'Housing Generation'!$A$3:$BE$90,22,FALSE)</f>
        <v>0</v>
      </c>
      <c r="H122" s="112">
        <f>VLOOKUP($E$3,'Housing Generation'!$A$3:$BE$90,23,FALSE)</f>
        <v>0</v>
      </c>
      <c r="I122" s="112">
        <f>VLOOKUP($E$3,'Housing Generation'!$A$3:$BE$90,24,FALSE)</f>
        <v>0</v>
      </c>
      <c r="J122" s="111">
        <f t="shared" si="21"/>
        <v>0</v>
      </c>
    </row>
    <row r="123" spans="2:10" ht="15" customHeight="1">
      <c r="B123" s="114">
        <v>2021</v>
      </c>
      <c r="C123" s="116" t="s">
        <v>97</v>
      </c>
      <c r="D123" s="112">
        <f>VLOOKUP($E$3,'Housing Generation'!$A$3:$BE$90,27,FALSE)</f>
        <v>0</v>
      </c>
      <c r="E123" s="112">
        <f>VLOOKUP($E$3,'Housing Generation'!$A$3:$BE$90,28,FALSE)</f>
        <v>0</v>
      </c>
      <c r="F123" s="112">
        <f>VLOOKUP($E$3,'Housing Generation'!$A$3:$BE$90,29,FALSE)</f>
        <v>0</v>
      </c>
      <c r="G123" s="112">
        <f>VLOOKUP($E$3,'Housing Generation'!$A$3:$BE$90,30,FALSE)</f>
        <v>0</v>
      </c>
      <c r="H123" s="112">
        <f>VLOOKUP($E$3,'Housing Generation'!$A$3:$BE$90,31,FALSE)</f>
        <v>0</v>
      </c>
      <c r="I123" s="112">
        <f>VLOOKUP($E$3,'Housing Generation'!$A$3:$BE$90,32,FALSE)</f>
        <v>0</v>
      </c>
      <c r="J123" s="111">
        <f t="shared" si="21"/>
        <v>0</v>
      </c>
    </row>
    <row r="124" spans="2:10" ht="15" customHeight="1">
      <c r="B124" s="114">
        <v>2022</v>
      </c>
      <c r="C124" s="116" t="s">
        <v>97</v>
      </c>
      <c r="D124" s="112">
        <f>VLOOKUP($E$3,'Housing Generation'!$A$3:$BE$90,35,FALSE)</f>
        <v>1</v>
      </c>
      <c r="E124" s="112">
        <f>VLOOKUP($E$3,'Housing Generation'!$A$3:$BE$90,36,FALSE)</f>
        <v>1</v>
      </c>
      <c r="F124" s="112">
        <f>VLOOKUP($E$3,'Housing Generation'!$A$3:$BE$90,37,FALSE)</f>
        <v>1</v>
      </c>
      <c r="G124" s="112">
        <f>VLOOKUP($E$3,'Housing Generation'!$A$3:$BE$90,38,FALSE)</f>
        <v>1</v>
      </c>
      <c r="H124" s="112">
        <f>VLOOKUP($E$3,'Housing Generation'!$A$3:$BE$90,39,FALSE)</f>
        <v>0</v>
      </c>
      <c r="I124" s="112">
        <f>VLOOKUP($E$3,'Housing Generation'!$A$3:$BE$90,40,FALSE)</f>
        <v>0</v>
      </c>
      <c r="J124" s="111">
        <f t="shared" si="21"/>
        <v>4</v>
      </c>
    </row>
    <row r="125" spans="2:10" ht="15" customHeight="1">
      <c r="B125" s="114">
        <v>2023</v>
      </c>
      <c r="C125" s="116" t="s">
        <v>97</v>
      </c>
      <c r="D125" s="112">
        <f>VLOOKUP($E$3,'Housing Generation'!$A$3:$BE$90,43,FALSE)</f>
        <v>3</v>
      </c>
      <c r="E125" s="112">
        <f>VLOOKUP($E$3,'Housing Generation'!$A$3:$BE$90,44,FALSE)</f>
        <v>2</v>
      </c>
      <c r="F125" s="112">
        <f>VLOOKUP($E$3,'Housing Generation'!$A$3:$BE$90,45,FALSE)</f>
        <v>2</v>
      </c>
      <c r="G125" s="112">
        <f>VLOOKUP($E$3,'Housing Generation'!$A$3:$BE$90,46,FALSE)</f>
        <v>2</v>
      </c>
      <c r="H125" s="112">
        <f>VLOOKUP($E$3,'Housing Generation'!$A$3:$BE$90,47,FALSE)</f>
        <v>2</v>
      </c>
      <c r="I125" s="112">
        <f>VLOOKUP($E$3,'Housing Generation'!$A$3:$BE$90,48,FALSE)</f>
        <v>2</v>
      </c>
      <c r="J125" s="111">
        <f t="shared" si="21"/>
        <v>13</v>
      </c>
    </row>
    <row r="126" spans="2:10" ht="15" customHeight="1">
      <c r="B126" s="114">
        <v>2024</v>
      </c>
      <c r="C126" s="116" t="s">
        <v>97</v>
      </c>
      <c r="D126" s="112">
        <f>VLOOKUP($E$3,'Housing Generation'!$A$3:$BE$90,51,FALSE)</f>
        <v>4</v>
      </c>
      <c r="E126" s="112">
        <f>VLOOKUP($E$3,'Housing Generation'!$A$3:$BE$90,52,FALSE)</f>
        <v>4</v>
      </c>
      <c r="F126" s="112">
        <f>VLOOKUP($E$3,'Housing Generation'!$A$3:$BE$90,53,FALSE)</f>
        <v>4</v>
      </c>
      <c r="G126" s="112">
        <f>VLOOKUP($E$3,'Housing Generation'!$A$3:$BE$90,54,FALSE)</f>
        <v>4</v>
      </c>
      <c r="H126" s="112">
        <f>VLOOKUP($E$3,'Housing Generation'!$A$3:$BE$90,55,FALSE)</f>
        <v>4</v>
      </c>
      <c r="I126" s="112">
        <f>VLOOKUP($E$3,'Housing Generation'!$A$3:$BE$90,56,FALSE)</f>
        <v>3</v>
      </c>
      <c r="J126" s="111">
        <f t="shared" si="21"/>
        <v>23</v>
      </c>
    </row>
    <row r="127" spans="2:10" ht="15" customHeight="1">
      <c r="B127" s="114">
        <v>2025</v>
      </c>
      <c r="C127" s="240" t="s">
        <v>97</v>
      </c>
      <c r="D127" s="112">
        <f>VLOOKUP($E$3,'Housing Generation'!$A$3:$CK$90,59,FALSE)</f>
        <v>6</v>
      </c>
      <c r="E127" s="112">
        <f>VLOOKUP($E$3,'Housing Generation'!$A$3:$CK$90,60,FALSE)</f>
        <v>6</v>
      </c>
      <c r="F127" s="112">
        <f>VLOOKUP($E$3,'Housing Generation'!$A$3:$CK$90,61,FALSE)</f>
        <v>5</v>
      </c>
      <c r="G127" s="112">
        <f>VLOOKUP($E$3,'Housing Generation'!$A$3:$CK$90,62,FALSE)</f>
        <v>5</v>
      </c>
      <c r="H127" s="112">
        <f>VLOOKUP($E$3,'Housing Generation'!$A$3:$CK$90,63,FALSE)</f>
        <v>5</v>
      </c>
      <c r="I127" s="112">
        <f>VLOOKUP($E$3,'Housing Generation'!$A$3:$CK$90,64,FALSE)</f>
        <v>5</v>
      </c>
      <c r="J127" s="111">
        <f t="shared" si="21"/>
        <v>32</v>
      </c>
    </row>
    <row r="128" spans="2:10" ht="15" customHeight="1">
      <c r="B128" s="114">
        <v>2026</v>
      </c>
      <c r="C128" s="240" t="s">
        <v>97</v>
      </c>
      <c r="D128" s="112">
        <f>VLOOKUP($E$3,'Housing Generation'!$A$3:$CK$90,67,FALSE)</f>
        <v>6</v>
      </c>
      <c r="E128" s="112">
        <f>VLOOKUP($E$3,'Housing Generation'!$A$3:$CK$90,68,FALSE)</f>
        <v>6</v>
      </c>
      <c r="F128" s="112">
        <f>VLOOKUP($E$3,'Housing Generation'!$A$3:$CK$90,69,FALSE)</f>
        <v>6</v>
      </c>
      <c r="G128" s="112">
        <f>VLOOKUP($E$3,'Housing Generation'!$A$3:$CK$90,70,FALSE)</f>
        <v>6</v>
      </c>
      <c r="H128" s="112">
        <f>VLOOKUP($E$3,'Housing Generation'!$A$3:$CK$90,71,FALSE)</f>
        <v>6</v>
      </c>
      <c r="I128" s="112">
        <f>VLOOKUP($E$3,'Housing Generation'!$A$3:$CK$90,72,FALSE)</f>
        <v>5</v>
      </c>
      <c r="J128" s="111">
        <f t="shared" si="21"/>
        <v>35</v>
      </c>
    </row>
    <row r="129" spans="2:10" ht="15" customHeight="1">
      <c r="B129" s="114">
        <v>2027</v>
      </c>
      <c r="C129" s="240" t="s">
        <v>97</v>
      </c>
      <c r="D129" s="112">
        <f>VLOOKUP($E$3,'Housing Generation'!$A$3:$CK$90,75,FALSE)</f>
        <v>6</v>
      </c>
      <c r="E129" s="112">
        <f>VLOOKUP($E$3,'Housing Generation'!$A$3:$CK$90,76,FALSE)</f>
        <v>6</v>
      </c>
      <c r="F129" s="112">
        <f>VLOOKUP($E$3,'Housing Generation'!$A$3:$CK$90,77,FALSE)</f>
        <v>6</v>
      </c>
      <c r="G129" s="112">
        <f>VLOOKUP($E$3,'Housing Generation'!$A$3:$CK$90,78,FALSE)</f>
        <v>6</v>
      </c>
      <c r="H129" s="112">
        <f>VLOOKUP($E$3,'Housing Generation'!$A$3:$CK$90,79,FALSE)</f>
        <v>6</v>
      </c>
      <c r="I129" s="112">
        <f>VLOOKUP($E$3,'Housing Generation'!$A$3:$CK$90,80,FALSE)</f>
        <v>5</v>
      </c>
      <c r="J129" s="111">
        <f t="shared" si="21"/>
        <v>35</v>
      </c>
    </row>
    <row r="130" spans="2:10" ht="15" customHeight="1">
      <c r="B130" s="114">
        <v>2028</v>
      </c>
      <c r="C130" s="289" t="s">
        <v>97</v>
      </c>
      <c r="D130" s="112">
        <f>VLOOKUP($E$3,'Housing Generation'!$A$3:$CK$90,83,FALSE)</f>
        <v>6</v>
      </c>
      <c r="E130" s="112">
        <f>VLOOKUP($E$3,'Housing Generation'!$A$3:$CK$90,84,FALSE)</f>
        <v>6</v>
      </c>
      <c r="F130" s="112">
        <f>VLOOKUP($E$3,'Housing Generation'!$A$3:$CK$90,85,FALSE)</f>
        <v>6</v>
      </c>
      <c r="G130" s="112">
        <f>VLOOKUP($E$3,'Housing Generation'!$A$3:$CK$90,86,FALSE)</f>
        <v>6</v>
      </c>
      <c r="H130" s="112">
        <f>VLOOKUP($E$3,'Housing Generation'!$A$3:$CK$90,87,FALSE)</f>
        <v>6</v>
      </c>
      <c r="I130" s="112">
        <f>VLOOKUP($E$3,'Housing Generation'!$A$3:$CK$90,88,FALSE)</f>
        <v>5</v>
      </c>
      <c r="J130" s="111">
        <f t="shared" si="21"/>
        <v>35</v>
      </c>
    </row>
    <row r="131" spans="2:10" ht="15" customHeight="1">
      <c r="B131" s="114">
        <v>2029</v>
      </c>
      <c r="C131" s="289" t="s">
        <v>97</v>
      </c>
      <c r="D131" s="112">
        <f>VLOOKUP($E$3,'Housing Generation'!$A$3:$DQ$90,91,FALSE)</f>
        <v>6</v>
      </c>
      <c r="E131" s="112">
        <f>VLOOKUP($E$3,'Housing Generation'!$A$3:$DQ$90,92,FALSE)</f>
        <v>6</v>
      </c>
      <c r="F131" s="112">
        <f>VLOOKUP($E$3,'Housing Generation'!$A$3:$DQ$90,93,FALSE)</f>
        <v>6</v>
      </c>
      <c r="G131" s="112">
        <f>VLOOKUP($E$3,'Housing Generation'!$A$3:$DQ$90,94,FALSE)</f>
        <v>6</v>
      </c>
      <c r="H131" s="112">
        <f>VLOOKUP($E$3,'Housing Generation'!$A$3:$DQ$90,95,FALSE)</f>
        <v>6</v>
      </c>
      <c r="I131" s="112">
        <f>VLOOKUP($E$3,'Housing Generation'!$A$3:$DQ$90,96,FALSE)</f>
        <v>5</v>
      </c>
      <c r="J131" s="111">
        <f t="shared" si="21"/>
        <v>35</v>
      </c>
    </row>
    <row r="132" spans="2:10" ht="15" customHeight="1">
      <c r="B132" s="114">
        <v>2030</v>
      </c>
      <c r="C132" s="289" t="s">
        <v>97</v>
      </c>
      <c r="D132" s="112">
        <f>VLOOKUP($E$3,'Housing Generation'!$A$3:$DQ$90,99,FALSE)</f>
        <v>6</v>
      </c>
      <c r="E132" s="112">
        <f>VLOOKUP($E$3,'Housing Generation'!$A$3:$DQ$90,100,FALSE)</f>
        <v>6</v>
      </c>
      <c r="F132" s="112">
        <f>VLOOKUP($E$3,'Housing Generation'!$A$3:$DQ$90,101,FALSE)</f>
        <v>6</v>
      </c>
      <c r="G132" s="112">
        <f>VLOOKUP($E$3,'Housing Generation'!$A$3:$DQ$90,102,FALSE)</f>
        <v>6</v>
      </c>
      <c r="H132" s="112">
        <f>VLOOKUP($E$3,'Housing Generation'!$A$3:$DQ$90,103,FALSE)</f>
        <v>6</v>
      </c>
      <c r="I132" s="112">
        <f>VLOOKUP($E$3,'Housing Generation'!$A$3:$DQ$90,104,FALSE)</f>
        <v>5</v>
      </c>
      <c r="J132" s="111">
        <f t="shared" si="21"/>
        <v>35</v>
      </c>
    </row>
    <row r="133" spans="2:10" ht="15" customHeight="1">
      <c r="B133" s="114">
        <v>2031</v>
      </c>
      <c r="C133" s="289" t="s">
        <v>97</v>
      </c>
      <c r="D133" s="112">
        <f>VLOOKUP($E$3,'Housing Generation'!$A$3:$DQ$90,107,FALSE)</f>
        <v>6</v>
      </c>
      <c r="E133" s="112">
        <f>VLOOKUP($E$3,'Housing Generation'!$A$3:$DQ$90,108,FALSE)</f>
        <v>6</v>
      </c>
      <c r="F133" s="112">
        <f>VLOOKUP($E$3,'Housing Generation'!$A$3:$DQ$90,109,FALSE)</f>
        <v>6</v>
      </c>
      <c r="G133" s="112">
        <f>VLOOKUP($E$3,'Housing Generation'!$A$3:$DQ$90,110,FALSE)</f>
        <v>6</v>
      </c>
      <c r="H133" s="112">
        <f>VLOOKUP($E$3,'Housing Generation'!$A$3:$DQ$90,111,FALSE)</f>
        <v>6</v>
      </c>
      <c r="I133" s="112">
        <f>VLOOKUP($E$3,'Housing Generation'!$A$3:$DQ$90,112,FALSE)</f>
        <v>5</v>
      </c>
      <c r="J133" s="111">
        <f t="shared" si="21"/>
        <v>35</v>
      </c>
    </row>
    <row r="134" spans="2:10" ht="15" customHeight="1">
      <c r="B134" s="114">
        <v>2032</v>
      </c>
      <c r="C134" s="289" t="s">
        <v>97</v>
      </c>
      <c r="D134" s="112">
        <f>VLOOKUP($E$3,'Housing Generation'!$A$3:$DQ$90,115,FALSE)</f>
        <v>6</v>
      </c>
      <c r="E134" s="112">
        <f>VLOOKUP($E$3,'Housing Generation'!$A$3:$DQ$90,116,FALSE)</f>
        <v>6</v>
      </c>
      <c r="F134" s="112">
        <f>VLOOKUP($E$3,'Housing Generation'!$A$3:$DQ$90,117,FALSE)</f>
        <v>6</v>
      </c>
      <c r="G134" s="112">
        <f>VLOOKUP($E$3,'Housing Generation'!$A$3:$DQ$90,118,FALSE)</f>
        <v>6</v>
      </c>
      <c r="H134" s="112">
        <f>VLOOKUP($E$3,'Housing Generation'!$A$3:$DQ$90,119,FALSE)</f>
        <v>6</v>
      </c>
      <c r="I134" s="112">
        <f>VLOOKUP($E$3,'Housing Generation'!$A$3:$DQ$90,120,FALSE)</f>
        <v>5</v>
      </c>
      <c r="J134" s="111">
        <f t="shared" si="21"/>
        <v>35</v>
      </c>
    </row>
    <row r="135" spans="2:10">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Juniper Green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72</v>
      </c>
      <c r="D139" s="112">
        <f t="shared" ref="D139:I152" si="23">D121+D103</f>
        <v>47</v>
      </c>
      <c r="E139" s="112">
        <f t="shared" si="23"/>
        <v>54</v>
      </c>
      <c r="F139" s="112">
        <f t="shared" si="23"/>
        <v>53</v>
      </c>
      <c r="G139" s="112">
        <f t="shared" si="23"/>
        <v>61</v>
      </c>
      <c r="H139" s="112">
        <f t="shared" si="23"/>
        <v>58</v>
      </c>
      <c r="I139" s="112">
        <f t="shared" si="23"/>
        <v>61</v>
      </c>
      <c r="J139" s="111">
        <f t="shared" ref="J139:J147" si="24">SUM(C139:I139)</f>
        <v>406</v>
      </c>
    </row>
    <row r="140" spans="2:10" ht="15" customHeight="1">
      <c r="B140" s="114">
        <v>2020</v>
      </c>
      <c r="C140" s="113">
        <f t="shared" si="22"/>
        <v>50</v>
      </c>
      <c r="D140" s="112">
        <f t="shared" si="23"/>
        <v>72</v>
      </c>
      <c r="E140" s="112">
        <f t="shared" si="23"/>
        <v>47</v>
      </c>
      <c r="F140" s="112">
        <f t="shared" si="23"/>
        <v>54</v>
      </c>
      <c r="G140" s="112">
        <f t="shared" si="23"/>
        <v>51</v>
      </c>
      <c r="H140" s="112">
        <f t="shared" si="23"/>
        <v>61</v>
      </c>
      <c r="I140" s="112">
        <f t="shared" si="23"/>
        <v>56</v>
      </c>
      <c r="J140" s="111">
        <f t="shared" si="24"/>
        <v>391</v>
      </c>
    </row>
    <row r="141" spans="2:10" ht="15" customHeight="1">
      <c r="B141" s="114">
        <v>2021</v>
      </c>
      <c r="C141" s="113">
        <f t="shared" si="22"/>
        <v>46.522138006414743</v>
      </c>
      <c r="D141" s="112">
        <f t="shared" si="23"/>
        <v>50</v>
      </c>
      <c r="E141" s="112">
        <f t="shared" si="23"/>
        <v>72</v>
      </c>
      <c r="F141" s="112">
        <f t="shared" si="23"/>
        <v>47</v>
      </c>
      <c r="G141" s="112">
        <f t="shared" si="23"/>
        <v>52</v>
      </c>
      <c r="H141" s="112">
        <f t="shared" si="23"/>
        <v>51</v>
      </c>
      <c r="I141" s="112">
        <f t="shared" si="23"/>
        <v>59</v>
      </c>
      <c r="J141" s="111">
        <f t="shared" si="24"/>
        <v>377.52213800641471</v>
      </c>
    </row>
    <row r="142" spans="2:10" ht="15" customHeight="1">
      <c r="B142" s="114">
        <v>2022</v>
      </c>
      <c r="C142" s="113">
        <f t="shared" si="22"/>
        <v>66</v>
      </c>
      <c r="D142" s="112">
        <f t="shared" si="23"/>
        <v>47</v>
      </c>
      <c r="E142" s="112">
        <f t="shared" si="23"/>
        <v>51</v>
      </c>
      <c r="F142" s="112">
        <f t="shared" si="23"/>
        <v>73</v>
      </c>
      <c r="G142" s="112">
        <f t="shared" si="23"/>
        <v>47</v>
      </c>
      <c r="H142" s="112">
        <f t="shared" si="23"/>
        <v>52</v>
      </c>
      <c r="I142" s="112">
        <f t="shared" si="23"/>
        <v>49</v>
      </c>
      <c r="J142" s="111">
        <f t="shared" si="24"/>
        <v>385</v>
      </c>
    </row>
    <row r="143" spans="2:10" ht="15" customHeight="1">
      <c r="B143" s="114">
        <v>2023</v>
      </c>
      <c r="C143" s="113">
        <f t="shared" si="22"/>
        <v>59.085496962855458</v>
      </c>
      <c r="D143" s="112">
        <f t="shared" si="23"/>
        <v>66</v>
      </c>
      <c r="E143" s="112">
        <f t="shared" si="23"/>
        <v>48</v>
      </c>
      <c r="F143" s="112">
        <f t="shared" si="23"/>
        <v>52</v>
      </c>
      <c r="G143" s="112">
        <f t="shared" si="23"/>
        <v>72</v>
      </c>
      <c r="H143" s="112">
        <f t="shared" si="23"/>
        <v>48</v>
      </c>
      <c r="I143" s="112">
        <f t="shared" si="23"/>
        <v>52</v>
      </c>
      <c r="J143" s="111">
        <f t="shared" si="24"/>
        <v>397.08549696285547</v>
      </c>
    </row>
    <row r="144" spans="2:10" ht="15" customHeight="1">
      <c r="B144" s="114">
        <v>2024</v>
      </c>
      <c r="C144" s="113">
        <f t="shared" si="22"/>
        <v>60</v>
      </c>
      <c r="D144" s="112">
        <f t="shared" si="23"/>
        <v>59</v>
      </c>
      <c r="E144" s="112">
        <f t="shared" si="23"/>
        <v>67</v>
      </c>
      <c r="F144" s="112">
        <f t="shared" si="23"/>
        <v>50</v>
      </c>
      <c r="G144" s="112">
        <f t="shared" si="23"/>
        <v>52</v>
      </c>
      <c r="H144" s="112">
        <f t="shared" si="23"/>
        <v>74</v>
      </c>
      <c r="I144" s="112">
        <f t="shared" si="23"/>
        <v>47</v>
      </c>
      <c r="J144" s="111">
        <f t="shared" si="24"/>
        <v>409</v>
      </c>
    </row>
    <row r="145" spans="2:16" ht="15" customHeight="1">
      <c r="B145" s="114">
        <v>2025</v>
      </c>
      <c r="C145" s="113">
        <f t="shared" si="22"/>
        <v>60</v>
      </c>
      <c r="D145" s="112">
        <f t="shared" si="23"/>
        <v>60</v>
      </c>
      <c r="E145" s="112">
        <f t="shared" si="23"/>
        <v>61</v>
      </c>
      <c r="F145" s="112">
        <f t="shared" si="23"/>
        <v>68</v>
      </c>
      <c r="G145" s="112">
        <f t="shared" si="23"/>
        <v>50</v>
      </c>
      <c r="H145" s="112">
        <f t="shared" si="23"/>
        <v>53</v>
      </c>
      <c r="I145" s="112">
        <f t="shared" si="23"/>
        <v>73</v>
      </c>
      <c r="J145" s="111">
        <f t="shared" si="24"/>
        <v>425</v>
      </c>
    </row>
    <row r="146" spans="2:16" ht="15" customHeight="1">
      <c r="B146" s="114">
        <v>2026</v>
      </c>
      <c r="C146" s="113">
        <f t="shared" si="22"/>
        <v>60</v>
      </c>
      <c r="D146" s="112">
        <f t="shared" si="23"/>
        <v>60</v>
      </c>
      <c r="E146" s="112">
        <f t="shared" si="23"/>
        <v>60</v>
      </c>
      <c r="F146" s="112">
        <f t="shared" si="23"/>
        <v>61</v>
      </c>
      <c r="G146" s="112">
        <f t="shared" si="23"/>
        <v>67</v>
      </c>
      <c r="H146" s="112">
        <f t="shared" si="23"/>
        <v>51</v>
      </c>
      <c r="I146" s="112">
        <f t="shared" si="23"/>
        <v>51</v>
      </c>
      <c r="J146" s="111">
        <f t="shared" si="24"/>
        <v>410</v>
      </c>
    </row>
    <row r="147" spans="2:16" ht="15" customHeight="1">
      <c r="B147" s="114">
        <v>2027</v>
      </c>
      <c r="C147" s="113">
        <f t="shared" si="22"/>
        <v>60</v>
      </c>
      <c r="D147" s="112">
        <f t="shared" si="23"/>
        <v>60</v>
      </c>
      <c r="E147" s="112">
        <f t="shared" si="23"/>
        <v>60</v>
      </c>
      <c r="F147" s="112">
        <f t="shared" si="23"/>
        <v>60</v>
      </c>
      <c r="G147" s="112">
        <f t="shared" si="23"/>
        <v>59</v>
      </c>
      <c r="H147" s="112">
        <f t="shared" si="23"/>
        <v>67</v>
      </c>
      <c r="I147" s="112">
        <f t="shared" si="23"/>
        <v>48</v>
      </c>
      <c r="J147" s="111">
        <f t="shared" si="24"/>
        <v>414</v>
      </c>
    </row>
    <row r="148" spans="2:16" ht="15" customHeight="1">
      <c r="B148" s="114">
        <v>2028</v>
      </c>
      <c r="C148" s="113">
        <f t="shared" si="22"/>
        <v>60</v>
      </c>
      <c r="D148" s="112">
        <f t="shared" si="23"/>
        <v>60</v>
      </c>
      <c r="E148" s="112">
        <f t="shared" si="23"/>
        <v>60</v>
      </c>
      <c r="F148" s="112">
        <f t="shared" si="23"/>
        <v>60</v>
      </c>
      <c r="G148" s="112">
        <f t="shared" si="23"/>
        <v>58</v>
      </c>
      <c r="H148" s="112">
        <f t="shared" si="23"/>
        <v>59</v>
      </c>
      <c r="I148" s="112">
        <f t="shared" si="23"/>
        <v>64</v>
      </c>
      <c r="J148" s="111">
        <f t="shared" ref="J148:J152" si="25">SUM(C148:I148)</f>
        <v>421</v>
      </c>
    </row>
    <row r="149" spans="2:16" ht="15" customHeight="1">
      <c r="B149" s="114">
        <v>2029</v>
      </c>
      <c r="C149" s="113">
        <f t="shared" si="22"/>
        <v>60</v>
      </c>
      <c r="D149" s="112">
        <f t="shared" si="23"/>
        <v>60</v>
      </c>
      <c r="E149" s="112">
        <f t="shared" si="23"/>
        <v>60</v>
      </c>
      <c r="F149" s="112">
        <f t="shared" si="23"/>
        <v>60</v>
      </c>
      <c r="G149" s="112">
        <f t="shared" si="23"/>
        <v>58</v>
      </c>
      <c r="H149" s="112">
        <f t="shared" si="23"/>
        <v>58</v>
      </c>
      <c r="I149" s="112">
        <f t="shared" si="23"/>
        <v>56</v>
      </c>
      <c r="J149" s="111">
        <f t="shared" si="25"/>
        <v>412</v>
      </c>
    </row>
    <row r="150" spans="2:16" ht="15" customHeight="1">
      <c r="B150" s="114">
        <v>2030</v>
      </c>
      <c r="C150" s="113">
        <f t="shared" si="22"/>
        <v>64.883970327366569</v>
      </c>
      <c r="D150" s="112">
        <f t="shared" si="23"/>
        <v>60</v>
      </c>
      <c r="E150" s="112">
        <f t="shared" si="23"/>
        <v>60</v>
      </c>
      <c r="F150" s="112">
        <f t="shared" si="23"/>
        <v>60</v>
      </c>
      <c r="G150" s="112">
        <f t="shared" si="23"/>
        <v>58</v>
      </c>
      <c r="H150" s="112">
        <f t="shared" si="23"/>
        <v>58</v>
      </c>
      <c r="I150" s="112">
        <f t="shared" si="23"/>
        <v>55</v>
      </c>
      <c r="J150" s="111">
        <f t="shared" si="25"/>
        <v>415.88397032736657</v>
      </c>
    </row>
    <row r="151" spans="2:16" ht="15" customHeight="1">
      <c r="B151" s="114">
        <v>2031</v>
      </c>
      <c r="C151" s="113">
        <f t="shared" si="22"/>
        <v>64.883970327366569</v>
      </c>
      <c r="D151" s="112">
        <f t="shared" si="23"/>
        <v>65</v>
      </c>
      <c r="E151" s="112">
        <f t="shared" si="23"/>
        <v>60</v>
      </c>
      <c r="F151" s="112">
        <f t="shared" si="23"/>
        <v>60</v>
      </c>
      <c r="G151" s="112">
        <f t="shared" si="23"/>
        <v>58</v>
      </c>
      <c r="H151" s="112">
        <f t="shared" si="23"/>
        <v>58</v>
      </c>
      <c r="I151" s="112">
        <f t="shared" si="23"/>
        <v>55</v>
      </c>
      <c r="J151" s="111">
        <f t="shared" si="25"/>
        <v>420.88397032736657</v>
      </c>
    </row>
    <row r="152" spans="2:16" ht="15" customHeight="1">
      <c r="B152" s="114">
        <v>2032</v>
      </c>
      <c r="C152" s="113">
        <f t="shared" si="22"/>
        <v>64.883970327366569</v>
      </c>
      <c r="D152" s="112">
        <f t="shared" si="23"/>
        <v>65</v>
      </c>
      <c r="E152" s="112">
        <f t="shared" si="23"/>
        <v>65</v>
      </c>
      <c r="F152" s="112">
        <f t="shared" si="23"/>
        <v>60</v>
      </c>
      <c r="G152" s="112">
        <f t="shared" si="23"/>
        <v>58</v>
      </c>
      <c r="H152" s="112">
        <f t="shared" si="23"/>
        <v>58</v>
      </c>
      <c r="I152" s="112">
        <f t="shared" si="23"/>
        <v>55</v>
      </c>
      <c r="J152" s="111">
        <f t="shared" si="25"/>
        <v>425.88397032736657</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406</v>
      </c>
      <c r="D159" s="108">
        <f>J140</f>
        <v>391</v>
      </c>
      <c r="E159" s="108">
        <f>J141</f>
        <v>377.52213800641471</v>
      </c>
      <c r="F159" s="108">
        <f>J142</f>
        <v>385</v>
      </c>
      <c r="G159" s="108">
        <f>J143</f>
        <v>397.08549696285547</v>
      </c>
      <c r="H159" s="108">
        <f>J144</f>
        <v>409</v>
      </c>
      <c r="I159" s="108">
        <f>J145</f>
        <v>425</v>
      </c>
      <c r="J159" s="108">
        <f>J146</f>
        <v>410</v>
      </c>
      <c r="K159" s="108">
        <f>J147</f>
        <v>414</v>
      </c>
      <c r="L159" s="108">
        <f>J148</f>
        <v>421</v>
      </c>
      <c r="M159" s="108">
        <f>J149</f>
        <v>412</v>
      </c>
      <c r="N159" s="108">
        <f>J150</f>
        <v>415.88397032736657</v>
      </c>
      <c r="O159" s="108">
        <f>J151</f>
        <v>420.88397032736657</v>
      </c>
      <c r="P159" s="108">
        <f>J152</f>
        <v>425.88397032736657</v>
      </c>
    </row>
    <row r="160" spans="2:16" ht="15" customHeight="1">
      <c r="B160" s="107" t="s">
        <v>152</v>
      </c>
      <c r="C160" s="106">
        <f>VLOOKUP(C159,Capacity!$A$1:$C$645,2,TRUE)</f>
        <v>14</v>
      </c>
      <c r="D160" s="106">
        <f>VLOOKUP(D159,Capacity!$A$1:$C$645,2,TRUE)</f>
        <v>14</v>
      </c>
      <c r="E160" s="106">
        <f>VLOOKUP(E159,Capacity!$A$1:$C$645,2,TRUE)</f>
        <v>14</v>
      </c>
      <c r="F160" s="106">
        <f>VLOOKUP(F159,Capacity!$A$1:$C$645,2,TRUE)</f>
        <v>14</v>
      </c>
      <c r="G160" s="106">
        <f>VLOOKUP(G159,Capacity!$A$1:$C$645,2,TRUE)</f>
        <v>14</v>
      </c>
      <c r="H160" s="106">
        <f>VLOOKUP(H159,Capacity!$A$1:$C$645,2,TRUE)</f>
        <v>14</v>
      </c>
      <c r="I160" s="106">
        <f>VLOOKUP(I159,Capacity!$A$1:$C$645,2,TRUE)</f>
        <v>15</v>
      </c>
      <c r="J160" s="106">
        <f>VLOOKUP(J159,Capacity!$A$1:$C$645,2,TRUE)</f>
        <v>14</v>
      </c>
      <c r="K160" s="106">
        <f>VLOOKUP(K159,Capacity!$A$1:$C$645,2,TRUE)</f>
        <v>14</v>
      </c>
      <c r="L160" s="106">
        <f>VLOOKUP(L159,Capacity!$A$1:$C$645,2,TRUE)</f>
        <v>15</v>
      </c>
      <c r="M160" s="106">
        <f>VLOOKUP(M159,Capacity!$A$1:$C$645,2,TRUE)</f>
        <v>14</v>
      </c>
      <c r="N160" s="106">
        <f>VLOOKUP(N159,Capacity!$A$1:$C$645,2,TRUE)</f>
        <v>14</v>
      </c>
      <c r="O160" s="106">
        <f>VLOOKUP(O159,Capacity!$A$1:$C$645,2,TRUE)</f>
        <v>14</v>
      </c>
      <c r="P160" s="106">
        <f>VLOOKUP(P159,Capacity!$A$1:$C$645,2,TRUE)</f>
        <v>15</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28</v>
      </c>
      <c r="D169" s="97">
        <f>VLOOKUP($E$3,'Catchment Births'!$A$1:$U$90,11,FALSE)</f>
        <v>52</v>
      </c>
      <c r="E169" s="97">
        <f>VLOOKUP($E$3,'Catchment Births'!$A$1:$U$90,12,FALSE)</f>
        <v>46</v>
      </c>
      <c r="F169" s="97">
        <f>VLOOKUP($E$3,'Catchment Births'!$A$1:$U$90,13,FALSE)</f>
        <v>66</v>
      </c>
      <c r="G169" s="97">
        <f>VLOOKUP($E$3,'Catchment Births'!$A$1:$U$90,14,FALSE)</f>
        <v>37</v>
      </c>
      <c r="H169" s="97">
        <f>VLOOKUP($E$3,'Catchment Births'!$A$1:$U$90,15,FALSE)</f>
        <v>55</v>
      </c>
      <c r="I169" s="97">
        <f>VLOOKUP($E$3,'Catchment Births'!$A$1:$U$90,16,FALSE)</f>
        <v>36</v>
      </c>
      <c r="J169" s="97">
        <f>VLOOKUP($E$3,'Catchment Births'!$A$1:$U$90,17,FALSE)</f>
        <v>39</v>
      </c>
      <c r="K169" s="97">
        <f>VLOOKUP($E$3,'Catchment Births'!$A$1:$U$90,18,FALSE)</f>
        <v>45</v>
      </c>
      <c r="L169" s="97">
        <f>VLOOKUP($E$3,'Catchment Births'!$A$1:$U$90,19,FALSE)</f>
        <v>41</v>
      </c>
      <c r="M169" s="97">
        <f>VLOOKUP($E$3,'Catchment Births'!$A$1:$U$90,20,FALSE)</f>
        <v>58</v>
      </c>
      <c r="N169" s="97">
        <f>VLOOKUP($E$3,'Catchment Births'!$A$1:$U$90,21,FALSE)</f>
        <v>41</v>
      </c>
    </row>
    <row r="170" spans="2:14" ht="58.5" customHeight="1">
      <c r="B170" s="103" t="str">
        <f>"P1 "&amp;A35&amp;" Catchment Population (Actual)"</f>
        <v>P1 ND Catchment Population (Actual)</v>
      </c>
      <c r="C170" s="102" t="e">
        <v>#REF!</v>
      </c>
      <c r="D170" s="102">
        <v>50</v>
      </c>
      <c r="E170" s="102">
        <v>49</v>
      </c>
      <c r="F170" s="102">
        <v>55</v>
      </c>
      <c r="G170" s="102">
        <v>54</v>
      </c>
      <c r="H170" s="102">
        <v>49</v>
      </c>
      <c r="I170" s="102">
        <v>62</v>
      </c>
      <c r="J170" s="308">
        <f>VLOOKUP(E3,'Catchment Projections'!A1:BU92,42,FALSE)</f>
        <v>54</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62</v>
      </c>
      <c r="J172" s="96" t="e">
        <f>#REF!</f>
        <v>#REF!</v>
      </c>
      <c r="K172" s="96">
        <f>D51</f>
        <v>71</v>
      </c>
      <c r="L172" s="96">
        <f>E51</f>
        <v>50</v>
      </c>
      <c r="M172" s="96">
        <f>F51</f>
        <v>44</v>
      </c>
      <c r="N172" s="96">
        <f>G51</f>
        <v>66</v>
      </c>
    </row>
    <row r="173" spans="2:14" ht="12.75">
      <c r="B173" s="62"/>
      <c r="C173" s="62"/>
      <c r="D173" s="62"/>
      <c r="E173" s="62"/>
      <c r="F173" s="62"/>
      <c r="G173" s="62"/>
      <c r="H173" s="62"/>
      <c r="I173" s="62"/>
      <c r="J173" s="62"/>
      <c r="K173" s="62"/>
    </row>
    <row r="174" spans="2:14" ht="15" customHeight="1">
      <c r="B174" s="64" t="str">
        <f>"Table 5: "&amp;E3&amp;" Roll by Stage, 2002-2018"</f>
        <v>Table 5: Juniper Green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60</v>
      </c>
      <c r="D177" s="93">
        <v>61</v>
      </c>
      <c r="E177" s="93">
        <v>67</v>
      </c>
      <c r="F177" s="93">
        <v>60</v>
      </c>
      <c r="G177" s="93">
        <v>49</v>
      </c>
      <c r="H177" s="93">
        <v>57</v>
      </c>
      <c r="I177" s="93">
        <v>62</v>
      </c>
      <c r="J177" s="92">
        <v>416</v>
      </c>
      <c r="K177" s="62"/>
    </row>
    <row r="178" spans="2:11" ht="15" customHeight="1">
      <c r="B178" s="94">
        <v>2003</v>
      </c>
      <c r="C178" s="93">
        <v>59</v>
      </c>
      <c r="D178" s="93">
        <v>59</v>
      </c>
      <c r="E178" s="93">
        <v>60</v>
      </c>
      <c r="F178" s="93">
        <v>66</v>
      </c>
      <c r="G178" s="93">
        <v>60</v>
      </c>
      <c r="H178" s="93">
        <v>51</v>
      </c>
      <c r="I178" s="93">
        <v>56</v>
      </c>
      <c r="J178" s="92">
        <v>411</v>
      </c>
      <c r="K178" s="62"/>
    </row>
    <row r="179" spans="2:11" customFormat="1" ht="15" customHeight="1">
      <c r="B179" s="94">
        <v>2004</v>
      </c>
      <c r="C179" s="95">
        <v>58</v>
      </c>
      <c r="D179" s="95">
        <v>60</v>
      </c>
      <c r="E179" s="95">
        <v>60</v>
      </c>
      <c r="F179" s="95">
        <v>59</v>
      </c>
      <c r="G179" s="95">
        <v>64</v>
      </c>
      <c r="H179" s="95">
        <v>56</v>
      </c>
      <c r="I179" s="95">
        <v>46</v>
      </c>
      <c r="J179" s="92">
        <v>403</v>
      </c>
      <c r="K179" s="62"/>
    </row>
    <row r="180" spans="2:11" customFormat="1" ht="15" customHeight="1">
      <c r="B180" s="94">
        <v>2005</v>
      </c>
      <c r="C180" s="93">
        <v>36</v>
      </c>
      <c r="D180" s="93">
        <v>59</v>
      </c>
      <c r="E180" s="93">
        <v>57</v>
      </c>
      <c r="F180" s="93">
        <v>60</v>
      </c>
      <c r="G180" s="93">
        <v>59</v>
      </c>
      <c r="H180" s="93">
        <v>64</v>
      </c>
      <c r="I180" s="93">
        <v>58</v>
      </c>
      <c r="J180" s="92">
        <v>393</v>
      </c>
      <c r="K180" s="62"/>
    </row>
    <row r="181" spans="2:11" customFormat="1" ht="15" customHeight="1">
      <c r="B181" s="94">
        <v>2006</v>
      </c>
      <c r="C181" s="93">
        <v>63</v>
      </c>
      <c r="D181" s="93">
        <v>36</v>
      </c>
      <c r="E181" s="93">
        <v>56</v>
      </c>
      <c r="F181" s="93">
        <v>56</v>
      </c>
      <c r="G181" s="93">
        <v>61</v>
      </c>
      <c r="H181" s="93">
        <v>51</v>
      </c>
      <c r="I181" s="93">
        <v>55</v>
      </c>
      <c r="J181" s="92">
        <v>378</v>
      </c>
      <c r="K181" s="62"/>
    </row>
    <row r="182" spans="2:11" customFormat="1" ht="15" customHeight="1">
      <c r="B182" s="94">
        <v>2007</v>
      </c>
      <c r="C182" s="93">
        <v>51</v>
      </c>
      <c r="D182" s="93">
        <v>55</v>
      </c>
      <c r="E182" s="93">
        <v>36</v>
      </c>
      <c r="F182" s="93">
        <v>53</v>
      </c>
      <c r="G182" s="93">
        <v>51</v>
      </c>
      <c r="H182" s="93">
        <v>58</v>
      </c>
      <c r="I182" s="93">
        <v>48</v>
      </c>
      <c r="J182" s="92">
        <v>352</v>
      </c>
      <c r="K182" s="62"/>
    </row>
    <row r="183" spans="2:11" customFormat="1" ht="15" customHeight="1">
      <c r="B183" s="94">
        <v>2008</v>
      </c>
      <c r="C183" s="93">
        <v>52</v>
      </c>
      <c r="D183" s="93">
        <v>57</v>
      </c>
      <c r="E183" s="93">
        <v>55</v>
      </c>
      <c r="F183" s="93">
        <v>37</v>
      </c>
      <c r="G183" s="93">
        <v>54</v>
      </c>
      <c r="H183" s="93">
        <v>49</v>
      </c>
      <c r="I183" s="93">
        <v>59</v>
      </c>
      <c r="J183" s="92">
        <v>363</v>
      </c>
      <c r="K183" s="62"/>
    </row>
    <row r="184" spans="2:11" customFormat="1" ht="15" customHeight="1">
      <c r="B184" s="94">
        <v>2009</v>
      </c>
      <c r="C184" s="93">
        <v>48</v>
      </c>
      <c r="D184" s="93">
        <v>59</v>
      </c>
      <c r="E184" s="93">
        <v>60</v>
      </c>
      <c r="F184" s="93">
        <v>59</v>
      </c>
      <c r="G184" s="93">
        <v>37</v>
      </c>
      <c r="H184" s="93">
        <v>57</v>
      </c>
      <c r="I184" s="93">
        <v>49</v>
      </c>
      <c r="J184" s="94">
        <v>369</v>
      </c>
      <c r="K184" s="62"/>
    </row>
    <row r="185" spans="2:11" customFormat="1" ht="15" customHeight="1">
      <c r="B185" s="94">
        <v>2010</v>
      </c>
      <c r="C185" s="93">
        <v>60</v>
      </c>
      <c r="D185" s="93">
        <v>55</v>
      </c>
      <c r="E185" s="93">
        <v>60</v>
      </c>
      <c r="F185" s="93">
        <v>61</v>
      </c>
      <c r="G185" s="93">
        <v>60</v>
      </c>
      <c r="H185" s="93">
        <v>41</v>
      </c>
      <c r="I185" s="93">
        <v>58</v>
      </c>
      <c r="J185" s="92">
        <v>395</v>
      </c>
      <c r="K185" s="62"/>
    </row>
    <row r="186" spans="2:11" customFormat="1" ht="15" customHeight="1">
      <c r="B186" s="94">
        <v>2011</v>
      </c>
      <c r="C186" s="93">
        <v>50</v>
      </c>
      <c r="D186" s="93">
        <v>60</v>
      </c>
      <c r="E186" s="93">
        <v>54</v>
      </c>
      <c r="F186" s="93">
        <v>57</v>
      </c>
      <c r="G186" s="93">
        <v>60</v>
      </c>
      <c r="H186" s="93">
        <v>58</v>
      </c>
      <c r="I186" s="93">
        <v>40</v>
      </c>
      <c r="J186" s="92">
        <v>379</v>
      </c>
      <c r="K186" s="62"/>
    </row>
    <row r="187" spans="2:11" customFormat="1" ht="15" customHeight="1">
      <c r="B187" s="94">
        <v>2012</v>
      </c>
      <c r="C187" s="93">
        <v>60</v>
      </c>
      <c r="D187" s="93">
        <v>58</v>
      </c>
      <c r="E187" s="93">
        <v>60</v>
      </c>
      <c r="F187" s="93">
        <v>50</v>
      </c>
      <c r="G187" s="93">
        <v>55</v>
      </c>
      <c r="H187" s="93">
        <v>59</v>
      </c>
      <c r="I187" s="93">
        <v>59</v>
      </c>
      <c r="J187" s="92">
        <v>401</v>
      </c>
      <c r="K187" s="62"/>
    </row>
    <row r="188" spans="2:11" customFormat="1" ht="15" customHeight="1">
      <c r="B188" s="94">
        <v>2013</v>
      </c>
      <c r="C188" s="93">
        <v>60</v>
      </c>
      <c r="D188" s="93">
        <v>60</v>
      </c>
      <c r="E188" s="93">
        <v>58</v>
      </c>
      <c r="F188" s="93">
        <v>63</v>
      </c>
      <c r="G188" s="93">
        <v>52</v>
      </c>
      <c r="H188" s="93">
        <v>52</v>
      </c>
      <c r="I188" s="93">
        <v>59</v>
      </c>
      <c r="J188" s="94">
        <v>404</v>
      </c>
      <c r="K188" s="62"/>
    </row>
    <row r="189" spans="2:11" customFormat="1" ht="15" customHeight="1">
      <c r="B189" s="94">
        <v>2014</v>
      </c>
      <c r="C189" s="93">
        <v>59</v>
      </c>
      <c r="D189" s="93">
        <v>60</v>
      </c>
      <c r="E189" s="93">
        <v>60</v>
      </c>
      <c r="F189" s="93">
        <v>58</v>
      </c>
      <c r="G189" s="93">
        <v>59</v>
      </c>
      <c r="H189" s="93">
        <v>52</v>
      </c>
      <c r="I189" s="93">
        <v>52</v>
      </c>
      <c r="J189" s="92">
        <v>400</v>
      </c>
      <c r="K189" s="65"/>
    </row>
    <row r="190" spans="2:11" customFormat="1" ht="15" customHeight="1">
      <c r="B190" s="94">
        <v>2015</v>
      </c>
      <c r="C190" s="93">
        <v>63</v>
      </c>
      <c r="D190" s="93">
        <v>58</v>
      </c>
      <c r="E190" s="93">
        <v>61</v>
      </c>
      <c r="F190" s="93">
        <v>65</v>
      </c>
      <c r="G190" s="93">
        <v>58</v>
      </c>
      <c r="H190" s="93">
        <v>59</v>
      </c>
      <c r="I190" s="93">
        <v>56</v>
      </c>
      <c r="J190" s="92">
        <v>420</v>
      </c>
      <c r="K190" s="65"/>
    </row>
    <row r="191" spans="2:11" customFormat="1" ht="15" customHeight="1">
      <c r="B191" s="94">
        <v>2016</v>
      </c>
      <c r="C191" s="93">
        <v>57</v>
      </c>
      <c r="D191" s="93">
        <v>64</v>
      </c>
      <c r="E191" s="93">
        <v>59</v>
      </c>
      <c r="F191" s="93">
        <v>61</v>
      </c>
      <c r="G191" s="93">
        <v>63</v>
      </c>
      <c r="H191" s="93">
        <v>59</v>
      </c>
      <c r="I191" s="93">
        <v>57</v>
      </c>
      <c r="J191" s="92">
        <v>420</v>
      </c>
      <c r="K191" s="65"/>
    </row>
    <row r="192" spans="2:11" ht="15" customHeight="1">
      <c r="B192" s="94">
        <v>2017</v>
      </c>
      <c r="C192" s="93">
        <f>VLOOKUP($E$3,Rolls!A1:FA90,42,FALSE)</f>
        <v>53</v>
      </c>
      <c r="D192" s="93">
        <f>VLOOKUP($E$3,Rolls!A1:FA90,43,FALSE)</f>
        <v>54</v>
      </c>
      <c r="E192" s="93">
        <f>VLOOKUP($E$3,Rolls!A1:FA90,44,FALSE)</f>
        <v>63</v>
      </c>
      <c r="F192" s="93">
        <f>VLOOKUP($E$3,Rolls!A1:FA90,45,FALSE)</f>
        <v>61</v>
      </c>
      <c r="G192" s="93">
        <f>VLOOKUP($E$3,Rolls!A1:FA90,46,FALSE)</f>
        <v>61</v>
      </c>
      <c r="H192" s="93">
        <f>VLOOKUP($E$3,Rolls!A1:FA90,47,FALSE)</f>
        <v>57</v>
      </c>
      <c r="I192" s="93">
        <f>VLOOKUP($E$3,Rolls!A1:FA90,48,FALSE)</f>
        <v>53</v>
      </c>
      <c r="J192" s="92">
        <f>VLOOKUP($E$3,Rolls!A1:FA90,49,FALSE)</f>
        <v>402</v>
      </c>
      <c r="K192" s="65"/>
    </row>
    <row r="193" spans="2:11" ht="15" customHeight="1">
      <c r="B193" s="94">
        <v>2018</v>
      </c>
      <c r="C193" s="93">
        <f>VLOOKUP($E$3,Rolls!A1:FA90,50,FALSE)</f>
        <v>47</v>
      </c>
      <c r="D193" s="93">
        <f>VLOOKUP($E$3,Rolls!A1:FA90,51,FALSE)</f>
        <v>54</v>
      </c>
      <c r="E193" s="93">
        <f>VLOOKUP($E$3,Rolls!A1:FA90,52,FALSE)</f>
        <v>53</v>
      </c>
      <c r="F193" s="93">
        <f>VLOOKUP($E$3,Rolls!A1:FA90,53,FALSE)</f>
        <v>63</v>
      </c>
      <c r="G193" s="93">
        <f>VLOOKUP($E$3,Rolls!A1:FA90,54,FALSE)</f>
        <v>58</v>
      </c>
      <c r="H193" s="93">
        <f>VLOOKUP($E$3,Rolls!A1:FA90,55,FALSE)</f>
        <v>63</v>
      </c>
      <c r="I193" s="93">
        <f>VLOOKUP($E$3,Rolls!A1:FA90,56,FALSE)</f>
        <v>52</v>
      </c>
      <c r="J193" s="92">
        <f>VLOOKUP($E$3,Rolls!A1:FA90,57,FALSE)</f>
        <v>390</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43</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Kirkliston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560 Pupils (20 classes)</v>
      </c>
      <c r="G12" s="16"/>
      <c r="H12" s="16"/>
    </row>
    <row r="13" spans="2:10" ht="15" customHeight="1">
      <c r="C13" s="16"/>
      <c r="D13" s="16"/>
      <c r="E13" s="16"/>
      <c r="F13" s="16"/>
      <c r="G13" s="16"/>
      <c r="H13" s="16"/>
    </row>
    <row r="14" spans="2:10" ht="15" customHeight="1">
      <c r="B14" s="15" t="str">
        <f>"Figure 1: "&amp;E3&amp;" Roll, 2002-2015"</f>
        <v>Figure 1: Kirkliston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Kirkliston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1"/>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117</v>
      </c>
      <c r="E49" s="108">
        <f>VLOOKUP($E$3,'Catchment Projections'!$A$1:$BU$90,46,FALSE)</f>
        <v>136</v>
      </c>
      <c r="F49" s="108">
        <f>VLOOKUP($E$3,'Catchment Projections'!$A$1:$BU$90,47,FALSE)</f>
        <v>143</v>
      </c>
      <c r="G49" s="108">
        <f>VLOOKUP($E$3,'Catchment Projections'!$A$1:$BU$90,48,FALSE)</f>
        <v>168</v>
      </c>
      <c r="H49" s="133">
        <f>VLOOKUP($E$3,'Catchment Projections'!$A$1:$BU$90,49,FALSE)</f>
        <v>151</v>
      </c>
      <c r="I49" s="133">
        <f>VLOOKUP($E$3,'Catchment Projections'!$A$1:$BU$90,50,FALSE)</f>
        <v>153</v>
      </c>
      <c r="J49" s="133">
        <f>VLOOKUP($E$3,'Catchment Projections'!$A$1:$BU$90,51,FALSE)</f>
        <v>155</v>
      </c>
      <c r="K49" s="133">
        <f>VLOOKUP($E$3,'Catchment Projections'!$A$1:$BU$90,52,FALSE)</f>
        <v>156</v>
      </c>
      <c r="L49" s="133">
        <f>VLOOKUP($E$3,'Catchment Projections'!$A$1:$BU$90,53,FALSE)</f>
        <v>158</v>
      </c>
      <c r="M49" s="133">
        <f>VLOOKUP($E$3,'Catchment Projections'!$A$1:$BU$90,54,FALSE)</f>
        <v>158</v>
      </c>
      <c r="N49" s="133">
        <f>VLOOKUP($E$3,'Catchment Projections'!$A$1:$BU$90,55,FALSE)</f>
        <v>159</v>
      </c>
      <c r="O49" s="133">
        <f>VLOOKUP($E$3,'Catchment Projections'!$A$1:$BU$90,56,FALSE)</f>
        <v>159</v>
      </c>
      <c r="P49" s="133">
        <f>VLOOKUP($E$3,'Catchment Projections'!$A$1:$BU$90,57,FALSE)</f>
        <v>159</v>
      </c>
      <c r="Q49" s="133">
        <f>VLOOKUP($E$3,'Catchment Projections'!$A$1:$BU$90,58,FALSE)</f>
        <v>159</v>
      </c>
    </row>
    <row r="50" spans="2:17" ht="15" customHeight="1" thickBot="1">
      <c r="B50" s="410" t="s">
        <v>141</v>
      </c>
      <c r="C50" s="411"/>
      <c r="D50" s="286">
        <f>VLOOKUP(E3,'Housing Generation'!$A$3:$DQ$90,10,FALSE)</f>
        <v>2</v>
      </c>
      <c r="E50" s="286">
        <f>VLOOKUP(E3,'Housing Generation'!$A$3:$DQ$90,18,FALSE)</f>
        <v>2</v>
      </c>
      <c r="F50" s="286">
        <v>0</v>
      </c>
      <c r="G50" s="243">
        <v>0</v>
      </c>
      <c r="H50" s="133">
        <v>0</v>
      </c>
      <c r="I50" s="133">
        <v>0</v>
      </c>
      <c r="J50" s="133">
        <v>0</v>
      </c>
      <c r="K50" s="133">
        <v>0</v>
      </c>
      <c r="L50" s="133">
        <v>0</v>
      </c>
      <c r="M50" s="133">
        <v>0</v>
      </c>
      <c r="N50" s="133">
        <v>0</v>
      </c>
      <c r="O50" s="133">
        <v>0</v>
      </c>
      <c r="P50" s="133">
        <v>0</v>
      </c>
      <c r="Q50" s="133">
        <v>0</v>
      </c>
    </row>
    <row r="51" spans="2:17" ht="15" customHeight="1" thickTop="1">
      <c r="B51" s="421" t="s">
        <v>130</v>
      </c>
      <c r="C51" s="422"/>
      <c r="D51" s="47">
        <f t="shared" ref="D51:Q51" si="0">SUM(D49:D50)</f>
        <v>119</v>
      </c>
      <c r="E51" s="47">
        <f t="shared" si="0"/>
        <v>138</v>
      </c>
      <c r="F51" s="80">
        <f t="shared" si="0"/>
        <v>143</v>
      </c>
      <c r="G51" s="244">
        <f t="shared" si="0"/>
        <v>168</v>
      </c>
      <c r="H51" s="71">
        <f t="shared" si="0"/>
        <v>151</v>
      </c>
      <c r="I51" s="71">
        <f t="shared" si="0"/>
        <v>153</v>
      </c>
      <c r="J51" s="71">
        <f t="shared" si="0"/>
        <v>155</v>
      </c>
      <c r="K51" s="71">
        <f t="shared" si="0"/>
        <v>156</v>
      </c>
      <c r="L51" s="71">
        <f t="shared" si="0"/>
        <v>158</v>
      </c>
      <c r="M51" s="71">
        <f t="shared" si="0"/>
        <v>158</v>
      </c>
      <c r="N51" s="71">
        <f t="shared" si="0"/>
        <v>159</v>
      </c>
      <c r="O51" s="71">
        <f t="shared" si="0"/>
        <v>159</v>
      </c>
      <c r="P51" s="71">
        <f t="shared" si="0"/>
        <v>159</v>
      </c>
      <c r="Q51" s="71">
        <f t="shared" si="0"/>
        <v>159</v>
      </c>
    </row>
    <row r="52" spans="2:17" ht="15" customHeight="1">
      <c r="B52" s="313"/>
      <c r="C52" s="314"/>
      <c r="D52" s="315"/>
      <c r="E52" s="316"/>
      <c r="F52" s="317"/>
      <c r="G52" s="317"/>
      <c r="H52" s="317"/>
      <c r="I52" s="317"/>
      <c r="J52" s="317"/>
      <c r="K52" s="317"/>
      <c r="L52" s="317"/>
      <c r="M52" s="317"/>
      <c r="N52" s="317"/>
      <c r="O52" s="317"/>
      <c r="P52" s="317"/>
      <c r="Q52" s="317"/>
    </row>
    <row r="53" spans="2:17" ht="31.5" customHeight="1">
      <c r="B53" s="423" t="s">
        <v>160</v>
      </c>
      <c r="C53" s="424"/>
      <c r="D53" s="87">
        <f>VLOOKUP(E3,'P1 Registration 2016'!A2:B89,2,FALSE)</f>
        <v>103</v>
      </c>
      <c r="E53" s="48"/>
      <c r="F53" s="48"/>
      <c r="G53" s="48"/>
      <c r="H53" s="48"/>
    </row>
    <row r="54" spans="2:17" ht="66.75" customHeight="1">
      <c r="B54" s="438" t="s">
        <v>267</v>
      </c>
      <c r="C54" s="439"/>
      <c r="D54" s="439"/>
      <c r="E54" s="439"/>
      <c r="F54" s="439"/>
      <c r="G54" s="439"/>
      <c r="H54" s="439"/>
      <c r="I54" s="439"/>
      <c r="J54" s="439"/>
    </row>
    <row r="55" spans="2:17" ht="18.75" customHeight="1">
      <c r="B55" s="12" t="str">
        <f>"Table 2A: P1 "&amp;A35&amp;" Catchment Population Captured in P1 Intake, 2012-2016"</f>
        <v>Table 2A: P1 ND Catchment Population Captured in P1 Intake, 2012-2016</v>
      </c>
      <c r="C55" s="17"/>
      <c r="D55" s="17"/>
      <c r="E55" s="17"/>
      <c r="F55" s="17"/>
      <c r="G55" s="306" t="s">
        <v>291</v>
      </c>
      <c r="H55" s="17"/>
      <c r="I55" s="13"/>
      <c r="J55" s="13"/>
    </row>
    <row r="56" spans="2:17" ht="15" customHeight="1">
      <c r="B56" s="16"/>
      <c r="C56" s="16"/>
      <c r="D56" s="16"/>
      <c r="E56" s="16"/>
      <c r="F56" s="16"/>
      <c r="G56" s="16"/>
      <c r="H56" s="16"/>
    </row>
    <row r="57" spans="2:17" ht="30"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377"/>
      <c r="C58" s="378"/>
      <c r="D58" s="378"/>
      <c r="E58" s="378"/>
      <c r="F58" s="16"/>
      <c r="G58" s="379"/>
      <c r="H58" s="380"/>
      <c r="I58" s="380"/>
      <c r="J58" s="380"/>
    </row>
    <row r="59" spans="2:17" ht="43.5" customHeight="1">
      <c r="B59" s="126" t="s">
        <v>122</v>
      </c>
      <c r="C59" s="126" t="s">
        <v>121</v>
      </c>
      <c r="D59" s="420" t="s">
        <v>133</v>
      </c>
      <c r="E59" s="440"/>
      <c r="G59" s="126" t="s">
        <v>122</v>
      </c>
      <c r="H59" s="125" t="s">
        <v>134</v>
      </c>
      <c r="I59" s="428" t="s">
        <v>135</v>
      </c>
      <c r="J59" s="429"/>
    </row>
    <row r="60" spans="2:17" ht="15" customHeight="1">
      <c r="B60" s="132">
        <v>2014</v>
      </c>
      <c r="C60" s="359">
        <f>VLOOKUP($E$3,'Catchment Projections'!$A$1:$BZ$90,40,FALSE)</f>
        <v>86</v>
      </c>
      <c r="D60" s="358">
        <f>VLOOKUP($E$3,'Catchment Projections'!$A$1:$BZ$90,74,FALSE)</f>
        <v>80</v>
      </c>
      <c r="E60" s="319">
        <f>D60/C60</f>
        <v>0.93023255813953487</v>
      </c>
      <c r="G60" s="132">
        <v>2014</v>
      </c>
      <c r="H60" s="395">
        <f>VLOOKUP($G$60,$B$177:$C$215, 2, FALSE)</f>
        <v>80</v>
      </c>
      <c r="I60" s="120">
        <f>H60-D60</f>
        <v>0</v>
      </c>
      <c r="J60" s="121">
        <f>I60/H60</f>
        <v>0</v>
      </c>
    </row>
    <row r="61" spans="2:17" ht="15" customHeight="1">
      <c r="B61" s="132">
        <v>2015</v>
      </c>
      <c r="C61" s="359">
        <f>VLOOKUP($E$3,'Catchment Projections'!$A$1:$BZ$90,41,FALSE)</f>
        <v>67</v>
      </c>
      <c r="D61" s="358">
        <f>VLOOKUP($E$3,'Catchment Projections'!$A$1:$BZ$90,75,FALSE)</f>
        <v>63</v>
      </c>
      <c r="E61" s="320">
        <f t="shared" ref="E61:E64" si="1">D61/C61</f>
        <v>0.94029850746268662</v>
      </c>
      <c r="G61" s="132">
        <v>2015</v>
      </c>
      <c r="H61" s="395">
        <f>VLOOKUP($G$61,$B$177:$C$215, 2, FALSE)</f>
        <v>67</v>
      </c>
      <c r="I61" s="120">
        <f>H61-D61</f>
        <v>4</v>
      </c>
      <c r="J61" s="121">
        <f>I61/H61</f>
        <v>5.9701492537313432E-2</v>
      </c>
      <c r="L61" s="203"/>
    </row>
    <row r="62" spans="2:17" ht="15" customHeight="1">
      <c r="B62" s="131">
        <v>2016</v>
      </c>
      <c r="C62" s="359">
        <f>VLOOKUP($E$3,'Catchment Projections'!$A$1:$BZ$90,42,FALSE)</f>
        <v>96</v>
      </c>
      <c r="D62" s="358">
        <f>VLOOKUP($E$3,'Catchment Projections'!$A$1:$BZ$90,76,FALSE)</f>
        <v>93</v>
      </c>
      <c r="E62" s="321">
        <f t="shared" si="1"/>
        <v>0.96875</v>
      </c>
      <c r="G62" s="131">
        <v>2016</v>
      </c>
      <c r="H62" s="395">
        <f>VLOOKUP($G$62,$B$177:$C$215, 2, FALSE)</f>
        <v>95</v>
      </c>
      <c r="I62" s="120">
        <f>H62-D62</f>
        <v>2</v>
      </c>
      <c r="J62" s="121">
        <f>I62/H62</f>
        <v>2.1052631578947368E-2</v>
      </c>
      <c r="L62" s="203"/>
    </row>
    <row r="63" spans="2:17" ht="15" customHeight="1">
      <c r="B63" s="114">
        <v>2017</v>
      </c>
      <c r="C63" s="359">
        <f>VLOOKUP($E$3,'Catchment Projections'!$A$1:$BZ$90,43,FALSE)</f>
        <v>98</v>
      </c>
      <c r="D63" s="358">
        <f>VLOOKUP($E$3,'Catchment Projections'!$A$1:$BZ$90,77,FALSE)</f>
        <v>95</v>
      </c>
      <c r="E63" s="322">
        <f t="shared" si="1"/>
        <v>0.96938775510204078</v>
      </c>
      <c r="G63" s="114">
        <v>2017</v>
      </c>
      <c r="H63" s="395">
        <f>VLOOKUP($G$63,$B$177:$C$215, 2, FALSE)</f>
        <v>96</v>
      </c>
      <c r="I63" s="120">
        <f>H63-D63</f>
        <v>1</v>
      </c>
      <c r="J63" s="121">
        <f>I63/H63</f>
        <v>1.0416666666666666E-2</v>
      </c>
      <c r="L63" s="203"/>
    </row>
    <row r="64" spans="2:17" ht="15" customHeight="1">
      <c r="B64" s="132">
        <v>2018</v>
      </c>
      <c r="C64" s="359">
        <f>VLOOKUP($E$3,'Catchment Projections'!$A$1:$BZ$90,44,FALSE)</f>
        <v>106</v>
      </c>
      <c r="D64" s="358">
        <f>VLOOKUP($E$3,'Catchment Projections'!$A$1:$BZ$90,78,FALSE)</f>
        <v>105</v>
      </c>
      <c r="E64" s="323">
        <f t="shared" si="1"/>
        <v>0.99056603773584906</v>
      </c>
      <c r="G64" s="132">
        <v>2018</v>
      </c>
      <c r="H64" s="395">
        <f>VLOOKUP($G$64,$B$177:$C$215, 2, FALSE)</f>
        <v>107</v>
      </c>
      <c r="I64" s="120">
        <f>H64-D64</f>
        <v>2</v>
      </c>
      <c r="J64" s="121">
        <f>I64/H64</f>
        <v>1.8691588785046728E-2</v>
      </c>
      <c r="L64" s="203"/>
    </row>
    <row r="65" spans="2:10" ht="15" customHeight="1">
      <c r="B65" s="412" t="s">
        <v>136</v>
      </c>
      <c r="C65" s="413"/>
      <c r="D65" s="414"/>
      <c r="E65" s="137">
        <f>IF((AVERAGE(E62:E64))="#DIV/0!","n/a",(AVERAGE(E62:E64)))</f>
        <v>0.97623459761262987</v>
      </c>
      <c r="G65" s="415" t="s">
        <v>137</v>
      </c>
      <c r="H65" s="416"/>
      <c r="I65" s="138">
        <f>MEDIAN(I60:I64)</f>
        <v>2</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374"/>
      <c r="C68" s="375"/>
      <c r="D68" s="375"/>
      <c r="E68" s="375"/>
      <c r="F68" s="376"/>
      <c r="G68" s="376"/>
      <c r="H68" s="376"/>
      <c r="I68" s="376"/>
      <c r="J68" s="376"/>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119</v>
      </c>
      <c r="D70" s="408"/>
      <c r="E70" s="122">
        <f>$E$65</f>
        <v>0.97623459761262987</v>
      </c>
      <c r="F70" s="120">
        <f t="shared" ref="F70:F83" si="2">C70*$E$65</f>
        <v>116.17191711590296</v>
      </c>
      <c r="G70" s="118">
        <f>IF(F70&lt;26,25,IF(F70&gt;135,140,IF(F70&gt;130,135,IF(F70&gt;125,130,IF(F70&gt;120,125,IF(F70&gt;115,120,IF(F70&gt;110,115,IF(F70&gt;105,110,IF(F70&gt;100,105,IF(F70&gt;99,100,IF(F70&gt;90,99,IF(F70&gt;75,90,IF(F70&gt;72,75,IF(F70&gt;66,72,IF(F70&gt;60,66,IF(F70&gt;50,60,IF(F70&gt;30,50,IF(F70&gt;25,30,0))))))))))))))))))</f>
        <v>120</v>
      </c>
      <c r="H70" s="119">
        <f t="shared" ref="H70:H78" si="3">G70-F70</f>
        <v>3.8280828840970429</v>
      </c>
      <c r="I70" s="118" t="str">
        <f>IF(I$65&lt;H70, "NO", "YES")</f>
        <v>NO</v>
      </c>
      <c r="J70" s="117">
        <f t="shared" ref="J70:J78" si="4">IF(I70="YES",G70,(MIN((SUM(F70,$I$65)),G70)))</f>
        <v>118.17191711590296</v>
      </c>
    </row>
    <row r="71" spans="2:10" ht="15" customHeight="1">
      <c r="B71" s="114">
        <v>2020</v>
      </c>
      <c r="C71" s="433">
        <f>E51</f>
        <v>138</v>
      </c>
      <c r="D71" s="408"/>
      <c r="E71" s="122">
        <f t="shared" ref="E71:E83" si="5">$E$65</f>
        <v>0.97623459761262987</v>
      </c>
      <c r="F71" s="120">
        <f t="shared" si="2"/>
        <v>134.72037447054294</v>
      </c>
      <c r="G71" s="118">
        <f t="shared" ref="G71:G83" si="6">IF(F71&lt;26,25,IF(F71&gt;135,140,IF(F71&gt;130,135,IF(F71&gt;125,130,IF(F71&gt;120,125,IF(F71&gt;115,120,IF(F71&gt;110,115,IF(F71&gt;105,110,IF(F71&gt;100,105,IF(F71&gt;99,100,IF(F71&gt;90,99,IF(F71&gt;75,90,IF(F71&gt;72,75,IF(F71&gt;66,72,IF(F71&gt;60,66,IF(F71&gt;50,60,IF(F71&gt;30,50,IF(F71&gt;25,30,0))))))))))))))))))</f>
        <v>135</v>
      </c>
      <c r="H71" s="119">
        <f t="shared" si="3"/>
        <v>0.2796255294570642</v>
      </c>
      <c r="I71" s="118" t="str">
        <f t="shared" ref="I71:I83" si="7">IF(I$65&lt;H71, "NO", "YES")</f>
        <v>YES</v>
      </c>
      <c r="J71" s="117">
        <f t="shared" si="4"/>
        <v>135</v>
      </c>
    </row>
    <row r="72" spans="2:10" ht="15" customHeight="1">
      <c r="B72" s="114">
        <v>2021</v>
      </c>
      <c r="C72" s="430">
        <f>F51</f>
        <v>143</v>
      </c>
      <c r="D72" s="431"/>
      <c r="E72" s="122">
        <f t="shared" si="5"/>
        <v>0.97623459761262987</v>
      </c>
      <c r="F72" s="120">
        <f t="shared" si="2"/>
        <v>139.60154745860606</v>
      </c>
      <c r="G72" s="118">
        <f t="shared" si="6"/>
        <v>140</v>
      </c>
      <c r="H72" s="119">
        <f t="shared" si="3"/>
        <v>0.3984525413939366</v>
      </c>
      <c r="I72" s="118" t="str">
        <f t="shared" si="7"/>
        <v>YES</v>
      </c>
      <c r="J72" s="117">
        <f t="shared" si="4"/>
        <v>140</v>
      </c>
    </row>
    <row r="73" spans="2:10" ht="15" customHeight="1">
      <c r="B73" s="114">
        <v>2022</v>
      </c>
      <c r="C73" s="430">
        <f>G51</f>
        <v>168</v>
      </c>
      <c r="D73" s="431"/>
      <c r="E73" s="122">
        <f t="shared" si="5"/>
        <v>0.97623459761262987</v>
      </c>
      <c r="F73" s="120">
        <f t="shared" si="2"/>
        <v>164.00741239892182</v>
      </c>
      <c r="G73" s="118">
        <f t="shared" si="6"/>
        <v>140</v>
      </c>
      <c r="H73" s="119">
        <f t="shared" si="3"/>
        <v>-24.007412398921815</v>
      </c>
      <c r="I73" s="118" t="str">
        <f t="shared" si="7"/>
        <v>YES</v>
      </c>
      <c r="J73" s="117">
        <f t="shared" si="4"/>
        <v>140</v>
      </c>
    </row>
    <row r="74" spans="2:10" ht="15" customHeight="1">
      <c r="B74" s="114">
        <v>2023</v>
      </c>
      <c r="C74" s="430">
        <f>H51</f>
        <v>151</v>
      </c>
      <c r="D74" s="431"/>
      <c r="E74" s="122">
        <f t="shared" si="5"/>
        <v>0.97623459761262987</v>
      </c>
      <c r="F74" s="120">
        <f t="shared" si="2"/>
        <v>147.41142423950711</v>
      </c>
      <c r="G74" s="118">
        <f t="shared" si="6"/>
        <v>140</v>
      </c>
      <c r="H74" s="119">
        <f t="shared" si="3"/>
        <v>-7.411424239507113</v>
      </c>
      <c r="I74" s="118" t="str">
        <f t="shared" si="7"/>
        <v>YES</v>
      </c>
      <c r="J74" s="117">
        <f t="shared" si="4"/>
        <v>140</v>
      </c>
    </row>
    <row r="75" spans="2:10" ht="15" customHeight="1">
      <c r="B75" s="114">
        <v>2024</v>
      </c>
      <c r="C75" s="430">
        <f>I51</f>
        <v>153</v>
      </c>
      <c r="D75" s="431"/>
      <c r="E75" s="122">
        <f t="shared" si="5"/>
        <v>0.97623459761262987</v>
      </c>
      <c r="F75" s="120">
        <f t="shared" si="2"/>
        <v>149.36389343473238</v>
      </c>
      <c r="G75" s="118">
        <f t="shared" si="6"/>
        <v>140</v>
      </c>
      <c r="H75" s="119">
        <f t="shared" si="3"/>
        <v>-9.3638934347323755</v>
      </c>
      <c r="I75" s="118" t="str">
        <f t="shared" si="7"/>
        <v>YES</v>
      </c>
      <c r="J75" s="117">
        <f t="shared" si="4"/>
        <v>140</v>
      </c>
    </row>
    <row r="76" spans="2:10" ht="15" customHeight="1">
      <c r="B76" s="114">
        <v>2025</v>
      </c>
      <c r="C76" s="430">
        <f>J51</f>
        <v>155</v>
      </c>
      <c r="D76" s="431"/>
      <c r="E76" s="122">
        <f t="shared" si="5"/>
        <v>0.97623459761262987</v>
      </c>
      <c r="F76" s="120">
        <f t="shared" si="2"/>
        <v>151.31636262995764</v>
      </c>
      <c r="G76" s="118">
        <f t="shared" si="6"/>
        <v>140</v>
      </c>
      <c r="H76" s="119">
        <f t="shared" si="3"/>
        <v>-11.316362629957638</v>
      </c>
      <c r="I76" s="118" t="str">
        <f t="shared" si="7"/>
        <v>YES</v>
      </c>
      <c r="J76" s="117">
        <f t="shared" si="4"/>
        <v>140</v>
      </c>
    </row>
    <row r="77" spans="2:10" ht="15" customHeight="1">
      <c r="B77" s="114">
        <v>2026</v>
      </c>
      <c r="C77" s="430">
        <f>K51</f>
        <v>156</v>
      </c>
      <c r="D77" s="431"/>
      <c r="E77" s="122">
        <f t="shared" si="5"/>
        <v>0.97623459761262987</v>
      </c>
      <c r="F77" s="120">
        <f t="shared" si="2"/>
        <v>152.29259722757027</v>
      </c>
      <c r="G77" s="118">
        <f t="shared" si="6"/>
        <v>140</v>
      </c>
      <c r="H77" s="119">
        <f t="shared" si="3"/>
        <v>-12.292597227570269</v>
      </c>
      <c r="I77" s="118" t="str">
        <f t="shared" si="7"/>
        <v>YES</v>
      </c>
      <c r="J77" s="117">
        <f t="shared" si="4"/>
        <v>140</v>
      </c>
    </row>
    <row r="78" spans="2:10" ht="15" customHeight="1">
      <c r="B78" s="114">
        <v>2027</v>
      </c>
      <c r="C78" s="430">
        <f>L51</f>
        <v>158</v>
      </c>
      <c r="D78" s="431"/>
      <c r="E78" s="122">
        <f t="shared" si="5"/>
        <v>0.97623459761262987</v>
      </c>
      <c r="F78" s="120">
        <f t="shared" si="2"/>
        <v>154.24506642279553</v>
      </c>
      <c r="G78" s="118">
        <f t="shared" si="6"/>
        <v>140</v>
      </c>
      <c r="H78" s="119">
        <f t="shared" si="3"/>
        <v>-14.245066422795531</v>
      </c>
      <c r="I78" s="118" t="str">
        <f t="shared" si="7"/>
        <v>YES</v>
      </c>
      <c r="J78" s="117">
        <f t="shared" si="4"/>
        <v>140</v>
      </c>
    </row>
    <row r="79" spans="2:10" ht="15" customHeight="1">
      <c r="B79" s="114">
        <v>2028</v>
      </c>
      <c r="C79" s="430">
        <f>M51</f>
        <v>158</v>
      </c>
      <c r="D79" s="431"/>
      <c r="E79" s="122">
        <f t="shared" si="5"/>
        <v>0.97623459761262987</v>
      </c>
      <c r="F79" s="120">
        <f t="shared" si="2"/>
        <v>154.24506642279553</v>
      </c>
      <c r="G79" s="118">
        <f t="shared" si="6"/>
        <v>140</v>
      </c>
      <c r="H79" s="119">
        <f>G79-F79</f>
        <v>-14.245066422795531</v>
      </c>
      <c r="I79" s="118" t="str">
        <f t="shared" si="7"/>
        <v>YES</v>
      </c>
      <c r="J79" s="117">
        <f>IF(I79="YES",G79,(MIN((SUM(F79,$I$62)),G79)))</f>
        <v>140</v>
      </c>
    </row>
    <row r="80" spans="2:10" ht="15" customHeight="1">
      <c r="B80" s="114">
        <v>2029</v>
      </c>
      <c r="C80" s="430">
        <f>N51</f>
        <v>159</v>
      </c>
      <c r="D80" s="431"/>
      <c r="E80" s="122">
        <f t="shared" si="5"/>
        <v>0.97623459761262987</v>
      </c>
      <c r="F80" s="120">
        <f t="shared" si="2"/>
        <v>155.22130102040816</v>
      </c>
      <c r="G80" s="118">
        <f t="shared" si="6"/>
        <v>140</v>
      </c>
      <c r="H80" s="119">
        <f>G80-F80</f>
        <v>-15.221301020408163</v>
      </c>
      <c r="I80" s="118" t="str">
        <f t="shared" si="7"/>
        <v>YES</v>
      </c>
      <c r="J80" s="117">
        <f>IF(I80="YES",G80,(MIN((SUM(F80,$I$62)),G80)))</f>
        <v>140</v>
      </c>
    </row>
    <row r="81" spans="2:10" ht="15" customHeight="1">
      <c r="B81" s="114">
        <v>2030</v>
      </c>
      <c r="C81" s="430">
        <f>O51</f>
        <v>159</v>
      </c>
      <c r="D81" s="431"/>
      <c r="E81" s="122">
        <f t="shared" si="5"/>
        <v>0.97623459761262987</v>
      </c>
      <c r="F81" s="120">
        <f t="shared" si="2"/>
        <v>155.22130102040816</v>
      </c>
      <c r="G81" s="118">
        <f t="shared" si="6"/>
        <v>140</v>
      </c>
      <c r="H81" s="119">
        <f>G81-F81</f>
        <v>-15.221301020408163</v>
      </c>
      <c r="I81" s="118" t="str">
        <f t="shared" si="7"/>
        <v>YES</v>
      </c>
      <c r="J81" s="117">
        <f>IF(I81="YES",G81,(MIN((SUM(F81,$I$62)),G81)))</f>
        <v>140</v>
      </c>
    </row>
    <row r="82" spans="2:10" ht="15" customHeight="1">
      <c r="B82" s="114">
        <v>2031</v>
      </c>
      <c r="C82" s="430">
        <f>P51</f>
        <v>159</v>
      </c>
      <c r="D82" s="431"/>
      <c r="E82" s="122">
        <f t="shared" si="5"/>
        <v>0.97623459761262987</v>
      </c>
      <c r="F82" s="120">
        <f t="shared" si="2"/>
        <v>155.22130102040816</v>
      </c>
      <c r="G82" s="118">
        <f t="shared" si="6"/>
        <v>140</v>
      </c>
      <c r="H82" s="119">
        <f>G82-F82</f>
        <v>-15.221301020408163</v>
      </c>
      <c r="I82" s="118" t="str">
        <f t="shared" si="7"/>
        <v>YES</v>
      </c>
      <c r="J82" s="117">
        <f>IF(I82="YES",G82,(MIN((SUM(F82,$I$62)),G82)))</f>
        <v>140</v>
      </c>
    </row>
    <row r="83" spans="2:10" ht="15" customHeight="1">
      <c r="B83" s="114">
        <v>2032</v>
      </c>
      <c r="C83" s="430">
        <f>Q51</f>
        <v>159</v>
      </c>
      <c r="D83" s="431"/>
      <c r="E83" s="318">
        <f t="shared" si="5"/>
        <v>0.97623459761262987</v>
      </c>
      <c r="F83" s="120">
        <f t="shared" si="2"/>
        <v>155.22130102040816</v>
      </c>
      <c r="G83" s="118">
        <f t="shared" si="6"/>
        <v>140</v>
      </c>
      <c r="H83" s="119">
        <f>G83-F83</f>
        <v>-15.221301020408163</v>
      </c>
      <c r="I83" s="118" t="str">
        <f t="shared" si="7"/>
        <v>YES</v>
      </c>
      <c r="J83" s="117">
        <f>IF(I83="YES",G83,(MIN((SUM(F83,$I$62)),G83)))</f>
        <v>140</v>
      </c>
    </row>
    <row r="84" spans="2:10" ht="15" customHeight="1">
      <c r="B84" s="16"/>
      <c r="C84" s="16"/>
      <c r="D84" s="16"/>
      <c r="E84" s="16"/>
      <c r="F84" s="16"/>
      <c r="G84" s="16"/>
      <c r="H84" s="16"/>
    </row>
    <row r="85" spans="2:10" ht="15" customHeight="1">
      <c r="B85" s="16"/>
      <c r="C85" s="16"/>
      <c r="D85" s="16"/>
      <c r="E85" s="16"/>
      <c r="F85" s="16"/>
      <c r="G85" s="16"/>
      <c r="H85" s="16"/>
    </row>
    <row r="86" spans="2:10" ht="15" customHeight="1">
      <c r="B86" s="21" t="s">
        <v>155</v>
      </c>
      <c r="C86" s="22"/>
      <c r="D86" s="22"/>
      <c r="E86" s="22"/>
      <c r="F86" s="22"/>
      <c r="G86" s="22"/>
      <c r="H86" s="22"/>
      <c r="I86" s="23"/>
      <c r="J86" s="23"/>
    </row>
    <row r="87" spans="2:10" ht="15" customHeight="1">
      <c r="B87" s="40"/>
      <c r="C87" s="36"/>
      <c r="D87" s="36"/>
      <c r="E87" s="36"/>
      <c r="F87" s="36"/>
      <c r="G87" s="36"/>
      <c r="H87" s="36"/>
      <c r="I87" s="35"/>
      <c r="J87" s="35"/>
    </row>
    <row r="88" spans="2:10" ht="15" customHeight="1">
      <c r="B88" s="15" t="str">
        <f>"Table 4: "&amp;E3&amp;" Roll and Drop-off by Stage, "&amp;B91&amp;"-"&amp;B96&amp;""</f>
        <v>Table 4: Kirkliston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60</v>
      </c>
      <c r="D91" s="112">
        <f t="shared" ref="D91:J91" si="8">D188</f>
        <v>59</v>
      </c>
      <c r="E91" s="112">
        <f t="shared" si="8"/>
        <v>47</v>
      </c>
      <c r="F91" s="112">
        <f t="shared" si="8"/>
        <v>61</v>
      </c>
      <c r="G91" s="112">
        <f t="shared" si="8"/>
        <v>43</v>
      </c>
      <c r="H91" s="112">
        <f t="shared" si="8"/>
        <v>49</v>
      </c>
      <c r="I91" s="112">
        <f t="shared" si="8"/>
        <v>42</v>
      </c>
      <c r="J91" s="213">
        <f t="shared" si="8"/>
        <v>361</v>
      </c>
    </row>
    <row r="92" spans="2:10" ht="15" customHeight="1">
      <c r="B92" s="114">
        <v>2014</v>
      </c>
      <c r="C92" s="112">
        <f>C189</f>
        <v>80</v>
      </c>
      <c r="D92" s="112">
        <f t="shared" ref="D92:J92" si="9">D189</f>
        <v>60</v>
      </c>
      <c r="E92" s="112">
        <f t="shared" si="9"/>
        <v>60</v>
      </c>
      <c r="F92" s="112">
        <f t="shared" si="9"/>
        <v>52</v>
      </c>
      <c r="G92" s="112">
        <f t="shared" si="9"/>
        <v>61</v>
      </c>
      <c r="H92" s="112">
        <f t="shared" si="9"/>
        <v>40</v>
      </c>
      <c r="I92" s="112">
        <f t="shared" si="9"/>
        <v>50</v>
      </c>
      <c r="J92" s="213">
        <f t="shared" si="9"/>
        <v>403</v>
      </c>
    </row>
    <row r="93" spans="2:10" ht="15" customHeight="1">
      <c r="B93" s="114">
        <v>2015</v>
      </c>
      <c r="C93" s="112">
        <f>C190</f>
        <v>67</v>
      </c>
      <c r="D93" s="112">
        <f t="shared" ref="D93:J93" si="10">D190</f>
        <v>84</v>
      </c>
      <c r="E93" s="112">
        <f t="shared" si="10"/>
        <v>67</v>
      </c>
      <c r="F93" s="112">
        <f t="shared" si="10"/>
        <v>63</v>
      </c>
      <c r="G93" s="112">
        <f t="shared" si="10"/>
        <v>55</v>
      </c>
      <c r="H93" s="112">
        <f t="shared" si="10"/>
        <v>59</v>
      </c>
      <c r="I93" s="112">
        <f t="shared" si="10"/>
        <v>42</v>
      </c>
      <c r="J93" s="213">
        <f t="shared" si="10"/>
        <v>437</v>
      </c>
    </row>
    <row r="94" spans="2:10" ht="15" customHeight="1">
      <c r="B94" s="114">
        <v>2016</v>
      </c>
      <c r="C94" s="112">
        <f>C191</f>
        <v>95</v>
      </c>
      <c r="D94" s="112">
        <f t="shared" ref="D94:J94" si="11">D191</f>
        <v>69</v>
      </c>
      <c r="E94" s="112">
        <f t="shared" si="11"/>
        <v>89</v>
      </c>
      <c r="F94" s="112">
        <f t="shared" si="11"/>
        <v>68</v>
      </c>
      <c r="G94" s="112">
        <f t="shared" si="11"/>
        <v>63</v>
      </c>
      <c r="H94" s="112">
        <f t="shared" si="11"/>
        <v>48</v>
      </c>
      <c r="I94" s="112">
        <f t="shared" si="11"/>
        <v>59</v>
      </c>
      <c r="J94" s="213">
        <f t="shared" si="11"/>
        <v>491</v>
      </c>
    </row>
    <row r="95" spans="2:10" ht="15" customHeight="1">
      <c r="B95" s="114">
        <v>2017</v>
      </c>
      <c r="C95" s="112">
        <f>C192</f>
        <v>96</v>
      </c>
      <c r="D95" s="112">
        <f t="shared" ref="D95:J95" si="12">D192</f>
        <v>99</v>
      </c>
      <c r="E95" s="112">
        <f t="shared" si="12"/>
        <v>66</v>
      </c>
      <c r="F95" s="112">
        <f t="shared" si="12"/>
        <v>88</v>
      </c>
      <c r="G95" s="112">
        <f t="shared" si="12"/>
        <v>70</v>
      </c>
      <c r="H95" s="112">
        <f t="shared" si="12"/>
        <v>62</v>
      </c>
      <c r="I95" s="112">
        <f t="shared" si="12"/>
        <v>48</v>
      </c>
      <c r="J95" s="213">
        <f t="shared" si="12"/>
        <v>529</v>
      </c>
    </row>
    <row r="96" spans="2:10" ht="15" customHeight="1">
      <c r="B96" s="307">
        <v>2018</v>
      </c>
      <c r="C96" s="112">
        <f t="shared" ref="C96:J96" si="13">C193</f>
        <v>107</v>
      </c>
      <c r="D96" s="112">
        <f t="shared" si="13"/>
        <v>102</v>
      </c>
      <c r="E96" s="112">
        <f t="shared" si="13"/>
        <v>94</v>
      </c>
      <c r="F96" s="112">
        <f t="shared" si="13"/>
        <v>64</v>
      </c>
      <c r="G96" s="112">
        <f t="shared" si="13"/>
        <v>90</v>
      </c>
      <c r="H96" s="112">
        <f t="shared" si="13"/>
        <v>64</v>
      </c>
      <c r="I96" s="112">
        <f t="shared" si="13"/>
        <v>61</v>
      </c>
      <c r="J96" s="213">
        <f t="shared" si="13"/>
        <v>582</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-4.2105263157894736E-2</v>
      </c>
      <c r="E98" s="210">
        <f t="shared" ref="E98:I98" si="14">MEDIAN(((D91-E92)/D91),((D92-E93)/D92),((D93-E94)/D93),((D94-E95)/D94),((D95-E96)/D95))</f>
        <v>-1.6949152542372881E-2</v>
      </c>
      <c r="F98" s="210">
        <f t="shared" si="14"/>
        <v>-1.4925373134328358E-2</v>
      </c>
      <c r="G98" s="210">
        <f t="shared" si="14"/>
        <v>-2.2727272727272728E-2</v>
      </c>
      <c r="H98" s="210">
        <f t="shared" si="14"/>
        <v>6.9767441860465115E-2</v>
      </c>
      <c r="I98" s="210">
        <f t="shared" si="14"/>
        <v>0</v>
      </c>
    </row>
    <row r="99" spans="2:10" ht="15" customHeight="1">
      <c r="B99" s="59"/>
      <c r="C99" s="60"/>
      <c r="D99" s="61"/>
      <c r="E99" s="61"/>
      <c r="F99" s="61"/>
      <c r="G99" s="61"/>
      <c r="H99" s="61"/>
      <c r="I99" s="61"/>
      <c r="J99" s="58"/>
    </row>
    <row r="100" spans="2:10" ht="15" customHeight="1">
      <c r="B100" s="15" t="str">
        <f>"Table 4B: "&amp;E3&amp;" Projected Roll by Stage (incorporating Projected P1 and Drop-Off Rates), 2019-2032"</f>
        <v>Table 4B: Kirkliston Primary School Projected Roll by Stage (incorporating Projected P1 and Drop-Off Rates), 2019-2032</v>
      </c>
      <c r="F100" s="14"/>
      <c r="G100" s="14"/>
    </row>
    <row r="101" spans="2:10" ht="15" customHeight="1">
      <c r="F101" s="14"/>
      <c r="G101" s="14"/>
    </row>
    <row r="102" spans="2:10" ht="15" customHeight="1">
      <c r="B102" s="115"/>
      <c r="C102" s="109" t="s">
        <v>1</v>
      </c>
      <c r="D102" s="109" t="s">
        <v>2</v>
      </c>
      <c r="E102" s="109" t="s">
        <v>3</v>
      </c>
      <c r="F102" s="109" t="s">
        <v>4</v>
      </c>
      <c r="G102" s="109" t="s">
        <v>5</v>
      </c>
      <c r="H102" s="109" t="s">
        <v>6</v>
      </c>
      <c r="I102" s="109" t="s">
        <v>7</v>
      </c>
      <c r="J102" s="109" t="s">
        <v>8</v>
      </c>
    </row>
    <row r="103" spans="2:10" ht="15" customHeight="1">
      <c r="B103" s="114">
        <v>2019</v>
      </c>
      <c r="C103" s="113">
        <f t="shared" ref="C103:C111" si="15">J70</f>
        <v>118.17191711590296</v>
      </c>
      <c r="D103" s="324">
        <f>ROUND((C96)-(C96*$D$98),0)</f>
        <v>112</v>
      </c>
      <c r="E103" s="324">
        <f>ROUND((D96)-(D96*$E$98),0)</f>
        <v>104</v>
      </c>
      <c r="F103" s="324">
        <f>ROUND((E96)-(E96*$F$98),0)</f>
        <v>95</v>
      </c>
      <c r="G103" s="324">
        <f>ROUND((F96)-(F96*$G$98),0)</f>
        <v>65</v>
      </c>
      <c r="H103" s="324">
        <f>ROUND((G96)-(G96*$H$98),0)</f>
        <v>84</v>
      </c>
      <c r="I103" s="324">
        <f>ROUND((H96)-(H96*$I$98),0)</f>
        <v>64</v>
      </c>
      <c r="J103" s="111">
        <f t="shared" ref="J103:J111" si="16">SUM(C103:I103)</f>
        <v>642.17191711590294</v>
      </c>
    </row>
    <row r="104" spans="2:10" ht="15" customHeight="1">
      <c r="B104" s="114">
        <v>2020</v>
      </c>
      <c r="C104" s="113">
        <f t="shared" si="15"/>
        <v>135</v>
      </c>
      <c r="D104" s="324">
        <f>ROUND((C103-E47)-(C103*$D$98),0)</f>
        <v>123</v>
      </c>
      <c r="E104" s="112">
        <f t="shared" ref="E104:E116" si="17">ROUND((D103)-(D103*$E$98),0)</f>
        <v>114</v>
      </c>
      <c r="F104" s="112">
        <f t="shared" ref="F104:F116" si="18">ROUND((E103)-(E103*$F$101),0)</f>
        <v>104</v>
      </c>
      <c r="G104" s="112">
        <f t="shared" ref="G104:G116" si="19">ROUND((F103)-(F103*$G$101),0)</f>
        <v>95</v>
      </c>
      <c r="H104" s="112">
        <f t="shared" ref="H104:H116" si="20">ROUND((G103)-(G103*$H$101),0)</f>
        <v>65</v>
      </c>
      <c r="I104" s="112">
        <f t="shared" ref="I104:I116" si="21">ROUND((H103)-(H103*$I$101),0)</f>
        <v>84</v>
      </c>
      <c r="J104" s="111">
        <f t="shared" si="16"/>
        <v>720</v>
      </c>
    </row>
    <row r="105" spans="2:10" ht="15" customHeight="1">
      <c r="B105" s="114">
        <v>2021</v>
      </c>
      <c r="C105" s="113">
        <f t="shared" si="15"/>
        <v>140</v>
      </c>
      <c r="D105" s="324">
        <f>ROUND((C104-F47)-(C104*$D$98),0)</f>
        <v>141</v>
      </c>
      <c r="E105" s="112">
        <f t="shared" si="17"/>
        <v>125</v>
      </c>
      <c r="F105" s="112">
        <f t="shared" si="18"/>
        <v>114</v>
      </c>
      <c r="G105" s="112">
        <f t="shared" si="19"/>
        <v>104</v>
      </c>
      <c r="H105" s="112">
        <f t="shared" si="20"/>
        <v>95</v>
      </c>
      <c r="I105" s="112">
        <f t="shared" si="21"/>
        <v>65</v>
      </c>
      <c r="J105" s="111">
        <f t="shared" si="16"/>
        <v>784</v>
      </c>
    </row>
    <row r="106" spans="2:10" ht="15" customHeight="1">
      <c r="B106" s="114">
        <v>2022</v>
      </c>
      <c r="C106" s="113">
        <f t="shared" si="15"/>
        <v>140</v>
      </c>
      <c r="D106" s="324">
        <f>ROUND((C105-G47)-(C105*$D$98),0)</f>
        <v>146</v>
      </c>
      <c r="E106" s="112">
        <f t="shared" si="17"/>
        <v>143</v>
      </c>
      <c r="F106" s="112">
        <f t="shared" si="18"/>
        <v>125</v>
      </c>
      <c r="G106" s="112">
        <f t="shared" si="19"/>
        <v>114</v>
      </c>
      <c r="H106" s="112">
        <f t="shared" si="20"/>
        <v>104</v>
      </c>
      <c r="I106" s="112">
        <f t="shared" si="21"/>
        <v>95</v>
      </c>
      <c r="J106" s="111">
        <f t="shared" si="16"/>
        <v>867</v>
      </c>
    </row>
    <row r="107" spans="2:10" ht="15" customHeight="1">
      <c r="B107" s="114">
        <v>2023</v>
      </c>
      <c r="C107" s="113">
        <f t="shared" si="15"/>
        <v>140</v>
      </c>
      <c r="D107" s="324">
        <f>ROUND((C106-H47)-(C106*$D$98),0)</f>
        <v>146</v>
      </c>
      <c r="E107" s="112">
        <f t="shared" si="17"/>
        <v>148</v>
      </c>
      <c r="F107" s="112">
        <f t="shared" si="18"/>
        <v>143</v>
      </c>
      <c r="G107" s="112">
        <f t="shared" si="19"/>
        <v>125</v>
      </c>
      <c r="H107" s="112">
        <f t="shared" si="20"/>
        <v>114</v>
      </c>
      <c r="I107" s="112">
        <f t="shared" si="21"/>
        <v>104</v>
      </c>
      <c r="J107" s="111">
        <f t="shared" si="16"/>
        <v>920</v>
      </c>
    </row>
    <row r="108" spans="2:10" ht="15" customHeight="1">
      <c r="B108" s="114">
        <v>2024</v>
      </c>
      <c r="C108" s="113">
        <f t="shared" si="15"/>
        <v>140</v>
      </c>
      <c r="D108" s="324">
        <f>ROUND((C107-I47)-(C107*$D$98),0)</f>
        <v>146</v>
      </c>
      <c r="E108" s="112">
        <f t="shared" si="17"/>
        <v>148</v>
      </c>
      <c r="F108" s="112">
        <f t="shared" si="18"/>
        <v>148</v>
      </c>
      <c r="G108" s="112">
        <f t="shared" si="19"/>
        <v>143</v>
      </c>
      <c r="H108" s="112">
        <f t="shared" si="20"/>
        <v>125</v>
      </c>
      <c r="I108" s="112">
        <f t="shared" si="21"/>
        <v>114</v>
      </c>
      <c r="J108" s="111">
        <f t="shared" si="16"/>
        <v>964</v>
      </c>
    </row>
    <row r="109" spans="2:10" ht="15" customHeight="1">
      <c r="B109" s="114">
        <v>2025</v>
      </c>
      <c r="C109" s="113">
        <f t="shared" si="15"/>
        <v>140</v>
      </c>
      <c r="D109" s="324">
        <f>ROUND((C108-J47)-(C108*$D$98),0)</f>
        <v>146</v>
      </c>
      <c r="E109" s="112">
        <f t="shared" si="17"/>
        <v>148</v>
      </c>
      <c r="F109" s="112">
        <f t="shared" si="18"/>
        <v>148</v>
      </c>
      <c r="G109" s="112">
        <f t="shared" si="19"/>
        <v>148</v>
      </c>
      <c r="H109" s="112">
        <f t="shared" si="20"/>
        <v>143</v>
      </c>
      <c r="I109" s="112">
        <f t="shared" si="21"/>
        <v>125</v>
      </c>
      <c r="J109" s="111">
        <f t="shared" si="16"/>
        <v>998</v>
      </c>
    </row>
    <row r="110" spans="2:10" ht="15" customHeight="1">
      <c r="B110" s="114">
        <v>2026</v>
      </c>
      <c r="C110" s="113">
        <f t="shared" si="15"/>
        <v>140</v>
      </c>
      <c r="D110" s="324">
        <f>ROUND((C109-K47)-(C109*$D$98),0)</f>
        <v>146</v>
      </c>
      <c r="E110" s="112">
        <f t="shared" si="17"/>
        <v>148</v>
      </c>
      <c r="F110" s="112">
        <f t="shared" si="18"/>
        <v>148</v>
      </c>
      <c r="G110" s="112">
        <f t="shared" si="19"/>
        <v>148</v>
      </c>
      <c r="H110" s="112">
        <f t="shared" si="20"/>
        <v>148</v>
      </c>
      <c r="I110" s="112">
        <f t="shared" si="21"/>
        <v>143</v>
      </c>
      <c r="J110" s="111">
        <f t="shared" si="16"/>
        <v>1021</v>
      </c>
    </row>
    <row r="111" spans="2:10" ht="15" customHeight="1">
      <c r="B111" s="114">
        <v>2027</v>
      </c>
      <c r="C111" s="113">
        <f t="shared" si="15"/>
        <v>140</v>
      </c>
      <c r="D111" s="324">
        <f>ROUND((C110-L47)-(C110*$D$98),0)</f>
        <v>146</v>
      </c>
      <c r="E111" s="112">
        <f t="shared" si="17"/>
        <v>148</v>
      </c>
      <c r="F111" s="112">
        <f t="shared" si="18"/>
        <v>148</v>
      </c>
      <c r="G111" s="112">
        <f t="shared" si="19"/>
        <v>148</v>
      </c>
      <c r="H111" s="112">
        <f t="shared" si="20"/>
        <v>148</v>
      </c>
      <c r="I111" s="112">
        <f t="shared" si="21"/>
        <v>148</v>
      </c>
      <c r="J111" s="111">
        <f t="shared" si="16"/>
        <v>1026</v>
      </c>
    </row>
    <row r="112" spans="2:10" ht="15" customHeight="1">
      <c r="B112" s="114">
        <v>2028</v>
      </c>
      <c r="C112" s="113">
        <f>J77</f>
        <v>140</v>
      </c>
      <c r="D112" s="324">
        <f>ROUND((C111-M47)-(C111*$D$98),0)</f>
        <v>146</v>
      </c>
      <c r="E112" s="112">
        <f t="shared" si="17"/>
        <v>148</v>
      </c>
      <c r="F112" s="112">
        <f t="shared" si="18"/>
        <v>148</v>
      </c>
      <c r="G112" s="112">
        <f t="shared" si="19"/>
        <v>148</v>
      </c>
      <c r="H112" s="112">
        <f t="shared" si="20"/>
        <v>148</v>
      </c>
      <c r="I112" s="112">
        <f t="shared" si="21"/>
        <v>148</v>
      </c>
      <c r="J112" s="111">
        <f t="shared" ref="J112:J116" si="22">SUM(C112:I112)</f>
        <v>1026</v>
      </c>
    </row>
    <row r="113" spans="2:10" ht="15" customHeight="1">
      <c r="B113" s="114">
        <v>2029</v>
      </c>
      <c r="C113" s="113">
        <f>J78</f>
        <v>140</v>
      </c>
      <c r="D113" s="324">
        <f>ROUND((C112-N47)-(C112*$D$98),0)</f>
        <v>146</v>
      </c>
      <c r="E113" s="112">
        <f t="shared" si="17"/>
        <v>148</v>
      </c>
      <c r="F113" s="112">
        <f t="shared" si="18"/>
        <v>148</v>
      </c>
      <c r="G113" s="112">
        <f t="shared" si="19"/>
        <v>148</v>
      </c>
      <c r="H113" s="112">
        <f t="shared" si="20"/>
        <v>148</v>
      </c>
      <c r="I113" s="112">
        <f t="shared" si="21"/>
        <v>148</v>
      </c>
      <c r="J113" s="111">
        <f t="shared" si="22"/>
        <v>1026</v>
      </c>
    </row>
    <row r="114" spans="2:10" ht="15" customHeight="1">
      <c r="B114" s="114">
        <v>2030</v>
      </c>
      <c r="C114" s="113">
        <f>J79</f>
        <v>140</v>
      </c>
      <c r="D114" s="324">
        <f>ROUND((C113-O47)-(C113*$D$98),0)</f>
        <v>146</v>
      </c>
      <c r="E114" s="112">
        <f t="shared" si="17"/>
        <v>148</v>
      </c>
      <c r="F114" s="112">
        <f t="shared" si="18"/>
        <v>148</v>
      </c>
      <c r="G114" s="112">
        <f t="shared" si="19"/>
        <v>148</v>
      </c>
      <c r="H114" s="112">
        <f t="shared" si="20"/>
        <v>148</v>
      </c>
      <c r="I114" s="112">
        <f t="shared" si="21"/>
        <v>148</v>
      </c>
      <c r="J114" s="111">
        <f t="shared" si="22"/>
        <v>1026</v>
      </c>
    </row>
    <row r="115" spans="2:10" ht="15" customHeight="1">
      <c r="B115" s="114">
        <v>2031</v>
      </c>
      <c r="C115" s="113">
        <f>J80</f>
        <v>140</v>
      </c>
      <c r="D115" s="324">
        <f>ROUND((C114-P47)-(C114*$D$98),0)</f>
        <v>146</v>
      </c>
      <c r="E115" s="112">
        <f t="shared" si="17"/>
        <v>148</v>
      </c>
      <c r="F115" s="112">
        <f t="shared" si="18"/>
        <v>148</v>
      </c>
      <c r="G115" s="112">
        <f t="shared" si="19"/>
        <v>148</v>
      </c>
      <c r="H115" s="112">
        <f t="shared" si="20"/>
        <v>148</v>
      </c>
      <c r="I115" s="112">
        <f t="shared" si="21"/>
        <v>148</v>
      </c>
      <c r="J115" s="111">
        <f t="shared" si="22"/>
        <v>1026</v>
      </c>
    </row>
    <row r="116" spans="2:10" ht="15" customHeight="1">
      <c r="B116" s="114">
        <v>2032</v>
      </c>
      <c r="C116" s="113">
        <f>J81</f>
        <v>140</v>
      </c>
      <c r="D116" s="324">
        <f>ROUND((C115-Q47)-(C115*$D$98),0)</f>
        <v>146</v>
      </c>
      <c r="E116" s="112">
        <f t="shared" si="17"/>
        <v>148</v>
      </c>
      <c r="F116" s="112">
        <f t="shared" si="18"/>
        <v>148</v>
      </c>
      <c r="G116" s="112">
        <f t="shared" si="19"/>
        <v>148</v>
      </c>
      <c r="H116" s="112">
        <f t="shared" si="20"/>
        <v>148</v>
      </c>
      <c r="I116" s="112">
        <f t="shared" si="21"/>
        <v>148</v>
      </c>
      <c r="J116" s="111">
        <f t="shared" si="22"/>
        <v>1026</v>
      </c>
    </row>
    <row r="117" spans="2:10" ht="30" customHeight="1">
      <c r="B117" s="436" t="s">
        <v>268</v>
      </c>
      <c r="C117" s="437"/>
      <c r="D117" s="437"/>
      <c r="E117" s="437"/>
      <c r="F117" s="437"/>
      <c r="G117" s="437"/>
      <c r="H117" s="437"/>
      <c r="I117" s="437"/>
      <c r="J117" s="437"/>
    </row>
    <row r="118" spans="2:10" ht="15" customHeight="1">
      <c r="B118" s="15" t="str">
        <f>"Table 4C: "&amp;E3&amp;" Projected Pupil Generation from Housing Development, 2016-2032"</f>
        <v>Table 4C: Kirkliston Primary School Projected Pupil Generation from Housing Development, 2016-2032</v>
      </c>
      <c r="F118" s="14"/>
      <c r="G118" s="14"/>
    </row>
    <row r="119" spans="2:10" ht="15" customHeight="1">
      <c r="F119" s="14"/>
      <c r="G119" s="14"/>
    </row>
    <row r="120" spans="2:10" ht="15" customHeight="1">
      <c r="B120" s="115"/>
      <c r="C120" s="109" t="s">
        <v>1</v>
      </c>
      <c r="D120" s="109" t="s">
        <v>2</v>
      </c>
      <c r="E120" s="109" t="s">
        <v>3</v>
      </c>
      <c r="F120" s="109" t="s">
        <v>4</v>
      </c>
      <c r="G120" s="109" t="s">
        <v>5</v>
      </c>
      <c r="H120" s="109" t="s">
        <v>6</v>
      </c>
      <c r="I120" s="109" t="s">
        <v>7</v>
      </c>
      <c r="J120" s="109" t="s">
        <v>8</v>
      </c>
    </row>
    <row r="121" spans="2:10" ht="15" customHeight="1">
      <c r="B121" s="114">
        <v>2019</v>
      </c>
      <c r="C121" s="116" t="s">
        <v>97</v>
      </c>
      <c r="D121" s="112">
        <v>0</v>
      </c>
      <c r="E121" s="112">
        <v>0</v>
      </c>
      <c r="F121" s="112">
        <v>0</v>
      </c>
      <c r="G121" s="112">
        <v>0</v>
      </c>
      <c r="H121" s="112">
        <v>0</v>
      </c>
      <c r="I121" s="112">
        <v>0</v>
      </c>
      <c r="J121" s="111">
        <f t="shared" ref="J121:J129" si="23">SUM(D121:I121)</f>
        <v>0</v>
      </c>
    </row>
    <row r="122" spans="2:10" ht="15" customHeight="1">
      <c r="B122" s="114">
        <v>2020</v>
      </c>
      <c r="C122" s="116" t="s">
        <v>97</v>
      </c>
      <c r="D122" s="112">
        <v>0</v>
      </c>
      <c r="E122" s="112">
        <v>0</v>
      </c>
      <c r="F122" s="112">
        <v>0</v>
      </c>
      <c r="G122" s="112">
        <v>0</v>
      </c>
      <c r="H122" s="112">
        <v>0</v>
      </c>
      <c r="I122" s="112">
        <v>0</v>
      </c>
      <c r="J122" s="111">
        <f t="shared" si="23"/>
        <v>0</v>
      </c>
    </row>
    <row r="123" spans="2:10" ht="15" customHeight="1">
      <c r="B123" s="114">
        <v>2021</v>
      </c>
      <c r="C123" s="116" t="s">
        <v>97</v>
      </c>
      <c r="D123" s="112">
        <v>0</v>
      </c>
      <c r="E123" s="112">
        <v>0</v>
      </c>
      <c r="F123" s="112">
        <v>0</v>
      </c>
      <c r="G123" s="112">
        <v>0</v>
      </c>
      <c r="H123" s="112">
        <v>0</v>
      </c>
      <c r="I123" s="112">
        <v>0</v>
      </c>
      <c r="J123" s="111">
        <f t="shared" si="23"/>
        <v>0</v>
      </c>
    </row>
    <row r="124" spans="2:10" ht="15" customHeight="1">
      <c r="B124" s="114">
        <v>2022</v>
      </c>
      <c r="C124" s="116" t="s">
        <v>97</v>
      </c>
      <c r="D124" s="112">
        <v>0</v>
      </c>
      <c r="E124" s="112">
        <v>0</v>
      </c>
      <c r="F124" s="112">
        <v>0</v>
      </c>
      <c r="G124" s="112">
        <v>0</v>
      </c>
      <c r="H124" s="112">
        <v>0</v>
      </c>
      <c r="I124" s="112">
        <v>0</v>
      </c>
      <c r="J124" s="111">
        <f t="shared" si="23"/>
        <v>0</v>
      </c>
    </row>
    <row r="125" spans="2:10" ht="15" customHeight="1">
      <c r="B125" s="114">
        <v>2023</v>
      </c>
      <c r="C125" s="116" t="s">
        <v>97</v>
      </c>
      <c r="D125" s="112">
        <v>0</v>
      </c>
      <c r="E125" s="112">
        <v>0</v>
      </c>
      <c r="F125" s="112">
        <v>0</v>
      </c>
      <c r="G125" s="112">
        <v>0</v>
      </c>
      <c r="H125" s="112">
        <v>0</v>
      </c>
      <c r="I125" s="112">
        <v>0</v>
      </c>
      <c r="J125" s="111">
        <f t="shared" si="23"/>
        <v>0</v>
      </c>
    </row>
    <row r="126" spans="2:10" ht="15" customHeight="1">
      <c r="B126" s="114">
        <v>2024</v>
      </c>
      <c r="C126" s="116" t="s">
        <v>97</v>
      </c>
      <c r="D126" s="112">
        <v>0</v>
      </c>
      <c r="E126" s="112">
        <v>0</v>
      </c>
      <c r="F126" s="112">
        <v>0</v>
      </c>
      <c r="G126" s="112">
        <v>0</v>
      </c>
      <c r="H126" s="112">
        <v>0</v>
      </c>
      <c r="I126" s="112">
        <v>0</v>
      </c>
      <c r="J126" s="111">
        <f t="shared" si="23"/>
        <v>0</v>
      </c>
    </row>
    <row r="127" spans="2:10" ht="15" customHeight="1">
      <c r="B127" s="114">
        <v>2025</v>
      </c>
      <c r="C127" s="240" t="s">
        <v>97</v>
      </c>
      <c r="D127" s="112">
        <v>0</v>
      </c>
      <c r="E127" s="112">
        <v>0</v>
      </c>
      <c r="F127" s="112">
        <v>0</v>
      </c>
      <c r="G127" s="112">
        <v>0</v>
      </c>
      <c r="H127" s="112">
        <v>0</v>
      </c>
      <c r="I127" s="112">
        <v>0</v>
      </c>
      <c r="J127" s="111">
        <f t="shared" si="23"/>
        <v>0</v>
      </c>
    </row>
    <row r="128" spans="2:10" ht="15" customHeight="1">
      <c r="B128" s="114">
        <v>2026</v>
      </c>
      <c r="C128" s="240" t="s">
        <v>97</v>
      </c>
      <c r="D128" s="112">
        <v>0</v>
      </c>
      <c r="E128" s="112">
        <v>0</v>
      </c>
      <c r="F128" s="112">
        <v>0</v>
      </c>
      <c r="G128" s="112">
        <v>0</v>
      </c>
      <c r="H128" s="112">
        <v>0</v>
      </c>
      <c r="I128" s="112">
        <v>0</v>
      </c>
      <c r="J128" s="111">
        <f t="shared" si="23"/>
        <v>0</v>
      </c>
    </row>
    <row r="129" spans="2:10" ht="15" customHeight="1">
      <c r="B129" s="114">
        <v>2027</v>
      </c>
      <c r="C129" s="240" t="s">
        <v>97</v>
      </c>
      <c r="D129" s="112">
        <v>0</v>
      </c>
      <c r="E129" s="112">
        <v>0</v>
      </c>
      <c r="F129" s="112">
        <v>0</v>
      </c>
      <c r="G129" s="112">
        <v>0</v>
      </c>
      <c r="H129" s="112">
        <v>0</v>
      </c>
      <c r="I129" s="112">
        <v>0</v>
      </c>
      <c r="J129" s="111">
        <f t="shared" si="23"/>
        <v>0</v>
      </c>
    </row>
    <row r="130" spans="2:10" ht="15" customHeight="1">
      <c r="B130" s="114">
        <v>2028</v>
      </c>
      <c r="C130" s="289" t="s">
        <v>97</v>
      </c>
      <c r="D130" s="112">
        <v>0</v>
      </c>
      <c r="E130" s="112">
        <v>0</v>
      </c>
      <c r="F130" s="112">
        <v>0</v>
      </c>
      <c r="G130" s="112">
        <v>0</v>
      </c>
      <c r="H130" s="112">
        <v>0</v>
      </c>
      <c r="I130" s="112">
        <v>0</v>
      </c>
      <c r="J130" s="111">
        <f t="shared" ref="J130:J134" si="24">SUM(D130:I130)</f>
        <v>0</v>
      </c>
    </row>
    <row r="131" spans="2:10" ht="15" customHeight="1">
      <c r="B131" s="114">
        <v>2029</v>
      </c>
      <c r="C131" s="289" t="s">
        <v>97</v>
      </c>
      <c r="D131" s="112">
        <v>0</v>
      </c>
      <c r="E131" s="112">
        <v>0</v>
      </c>
      <c r="F131" s="112">
        <v>0</v>
      </c>
      <c r="G131" s="112">
        <v>0</v>
      </c>
      <c r="H131" s="112">
        <v>0</v>
      </c>
      <c r="I131" s="112">
        <v>0</v>
      </c>
      <c r="J131" s="111">
        <f t="shared" si="24"/>
        <v>0</v>
      </c>
    </row>
    <row r="132" spans="2:10" ht="15" customHeight="1">
      <c r="B132" s="114">
        <v>2030</v>
      </c>
      <c r="C132" s="289" t="s">
        <v>97</v>
      </c>
      <c r="D132" s="112">
        <v>0</v>
      </c>
      <c r="E132" s="112">
        <v>0</v>
      </c>
      <c r="F132" s="112">
        <v>0</v>
      </c>
      <c r="G132" s="112">
        <v>0</v>
      </c>
      <c r="H132" s="112">
        <v>0</v>
      </c>
      <c r="I132" s="112">
        <v>0</v>
      </c>
      <c r="J132" s="111">
        <f t="shared" si="24"/>
        <v>0</v>
      </c>
    </row>
    <row r="133" spans="2:10" ht="15" customHeight="1">
      <c r="B133" s="114">
        <v>2031</v>
      </c>
      <c r="C133" s="289" t="s">
        <v>97</v>
      </c>
      <c r="D133" s="112">
        <v>0</v>
      </c>
      <c r="E133" s="112">
        <v>0</v>
      </c>
      <c r="F133" s="112">
        <v>0</v>
      </c>
      <c r="G133" s="112">
        <v>0</v>
      </c>
      <c r="H133" s="112">
        <v>0</v>
      </c>
      <c r="I133" s="112">
        <v>0</v>
      </c>
      <c r="J133" s="111">
        <f t="shared" si="24"/>
        <v>0</v>
      </c>
    </row>
    <row r="134" spans="2:10" ht="15" customHeight="1">
      <c r="B134" s="114">
        <v>2032</v>
      </c>
      <c r="C134" s="289" t="s">
        <v>97</v>
      </c>
      <c r="D134" s="112">
        <v>0</v>
      </c>
      <c r="E134" s="112">
        <v>0</v>
      </c>
      <c r="F134" s="112">
        <v>0</v>
      </c>
      <c r="G134" s="112">
        <v>0</v>
      </c>
      <c r="H134" s="112">
        <v>0</v>
      </c>
      <c r="I134" s="112">
        <v>0</v>
      </c>
      <c r="J134" s="111">
        <f t="shared" si="24"/>
        <v>0</v>
      </c>
    </row>
    <row r="135" spans="2:10" ht="15"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2016-2032"</f>
        <v>Table 5: Kirkliston Primary School Projected Roll by Stage (incorporating Projected P1, Drop-Off Rates and Housing Development), 2016-2032</v>
      </c>
      <c r="F136" s="14"/>
      <c r="G136" s="14"/>
    </row>
    <row r="137" spans="2:10" ht="15" customHeight="1">
      <c r="B137" s="15"/>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47" si="25">C103</f>
        <v>118.17191711590296</v>
      </c>
      <c r="D139" s="112">
        <f t="shared" ref="D139:I147" si="26">D121+D103</f>
        <v>112</v>
      </c>
      <c r="E139" s="112">
        <f t="shared" si="26"/>
        <v>104</v>
      </c>
      <c r="F139" s="112">
        <f t="shared" si="26"/>
        <v>95</v>
      </c>
      <c r="G139" s="112">
        <f t="shared" si="26"/>
        <v>65</v>
      </c>
      <c r="H139" s="112">
        <f t="shared" si="26"/>
        <v>84</v>
      </c>
      <c r="I139" s="112">
        <f t="shared" si="26"/>
        <v>64</v>
      </c>
      <c r="J139" s="111">
        <f t="shared" ref="J139:J147" si="27">SUM(C139:I139)</f>
        <v>642.17191711590294</v>
      </c>
    </row>
    <row r="140" spans="2:10" ht="15" customHeight="1">
      <c r="B140" s="114">
        <v>2020</v>
      </c>
      <c r="C140" s="113">
        <f t="shared" si="25"/>
        <v>135</v>
      </c>
      <c r="D140" s="112">
        <f t="shared" si="26"/>
        <v>123</v>
      </c>
      <c r="E140" s="112">
        <f t="shared" si="26"/>
        <v>114</v>
      </c>
      <c r="F140" s="112">
        <f t="shared" si="26"/>
        <v>104</v>
      </c>
      <c r="G140" s="112">
        <f t="shared" si="26"/>
        <v>95</v>
      </c>
      <c r="H140" s="112">
        <f t="shared" si="26"/>
        <v>65</v>
      </c>
      <c r="I140" s="112">
        <f t="shared" si="26"/>
        <v>84</v>
      </c>
      <c r="J140" s="111">
        <f t="shared" si="27"/>
        <v>720</v>
      </c>
    </row>
    <row r="141" spans="2:10" ht="15" customHeight="1">
      <c r="B141" s="114">
        <v>2021</v>
      </c>
      <c r="C141" s="113">
        <f t="shared" si="25"/>
        <v>140</v>
      </c>
      <c r="D141" s="112">
        <f t="shared" si="26"/>
        <v>141</v>
      </c>
      <c r="E141" s="112">
        <f t="shared" si="26"/>
        <v>125</v>
      </c>
      <c r="F141" s="112">
        <f t="shared" si="26"/>
        <v>114</v>
      </c>
      <c r="G141" s="112">
        <f t="shared" si="26"/>
        <v>104</v>
      </c>
      <c r="H141" s="112">
        <f t="shared" si="26"/>
        <v>95</v>
      </c>
      <c r="I141" s="112">
        <f t="shared" si="26"/>
        <v>65</v>
      </c>
      <c r="J141" s="111">
        <f t="shared" si="27"/>
        <v>784</v>
      </c>
    </row>
    <row r="142" spans="2:10" ht="15" customHeight="1">
      <c r="B142" s="114">
        <v>2022</v>
      </c>
      <c r="C142" s="113">
        <f t="shared" si="25"/>
        <v>140</v>
      </c>
      <c r="D142" s="112">
        <f t="shared" si="26"/>
        <v>146</v>
      </c>
      <c r="E142" s="112">
        <f t="shared" si="26"/>
        <v>143</v>
      </c>
      <c r="F142" s="112">
        <f t="shared" si="26"/>
        <v>125</v>
      </c>
      <c r="G142" s="112">
        <f t="shared" si="26"/>
        <v>114</v>
      </c>
      <c r="H142" s="112">
        <f t="shared" si="26"/>
        <v>104</v>
      </c>
      <c r="I142" s="112">
        <f t="shared" si="26"/>
        <v>95</v>
      </c>
      <c r="J142" s="111">
        <f t="shared" si="27"/>
        <v>867</v>
      </c>
    </row>
    <row r="143" spans="2:10" ht="15" customHeight="1">
      <c r="B143" s="114">
        <v>2023</v>
      </c>
      <c r="C143" s="113">
        <f t="shared" si="25"/>
        <v>140</v>
      </c>
      <c r="D143" s="112">
        <f t="shared" si="26"/>
        <v>146</v>
      </c>
      <c r="E143" s="112">
        <f t="shared" si="26"/>
        <v>148</v>
      </c>
      <c r="F143" s="112">
        <f t="shared" si="26"/>
        <v>143</v>
      </c>
      <c r="G143" s="112">
        <f t="shared" si="26"/>
        <v>125</v>
      </c>
      <c r="H143" s="112">
        <f t="shared" si="26"/>
        <v>114</v>
      </c>
      <c r="I143" s="112">
        <f t="shared" si="26"/>
        <v>104</v>
      </c>
      <c r="J143" s="111">
        <f t="shared" si="27"/>
        <v>920</v>
      </c>
    </row>
    <row r="144" spans="2:10" ht="15" customHeight="1">
      <c r="B144" s="114">
        <v>2024</v>
      </c>
      <c r="C144" s="113">
        <f t="shared" si="25"/>
        <v>140</v>
      </c>
      <c r="D144" s="112">
        <f t="shared" si="26"/>
        <v>146</v>
      </c>
      <c r="E144" s="112">
        <f t="shared" si="26"/>
        <v>148</v>
      </c>
      <c r="F144" s="112">
        <f t="shared" si="26"/>
        <v>148</v>
      </c>
      <c r="G144" s="112">
        <f t="shared" si="26"/>
        <v>143</v>
      </c>
      <c r="H144" s="112">
        <f t="shared" si="26"/>
        <v>125</v>
      </c>
      <c r="I144" s="112">
        <f t="shared" si="26"/>
        <v>114</v>
      </c>
      <c r="J144" s="111">
        <f t="shared" si="27"/>
        <v>964</v>
      </c>
    </row>
    <row r="145" spans="2:16" ht="15" customHeight="1">
      <c r="B145" s="114">
        <v>2025</v>
      </c>
      <c r="C145" s="113">
        <f t="shared" si="25"/>
        <v>140</v>
      </c>
      <c r="D145" s="112">
        <f t="shared" si="26"/>
        <v>146</v>
      </c>
      <c r="E145" s="112">
        <f t="shared" si="26"/>
        <v>148</v>
      </c>
      <c r="F145" s="112">
        <f t="shared" si="26"/>
        <v>148</v>
      </c>
      <c r="G145" s="112">
        <f t="shared" si="26"/>
        <v>148</v>
      </c>
      <c r="H145" s="112">
        <f t="shared" si="26"/>
        <v>143</v>
      </c>
      <c r="I145" s="112">
        <f t="shared" si="26"/>
        <v>125</v>
      </c>
      <c r="J145" s="111">
        <f t="shared" si="27"/>
        <v>998</v>
      </c>
    </row>
    <row r="146" spans="2:16" ht="15" customHeight="1">
      <c r="B146" s="114">
        <v>2026</v>
      </c>
      <c r="C146" s="113">
        <f t="shared" si="25"/>
        <v>140</v>
      </c>
      <c r="D146" s="112">
        <f t="shared" si="26"/>
        <v>146</v>
      </c>
      <c r="E146" s="112">
        <f t="shared" si="26"/>
        <v>148</v>
      </c>
      <c r="F146" s="112">
        <f t="shared" si="26"/>
        <v>148</v>
      </c>
      <c r="G146" s="112">
        <f t="shared" si="26"/>
        <v>148</v>
      </c>
      <c r="H146" s="112">
        <f t="shared" si="26"/>
        <v>148</v>
      </c>
      <c r="I146" s="112">
        <f t="shared" si="26"/>
        <v>143</v>
      </c>
      <c r="J146" s="111">
        <f t="shared" si="27"/>
        <v>1021</v>
      </c>
    </row>
    <row r="147" spans="2:16" ht="15" customHeight="1">
      <c r="B147" s="114">
        <v>2027</v>
      </c>
      <c r="C147" s="113">
        <f t="shared" si="25"/>
        <v>140</v>
      </c>
      <c r="D147" s="112">
        <f t="shared" si="26"/>
        <v>146</v>
      </c>
      <c r="E147" s="112">
        <f t="shared" si="26"/>
        <v>148</v>
      </c>
      <c r="F147" s="112">
        <f t="shared" si="26"/>
        <v>148</v>
      </c>
      <c r="G147" s="112">
        <f t="shared" si="26"/>
        <v>148</v>
      </c>
      <c r="H147" s="112">
        <f t="shared" si="26"/>
        <v>148</v>
      </c>
      <c r="I147" s="112">
        <f t="shared" si="26"/>
        <v>148</v>
      </c>
      <c r="J147" s="111">
        <f t="shared" si="27"/>
        <v>1026</v>
      </c>
    </row>
    <row r="148" spans="2:16" ht="15" customHeight="1">
      <c r="B148" s="114">
        <v>2028</v>
      </c>
      <c r="C148" s="113">
        <f>C110</f>
        <v>140</v>
      </c>
      <c r="D148" s="112">
        <f t="shared" ref="D148:I152" si="28">D126+D110</f>
        <v>146</v>
      </c>
      <c r="E148" s="112">
        <f t="shared" si="28"/>
        <v>148</v>
      </c>
      <c r="F148" s="112">
        <f t="shared" si="28"/>
        <v>148</v>
      </c>
      <c r="G148" s="112">
        <f t="shared" si="28"/>
        <v>148</v>
      </c>
      <c r="H148" s="112">
        <f t="shared" si="28"/>
        <v>148</v>
      </c>
      <c r="I148" s="112">
        <f t="shared" si="28"/>
        <v>143</v>
      </c>
      <c r="J148" s="111">
        <f t="shared" ref="J148:J152" si="29">SUM(C148:I148)</f>
        <v>1021</v>
      </c>
    </row>
    <row r="149" spans="2:16" ht="15" customHeight="1">
      <c r="B149" s="114">
        <v>2029</v>
      </c>
      <c r="C149" s="113">
        <f>C111</f>
        <v>140</v>
      </c>
      <c r="D149" s="112">
        <f t="shared" si="28"/>
        <v>146</v>
      </c>
      <c r="E149" s="112">
        <f t="shared" si="28"/>
        <v>148</v>
      </c>
      <c r="F149" s="112">
        <f t="shared" si="28"/>
        <v>148</v>
      </c>
      <c r="G149" s="112">
        <f t="shared" si="28"/>
        <v>148</v>
      </c>
      <c r="H149" s="112">
        <f t="shared" si="28"/>
        <v>148</v>
      </c>
      <c r="I149" s="112">
        <f t="shared" si="28"/>
        <v>148</v>
      </c>
      <c r="J149" s="111">
        <f t="shared" si="29"/>
        <v>1026</v>
      </c>
    </row>
    <row r="150" spans="2:16" ht="15" customHeight="1">
      <c r="B150" s="114">
        <v>2030</v>
      </c>
      <c r="C150" s="113">
        <f>C112</f>
        <v>140</v>
      </c>
      <c r="D150" s="112">
        <f t="shared" si="28"/>
        <v>146</v>
      </c>
      <c r="E150" s="112">
        <f t="shared" si="28"/>
        <v>148</v>
      </c>
      <c r="F150" s="112">
        <f t="shared" si="28"/>
        <v>148</v>
      </c>
      <c r="G150" s="112">
        <f t="shared" si="28"/>
        <v>148</v>
      </c>
      <c r="H150" s="112">
        <f t="shared" si="28"/>
        <v>148</v>
      </c>
      <c r="I150" s="112">
        <f t="shared" si="28"/>
        <v>148</v>
      </c>
      <c r="J150" s="111">
        <f t="shared" si="29"/>
        <v>1026</v>
      </c>
    </row>
    <row r="151" spans="2:16" ht="15" customHeight="1">
      <c r="B151" s="114">
        <v>2031</v>
      </c>
      <c r="C151" s="113">
        <f>C113</f>
        <v>140</v>
      </c>
      <c r="D151" s="112">
        <f t="shared" si="28"/>
        <v>146</v>
      </c>
      <c r="E151" s="112">
        <f t="shared" si="28"/>
        <v>148</v>
      </c>
      <c r="F151" s="112">
        <f t="shared" si="28"/>
        <v>148</v>
      </c>
      <c r="G151" s="112">
        <f t="shared" si="28"/>
        <v>148</v>
      </c>
      <c r="H151" s="112">
        <f t="shared" si="28"/>
        <v>148</v>
      </c>
      <c r="I151" s="112">
        <f t="shared" si="28"/>
        <v>148</v>
      </c>
      <c r="J151" s="111">
        <f t="shared" si="29"/>
        <v>1026</v>
      </c>
    </row>
    <row r="152" spans="2:16" ht="15" customHeight="1">
      <c r="B152" s="114">
        <v>2032</v>
      </c>
      <c r="C152" s="113">
        <f>C114</f>
        <v>140</v>
      </c>
      <c r="D152" s="112">
        <f t="shared" si="28"/>
        <v>146</v>
      </c>
      <c r="E152" s="112">
        <f t="shared" si="28"/>
        <v>148</v>
      </c>
      <c r="F152" s="112">
        <f t="shared" si="28"/>
        <v>148</v>
      </c>
      <c r="G152" s="112">
        <f t="shared" si="28"/>
        <v>148</v>
      </c>
      <c r="H152" s="112">
        <f t="shared" si="28"/>
        <v>148</v>
      </c>
      <c r="I152" s="112">
        <f t="shared" si="28"/>
        <v>148</v>
      </c>
      <c r="J152" s="111">
        <f t="shared" si="29"/>
        <v>1026</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E156" s="14"/>
      <c r="F156" s="14"/>
    </row>
    <row r="157" spans="2:16" ht="15" customHeight="1">
      <c r="B157" s="15"/>
      <c r="E157" s="14"/>
      <c r="F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642.17191711590294</v>
      </c>
      <c r="D159" s="108">
        <f>J140</f>
        <v>720</v>
      </c>
      <c r="E159" s="108">
        <f>J141</f>
        <v>784</v>
      </c>
      <c r="F159" s="108">
        <f>J142</f>
        <v>867</v>
      </c>
      <c r="G159" s="108">
        <f>J143</f>
        <v>920</v>
      </c>
      <c r="H159" s="108">
        <f>J144</f>
        <v>964</v>
      </c>
      <c r="I159" s="108">
        <f>J145</f>
        <v>998</v>
      </c>
      <c r="J159" s="108">
        <f>J146</f>
        <v>1021</v>
      </c>
      <c r="K159" s="108">
        <f>J147</f>
        <v>1026</v>
      </c>
      <c r="L159" s="108">
        <f>J148</f>
        <v>1021</v>
      </c>
      <c r="M159" s="108">
        <f>J149</f>
        <v>1026</v>
      </c>
      <c r="N159" s="108">
        <f>J150</f>
        <v>1026</v>
      </c>
      <c r="O159" s="108">
        <f>J151</f>
        <v>1026</v>
      </c>
      <c r="P159" s="108">
        <f>J152</f>
        <v>1026</v>
      </c>
    </row>
    <row r="160" spans="2:16" ht="15" customHeight="1">
      <c r="B160" s="107" t="s">
        <v>152</v>
      </c>
      <c r="C160" s="106">
        <f>VLOOKUP(C159,Capacity!$A$1:$C$645,2,TRUE)</f>
        <v>22</v>
      </c>
      <c r="D160" s="106">
        <f>VLOOKUP(D159,Capacity!$A$1:$C$645,2,TRUE)</f>
        <v>23</v>
      </c>
      <c r="E160" s="106">
        <f>VLOOKUP(E159,Capacity!$A$1:$C$645,2,TRUE)</f>
        <v>23</v>
      </c>
      <c r="F160" s="106">
        <f>VLOOKUP(F159,Capacity!$A$1:$C$645,2,TRUE)</f>
        <v>23</v>
      </c>
      <c r="G160" s="106">
        <f>VLOOKUP(G159,Capacity!$A$1:$C$645,2,TRUE)</f>
        <v>23</v>
      </c>
      <c r="H160" s="106">
        <f>VLOOKUP(H159,Capacity!$A$1:$C$645,2,TRUE)</f>
        <v>23</v>
      </c>
      <c r="I160" s="106">
        <f>VLOOKUP(I159,Capacity!$A$1:$C$645,2,TRUE)</f>
        <v>23</v>
      </c>
      <c r="J160" s="106">
        <f>VLOOKUP(J159,Capacity!$A$1:$C$645,2,TRUE)</f>
        <v>23</v>
      </c>
      <c r="K160" s="106">
        <f>VLOOKUP(K159,Capacity!$A$1:$C$645,2,TRUE)</f>
        <v>23</v>
      </c>
      <c r="L160" s="106">
        <f>VLOOKUP(L159,Capacity!$A$1:$C$645,2,TRUE)</f>
        <v>23</v>
      </c>
      <c r="M160" s="106">
        <f>VLOOKUP(M159,Capacity!$A$1:$C$645,2,TRUE)</f>
        <v>23</v>
      </c>
      <c r="N160" s="106">
        <f>VLOOKUP(N159,Capacity!$A$1:$C$645,2,TRUE)</f>
        <v>23</v>
      </c>
      <c r="O160" s="106">
        <f>VLOOKUP(O159,Capacity!$A$1:$C$645,2,TRUE)</f>
        <v>23</v>
      </c>
      <c r="P160" s="106">
        <f>VLOOKUP(P159,Capacity!$A$1:$C$645,2,TRUE)</f>
        <v>23</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308">
        <f>VLOOKUP(E3,'Catchment Projections'!A1:BU92,38,FALSE)</f>
        <v>168</v>
      </c>
      <c r="K168" s="92">
        <v>2017</v>
      </c>
      <c r="L168" s="92">
        <v>2018</v>
      </c>
      <c r="M168" s="92">
        <v>2019</v>
      </c>
      <c r="N168" s="92">
        <v>2020</v>
      </c>
    </row>
    <row r="169" spans="2:14" ht="45">
      <c r="B169" s="103" t="s">
        <v>129</v>
      </c>
      <c r="C169" s="97">
        <f>VLOOKUP($E$3,'Catchment Births'!$A$1:$U$90,10,FALSE)</f>
        <v>39</v>
      </c>
      <c r="D169" s="97">
        <f>VLOOKUP($E$3,'Catchment Births'!$A$1:$U$90,11,FALSE)</f>
        <v>41</v>
      </c>
      <c r="E169" s="97">
        <f>VLOOKUP($E$3,'Catchment Births'!$A$1:$U$90,12,FALSE)</f>
        <v>43</v>
      </c>
      <c r="F169" s="97">
        <f>VLOOKUP($E$3,'Catchment Births'!$A$1:$U$90,13,FALSE)</f>
        <v>59</v>
      </c>
      <c r="G169" s="97">
        <f>VLOOKUP($E$3,'Catchment Births'!$A$1:$U$90,14,FALSE)</f>
        <v>48</v>
      </c>
      <c r="H169" s="97">
        <f>VLOOKUP($E$3,'Catchment Births'!$A$1:$U$90,15,FALSE)</f>
        <v>48</v>
      </c>
      <c r="I169" s="97">
        <f>VLOOKUP($E$3,'Catchment Births'!$A$1:$U$90,16,FALSE)</f>
        <v>41</v>
      </c>
      <c r="J169" s="97">
        <f>VLOOKUP($E$3,'Catchment Births'!$A$1:$U$90,17,FALSE)</f>
        <v>50</v>
      </c>
      <c r="K169" s="97">
        <f>VLOOKUP($E$3,'Catchment Births'!$A$1:$U$90,18,FALSE)</f>
        <v>58</v>
      </c>
      <c r="L169" s="97">
        <f>VLOOKUP($E$3,'Catchment Births'!$A$1:$U$90,19,FALSE)</f>
        <v>70</v>
      </c>
      <c r="M169" s="97">
        <f>VLOOKUP($E$3,'Catchment Births'!$A$1:$U$90,20,FALSE)</f>
        <v>69</v>
      </c>
      <c r="N169" s="97">
        <f>VLOOKUP($E$3,'Catchment Births'!$A$1:$U$90,21,FALSE)</f>
        <v>80</v>
      </c>
    </row>
    <row r="170" spans="2:14" ht="58.5" customHeight="1">
      <c r="B170" s="103" t="str">
        <f>"P1 "&amp;A35&amp;" Catchment Population (Actual)"</f>
        <v>P1 ND Catchment Population (Actual)</v>
      </c>
      <c r="C170" s="102" t="e">
        <v>#REF!</v>
      </c>
      <c r="D170" s="102">
        <v>53</v>
      </c>
      <c r="E170" s="102">
        <v>46</v>
      </c>
      <c r="F170" s="102">
        <v>59</v>
      </c>
      <c r="G170" s="102">
        <v>64</v>
      </c>
      <c r="H170" s="102">
        <v>86</v>
      </c>
      <c r="I170" s="102">
        <v>67</v>
      </c>
      <c r="J170" s="62"/>
      <c r="K170" s="62"/>
      <c r="L170" s="62"/>
      <c r="M170" s="62"/>
    </row>
    <row r="171" spans="2:14" ht="58.5" customHeight="1">
      <c r="B171" s="88" t="s">
        <v>160</v>
      </c>
      <c r="C171" s="100"/>
      <c r="D171" s="100"/>
      <c r="E171" s="100"/>
      <c r="F171" s="100"/>
      <c r="G171" s="100"/>
      <c r="H171" s="100"/>
      <c r="I171" s="101"/>
      <c r="J171" s="89">
        <f>D53</f>
        <v>103</v>
      </c>
      <c r="K171" s="62"/>
      <c r="L171" s="62"/>
      <c r="M171" s="62"/>
    </row>
    <row r="172" spans="2:14">
      <c r="B172" s="99" t="s">
        <v>140</v>
      </c>
      <c r="C172" s="99"/>
      <c r="D172" s="98"/>
      <c r="E172" s="98"/>
      <c r="F172" s="98"/>
      <c r="G172" s="97"/>
      <c r="H172" s="96"/>
      <c r="I172" s="96">
        <f>I170</f>
        <v>67</v>
      </c>
      <c r="J172" s="96" t="e">
        <f>#REF!</f>
        <v>#REF!</v>
      </c>
      <c r="K172" s="96">
        <f>D51</f>
        <v>119</v>
      </c>
      <c r="L172" s="96">
        <f>E51</f>
        <v>138</v>
      </c>
      <c r="M172" s="96">
        <f>F51</f>
        <v>143</v>
      </c>
      <c r="N172" s="96">
        <f>G51</f>
        <v>168</v>
      </c>
    </row>
    <row r="173" spans="2:14">
      <c r="B173" s="62"/>
      <c r="C173" s="62"/>
      <c r="D173" s="62"/>
      <c r="E173" s="62"/>
      <c r="F173" s="62"/>
      <c r="G173" s="62"/>
      <c r="H173" s="62"/>
      <c r="I173" s="62"/>
      <c r="J173" s="308"/>
      <c r="K173" s="62"/>
    </row>
    <row r="174" spans="2:14" ht="15" customHeight="1">
      <c r="B174" s="64" t="str">
        <f>"Table 5: "&amp;E3&amp;" Roll by Stage, 2002-2018"</f>
        <v>Table 5: Kirkliston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46</v>
      </c>
      <c r="D177" s="93">
        <v>54</v>
      </c>
      <c r="E177" s="93">
        <v>39</v>
      </c>
      <c r="F177" s="93">
        <v>49</v>
      </c>
      <c r="G177" s="93">
        <v>27</v>
      </c>
      <c r="H177" s="93">
        <v>50</v>
      </c>
      <c r="I177" s="93">
        <v>44</v>
      </c>
      <c r="J177" s="92">
        <v>309</v>
      </c>
      <c r="K177" s="62"/>
    </row>
    <row r="178" spans="2:11" ht="15" customHeight="1">
      <c r="B178" s="94">
        <v>2003</v>
      </c>
      <c r="C178" s="93">
        <v>45</v>
      </c>
      <c r="D178" s="93">
        <v>46</v>
      </c>
      <c r="E178" s="93">
        <v>54</v>
      </c>
      <c r="F178" s="93">
        <v>39</v>
      </c>
      <c r="G178" s="93">
        <v>49</v>
      </c>
      <c r="H178" s="93">
        <v>27</v>
      </c>
      <c r="I178" s="93">
        <v>47</v>
      </c>
      <c r="J178" s="92">
        <v>307</v>
      </c>
      <c r="K178" s="62"/>
    </row>
    <row r="179" spans="2:11" customFormat="1" ht="15" customHeight="1">
      <c r="B179" s="94">
        <v>2004</v>
      </c>
      <c r="C179" s="95">
        <v>40</v>
      </c>
      <c r="D179" s="95">
        <v>44</v>
      </c>
      <c r="E179" s="95">
        <v>46</v>
      </c>
      <c r="F179" s="95">
        <v>55</v>
      </c>
      <c r="G179" s="95">
        <v>38</v>
      </c>
      <c r="H179" s="95">
        <v>50</v>
      </c>
      <c r="I179" s="95">
        <v>28</v>
      </c>
      <c r="J179" s="92">
        <v>301</v>
      </c>
      <c r="K179" s="62"/>
    </row>
    <row r="180" spans="2:11" customFormat="1" ht="15" customHeight="1">
      <c r="B180" s="94">
        <v>2005</v>
      </c>
      <c r="C180" s="93">
        <v>44</v>
      </c>
      <c r="D180" s="93">
        <v>43</v>
      </c>
      <c r="E180" s="93">
        <v>48</v>
      </c>
      <c r="F180" s="93">
        <v>45</v>
      </c>
      <c r="G180" s="93">
        <v>52</v>
      </c>
      <c r="H180" s="93">
        <v>44</v>
      </c>
      <c r="I180" s="93">
        <v>47</v>
      </c>
      <c r="J180" s="92">
        <v>323</v>
      </c>
      <c r="K180" s="62"/>
    </row>
    <row r="181" spans="2:11" customFormat="1" ht="15" customHeight="1">
      <c r="B181" s="94">
        <v>2006</v>
      </c>
      <c r="C181" s="93">
        <v>37</v>
      </c>
      <c r="D181" s="93">
        <v>43</v>
      </c>
      <c r="E181" s="93">
        <v>43</v>
      </c>
      <c r="F181" s="93">
        <v>50</v>
      </c>
      <c r="G181" s="93">
        <v>43</v>
      </c>
      <c r="H181" s="93">
        <v>49</v>
      </c>
      <c r="I181" s="93">
        <v>42</v>
      </c>
      <c r="J181" s="92">
        <v>307</v>
      </c>
      <c r="K181" s="62"/>
    </row>
    <row r="182" spans="2:11" customFormat="1" ht="15" customHeight="1">
      <c r="B182" s="94">
        <v>2007</v>
      </c>
      <c r="C182" s="93">
        <v>42</v>
      </c>
      <c r="D182" s="93">
        <v>36</v>
      </c>
      <c r="E182" s="93">
        <v>41</v>
      </c>
      <c r="F182" s="93">
        <v>43</v>
      </c>
      <c r="G182" s="93">
        <v>48</v>
      </c>
      <c r="H182" s="93">
        <v>43</v>
      </c>
      <c r="I182" s="93">
        <v>48</v>
      </c>
      <c r="J182" s="92">
        <v>301</v>
      </c>
      <c r="K182" s="62"/>
    </row>
    <row r="183" spans="2:11" customFormat="1" ht="15" customHeight="1">
      <c r="B183" s="94">
        <v>2008</v>
      </c>
      <c r="C183" s="93">
        <v>48</v>
      </c>
      <c r="D183" s="93">
        <v>43</v>
      </c>
      <c r="E183" s="93">
        <v>36</v>
      </c>
      <c r="F183" s="93">
        <v>43</v>
      </c>
      <c r="G183" s="93">
        <v>44</v>
      </c>
      <c r="H183" s="93">
        <v>47</v>
      </c>
      <c r="I183" s="93">
        <v>44</v>
      </c>
      <c r="J183" s="92">
        <v>305</v>
      </c>
      <c r="K183" s="62"/>
    </row>
    <row r="184" spans="2:11" customFormat="1" ht="15" customHeight="1">
      <c r="B184" s="94">
        <v>2009</v>
      </c>
      <c r="C184" s="93">
        <v>45</v>
      </c>
      <c r="D184" s="93">
        <v>46</v>
      </c>
      <c r="E184" s="93">
        <v>45</v>
      </c>
      <c r="F184" s="93">
        <v>34</v>
      </c>
      <c r="G184" s="93">
        <v>43</v>
      </c>
      <c r="H184" s="93">
        <v>44</v>
      </c>
      <c r="I184" s="93">
        <v>47</v>
      </c>
      <c r="J184" s="94">
        <v>304</v>
      </c>
      <c r="K184" s="62"/>
    </row>
    <row r="185" spans="2:11" customFormat="1" ht="15" customHeight="1">
      <c r="B185" s="94">
        <v>2010</v>
      </c>
      <c r="C185" s="93">
        <v>54</v>
      </c>
      <c r="D185" s="93">
        <v>44</v>
      </c>
      <c r="E185" s="93">
        <v>45</v>
      </c>
      <c r="F185" s="93">
        <v>44</v>
      </c>
      <c r="G185" s="93">
        <v>34</v>
      </c>
      <c r="H185" s="93">
        <v>39</v>
      </c>
      <c r="I185" s="93">
        <v>43</v>
      </c>
      <c r="J185" s="92">
        <v>303</v>
      </c>
      <c r="K185" s="62"/>
    </row>
    <row r="186" spans="2:11" customFormat="1" ht="15" customHeight="1">
      <c r="B186" s="94">
        <v>2011</v>
      </c>
      <c r="C186" s="93">
        <v>48</v>
      </c>
      <c r="D186" s="93">
        <v>58</v>
      </c>
      <c r="E186" s="93">
        <v>45</v>
      </c>
      <c r="F186" s="93">
        <v>46</v>
      </c>
      <c r="G186" s="93">
        <v>41</v>
      </c>
      <c r="H186" s="93">
        <v>37</v>
      </c>
      <c r="I186" s="93">
        <v>39</v>
      </c>
      <c r="J186" s="92">
        <v>314</v>
      </c>
      <c r="K186" s="62"/>
    </row>
    <row r="187" spans="2:11" customFormat="1" ht="15" customHeight="1">
      <c r="B187" s="94">
        <v>2012</v>
      </c>
      <c r="C187" s="93">
        <v>58</v>
      </c>
      <c r="D187" s="93">
        <v>46</v>
      </c>
      <c r="E187" s="93">
        <v>57</v>
      </c>
      <c r="F187" s="93">
        <v>44</v>
      </c>
      <c r="G187" s="93">
        <v>46</v>
      </c>
      <c r="H187" s="93">
        <v>43</v>
      </c>
      <c r="I187" s="93">
        <v>38</v>
      </c>
      <c r="J187" s="92">
        <v>332</v>
      </c>
      <c r="K187" s="62"/>
    </row>
    <row r="188" spans="2:11" customFormat="1" ht="15" customHeight="1">
      <c r="B188" s="94">
        <v>2013</v>
      </c>
      <c r="C188" s="93">
        <v>60</v>
      </c>
      <c r="D188" s="93">
        <v>59</v>
      </c>
      <c r="E188" s="93">
        <v>47</v>
      </c>
      <c r="F188" s="93">
        <v>61</v>
      </c>
      <c r="G188" s="93">
        <v>43</v>
      </c>
      <c r="H188" s="93">
        <v>49</v>
      </c>
      <c r="I188" s="93">
        <v>42</v>
      </c>
      <c r="J188" s="94">
        <v>361</v>
      </c>
      <c r="K188" s="62"/>
    </row>
    <row r="189" spans="2:11" customFormat="1" ht="15" customHeight="1">
      <c r="B189" s="94">
        <v>2014</v>
      </c>
      <c r="C189" s="93">
        <v>80</v>
      </c>
      <c r="D189" s="93">
        <v>60</v>
      </c>
      <c r="E189" s="93">
        <v>60</v>
      </c>
      <c r="F189" s="93">
        <v>52</v>
      </c>
      <c r="G189" s="93">
        <v>61</v>
      </c>
      <c r="H189" s="93">
        <v>40</v>
      </c>
      <c r="I189" s="93">
        <v>50</v>
      </c>
      <c r="J189" s="92">
        <v>403</v>
      </c>
      <c r="K189" s="65"/>
    </row>
    <row r="190" spans="2:11" customFormat="1" ht="15" customHeight="1">
      <c r="B190" s="94">
        <v>2015</v>
      </c>
      <c r="C190" s="93">
        <v>67</v>
      </c>
      <c r="D190" s="93">
        <v>84</v>
      </c>
      <c r="E190" s="93">
        <v>67</v>
      </c>
      <c r="F190" s="93">
        <v>63</v>
      </c>
      <c r="G190" s="93">
        <v>55</v>
      </c>
      <c r="H190" s="93">
        <v>59</v>
      </c>
      <c r="I190" s="93">
        <v>42</v>
      </c>
      <c r="J190" s="92">
        <v>437</v>
      </c>
      <c r="K190" s="62"/>
    </row>
    <row r="191" spans="2:11" customFormat="1" ht="15" customHeight="1">
      <c r="B191" s="94">
        <v>2016</v>
      </c>
      <c r="C191" s="93">
        <v>95</v>
      </c>
      <c r="D191" s="93">
        <v>69</v>
      </c>
      <c r="E191" s="93">
        <v>89</v>
      </c>
      <c r="F191" s="93">
        <v>68</v>
      </c>
      <c r="G191" s="93">
        <v>63</v>
      </c>
      <c r="H191" s="93">
        <v>48</v>
      </c>
      <c r="I191" s="93">
        <v>59</v>
      </c>
      <c r="J191" s="92">
        <v>491</v>
      </c>
      <c r="K191" s="65"/>
    </row>
    <row r="192" spans="2:11" ht="15" customHeight="1">
      <c r="B192" s="94">
        <v>2017</v>
      </c>
      <c r="C192" s="93">
        <f>VLOOKUP($E$3,Rolls!A1:FA90,42,FALSE)</f>
        <v>96</v>
      </c>
      <c r="D192" s="93">
        <f>VLOOKUP($E$3,Rolls!A1:FA90,43,FALSE)</f>
        <v>99</v>
      </c>
      <c r="E192" s="93">
        <f>VLOOKUP($E$3,Rolls!A1:FA90,44,FALSE)</f>
        <v>66</v>
      </c>
      <c r="F192" s="93">
        <f>VLOOKUP($E$3,Rolls!A1:FA90,45,FALSE)</f>
        <v>88</v>
      </c>
      <c r="G192" s="93">
        <f>VLOOKUP($E$3,Rolls!A1:FA90,46,FALSE)</f>
        <v>70</v>
      </c>
      <c r="H192" s="93">
        <f>VLOOKUP($E$3,Rolls!A1:FA90,47,FALSE)</f>
        <v>62</v>
      </c>
      <c r="I192" s="93">
        <f>VLOOKUP($E$3,Rolls!A1:FA90,48,FALSE)</f>
        <v>48</v>
      </c>
      <c r="J192" s="92">
        <f>VLOOKUP($E$3,Rolls!A1:FA90,49,FALSE)</f>
        <v>529</v>
      </c>
      <c r="K192" s="65"/>
    </row>
    <row r="193" spans="2:11" ht="15" customHeight="1">
      <c r="B193" s="94">
        <v>2018</v>
      </c>
      <c r="C193" s="93">
        <f>VLOOKUP($E$3,Rolls!A1:FA90,50,FALSE)</f>
        <v>107</v>
      </c>
      <c r="D193" s="93">
        <f>VLOOKUP($E$3,Rolls!A1:FA90,51,FALSE)</f>
        <v>102</v>
      </c>
      <c r="E193" s="93">
        <f>VLOOKUP($E$3,Rolls!A1:FA90,52,FALSE)</f>
        <v>94</v>
      </c>
      <c r="F193" s="93">
        <f>VLOOKUP($E$3,Rolls!A1:FA90,53,FALSE)</f>
        <v>64</v>
      </c>
      <c r="G193" s="93">
        <f>VLOOKUP($E$3,Rolls!A1:FA90,54,FALSE)</f>
        <v>90</v>
      </c>
      <c r="H193" s="93">
        <f>VLOOKUP($E$3,Rolls!A1:FA90,55,FALSE)</f>
        <v>64</v>
      </c>
      <c r="I193" s="93">
        <f>VLOOKUP($E$3,Rolls!A1:FA90,56,FALSE)</f>
        <v>61</v>
      </c>
      <c r="J193" s="92">
        <f>VLOOKUP($E$3,Rolls!A1:FA90,57,FALSE)</f>
        <v>582</v>
      </c>
      <c r="K193" s="65"/>
    </row>
  </sheetData>
  <mergeCells count="32">
    <mergeCell ref="B51:C51"/>
    <mergeCell ref="C79:D79"/>
    <mergeCell ref="C80:D80"/>
    <mergeCell ref="C81:D81"/>
    <mergeCell ref="C82:D82"/>
    <mergeCell ref="C75:D75"/>
    <mergeCell ref="B97:C98"/>
    <mergeCell ref="C70:D70"/>
    <mergeCell ref="C71:D71"/>
    <mergeCell ref="C72:D72"/>
    <mergeCell ref="C73:D73"/>
    <mergeCell ref="C74:D74"/>
    <mergeCell ref="C76:D76"/>
    <mergeCell ref="C77:D77"/>
    <mergeCell ref="C78:D78"/>
    <mergeCell ref="C83:D83"/>
    <mergeCell ref="B117:J117"/>
    <mergeCell ref="E3:H3"/>
    <mergeCell ref="B29:J30"/>
    <mergeCell ref="B48:C48"/>
    <mergeCell ref="B49:C49"/>
    <mergeCell ref="B54:J54"/>
    <mergeCell ref="B50:C50"/>
    <mergeCell ref="B53:C53"/>
    <mergeCell ref="B57:E57"/>
    <mergeCell ref="G57:J57"/>
    <mergeCell ref="D59:E59"/>
    <mergeCell ref="I59:J59"/>
    <mergeCell ref="B65:D65"/>
    <mergeCell ref="G65:H65"/>
    <mergeCell ref="B67:J67"/>
    <mergeCell ref="C69:D69"/>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44</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Leith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476 Pupils (17 classes)</v>
      </c>
      <c r="G12" s="16"/>
      <c r="H12" s="16"/>
    </row>
    <row r="13" spans="2:10" ht="15" customHeight="1">
      <c r="C13" s="16"/>
      <c r="D13" s="16"/>
      <c r="E13" s="16"/>
      <c r="F13" s="16"/>
      <c r="G13" s="16"/>
      <c r="H13" s="16"/>
    </row>
    <row r="14" spans="2:10" ht="15" customHeight="1">
      <c r="B14" s="15" t="str">
        <f>"Figure 1: "&amp;E3&amp;" Roll, 2002-2015"</f>
        <v>Figure 1: Leith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Leith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64</v>
      </c>
      <c r="E49" s="108">
        <f>VLOOKUP($E$3,'Catchment Projections'!$A$1:$BU$90,46,FALSE)</f>
        <v>54</v>
      </c>
      <c r="F49" s="108">
        <f>VLOOKUP($E$3,'Catchment Projections'!$A$1:$BU$90,47,FALSE)</f>
        <v>57</v>
      </c>
      <c r="G49" s="108">
        <f>VLOOKUP($E$3,'Catchment Projections'!$A$1:$BU$90,48,FALSE)</f>
        <v>62</v>
      </c>
      <c r="H49" s="133">
        <f>VLOOKUP($E$3,'Catchment Projections'!$A$1:$BU$90,49,FALSE)</f>
        <v>58</v>
      </c>
      <c r="I49" s="133">
        <f>VLOOKUP($E$3,'Catchment Projections'!$A$1:$BU$90,50,FALSE)</f>
        <v>59</v>
      </c>
      <c r="J49" s="133">
        <f>VLOOKUP($E$3,'Catchment Projections'!$A$1:$BU$90,51,FALSE)</f>
        <v>59</v>
      </c>
      <c r="K49" s="133">
        <f>VLOOKUP($E$3,'Catchment Projections'!$A$1:$BU$90,52,FALSE)</f>
        <v>60</v>
      </c>
      <c r="L49" s="133">
        <f>VLOOKUP($E$3,'Catchment Projections'!$A$1:$BU$90,53,FALSE)</f>
        <v>61</v>
      </c>
      <c r="M49" s="133">
        <f>VLOOKUP($E$3,'Catchment Projections'!$A$1:$BU$90,54,FALSE)</f>
        <v>61</v>
      </c>
      <c r="N49" s="133">
        <f>VLOOKUP($E$3,'Catchment Projections'!$A$1:$BU$90,55,FALSE)</f>
        <v>61</v>
      </c>
      <c r="O49" s="133">
        <f>VLOOKUP($E$3,'Catchment Projections'!$A$1:$BU$90,56,FALSE)</f>
        <v>61</v>
      </c>
      <c r="P49" s="133">
        <f>VLOOKUP($E$3,'Catchment Projections'!$A$1:$BU$90,57,FALSE)</f>
        <v>61</v>
      </c>
      <c r="Q49" s="133">
        <f>VLOOKUP($E$3,'Catchment Projections'!$A$1:$BU$90,58,FALSE)</f>
        <v>61</v>
      </c>
    </row>
    <row r="50" spans="2:17" ht="15" customHeight="1" thickBot="1">
      <c r="B50" s="410" t="s">
        <v>141</v>
      </c>
      <c r="C50" s="411"/>
      <c r="D50" s="286">
        <f>VLOOKUP(E3,'Housing Generation'!$A$3:$DQ$90,10,FALSE)</f>
        <v>1</v>
      </c>
      <c r="E50" s="286">
        <f>VLOOKUP(E3,'Housing Generation'!$A$3:$DQ$90,18,FALSE)</f>
        <v>2</v>
      </c>
      <c r="F50" s="286">
        <f>VLOOKUP(E3,'Housing Generation'!$A$3:$DQ$90,26,FALSE)</f>
        <v>3</v>
      </c>
      <c r="G50" s="243">
        <f>VLOOKUP(E3,'Housing Generation'!$A$3:$DQ$90,34,FALSE)</f>
        <v>5</v>
      </c>
      <c r="H50" s="133">
        <f>VLOOKUP(E3,'Housing Generation'!$A$3:$DQ$90,42,FALSE)</f>
        <v>6</v>
      </c>
      <c r="I50" s="133">
        <f>VLOOKUP(E3,'Housing Generation'!$A$3:$DQ$90,50,FALSE)</f>
        <v>8</v>
      </c>
      <c r="J50" s="133">
        <f>VLOOKUP(E3,'Housing Generation'!$A$3:$CK$90,58,FALSE)</f>
        <v>11</v>
      </c>
      <c r="K50" s="133">
        <f>VLOOKUP(E3,'Housing Generation'!$A$3:$CK$90,66,FALSE)</f>
        <v>13</v>
      </c>
      <c r="L50" s="133">
        <f>VLOOKUP(E3,'Housing Generation'!$A$3:$DQ$90,74,FALSE)</f>
        <v>16</v>
      </c>
      <c r="M50" s="133">
        <f>VLOOKUP(E3,'Housing Generation'!$A$3:$DQ$90,82,FALSE)</f>
        <v>18</v>
      </c>
      <c r="N50" s="133">
        <f>VLOOKUP(E3,'Housing Generation'!$A$3:$DQ$90,90,FALSE)</f>
        <v>20</v>
      </c>
      <c r="O50" s="133">
        <f>VLOOKUP(E3,'Housing Generation'!$A$3:$DQ$90,98,FALSE)</f>
        <v>21</v>
      </c>
      <c r="P50" s="133">
        <f>VLOOKUP(E3,'Housing Generation'!$A$3:$DQ$90,106,FALSE)</f>
        <v>23</v>
      </c>
      <c r="Q50" s="133">
        <f>VLOOKUP(E3,'Housing Generation'!$A$3:$DQ$90,114,FALSE)</f>
        <v>25</v>
      </c>
    </row>
    <row r="51" spans="2:17" ht="15" customHeight="1" thickTop="1">
      <c r="B51" s="421" t="s">
        <v>130</v>
      </c>
      <c r="C51" s="422"/>
      <c r="D51" s="47">
        <f t="shared" ref="D51:Q51" si="0">SUM(D49:D50)</f>
        <v>65</v>
      </c>
      <c r="E51" s="47">
        <f t="shared" si="0"/>
        <v>56</v>
      </c>
      <c r="F51" s="80">
        <f t="shared" si="0"/>
        <v>60</v>
      </c>
      <c r="G51" s="244">
        <f t="shared" si="0"/>
        <v>67</v>
      </c>
      <c r="H51" s="71">
        <f t="shared" si="0"/>
        <v>64</v>
      </c>
      <c r="I51" s="71">
        <f t="shared" si="0"/>
        <v>67</v>
      </c>
      <c r="J51" s="71">
        <f t="shared" si="0"/>
        <v>70</v>
      </c>
      <c r="K51" s="71">
        <f t="shared" si="0"/>
        <v>73</v>
      </c>
      <c r="L51" s="71">
        <f t="shared" si="0"/>
        <v>77</v>
      </c>
      <c r="M51" s="71">
        <f t="shared" si="0"/>
        <v>79</v>
      </c>
      <c r="N51" s="71">
        <f t="shared" si="0"/>
        <v>81</v>
      </c>
      <c r="O51" s="71">
        <f t="shared" si="0"/>
        <v>82</v>
      </c>
      <c r="P51" s="71">
        <f t="shared" si="0"/>
        <v>84</v>
      </c>
      <c r="Q51" s="71">
        <f t="shared" si="0"/>
        <v>86</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83</v>
      </c>
      <c r="D60" s="358">
        <f>VLOOKUP($E$3,'Catchment Projections'!$A$1:$BZ$90,74,FALSE)</f>
        <v>63</v>
      </c>
      <c r="E60" s="303">
        <f>D60/C60</f>
        <v>0.75903614457831325</v>
      </c>
      <c r="G60" s="132">
        <v>2014</v>
      </c>
      <c r="H60" s="395">
        <f>VLOOKUP($G$60,$B$177:$C$215, 2, FALSE)</f>
        <v>77</v>
      </c>
      <c r="I60" s="120">
        <f>H60-D60</f>
        <v>14</v>
      </c>
      <c r="J60" s="121">
        <f>I60/H60</f>
        <v>0.18181818181818182</v>
      </c>
    </row>
    <row r="61" spans="2:17" ht="15" customHeight="1">
      <c r="B61" s="132">
        <v>2015</v>
      </c>
      <c r="C61" s="359">
        <f>VLOOKUP($E$3,'Catchment Projections'!$A$1:$BZ$90,41,FALSE)</f>
        <v>70</v>
      </c>
      <c r="D61" s="358">
        <f>VLOOKUP($E$3,'Catchment Projections'!$A$1:$BZ$90,75,FALSE)</f>
        <v>59</v>
      </c>
      <c r="E61" s="303">
        <f>D61/C61</f>
        <v>0.84285714285714286</v>
      </c>
      <c r="G61" s="132">
        <v>2015</v>
      </c>
      <c r="H61" s="395">
        <f>VLOOKUP($G$61,$B$177:$C$215, 2, FALSE)</f>
        <v>67</v>
      </c>
      <c r="I61" s="120">
        <f>H61-D61</f>
        <v>8</v>
      </c>
      <c r="J61" s="121">
        <f>I61/H61</f>
        <v>0.11940298507462686</v>
      </c>
    </row>
    <row r="62" spans="2:17" ht="15" customHeight="1">
      <c r="B62" s="131">
        <v>2016</v>
      </c>
      <c r="C62" s="359">
        <f>VLOOKUP($E$3,'Catchment Projections'!$A$1:$BZ$90,42,FALSE)</f>
        <v>55</v>
      </c>
      <c r="D62" s="358">
        <f>VLOOKUP($E$3,'Catchment Projections'!$A$1:$BZ$90,76,FALSE)</f>
        <v>37</v>
      </c>
      <c r="E62" s="57">
        <f>D62/C62</f>
        <v>0.67272727272727273</v>
      </c>
      <c r="G62" s="131">
        <v>2016</v>
      </c>
      <c r="H62" s="395">
        <f>VLOOKUP($G$62,$B$177:$C$215, 2, FALSE)</f>
        <v>46</v>
      </c>
      <c r="I62" s="120">
        <f>H62-D62</f>
        <v>9</v>
      </c>
      <c r="J62" s="121">
        <f>I62/H62</f>
        <v>0.19565217391304349</v>
      </c>
    </row>
    <row r="63" spans="2:17" ht="15" customHeight="1">
      <c r="B63" s="114">
        <v>2017</v>
      </c>
      <c r="C63" s="359">
        <f>VLOOKUP($E$3,'Catchment Projections'!$A$1:$BZ$90,43,FALSE)</f>
        <v>61</v>
      </c>
      <c r="D63" s="358">
        <f>VLOOKUP($E$3,'Catchment Projections'!$A$1:$BZ$90,77,FALSE)</f>
        <v>40</v>
      </c>
      <c r="E63" s="304">
        <f>D63/C63</f>
        <v>0.65573770491803274</v>
      </c>
      <c r="G63" s="114">
        <v>2017</v>
      </c>
      <c r="H63" s="395">
        <f>VLOOKUP($G$63,$B$177:$C$215, 2, FALSE)</f>
        <v>55</v>
      </c>
      <c r="I63" s="120">
        <f>H63-D63</f>
        <v>15</v>
      </c>
      <c r="J63" s="121">
        <f>I63/H63</f>
        <v>0.27272727272727271</v>
      </c>
    </row>
    <row r="64" spans="2:17" ht="15" customHeight="1">
      <c r="B64" s="114">
        <v>2018</v>
      </c>
      <c r="C64" s="359">
        <f>VLOOKUP($E$3,'Catchment Projections'!$A$1:$BZ$90,44,FALSE)</f>
        <v>72</v>
      </c>
      <c r="D64" s="358">
        <f>VLOOKUP($E$3,'Catchment Projections'!$A$1:$BZ$90,78,FALSE)</f>
        <v>53</v>
      </c>
      <c r="E64" s="305">
        <f>D64/C64</f>
        <v>0.73611111111111116</v>
      </c>
      <c r="G64" s="114">
        <v>2018</v>
      </c>
      <c r="H64" s="395">
        <f>VLOOKUP($G$64,$B$177:$C$215, 2, FALSE)</f>
        <v>56</v>
      </c>
      <c r="I64" s="120">
        <f>H64-D64</f>
        <v>3</v>
      </c>
      <c r="J64" s="121">
        <f>I64/H64</f>
        <v>5.3571428571428568E-2</v>
      </c>
    </row>
    <row r="65" spans="2:10" ht="15" customHeight="1">
      <c r="B65" s="412" t="s">
        <v>136</v>
      </c>
      <c r="C65" s="413"/>
      <c r="D65" s="414"/>
      <c r="E65" s="137">
        <f>IF((AVERAGE(E62:E64))="#DIV/0!","n/a",(AVERAGE(E62:E64)))</f>
        <v>0.68819202958547221</v>
      </c>
      <c r="G65" s="415" t="s">
        <v>137</v>
      </c>
      <c r="H65" s="416"/>
      <c r="I65" s="138">
        <f>MEDIAN(I60:I64)</f>
        <v>9</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65</v>
      </c>
      <c r="D70" s="408"/>
      <c r="E70" s="122">
        <f>E65</f>
        <v>0.68819202958547221</v>
      </c>
      <c r="F70" s="120">
        <f t="shared" ref="F70:F83" si="1">C70*$E$65</f>
        <v>44.732481923055694</v>
      </c>
      <c r="G70" s="118">
        <f>IF(F70&lt;26,25,IF(F70&gt;135,140,IF(F70&gt;130,135,IF(F70&gt;125,130,IF(F70&gt;120,125,IF(F70&gt;115,120,IF(F70&gt;110,115,IF(F70&gt;105,110,IF(F70&gt;100,105,IF(F70&gt;99,100,IF(F70&gt;90,99,IF(F70&gt;75,90,IF(F70&gt;72,75,IF(F70&gt;66,72,IF(F70&gt;60,66,IF(F70&gt;50,60,IF(F70&gt;30,50,IF(F70&gt;25,30,0))))))))))))))))))</f>
        <v>50</v>
      </c>
      <c r="H70" s="119">
        <f t="shared" ref="H70:H83" si="2">G70-F70</f>
        <v>5.267518076944306</v>
      </c>
      <c r="I70" s="118" t="str">
        <f>IF(I$65&lt;H70, "NO", "YES")</f>
        <v>YES</v>
      </c>
      <c r="J70" s="117">
        <f t="shared" ref="J70:J83" si="3">IF(I70="YES",G70,(MIN((SUM(F70,$I$65)),G70)))</f>
        <v>50</v>
      </c>
    </row>
    <row r="71" spans="2:10" ht="15" customHeight="1">
      <c r="B71" s="114">
        <v>2020</v>
      </c>
      <c r="C71" s="433">
        <f>E51</f>
        <v>56</v>
      </c>
      <c r="D71" s="408"/>
      <c r="E71" s="121">
        <f>E65</f>
        <v>0.68819202958547221</v>
      </c>
      <c r="F71" s="120">
        <f t="shared" si="1"/>
        <v>38.53875365678644</v>
      </c>
      <c r="G71" s="118">
        <f t="shared" ref="G71:G83" si="4">IF(F71&lt;26,25,IF(F71&gt;135,140,IF(F71&gt;130,135,IF(F71&gt;125,130,IF(F71&gt;120,125,IF(F71&gt;115,120,IF(F71&gt;110,115,IF(F71&gt;105,110,IF(F71&gt;100,105,IF(F71&gt;99,100,IF(F71&gt;90,99,IF(F71&gt;75,90,IF(F71&gt;72,75,IF(F71&gt;66,72,IF(F71&gt;60,66,IF(F71&gt;50,60,IF(F71&gt;30,50,IF(F71&gt;25,30,0))))))))))))))))))</f>
        <v>50</v>
      </c>
      <c r="H71" s="119">
        <f t="shared" si="2"/>
        <v>11.46124634321356</v>
      </c>
      <c r="I71" s="118" t="str">
        <f t="shared" ref="I71:I83" si="5">IF(I$65&lt;H71, "NO", "YES")</f>
        <v>NO</v>
      </c>
      <c r="J71" s="117">
        <f t="shared" si="3"/>
        <v>47.53875365678644</v>
      </c>
    </row>
    <row r="72" spans="2:10" ht="15" customHeight="1">
      <c r="B72" s="114">
        <v>2021</v>
      </c>
      <c r="C72" s="430">
        <f>F51</f>
        <v>60</v>
      </c>
      <c r="D72" s="431"/>
      <c r="E72" s="121">
        <f>E65</f>
        <v>0.68819202958547221</v>
      </c>
      <c r="F72" s="120">
        <f t="shared" si="1"/>
        <v>41.291521775128331</v>
      </c>
      <c r="G72" s="118">
        <f t="shared" si="4"/>
        <v>50</v>
      </c>
      <c r="H72" s="119">
        <f t="shared" si="2"/>
        <v>8.7084782248716692</v>
      </c>
      <c r="I72" s="118" t="str">
        <f t="shared" si="5"/>
        <v>YES</v>
      </c>
      <c r="J72" s="117">
        <f t="shared" si="3"/>
        <v>50</v>
      </c>
    </row>
    <row r="73" spans="2:10" ht="15" customHeight="1">
      <c r="B73" s="114">
        <v>2022</v>
      </c>
      <c r="C73" s="430">
        <f>G51</f>
        <v>67</v>
      </c>
      <c r="D73" s="431"/>
      <c r="E73" s="121">
        <f>E65</f>
        <v>0.68819202958547221</v>
      </c>
      <c r="F73" s="120">
        <f t="shared" si="1"/>
        <v>46.108865982226639</v>
      </c>
      <c r="G73" s="118">
        <f t="shared" si="4"/>
        <v>50</v>
      </c>
      <c r="H73" s="119">
        <f t="shared" si="2"/>
        <v>3.8911340177733607</v>
      </c>
      <c r="I73" s="118" t="str">
        <f t="shared" si="5"/>
        <v>YES</v>
      </c>
      <c r="J73" s="117">
        <f t="shared" si="3"/>
        <v>50</v>
      </c>
    </row>
    <row r="74" spans="2:10" ht="15" customHeight="1">
      <c r="B74" s="114">
        <v>2023</v>
      </c>
      <c r="C74" s="430">
        <f>H51</f>
        <v>64</v>
      </c>
      <c r="D74" s="431"/>
      <c r="E74" s="121">
        <f>E65</f>
        <v>0.68819202958547221</v>
      </c>
      <c r="F74" s="120">
        <f t="shared" si="1"/>
        <v>44.044289893470221</v>
      </c>
      <c r="G74" s="118">
        <f t="shared" si="4"/>
        <v>50</v>
      </c>
      <c r="H74" s="119">
        <f t="shared" si="2"/>
        <v>5.9557101065297786</v>
      </c>
      <c r="I74" s="118" t="str">
        <f t="shared" si="5"/>
        <v>YES</v>
      </c>
      <c r="J74" s="117">
        <f t="shared" si="3"/>
        <v>50</v>
      </c>
    </row>
    <row r="75" spans="2:10" ht="15" customHeight="1">
      <c r="B75" s="114">
        <v>2024</v>
      </c>
      <c r="C75" s="430">
        <f>I51</f>
        <v>67</v>
      </c>
      <c r="D75" s="431"/>
      <c r="E75" s="121">
        <f>E65</f>
        <v>0.68819202958547221</v>
      </c>
      <c r="F75" s="120">
        <f t="shared" si="1"/>
        <v>46.108865982226639</v>
      </c>
      <c r="G75" s="118">
        <f t="shared" si="4"/>
        <v>50</v>
      </c>
      <c r="H75" s="119">
        <f t="shared" si="2"/>
        <v>3.8911340177733607</v>
      </c>
      <c r="I75" s="118" t="str">
        <f t="shared" si="5"/>
        <v>YES</v>
      </c>
      <c r="J75" s="117">
        <f t="shared" si="3"/>
        <v>50</v>
      </c>
    </row>
    <row r="76" spans="2:10" ht="15" customHeight="1">
      <c r="B76" s="114">
        <v>2025</v>
      </c>
      <c r="C76" s="430">
        <f>J51</f>
        <v>70</v>
      </c>
      <c r="D76" s="431"/>
      <c r="E76" s="121">
        <f>E65</f>
        <v>0.68819202958547221</v>
      </c>
      <c r="F76" s="120">
        <f t="shared" si="1"/>
        <v>48.173442070983057</v>
      </c>
      <c r="G76" s="118">
        <f t="shared" si="4"/>
        <v>50</v>
      </c>
      <c r="H76" s="119">
        <f t="shared" si="2"/>
        <v>1.8265579290169427</v>
      </c>
      <c r="I76" s="118" t="str">
        <f t="shared" si="5"/>
        <v>YES</v>
      </c>
      <c r="J76" s="117">
        <f t="shared" si="3"/>
        <v>50</v>
      </c>
    </row>
    <row r="77" spans="2:10" ht="15" customHeight="1">
      <c r="B77" s="114">
        <v>2026</v>
      </c>
      <c r="C77" s="430">
        <f>K51</f>
        <v>73</v>
      </c>
      <c r="D77" s="431"/>
      <c r="E77" s="121">
        <f>E65</f>
        <v>0.68819202958547221</v>
      </c>
      <c r="F77" s="120">
        <f t="shared" si="1"/>
        <v>50.238018159739468</v>
      </c>
      <c r="G77" s="118">
        <f t="shared" si="4"/>
        <v>60</v>
      </c>
      <c r="H77" s="119">
        <f t="shared" si="2"/>
        <v>9.7619818402605318</v>
      </c>
      <c r="I77" s="118" t="str">
        <f t="shared" si="5"/>
        <v>NO</v>
      </c>
      <c r="J77" s="117">
        <f t="shared" si="3"/>
        <v>59.238018159739468</v>
      </c>
    </row>
    <row r="78" spans="2:10" ht="15" customHeight="1">
      <c r="B78" s="114">
        <v>2027</v>
      </c>
      <c r="C78" s="430">
        <f>L51</f>
        <v>77</v>
      </c>
      <c r="D78" s="431"/>
      <c r="E78" s="121">
        <f>E65</f>
        <v>0.68819202958547221</v>
      </c>
      <c r="F78" s="120">
        <f t="shared" si="1"/>
        <v>52.990786278081359</v>
      </c>
      <c r="G78" s="118">
        <f t="shared" si="4"/>
        <v>60</v>
      </c>
      <c r="H78" s="119">
        <f t="shared" si="2"/>
        <v>7.0092137219186412</v>
      </c>
      <c r="I78" s="118" t="str">
        <f t="shared" si="5"/>
        <v>YES</v>
      </c>
      <c r="J78" s="117">
        <f t="shared" si="3"/>
        <v>60</v>
      </c>
    </row>
    <row r="79" spans="2:10" ht="15" customHeight="1">
      <c r="B79" s="114">
        <v>2028</v>
      </c>
      <c r="C79" s="430">
        <f>M51</f>
        <v>79</v>
      </c>
      <c r="D79" s="431"/>
      <c r="E79" s="121">
        <f t="shared" ref="E79:E83" si="6">$E$65</f>
        <v>0.68819202958547221</v>
      </c>
      <c r="F79" s="120">
        <f t="shared" si="1"/>
        <v>54.367170337252304</v>
      </c>
      <c r="G79" s="118">
        <f t="shared" si="4"/>
        <v>60</v>
      </c>
      <c r="H79" s="119">
        <f t="shared" si="2"/>
        <v>5.6328296627476959</v>
      </c>
      <c r="I79" s="118" t="str">
        <f t="shared" si="5"/>
        <v>YES</v>
      </c>
      <c r="J79" s="117">
        <f t="shared" si="3"/>
        <v>60</v>
      </c>
    </row>
    <row r="80" spans="2:10" ht="15" customHeight="1">
      <c r="B80" s="114">
        <v>2029</v>
      </c>
      <c r="C80" s="430">
        <f>N51</f>
        <v>81</v>
      </c>
      <c r="D80" s="431"/>
      <c r="E80" s="121">
        <f t="shared" si="6"/>
        <v>0.68819202958547221</v>
      </c>
      <c r="F80" s="120">
        <f t="shared" si="1"/>
        <v>55.743554396423249</v>
      </c>
      <c r="G80" s="118">
        <f t="shared" si="4"/>
        <v>60</v>
      </c>
      <c r="H80" s="119">
        <f t="shared" si="2"/>
        <v>4.2564456035767506</v>
      </c>
      <c r="I80" s="118" t="str">
        <f t="shared" si="5"/>
        <v>YES</v>
      </c>
      <c r="J80" s="117">
        <f t="shared" si="3"/>
        <v>60</v>
      </c>
    </row>
    <row r="81" spans="2:10" ht="15" customHeight="1">
      <c r="B81" s="114">
        <v>2030</v>
      </c>
      <c r="C81" s="430">
        <f>O51</f>
        <v>82</v>
      </c>
      <c r="D81" s="431"/>
      <c r="E81" s="121">
        <f t="shared" si="6"/>
        <v>0.68819202958547221</v>
      </c>
      <c r="F81" s="120">
        <f t="shared" si="1"/>
        <v>56.431746426008722</v>
      </c>
      <c r="G81" s="118">
        <f t="shared" si="4"/>
        <v>60</v>
      </c>
      <c r="H81" s="119">
        <f t="shared" si="2"/>
        <v>3.568253573991278</v>
      </c>
      <c r="I81" s="118" t="str">
        <f t="shared" si="5"/>
        <v>YES</v>
      </c>
      <c r="J81" s="117">
        <f t="shared" si="3"/>
        <v>60</v>
      </c>
    </row>
    <row r="82" spans="2:10" ht="15" customHeight="1">
      <c r="B82" s="114">
        <v>2031</v>
      </c>
      <c r="C82" s="430">
        <f>P51</f>
        <v>84</v>
      </c>
      <c r="D82" s="431"/>
      <c r="E82" s="121">
        <f t="shared" si="6"/>
        <v>0.68819202958547221</v>
      </c>
      <c r="F82" s="120">
        <f t="shared" si="1"/>
        <v>57.808130485179667</v>
      </c>
      <c r="G82" s="118">
        <f t="shared" si="4"/>
        <v>60</v>
      </c>
      <c r="H82" s="119">
        <f t="shared" si="2"/>
        <v>2.1918695148203327</v>
      </c>
      <c r="I82" s="118" t="str">
        <f t="shared" si="5"/>
        <v>YES</v>
      </c>
      <c r="J82" s="117">
        <f t="shared" si="3"/>
        <v>60</v>
      </c>
    </row>
    <row r="83" spans="2:10" ht="15" customHeight="1">
      <c r="B83" s="114">
        <v>2032</v>
      </c>
      <c r="C83" s="430">
        <f>Q51</f>
        <v>86</v>
      </c>
      <c r="D83" s="431"/>
      <c r="E83" s="121">
        <f t="shared" si="6"/>
        <v>0.68819202958547221</v>
      </c>
      <c r="F83" s="120">
        <f t="shared" si="1"/>
        <v>59.184514544350613</v>
      </c>
      <c r="G83" s="118">
        <f t="shared" si="4"/>
        <v>60</v>
      </c>
      <c r="H83" s="119">
        <f t="shared" si="2"/>
        <v>0.81548545564938735</v>
      </c>
      <c r="I83" s="118" t="str">
        <f t="shared" si="5"/>
        <v>YES</v>
      </c>
      <c r="J83" s="117">
        <f t="shared" si="3"/>
        <v>60</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Leith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53</v>
      </c>
      <c r="D91" s="112">
        <f t="shared" ref="D91:J91" si="7">D188</f>
        <v>64</v>
      </c>
      <c r="E91" s="112">
        <f t="shared" si="7"/>
        <v>44</v>
      </c>
      <c r="F91" s="112">
        <f t="shared" si="7"/>
        <v>30</v>
      </c>
      <c r="G91" s="112">
        <f t="shared" si="7"/>
        <v>33</v>
      </c>
      <c r="H91" s="112">
        <f t="shared" si="7"/>
        <v>16</v>
      </c>
      <c r="I91" s="112">
        <f t="shared" si="7"/>
        <v>38</v>
      </c>
      <c r="J91" s="213">
        <f t="shared" si="7"/>
        <v>278</v>
      </c>
    </row>
    <row r="92" spans="2:10" ht="15" customHeight="1">
      <c r="B92" s="114">
        <v>2014</v>
      </c>
      <c r="C92" s="112">
        <f>C189</f>
        <v>77</v>
      </c>
      <c r="D92" s="112">
        <f t="shared" ref="D92:J92" si="8">D189</f>
        <v>55</v>
      </c>
      <c r="E92" s="112">
        <f t="shared" si="8"/>
        <v>64</v>
      </c>
      <c r="F92" s="112">
        <f t="shared" si="8"/>
        <v>47</v>
      </c>
      <c r="G92" s="112">
        <f t="shared" si="8"/>
        <v>33</v>
      </c>
      <c r="H92" s="112">
        <f t="shared" si="8"/>
        <v>32</v>
      </c>
      <c r="I92" s="112">
        <f t="shared" si="8"/>
        <v>17</v>
      </c>
      <c r="J92" s="213">
        <f t="shared" si="8"/>
        <v>325</v>
      </c>
    </row>
    <row r="93" spans="2:10" ht="15" customHeight="1">
      <c r="B93" s="114">
        <v>2015</v>
      </c>
      <c r="C93" s="112">
        <f>C190</f>
        <v>67</v>
      </c>
      <c r="D93" s="112">
        <f t="shared" ref="D93:J93" si="9">D190</f>
        <v>78</v>
      </c>
      <c r="E93" s="112">
        <f t="shared" si="9"/>
        <v>53</v>
      </c>
      <c r="F93" s="112">
        <f t="shared" si="9"/>
        <v>64</v>
      </c>
      <c r="G93" s="112">
        <f t="shared" si="9"/>
        <v>42</v>
      </c>
      <c r="H93" s="112">
        <f t="shared" si="9"/>
        <v>31</v>
      </c>
      <c r="I93" s="112">
        <f t="shared" si="9"/>
        <v>32</v>
      </c>
      <c r="J93" s="213">
        <f t="shared" si="9"/>
        <v>367</v>
      </c>
    </row>
    <row r="94" spans="2:10" ht="15" customHeight="1">
      <c r="B94" s="114">
        <v>2016</v>
      </c>
      <c r="C94" s="112">
        <f>C191</f>
        <v>46</v>
      </c>
      <c r="D94" s="112">
        <f t="shared" ref="D94:J94" si="10">D191</f>
        <v>70</v>
      </c>
      <c r="E94" s="112">
        <f t="shared" si="10"/>
        <v>70</v>
      </c>
      <c r="F94" s="112">
        <f t="shared" si="10"/>
        <v>54</v>
      </c>
      <c r="G94" s="112">
        <f t="shared" si="10"/>
        <v>65</v>
      </c>
      <c r="H94" s="112">
        <f t="shared" si="10"/>
        <v>41</v>
      </c>
      <c r="I94" s="112">
        <f t="shared" si="10"/>
        <v>30</v>
      </c>
      <c r="J94" s="213">
        <f t="shared" si="10"/>
        <v>376</v>
      </c>
    </row>
    <row r="95" spans="2:10" ht="15" customHeight="1">
      <c r="B95" s="114">
        <v>2017</v>
      </c>
      <c r="C95" s="112">
        <f>C192</f>
        <v>55</v>
      </c>
      <c r="D95" s="112">
        <f t="shared" ref="D95:J95" si="11">D192</f>
        <v>42</v>
      </c>
      <c r="E95" s="112">
        <f t="shared" si="11"/>
        <v>62</v>
      </c>
      <c r="F95" s="112">
        <f t="shared" si="11"/>
        <v>66</v>
      </c>
      <c r="G95" s="112">
        <f t="shared" si="11"/>
        <v>51</v>
      </c>
      <c r="H95" s="112">
        <f t="shared" si="11"/>
        <v>65</v>
      </c>
      <c r="I95" s="112">
        <f t="shared" si="11"/>
        <v>40</v>
      </c>
      <c r="J95" s="213">
        <f t="shared" si="11"/>
        <v>381</v>
      </c>
    </row>
    <row r="96" spans="2:10" ht="15" customHeight="1">
      <c r="B96" s="307">
        <v>2018</v>
      </c>
      <c r="C96" s="112">
        <f t="shared" ref="C96:J96" si="12">C193</f>
        <v>56</v>
      </c>
      <c r="D96" s="112">
        <f t="shared" si="12"/>
        <v>52</v>
      </c>
      <c r="E96" s="112">
        <f t="shared" si="12"/>
        <v>40</v>
      </c>
      <c r="F96" s="112">
        <f t="shared" si="12"/>
        <v>59</v>
      </c>
      <c r="G96" s="112">
        <f t="shared" si="12"/>
        <v>65</v>
      </c>
      <c r="H96" s="112">
        <f t="shared" si="12"/>
        <v>50</v>
      </c>
      <c r="I96" s="112">
        <f t="shared" si="12"/>
        <v>62</v>
      </c>
      <c r="J96" s="213">
        <f t="shared" si="12"/>
        <v>384</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-1.2987012987012988E-2</v>
      </c>
      <c r="E98" s="210">
        <f t="shared" ref="E98:I98" si="13">MEDIAN(((D91-E92)/D91),((D92-E93)/D92),((D93-E94)/D93),((D94-E95)/D94),((D95-E96)/D95))</f>
        <v>4.7619047619047616E-2</v>
      </c>
      <c r="F98" s="210">
        <f t="shared" si="13"/>
        <v>0</v>
      </c>
      <c r="G98" s="210">
        <f t="shared" si="13"/>
        <v>1.5151515151515152E-2</v>
      </c>
      <c r="H98" s="210">
        <f t="shared" si="13"/>
        <v>2.3809523809523808E-2</v>
      </c>
      <c r="I98" s="210">
        <f t="shared" si="13"/>
        <v>2.4390243902439025E-2</v>
      </c>
    </row>
    <row r="99" spans="2:10" ht="15" customHeight="1">
      <c r="B99" s="59"/>
      <c r="C99" s="60"/>
      <c r="D99" s="61"/>
      <c r="E99" s="61"/>
      <c r="F99" s="61"/>
      <c r="G99" s="61"/>
      <c r="H99" s="61"/>
      <c r="I99" s="61"/>
      <c r="J99" s="58"/>
    </row>
    <row r="100" spans="2:10" ht="15" customHeight="1">
      <c r="B100" s="15" t="str">
        <f>"Table 4B: "&amp;E3&amp;" Projected Roll by Stage (incorporating Projected P1 and Drop-Off Rates), 2019-2032"</f>
        <v>Table 4B: Leith Primary School Projected Roll by Stage (incorporating Projected P1 and Drop-Off Rates), 2019-2032</v>
      </c>
      <c r="F100" s="14"/>
      <c r="G100" s="14"/>
    </row>
    <row r="101" spans="2:10" ht="15" customHeight="1">
      <c r="F101" s="14"/>
      <c r="G101" s="14"/>
    </row>
    <row r="102" spans="2:10" ht="15" customHeight="1">
      <c r="B102" s="115"/>
      <c r="C102" s="109" t="s">
        <v>1</v>
      </c>
      <c r="D102" s="109" t="s">
        <v>2</v>
      </c>
      <c r="E102" s="109" t="s">
        <v>3</v>
      </c>
      <c r="F102" s="109" t="s">
        <v>4</v>
      </c>
      <c r="G102" s="109" t="s">
        <v>5</v>
      </c>
      <c r="H102" s="109" t="s">
        <v>6</v>
      </c>
      <c r="I102" s="109" t="s">
        <v>7</v>
      </c>
      <c r="J102" s="109" t="s">
        <v>8</v>
      </c>
    </row>
    <row r="103" spans="2:10" ht="15" customHeight="1">
      <c r="B103" s="114">
        <v>2019</v>
      </c>
      <c r="C103" s="113">
        <f t="shared" ref="C103:C116" si="14">J70</f>
        <v>50</v>
      </c>
      <c r="D103" s="324">
        <f>ROUND((C96)-(C96*$D$98),0)</f>
        <v>57</v>
      </c>
      <c r="E103" s="324">
        <f>ROUND((D96)-(D96*$E$98),0)</f>
        <v>50</v>
      </c>
      <c r="F103" s="324">
        <f>ROUND((E96)-(E96*$F$98),0)</f>
        <v>40</v>
      </c>
      <c r="G103" s="324">
        <f>ROUND((F96)-(F96*$G$98),0)</f>
        <v>58</v>
      </c>
      <c r="H103" s="324">
        <f>ROUND((G96)-(G96*$H$98),0)</f>
        <v>63</v>
      </c>
      <c r="I103" s="324">
        <f>ROUND((H96)-(H96*$I$98),0)</f>
        <v>49</v>
      </c>
      <c r="J103" s="111">
        <f t="shared" ref="J103:J116" si="15">SUM(C103:I103)</f>
        <v>367</v>
      </c>
    </row>
    <row r="104" spans="2:10" ht="15" customHeight="1">
      <c r="B104" s="114">
        <v>2020</v>
      </c>
      <c r="C104" s="113">
        <f t="shared" si="14"/>
        <v>47.53875365678644</v>
      </c>
      <c r="D104" s="324">
        <f>ROUND((C103-E50)-(C103*$D$98),0)</f>
        <v>49</v>
      </c>
      <c r="E104" s="112">
        <f t="shared" ref="E104:E116" si="16">ROUND((D103)-(D103*$E$98),0)</f>
        <v>54</v>
      </c>
      <c r="F104" s="112">
        <f t="shared" ref="F104:F116" si="17">ROUND((E103)-(E103*$F$98),0)</f>
        <v>50</v>
      </c>
      <c r="G104" s="112">
        <f t="shared" ref="G104:G116" si="18">ROUND((F103)-(F103*$G$98),0)</f>
        <v>39</v>
      </c>
      <c r="H104" s="112">
        <f t="shared" ref="H104:H116" si="19">ROUND((G103)-(G103*$H$98),0)</f>
        <v>57</v>
      </c>
      <c r="I104" s="112">
        <f t="shared" ref="I104:I116" si="20">ROUND((H103)-(H103*$I$98),0)</f>
        <v>61</v>
      </c>
      <c r="J104" s="111">
        <f t="shared" si="15"/>
        <v>357.53875365678641</v>
      </c>
    </row>
    <row r="105" spans="2:10" ht="15" customHeight="1">
      <c r="B105" s="114">
        <v>2021</v>
      </c>
      <c r="C105" s="113">
        <f t="shared" si="14"/>
        <v>50</v>
      </c>
      <c r="D105" s="324">
        <f>ROUND((C104-F50)-(C104*$D$98),0)</f>
        <v>45</v>
      </c>
      <c r="E105" s="112">
        <f t="shared" si="16"/>
        <v>47</v>
      </c>
      <c r="F105" s="112">
        <f t="shared" si="17"/>
        <v>54</v>
      </c>
      <c r="G105" s="112">
        <f t="shared" si="18"/>
        <v>49</v>
      </c>
      <c r="H105" s="112">
        <f t="shared" si="19"/>
        <v>38</v>
      </c>
      <c r="I105" s="112">
        <f t="shared" si="20"/>
        <v>56</v>
      </c>
      <c r="J105" s="111">
        <f t="shared" si="15"/>
        <v>339</v>
      </c>
    </row>
    <row r="106" spans="2:10" ht="15" customHeight="1">
      <c r="B106" s="114">
        <v>2022</v>
      </c>
      <c r="C106" s="113">
        <f t="shared" si="14"/>
        <v>50</v>
      </c>
      <c r="D106" s="324">
        <f>ROUND((C105-G50)-(C105*$D$98),0)</f>
        <v>46</v>
      </c>
      <c r="E106" s="112">
        <f t="shared" si="16"/>
        <v>43</v>
      </c>
      <c r="F106" s="112">
        <f t="shared" si="17"/>
        <v>47</v>
      </c>
      <c r="G106" s="112">
        <f t="shared" si="18"/>
        <v>53</v>
      </c>
      <c r="H106" s="112">
        <f t="shared" si="19"/>
        <v>48</v>
      </c>
      <c r="I106" s="112">
        <f t="shared" si="20"/>
        <v>37</v>
      </c>
      <c r="J106" s="111">
        <f t="shared" si="15"/>
        <v>324</v>
      </c>
    </row>
    <row r="107" spans="2:10" ht="15" customHeight="1">
      <c r="B107" s="114">
        <v>2023</v>
      </c>
      <c r="C107" s="113">
        <f t="shared" si="14"/>
        <v>50</v>
      </c>
      <c r="D107" s="324">
        <f>ROUND((C106-H50)-(C106*$D$98),0)</f>
        <v>45</v>
      </c>
      <c r="E107" s="112">
        <f t="shared" si="16"/>
        <v>44</v>
      </c>
      <c r="F107" s="112">
        <f t="shared" si="17"/>
        <v>43</v>
      </c>
      <c r="G107" s="112">
        <f t="shared" si="18"/>
        <v>46</v>
      </c>
      <c r="H107" s="112">
        <f t="shared" si="19"/>
        <v>52</v>
      </c>
      <c r="I107" s="112">
        <f t="shared" si="20"/>
        <v>47</v>
      </c>
      <c r="J107" s="111">
        <f t="shared" si="15"/>
        <v>327</v>
      </c>
    </row>
    <row r="108" spans="2:10" ht="15" customHeight="1">
      <c r="B108" s="114">
        <v>2024</v>
      </c>
      <c r="C108" s="113">
        <f t="shared" si="14"/>
        <v>50</v>
      </c>
      <c r="D108" s="324">
        <f>ROUND((C107-I50)-(C107*$D$98),0)</f>
        <v>43</v>
      </c>
      <c r="E108" s="112">
        <f t="shared" si="16"/>
        <v>43</v>
      </c>
      <c r="F108" s="112">
        <f t="shared" si="17"/>
        <v>44</v>
      </c>
      <c r="G108" s="112">
        <f t="shared" si="18"/>
        <v>42</v>
      </c>
      <c r="H108" s="112">
        <f t="shared" si="19"/>
        <v>45</v>
      </c>
      <c r="I108" s="112">
        <f t="shared" si="20"/>
        <v>51</v>
      </c>
      <c r="J108" s="111">
        <f t="shared" si="15"/>
        <v>318</v>
      </c>
    </row>
    <row r="109" spans="2:10" ht="15" customHeight="1">
      <c r="B109" s="114">
        <v>2025</v>
      </c>
      <c r="C109" s="113">
        <f t="shared" si="14"/>
        <v>50</v>
      </c>
      <c r="D109" s="324">
        <f>ROUND((C108-J50)-(C108*$D$98),0)</f>
        <v>40</v>
      </c>
      <c r="E109" s="112">
        <f t="shared" si="16"/>
        <v>41</v>
      </c>
      <c r="F109" s="112">
        <f t="shared" si="17"/>
        <v>43</v>
      </c>
      <c r="G109" s="112">
        <f t="shared" si="18"/>
        <v>43</v>
      </c>
      <c r="H109" s="112">
        <f t="shared" si="19"/>
        <v>41</v>
      </c>
      <c r="I109" s="112">
        <f t="shared" si="20"/>
        <v>44</v>
      </c>
      <c r="J109" s="111">
        <f t="shared" si="15"/>
        <v>302</v>
      </c>
    </row>
    <row r="110" spans="2:10" ht="15" customHeight="1">
      <c r="B110" s="114">
        <v>2026</v>
      </c>
      <c r="C110" s="113">
        <f t="shared" si="14"/>
        <v>59.238018159739468</v>
      </c>
      <c r="D110" s="324">
        <f>ROUND((C109-K50)-(C109*$D$98),0)</f>
        <v>38</v>
      </c>
      <c r="E110" s="112">
        <f t="shared" si="16"/>
        <v>38</v>
      </c>
      <c r="F110" s="112">
        <f t="shared" si="17"/>
        <v>41</v>
      </c>
      <c r="G110" s="112">
        <f t="shared" si="18"/>
        <v>42</v>
      </c>
      <c r="H110" s="112">
        <f t="shared" si="19"/>
        <v>42</v>
      </c>
      <c r="I110" s="112">
        <f t="shared" si="20"/>
        <v>40</v>
      </c>
      <c r="J110" s="111">
        <f t="shared" si="15"/>
        <v>300.23801815973945</v>
      </c>
    </row>
    <row r="111" spans="2:10" ht="15" customHeight="1">
      <c r="B111" s="114">
        <v>2027</v>
      </c>
      <c r="C111" s="113">
        <f t="shared" si="14"/>
        <v>60</v>
      </c>
      <c r="D111" s="324">
        <f>ROUND((C110-L50)-(C110*$D$98),0)</f>
        <v>44</v>
      </c>
      <c r="E111" s="112">
        <f t="shared" si="16"/>
        <v>36</v>
      </c>
      <c r="F111" s="112">
        <f t="shared" si="17"/>
        <v>38</v>
      </c>
      <c r="G111" s="112">
        <f t="shared" si="18"/>
        <v>40</v>
      </c>
      <c r="H111" s="112">
        <f t="shared" si="19"/>
        <v>41</v>
      </c>
      <c r="I111" s="112">
        <f t="shared" si="20"/>
        <v>41</v>
      </c>
      <c r="J111" s="111">
        <f t="shared" si="15"/>
        <v>300</v>
      </c>
    </row>
    <row r="112" spans="2:10" ht="15" customHeight="1">
      <c r="B112" s="114">
        <v>2028</v>
      </c>
      <c r="C112" s="113">
        <f t="shared" si="14"/>
        <v>60</v>
      </c>
      <c r="D112" s="324">
        <f>ROUND((C111-M50)-(C111*$D$98),0)</f>
        <v>43</v>
      </c>
      <c r="E112" s="112">
        <f t="shared" si="16"/>
        <v>42</v>
      </c>
      <c r="F112" s="112">
        <f t="shared" si="17"/>
        <v>36</v>
      </c>
      <c r="G112" s="112">
        <f t="shared" si="18"/>
        <v>37</v>
      </c>
      <c r="H112" s="112">
        <f t="shared" si="19"/>
        <v>39</v>
      </c>
      <c r="I112" s="112">
        <f t="shared" si="20"/>
        <v>40</v>
      </c>
      <c r="J112" s="111">
        <f t="shared" si="15"/>
        <v>297</v>
      </c>
    </row>
    <row r="113" spans="2:10" ht="15" customHeight="1">
      <c r="B113" s="114">
        <v>2029</v>
      </c>
      <c r="C113" s="113">
        <f t="shared" si="14"/>
        <v>60</v>
      </c>
      <c r="D113" s="324">
        <f>ROUND((C112-N50)-(C112*$D$98),0)</f>
        <v>41</v>
      </c>
      <c r="E113" s="112">
        <f t="shared" si="16"/>
        <v>41</v>
      </c>
      <c r="F113" s="112">
        <f t="shared" si="17"/>
        <v>42</v>
      </c>
      <c r="G113" s="112">
        <f t="shared" si="18"/>
        <v>35</v>
      </c>
      <c r="H113" s="112">
        <f t="shared" si="19"/>
        <v>36</v>
      </c>
      <c r="I113" s="112">
        <f t="shared" si="20"/>
        <v>38</v>
      </c>
      <c r="J113" s="111">
        <f t="shared" si="15"/>
        <v>293</v>
      </c>
    </row>
    <row r="114" spans="2:10" ht="15" customHeight="1">
      <c r="B114" s="114">
        <v>2030</v>
      </c>
      <c r="C114" s="113">
        <f t="shared" si="14"/>
        <v>60</v>
      </c>
      <c r="D114" s="324">
        <f>ROUND((C113-O50)-(C113*$D$98),0)</f>
        <v>40</v>
      </c>
      <c r="E114" s="112">
        <f t="shared" si="16"/>
        <v>39</v>
      </c>
      <c r="F114" s="112">
        <f t="shared" si="17"/>
        <v>41</v>
      </c>
      <c r="G114" s="112">
        <f t="shared" si="18"/>
        <v>41</v>
      </c>
      <c r="H114" s="112">
        <f t="shared" si="19"/>
        <v>34</v>
      </c>
      <c r="I114" s="112">
        <f t="shared" si="20"/>
        <v>35</v>
      </c>
      <c r="J114" s="111">
        <f t="shared" si="15"/>
        <v>290</v>
      </c>
    </row>
    <row r="115" spans="2:10" ht="15" customHeight="1">
      <c r="B115" s="114">
        <v>2031</v>
      </c>
      <c r="C115" s="113">
        <f t="shared" si="14"/>
        <v>60</v>
      </c>
      <c r="D115" s="324">
        <f>ROUND((C114-P50)-(C114*$D$98),0)</f>
        <v>38</v>
      </c>
      <c r="E115" s="112">
        <f t="shared" si="16"/>
        <v>38</v>
      </c>
      <c r="F115" s="112">
        <f t="shared" si="17"/>
        <v>39</v>
      </c>
      <c r="G115" s="112">
        <f t="shared" si="18"/>
        <v>40</v>
      </c>
      <c r="H115" s="112">
        <f t="shared" si="19"/>
        <v>40</v>
      </c>
      <c r="I115" s="112">
        <f t="shared" si="20"/>
        <v>33</v>
      </c>
      <c r="J115" s="111">
        <f t="shared" si="15"/>
        <v>288</v>
      </c>
    </row>
    <row r="116" spans="2:10" ht="15" customHeight="1">
      <c r="B116" s="114">
        <v>2032</v>
      </c>
      <c r="C116" s="113">
        <f t="shared" si="14"/>
        <v>60</v>
      </c>
      <c r="D116" s="324">
        <f>ROUND((C115-Q50)-(C115*$D$98),0)</f>
        <v>36</v>
      </c>
      <c r="E116" s="112">
        <f t="shared" si="16"/>
        <v>36</v>
      </c>
      <c r="F116" s="112">
        <f t="shared" si="17"/>
        <v>38</v>
      </c>
      <c r="G116" s="112">
        <f t="shared" si="18"/>
        <v>38</v>
      </c>
      <c r="H116" s="112">
        <f t="shared" si="19"/>
        <v>39</v>
      </c>
      <c r="I116" s="112">
        <f t="shared" si="20"/>
        <v>39</v>
      </c>
      <c r="J116" s="111">
        <f t="shared" si="15"/>
        <v>286</v>
      </c>
    </row>
    <row r="117" spans="2:10" ht="15" customHeight="1">
      <c r="F117" s="14"/>
      <c r="G117" s="14"/>
    </row>
    <row r="118" spans="2:10" ht="15" customHeight="1">
      <c r="B118" s="15" t="str">
        <f>"Table 4C: "&amp;E3&amp;" Projected Pupil Generation from Housing Development, 2019-2032"</f>
        <v>Table 4C: Leith Primary School Projected Pupil Generation from Housing Development, 2019-2032</v>
      </c>
      <c r="F118" s="14"/>
      <c r="G118" s="14"/>
    </row>
    <row r="119" spans="2:10" ht="15" customHeight="1">
      <c r="F119" s="14"/>
      <c r="G119" s="14"/>
    </row>
    <row r="120" spans="2:10" ht="15" customHeight="1">
      <c r="B120" s="115"/>
      <c r="C120" s="109" t="s">
        <v>1</v>
      </c>
      <c r="D120" s="109" t="s">
        <v>2</v>
      </c>
      <c r="E120" s="109" t="s">
        <v>3</v>
      </c>
      <c r="F120" s="109" t="s">
        <v>4</v>
      </c>
      <c r="G120" s="109" t="s">
        <v>5</v>
      </c>
      <c r="H120" s="109" t="s">
        <v>6</v>
      </c>
      <c r="I120" s="109" t="s">
        <v>7</v>
      </c>
      <c r="J120" s="109" t="s">
        <v>8</v>
      </c>
    </row>
    <row r="121" spans="2:10" ht="15" customHeight="1">
      <c r="B121" s="114">
        <v>2019</v>
      </c>
      <c r="C121" s="116" t="s">
        <v>97</v>
      </c>
      <c r="D121" s="112">
        <f>VLOOKUP($E$3,'Housing Generation'!$A$3:$BE$90,11,FALSE)</f>
        <v>1</v>
      </c>
      <c r="E121" s="112">
        <f>VLOOKUP($E$3,'Housing Generation'!$A$3:$BE$90,12,FALSE)</f>
        <v>1</v>
      </c>
      <c r="F121" s="112">
        <f>VLOOKUP($E$3,'Housing Generation'!$A$3:$BE$90,13,FALSE)</f>
        <v>1</v>
      </c>
      <c r="G121" s="112">
        <f>VLOOKUP($E$3,'Housing Generation'!$A$3:$BE$90,14,FALSE)</f>
        <v>0</v>
      </c>
      <c r="H121" s="112">
        <f>VLOOKUP($E$3,'Housing Generation'!$A$3:$BE$90,15,FALSE)</f>
        <v>0</v>
      </c>
      <c r="I121" s="112">
        <f>VLOOKUP($E$3,'Housing Generation'!$A$3:$BE$90,16,FALSE)</f>
        <v>0</v>
      </c>
      <c r="J121" s="111">
        <f t="shared" ref="J121:J134" si="21">SUM(D121:I121)</f>
        <v>3</v>
      </c>
    </row>
    <row r="122" spans="2:10" ht="15" customHeight="1">
      <c r="B122" s="114">
        <v>2020</v>
      </c>
      <c r="C122" s="116" t="s">
        <v>97</v>
      </c>
      <c r="D122" s="112">
        <f>VLOOKUP($E$3,'Housing Generation'!$A$3:$BE$90,19,FALSE)</f>
        <v>2</v>
      </c>
      <c r="E122" s="112">
        <f>VLOOKUP($E$3,'Housing Generation'!$A$3:$BE$90,20,FALSE)</f>
        <v>2</v>
      </c>
      <c r="F122" s="112">
        <f>VLOOKUP($E$3,'Housing Generation'!$A$3:$BE$90,21,FALSE)</f>
        <v>1</v>
      </c>
      <c r="G122" s="112">
        <f>VLOOKUP($E$3,'Housing Generation'!$A$3:$BE$90,22,FALSE)</f>
        <v>1</v>
      </c>
      <c r="H122" s="112">
        <f>VLOOKUP($E$3,'Housing Generation'!$A$3:$BE$90,23,FALSE)</f>
        <v>1</v>
      </c>
      <c r="I122" s="112">
        <f>VLOOKUP($E$3,'Housing Generation'!$A$3:$BE$90,24,FALSE)</f>
        <v>1</v>
      </c>
      <c r="J122" s="111">
        <f t="shared" si="21"/>
        <v>8</v>
      </c>
    </row>
    <row r="123" spans="2:10" ht="15" customHeight="1">
      <c r="B123" s="114">
        <v>2021</v>
      </c>
      <c r="C123" s="116" t="s">
        <v>97</v>
      </c>
      <c r="D123" s="112">
        <f>VLOOKUP($E$3,'Housing Generation'!$A$3:$BE$90,27,FALSE)</f>
        <v>3</v>
      </c>
      <c r="E123" s="112">
        <f>VLOOKUP($E$3,'Housing Generation'!$A$3:$BE$90,28,FALSE)</f>
        <v>3</v>
      </c>
      <c r="F123" s="112">
        <f>VLOOKUP($E$3,'Housing Generation'!$A$3:$BE$90,29,FALSE)</f>
        <v>3</v>
      </c>
      <c r="G123" s="112">
        <f>VLOOKUP($E$3,'Housing Generation'!$A$3:$BE$90,30,FALSE)</f>
        <v>3</v>
      </c>
      <c r="H123" s="112">
        <f>VLOOKUP($E$3,'Housing Generation'!$A$3:$BE$90,31,FALSE)</f>
        <v>3</v>
      </c>
      <c r="I123" s="112">
        <f>VLOOKUP($E$3,'Housing Generation'!$A$3:$BE$90,32,FALSE)</f>
        <v>3</v>
      </c>
      <c r="J123" s="111">
        <f t="shared" si="21"/>
        <v>18</v>
      </c>
    </row>
    <row r="124" spans="2:10" ht="15" customHeight="1">
      <c r="B124" s="114">
        <v>2022</v>
      </c>
      <c r="C124" s="116" t="s">
        <v>97</v>
      </c>
      <c r="D124" s="112">
        <f>VLOOKUP($E$3,'Housing Generation'!$A$3:$BE$90,35,FALSE)</f>
        <v>4</v>
      </c>
      <c r="E124" s="112">
        <f>VLOOKUP($E$3,'Housing Generation'!$A$3:$BE$90,36,FALSE)</f>
        <v>4</v>
      </c>
      <c r="F124" s="112">
        <f>VLOOKUP($E$3,'Housing Generation'!$A$3:$BE$90,37,FALSE)</f>
        <v>4</v>
      </c>
      <c r="G124" s="112">
        <f>VLOOKUP($E$3,'Housing Generation'!$A$3:$BE$90,38,FALSE)</f>
        <v>4</v>
      </c>
      <c r="H124" s="112">
        <f>VLOOKUP($E$3,'Housing Generation'!$A$3:$BE$90,39,FALSE)</f>
        <v>4</v>
      </c>
      <c r="I124" s="112">
        <f>VLOOKUP($E$3,'Housing Generation'!$A$3:$BE$90,40,FALSE)</f>
        <v>4</v>
      </c>
      <c r="J124" s="111">
        <f t="shared" si="21"/>
        <v>24</v>
      </c>
    </row>
    <row r="125" spans="2:10" ht="15" customHeight="1">
      <c r="B125" s="114">
        <v>2023</v>
      </c>
      <c r="C125" s="116" t="s">
        <v>97</v>
      </c>
      <c r="D125" s="112">
        <f>VLOOKUP($E$3,'Housing Generation'!$A$3:$BE$90,43,FALSE)</f>
        <v>6</v>
      </c>
      <c r="E125" s="112">
        <f>VLOOKUP($E$3,'Housing Generation'!$A$3:$BE$90,44,FALSE)</f>
        <v>6</v>
      </c>
      <c r="F125" s="112">
        <f>VLOOKUP($E$3,'Housing Generation'!$A$3:$BE$90,45,FALSE)</f>
        <v>5</v>
      </c>
      <c r="G125" s="112">
        <f>VLOOKUP($E$3,'Housing Generation'!$A$3:$BE$90,46,FALSE)</f>
        <v>5</v>
      </c>
      <c r="H125" s="112">
        <f>VLOOKUP($E$3,'Housing Generation'!$A$3:$BE$90,47,FALSE)</f>
        <v>5</v>
      </c>
      <c r="I125" s="112">
        <f>VLOOKUP($E$3,'Housing Generation'!$A$3:$BE$90,48,FALSE)</f>
        <v>5</v>
      </c>
      <c r="J125" s="111">
        <f t="shared" si="21"/>
        <v>32</v>
      </c>
    </row>
    <row r="126" spans="2:10" ht="15" customHeight="1">
      <c r="B126" s="114">
        <v>2024</v>
      </c>
      <c r="C126" s="116" t="s">
        <v>97</v>
      </c>
      <c r="D126" s="112">
        <f>VLOOKUP($E$3,'Housing Generation'!$A$3:$BE$90,51,FALSE)</f>
        <v>8</v>
      </c>
      <c r="E126" s="112">
        <f>VLOOKUP($E$3,'Housing Generation'!$A$3:$BE$90,52,FALSE)</f>
        <v>8</v>
      </c>
      <c r="F126" s="112">
        <f>VLOOKUP($E$3,'Housing Generation'!$A$3:$BE$90,53,FALSE)</f>
        <v>8</v>
      </c>
      <c r="G126" s="112">
        <f>VLOOKUP($E$3,'Housing Generation'!$A$3:$BE$90,54,FALSE)</f>
        <v>8</v>
      </c>
      <c r="H126" s="112">
        <f>VLOOKUP($E$3,'Housing Generation'!$A$3:$BE$90,55,FALSE)</f>
        <v>8</v>
      </c>
      <c r="I126" s="112">
        <f>VLOOKUP($E$3,'Housing Generation'!$A$3:$BE$90,56,FALSE)</f>
        <v>7</v>
      </c>
      <c r="J126" s="111">
        <f t="shared" si="21"/>
        <v>47</v>
      </c>
    </row>
    <row r="127" spans="2:10" ht="15" customHeight="1">
      <c r="B127" s="114">
        <v>2025</v>
      </c>
      <c r="C127" s="240" t="s">
        <v>97</v>
      </c>
      <c r="D127" s="112">
        <f>VLOOKUP($E$3,'Housing Generation'!$A$3:$CK$90,59,FALSE)</f>
        <v>11</v>
      </c>
      <c r="E127" s="112">
        <f>VLOOKUP($E$3,'Housing Generation'!$A$3:$CK$90,60,FALSE)</f>
        <v>10</v>
      </c>
      <c r="F127" s="112">
        <f>VLOOKUP($E$3,'Housing Generation'!$A$3:$CK$90,61,FALSE)</f>
        <v>10</v>
      </c>
      <c r="G127" s="112">
        <f>VLOOKUP($E$3,'Housing Generation'!$A$3:$CK$90,62,FALSE)</f>
        <v>10</v>
      </c>
      <c r="H127" s="112">
        <f>VLOOKUP($E$3,'Housing Generation'!$A$3:$CK$90,63,FALSE)</f>
        <v>10</v>
      </c>
      <c r="I127" s="112">
        <f>VLOOKUP($E$3,'Housing Generation'!$A$3:$CK$90,64,FALSE)</f>
        <v>10</v>
      </c>
      <c r="J127" s="111">
        <f t="shared" si="21"/>
        <v>61</v>
      </c>
    </row>
    <row r="128" spans="2:10" ht="15" customHeight="1">
      <c r="B128" s="114">
        <v>2026</v>
      </c>
      <c r="C128" s="240" t="s">
        <v>97</v>
      </c>
      <c r="D128" s="112">
        <f>VLOOKUP($E$3,'Housing Generation'!$A$3:$CK$90,67,FALSE)</f>
        <v>13</v>
      </c>
      <c r="E128" s="112">
        <f>VLOOKUP($E$3,'Housing Generation'!$A$3:$CK$90,68,FALSE)</f>
        <v>13</v>
      </c>
      <c r="F128" s="112">
        <f>VLOOKUP($E$3,'Housing Generation'!$A$3:$CK$90,69,FALSE)</f>
        <v>13</v>
      </c>
      <c r="G128" s="112">
        <f>VLOOKUP($E$3,'Housing Generation'!$A$3:$CK$90,70,FALSE)</f>
        <v>13</v>
      </c>
      <c r="H128" s="112">
        <f>VLOOKUP($E$3,'Housing Generation'!$A$3:$CK$90,71,FALSE)</f>
        <v>12</v>
      </c>
      <c r="I128" s="112">
        <f>VLOOKUP($E$3,'Housing Generation'!$A$3:$CK$90,72,FALSE)</f>
        <v>12</v>
      </c>
      <c r="J128" s="111">
        <f t="shared" si="21"/>
        <v>76</v>
      </c>
    </row>
    <row r="129" spans="2:10" ht="15" customHeight="1">
      <c r="B129" s="114">
        <v>2027</v>
      </c>
      <c r="C129" s="240" t="s">
        <v>97</v>
      </c>
      <c r="D129" s="112">
        <f>VLOOKUP($E$3,'Housing Generation'!$A$3:$CK$90,75,FALSE)</f>
        <v>16</v>
      </c>
      <c r="E129" s="112">
        <f>VLOOKUP($E$3,'Housing Generation'!$A$3:$CK$90,76,FALSE)</f>
        <v>15</v>
      </c>
      <c r="F129" s="112">
        <f>VLOOKUP($E$3,'Housing Generation'!$A$3:$CK$90,77,FALSE)</f>
        <v>15</v>
      </c>
      <c r="G129" s="112">
        <f>VLOOKUP($E$3,'Housing Generation'!$A$3:$CK$90,78,FALSE)</f>
        <v>15</v>
      </c>
      <c r="H129" s="112">
        <f>VLOOKUP($E$3,'Housing Generation'!$A$3:$CK$90,79,FALSE)</f>
        <v>15</v>
      </c>
      <c r="I129" s="112">
        <f>VLOOKUP($E$3,'Housing Generation'!$A$3:$CK$90,80,FALSE)</f>
        <v>15</v>
      </c>
      <c r="J129" s="111">
        <f t="shared" si="21"/>
        <v>91</v>
      </c>
    </row>
    <row r="130" spans="2:10" ht="15" customHeight="1">
      <c r="B130" s="114">
        <v>2028</v>
      </c>
      <c r="C130" s="289" t="s">
        <v>97</v>
      </c>
      <c r="D130" s="112">
        <f>VLOOKUP($E$3,'Housing Generation'!$A$3:$CK$90,83,FALSE)</f>
        <v>18</v>
      </c>
      <c r="E130" s="112">
        <f>VLOOKUP($E$3,'Housing Generation'!$A$3:$CK$90,84,FALSE)</f>
        <v>18</v>
      </c>
      <c r="F130" s="112">
        <f>VLOOKUP($E$3,'Housing Generation'!$A$3:$CK$90,85,FALSE)</f>
        <v>17</v>
      </c>
      <c r="G130" s="112">
        <f>VLOOKUP($E$3,'Housing Generation'!$A$3:$CK$90,86,FALSE)</f>
        <v>17</v>
      </c>
      <c r="H130" s="112">
        <f>VLOOKUP($E$3,'Housing Generation'!$A$3:$CK$90,87,FALSE)</f>
        <v>17</v>
      </c>
      <c r="I130" s="112">
        <f>VLOOKUP($E$3,'Housing Generation'!$A$3:$CK$90,88,FALSE)</f>
        <v>17</v>
      </c>
      <c r="J130" s="111">
        <f t="shared" si="21"/>
        <v>104</v>
      </c>
    </row>
    <row r="131" spans="2:10" ht="15" customHeight="1">
      <c r="B131" s="114">
        <v>2029</v>
      </c>
      <c r="C131" s="289" t="s">
        <v>97</v>
      </c>
      <c r="D131" s="112">
        <f>VLOOKUP($E$3,'Housing Generation'!$A$3:$DQ$90,91,FALSE)</f>
        <v>19</v>
      </c>
      <c r="E131" s="112">
        <f>VLOOKUP($E$3,'Housing Generation'!$A$3:$DQ$90,92,FALSE)</f>
        <v>19</v>
      </c>
      <c r="F131" s="112">
        <f>VLOOKUP($E$3,'Housing Generation'!$A$3:$DQ$90,93,FALSE)</f>
        <v>19</v>
      </c>
      <c r="G131" s="112">
        <f>VLOOKUP($E$3,'Housing Generation'!$A$3:$DQ$90,94,FALSE)</f>
        <v>19</v>
      </c>
      <c r="H131" s="112">
        <f>VLOOKUP($E$3,'Housing Generation'!$A$3:$DQ$90,95,FALSE)</f>
        <v>19</v>
      </c>
      <c r="I131" s="112">
        <f>VLOOKUP($E$3,'Housing Generation'!$A$3:$DQ$90,96,FALSE)</f>
        <v>19</v>
      </c>
      <c r="J131" s="111">
        <f t="shared" si="21"/>
        <v>114</v>
      </c>
    </row>
    <row r="132" spans="2:10" ht="15" customHeight="1">
      <c r="B132" s="114">
        <v>2030</v>
      </c>
      <c r="C132" s="289" t="s">
        <v>97</v>
      </c>
      <c r="D132" s="112">
        <f>VLOOKUP($E$3,'Housing Generation'!$A$3:$DQ$90,99,FALSE)</f>
        <v>21</v>
      </c>
      <c r="E132" s="112">
        <f>VLOOKUP($E$3,'Housing Generation'!$A$3:$DQ$90,100,FALSE)</f>
        <v>21</v>
      </c>
      <c r="F132" s="112">
        <f>VLOOKUP($E$3,'Housing Generation'!$A$3:$DQ$90,101,FALSE)</f>
        <v>21</v>
      </c>
      <c r="G132" s="112">
        <f>VLOOKUP($E$3,'Housing Generation'!$A$3:$DQ$90,102,FALSE)</f>
        <v>21</v>
      </c>
      <c r="H132" s="112">
        <f>VLOOKUP($E$3,'Housing Generation'!$A$3:$DQ$90,103,FALSE)</f>
        <v>21</v>
      </c>
      <c r="I132" s="112">
        <f>VLOOKUP($E$3,'Housing Generation'!$A$3:$DQ$90,104,FALSE)</f>
        <v>20</v>
      </c>
      <c r="J132" s="111">
        <f t="shared" si="21"/>
        <v>125</v>
      </c>
    </row>
    <row r="133" spans="2:10" ht="15" customHeight="1">
      <c r="B133" s="114">
        <v>2031</v>
      </c>
      <c r="C133" s="289" t="s">
        <v>97</v>
      </c>
      <c r="D133" s="112">
        <f>VLOOKUP($E$3,'Housing Generation'!$A$3:$DQ$90,107,FALSE)</f>
        <v>23</v>
      </c>
      <c r="E133" s="112">
        <f>VLOOKUP($E$3,'Housing Generation'!$A$3:$DQ$90,108,FALSE)</f>
        <v>23</v>
      </c>
      <c r="F133" s="112">
        <f>VLOOKUP($E$3,'Housing Generation'!$A$3:$DQ$90,109,FALSE)</f>
        <v>23</v>
      </c>
      <c r="G133" s="112">
        <f>VLOOKUP($E$3,'Housing Generation'!$A$3:$DQ$90,110,FALSE)</f>
        <v>22</v>
      </c>
      <c r="H133" s="112">
        <f>VLOOKUP($E$3,'Housing Generation'!$A$3:$DQ$90,111,FALSE)</f>
        <v>22</v>
      </c>
      <c r="I133" s="112">
        <f>VLOOKUP($E$3,'Housing Generation'!$A$3:$DQ$90,112,FALSE)</f>
        <v>22</v>
      </c>
      <c r="J133" s="111">
        <f t="shared" si="21"/>
        <v>135</v>
      </c>
    </row>
    <row r="134" spans="2:10" ht="15" customHeight="1">
      <c r="B134" s="114">
        <v>2032</v>
      </c>
      <c r="C134" s="289" t="s">
        <v>97</v>
      </c>
      <c r="D134" s="112">
        <f>VLOOKUP($E$3,'Housing Generation'!$A$3:$DQ$90,115,FALSE)</f>
        <v>25</v>
      </c>
      <c r="E134" s="112">
        <f>VLOOKUP($E$3,'Housing Generation'!$A$3:$DQ$90,116,FALSE)</f>
        <v>24</v>
      </c>
      <c r="F134" s="112">
        <f>VLOOKUP($E$3,'Housing Generation'!$A$3:$DQ$90,117,FALSE)</f>
        <v>24</v>
      </c>
      <c r="G134" s="112">
        <f>VLOOKUP($E$3,'Housing Generation'!$A$3:$DQ$90,118,FALSE)</f>
        <v>24</v>
      </c>
      <c r="H134" s="112">
        <f>VLOOKUP($E$3,'Housing Generation'!$A$3:$DQ$90,119,FALSE)</f>
        <v>24</v>
      </c>
      <c r="I134" s="112">
        <f>VLOOKUP($E$3,'Housing Generation'!$A$3:$DQ$90,120,FALSE)</f>
        <v>24</v>
      </c>
      <c r="J134" s="111">
        <f t="shared" si="21"/>
        <v>145</v>
      </c>
    </row>
    <row r="135" spans="2:10" ht="15"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Leith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50</v>
      </c>
      <c r="D139" s="112">
        <f t="shared" ref="D139:I152" si="23">D121+D103</f>
        <v>58</v>
      </c>
      <c r="E139" s="112">
        <f t="shared" si="23"/>
        <v>51</v>
      </c>
      <c r="F139" s="112">
        <f t="shared" si="23"/>
        <v>41</v>
      </c>
      <c r="G139" s="112">
        <f t="shared" si="23"/>
        <v>58</v>
      </c>
      <c r="H139" s="112">
        <f t="shared" si="23"/>
        <v>63</v>
      </c>
      <c r="I139" s="112">
        <f t="shared" si="23"/>
        <v>49</v>
      </c>
      <c r="J139" s="111">
        <f t="shared" ref="J139:J147" si="24">SUM(C139:I139)</f>
        <v>370</v>
      </c>
    </row>
    <row r="140" spans="2:10" ht="15" customHeight="1">
      <c r="B140" s="114">
        <v>2020</v>
      </c>
      <c r="C140" s="113">
        <f t="shared" si="22"/>
        <v>47.53875365678644</v>
      </c>
      <c r="D140" s="112">
        <f t="shared" si="23"/>
        <v>51</v>
      </c>
      <c r="E140" s="112">
        <f t="shared" si="23"/>
        <v>56</v>
      </c>
      <c r="F140" s="112">
        <f t="shared" si="23"/>
        <v>51</v>
      </c>
      <c r="G140" s="112">
        <f t="shared" si="23"/>
        <v>40</v>
      </c>
      <c r="H140" s="112">
        <f t="shared" si="23"/>
        <v>58</v>
      </c>
      <c r="I140" s="112">
        <f t="shared" si="23"/>
        <v>62</v>
      </c>
      <c r="J140" s="111">
        <f t="shared" si="24"/>
        <v>365.53875365678641</v>
      </c>
    </row>
    <row r="141" spans="2:10" ht="15" customHeight="1">
      <c r="B141" s="114">
        <v>2021</v>
      </c>
      <c r="C141" s="113">
        <f t="shared" si="22"/>
        <v>50</v>
      </c>
      <c r="D141" s="112">
        <f t="shared" si="23"/>
        <v>48</v>
      </c>
      <c r="E141" s="112">
        <f t="shared" si="23"/>
        <v>50</v>
      </c>
      <c r="F141" s="112">
        <f t="shared" si="23"/>
        <v>57</v>
      </c>
      <c r="G141" s="112">
        <f t="shared" si="23"/>
        <v>52</v>
      </c>
      <c r="H141" s="112">
        <f t="shared" si="23"/>
        <v>41</v>
      </c>
      <c r="I141" s="112">
        <f t="shared" si="23"/>
        <v>59</v>
      </c>
      <c r="J141" s="111">
        <f t="shared" si="24"/>
        <v>357</v>
      </c>
    </row>
    <row r="142" spans="2:10" ht="15" customHeight="1">
      <c r="B142" s="114">
        <v>2022</v>
      </c>
      <c r="C142" s="113">
        <f t="shared" si="22"/>
        <v>50</v>
      </c>
      <c r="D142" s="112">
        <f t="shared" si="23"/>
        <v>50</v>
      </c>
      <c r="E142" s="112">
        <f t="shared" si="23"/>
        <v>47</v>
      </c>
      <c r="F142" s="112">
        <f t="shared" si="23"/>
        <v>51</v>
      </c>
      <c r="G142" s="112">
        <f t="shared" si="23"/>
        <v>57</v>
      </c>
      <c r="H142" s="112">
        <f t="shared" si="23"/>
        <v>52</v>
      </c>
      <c r="I142" s="112">
        <f t="shared" si="23"/>
        <v>41</v>
      </c>
      <c r="J142" s="111">
        <f t="shared" si="24"/>
        <v>348</v>
      </c>
    </row>
    <row r="143" spans="2:10" ht="15" customHeight="1">
      <c r="B143" s="114">
        <v>2023</v>
      </c>
      <c r="C143" s="113">
        <f t="shared" si="22"/>
        <v>50</v>
      </c>
      <c r="D143" s="112">
        <f t="shared" si="23"/>
        <v>51</v>
      </c>
      <c r="E143" s="112">
        <f t="shared" si="23"/>
        <v>50</v>
      </c>
      <c r="F143" s="112">
        <f t="shared" si="23"/>
        <v>48</v>
      </c>
      <c r="G143" s="112">
        <f t="shared" si="23"/>
        <v>51</v>
      </c>
      <c r="H143" s="112">
        <f t="shared" si="23"/>
        <v>57</v>
      </c>
      <c r="I143" s="112">
        <f t="shared" si="23"/>
        <v>52</v>
      </c>
      <c r="J143" s="111">
        <f t="shared" si="24"/>
        <v>359</v>
      </c>
    </row>
    <row r="144" spans="2:10" ht="15" customHeight="1">
      <c r="B144" s="114">
        <v>2024</v>
      </c>
      <c r="C144" s="113">
        <f t="shared" si="22"/>
        <v>50</v>
      </c>
      <c r="D144" s="112">
        <f t="shared" si="23"/>
        <v>51</v>
      </c>
      <c r="E144" s="112">
        <f t="shared" si="23"/>
        <v>51</v>
      </c>
      <c r="F144" s="112">
        <f t="shared" si="23"/>
        <v>52</v>
      </c>
      <c r="G144" s="112">
        <f t="shared" si="23"/>
        <v>50</v>
      </c>
      <c r="H144" s="112">
        <f t="shared" si="23"/>
        <v>53</v>
      </c>
      <c r="I144" s="112">
        <f t="shared" si="23"/>
        <v>58</v>
      </c>
      <c r="J144" s="111">
        <f t="shared" si="24"/>
        <v>365</v>
      </c>
    </row>
    <row r="145" spans="2:16" ht="15" customHeight="1">
      <c r="B145" s="114">
        <v>2025</v>
      </c>
      <c r="C145" s="113">
        <f t="shared" si="22"/>
        <v>50</v>
      </c>
      <c r="D145" s="112">
        <f t="shared" si="23"/>
        <v>51</v>
      </c>
      <c r="E145" s="112">
        <f t="shared" si="23"/>
        <v>51</v>
      </c>
      <c r="F145" s="112">
        <f t="shared" si="23"/>
        <v>53</v>
      </c>
      <c r="G145" s="112">
        <f t="shared" si="23"/>
        <v>53</v>
      </c>
      <c r="H145" s="112">
        <f t="shared" si="23"/>
        <v>51</v>
      </c>
      <c r="I145" s="112">
        <f t="shared" si="23"/>
        <v>54</v>
      </c>
      <c r="J145" s="111">
        <f t="shared" si="24"/>
        <v>363</v>
      </c>
    </row>
    <row r="146" spans="2:16" ht="15" customHeight="1">
      <c r="B146" s="114">
        <v>2026</v>
      </c>
      <c r="C146" s="113">
        <f t="shared" si="22"/>
        <v>59.238018159739468</v>
      </c>
      <c r="D146" s="112">
        <f t="shared" si="23"/>
        <v>51</v>
      </c>
      <c r="E146" s="112">
        <f t="shared" si="23"/>
        <v>51</v>
      </c>
      <c r="F146" s="112">
        <f t="shared" si="23"/>
        <v>54</v>
      </c>
      <c r="G146" s="112">
        <f t="shared" si="23"/>
        <v>55</v>
      </c>
      <c r="H146" s="112">
        <f t="shared" si="23"/>
        <v>54</v>
      </c>
      <c r="I146" s="112">
        <f t="shared" si="23"/>
        <v>52</v>
      </c>
      <c r="J146" s="111">
        <f t="shared" si="24"/>
        <v>376.23801815973945</v>
      </c>
    </row>
    <row r="147" spans="2:16" ht="15" customHeight="1">
      <c r="B147" s="114">
        <v>2027</v>
      </c>
      <c r="C147" s="113">
        <f t="shared" si="22"/>
        <v>60</v>
      </c>
      <c r="D147" s="112">
        <f t="shared" si="23"/>
        <v>60</v>
      </c>
      <c r="E147" s="112">
        <f t="shared" si="23"/>
        <v>51</v>
      </c>
      <c r="F147" s="112">
        <f t="shared" si="23"/>
        <v>53</v>
      </c>
      <c r="G147" s="112">
        <f t="shared" si="23"/>
        <v>55</v>
      </c>
      <c r="H147" s="112">
        <f t="shared" si="23"/>
        <v>56</v>
      </c>
      <c r="I147" s="112">
        <f t="shared" si="23"/>
        <v>56</v>
      </c>
      <c r="J147" s="111">
        <f t="shared" si="24"/>
        <v>391</v>
      </c>
    </row>
    <row r="148" spans="2:16" ht="15" customHeight="1">
      <c r="B148" s="114">
        <v>2028</v>
      </c>
      <c r="C148" s="113">
        <f t="shared" si="22"/>
        <v>60</v>
      </c>
      <c r="D148" s="112">
        <f t="shared" si="23"/>
        <v>61</v>
      </c>
      <c r="E148" s="112">
        <f t="shared" si="23"/>
        <v>60</v>
      </c>
      <c r="F148" s="112">
        <f t="shared" si="23"/>
        <v>53</v>
      </c>
      <c r="G148" s="112">
        <f t="shared" si="23"/>
        <v>54</v>
      </c>
      <c r="H148" s="112">
        <f t="shared" si="23"/>
        <v>56</v>
      </c>
      <c r="I148" s="112">
        <f t="shared" si="23"/>
        <v>57</v>
      </c>
      <c r="J148" s="111">
        <f t="shared" ref="J148:J152" si="25">SUM(C148:I148)</f>
        <v>401</v>
      </c>
    </row>
    <row r="149" spans="2:16" ht="15" customHeight="1">
      <c r="B149" s="114">
        <v>2029</v>
      </c>
      <c r="C149" s="113">
        <f t="shared" si="22"/>
        <v>60</v>
      </c>
      <c r="D149" s="112">
        <f t="shared" si="23"/>
        <v>60</v>
      </c>
      <c r="E149" s="112">
        <f t="shared" si="23"/>
        <v>60</v>
      </c>
      <c r="F149" s="112">
        <f t="shared" si="23"/>
        <v>61</v>
      </c>
      <c r="G149" s="112">
        <f t="shared" si="23"/>
        <v>54</v>
      </c>
      <c r="H149" s="112">
        <f t="shared" si="23"/>
        <v>55</v>
      </c>
      <c r="I149" s="112">
        <f t="shared" si="23"/>
        <v>57</v>
      </c>
      <c r="J149" s="111">
        <f t="shared" si="25"/>
        <v>407</v>
      </c>
    </row>
    <row r="150" spans="2:16" ht="15" customHeight="1">
      <c r="B150" s="114">
        <v>2030</v>
      </c>
      <c r="C150" s="113">
        <f t="shared" si="22"/>
        <v>60</v>
      </c>
      <c r="D150" s="112">
        <f t="shared" si="23"/>
        <v>61</v>
      </c>
      <c r="E150" s="112">
        <f t="shared" si="23"/>
        <v>60</v>
      </c>
      <c r="F150" s="112">
        <f t="shared" si="23"/>
        <v>62</v>
      </c>
      <c r="G150" s="112">
        <f t="shared" si="23"/>
        <v>62</v>
      </c>
      <c r="H150" s="112">
        <f t="shared" si="23"/>
        <v>55</v>
      </c>
      <c r="I150" s="112">
        <f t="shared" si="23"/>
        <v>55</v>
      </c>
      <c r="J150" s="111">
        <f t="shared" si="25"/>
        <v>415</v>
      </c>
    </row>
    <row r="151" spans="2:16" ht="15" customHeight="1">
      <c r="B151" s="114">
        <v>2031</v>
      </c>
      <c r="C151" s="113">
        <f t="shared" si="22"/>
        <v>60</v>
      </c>
      <c r="D151" s="112">
        <f t="shared" si="23"/>
        <v>61</v>
      </c>
      <c r="E151" s="112">
        <f t="shared" si="23"/>
        <v>61</v>
      </c>
      <c r="F151" s="112">
        <f t="shared" si="23"/>
        <v>62</v>
      </c>
      <c r="G151" s="112">
        <f t="shared" si="23"/>
        <v>62</v>
      </c>
      <c r="H151" s="112">
        <f t="shared" si="23"/>
        <v>62</v>
      </c>
      <c r="I151" s="112">
        <f t="shared" si="23"/>
        <v>55</v>
      </c>
      <c r="J151" s="111">
        <f t="shared" si="25"/>
        <v>423</v>
      </c>
    </row>
    <row r="152" spans="2:16" ht="15" customHeight="1">
      <c r="B152" s="114">
        <v>2032</v>
      </c>
      <c r="C152" s="113">
        <f t="shared" si="22"/>
        <v>60</v>
      </c>
      <c r="D152" s="112">
        <f t="shared" si="23"/>
        <v>61</v>
      </c>
      <c r="E152" s="112">
        <f t="shared" si="23"/>
        <v>60</v>
      </c>
      <c r="F152" s="112">
        <f t="shared" si="23"/>
        <v>62</v>
      </c>
      <c r="G152" s="112">
        <f t="shared" si="23"/>
        <v>62</v>
      </c>
      <c r="H152" s="112">
        <f t="shared" si="23"/>
        <v>63</v>
      </c>
      <c r="I152" s="112">
        <f t="shared" si="23"/>
        <v>63</v>
      </c>
      <c r="J152" s="111">
        <f t="shared" si="25"/>
        <v>431</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370</v>
      </c>
      <c r="D159" s="108">
        <f>J140</f>
        <v>365.53875365678641</v>
      </c>
      <c r="E159" s="108">
        <f>J141</f>
        <v>357</v>
      </c>
      <c r="F159" s="108">
        <f>J142</f>
        <v>348</v>
      </c>
      <c r="G159" s="108">
        <f>J143</f>
        <v>359</v>
      </c>
      <c r="H159" s="108">
        <f>J144</f>
        <v>365</v>
      </c>
      <c r="I159" s="108">
        <f>J145</f>
        <v>363</v>
      </c>
      <c r="J159" s="108">
        <f>J146</f>
        <v>376.23801815973945</v>
      </c>
      <c r="K159" s="108">
        <f>J147</f>
        <v>391</v>
      </c>
      <c r="L159" s="108">
        <f>J148</f>
        <v>401</v>
      </c>
      <c r="M159" s="108">
        <f>J149</f>
        <v>407</v>
      </c>
      <c r="N159" s="108">
        <f>J150</f>
        <v>415</v>
      </c>
      <c r="O159" s="108">
        <f>J151</f>
        <v>423</v>
      </c>
      <c r="P159" s="108">
        <f>J152</f>
        <v>431</v>
      </c>
    </row>
    <row r="160" spans="2:16" ht="15" customHeight="1">
      <c r="B160" s="107" t="s">
        <v>152</v>
      </c>
      <c r="C160" s="106">
        <f>VLOOKUP(C159,Capacity!$A$1:$C$645,2,TRUE)</f>
        <v>14</v>
      </c>
      <c r="D160" s="106">
        <f>VLOOKUP(D159,Capacity!$A$1:$C$645,2,TRUE)</f>
        <v>14</v>
      </c>
      <c r="E160" s="106">
        <f>VLOOKUP(E159,Capacity!$A$1:$C$645,2,TRUE)</f>
        <v>14</v>
      </c>
      <c r="F160" s="106">
        <f>VLOOKUP(F159,Capacity!$A$1:$C$645,2,TRUE)</f>
        <v>14</v>
      </c>
      <c r="G160" s="106">
        <f>VLOOKUP(G159,Capacity!$A$1:$C$645,2,TRUE)</f>
        <v>14</v>
      </c>
      <c r="H160" s="106">
        <f>VLOOKUP(H159,Capacity!$A$1:$C$645,2,TRUE)</f>
        <v>14</v>
      </c>
      <c r="I160" s="106">
        <f>VLOOKUP(I159,Capacity!$A$1:$C$645,2,TRUE)</f>
        <v>14</v>
      </c>
      <c r="J160" s="106">
        <f>VLOOKUP(J159,Capacity!$A$1:$C$645,2,TRUE)</f>
        <v>14</v>
      </c>
      <c r="K160" s="106">
        <f>VLOOKUP(K159,Capacity!$A$1:$C$645,2,TRUE)</f>
        <v>14</v>
      </c>
      <c r="L160" s="106">
        <f>VLOOKUP(L159,Capacity!$A$1:$C$645,2,TRUE)</f>
        <v>14</v>
      </c>
      <c r="M160" s="106">
        <f>VLOOKUP(M159,Capacity!$A$1:$C$645,2,TRUE)</f>
        <v>14</v>
      </c>
      <c r="N160" s="106">
        <f>VLOOKUP(N159,Capacity!$A$1:$C$645,2,TRUE)</f>
        <v>14</v>
      </c>
      <c r="O160" s="106">
        <f>VLOOKUP(O159,Capacity!$A$1:$C$645,2,TRUE)</f>
        <v>15</v>
      </c>
      <c r="P160" s="106">
        <f>VLOOKUP(P159,Capacity!$A$1:$C$645,2,TRUE)</f>
        <v>15</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109</v>
      </c>
      <c r="D169" s="97">
        <f>VLOOKUP($E$3,'Catchment Births'!$A$1:$U$90,11,FALSE)</f>
        <v>137</v>
      </c>
      <c r="E169" s="97">
        <f>VLOOKUP($E$3,'Catchment Births'!$A$1:$U$90,12,FALSE)</f>
        <v>135</v>
      </c>
      <c r="F169" s="97">
        <f>VLOOKUP($E$3,'Catchment Births'!$A$1:$U$90,13,FALSE)</f>
        <v>124</v>
      </c>
      <c r="G169" s="97">
        <f>VLOOKUP($E$3,'Catchment Births'!$A$1:$U$90,14,FALSE)</f>
        <v>167</v>
      </c>
      <c r="H169" s="97">
        <f>VLOOKUP($E$3,'Catchment Births'!$A$1:$U$90,15,FALSE)</f>
        <v>181</v>
      </c>
      <c r="I169" s="97">
        <f>VLOOKUP($E$3,'Catchment Births'!$A$1:$U$90,16,FALSE)</f>
        <v>181</v>
      </c>
      <c r="J169" s="97">
        <f>VLOOKUP($E$3,'Catchment Births'!$A$1:$U$90,17,FALSE)</f>
        <v>168</v>
      </c>
      <c r="K169" s="97">
        <f>VLOOKUP($E$3,'Catchment Births'!$A$1:$U$90,18,FALSE)</f>
        <v>207</v>
      </c>
      <c r="L169" s="97">
        <f>VLOOKUP($E$3,'Catchment Births'!$A$1:$U$90,19,FALSE)</f>
        <v>162</v>
      </c>
      <c r="M169" s="97">
        <f>VLOOKUP($E$3,'Catchment Births'!$A$1:$U$90,20,FALSE)</f>
        <v>175</v>
      </c>
      <c r="N169" s="97">
        <f>VLOOKUP($E$3,'Catchment Births'!$A$1:$U$90,21,FALSE)</f>
        <v>146</v>
      </c>
    </row>
    <row r="170" spans="2:14" ht="58.5" customHeight="1">
      <c r="B170" s="103" t="str">
        <f>"P1 "&amp;A35&amp;" Catchment Population (Actual)"</f>
        <v>P1 ND Catchment Population (Actual)</v>
      </c>
      <c r="C170" s="102" t="e">
        <v>#REF!</v>
      </c>
      <c r="D170" s="102">
        <v>52</v>
      </c>
      <c r="E170" s="102">
        <v>67</v>
      </c>
      <c r="F170" s="102">
        <v>67</v>
      </c>
      <c r="G170" s="102">
        <v>70</v>
      </c>
      <c r="H170" s="102">
        <v>83</v>
      </c>
      <c r="I170" s="102">
        <v>70</v>
      </c>
      <c r="J170" s="308">
        <f>VLOOKUP(E3,'Catchment Projections'!A1:BU92,42,FALSE)</f>
        <v>55</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70</v>
      </c>
      <c r="J172" s="96" t="e">
        <f>#REF!</f>
        <v>#REF!</v>
      </c>
      <c r="K172" s="96">
        <f>D51</f>
        <v>65</v>
      </c>
      <c r="L172" s="96">
        <f>E51</f>
        <v>56</v>
      </c>
      <c r="M172" s="96">
        <f>F51</f>
        <v>60</v>
      </c>
      <c r="N172" s="96">
        <f>G51</f>
        <v>67</v>
      </c>
    </row>
    <row r="173" spans="2:14" ht="12.75">
      <c r="B173" s="62"/>
      <c r="C173" s="62"/>
      <c r="D173" s="62"/>
      <c r="E173" s="62"/>
      <c r="F173" s="62"/>
      <c r="G173" s="62"/>
      <c r="H173" s="62"/>
      <c r="I173" s="62"/>
      <c r="J173" s="62"/>
      <c r="K173" s="62"/>
    </row>
    <row r="174" spans="2:14" ht="15" customHeight="1">
      <c r="B174" s="64" t="str">
        <f>"Table 5: "&amp;E3&amp;" Roll by Stage, 2002-2018"</f>
        <v>Table 5: Leith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29</v>
      </c>
      <c r="D177" s="93">
        <v>28</v>
      </c>
      <c r="E177" s="93">
        <v>26</v>
      </c>
      <c r="F177" s="93">
        <v>25</v>
      </c>
      <c r="G177" s="93">
        <v>21</v>
      </c>
      <c r="H177" s="93">
        <v>34</v>
      </c>
      <c r="I177" s="93">
        <v>36</v>
      </c>
      <c r="J177" s="92">
        <v>199</v>
      </c>
      <c r="K177" s="62"/>
    </row>
    <row r="178" spans="2:11" ht="15" customHeight="1">
      <c r="B178" s="94">
        <v>2003</v>
      </c>
      <c r="C178" s="93">
        <v>29</v>
      </c>
      <c r="D178" s="93">
        <v>27</v>
      </c>
      <c r="E178" s="93">
        <v>27</v>
      </c>
      <c r="F178" s="93">
        <v>31</v>
      </c>
      <c r="G178" s="93">
        <v>22</v>
      </c>
      <c r="H178" s="93">
        <v>20</v>
      </c>
      <c r="I178" s="93">
        <v>33</v>
      </c>
      <c r="J178" s="92">
        <v>189</v>
      </c>
      <c r="K178" s="62"/>
    </row>
    <row r="179" spans="2:11" customFormat="1" ht="15" customHeight="1">
      <c r="B179" s="94">
        <v>2004</v>
      </c>
      <c r="C179" s="95">
        <v>23</v>
      </c>
      <c r="D179" s="95">
        <v>29</v>
      </c>
      <c r="E179" s="95">
        <v>26</v>
      </c>
      <c r="F179" s="95">
        <v>28</v>
      </c>
      <c r="G179" s="95">
        <v>28</v>
      </c>
      <c r="H179" s="95">
        <v>22</v>
      </c>
      <c r="I179" s="95">
        <v>21</v>
      </c>
      <c r="J179" s="92">
        <v>177</v>
      </c>
      <c r="K179" s="62"/>
    </row>
    <row r="180" spans="2:11" customFormat="1" ht="15" customHeight="1">
      <c r="B180" s="94">
        <v>2005</v>
      </c>
      <c r="C180" s="93">
        <v>29</v>
      </c>
      <c r="D180" s="93">
        <v>26</v>
      </c>
      <c r="E180" s="93">
        <v>26</v>
      </c>
      <c r="F180" s="93">
        <v>29</v>
      </c>
      <c r="G180" s="93">
        <v>29</v>
      </c>
      <c r="H180" s="93">
        <v>30</v>
      </c>
      <c r="I180" s="93">
        <v>24</v>
      </c>
      <c r="J180" s="92">
        <v>193</v>
      </c>
      <c r="K180" s="62"/>
    </row>
    <row r="181" spans="2:11" customFormat="1" ht="15" customHeight="1">
      <c r="B181" s="94">
        <v>2006</v>
      </c>
      <c r="C181" s="93">
        <v>32</v>
      </c>
      <c r="D181" s="93">
        <v>29</v>
      </c>
      <c r="E181" s="93">
        <v>26</v>
      </c>
      <c r="F181" s="93">
        <v>28</v>
      </c>
      <c r="G181" s="93">
        <v>30</v>
      </c>
      <c r="H181" s="93">
        <v>26</v>
      </c>
      <c r="I181" s="93">
        <v>29</v>
      </c>
      <c r="J181" s="92">
        <v>200</v>
      </c>
      <c r="K181" s="62"/>
    </row>
    <row r="182" spans="2:11" customFormat="1" ht="15" customHeight="1">
      <c r="B182" s="94">
        <v>2007</v>
      </c>
      <c r="C182" s="93">
        <v>33</v>
      </c>
      <c r="D182" s="93">
        <v>35</v>
      </c>
      <c r="E182" s="93">
        <v>29</v>
      </c>
      <c r="F182" s="93">
        <v>26</v>
      </c>
      <c r="G182" s="93">
        <v>26</v>
      </c>
      <c r="H182" s="93">
        <v>30</v>
      </c>
      <c r="I182" s="93">
        <v>24</v>
      </c>
      <c r="J182" s="92">
        <v>203</v>
      </c>
      <c r="K182" s="62"/>
    </row>
    <row r="183" spans="2:11" customFormat="1" ht="15" customHeight="1">
      <c r="B183" s="94">
        <v>2008</v>
      </c>
      <c r="C183" s="93">
        <v>19</v>
      </c>
      <c r="D183" s="93">
        <v>38</v>
      </c>
      <c r="E183" s="93">
        <v>34</v>
      </c>
      <c r="F183" s="93">
        <v>34</v>
      </c>
      <c r="G183" s="93">
        <v>22</v>
      </c>
      <c r="H183" s="93">
        <v>29</v>
      </c>
      <c r="I183" s="93">
        <v>32</v>
      </c>
      <c r="J183" s="92">
        <v>208</v>
      </c>
      <c r="K183" s="62"/>
    </row>
    <row r="184" spans="2:11" customFormat="1" ht="15" customHeight="1">
      <c r="B184" s="94">
        <v>2009</v>
      </c>
      <c r="C184" s="93">
        <v>42</v>
      </c>
      <c r="D184" s="93">
        <v>20</v>
      </c>
      <c r="E184" s="93">
        <v>40</v>
      </c>
      <c r="F184" s="93">
        <v>30</v>
      </c>
      <c r="G184" s="93">
        <v>38</v>
      </c>
      <c r="H184" s="93">
        <v>22</v>
      </c>
      <c r="I184" s="93">
        <v>26</v>
      </c>
      <c r="J184" s="94">
        <v>218</v>
      </c>
      <c r="K184" s="62"/>
    </row>
    <row r="185" spans="2:11" customFormat="1" ht="15" customHeight="1">
      <c r="B185" s="94">
        <v>2010</v>
      </c>
      <c r="C185" s="93">
        <v>35</v>
      </c>
      <c r="D185" s="93">
        <v>40</v>
      </c>
      <c r="E185" s="93">
        <v>15</v>
      </c>
      <c r="F185" s="93">
        <v>35</v>
      </c>
      <c r="G185" s="93">
        <v>31</v>
      </c>
      <c r="H185" s="93">
        <v>36</v>
      </c>
      <c r="I185" s="93">
        <v>23</v>
      </c>
      <c r="J185" s="92">
        <v>215</v>
      </c>
      <c r="K185" s="62"/>
    </row>
    <row r="186" spans="2:11" customFormat="1" ht="15" customHeight="1">
      <c r="B186" s="94">
        <v>2011</v>
      </c>
      <c r="C186" s="93">
        <v>50</v>
      </c>
      <c r="D186" s="93">
        <v>36</v>
      </c>
      <c r="E186" s="93">
        <v>36</v>
      </c>
      <c r="F186" s="93">
        <v>17</v>
      </c>
      <c r="G186" s="93">
        <v>37</v>
      </c>
      <c r="H186" s="93">
        <v>29</v>
      </c>
      <c r="I186" s="93">
        <v>35</v>
      </c>
      <c r="J186" s="92">
        <v>240</v>
      </c>
      <c r="K186" s="62"/>
    </row>
    <row r="187" spans="2:11" customFormat="1" ht="15" customHeight="1">
      <c r="B187" s="94">
        <v>2012</v>
      </c>
      <c r="C187" s="93">
        <v>60</v>
      </c>
      <c r="D187" s="93">
        <v>55</v>
      </c>
      <c r="E187" s="93">
        <v>33</v>
      </c>
      <c r="F187" s="93">
        <v>33</v>
      </c>
      <c r="G187" s="93">
        <v>14</v>
      </c>
      <c r="H187" s="93">
        <v>38</v>
      </c>
      <c r="I187" s="93">
        <v>30</v>
      </c>
      <c r="J187" s="92">
        <v>263</v>
      </c>
      <c r="K187" s="62"/>
    </row>
    <row r="188" spans="2:11" customFormat="1" ht="15" customHeight="1">
      <c r="B188" s="94">
        <v>2013</v>
      </c>
      <c r="C188" s="93">
        <v>53</v>
      </c>
      <c r="D188" s="93">
        <v>64</v>
      </c>
      <c r="E188" s="93">
        <v>44</v>
      </c>
      <c r="F188" s="93">
        <v>30</v>
      </c>
      <c r="G188" s="93">
        <v>33</v>
      </c>
      <c r="H188" s="93">
        <v>16</v>
      </c>
      <c r="I188" s="93">
        <v>38</v>
      </c>
      <c r="J188" s="94">
        <v>278</v>
      </c>
      <c r="K188" s="62"/>
    </row>
    <row r="189" spans="2:11" customFormat="1" ht="15" customHeight="1">
      <c r="B189" s="94">
        <v>2014</v>
      </c>
      <c r="C189" s="93">
        <v>77</v>
      </c>
      <c r="D189" s="93">
        <v>55</v>
      </c>
      <c r="E189" s="93">
        <v>64</v>
      </c>
      <c r="F189" s="93">
        <v>47</v>
      </c>
      <c r="G189" s="93">
        <v>33</v>
      </c>
      <c r="H189" s="93">
        <v>32</v>
      </c>
      <c r="I189" s="93">
        <v>17</v>
      </c>
      <c r="J189" s="92">
        <v>325</v>
      </c>
      <c r="K189" s="65"/>
    </row>
    <row r="190" spans="2:11" customFormat="1" ht="15" customHeight="1">
      <c r="B190" s="94">
        <v>2015</v>
      </c>
      <c r="C190" s="93">
        <v>67</v>
      </c>
      <c r="D190" s="93">
        <v>78</v>
      </c>
      <c r="E190" s="93">
        <v>53</v>
      </c>
      <c r="F190" s="93">
        <v>64</v>
      </c>
      <c r="G190" s="93">
        <v>42</v>
      </c>
      <c r="H190" s="93">
        <v>31</v>
      </c>
      <c r="I190" s="93">
        <v>32</v>
      </c>
      <c r="J190" s="92">
        <v>367</v>
      </c>
      <c r="K190" s="65"/>
    </row>
    <row r="191" spans="2:11" customFormat="1" ht="15" customHeight="1">
      <c r="B191" s="94">
        <v>2016</v>
      </c>
      <c r="C191" s="93">
        <v>46</v>
      </c>
      <c r="D191" s="93">
        <v>70</v>
      </c>
      <c r="E191" s="93">
        <v>70</v>
      </c>
      <c r="F191" s="93">
        <v>54</v>
      </c>
      <c r="G191" s="93">
        <v>65</v>
      </c>
      <c r="H191" s="93">
        <v>41</v>
      </c>
      <c r="I191" s="93">
        <v>30</v>
      </c>
      <c r="J191" s="92">
        <v>376</v>
      </c>
      <c r="K191" s="65"/>
    </row>
    <row r="192" spans="2:11" ht="15" customHeight="1">
      <c r="B192" s="94">
        <v>2017</v>
      </c>
      <c r="C192" s="93">
        <f>VLOOKUP($E$3,Rolls!A1:FA90,42,FALSE)</f>
        <v>55</v>
      </c>
      <c r="D192" s="93">
        <f>VLOOKUP($E$3,Rolls!A1:FA90,43,FALSE)</f>
        <v>42</v>
      </c>
      <c r="E192" s="93">
        <f>VLOOKUP($E$3,Rolls!A1:FA90,44,FALSE)</f>
        <v>62</v>
      </c>
      <c r="F192" s="93">
        <f>VLOOKUP($E$3,Rolls!A1:FA90,45,FALSE)</f>
        <v>66</v>
      </c>
      <c r="G192" s="93">
        <f>VLOOKUP($E$3,Rolls!A1:FA90,46,FALSE)</f>
        <v>51</v>
      </c>
      <c r="H192" s="93">
        <f>VLOOKUP($E$3,Rolls!A1:FA90,47,FALSE)</f>
        <v>65</v>
      </c>
      <c r="I192" s="93">
        <f>VLOOKUP($E$3,Rolls!A1:FA90,48,FALSE)</f>
        <v>40</v>
      </c>
      <c r="J192" s="92">
        <f>VLOOKUP($E$3,Rolls!A1:FA90,49,FALSE)</f>
        <v>381</v>
      </c>
      <c r="K192" s="65"/>
    </row>
    <row r="193" spans="2:11" ht="15" customHeight="1">
      <c r="B193" s="94">
        <v>2018</v>
      </c>
      <c r="C193" s="93">
        <f>VLOOKUP($E$3,Rolls!A1:FA90,50,FALSE)</f>
        <v>56</v>
      </c>
      <c r="D193" s="93">
        <f>VLOOKUP($E$3,Rolls!A1:FA90,51,FALSE)</f>
        <v>52</v>
      </c>
      <c r="E193" s="93">
        <f>VLOOKUP($E$3,Rolls!A1:FA90,52,FALSE)</f>
        <v>40</v>
      </c>
      <c r="F193" s="93">
        <f>VLOOKUP($E$3,Rolls!A1:FA90,53,FALSE)</f>
        <v>59</v>
      </c>
      <c r="G193" s="93">
        <f>VLOOKUP($E$3,Rolls!A1:FA90,54,FALSE)</f>
        <v>65</v>
      </c>
      <c r="H193" s="93">
        <f>VLOOKUP($E$3,Rolls!A1:FA90,55,FALSE)</f>
        <v>50</v>
      </c>
      <c r="I193" s="93">
        <f>VLOOKUP($E$3,Rolls!A1:FA90,56,FALSE)</f>
        <v>62</v>
      </c>
      <c r="J193" s="92">
        <f>VLOOKUP($E$3,Rolls!A1:FA90,57,FALSE)</f>
        <v>384</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45</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Leith Walk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420 Pupils (14 classes)</v>
      </c>
      <c r="G12" s="16"/>
      <c r="H12" s="16"/>
    </row>
    <row r="13" spans="2:10" ht="15" customHeight="1">
      <c r="C13" s="16"/>
      <c r="D13" s="16"/>
      <c r="E13" s="16"/>
      <c r="F13" s="16"/>
      <c r="G13" s="16"/>
      <c r="H13" s="16"/>
    </row>
    <row r="14" spans="2:10" ht="15" customHeight="1">
      <c r="B14" s="15" t="str">
        <f>"Figure 1: "&amp;E3&amp;" Roll, 2002-2015"</f>
        <v>Figure 1: Leith Walk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Leith Walk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40</v>
      </c>
      <c r="E49" s="108">
        <f>VLOOKUP($E$3,'Catchment Projections'!$A$1:$BU$90,46,FALSE)</f>
        <v>32</v>
      </c>
      <c r="F49" s="108">
        <f>VLOOKUP($E$3,'Catchment Projections'!$A$1:$BU$90,47,FALSE)</f>
        <v>37</v>
      </c>
      <c r="G49" s="108">
        <f>VLOOKUP($E$3,'Catchment Projections'!$A$1:$BU$90,48,FALSE)</f>
        <v>29</v>
      </c>
      <c r="H49" s="133">
        <f>VLOOKUP($E$3,'Catchment Projections'!$A$1:$BU$90,49,FALSE)</f>
        <v>33</v>
      </c>
      <c r="I49" s="133">
        <f>VLOOKUP($E$3,'Catchment Projections'!$A$1:$BU$90,50,FALSE)</f>
        <v>34</v>
      </c>
      <c r="J49" s="133">
        <f>VLOOKUP($E$3,'Catchment Projections'!$A$1:$BU$90,51,FALSE)</f>
        <v>34</v>
      </c>
      <c r="K49" s="133">
        <f>VLOOKUP($E$3,'Catchment Projections'!$A$1:$BU$90,52,FALSE)</f>
        <v>35</v>
      </c>
      <c r="L49" s="133">
        <f>VLOOKUP($E$3,'Catchment Projections'!$A$1:$BU$90,53,FALSE)</f>
        <v>35</v>
      </c>
      <c r="M49" s="133">
        <f>VLOOKUP($E$3,'Catchment Projections'!$A$1:$BU$90,54,FALSE)</f>
        <v>35</v>
      </c>
      <c r="N49" s="133">
        <f>VLOOKUP($E$3,'Catchment Projections'!$A$1:$BU$90,55,FALSE)</f>
        <v>35</v>
      </c>
      <c r="O49" s="133">
        <f>VLOOKUP($E$3,'Catchment Projections'!$A$1:$BU$90,56,FALSE)</f>
        <v>35</v>
      </c>
      <c r="P49" s="133">
        <f>VLOOKUP($E$3,'Catchment Projections'!$A$1:$BU$90,57,FALSE)</f>
        <v>35</v>
      </c>
      <c r="Q49" s="133">
        <f>VLOOKUP($E$3,'Catchment Projections'!$A$1:$BU$90,58,FALSE)</f>
        <v>35</v>
      </c>
    </row>
    <row r="50" spans="2:17" ht="15" customHeight="1" thickBot="1">
      <c r="B50" s="410" t="s">
        <v>141</v>
      </c>
      <c r="C50" s="411"/>
      <c r="D50" s="286">
        <f>VLOOKUP(E3,'Housing Generation'!$A$3:$DQ$90,10,FALSE)</f>
        <v>1</v>
      </c>
      <c r="E50" s="286">
        <f>VLOOKUP(E3,'Housing Generation'!$A$3:$DQ$90,18,FALSE)</f>
        <v>1</v>
      </c>
      <c r="F50" s="286">
        <f>VLOOKUP(E3,'Housing Generation'!$A$3:$DQ$90,26,FALSE)</f>
        <v>1</v>
      </c>
      <c r="G50" s="243">
        <f>VLOOKUP(E3,'Housing Generation'!$A$3:$DQ$90,34,FALSE)</f>
        <v>1</v>
      </c>
      <c r="H50" s="133">
        <f>VLOOKUP(E3,'Housing Generation'!$A$3:$DQ$90,42,FALSE)</f>
        <v>1</v>
      </c>
      <c r="I50" s="133">
        <f>VLOOKUP(E3,'Housing Generation'!$A$3:$DQ$90,50,FALSE)</f>
        <v>1</v>
      </c>
      <c r="J50" s="133">
        <f>VLOOKUP(E3,'Housing Generation'!$A$3:$CK$90,58,FALSE)</f>
        <v>1</v>
      </c>
      <c r="K50" s="133">
        <f>VLOOKUP(E3,'Housing Generation'!$A$3:$CK$90,66,FALSE)</f>
        <v>1</v>
      </c>
      <c r="L50" s="133">
        <f>VLOOKUP(E3,'Housing Generation'!$A$3:$DQ$90,74,FALSE)</f>
        <v>1</v>
      </c>
      <c r="M50" s="133">
        <f>VLOOKUP(E3,'Housing Generation'!$A$3:$DQ$90,82,FALSE)</f>
        <v>1</v>
      </c>
      <c r="N50" s="133">
        <f>VLOOKUP(E3,'Housing Generation'!$A$3:$DQ$90,90,FALSE)</f>
        <v>1</v>
      </c>
      <c r="O50" s="133">
        <f>VLOOKUP(E3,'Housing Generation'!$A$3:$DQ$90,98,FALSE)</f>
        <v>1</v>
      </c>
      <c r="P50" s="133">
        <f>VLOOKUP(E3,'Housing Generation'!$A$3:$DQ$90,106,FALSE)</f>
        <v>1</v>
      </c>
      <c r="Q50" s="133">
        <f>VLOOKUP(E3,'Housing Generation'!$A$3:$DQ$90,114,FALSE)</f>
        <v>1</v>
      </c>
    </row>
    <row r="51" spans="2:17" ht="15" customHeight="1" thickTop="1">
      <c r="B51" s="421" t="s">
        <v>130</v>
      </c>
      <c r="C51" s="422"/>
      <c r="D51" s="47">
        <f t="shared" ref="D51:Q51" si="0">SUM(D49:D50)</f>
        <v>41</v>
      </c>
      <c r="E51" s="47">
        <f t="shared" si="0"/>
        <v>33</v>
      </c>
      <c r="F51" s="80">
        <f t="shared" si="0"/>
        <v>38</v>
      </c>
      <c r="G51" s="244">
        <f t="shared" si="0"/>
        <v>30</v>
      </c>
      <c r="H51" s="71">
        <f t="shared" si="0"/>
        <v>34</v>
      </c>
      <c r="I51" s="71">
        <f t="shared" si="0"/>
        <v>35</v>
      </c>
      <c r="J51" s="71">
        <f t="shared" si="0"/>
        <v>35</v>
      </c>
      <c r="K51" s="71">
        <f t="shared" si="0"/>
        <v>36</v>
      </c>
      <c r="L51" s="71">
        <f t="shared" si="0"/>
        <v>36</v>
      </c>
      <c r="M51" s="71">
        <f t="shared" si="0"/>
        <v>36</v>
      </c>
      <c r="N51" s="71">
        <f t="shared" si="0"/>
        <v>36</v>
      </c>
      <c r="O51" s="71">
        <f t="shared" si="0"/>
        <v>36</v>
      </c>
      <c r="P51" s="71">
        <f t="shared" si="0"/>
        <v>36</v>
      </c>
      <c r="Q51" s="71">
        <f t="shared" si="0"/>
        <v>36</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48</v>
      </c>
      <c r="D60" s="358">
        <f>VLOOKUP($E$3,'Catchment Projections'!$A$1:$BZ$90,74,FALSE)</f>
        <v>41</v>
      </c>
      <c r="E60" s="303">
        <f>D60/C60</f>
        <v>0.85416666666666663</v>
      </c>
      <c r="G60" s="132">
        <v>2014</v>
      </c>
      <c r="H60" s="395">
        <f>VLOOKUP($G$60,$B$177:$C$215, 2, FALSE)</f>
        <v>57</v>
      </c>
      <c r="I60" s="120">
        <f>H60-D60</f>
        <v>16</v>
      </c>
      <c r="J60" s="121">
        <f>I60/H60</f>
        <v>0.2807017543859649</v>
      </c>
    </row>
    <row r="61" spans="2:17" ht="15" customHeight="1">
      <c r="B61" s="132">
        <v>2015</v>
      </c>
      <c r="C61" s="359">
        <f>VLOOKUP($E$3,'Catchment Projections'!$A$1:$BZ$90,41,FALSE)</f>
        <v>43</v>
      </c>
      <c r="D61" s="358">
        <f>VLOOKUP($E$3,'Catchment Projections'!$A$1:$BZ$90,75,FALSE)</f>
        <v>29</v>
      </c>
      <c r="E61" s="303">
        <f>D61/C61</f>
        <v>0.67441860465116277</v>
      </c>
      <c r="G61" s="132">
        <v>2015</v>
      </c>
      <c r="H61" s="395">
        <f>VLOOKUP($G$61,$B$177:$C$215, 2, FALSE)</f>
        <v>40</v>
      </c>
      <c r="I61" s="120">
        <f>H61-D61</f>
        <v>11</v>
      </c>
      <c r="J61" s="121">
        <f>I61/H61</f>
        <v>0.27500000000000002</v>
      </c>
    </row>
    <row r="62" spans="2:17" ht="15" customHeight="1">
      <c r="B62" s="131">
        <v>2016</v>
      </c>
      <c r="C62" s="359">
        <f>VLOOKUP($E$3,'Catchment Projections'!$A$1:$BZ$90,42,FALSE)</f>
        <v>33</v>
      </c>
      <c r="D62" s="358">
        <f>VLOOKUP($E$3,'Catchment Projections'!$A$1:$BZ$90,76,FALSE)</f>
        <v>27</v>
      </c>
      <c r="E62" s="57">
        <f>D62/C62</f>
        <v>0.81818181818181823</v>
      </c>
      <c r="G62" s="131">
        <v>2016</v>
      </c>
      <c r="H62" s="395">
        <f>VLOOKUP($G$62,$B$177:$C$215, 2, FALSE)</f>
        <v>44</v>
      </c>
      <c r="I62" s="120">
        <f>H62-D62</f>
        <v>17</v>
      </c>
      <c r="J62" s="121">
        <f>I62/H62</f>
        <v>0.38636363636363635</v>
      </c>
    </row>
    <row r="63" spans="2:17" ht="15" customHeight="1">
      <c r="B63" s="114">
        <v>2017</v>
      </c>
      <c r="C63" s="359">
        <f>VLOOKUP($E$3,'Catchment Projections'!$A$1:$BZ$90,43,FALSE)</f>
        <v>47</v>
      </c>
      <c r="D63" s="358">
        <f>VLOOKUP($E$3,'Catchment Projections'!$A$1:$BZ$90,77,FALSE)</f>
        <v>30</v>
      </c>
      <c r="E63" s="304">
        <f>D63/C63</f>
        <v>0.63829787234042556</v>
      </c>
      <c r="G63" s="114">
        <v>2017</v>
      </c>
      <c r="H63" s="395">
        <f>VLOOKUP($G$63,$B$177:$C$215, 2, FALSE)</f>
        <v>45</v>
      </c>
      <c r="I63" s="120">
        <f>H63-D63</f>
        <v>15</v>
      </c>
      <c r="J63" s="121">
        <f>I63/H63</f>
        <v>0.33333333333333331</v>
      </c>
    </row>
    <row r="64" spans="2:17" ht="15" customHeight="1">
      <c r="B64" s="114">
        <v>2018</v>
      </c>
      <c r="C64" s="359">
        <f>VLOOKUP($E$3,'Catchment Projections'!$A$1:$BZ$90,44,FALSE)</f>
        <v>41</v>
      </c>
      <c r="D64" s="358">
        <f>VLOOKUP($E$3,'Catchment Projections'!$A$1:$BZ$90,78,FALSE)</f>
        <v>27</v>
      </c>
      <c r="E64" s="305">
        <f>D64/C64</f>
        <v>0.65853658536585369</v>
      </c>
      <c r="G64" s="114">
        <v>2018</v>
      </c>
      <c r="H64" s="395">
        <f>VLOOKUP($G$64,$B$177:$C$215, 2, FALSE)</f>
        <v>33</v>
      </c>
      <c r="I64" s="120">
        <f>H64-D64</f>
        <v>6</v>
      </c>
      <c r="J64" s="121">
        <f>I64/H64</f>
        <v>0.18181818181818182</v>
      </c>
    </row>
    <row r="65" spans="2:10" ht="15" customHeight="1">
      <c r="B65" s="412" t="s">
        <v>136</v>
      </c>
      <c r="C65" s="413"/>
      <c r="D65" s="414"/>
      <c r="E65" s="137">
        <f>IF((AVERAGE(E62:E64))="#DIV/0!","n/a",(AVERAGE(E62:E64)))</f>
        <v>0.7050054252960325</v>
      </c>
      <c r="G65" s="415" t="s">
        <v>137</v>
      </c>
      <c r="H65" s="416"/>
      <c r="I65" s="138">
        <f>MEDIAN(I60:I64)</f>
        <v>15</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41</v>
      </c>
      <c r="D70" s="408"/>
      <c r="E70" s="122">
        <f>E65</f>
        <v>0.7050054252960325</v>
      </c>
      <c r="F70" s="120">
        <f t="shared" ref="F70:F83" si="1">C70*$E$65</f>
        <v>28.905222437137333</v>
      </c>
      <c r="G70" s="118">
        <f>IF(F70&lt;26,25,IF(F70&gt;135,140,IF(F70&gt;130,135,IF(F70&gt;125,130,IF(F70&gt;120,125,IF(F70&gt;115,120,IF(F70&gt;110,115,IF(F70&gt;105,110,IF(F70&gt;100,105,IF(F70&gt;99,100,IF(F70&gt;90,99,IF(F70&gt;75,90,IF(F70&gt;72,75,IF(F70&gt;66,72,IF(F70&gt;60,66,IF(F70&gt;50,60,IF(F70&gt;30,50,IF(F70&gt;25,30,0))))))))))))))))))</f>
        <v>30</v>
      </c>
      <c r="H70" s="119">
        <f t="shared" ref="H70:H83" si="2">G70-F70</f>
        <v>1.0947775628626673</v>
      </c>
      <c r="I70" s="118" t="str">
        <f>IF(I$65&lt;H70, "NO", "YES")</f>
        <v>YES</v>
      </c>
      <c r="J70" s="117">
        <f t="shared" ref="J70:J83" si="3">IF(I70="YES",G70,(MIN((SUM(F70,$I$65)),G70)))</f>
        <v>30</v>
      </c>
    </row>
    <row r="71" spans="2:10" ht="15" customHeight="1">
      <c r="B71" s="114">
        <v>2020</v>
      </c>
      <c r="C71" s="433">
        <f>E51</f>
        <v>33</v>
      </c>
      <c r="D71" s="408"/>
      <c r="E71" s="121">
        <f>E65</f>
        <v>0.7050054252960325</v>
      </c>
      <c r="F71" s="120">
        <f t="shared" si="1"/>
        <v>23.265179034769073</v>
      </c>
      <c r="G71" s="118">
        <f t="shared" ref="G71:G83" si="4">IF(F71&lt;26,25,IF(F71&gt;135,140,IF(F71&gt;130,135,IF(F71&gt;125,130,IF(F71&gt;120,125,IF(F71&gt;115,120,IF(F71&gt;110,115,IF(F71&gt;105,110,IF(F71&gt;100,105,IF(F71&gt;99,100,IF(F71&gt;90,99,IF(F71&gt;75,90,IF(F71&gt;72,75,IF(F71&gt;66,72,IF(F71&gt;60,66,IF(F71&gt;50,60,IF(F71&gt;30,50,IF(F71&gt;25,30,0))))))))))))))))))</f>
        <v>25</v>
      </c>
      <c r="H71" s="119">
        <f t="shared" si="2"/>
        <v>1.7348209652309272</v>
      </c>
      <c r="I71" s="118" t="str">
        <f t="shared" ref="I71:I83" si="5">IF(I$65&lt;H71, "NO", "YES")</f>
        <v>YES</v>
      </c>
      <c r="J71" s="117">
        <f t="shared" si="3"/>
        <v>25</v>
      </c>
    </row>
    <row r="72" spans="2:10" ht="15" customHeight="1">
      <c r="B72" s="114">
        <v>2021</v>
      </c>
      <c r="C72" s="430">
        <f>F51</f>
        <v>38</v>
      </c>
      <c r="D72" s="431"/>
      <c r="E72" s="121">
        <f>E65</f>
        <v>0.7050054252960325</v>
      </c>
      <c r="F72" s="120">
        <f t="shared" si="1"/>
        <v>26.790206161249234</v>
      </c>
      <c r="G72" s="118">
        <f t="shared" si="4"/>
        <v>30</v>
      </c>
      <c r="H72" s="119">
        <f t="shared" si="2"/>
        <v>3.2097938387507661</v>
      </c>
      <c r="I72" s="118" t="str">
        <f t="shared" si="5"/>
        <v>YES</v>
      </c>
      <c r="J72" s="117">
        <f t="shared" si="3"/>
        <v>30</v>
      </c>
    </row>
    <row r="73" spans="2:10" ht="15" customHeight="1">
      <c r="B73" s="114">
        <v>2022</v>
      </c>
      <c r="C73" s="430">
        <f>G51</f>
        <v>30</v>
      </c>
      <c r="D73" s="431"/>
      <c r="E73" s="121">
        <f>E65</f>
        <v>0.7050054252960325</v>
      </c>
      <c r="F73" s="120">
        <f t="shared" si="1"/>
        <v>21.150162758880974</v>
      </c>
      <c r="G73" s="118">
        <f t="shared" si="4"/>
        <v>25</v>
      </c>
      <c r="H73" s="119">
        <f t="shared" si="2"/>
        <v>3.849837241119026</v>
      </c>
      <c r="I73" s="118" t="str">
        <f t="shared" si="5"/>
        <v>YES</v>
      </c>
      <c r="J73" s="117">
        <f t="shared" si="3"/>
        <v>25</v>
      </c>
    </row>
    <row r="74" spans="2:10" ht="15" customHeight="1">
      <c r="B74" s="114">
        <v>2023</v>
      </c>
      <c r="C74" s="430">
        <f>H51</f>
        <v>34</v>
      </c>
      <c r="D74" s="431"/>
      <c r="E74" s="121">
        <f>E65</f>
        <v>0.7050054252960325</v>
      </c>
      <c r="F74" s="120">
        <f t="shared" si="1"/>
        <v>23.970184460065106</v>
      </c>
      <c r="G74" s="118">
        <f t="shared" si="4"/>
        <v>25</v>
      </c>
      <c r="H74" s="119">
        <f t="shared" si="2"/>
        <v>1.0298155399348943</v>
      </c>
      <c r="I74" s="118" t="str">
        <f t="shared" si="5"/>
        <v>YES</v>
      </c>
      <c r="J74" s="117">
        <f t="shared" si="3"/>
        <v>25</v>
      </c>
    </row>
    <row r="75" spans="2:10" ht="15" customHeight="1">
      <c r="B75" s="114">
        <v>2024</v>
      </c>
      <c r="C75" s="430">
        <f>I51</f>
        <v>35</v>
      </c>
      <c r="D75" s="431"/>
      <c r="E75" s="121">
        <f>E65</f>
        <v>0.7050054252960325</v>
      </c>
      <c r="F75" s="120">
        <f t="shared" si="1"/>
        <v>24.675189885361139</v>
      </c>
      <c r="G75" s="118">
        <f t="shared" si="4"/>
        <v>25</v>
      </c>
      <c r="H75" s="119">
        <f t="shared" si="2"/>
        <v>0.32481011463886134</v>
      </c>
      <c r="I75" s="118" t="str">
        <f t="shared" si="5"/>
        <v>YES</v>
      </c>
      <c r="J75" s="117">
        <f t="shared" si="3"/>
        <v>25</v>
      </c>
    </row>
    <row r="76" spans="2:10" ht="15" customHeight="1">
      <c r="B76" s="114">
        <v>2025</v>
      </c>
      <c r="C76" s="430">
        <f>J51</f>
        <v>35</v>
      </c>
      <c r="D76" s="431"/>
      <c r="E76" s="121">
        <f>E65</f>
        <v>0.7050054252960325</v>
      </c>
      <c r="F76" s="120">
        <f t="shared" si="1"/>
        <v>24.675189885361139</v>
      </c>
      <c r="G76" s="118">
        <f t="shared" si="4"/>
        <v>25</v>
      </c>
      <c r="H76" s="119">
        <f t="shared" si="2"/>
        <v>0.32481011463886134</v>
      </c>
      <c r="I76" s="118" t="str">
        <f t="shared" si="5"/>
        <v>YES</v>
      </c>
      <c r="J76" s="117">
        <f t="shared" si="3"/>
        <v>25</v>
      </c>
    </row>
    <row r="77" spans="2:10" ht="15" customHeight="1">
      <c r="B77" s="114">
        <v>2026</v>
      </c>
      <c r="C77" s="430">
        <f>K51</f>
        <v>36</v>
      </c>
      <c r="D77" s="431"/>
      <c r="E77" s="121">
        <f>E65</f>
        <v>0.7050054252960325</v>
      </c>
      <c r="F77" s="120">
        <f t="shared" si="1"/>
        <v>25.380195310657172</v>
      </c>
      <c r="G77" s="118">
        <f t="shared" si="4"/>
        <v>25</v>
      </c>
      <c r="H77" s="119">
        <f t="shared" si="2"/>
        <v>-0.3801953106571716</v>
      </c>
      <c r="I77" s="118" t="str">
        <f t="shared" si="5"/>
        <v>YES</v>
      </c>
      <c r="J77" s="117">
        <f t="shared" si="3"/>
        <v>25</v>
      </c>
    </row>
    <row r="78" spans="2:10" ht="15" customHeight="1">
      <c r="B78" s="114">
        <v>2027</v>
      </c>
      <c r="C78" s="430">
        <f>L51</f>
        <v>36</v>
      </c>
      <c r="D78" s="431"/>
      <c r="E78" s="121">
        <f>E65</f>
        <v>0.7050054252960325</v>
      </c>
      <c r="F78" s="120">
        <f t="shared" si="1"/>
        <v>25.380195310657172</v>
      </c>
      <c r="G78" s="118">
        <f t="shared" si="4"/>
        <v>25</v>
      </c>
      <c r="H78" s="119">
        <f t="shared" si="2"/>
        <v>-0.3801953106571716</v>
      </c>
      <c r="I78" s="118" t="str">
        <f t="shared" si="5"/>
        <v>YES</v>
      </c>
      <c r="J78" s="117">
        <f t="shared" si="3"/>
        <v>25</v>
      </c>
    </row>
    <row r="79" spans="2:10" ht="15" customHeight="1">
      <c r="B79" s="114">
        <v>2028</v>
      </c>
      <c r="C79" s="430">
        <f>M51</f>
        <v>36</v>
      </c>
      <c r="D79" s="431"/>
      <c r="E79" s="121">
        <f t="shared" ref="E79:E83" si="6">$E$65</f>
        <v>0.7050054252960325</v>
      </c>
      <c r="F79" s="120">
        <f t="shared" si="1"/>
        <v>25.380195310657172</v>
      </c>
      <c r="G79" s="118">
        <f t="shared" si="4"/>
        <v>25</v>
      </c>
      <c r="H79" s="119">
        <f t="shared" si="2"/>
        <v>-0.3801953106571716</v>
      </c>
      <c r="I79" s="118" t="str">
        <f t="shared" si="5"/>
        <v>YES</v>
      </c>
      <c r="J79" s="117">
        <f t="shared" si="3"/>
        <v>25</v>
      </c>
    </row>
    <row r="80" spans="2:10" ht="15" customHeight="1">
      <c r="B80" s="114">
        <v>2029</v>
      </c>
      <c r="C80" s="430">
        <f>N51</f>
        <v>36</v>
      </c>
      <c r="D80" s="431"/>
      <c r="E80" s="121">
        <f t="shared" si="6"/>
        <v>0.7050054252960325</v>
      </c>
      <c r="F80" s="120">
        <f t="shared" si="1"/>
        <v>25.380195310657172</v>
      </c>
      <c r="G80" s="118">
        <f t="shared" si="4"/>
        <v>25</v>
      </c>
      <c r="H80" s="119">
        <f t="shared" si="2"/>
        <v>-0.3801953106571716</v>
      </c>
      <c r="I80" s="118" t="str">
        <f t="shared" si="5"/>
        <v>YES</v>
      </c>
      <c r="J80" s="117">
        <f t="shared" si="3"/>
        <v>25</v>
      </c>
    </row>
    <row r="81" spans="2:10" ht="15" customHeight="1">
      <c r="B81" s="114">
        <v>2030</v>
      </c>
      <c r="C81" s="430">
        <f>O51</f>
        <v>36</v>
      </c>
      <c r="D81" s="431"/>
      <c r="E81" s="121">
        <f t="shared" si="6"/>
        <v>0.7050054252960325</v>
      </c>
      <c r="F81" s="120">
        <f t="shared" si="1"/>
        <v>25.380195310657172</v>
      </c>
      <c r="G81" s="118">
        <f t="shared" si="4"/>
        <v>25</v>
      </c>
      <c r="H81" s="119">
        <f t="shared" si="2"/>
        <v>-0.3801953106571716</v>
      </c>
      <c r="I81" s="118" t="str">
        <f t="shared" si="5"/>
        <v>YES</v>
      </c>
      <c r="J81" s="117">
        <f t="shared" si="3"/>
        <v>25</v>
      </c>
    </row>
    <row r="82" spans="2:10" ht="15" customHeight="1">
      <c r="B82" s="114">
        <v>2031</v>
      </c>
      <c r="C82" s="430">
        <f>P51</f>
        <v>36</v>
      </c>
      <c r="D82" s="431"/>
      <c r="E82" s="121">
        <f t="shared" si="6"/>
        <v>0.7050054252960325</v>
      </c>
      <c r="F82" s="120">
        <f t="shared" si="1"/>
        <v>25.380195310657172</v>
      </c>
      <c r="G82" s="118">
        <f t="shared" si="4"/>
        <v>25</v>
      </c>
      <c r="H82" s="119">
        <f t="shared" si="2"/>
        <v>-0.3801953106571716</v>
      </c>
      <c r="I82" s="118" t="str">
        <f t="shared" si="5"/>
        <v>YES</v>
      </c>
      <c r="J82" s="117">
        <f t="shared" si="3"/>
        <v>25</v>
      </c>
    </row>
    <row r="83" spans="2:10" ht="15" customHeight="1">
      <c r="B83" s="114">
        <v>2032</v>
      </c>
      <c r="C83" s="430">
        <f>Q51</f>
        <v>36</v>
      </c>
      <c r="D83" s="431"/>
      <c r="E83" s="121">
        <f t="shared" si="6"/>
        <v>0.7050054252960325</v>
      </c>
      <c r="F83" s="120">
        <f t="shared" si="1"/>
        <v>25.380195310657172</v>
      </c>
      <c r="G83" s="118">
        <f t="shared" si="4"/>
        <v>25</v>
      </c>
      <c r="H83" s="119">
        <f t="shared" si="2"/>
        <v>-0.3801953106571716</v>
      </c>
      <c r="I83" s="118" t="str">
        <f t="shared" si="5"/>
        <v>YES</v>
      </c>
      <c r="J83" s="117">
        <f t="shared" si="3"/>
        <v>25</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Leith Walk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45</v>
      </c>
      <c r="D91" s="112">
        <f t="shared" ref="D91:J91" si="7">D188</f>
        <v>38</v>
      </c>
      <c r="E91" s="112">
        <f t="shared" si="7"/>
        <v>36</v>
      </c>
      <c r="F91" s="112">
        <f t="shared" si="7"/>
        <v>29</v>
      </c>
      <c r="G91" s="112">
        <f t="shared" si="7"/>
        <v>21</v>
      </c>
      <c r="H91" s="112">
        <f t="shared" si="7"/>
        <v>22</v>
      </c>
      <c r="I91" s="112">
        <f t="shared" si="7"/>
        <v>26</v>
      </c>
      <c r="J91" s="213">
        <f t="shared" si="7"/>
        <v>217</v>
      </c>
    </row>
    <row r="92" spans="2:10" ht="15" customHeight="1">
      <c r="B92" s="114">
        <v>2014</v>
      </c>
      <c r="C92" s="112">
        <f>C189</f>
        <v>57</v>
      </c>
      <c r="D92" s="112">
        <f t="shared" ref="D92:J92" si="8">D189</f>
        <v>40</v>
      </c>
      <c r="E92" s="112">
        <f t="shared" si="8"/>
        <v>31</v>
      </c>
      <c r="F92" s="112">
        <f t="shared" si="8"/>
        <v>38</v>
      </c>
      <c r="G92" s="112">
        <f t="shared" si="8"/>
        <v>21</v>
      </c>
      <c r="H92" s="112">
        <f t="shared" si="8"/>
        <v>20</v>
      </c>
      <c r="I92" s="112">
        <f t="shared" si="8"/>
        <v>25</v>
      </c>
      <c r="J92" s="213">
        <f t="shared" si="8"/>
        <v>232</v>
      </c>
    </row>
    <row r="93" spans="2:10" ht="15" customHeight="1">
      <c r="B93" s="114">
        <v>2015</v>
      </c>
      <c r="C93" s="112">
        <f>C190</f>
        <v>40</v>
      </c>
      <c r="D93" s="112">
        <f t="shared" ref="D93:J93" si="9">D190</f>
        <v>57</v>
      </c>
      <c r="E93" s="112">
        <f t="shared" si="9"/>
        <v>35</v>
      </c>
      <c r="F93" s="112">
        <f t="shared" si="9"/>
        <v>28</v>
      </c>
      <c r="G93" s="112">
        <f t="shared" si="9"/>
        <v>34</v>
      </c>
      <c r="H93" s="112">
        <f t="shared" si="9"/>
        <v>21</v>
      </c>
      <c r="I93" s="112">
        <f t="shared" si="9"/>
        <v>20</v>
      </c>
      <c r="J93" s="213">
        <f t="shared" si="9"/>
        <v>235</v>
      </c>
    </row>
    <row r="94" spans="2:10" ht="15" customHeight="1">
      <c r="B94" s="114">
        <v>2016</v>
      </c>
      <c r="C94" s="112">
        <f>C191</f>
        <v>44</v>
      </c>
      <c r="D94" s="112">
        <f t="shared" ref="D94:J94" si="10">D191</f>
        <v>40</v>
      </c>
      <c r="E94" s="112">
        <f t="shared" si="10"/>
        <v>49</v>
      </c>
      <c r="F94" s="112">
        <f t="shared" si="10"/>
        <v>29</v>
      </c>
      <c r="G94" s="112">
        <f t="shared" si="10"/>
        <v>30</v>
      </c>
      <c r="H94" s="112">
        <f t="shared" si="10"/>
        <v>33</v>
      </c>
      <c r="I94" s="112">
        <f t="shared" si="10"/>
        <v>21</v>
      </c>
      <c r="J94" s="213">
        <f t="shared" si="10"/>
        <v>246</v>
      </c>
    </row>
    <row r="95" spans="2:10" ht="15" customHeight="1">
      <c r="B95" s="114">
        <v>2017</v>
      </c>
      <c r="C95" s="112">
        <f>C192</f>
        <v>45</v>
      </c>
      <c r="D95" s="112">
        <f t="shared" ref="D95:J95" si="11">D192</f>
        <v>37</v>
      </c>
      <c r="E95" s="112">
        <f t="shared" si="11"/>
        <v>35</v>
      </c>
      <c r="F95" s="112">
        <f t="shared" si="11"/>
        <v>46</v>
      </c>
      <c r="G95" s="112">
        <f t="shared" si="11"/>
        <v>28</v>
      </c>
      <c r="H95" s="112">
        <f t="shared" si="11"/>
        <v>27</v>
      </c>
      <c r="I95" s="112">
        <f t="shared" si="11"/>
        <v>30</v>
      </c>
      <c r="J95" s="213">
        <f t="shared" si="11"/>
        <v>248</v>
      </c>
    </row>
    <row r="96" spans="2:10" ht="15" customHeight="1">
      <c r="B96" s="307">
        <v>2018</v>
      </c>
      <c r="C96" s="112">
        <f t="shared" ref="C96:J96" si="12">C193</f>
        <v>33</v>
      </c>
      <c r="D96" s="112">
        <f t="shared" si="12"/>
        <v>39</v>
      </c>
      <c r="E96" s="112">
        <f t="shared" si="12"/>
        <v>34</v>
      </c>
      <c r="F96" s="112">
        <f t="shared" si="12"/>
        <v>29</v>
      </c>
      <c r="G96" s="112">
        <f t="shared" si="12"/>
        <v>41</v>
      </c>
      <c r="H96" s="112">
        <f t="shared" si="12"/>
        <v>19</v>
      </c>
      <c r="I96" s="112">
        <f t="shared" si="12"/>
        <v>28</v>
      </c>
      <c r="J96" s="213">
        <f t="shared" si="12"/>
        <v>223</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0.1111111111111111</v>
      </c>
      <c r="E98" s="210">
        <f t="shared" ref="E98:I98" si="13">MEDIAN(((D91-E92)/D91),((D92-E93)/D92),((D93-E94)/D93),((D94-E95)/D94),((D95-E96)/D95))</f>
        <v>0.125</v>
      </c>
      <c r="F98" s="210">
        <f t="shared" si="13"/>
        <v>9.6774193548387094E-2</v>
      </c>
      <c r="G98" s="210">
        <f t="shared" si="13"/>
        <v>0.10526315789473684</v>
      </c>
      <c r="H98" s="210">
        <f t="shared" si="13"/>
        <v>4.7619047619047616E-2</v>
      </c>
      <c r="I98" s="210">
        <f t="shared" si="13"/>
        <v>0</v>
      </c>
    </row>
    <row r="99" spans="2:10" ht="15" customHeight="1">
      <c r="B99" s="59"/>
      <c r="C99" s="60"/>
      <c r="D99" s="61"/>
      <c r="E99" s="61"/>
      <c r="F99" s="61"/>
      <c r="G99" s="61"/>
      <c r="H99" s="61"/>
      <c r="I99" s="61"/>
      <c r="J99" s="58"/>
    </row>
    <row r="100" spans="2:10" ht="15" customHeight="1">
      <c r="B100" s="15" t="str">
        <f>"Table 4B: "&amp;E3&amp;" Projected Roll by Stage (incorporating Projected P1 and Drop-Off Rates), 2019-2032"</f>
        <v>Table 4B: Leith Walk Primary School Projected Roll by Stage (incorporating Projected P1 and Drop-Off Rates), 2019-2032</v>
      </c>
      <c r="F100" s="14"/>
      <c r="G100" s="14"/>
    </row>
    <row r="101" spans="2:10" ht="15" customHeight="1">
      <c r="F101" s="14"/>
      <c r="G101" s="14"/>
    </row>
    <row r="102" spans="2:10" ht="15" customHeight="1">
      <c r="B102" s="115"/>
      <c r="C102" s="109" t="s">
        <v>1</v>
      </c>
      <c r="D102" s="109" t="s">
        <v>2</v>
      </c>
      <c r="E102" s="109" t="s">
        <v>3</v>
      </c>
      <c r="F102" s="109" t="s">
        <v>4</v>
      </c>
      <c r="G102" s="109" t="s">
        <v>5</v>
      </c>
      <c r="H102" s="109" t="s">
        <v>6</v>
      </c>
      <c r="I102" s="109" t="s">
        <v>7</v>
      </c>
      <c r="J102" s="109" t="s">
        <v>8</v>
      </c>
    </row>
    <row r="103" spans="2:10" ht="15" customHeight="1">
      <c r="B103" s="114">
        <v>2019</v>
      </c>
      <c r="C103" s="113">
        <f t="shared" ref="C103:C116" si="14">J70</f>
        <v>30</v>
      </c>
      <c r="D103" s="324">
        <f>ROUND((C96)-(C96*$D$98),0)</f>
        <v>29</v>
      </c>
      <c r="E103" s="324">
        <f>ROUND((D96)-(D96*$E$98),0)</f>
        <v>34</v>
      </c>
      <c r="F103" s="324">
        <f>ROUND((E96)-(E96*$F$98),0)</f>
        <v>31</v>
      </c>
      <c r="G103" s="324">
        <f>ROUND((F96)-(F96*$G$98),0)</f>
        <v>26</v>
      </c>
      <c r="H103" s="324">
        <f>ROUND((G96)-(G96*$H$98),0)</f>
        <v>39</v>
      </c>
      <c r="I103" s="324">
        <f>ROUND((H96)-(H96*$I$98),0)</f>
        <v>19</v>
      </c>
      <c r="J103" s="111">
        <f t="shared" ref="J103:J116" si="15">SUM(C103:I103)</f>
        <v>208</v>
      </c>
    </row>
    <row r="104" spans="2:10" ht="15" customHeight="1">
      <c r="B104" s="114">
        <v>2020</v>
      </c>
      <c r="C104" s="113">
        <f t="shared" si="14"/>
        <v>25</v>
      </c>
      <c r="D104" s="324">
        <f>ROUND((C103-E50)-(C103*$D$98),0)</f>
        <v>26</v>
      </c>
      <c r="E104" s="112">
        <f t="shared" ref="E104:E116" si="16">ROUND((D103)-(D103*$E$98),0)</f>
        <v>25</v>
      </c>
      <c r="F104" s="112">
        <f t="shared" ref="F104:F116" si="17">ROUND((E103)-(E103*$F$98),0)</f>
        <v>31</v>
      </c>
      <c r="G104" s="112">
        <f t="shared" ref="G104:G116" si="18">ROUND((F103)-(F103*$G$98),0)</f>
        <v>28</v>
      </c>
      <c r="H104" s="112">
        <f t="shared" ref="H104:H116" si="19">ROUND((G103)-(G103*$H$98),0)</f>
        <v>25</v>
      </c>
      <c r="I104" s="112">
        <f t="shared" ref="I104:I116" si="20">ROUND((H103)-(H103*$I$98),0)</f>
        <v>39</v>
      </c>
      <c r="J104" s="111">
        <f t="shared" si="15"/>
        <v>199</v>
      </c>
    </row>
    <row r="105" spans="2:10" ht="15" customHeight="1">
      <c r="B105" s="114">
        <v>2021</v>
      </c>
      <c r="C105" s="113">
        <f t="shared" si="14"/>
        <v>30</v>
      </c>
      <c r="D105" s="324">
        <f>ROUND((C104-F50)-(C104*$D$98),0)</f>
        <v>21</v>
      </c>
      <c r="E105" s="112">
        <f t="shared" si="16"/>
        <v>23</v>
      </c>
      <c r="F105" s="112">
        <f t="shared" si="17"/>
        <v>23</v>
      </c>
      <c r="G105" s="112">
        <f t="shared" si="18"/>
        <v>28</v>
      </c>
      <c r="H105" s="112">
        <f t="shared" si="19"/>
        <v>27</v>
      </c>
      <c r="I105" s="112">
        <f t="shared" si="20"/>
        <v>25</v>
      </c>
      <c r="J105" s="111">
        <f t="shared" si="15"/>
        <v>177</v>
      </c>
    </row>
    <row r="106" spans="2:10" ht="15" customHeight="1">
      <c r="B106" s="114">
        <v>2022</v>
      </c>
      <c r="C106" s="113">
        <f t="shared" si="14"/>
        <v>25</v>
      </c>
      <c r="D106" s="324">
        <f>ROUND((C105-G50)-(C105*$D$98),0)</f>
        <v>26</v>
      </c>
      <c r="E106" s="112">
        <f t="shared" si="16"/>
        <v>18</v>
      </c>
      <c r="F106" s="112">
        <f t="shared" si="17"/>
        <v>21</v>
      </c>
      <c r="G106" s="112">
        <f t="shared" si="18"/>
        <v>21</v>
      </c>
      <c r="H106" s="112">
        <f t="shared" si="19"/>
        <v>27</v>
      </c>
      <c r="I106" s="112">
        <f t="shared" si="20"/>
        <v>27</v>
      </c>
      <c r="J106" s="111">
        <f t="shared" si="15"/>
        <v>165</v>
      </c>
    </row>
    <row r="107" spans="2:10" ht="15" customHeight="1">
      <c r="B107" s="114">
        <v>2023</v>
      </c>
      <c r="C107" s="113">
        <f t="shared" si="14"/>
        <v>25</v>
      </c>
      <c r="D107" s="324">
        <f>ROUND((C106-H50)-(C106*$D$98),0)</f>
        <v>21</v>
      </c>
      <c r="E107" s="112">
        <f t="shared" si="16"/>
        <v>23</v>
      </c>
      <c r="F107" s="112">
        <f t="shared" si="17"/>
        <v>16</v>
      </c>
      <c r="G107" s="112">
        <f t="shared" si="18"/>
        <v>19</v>
      </c>
      <c r="H107" s="112">
        <f t="shared" si="19"/>
        <v>20</v>
      </c>
      <c r="I107" s="112">
        <f t="shared" si="20"/>
        <v>27</v>
      </c>
      <c r="J107" s="111">
        <f t="shared" si="15"/>
        <v>151</v>
      </c>
    </row>
    <row r="108" spans="2:10" ht="15" customHeight="1">
      <c r="B108" s="114">
        <v>2024</v>
      </c>
      <c r="C108" s="113">
        <f t="shared" si="14"/>
        <v>25</v>
      </c>
      <c r="D108" s="324">
        <f>ROUND((C107-I50)-(C107*$D$98),0)</f>
        <v>21</v>
      </c>
      <c r="E108" s="112">
        <f t="shared" si="16"/>
        <v>18</v>
      </c>
      <c r="F108" s="112">
        <f t="shared" si="17"/>
        <v>21</v>
      </c>
      <c r="G108" s="112">
        <f t="shared" si="18"/>
        <v>14</v>
      </c>
      <c r="H108" s="112">
        <f t="shared" si="19"/>
        <v>18</v>
      </c>
      <c r="I108" s="112">
        <f t="shared" si="20"/>
        <v>20</v>
      </c>
      <c r="J108" s="111">
        <f t="shared" si="15"/>
        <v>137</v>
      </c>
    </row>
    <row r="109" spans="2:10" ht="15" customHeight="1">
      <c r="B109" s="114">
        <v>2025</v>
      </c>
      <c r="C109" s="113">
        <f t="shared" si="14"/>
        <v>25</v>
      </c>
      <c r="D109" s="324">
        <f>ROUND((C108-J50)-(C108*$D$98),0)</f>
        <v>21</v>
      </c>
      <c r="E109" s="112">
        <f t="shared" si="16"/>
        <v>18</v>
      </c>
      <c r="F109" s="112">
        <f t="shared" si="17"/>
        <v>16</v>
      </c>
      <c r="G109" s="112">
        <f t="shared" si="18"/>
        <v>19</v>
      </c>
      <c r="H109" s="112">
        <f t="shared" si="19"/>
        <v>13</v>
      </c>
      <c r="I109" s="112">
        <f t="shared" si="20"/>
        <v>18</v>
      </c>
      <c r="J109" s="111">
        <f t="shared" si="15"/>
        <v>130</v>
      </c>
    </row>
    <row r="110" spans="2:10" ht="15" customHeight="1">
      <c r="B110" s="114">
        <v>2026</v>
      </c>
      <c r="C110" s="113">
        <f t="shared" si="14"/>
        <v>25</v>
      </c>
      <c r="D110" s="324">
        <f>ROUND((C109-K50)-(C109*$D$98),0)</f>
        <v>21</v>
      </c>
      <c r="E110" s="112">
        <f t="shared" si="16"/>
        <v>18</v>
      </c>
      <c r="F110" s="112">
        <f t="shared" si="17"/>
        <v>16</v>
      </c>
      <c r="G110" s="112">
        <f t="shared" si="18"/>
        <v>14</v>
      </c>
      <c r="H110" s="112">
        <f t="shared" si="19"/>
        <v>18</v>
      </c>
      <c r="I110" s="112">
        <f t="shared" si="20"/>
        <v>13</v>
      </c>
      <c r="J110" s="111">
        <f t="shared" si="15"/>
        <v>125</v>
      </c>
    </row>
    <row r="111" spans="2:10" ht="15" customHeight="1">
      <c r="B111" s="114">
        <v>2027</v>
      </c>
      <c r="C111" s="113">
        <f t="shared" si="14"/>
        <v>25</v>
      </c>
      <c r="D111" s="324">
        <f>ROUND((C110-L50)-(C110*$D$98),0)</f>
        <v>21</v>
      </c>
      <c r="E111" s="112">
        <f t="shared" si="16"/>
        <v>18</v>
      </c>
      <c r="F111" s="112">
        <f t="shared" si="17"/>
        <v>16</v>
      </c>
      <c r="G111" s="112">
        <f t="shared" si="18"/>
        <v>14</v>
      </c>
      <c r="H111" s="112">
        <f t="shared" si="19"/>
        <v>13</v>
      </c>
      <c r="I111" s="112">
        <f t="shared" si="20"/>
        <v>18</v>
      </c>
      <c r="J111" s="111">
        <f t="shared" si="15"/>
        <v>125</v>
      </c>
    </row>
    <row r="112" spans="2:10" ht="15" customHeight="1">
      <c r="B112" s="114">
        <v>2028</v>
      </c>
      <c r="C112" s="113">
        <f t="shared" si="14"/>
        <v>25</v>
      </c>
      <c r="D112" s="324">
        <f>ROUND((C111-M50)-(C111*$D$98),0)</f>
        <v>21</v>
      </c>
      <c r="E112" s="112">
        <f t="shared" si="16"/>
        <v>18</v>
      </c>
      <c r="F112" s="112">
        <f t="shared" si="17"/>
        <v>16</v>
      </c>
      <c r="G112" s="112">
        <f t="shared" si="18"/>
        <v>14</v>
      </c>
      <c r="H112" s="112">
        <f t="shared" si="19"/>
        <v>13</v>
      </c>
      <c r="I112" s="112">
        <f t="shared" si="20"/>
        <v>13</v>
      </c>
      <c r="J112" s="111">
        <f t="shared" si="15"/>
        <v>120</v>
      </c>
    </row>
    <row r="113" spans="2:10" ht="15" customHeight="1">
      <c r="B113" s="114">
        <v>2029</v>
      </c>
      <c r="C113" s="113">
        <f t="shared" si="14"/>
        <v>25</v>
      </c>
      <c r="D113" s="324">
        <f>ROUND((C112-N50)-(C112*$D$98),0)</f>
        <v>21</v>
      </c>
      <c r="E113" s="112">
        <f t="shared" si="16"/>
        <v>18</v>
      </c>
      <c r="F113" s="112">
        <f t="shared" si="17"/>
        <v>16</v>
      </c>
      <c r="G113" s="112">
        <f t="shared" si="18"/>
        <v>14</v>
      </c>
      <c r="H113" s="112">
        <f t="shared" si="19"/>
        <v>13</v>
      </c>
      <c r="I113" s="112">
        <f t="shared" si="20"/>
        <v>13</v>
      </c>
      <c r="J113" s="111">
        <f t="shared" si="15"/>
        <v>120</v>
      </c>
    </row>
    <row r="114" spans="2:10" ht="15" customHeight="1">
      <c r="B114" s="114">
        <v>2030</v>
      </c>
      <c r="C114" s="113">
        <f t="shared" si="14"/>
        <v>25</v>
      </c>
      <c r="D114" s="324">
        <f>ROUND((C113-O50)-(C113*$D$98),0)</f>
        <v>21</v>
      </c>
      <c r="E114" s="112">
        <f t="shared" si="16"/>
        <v>18</v>
      </c>
      <c r="F114" s="112">
        <f t="shared" si="17"/>
        <v>16</v>
      </c>
      <c r="G114" s="112">
        <f t="shared" si="18"/>
        <v>14</v>
      </c>
      <c r="H114" s="112">
        <f t="shared" si="19"/>
        <v>13</v>
      </c>
      <c r="I114" s="112">
        <f t="shared" si="20"/>
        <v>13</v>
      </c>
      <c r="J114" s="111">
        <f t="shared" si="15"/>
        <v>120</v>
      </c>
    </row>
    <row r="115" spans="2:10" ht="15" customHeight="1">
      <c r="B115" s="114">
        <v>2031</v>
      </c>
      <c r="C115" s="113">
        <f t="shared" si="14"/>
        <v>25</v>
      </c>
      <c r="D115" s="324">
        <f>ROUND((C114-P50)-(C114*$D$98),0)</f>
        <v>21</v>
      </c>
      <c r="E115" s="112">
        <f t="shared" si="16"/>
        <v>18</v>
      </c>
      <c r="F115" s="112">
        <f t="shared" si="17"/>
        <v>16</v>
      </c>
      <c r="G115" s="112">
        <f t="shared" si="18"/>
        <v>14</v>
      </c>
      <c r="H115" s="112">
        <f t="shared" si="19"/>
        <v>13</v>
      </c>
      <c r="I115" s="112">
        <f t="shared" si="20"/>
        <v>13</v>
      </c>
      <c r="J115" s="111">
        <f t="shared" si="15"/>
        <v>120</v>
      </c>
    </row>
    <row r="116" spans="2:10" ht="15" customHeight="1">
      <c r="B116" s="114">
        <v>2032</v>
      </c>
      <c r="C116" s="113">
        <f t="shared" si="14"/>
        <v>25</v>
      </c>
      <c r="D116" s="324">
        <f>ROUND((C115-Q50)-(C115*$D$98),0)</f>
        <v>21</v>
      </c>
      <c r="E116" s="112">
        <f t="shared" si="16"/>
        <v>18</v>
      </c>
      <c r="F116" s="112">
        <f t="shared" si="17"/>
        <v>16</v>
      </c>
      <c r="G116" s="112">
        <f t="shared" si="18"/>
        <v>14</v>
      </c>
      <c r="H116" s="112">
        <f t="shared" si="19"/>
        <v>13</v>
      </c>
      <c r="I116" s="112">
        <f t="shared" si="20"/>
        <v>13</v>
      </c>
      <c r="J116" s="111">
        <f t="shared" si="15"/>
        <v>120</v>
      </c>
    </row>
    <row r="117" spans="2:10" ht="15" customHeight="1">
      <c r="F117" s="14"/>
      <c r="G117" s="14"/>
    </row>
    <row r="118" spans="2:10" ht="15" customHeight="1">
      <c r="B118" s="15" t="str">
        <f>"Table 4C: "&amp;E3&amp;" Projected Pupil Generation from Housing Development, 2019-2032"</f>
        <v>Table 4C: Leith Walk Primary School Projected Pupil Generation from Housing Development, 2019-2032</v>
      </c>
      <c r="F118" s="14"/>
      <c r="G118" s="14"/>
    </row>
    <row r="119" spans="2:10" ht="15" customHeight="1">
      <c r="F119" s="14"/>
      <c r="G119" s="14"/>
    </row>
    <row r="120" spans="2:10" ht="15" customHeight="1">
      <c r="B120" s="115"/>
      <c r="C120" s="109" t="s">
        <v>1</v>
      </c>
      <c r="D120" s="109" t="s">
        <v>2</v>
      </c>
      <c r="E120" s="109" t="s">
        <v>3</v>
      </c>
      <c r="F120" s="109" t="s">
        <v>4</v>
      </c>
      <c r="G120" s="109" t="s">
        <v>5</v>
      </c>
      <c r="H120" s="109" t="s">
        <v>6</v>
      </c>
      <c r="I120" s="109" t="s">
        <v>7</v>
      </c>
      <c r="J120" s="109" t="s">
        <v>8</v>
      </c>
    </row>
    <row r="121" spans="2:10" ht="15" customHeight="1">
      <c r="B121" s="114">
        <v>2019</v>
      </c>
      <c r="C121" s="116" t="s">
        <v>97</v>
      </c>
      <c r="D121" s="112">
        <f>VLOOKUP($E$3,'Housing Generation'!$A$3:$BE$90,11,FALSE)</f>
        <v>1</v>
      </c>
      <c r="E121" s="112">
        <f>VLOOKUP($E$3,'Housing Generation'!$A$3:$BE$90,12,FALSE)</f>
        <v>1</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2</v>
      </c>
    </row>
    <row r="122" spans="2:10" ht="15" customHeight="1">
      <c r="B122" s="114">
        <v>2020</v>
      </c>
      <c r="C122" s="116" t="s">
        <v>97</v>
      </c>
      <c r="D122" s="112">
        <f>VLOOKUP($E$3,'Housing Generation'!$A$3:$BE$90,19,FALSE)</f>
        <v>1</v>
      </c>
      <c r="E122" s="112">
        <f>VLOOKUP($E$3,'Housing Generation'!$A$3:$BE$90,20,FALSE)</f>
        <v>1</v>
      </c>
      <c r="F122" s="112">
        <f>VLOOKUP($E$3,'Housing Generation'!$A$3:$BE$90,21,FALSE)</f>
        <v>0</v>
      </c>
      <c r="G122" s="112">
        <f>VLOOKUP($E$3,'Housing Generation'!$A$3:$BE$90,22,FALSE)</f>
        <v>0</v>
      </c>
      <c r="H122" s="112">
        <f>VLOOKUP($E$3,'Housing Generation'!$A$3:$BE$90,23,FALSE)</f>
        <v>0</v>
      </c>
      <c r="I122" s="112">
        <f>VLOOKUP($E$3,'Housing Generation'!$A$3:$BE$90,24,FALSE)</f>
        <v>0</v>
      </c>
      <c r="J122" s="111">
        <f t="shared" si="21"/>
        <v>2</v>
      </c>
    </row>
    <row r="123" spans="2:10" ht="15" customHeight="1">
      <c r="B123" s="114">
        <v>2021</v>
      </c>
      <c r="C123" s="116" t="s">
        <v>97</v>
      </c>
      <c r="D123" s="112">
        <f>VLOOKUP($E$3,'Housing Generation'!$A$3:$BE$90,27,FALSE)</f>
        <v>1</v>
      </c>
      <c r="E123" s="112">
        <f>VLOOKUP($E$3,'Housing Generation'!$A$3:$BE$90,28,FALSE)</f>
        <v>1</v>
      </c>
      <c r="F123" s="112">
        <f>VLOOKUP($E$3,'Housing Generation'!$A$3:$BE$90,29,FALSE)</f>
        <v>0</v>
      </c>
      <c r="G123" s="112">
        <f>VLOOKUP($E$3,'Housing Generation'!$A$3:$BE$90,30,FALSE)</f>
        <v>0</v>
      </c>
      <c r="H123" s="112">
        <f>VLOOKUP($E$3,'Housing Generation'!$A$3:$BE$90,31,FALSE)</f>
        <v>0</v>
      </c>
      <c r="I123" s="112">
        <f>VLOOKUP($E$3,'Housing Generation'!$A$3:$BE$90,32,FALSE)</f>
        <v>0</v>
      </c>
      <c r="J123" s="111">
        <f t="shared" si="21"/>
        <v>2</v>
      </c>
    </row>
    <row r="124" spans="2:10" ht="15" customHeight="1">
      <c r="B124" s="114">
        <v>2022</v>
      </c>
      <c r="C124" s="116" t="s">
        <v>97</v>
      </c>
      <c r="D124" s="112">
        <f>VLOOKUP($E$3,'Housing Generation'!$A$3:$BE$90,35,FALSE)</f>
        <v>1</v>
      </c>
      <c r="E124" s="112">
        <f>VLOOKUP($E$3,'Housing Generation'!$A$3:$BE$90,36,FALSE)</f>
        <v>1</v>
      </c>
      <c r="F124" s="112">
        <f>VLOOKUP($E$3,'Housing Generation'!$A$3:$BE$90,37,FALSE)</f>
        <v>0</v>
      </c>
      <c r="G124" s="112">
        <f>VLOOKUP($E$3,'Housing Generation'!$A$3:$BE$90,38,FALSE)</f>
        <v>0</v>
      </c>
      <c r="H124" s="112">
        <f>VLOOKUP($E$3,'Housing Generation'!$A$3:$BE$90,39,FALSE)</f>
        <v>0</v>
      </c>
      <c r="I124" s="112">
        <f>VLOOKUP($E$3,'Housing Generation'!$A$3:$BE$90,40,FALSE)</f>
        <v>0</v>
      </c>
      <c r="J124" s="111">
        <f t="shared" si="21"/>
        <v>2</v>
      </c>
    </row>
    <row r="125" spans="2:10" ht="15" customHeight="1">
      <c r="B125" s="114">
        <v>2023</v>
      </c>
      <c r="C125" s="116" t="s">
        <v>97</v>
      </c>
      <c r="D125" s="112">
        <f>VLOOKUP($E$3,'Housing Generation'!$A$3:$BE$90,43,FALSE)</f>
        <v>1</v>
      </c>
      <c r="E125" s="112">
        <f>VLOOKUP($E$3,'Housing Generation'!$A$3:$BE$90,44,FALSE)</f>
        <v>1</v>
      </c>
      <c r="F125" s="112">
        <f>VLOOKUP($E$3,'Housing Generation'!$A$3:$BE$90,45,FALSE)</f>
        <v>0</v>
      </c>
      <c r="G125" s="112">
        <f>VLOOKUP($E$3,'Housing Generation'!$A$3:$BE$90,46,FALSE)</f>
        <v>0</v>
      </c>
      <c r="H125" s="112">
        <f>VLOOKUP($E$3,'Housing Generation'!$A$3:$BE$90,47,FALSE)</f>
        <v>0</v>
      </c>
      <c r="I125" s="112">
        <f>VLOOKUP($E$3,'Housing Generation'!$A$3:$BE$90,48,FALSE)</f>
        <v>0</v>
      </c>
      <c r="J125" s="111">
        <f t="shared" si="21"/>
        <v>2</v>
      </c>
    </row>
    <row r="126" spans="2:10" ht="15" customHeight="1">
      <c r="B126" s="114">
        <v>2024</v>
      </c>
      <c r="C126" s="116" t="s">
        <v>97</v>
      </c>
      <c r="D126" s="112">
        <f>VLOOKUP($E$3,'Housing Generation'!$A$3:$BE$90,51,FALSE)</f>
        <v>1</v>
      </c>
      <c r="E126" s="112">
        <f>VLOOKUP($E$3,'Housing Generation'!$A$3:$BE$90,52,FALSE)</f>
        <v>1</v>
      </c>
      <c r="F126" s="112">
        <f>VLOOKUP($E$3,'Housing Generation'!$A$3:$BE$90,53,FALSE)</f>
        <v>1</v>
      </c>
      <c r="G126" s="112">
        <f>VLOOKUP($E$3,'Housing Generation'!$A$3:$BE$90,54,FALSE)</f>
        <v>0</v>
      </c>
      <c r="H126" s="112">
        <f>VLOOKUP($E$3,'Housing Generation'!$A$3:$BE$90,55,FALSE)</f>
        <v>0</v>
      </c>
      <c r="I126" s="112">
        <f>VLOOKUP($E$3,'Housing Generation'!$A$3:$BE$90,56,FALSE)</f>
        <v>0</v>
      </c>
      <c r="J126" s="111">
        <f t="shared" si="21"/>
        <v>3</v>
      </c>
    </row>
    <row r="127" spans="2:10" ht="15" customHeight="1">
      <c r="B127" s="114">
        <v>2025</v>
      </c>
      <c r="C127" s="240" t="s">
        <v>97</v>
      </c>
      <c r="D127" s="112">
        <f>VLOOKUP($E$3,'Housing Generation'!$A$3:$CK$90,59,FALSE)</f>
        <v>1</v>
      </c>
      <c r="E127" s="112">
        <f>VLOOKUP($E$3,'Housing Generation'!$A$3:$CK$90,60,FALSE)</f>
        <v>1</v>
      </c>
      <c r="F127" s="112">
        <f>VLOOKUP($E$3,'Housing Generation'!$A$3:$CK$90,61,FALSE)</f>
        <v>1</v>
      </c>
      <c r="G127" s="112">
        <f>VLOOKUP($E$3,'Housing Generation'!$A$3:$CK$90,62,FALSE)</f>
        <v>1</v>
      </c>
      <c r="H127" s="112">
        <f>VLOOKUP($E$3,'Housing Generation'!$A$3:$CK$90,63,FALSE)</f>
        <v>1</v>
      </c>
      <c r="I127" s="112">
        <f>VLOOKUP($E$3,'Housing Generation'!$A$3:$CK$90,64,FALSE)</f>
        <v>0</v>
      </c>
      <c r="J127" s="111">
        <f t="shared" si="21"/>
        <v>5</v>
      </c>
    </row>
    <row r="128" spans="2:10" ht="15" customHeight="1">
      <c r="B128" s="114">
        <v>2026</v>
      </c>
      <c r="C128" s="240" t="s">
        <v>97</v>
      </c>
      <c r="D128" s="112">
        <f>VLOOKUP($E$3,'Housing Generation'!$A$3:$CK$90,67,FALSE)</f>
        <v>1</v>
      </c>
      <c r="E128" s="112">
        <f>VLOOKUP($E$3,'Housing Generation'!$A$3:$CK$90,68,FALSE)</f>
        <v>1</v>
      </c>
      <c r="F128" s="112">
        <f>VLOOKUP($E$3,'Housing Generation'!$A$3:$CK$90,69,FALSE)</f>
        <v>1</v>
      </c>
      <c r="G128" s="112">
        <f>VLOOKUP($E$3,'Housing Generation'!$A$3:$CK$90,70,FALSE)</f>
        <v>1</v>
      </c>
      <c r="H128" s="112">
        <f>VLOOKUP($E$3,'Housing Generation'!$A$3:$CK$90,71,FALSE)</f>
        <v>1</v>
      </c>
      <c r="I128" s="112">
        <f>VLOOKUP($E$3,'Housing Generation'!$A$3:$CK$90,72,FALSE)</f>
        <v>0</v>
      </c>
      <c r="J128" s="111">
        <f t="shared" si="21"/>
        <v>5</v>
      </c>
    </row>
    <row r="129" spans="2:10" ht="15" customHeight="1">
      <c r="B129" s="114">
        <v>2027</v>
      </c>
      <c r="C129" s="240" t="s">
        <v>97</v>
      </c>
      <c r="D129" s="112">
        <f>VLOOKUP($E$3,'Housing Generation'!$A$3:$CK$90,75,FALSE)</f>
        <v>1</v>
      </c>
      <c r="E129" s="112">
        <f>VLOOKUP($E$3,'Housing Generation'!$A$3:$CK$90,76,FALSE)</f>
        <v>1</v>
      </c>
      <c r="F129" s="112">
        <f>VLOOKUP($E$3,'Housing Generation'!$A$3:$CK$90,77,FALSE)</f>
        <v>1</v>
      </c>
      <c r="G129" s="112">
        <f>VLOOKUP($E$3,'Housing Generation'!$A$3:$CK$90,78,FALSE)</f>
        <v>1</v>
      </c>
      <c r="H129" s="112">
        <f>VLOOKUP($E$3,'Housing Generation'!$A$3:$CK$90,79,FALSE)</f>
        <v>1</v>
      </c>
      <c r="I129" s="112">
        <f>VLOOKUP($E$3,'Housing Generation'!$A$3:$CK$90,80,FALSE)</f>
        <v>0</v>
      </c>
      <c r="J129" s="111">
        <f t="shared" si="21"/>
        <v>5</v>
      </c>
    </row>
    <row r="130" spans="2:10" ht="15" customHeight="1">
      <c r="B130" s="114">
        <v>2028</v>
      </c>
      <c r="C130" s="289" t="s">
        <v>97</v>
      </c>
      <c r="D130" s="112">
        <f>VLOOKUP($E$3,'Housing Generation'!$A$3:$CK$90,83,FALSE)</f>
        <v>1</v>
      </c>
      <c r="E130" s="112">
        <f>VLOOKUP($E$3,'Housing Generation'!$A$3:$CK$90,84,FALSE)</f>
        <v>1</v>
      </c>
      <c r="F130" s="112">
        <f>VLOOKUP($E$3,'Housing Generation'!$A$3:$CK$90,85,FALSE)</f>
        <v>1</v>
      </c>
      <c r="G130" s="112">
        <f>VLOOKUP($E$3,'Housing Generation'!$A$3:$CK$90,86,FALSE)</f>
        <v>1</v>
      </c>
      <c r="H130" s="112">
        <f>VLOOKUP($E$3,'Housing Generation'!$A$3:$CK$90,87,FALSE)</f>
        <v>1</v>
      </c>
      <c r="I130" s="112">
        <f>VLOOKUP($E$3,'Housing Generation'!$A$3:$CK$90,88,FALSE)</f>
        <v>0</v>
      </c>
      <c r="J130" s="111">
        <f t="shared" si="21"/>
        <v>5</v>
      </c>
    </row>
    <row r="131" spans="2:10" ht="15" customHeight="1">
      <c r="B131" s="114">
        <v>2029</v>
      </c>
      <c r="C131" s="289" t="s">
        <v>97</v>
      </c>
      <c r="D131" s="112">
        <f>VLOOKUP($E$3,'Housing Generation'!$A$3:$DQ$90,91,FALSE)</f>
        <v>1</v>
      </c>
      <c r="E131" s="112">
        <f>VLOOKUP($E$3,'Housing Generation'!$A$3:$DQ$90,92,FALSE)</f>
        <v>1</v>
      </c>
      <c r="F131" s="112">
        <f>VLOOKUP($E$3,'Housing Generation'!$A$3:$DQ$90,93,FALSE)</f>
        <v>1</v>
      </c>
      <c r="G131" s="112">
        <f>VLOOKUP($E$3,'Housing Generation'!$A$3:$DQ$90,94,FALSE)</f>
        <v>1</v>
      </c>
      <c r="H131" s="112">
        <f>VLOOKUP($E$3,'Housing Generation'!$A$3:$DQ$90,95,FALSE)</f>
        <v>1</v>
      </c>
      <c r="I131" s="112">
        <f>VLOOKUP($E$3,'Housing Generation'!$A$3:$DQ$90,96,FALSE)</f>
        <v>0</v>
      </c>
      <c r="J131" s="111">
        <f t="shared" si="21"/>
        <v>5</v>
      </c>
    </row>
    <row r="132" spans="2:10" ht="15" customHeight="1">
      <c r="B132" s="114">
        <v>2030</v>
      </c>
      <c r="C132" s="289" t="s">
        <v>97</v>
      </c>
      <c r="D132" s="112">
        <f>VLOOKUP($E$3,'Housing Generation'!$A$3:$DQ$90,99,FALSE)</f>
        <v>1</v>
      </c>
      <c r="E132" s="112">
        <f>VLOOKUP($E$3,'Housing Generation'!$A$3:$DQ$90,100,FALSE)</f>
        <v>1</v>
      </c>
      <c r="F132" s="112">
        <f>VLOOKUP($E$3,'Housing Generation'!$A$3:$DQ$90,101,FALSE)</f>
        <v>1</v>
      </c>
      <c r="G132" s="112">
        <f>VLOOKUP($E$3,'Housing Generation'!$A$3:$DQ$90,102,FALSE)</f>
        <v>1</v>
      </c>
      <c r="H132" s="112">
        <f>VLOOKUP($E$3,'Housing Generation'!$A$3:$DQ$90,103,FALSE)</f>
        <v>1</v>
      </c>
      <c r="I132" s="112">
        <f>VLOOKUP($E$3,'Housing Generation'!$A$3:$DQ$90,104,FALSE)</f>
        <v>0</v>
      </c>
      <c r="J132" s="111">
        <f t="shared" si="21"/>
        <v>5</v>
      </c>
    </row>
    <row r="133" spans="2:10" ht="15" customHeight="1">
      <c r="B133" s="114">
        <v>2031</v>
      </c>
      <c r="C133" s="289" t="s">
        <v>97</v>
      </c>
      <c r="D133" s="112">
        <f>VLOOKUP($E$3,'Housing Generation'!$A$3:$DQ$90,107,FALSE)</f>
        <v>1</v>
      </c>
      <c r="E133" s="112">
        <f>VLOOKUP($E$3,'Housing Generation'!$A$3:$DQ$90,108,FALSE)</f>
        <v>1</v>
      </c>
      <c r="F133" s="112">
        <f>VLOOKUP($E$3,'Housing Generation'!$A$3:$DQ$90,109,FALSE)</f>
        <v>1</v>
      </c>
      <c r="G133" s="112">
        <f>VLOOKUP($E$3,'Housing Generation'!$A$3:$DQ$90,110,FALSE)</f>
        <v>1</v>
      </c>
      <c r="H133" s="112">
        <f>VLOOKUP($E$3,'Housing Generation'!$A$3:$DQ$90,111,FALSE)</f>
        <v>1</v>
      </c>
      <c r="I133" s="112">
        <f>VLOOKUP($E$3,'Housing Generation'!$A$3:$DQ$90,112,FALSE)</f>
        <v>0</v>
      </c>
      <c r="J133" s="111">
        <f t="shared" si="21"/>
        <v>5</v>
      </c>
    </row>
    <row r="134" spans="2:10" ht="15" customHeight="1">
      <c r="B134" s="114">
        <v>2032</v>
      </c>
      <c r="C134" s="289" t="s">
        <v>97</v>
      </c>
      <c r="D134" s="112">
        <f>VLOOKUP($E$3,'Housing Generation'!$A$3:$DQ$90,115,FALSE)</f>
        <v>1</v>
      </c>
      <c r="E134" s="112">
        <f>VLOOKUP($E$3,'Housing Generation'!$A$3:$DQ$90,116,FALSE)</f>
        <v>1</v>
      </c>
      <c r="F134" s="112">
        <f>VLOOKUP($E$3,'Housing Generation'!$A$3:$DQ$90,117,FALSE)</f>
        <v>1</v>
      </c>
      <c r="G134" s="112">
        <f>VLOOKUP($E$3,'Housing Generation'!$A$3:$DQ$90,118,FALSE)</f>
        <v>1</v>
      </c>
      <c r="H134" s="112">
        <f>VLOOKUP($E$3,'Housing Generation'!$A$3:$DQ$90,119,FALSE)</f>
        <v>1</v>
      </c>
      <c r="I134" s="112">
        <f>VLOOKUP($E$3,'Housing Generation'!$A$3:$DQ$90,120,FALSE)</f>
        <v>0</v>
      </c>
      <c r="J134" s="111">
        <f t="shared" si="21"/>
        <v>5</v>
      </c>
    </row>
    <row r="135" spans="2:10" ht="15" hidden="1"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Leith Walk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30</v>
      </c>
      <c r="D139" s="112">
        <f t="shared" ref="D139:I152" si="23">D121+D103</f>
        <v>30</v>
      </c>
      <c r="E139" s="112">
        <f t="shared" si="23"/>
        <v>35</v>
      </c>
      <c r="F139" s="112">
        <f t="shared" si="23"/>
        <v>31</v>
      </c>
      <c r="G139" s="112">
        <f t="shared" si="23"/>
        <v>26</v>
      </c>
      <c r="H139" s="112">
        <f t="shared" si="23"/>
        <v>39</v>
      </c>
      <c r="I139" s="112">
        <f t="shared" si="23"/>
        <v>19</v>
      </c>
      <c r="J139" s="111">
        <f t="shared" ref="J139:J147" si="24">SUM(C139:I139)</f>
        <v>210</v>
      </c>
    </row>
    <row r="140" spans="2:10" ht="15" customHeight="1">
      <c r="B140" s="114">
        <v>2020</v>
      </c>
      <c r="C140" s="113">
        <f t="shared" si="22"/>
        <v>25</v>
      </c>
      <c r="D140" s="112">
        <f t="shared" si="23"/>
        <v>27</v>
      </c>
      <c r="E140" s="112">
        <f t="shared" si="23"/>
        <v>26</v>
      </c>
      <c r="F140" s="112">
        <f t="shared" si="23"/>
        <v>31</v>
      </c>
      <c r="G140" s="112">
        <f t="shared" si="23"/>
        <v>28</v>
      </c>
      <c r="H140" s="112">
        <f t="shared" si="23"/>
        <v>25</v>
      </c>
      <c r="I140" s="112">
        <f t="shared" si="23"/>
        <v>39</v>
      </c>
      <c r="J140" s="111">
        <f t="shared" si="24"/>
        <v>201</v>
      </c>
    </row>
    <row r="141" spans="2:10" ht="15" customHeight="1">
      <c r="B141" s="114">
        <v>2021</v>
      </c>
      <c r="C141" s="113">
        <f t="shared" si="22"/>
        <v>30</v>
      </c>
      <c r="D141" s="112">
        <f t="shared" si="23"/>
        <v>22</v>
      </c>
      <c r="E141" s="112">
        <f t="shared" si="23"/>
        <v>24</v>
      </c>
      <c r="F141" s="112">
        <f t="shared" si="23"/>
        <v>23</v>
      </c>
      <c r="G141" s="112">
        <f t="shared" si="23"/>
        <v>28</v>
      </c>
      <c r="H141" s="112">
        <f t="shared" si="23"/>
        <v>27</v>
      </c>
      <c r="I141" s="112">
        <f t="shared" si="23"/>
        <v>25</v>
      </c>
      <c r="J141" s="111">
        <f t="shared" si="24"/>
        <v>179</v>
      </c>
    </row>
    <row r="142" spans="2:10" ht="15" customHeight="1">
      <c r="B142" s="114">
        <v>2022</v>
      </c>
      <c r="C142" s="113">
        <f t="shared" si="22"/>
        <v>25</v>
      </c>
      <c r="D142" s="112">
        <f t="shared" si="23"/>
        <v>27</v>
      </c>
      <c r="E142" s="112">
        <f t="shared" si="23"/>
        <v>19</v>
      </c>
      <c r="F142" s="112">
        <f t="shared" si="23"/>
        <v>21</v>
      </c>
      <c r="G142" s="112">
        <f t="shared" si="23"/>
        <v>21</v>
      </c>
      <c r="H142" s="112">
        <f t="shared" si="23"/>
        <v>27</v>
      </c>
      <c r="I142" s="112">
        <f t="shared" si="23"/>
        <v>27</v>
      </c>
      <c r="J142" s="111">
        <f t="shared" si="24"/>
        <v>167</v>
      </c>
    </row>
    <row r="143" spans="2:10" ht="15" customHeight="1">
      <c r="B143" s="114">
        <v>2023</v>
      </c>
      <c r="C143" s="113">
        <f t="shared" si="22"/>
        <v>25</v>
      </c>
      <c r="D143" s="112">
        <f t="shared" si="23"/>
        <v>22</v>
      </c>
      <c r="E143" s="112">
        <f t="shared" si="23"/>
        <v>24</v>
      </c>
      <c r="F143" s="112">
        <f t="shared" si="23"/>
        <v>16</v>
      </c>
      <c r="G143" s="112">
        <f t="shared" si="23"/>
        <v>19</v>
      </c>
      <c r="H143" s="112">
        <f t="shared" si="23"/>
        <v>20</v>
      </c>
      <c r="I143" s="112">
        <f t="shared" si="23"/>
        <v>27</v>
      </c>
      <c r="J143" s="111">
        <f t="shared" si="24"/>
        <v>153</v>
      </c>
    </row>
    <row r="144" spans="2:10" ht="15" customHeight="1">
      <c r="B144" s="114">
        <v>2024</v>
      </c>
      <c r="C144" s="113">
        <f t="shared" si="22"/>
        <v>25</v>
      </c>
      <c r="D144" s="112">
        <f t="shared" si="23"/>
        <v>22</v>
      </c>
      <c r="E144" s="112">
        <f t="shared" si="23"/>
        <v>19</v>
      </c>
      <c r="F144" s="112">
        <f t="shared" si="23"/>
        <v>22</v>
      </c>
      <c r="G144" s="112">
        <f t="shared" si="23"/>
        <v>14</v>
      </c>
      <c r="H144" s="112">
        <f t="shared" si="23"/>
        <v>18</v>
      </c>
      <c r="I144" s="112">
        <f t="shared" si="23"/>
        <v>20</v>
      </c>
      <c r="J144" s="111">
        <f t="shared" si="24"/>
        <v>140</v>
      </c>
    </row>
    <row r="145" spans="2:16" ht="15" customHeight="1">
      <c r="B145" s="114">
        <v>2025</v>
      </c>
      <c r="C145" s="113">
        <f t="shared" si="22"/>
        <v>25</v>
      </c>
      <c r="D145" s="112">
        <f t="shared" si="23"/>
        <v>22</v>
      </c>
      <c r="E145" s="112">
        <f t="shared" si="23"/>
        <v>19</v>
      </c>
      <c r="F145" s="112">
        <f t="shared" si="23"/>
        <v>17</v>
      </c>
      <c r="G145" s="112">
        <f t="shared" si="23"/>
        <v>20</v>
      </c>
      <c r="H145" s="112">
        <f t="shared" si="23"/>
        <v>14</v>
      </c>
      <c r="I145" s="112">
        <f t="shared" si="23"/>
        <v>18</v>
      </c>
      <c r="J145" s="111">
        <f t="shared" si="24"/>
        <v>135</v>
      </c>
    </row>
    <row r="146" spans="2:16" ht="15" customHeight="1">
      <c r="B146" s="114">
        <v>2026</v>
      </c>
      <c r="C146" s="113">
        <f t="shared" si="22"/>
        <v>25</v>
      </c>
      <c r="D146" s="112">
        <f t="shared" si="23"/>
        <v>22</v>
      </c>
      <c r="E146" s="112">
        <f t="shared" si="23"/>
        <v>19</v>
      </c>
      <c r="F146" s="112">
        <f t="shared" si="23"/>
        <v>17</v>
      </c>
      <c r="G146" s="112">
        <f t="shared" si="23"/>
        <v>15</v>
      </c>
      <c r="H146" s="112">
        <f t="shared" si="23"/>
        <v>19</v>
      </c>
      <c r="I146" s="112">
        <f t="shared" si="23"/>
        <v>13</v>
      </c>
      <c r="J146" s="111">
        <f t="shared" si="24"/>
        <v>130</v>
      </c>
    </row>
    <row r="147" spans="2:16" ht="15" customHeight="1">
      <c r="B147" s="114">
        <v>2027</v>
      </c>
      <c r="C147" s="113">
        <f t="shared" si="22"/>
        <v>25</v>
      </c>
      <c r="D147" s="112">
        <f t="shared" si="23"/>
        <v>22</v>
      </c>
      <c r="E147" s="112">
        <f t="shared" si="23"/>
        <v>19</v>
      </c>
      <c r="F147" s="112">
        <f t="shared" si="23"/>
        <v>17</v>
      </c>
      <c r="G147" s="112">
        <f t="shared" si="23"/>
        <v>15</v>
      </c>
      <c r="H147" s="112">
        <f t="shared" si="23"/>
        <v>14</v>
      </c>
      <c r="I147" s="112">
        <f t="shared" si="23"/>
        <v>18</v>
      </c>
      <c r="J147" s="111">
        <f t="shared" si="24"/>
        <v>130</v>
      </c>
    </row>
    <row r="148" spans="2:16" ht="15" customHeight="1">
      <c r="B148" s="114">
        <v>2028</v>
      </c>
      <c r="C148" s="113">
        <f t="shared" si="22"/>
        <v>25</v>
      </c>
      <c r="D148" s="112">
        <f t="shared" si="23"/>
        <v>22</v>
      </c>
      <c r="E148" s="112">
        <f t="shared" si="23"/>
        <v>19</v>
      </c>
      <c r="F148" s="112">
        <f t="shared" si="23"/>
        <v>17</v>
      </c>
      <c r="G148" s="112">
        <f t="shared" si="23"/>
        <v>15</v>
      </c>
      <c r="H148" s="112">
        <f t="shared" si="23"/>
        <v>14</v>
      </c>
      <c r="I148" s="112">
        <f t="shared" si="23"/>
        <v>13</v>
      </c>
      <c r="J148" s="111">
        <f t="shared" ref="J148:J152" si="25">SUM(C148:I148)</f>
        <v>125</v>
      </c>
    </row>
    <row r="149" spans="2:16" ht="15" customHeight="1">
      <c r="B149" s="114">
        <v>2029</v>
      </c>
      <c r="C149" s="113">
        <f t="shared" si="22"/>
        <v>25</v>
      </c>
      <c r="D149" s="112">
        <f t="shared" si="23"/>
        <v>22</v>
      </c>
      <c r="E149" s="112">
        <f t="shared" si="23"/>
        <v>19</v>
      </c>
      <c r="F149" s="112">
        <f t="shared" si="23"/>
        <v>17</v>
      </c>
      <c r="G149" s="112">
        <f t="shared" si="23"/>
        <v>15</v>
      </c>
      <c r="H149" s="112">
        <f t="shared" si="23"/>
        <v>14</v>
      </c>
      <c r="I149" s="112">
        <f t="shared" si="23"/>
        <v>13</v>
      </c>
      <c r="J149" s="111">
        <f t="shared" si="25"/>
        <v>125</v>
      </c>
    </row>
    <row r="150" spans="2:16" ht="15" customHeight="1">
      <c r="B150" s="114">
        <v>2030</v>
      </c>
      <c r="C150" s="113">
        <f t="shared" si="22"/>
        <v>25</v>
      </c>
      <c r="D150" s="112">
        <f t="shared" si="23"/>
        <v>22</v>
      </c>
      <c r="E150" s="112">
        <f t="shared" si="23"/>
        <v>19</v>
      </c>
      <c r="F150" s="112">
        <f t="shared" si="23"/>
        <v>17</v>
      </c>
      <c r="G150" s="112">
        <f t="shared" si="23"/>
        <v>15</v>
      </c>
      <c r="H150" s="112">
        <f t="shared" si="23"/>
        <v>14</v>
      </c>
      <c r="I150" s="112">
        <f t="shared" si="23"/>
        <v>13</v>
      </c>
      <c r="J150" s="111">
        <f t="shared" si="25"/>
        <v>125</v>
      </c>
    </row>
    <row r="151" spans="2:16" ht="15" customHeight="1">
      <c r="B151" s="114">
        <v>2031</v>
      </c>
      <c r="C151" s="113">
        <f t="shared" si="22"/>
        <v>25</v>
      </c>
      <c r="D151" s="112">
        <f t="shared" si="23"/>
        <v>22</v>
      </c>
      <c r="E151" s="112">
        <f t="shared" si="23"/>
        <v>19</v>
      </c>
      <c r="F151" s="112">
        <f t="shared" si="23"/>
        <v>17</v>
      </c>
      <c r="G151" s="112">
        <f t="shared" si="23"/>
        <v>15</v>
      </c>
      <c r="H151" s="112">
        <f t="shared" si="23"/>
        <v>14</v>
      </c>
      <c r="I151" s="112">
        <f t="shared" si="23"/>
        <v>13</v>
      </c>
      <c r="J151" s="111">
        <f t="shared" si="25"/>
        <v>125</v>
      </c>
    </row>
    <row r="152" spans="2:16" ht="15" customHeight="1">
      <c r="B152" s="114">
        <v>2032</v>
      </c>
      <c r="C152" s="113">
        <f t="shared" si="22"/>
        <v>25</v>
      </c>
      <c r="D152" s="112">
        <f t="shared" si="23"/>
        <v>22</v>
      </c>
      <c r="E152" s="112">
        <f t="shared" si="23"/>
        <v>19</v>
      </c>
      <c r="F152" s="112">
        <f t="shared" si="23"/>
        <v>17</v>
      </c>
      <c r="G152" s="112">
        <f t="shared" si="23"/>
        <v>15</v>
      </c>
      <c r="H152" s="112">
        <f t="shared" si="23"/>
        <v>14</v>
      </c>
      <c r="I152" s="112">
        <f t="shared" si="23"/>
        <v>13</v>
      </c>
      <c r="J152" s="111">
        <f t="shared" si="25"/>
        <v>125</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210</v>
      </c>
      <c r="D159" s="108">
        <f>J140</f>
        <v>201</v>
      </c>
      <c r="E159" s="108">
        <f>J141</f>
        <v>179</v>
      </c>
      <c r="F159" s="108">
        <f>J142</f>
        <v>167</v>
      </c>
      <c r="G159" s="108">
        <f>J143</f>
        <v>153</v>
      </c>
      <c r="H159" s="108">
        <f>J144</f>
        <v>140</v>
      </c>
      <c r="I159" s="108">
        <f>J145</f>
        <v>135</v>
      </c>
      <c r="J159" s="108">
        <f>J146</f>
        <v>130</v>
      </c>
      <c r="K159" s="108">
        <f>J147</f>
        <v>130</v>
      </c>
      <c r="L159" s="108">
        <f>J148</f>
        <v>125</v>
      </c>
      <c r="M159" s="108">
        <f>J149</f>
        <v>125</v>
      </c>
      <c r="N159" s="108">
        <f>J150</f>
        <v>125</v>
      </c>
      <c r="O159" s="108">
        <f>J151</f>
        <v>125</v>
      </c>
      <c r="P159" s="108">
        <f>J152</f>
        <v>125</v>
      </c>
    </row>
    <row r="160" spans="2:16" ht="15" customHeight="1">
      <c r="B160" s="107" t="s">
        <v>152</v>
      </c>
      <c r="C160" s="106">
        <f>VLOOKUP(C159,Capacity!$A$1:$C$645,2,TRUE)</f>
        <v>7</v>
      </c>
      <c r="D160" s="106">
        <f>VLOOKUP(D159,Capacity!$A$1:$C$645,2,TRUE)</f>
        <v>7</v>
      </c>
      <c r="E160" s="106">
        <f>VLOOKUP(E159,Capacity!$A$1:$C$645,2,TRUE)</f>
        <v>7</v>
      </c>
      <c r="F160" s="106">
        <f>VLOOKUP(F159,Capacity!$A$1:$C$645,2,TRUE)</f>
        <v>7</v>
      </c>
      <c r="G160" s="106">
        <f>VLOOKUP(G159,Capacity!$A$1:$C$645,2,TRUE)</f>
        <v>7</v>
      </c>
      <c r="H160" s="106">
        <f>VLOOKUP(H159,Capacity!$A$1:$C$645,2,TRUE)</f>
        <v>6</v>
      </c>
      <c r="I160" s="106">
        <f>VLOOKUP(I159,Capacity!$A$1:$C$645,2,TRUE)</f>
        <v>6</v>
      </c>
      <c r="J160" s="106">
        <f>VLOOKUP(J159,Capacity!$A$1:$C$645,2,TRUE)</f>
        <v>6</v>
      </c>
      <c r="K160" s="106">
        <f>VLOOKUP(K159,Capacity!$A$1:$C$645,2,TRUE)</f>
        <v>6</v>
      </c>
      <c r="L160" s="106">
        <f>VLOOKUP(L159,Capacity!$A$1:$C$645,2,TRUE)</f>
        <v>6</v>
      </c>
      <c r="M160" s="106">
        <f>VLOOKUP(M159,Capacity!$A$1:$C$645,2,TRUE)</f>
        <v>6</v>
      </c>
      <c r="N160" s="106">
        <f>VLOOKUP(N159,Capacity!$A$1:$C$645,2,TRUE)</f>
        <v>6</v>
      </c>
      <c r="O160" s="106">
        <f>VLOOKUP(O159,Capacity!$A$1:$C$645,2,TRUE)</f>
        <v>6</v>
      </c>
      <c r="P160" s="106">
        <f>VLOOKUP(P159,Capacity!$A$1:$C$645,2,TRUE)</f>
        <v>6</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81</v>
      </c>
      <c r="D169" s="97">
        <f>VLOOKUP($E$3,'Catchment Births'!$A$1:$U$90,11,FALSE)</f>
        <v>93</v>
      </c>
      <c r="E169" s="97">
        <f>VLOOKUP($E$3,'Catchment Births'!$A$1:$U$90,12,FALSE)</f>
        <v>94</v>
      </c>
      <c r="F169" s="97">
        <f>VLOOKUP($E$3,'Catchment Births'!$A$1:$U$90,13,FALSE)</f>
        <v>100</v>
      </c>
      <c r="G169" s="97">
        <f>VLOOKUP($E$3,'Catchment Births'!$A$1:$U$90,14,FALSE)</f>
        <v>133</v>
      </c>
      <c r="H169" s="97">
        <f>VLOOKUP($E$3,'Catchment Births'!$A$1:$U$90,15,FALSE)</f>
        <v>155</v>
      </c>
      <c r="I169" s="97">
        <f>VLOOKUP($E$3,'Catchment Births'!$A$1:$U$90,16,FALSE)</f>
        <v>145</v>
      </c>
      <c r="J169" s="97">
        <f>VLOOKUP($E$3,'Catchment Births'!$A$1:$U$90,17,FALSE)</f>
        <v>150</v>
      </c>
      <c r="K169" s="97">
        <f>VLOOKUP($E$3,'Catchment Births'!$A$1:$U$90,18,FALSE)</f>
        <v>133</v>
      </c>
      <c r="L169" s="97">
        <f>VLOOKUP($E$3,'Catchment Births'!$A$1:$U$90,19,FALSE)</f>
        <v>146</v>
      </c>
      <c r="M169" s="97">
        <f>VLOOKUP($E$3,'Catchment Births'!$A$1:$U$90,20,FALSE)</f>
        <v>137</v>
      </c>
      <c r="N169" s="97">
        <f>VLOOKUP($E$3,'Catchment Births'!$A$1:$U$90,21,FALSE)</f>
        <v>112</v>
      </c>
    </row>
    <row r="170" spans="2:14" ht="58.5" customHeight="1">
      <c r="B170" s="103" t="str">
        <f>"P1 "&amp;A35&amp;" Catchment Population (Actual)"</f>
        <v>P1 ND Catchment Population (Actual)</v>
      </c>
      <c r="C170" s="102" t="e">
        <v>#REF!</v>
      </c>
      <c r="D170" s="102">
        <v>31</v>
      </c>
      <c r="E170" s="102">
        <v>34</v>
      </c>
      <c r="F170" s="102">
        <v>32</v>
      </c>
      <c r="G170" s="102">
        <v>56</v>
      </c>
      <c r="H170" s="102">
        <v>48</v>
      </c>
      <c r="I170" s="102">
        <v>43</v>
      </c>
      <c r="J170" s="308">
        <f>VLOOKUP(E3,'Catchment Projections'!A1:BU92,42,FALSE)</f>
        <v>33</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43</v>
      </c>
      <c r="J172" s="96" t="e">
        <f>#REF!</f>
        <v>#REF!</v>
      </c>
      <c r="K172" s="96">
        <f>D51</f>
        <v>41</v>
      </c>
      <c r="L172" s="96">
        <f>E51</f>
        <v>33</v>
      </c>
      <c r="M172" s="96">
        <f>F51</f>
        <v>38</v>
      </c>
      <c r="N172" s="96">
        <f>G51</f>
        <v>30</v>
      </c>
    </row>
    <row r="173" spans="2:14" ht="12.75">
      <c r="B173" s="62"/>
      <c r="C173" s="62"/>
      <c r="D173" s="62"/>
      <c r="E173" s="62"/>
      <c r="F173" s="62"/>
      <c r="G173" s="62"/>
      <c r="H173" s="62"/>
      <c r="I173" s="62"/>
      <c r="J173" s="62"/>
      <c r="K173" s="62"/>
    </row>
    <row r="174" spans="2:14" ht="15" customHeight="1">
      <c r="B174" s="64" t="str">
        <f>"Table 5: "&amp;E3&amp;" Roll by Stage, 2002-2018"</f>
        <v>Table 5: Leith Walk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29</v>
      </c>
      <c r="D177" s="93">
        <v>40</v>
      </c>
      <c r="E177" s="93">
        <v>36</v>
      </c>
      <c r="F177" s="93">
        <v>22</v>
      </c>
      <c r="G177" s="93">
        <v>25</v>
      </c>
      <c r="H177" s="93">
        <v>30</v>
      </c>
      <c r="I177" s="93">
        <v>21</v>
      </c>
      <c r="J177" s="92">
        <v>203</v>
      </c>
      <c r="K177" s="62"/>
    </row>
    <row r="178" spans="2:11" ht="15" customHeight="1">
      <c r="B178" s="94">
        <v>2003</v>
      </c>
      <c r="C178" s="93">
        <v>36</v>
      </c>
      <c r="D178" s="93">
        <v>27</v>
      </c>
      <c r="E178" s="93">
        <v>41</v>
      </c>
      <c r="F178" s="93">
        <v>32</v>
      </c>
      <c r="G178" s="93">
        <v>23</v>
      </c>
      <c r="H178" s="93">
        <v>27</v>
      </c>
      <c r="I178" s="93">
        <v>30</v>
      </c>
      <c r="J178" s="92">
        <v>216</v>
      </c>
      <c r="K178" s="62"/>
    </row>
    <row r="179" spans="2:11" customFormat="1" ht="15" customHeight="1">
      <c r="B179" s="94">
        <v>2004</v>
      </c>
      <c r="C179" s="95">
        <v>30</v>
      </c>
      <c r="D179" s="95">
        <v>36</v>
      </c>
      <c r="E179" s="95">
        <v>28</v>
      </c>
      <c r="F179" s="95">
        <v>43</v>
      </c>
      <c r="G179" s="95">
        <v>32</v>
      </c>
      <c r="H179" s="95">
        <v>21</v>
      </c>
      <c r="I179" s="95">
        <v>28</v>
      </c>
      <c r="J179" s="92">
        <v>218</v>
      </c>
      <c r="K179" s="62"/>
    </row>
    <row r="180" spans="2:11" customFormat="1" ht="15" customHeight="1">
      <c r="B180" s="94">
        <v>2005</v>
      </c>
      <c r="C180" s="93">
        <v>26</v>
      </c>
      <c r="D180" s="93">
        <v>25</v>
      </c>
      <c r="E180" s="93">
        <v>39</v>
      </c>
      <c r="F180" s="93">
        <v>27</v>
      </c>
      <c r="G180" s="93">
        <v>37</v>
      </c>
      <c r="H180" s="93">
        <v>31</v>
      </c>
      <c r="I180" s="93">
        <v>23</v>
      </c>
      <c r="J180" s="92">
        <v>208</v>
      </c>
      <c r="K180" s="62"/>
    </row>
    <row r="181" spans="2:11" customFormat="1" ht="15" customHeight="1">
      <c r="B181" s="94">
        <v>2006</v>
      </c>
      <c r="C181" s="93">
        <v>28</v>
      </c>
      <c r="D181" s="93">
        <v>25</v>
      </c>
      <c r="E181" s="93">
        <v>25</v>
      </c>
      <c r="F181" s="93">
        <v>38</v>
      </c>
      <c r="G181" s="93">
        <v>28</v>
      </c>
      <c r="H181" s="93">
        <v>34</v>
      </c>
      <c r="I181" s="93">
        <v>37</v>
      </c>
      <c r="J181" s="92">
        <v>215</v>
      </c>
      <c r="K181" s="62"/>
    </row>
    <row r="182" spans="2:11" customFormat="1" ht="15" customHeight="1">
      <c r="B182" s="94">
        <v>2007</v>
      </c>
      <c r="C182" s="93">
        <v>25</v>
      </c>
      <c r="D182" s="93">
        <v>26</v>
      </c>
      <c r="E182" s="93">
        <v>24</v>
      </c>
      <c r="F182" s="93">
        <v>23</v>
      </c>
      <c r="G182" s="93">
        <v>35</v>
      </c>
      <c r="H182" s="93">
        <v>28</v>
      </c>
      <c r="I182" s="93">
        <v>36</v>
      </c>
      <c r="J182" s="92">
        <v>197</v>
      </c>
      <c r="K182" s="62"/>
    </row>
    <row r="183" spans="2:11" customFormat="1" ht="15" customHeight="1">
      <c r="B183" s="94">
        <v>2008</v>
      </c>
      <c r="C183" s="93">
        <v>29</v>
      </c>
      <c r="D183" s="93">
        <v>25</v>
      </c>
      <c r="E183" s="93">
        <v>27</v>
      </c>
      <c r="F183" s="93">
        <v>26</v>
      </c>
      <c r="G183" s="93">
        <v>23</v>
      </c>
      <c r="H183" s="93">
        <v>33</v>
      </c>
      <c r="I183" s="93">
        <v>25</v>
      </c>
      <c r="J183" s="92">
        <v>188</v>
      </c>
      <c r="K183" s="62"/>
    </row>
    <row r="184" spans="2:11" customFormat="1" ht="15" customHeight="1">
      <c r="B184" s="94">
        <v>2009</v>
      </c>
      <c r="C184" s="93">
        <v>23</v>
      </c>
      <c r="D184" s="93">
        <v>28</v>
      </c>
      <c r="E184" s="93">
        <v>26</v>
      </c>
      <c r="F184" s="93">
        <v>25</v>
      </c>
      <c r="G184" s="93">
        <v>25</v>
      </c>
      <c r="H184" s="93">
        <v>24</v>
      </c>
      <c r="I184" s="93">
        <v>32</v>
      </c>
      <c r="J184" s="94">
        <v>183</v>
      </c>
      <c r="K184" s="62"/>
    </row>
    <row r="185" spans="2:11" customFormat="1" ht="15" customHeight="1">
      <c r="B185" s="94">
        <v>2010</v>
      </c>
      <c r="C185" s="93">
        <v>29</v>
      </c>
      <c r="D185" s="93">
        <v>17</v>
      </c>
      <c r="E185" s="93">
        <v>23</v>
      </c>
      <c r="F185" s="93">
        <v>22</v>
      </c>
      <c r="G185" s="93">
        <v>25</v>
      </c>
      <c r="H185" s="93">
        <v>26</v>
      </c>
      <c r="I185" s="93">
        <v>27</v>
      </c>
      <c r="J185" s="92">
        <v>169</v>
      </c>
      <c r="K185" s="62"/>
    </row>
    <row r="186" spans="2:11" customFormat="1" ht="15" customHeight="1">
      <c r="B186" s="94">
        <v>2011</v>
      </c>
      <c r="C186" s="93">
        <v>34</v>
      </c>
      <c r="D186" s="93">
        <v>28</v>
      </c>
      <c r="E186" s="93">
        <v>18</v>
      </c>
      <c r="F186" s="93">
        <v>22</v>
      </c>
      <c r="G186" s="93">
        <v>24</v>
      </c>
      <c r="H186" s="93">
        <v>24</v>
      </c>
      <c r="I186" s="93">
        <v>29</v>
      </c>
      <c r="J186" s="92">
        <v>179</v>
      </c>
      <c r="K186" s="62"/>
    </row>
    <row r="187" spans="2:11" customFormat="1" ht="15" customHeight="1">
      <c r="B187" s="94">
        <v>2012</v>
      </c>
      <c r="C187" s="93">
        <v>36</v>
      </c>
      <c r="D187" s="93">
        <v>36</v>
      </c>
      <c r="E187" s="93">
        <v>29</v>
      </c>
      <c r="F187" s="93">
        <v>21</v>
      </c>
      <c r="G187" s="93">
        <v>21</v>
      </c>
      <c r="H187" s="93">
        <v>26</v>
      </c>
      <c r="I187" s="93">
        <v>24</v>
      </c>
      <c r="J187" s="92">
        <v>193</v>
      </c>
      <c r="K187" s="62"/>
    </row>
    <row r="188" spans="2:11" customFormat="1" ht="15" customHeight="1">
      <c r="B188" s="94">
        <v>2013</v>
      </c>
      <c r="C188" s="93">
        <v>45</v>
      </c>
      <c r="D188" s="93">
        <v>38</v>
      </c>
      <c r="E188" s="93">
        <v>36</v>
      </c>
      <c r="F188" s="93">
        <v>29</v>
      </c>
      <c r="G188" s="93">
        <v>21</v>
      </c>
      <c r="H188" s="93">
        <v>22</v>
      </c>
      <c r="I188" s="93">
        <v>26</v>
      </c>
      <c r="J188" s="94">
        <v>217</v>
      </c>
      <c r="K188" s="62"/>
    </row>
    <row r="189" spans="2:11" customFormat="1" ht="15" customHeight="1">
      <c r="B189" s="94">
        <v>2014</v>
      </c>
      <c r="C189" s="93">
        <v>57</v>
      </c>
      <c r="D189" s="93">
        <v>40</v>
      </c>
      <c r="E189" s="93">
        <v>31</v>
      </c>
      <c r="F189" s="93">
        <v>38</v>
      </c>
      <c r="G189" s="93">
        <v>21</v>
      </c>
      <c r="H189" s="93">
        <v>20</v>
      </c>
      <c r="I189" s="93">
        <v>25</v>
      </c>
      <c r="J189" s="92">
        <v>232</v>
      </c>
      <c r="K189" s="65"/>
    </row>
    <row r="190" spans="2:11" customFormat="1" ht="15" customHeight="1">
      <c r="B190" s="94">
        <v>2015</v>
      </c>
      <c r="C190" s="93">
        <v>40</v>
      </c>
      <c r="D190" s="93">
        <v>57</v>
      </c>
      <c r="E190" s="93">
        <v>35</v>
      </c>
      <c r="F190" s="93">
        <v>28</v>
      </c>
      <c r="G190" s="93">
        <v>34</v>
      </c>
      <c r="H190" s="93">
        <v>21</v>
      </c>
      <c r="I190" s="93">
        <v>20</v>
      </c>
      <c r="J190" s="92">
        <v>235</v>
      </c>
      <c r="K190" s="65"/>
    </row>
    <row r="191" spans="2:11" customFormat="1" ht="15" customHeight="1">
      <c r="B191" s="94">
        <v>2016</v>
      </c>
      <c r="C191" s="93">
        <v>44</v>
      </c>
      <c r="D191" s="93">
        <v>40</v>
      </c>
      <c r="E191" s="93">
        <v>49</v>
      </c>
      <c r="F191" s="93">
        <v>29</v>
      </c>
      <c r="G191" s="93">
        <v>30</v>
      </c>
      <c r="H191" s="93">
        <v>33</v>
      </c>
      <c r="I191" s="93">
        <v>21</v>
      </c>
      <c r="J191" s="92">
        <v>246</v>
      </c>
      <c r="K191" s="65"/>
    </row>
    <row r="192" spans="2:11" ht="15" customHeight="1">
      <c r="B192" s="94">
        <v>2017</v>
      </c>
      <c r="C192" s="93">
        <f>VLOOKUP($E$3,Rolls!A1:FA90,42,FALSE)</f>
        <v>45</v>
      </c>
      <c r="D192" s="93">
        <f>VLOOKUP($E$3,Rolls!A1:FA90,43,FALSE)</f>
        <v>37</v>
      </c>
      <c r="E192" s="93">
        <f>VLOOKUP($E$3,Rolls!A1:FA90,44,FALSE)</f>
        <v>35</v>
      </c>
      <c r="F192" s="93">
        <f>VLOOKUP($E$3,Rolls!A1:FA90,45,FALSE)</f>
        <v>46</v>
      </c>
      <c r="G192" s="93">
        <f>VLOOKUP($E$3,Rolls!A1:FA90,46,FALSE)</f>
        <v>28</v>
      </c>
      <c r="H192" s="93">
        <f>VLOOKUP($E$3,Rolls!A1:FA90,47,FALSE)</f>
        <v>27</v>
      </c>
      <c r="I192" s="93">
        <f>VLOOKUP($E$3,Rolls!A1:FA90,48,FALSE)</f>
        <v>30</v>
      </c>
      <c r="J192" s="92">
        <f>VLOOKUP($E$3,Rolls!A1:FA90,49,FALSE)</f>
        <v>248</v>
      </c>
      <c r="K192" s="65"/>
    </row>
    <row r="193" spans="2:11" ht="15" customHeight="1">
      <c r="B193" s="94">
        <v>2018</v>
      </c>
      <c r="C193" s="93">
        <f>VLOOKUP($E$3,Rolls!A1:FA90,50,FALSE)</f>
        <v>33</v>
      </c>
      <c r="D193" s="93">
        <f>VLOOKUP($E$3,Rolls!A1:FA90,51,FALSE)</f>
        <v>39</v>
      </c>
      <c r="E193" s="93">
        <f>VLOOKUP($E$3,Rolls!A1:FA90,52,FALSE)</f>
        <v>34</v>
      </c>
      <c r="F193" s="93">
        <f>VLOOKUP($E$3,Rolls!A1:FA90,53,FALSE)</f>
        <v>29</v>
      </c>
      <c r="G193" s="93">
        <f>VLOOKUP($E$3,Rolls!A1:FA90,54,FALSE)</f>
        <v>41</v>
      </c>
      <c r="H193" s="93">
        <f>VLOOKUP($E$3,Rolls!A1:FA90,55,FALSE)</f>
        <v>19</v>
      </c>
      <c r="I193" s="93">
        <f>VLOOKUP($E$3,Rolls!A1:FA90,56,FALSE)</f>
        <v>28</v>
      </c>
      <c r="J193" s="92">
        <f>VLOOKUP($E$3,Rolls!A1:FA90,57,FALSE)</f>
        <v>223</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46</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Liberton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476 Pupils (17 classes)</v>
      </c>
      <c r="G12" s="16"/>
      <c r="H12" s="16"/>
    </row>
    <row r="13" spans="2:10" ht="15" customHeight="1">
      <c r="C13" s="16"/>
      <c r="D13" s="16"/>
      <c r="E13" s="16"/>
      <c r="F13" s="16"/>
      <c r="G13" s="16"/>
      <c r="H13" s="16"/>
    </row>
    <row r="14" spans="2:10" ht="15" customHeight="1">
      <c r="B14" s="15" t="str">
        <f>"Figure 1: "&amp;E3&amp;" Roll, 2002-2015"</f>
        <v>Figure 1: Liberton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Liberton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66</v>
      </c>
      <c r="E49" s="108">
        <f>VLOOKUP($E$3,'Catchment Projections'!$A$1:$BU$90,46,FALSE)</f>
        <v>68</v>
      </c>
      <c r="F49" s="108">
        <f>VLOOKUP($E$3,'Catchment Projections'!$A$1:$BU$90,47,FALSE)</f>
        <v>73</v>
      </c>
      <c r="G49" s="108">
        <f>VLOOKUP($E$3,'Catchment Projections'!$A$1:$BU$90,48,FALSE)</f>
        <v>73</v>
      </c>
      <c r="H49" s="133">
        <f>VLOOKUP($E$3,'Catchment Projections'!$A$1:$BU$90,49,FALSE)</f>
        <v>72</v>
      </c>
      <c r="I49" s="133">
        <f>VLOOKUP($E$3,'Catchment Projections'!$A$1:$BU$90,50,FALSE)</f>
        <v>73</v>
      </c>
      <c r="J49" s="133">
        <f>VLOOKUP($E$3,'Catchment Projections'!$A$1:$BU$90,51,FALSE)</f>
        <v>75</v>
      </c>
      <c r="K49" s="133">
        <f>VLOOKUP($E$3,'Catchment Projections'!$A$1:$BU$90,52,FALSE)</f>
        <v>75</v>
      </c>
      <c r="L49" s="133">
        <f>VLOOKUP($E$3,'Catchment Projections'!$A$1:$BU$90,53,FALSE)</f>
        <v>75</v>
      </c>
      <c r="M49" s="133">
        <f>VLOOKUP($E$3,'Catchment Projections'!$A$1:$BU$90,54,FALSE)</f>
        <v>76</v>
      </c>
      <c r="N49" s="133">
        <f>VLOOKUP($E$3,'Catchment Projections'!$A$1:$BU$90,55,FALSE)</f>
        <v>76</v>
      </c>
      <c r="O49" s="133">
        <f>VLOOKUP($E$3,'Catchment Projections'!$A$1:$BU$90,56,FALSE)</f>
        <v>76</v>
      </c>
      <c r="P49" s="133">
        <f>VLOOKUP($E$3,'Catchment Projections'!$A$1:$BU$90,57,FALSE)</f>
        <v>76</v>
      </c>
      <c r="Q49" s="133">
        <f>VLOOKUP($E$3,'Catchment Projections'!$A$1:$BU$90,58,FALSE)</f>
        <v>76</v>
      </c>
    </row>
    <row r="50" spans="2:17" ht="15" customHeight="1" thickBot="1">
      <c r="B50" s="410" t="s">
        <v>141</v>
      </c>
      <c r="C50" s="411"/>
      <c r="D50" s="286">
        <f>VLOOKUP(E3,'Housing Generation'!$A$3:$DQ$90,10,FALSE)</f>
        <v>0</v>
      </c>
      <c r="E50" s="286">
        <f>VLOOKUP(E3,'Housing Generation'!$A$3:$DQ$90,18,FALSE)</f>
        <v>1</v>
      </c>
      <c r="F50" s="286">
        <f>VLOOKUP(E3,'Housing Generation'!$A$3:$DQ$90,26,FALSE)</f>
        <v>1</v>
      </c>
      <c r="G50" s="243">
        <f>VLOOKUP(E3,'Housing Generation'!$A$3:$DQ$90,34,FALSE)</f>
        <v>1</v>
      </c>
      <c r="H50" s="133">
        <f>VLOOKUP(E3,'Housing Generation'!$A$3:$DQ$90,42,FALSE)</f>
        <v>1</v>
      </c>
      <c r="I50" s="133">
        <f>VLOOKUP(E3,'Housing Generation'!$A$3:$DQ$90,50,FALSE)</f>
        <v>1</v>
      </c>
      <c r="J50" s="133">
        <f>VLOOKUP(E3,'Housing Generation'!$A$3:$CK$90,58,FALSE)</f>
        <v>1</v>
      </c>
      <c r="K50" s="133">
        <f>VLOOKUP(E3,'Housing Generation'!$A$3:$CK$90,66,FALSE)</f>
        <v>1</v>
      </c>
      <c r="L50" s="133">
        <f>VLOOKUP(E3,'Housing Generation'!$A$3:$DQ$90,74,FALSE)</f>
        <v>1</v>
      </c>
      <c r="M50" s="133">
        <f>VLOOKUP(E3,'Housing Generation'!$A$3:$DQ$90,82,FALSE)</f>
        <v>1</v>
      </c>
      <c r="N50" s="133">
        <f>VLOOKUP(E3,'Housing Generation'!$A$3:$DQ$90,90,FALSE)</f>
        <v>1</v>
      </c>
      <c r="O50" s="133">
        <f>VLOOKUP(E3,'Housing Generation'!$A$3:$DQ$90,98,FALSE)</f>
        <v>1</v>
      </c>
      <c r="P50" s="133">
        <f>VLOOKUP(E3,'Housing Generation'!$A$3:$DQ$90,106,FALSE)</f>
        <v>1</v>
      </c>
      <c r="Q50" s="133">
        <f>VLOOKUP(E3,'Housing Generation'!$A$3:$DQ$90,114,FALSE)</f>
        <v>1</v>
      </c>
    </row>
    <row r="51" spans="2:17" ht="15" customHeight="1" thickTop="1">
      <c r="B51" s="421" t="s">
        <v>130</v>
      </c>
      <c r="C51" s="422"/>
      <c r="D51" s="47">
        <f t="shared" ref="D51:Q51" si="0">SUM(D49:D50)</f>
        <v>66</v>
      </c>
      <c r="E51" s="47">
        <f t="shared" si="0"/>
        <v>69</v>
      </c>
      <c r="F51" s="80">
        <f t="shared" si="0"/>
        <v>74</v>
      </c>
      <c r="G51" s="244">
        <f t="shared" si="0"/>
        <v>74</v>
      </c>
      <c r="H51" s="71">
        <f t="shared" si="0"/>
        <v>73</v>
      </c>
      <c r="I51" s="71">
        <f t="shared" si="0"/>
        <v>74</v>
      </c>
      <c r="J51" s="71">
        <f t="shared" si="0"/>
        <v>76</v>
      </c>
      <c r="K51" s="71">
        <f t="shared" si="0"/>
        <v>76</v>
      </c>
      <c r="L51" s="71">
        <f t="shared" si="0"/>
        <v>76</v>
      </c>
      <c r="M51" s="71">
        <f t="shared" si="0"/>
        <v>77</v>
      </c>
      <c r="N51" s="71">
        <f t="shared" si="0"/>
        <v>77</v>
      </c>
      <c r="O51" s="71">
        <f t="shared" si="0"/>
        <v>77</v>
      </c>
      <c r="P51" s="71">
        <f t="shared" si="0"/>
        <v>77</v>
      </c>
      <c r="Q51" s="71">
        <f t="shared" si="0"/>
        <v>77</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64</v>
      </c>
      <c r="D60" s="358">
        <f>VLOOKUP($E$3,'Catchment Projections'!$A$1:$BZ$90,74,FALSE)</f>
        <v>55</v>
      </c>
      <c r="E60" s="303">
        <f>D60/C60</f>
        <v>0.859375</v>
      </c>
      <c r="G60" s="132">
        <v>2014</v>
      </c>
      <c r="H60" s="395">
        <f>VLOOKUP($G$60,$B$177:$C$215, 2, FALSE)</f>
        <v>60</v>
      </c>
      <c r="I60" s="120">
        <f>H60-D60</f>
        <v>5</v>
      </c>
      <c r="J60" s="121">
        <f>I60/H60</f>
        <v>8.3333333333333329E-2</v>
      </c>
    </row>
    <row r="61" spans="2:17" ht="15" customHeight="1">
      <c r="B61" s="132">
        <v>2015</v>
      </c>
      <c r="C61" s="359">
        <f>VLOOKUP($E$3,'Catchment Projections'!$A$1:$BZ$90,41,FALSE)</f>
        <v>86</v>
      </c>
      <c r="D61" s="358">
        <f>VLOOKUP($E$3,'Catchment Projections'!$A$1:$BZ$90,75,FALSE)</f>
        <v>81</v>
      </c>
      <c r="E61" s="303">
        <f>D61/C61</f>
        <v>0.94186046511627908</v>
      </c>
      <c r="G61" s="132">
        <v>2015</v>
      </c>
      <c r="H61" s="395">
        <f>VLOOKUP($G$61,$B$177:$C$215, 2, FALSE)</f>
        <v>87</v>
      </c>
      <c r="I61" s="120">
        <f>H61-D61</f>
        <v>6</v>
      </c>
      <c r="J61" s="121">
        <f>I61/H61</f>
        <v>6.8965517241379309E-2</v>
      </c>
    </row>
    <row r="62" spans="2:17" ht="15" customHeight="1">
      <c r="B62" s="131">
        <v>2016</v>
      </c>
      <c r="C62" s="359">
        <f>VLOOKUP($E$3,'Catchment Projections'!$A$1:$BZ$90,42,FALSE)</f>
        <v>73</v>
      </c>
      <c r="D62" s="358">
        <f>VLOOKUP($E$3,'Catchment Projections'!$A$1:$BZ$90,76,FALSE)</f>
        <v>72</v>
      </c>
      <c r="E62" s="57">
        <f>D62/C62</f>
        <v>0.98630136986301364</v>
      </c>
      <c r="G62" s="131">
        <v>2016</v>
      </c>
      <c r="H62" s="395">
        <f>VLOOKUP($G$62,$B$177:$C$215, 2, FALSE)</f>
        <v>72</v>
      </c>
      <c r="I62" s="120">
        <f>H62-D62</f>
        <v>0</v>
      </c>
      <c r="J62" s="121">
        <f>I62/H62</f>
        <v>0</v>
      </c>
    </row>
    <row r="63" spans="2:17" ht="15" customHeight="1">
      <c r="B63" s="114">
        <v>2017</v>
      </c>
      <c r="C63" s="359">
        <f>VLOOKUP($E$3,'Catchment Projections'!$A$1:$BZ$90,43,FALSE)</f>
        <v>66</v>
      </c>
      <c r="D63" s="358">
        <f>VLOOKUP($E$3,'Catchment Projections'!$A$1:$BZ$90,77,FALSE)</f>
        <v>61</v>
      </c>
      <c r="E63" s="304">
        <f>D63/C63</f>
        <v>0.9242424242424242</v>
      </c>
      <c r="G63" s="114">
        <v>2017</v>
      </c>
      <c r="H63" s="395">
        <f>VLOOKUP($G$63,$B$177:$C$215, 2, FALSE)</f>
        <v>64</v>
      </c>
      <c r="I63" s="120">
        <f>H63-D63</f>
        <v>3</v>
      </c>
      <c r="J63" s="121">
        <f>I63/H63</f>
        <v>4.6875E-2</v>
      </c>
    </row>
    <row r="64" spans="2:17" ht="15" customHeight="1">
      <c r="B64" s="114">
        <v>2018</v>
      </c>
      <c r="C64" s="359">
        <f>VLOOKUP($E$3,'Catchment Projections'!$A$1:$BZ$90,44,FALSE)</f>
        <v>61</v>
      </c>
      <c r="D64" s="358">
        <f>VLOOKUP($E$3,'Catchment Projections'!$A$1:$BZ$90,78,FALSE)</f>
        <v>57</v>
      </c>
      <c r="E64" s="305">
        <f>D64/C64</f>
        <v>0.93442622950819676</v>
      </c>
      <c r="G64" s="114">
        <v>2018</v>
      </c>
      <c r="H64" s="395">
        <f>VLOOKUP($G$64,$B$177:$C$215, 2, FALSE)</f>
        <v>62</v>
      </c>
      <c r="I64" s="120">
        <f>H64-D64</f>
        <v>5</v>
      </c>
      <c r="J64" s="121">
        <f>I64/H64</f>
        <v>8.0645161290322578E-2</v>
      </c>
    </row>
    <row r="65" spans="2:10" ht="15" customHeight="1">
      <c r="B65" s="412" t="s">
        <v>136</v>
      </c>
      <c r="C65" s="413"/>
      <c r="D65" s="414"/>
      <c r="E65" s="137">
        <f>IF((AVERAGE(E62:E64))="#DIV/0!","n/a",(AVERAGE(E62:E64)))</f>
        <v>0.94832334120454487</v>
      </c>
      <c r="G65" s="415" t="s">
        <v>137</v>
      </c>
      <c r="H65" s="416"/>
      <c r="I65" s="138">
        <f>MEDIAN(I60:I64)</f>
        <v>5</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66</v>
      </c>
      <c r="D70" s="408"/>
      <c r="E70" s="122">
        <f>E65</f>
        <v>0.94832334120454487</v>
      </c>
      <c r="F70" s="120">
        <f t="shared" ref="F70:F83" si="1">C70*$E$65</f>
        <v>62.589340519499963</v>
      </c>
      <c r="G70" s="118">
        <f>IF(F70&lt;26,25,IF(F70&gt;135,140,IF(F70&gt;130,135,IF(F70&gt;125,130,IF(F70&gt;120,125,IF(F70&gt;115,120,IF(F70&gt;110,115,IF(F70&gt;105,110,IF(F70&gt;100,105,IF(F70&gt;99,100,IF(F70&gt;90,99,IF(F70&gt;75,90,IF(F70&gt;72,75,IF(F70&gt;66,72,IF(F70&gt;60,66,IF(F70&gt;50,60,IF(F70&gt;30,50,IF(F70&gt;25,30,0))))))))))))))))))</f>
        <v>66</v>
      </c>
      <c r="H70" s="119">
        <f t="shared" ref="H70:H83" si="2">G70-F70</f>
        <v>3.410659480500037</v>
      </c>
      <c r="I70" s="118" t="str">
        <f>IF(I$65&lt;H70, "NO", "YES")</f>
        <v>YES</v>
      </c>
      <c r="J70" s="117">
        <f t="shared" ref="J70:J83" si="3">IF(I70="YES",G70,(MIN((SUM(F70,$I$65)),G70)))</f>
        <v>66</v>
      </c>
    </row>
    <row r="71" spans="2:10" ht="15" customHeight="1">
      <c r="B71" s="114">
        <v>2020</v>
      </c>
      <c r="C71" s="433">
        <f>E51</f>
        <v>69</v>
      </c>
      <c r="D71" s="408"/>
      <c r="E71" s="121">
        <f>E65</f>
        <v>0.94832334120454487</v>
      </c>
      <c r="F71" s="120">
        <f t="shared" si="1"/>
        <v>65.434310543113597</v>
      </c>
      <c r="G71" s="118">
        <f t="shared" ref="G71:G83" si="4">IF(F71&lt;26,25,IF(F71&gt;135,140,IF(F71&gt;130,135,IF(F71&gt;125,130,IF(F71&gt;120,125,IF(F71&gt;115,120,IF(F71&gt;110,115,IF(F71&gt;105,110,IF(F71&gt;100,105,IF(F71&gt;99,100,IF(F71&gt;90,99,IF(F71&gt;75,90,IF(F71&gt;72,75,IF(F71&gt;66,72,IF(F71&gt;60,66,IF(F71&gt;50,60,IF(F71&gt;30,50,IF(F71&gt;25,30,0))))))))))))))))))</f>
        <v>66</v>
      </c>
      <c r="H71" s="119">
        <f t="shared" si="2"/>
        <v>0.56568945688640326</v>
      </c>
      <c r="I71" s="118" t="str">
        <f t="shared" ref="I71:I83" si="5">IF(I$65&lt;H71, "NO", "YES")</f>
        <v>YES</v>
      </c>
      <c r="J71" s="117">
        <f t="shared" si="3"/>
        <v>66</v>
      </c>
    </row>
    <row r="72" spans="2:10" ht="15" customHeight="1">
      <c r="B72" s="114">
        <v>2021</v>
      </c>
      <c r="C72" s="430">
        <f>F51</f>
        <v>74</v>
      </c>
      <c r="D72" s="431"/>
      <c r="E72" s="121">
        <f>E65</f>
        <v>0.94832334120454487</v>
      </c>
      <c r="F72" s="120">
        <f t="shared" si="1"/>
        <v>70.175927249136322</v>
      </c>
      <c r="G72" s="118">
        <f t="shared" si="4"/>
        <v>72</v>
      </c>
      <c r="H72" s="119">
        <f t="shared" si="2"/>
        <v>1.824072750863678</v>
      </c>
      <c r="I72" s="118" t="str">
        <f t="shared" si="5"/>
        <v>YES</v>
      </c>
      <c r="J72" s="117">
        <f t="shared" si="3"/>
        <v>72</v>
      </c>
    </row>
    <row r="73" spans="2:10" ht="15" customHeight="1">
      <c r="B73" s="114">
        <v>2022</v>
      </c>
      <c r="C73" s="430">
        <f>G51</f>
        <v>74</v>
      </c>
      <c r="D73" s="431"/>
      <c r="E73" s="121">
        <f>E65</f>
        <v>0.94832334120454487</v>
      </c>
      <c r="F73" s="120">
        <f t="shared" si="1"/>
        <v>70.175927249136322</v>
      </c>
      <c r="G73" s="118">
        <f t="shared" si="4"/>
        <v>72</v>
      </c>
      <c r="H73" s="119">
        <f t="shared" si="2"/>
        <v>1.824072750863678</v>
      </c>
      <c r="I73" s="118" t="str">
        <f t="shared" si="5"/>
        <v>YES</v>
      </c>
      <c r="J73" s="117">
        <f t="shared" si="3"/>
        <v>72</v>
      </c>
    </row>
    <row r="74" spans="2:10" ht="15" customHeight="1">
      <c r="B74" s="114">
        <v>2023</v>
      </c>
      <c r="C74" s="430">
        <f>H51</f>
        <v>73</v>
      </c>
      <c r="D74" s="431"/>
      <c r="E74" s="121">
        <f>E65</f>
        <v>0.94832334120454487</v>
      </c>
      <c r="F74" s="120">
        <f t="shared" si="1"/>
        <v>69.22760390793178</v>
      </c>
      <c r="G74" s="118">
        <f t="shared" si="4"/>
        <v>72</v>
      </c>
      <c r="H74" s="119">
        <f t="shared" si="2"/>
        <v>2.7723960920682202</v>
      </c>
      <c r="I74" s="118" t="str">
        <f t="shared" si="5"/>
        <v>YES</v>
      </c>
      <c r="J74" s="117">
        <f t="shared" si="3"/>
        <v>72</v>
      </c>
    </row>
    <row r="75" spans="2:10" ht="15" customHeight="1">
      <c r="B75" s="114">
        <v>2024</v>
      </c>
      <c r="C75" s="430">
        <f>I51</f>
        <v>74</v>
      </c>
      <c r="D75" s="431"/>
      <c r="E75" s="121">
        <f>E65</f>
        <v>0.94832334120454487</v>
      </c>
      <c r="F75" s="120">
        <f t="shared" si="1"/>
        <v>70.175927249136322</v>
      </c>
      <c r="G75" s="118">
        <f t="shared" si="4"/>
        <v>72</v>
      </c>
      <c r="H75" s="119">
        <f t="shared" si="2"/>
        <v>1.824072750863678</v>
      </c>
      <c r="I75" s="118" t="str">
        <f t="shared" si="5"/>
        <v>YES</v>
      </c>
      <c r="J75" s="117">
        <f t="shared" si="3"/>
        <v>72</v>
      </c>
    </row>
    <row r="76" spans="2:10" ht="15" customHeight="1">
      <c r="B76" s="114">
        <v>2025</v>
      </c>
      <c r="C76" s="430">
        <f>J51</f>
        <v>76</v>
      </c>
      <c r="D76" s="431"/>
      <c r="E76" s="121">
        <f>E65</f>
        <v>0.94832334120454487</v>
      </c>
      <c r="F76" s="120">
        <f t="shared" si="1"/>
        <v>72.072573931545406</v>
      </c>
      <c r="G76" s="118">
        <f t="shared" si="4"/>
        <v>75</v>
      </c>
      <c r="H76" s="119">
        <f t="shared" si="2"/>
        <v>2.9274260684545936</v>
      </c>
      <c r="I76" s="118" t="str">
        <f t="shared" si="5"/>
        <v>YES</v>
      </c>
      <c r="J76" s="117">
        <f t="shared" si="3"/>
        <v>75</v>
      </c>
    </row>
    <row r="77" spans="2:10" ht="15" customHeight="1">
      <c r="B77" s="114">
        <v>2026</v>
      </c>
      <c r="C77" s="430">
        <f>K51</f>
        <v>76</v>
      </c>
      <c r="D77" s="431"/>
      <c r="E77" s="121">
        <f>E65</f>
        <v>0.94832334120454487</v>
      </c>
      <c r="F77" s="120">
        <f t="shared" si="1"/>
        <v>72.072573931545406</v>
      </c>
      <c r="G77" s="118">
        <f t="shared" si="4"/>
        <v>75</v>
      </c>
      <c r="H77" s="119">
        <f t="shared" si="2"/>
        <v>2.9274260684545936</v>
      </c>
      <c r="I77" s="118" t="str">
        <f t="shared" si="5"/>
        <v>YES</v>
      </c>
      <c r="J77" s="117">
        <f t="shared" si="3"/>
        <v>75</v>
      </c>
    </row>
    <row r="78" spans="2:10" ht="15" customHeight="1">
      <c r="B78" s="114">
        <v>2027</v>
      </c>
      <c r="C78" s="430">
        <f>L51</f>
        <v>76</v>
      </c>
      <c r="D78" s="431"/>
      <c r="E78" s="121">
        <f>E65</f>
        <v>0.94832334120454487</v>
      </c>
      <c r="F78" s="120">
        <f t="shared" si="1"/>
        <v>72.072573931545406</v>
      </c>
      <c r="G78" s="118">
        <f t="shared" si="4"/>
        <v>75</v>
      </c>
      <c r="H78" s="119">
        <f t="shared" si="2"/>
        <v>2.9274260684545936</v>
      </c>
      <c r="I78" s="118" t="str">
        <f t="shared" si="5"/>
        <v>YES</v>
      </c>
      <c r="J78" s="117">
        <f t="shared" si="3"/>
        <v>75</v>
      </c>
    </row>
    <row r="79" spans="2:10" ht="15" customHeight="1">
      <c r="B79" s="114">
        <v>2028</v>
      </c>
      <c r="C79" s="430">
        <f>M51</f>
        <v>77</v>
      </c>
      <c r="D79" s="431"/>
      <c r="E79" s="121">
        <f t="shared" ref="E79:E83" si="6">$E$65</f>
        <v>0.94832334120454487</v>
      </c>
      <c r="F79" s="120">
        <f t="shared" si="1"/>
        <v>73.020897272749949</v>
      </c>
      <c r="G79" s="118">
        <f t="shared" si="4"/>
        <v>75</v>
      </c>
      <c r="H79" s="119">
        <f t="shared" si="2"/>
        <v>1.9791027272500514</v>
      </c>
      <c r="I79" s="118" t="str">
        <f t="shared" si="5"/>
        <v>YES</v>
      </c>
      <c r="J79" s="117">
        <f t="shared" si="3"/>
        <v>75</v>
      </c>
    </row>
    <row r="80" spans="2:10" ht="15" customHeight="1">
      <c r="B80" s="114">
        <v>2029</v>
      </c>
      <c r="C80" s="430">
        <f>N51</f>
        <v>77</v>
      </c>
      <c r="D80" s="431"/>
      <c r="E80" s="121">
        <f t="shared" si="6"/>
        <v>0.94832334120454487</v>
      </c>
      <c r="F80" s="120">
        <f t="shared" si="1"/>
        <v>73.020897272749949</v>
      </c>
      <c r="G80" s="118">
        <f t="shared" si="4"/>
        <v>75</v>
      </c>
      <c r="H80" s="119">
        <f t="shared" si="2"/>
        <v>1.9791027272500514</v>
      </c>
      <c r="I80" s="118" t="str">
        <f t="shared" si="5"/>
        <v>YES</v>
      </c>
      <c r="J80" s="117">
        <f t="shared" si="3"/>
        <v>75</v>
      </c>
    </row>
    <row r="81" spans="2:10" ht="15" customHeight="1">
      <c r="B81" s="114">
        <v>2030</v>
      </c>
      <c r="C81" s="430">
        <f>O51</f>
        <v>77</v>
      </c>
      <c r="D81" s="431"/>
      <c r="E81" s="121">
        <f t="shared" si="6"/>
        <v>0.94832334120454487</v>
      </c>
      <c r="F81" s="120">
        <f t="shared" si="1"/>
        <v>73.020897272749949</v>
      </c>
      <c r="G81" s="118">
        <f t="shared" si="4"/>
        <v>75</v>
      </c>
      <c r="H81" s="119">
        <f t="shared" si="2"/>
        <v>1.9791027272500514</v>
      </c>
      <c r="I81" s="118" t="str">
        <f t="shared" si="5"/>
        <v>YES</v>
      </c>
      <c r="J81" s="117">
        <f t="shared" si="3"/>
        <v>75</v>
      </c>
    </row>
    <row r="82" spans="2:10" ht="15" customHeight="1">
      <c r="B82" s="114">
        <v>2031</v>
      </c>
      <c r="C82" s="430">
        <f>P51</f>
        <v>77</v>
      </c>
      <c r="D82" s="431"/>
      <c r="E82" s="121">
        <f t="shared" si="6"/>
        <v>0.94832334120454487</v>
      </c>
      <c r="F82" s="120">
        <f t="shared" si="1"/>
        <v>73.020897272749949</v>
      </c>
      <c r="G82" s="118">
        <f t="shared" si="4"/>
        <v>75</v>
      </c>
      <c r="H82" s="119">
        <f t="shared" si="2"/>
        <v>1.9791027272500514</v>
      </c>
      <c r="I82" s="118" t="str">
        <f t="shared" si="5"/>
        <v>YES</v>
      </c>
      <c r="J82" s="117">
        <f t="shared" si="3"/>
        <v>75</v>
      </c>
    </row>
    <row r="83" spans="2:10" ht="15" customHeight="1">
      <c r="B83" s="114">
        <v>2032</v>
      </c>
      <c r="C83" s="430">
        <f>Q51</f>
        <v>77</v>
      </c>
      <c r="D83" s="431"/>
      <c r="E83" s="121">
        <f t="shared" si="6"/>
        <v>0.94832334120454487</v>
      </c>
      <c r="F83" s="120">
        <f t="shared" si="1"/>
        <v>73.020897272749949</v>
      </c>
      <c r="G83" s="118">
        <f t="shared" si="4"/>
        <v>75</v>
      </c>
      <c r="H83" s="119">
        <f t="shared" si="2"/>
        <v>1.9791027272500514</v>
      </c>
      <c r="I83" s="118" t="str">
        <f t="shared" si="5"/>
        <v>YES</v>
      </c>
      <c r="J83" s="117">
        <f t="shared" si="3"/>
        <v>75</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Liberton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59</v>
      </c>
      <c r="D91" s="112">
        <f t="shared" ref="D91:J91" si="7">D188</f>
        <v>59</v>
      </c>
      <c r="E91" s="112">
        <f t="shared" si="7"/>
        <v>53</v>
      </c>
      <c r="F91" s="112">
        <f t="shared" si="7"/>
        <v>59</v>
      </c>
      <c r="G91" s="112">
        <f t="shared" si="7"/>
        <v>49</v>
      </c>
      <c r="H91" s="112">
        <f t="shared" si="7"/>
        <v>63</v>
      </c>
      <c r="I91" s="112">
        <f t="shared" si="7"/>
        <v>47</v>
      </c>
      <c r="J91" s="213">
        <f t="shared" si="7"/>
        <v>389</v>
      </c>
    </row>
    <row r="92" spans="2:10" ht="15" customHeight="1">
      <c r="B92" s="114">
        <v>2014</v>
      </c>
      <c r="C92" s="112">
        <f>C189</f>
        <v>60</v>
      </c>
      <c r="D92" s="112">
        <f t="shared" ref="D92:J92" si="8">D189</f>
        <v>60</v>
      </c>
      <c r="E92" s="112">
        <f t="shared" si="8"/>
        <v>60</v>
      </c>
      <c r="F92" s="112">
        <f t="shared" si="8"/>
        <v>52</v>
      </c>
      <c r="G92" s="112">
        <f t="shared" si="8"/>
        <v>60</v>
      </c>
      <c r="H92" s="112">
        <f t="shared" si="8"/>
        <v>46</v>
      </c>
      <c r="I92" s="112">
        <f t="shared" si="8"/>
        <v>61</v>
      </c>
      <c r="J92" s="213">
        <f t="shared" si="8"/>
        <v>399</v>
      </c>
    </row>
    <row r="93" spans="2:10" ht="15" customHeight="1">
      <c r="B93" s="114">
        <v>2015</v>
      </c>
      <c r="C93" s="112">
        <f>C190</f>
        <v>87</v>
      </c>
      <c r="D93" s="112">
        <f t="shared" ref="D93:J93" si="9">D190</f>
        <v>60</v>
      </c>
      <c r="E93" s="112">
        <f t="shared" si="9"/>
        <v>60</v>
      </c>
      <c r="F93" s="112">
        <f t="shared" si="9"/>
        <v>58</v>
      </c>
      <c r="G93" s="112">
        <f t="shared" si="9"/>
        <v>52</v>
      </c>
      <c r="H93" s="112">
        <f t="shared" si="9"/>
        <v>60</v>
      </c>
      <c r="I93" s="112">
        <f t="shared" si="9"/>
        <v>40</v>
      </c>
      <c r="J93" s="213">
        <f t="shared" si="9"/>
        <v>417</v>
      </c>
    </row>
    <row r="94" spans="2:10" ht="15" customHeight="1">
      <c r="B94" s="114">
        <v>2016</v>
      </c>
      <c r="C94" s="112">
        <f>C191</f>
        <v>72</v>
      </c>
      <c r="D94" s="112">
        <f t="shared" ref="D94:J94" si="10">D191</f>
        <v>81</v>
      </c>
      <c r="E94" s="112">
        <f t="shared" si="10"/>
        <v>57</v>
      </c>
      <c r="F94" s="112">
        <f t="shared" si="10"/>
        <v>60</v>
      </c>
      <c r="G94" s="112">
        <f t="shared" si="10"/>
        <v>59</v>
      </c>
      <c r="H94" s="112">
        <f t="shared" si="10"/>
        <v>52</v>
      </c>
      <c r="I94" s="112">
        <f t="shared" si="10"/>
        <v>58</v>
      </c>
      <c r="J94" s="213">
        <f t="shared" si="10"/>
        <v>439</v>
      </c>
    </row>
    <row r="95" spans="2:10" ht="15" customHeight="1">
      <c r="B95" s="114">
        <v>2017</v>
      </c>
      <c r="C95" s="112">
        <f>C192</f>
        <v>64</v>
      </c>
      <c r="D95" s="112">
        <f t="shared" ref="D95:J95" si="11">D192</f>
        <v>79</v>
      </c>
      <c r="E95" s="112">
        <f t="shared" si="11"/>
        <v>79</v>
      </c>
      <c r="F95" s="112">
        <f t="shared" si="11"/>
        <v>54</v>
      </c>
      <c r="G95" s="112">
        <f t="shared" si="11"/>
        <v>62</v>
      </c>
      <c r="H95" s="112">
        <f t="shared" si="11"/>
        <v>56</v>
      </c>
      <c r="I95" s="112">
        <f t="shared" si="11"/>
        <v>52</v>
      </c>
      <c r="J95" s="213">
        <f t="shared" si="11"/>
        <v>446</v>
      </c>
    </row>
    <row r="96" spans="2:10" ht="15" customHeight="1">
      <c r="B96" s="307">
        <v>2018</v>
      </c>
      <c r="C96" s="112">
        <f t="shared" ref="C96:J96" si="12">C193</f>
        <v>62</v>
      </c>
      <c r="D96" s="112">
        <f t="shared" si="12"/>
        <v>63</v>
      </c>
      <c r="E96" s="112">
        <f t="shared" si="12"/>
        <v>76</v>
      </c>
      <c r="F96" s="112">
        <f t="shared" si="12"/>
        <v>80</v>
      </c>
      <c r="G96" s="112">
        <f t="shared" si="12"/>
        <v>59</v>
      </c>
      <c r="H96" s="112">
        <f t="shared" si="12"/>
        <v>62</v>
      </c>
      <c r="I96" s="112">
        <f t="shared" si="12"/>
        <v>56</v>
      </c>
      <c r="J96" s="213">
        <f t="shared" si="12"/>
        <v>458</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0</v>
      </c>
      <c r="E98" s="210">
        <f t="shared" ref="E98:I98" si="13">MEDIAN(((D91-E92)/D91),((D92-E93)/D92),((D93-E94)/D93),((D94-E95)/D94),((D95-E96)/D95))</f>
        <v>2.4691358024691357E-2</v>
      </c>
      <c r="F98" s="210">
        <f t="shared" si="13"/>
        <v>1.8867924528301886E-2</v>
      </c>
      <c r="G98" s="210">
        <f t="shared" si="13"/>
        <v>-1.7241379310344827E-2</v>
      </c>
      <c r="H98" s="210">
        <f t="shared" si="13"/>
        <v>0</v>
      </c>
      <c r="I98" s="210">
        <f t="shared" si="13"/>
        <v>3.1746031746031744E-2</v>
      </c>
    </row>
    <row r="99" spans="2:10" ht="15" customHeight="1">
      <c r="B99" s="59"/>
      <c r="C99" s="60"/>
      <c r="D99" s="61"/>
      <c r="E99" s="61"/>
      <c r="F99" s="61"/>
      <c r="G99" s="61"/>
      <c r="H99" s="61"/>
      <c r="I99" s="61"/>
      <c r="J99" s="58"/>
    </row>
    <row r="100" spans="2:10" ht="15" customHeight="1">
      <c r="B100" s="15" t="str">
        <f>"Table 4B: "&amp;E3&amp;" Projected Roll by Stage (incorporating Projected P1 and Drop-Off Rates), 2019-2032"</f>
        <v>Table 4B: Liberton Primary School Projected Roll by Stage (incorporating Projected P1 and Drop-Off Rates), 2019-2032</v>
      </c>
      <c r="F100" s="14"/>
      <c r="G100" s="14"/>
    </row>
    <row r="101" spans="2:10" ht="15" customHeight="1">
      <c r="F101" s="14"/>
      <c r="G101" s="14"/>
    </row>
    <row r="102" spans="2:10" ht="15" customHeight="1">
      <c r="B102" s="115"/>
      <c r="C102" s="109" t="s">
        <v>1</v>
      </c>
      <c r="D102" s="109" t="s">
        <v>2</v>
      </c>
      <c r="E102" s="109" t="s">
        <v>3</v>
      </c>
      <c r="F102" s="109" t="s">
        <v>4</v>
      </c>
      <c r="G102" s="109" t="s">
        <v>5</v>
      </c>
      <c r="H102" s="109" t="s">
        <v>6</v>
      </c>
      <c r="I102" s="109" t="s">
        <v>7</v>
      </c>
      <c r="J102" s="109" t="s">
        <v>8</v>
      </c>
    </row>
    <row r="103" spans="2:10" ht="15" customHeight="1">
      <c r="B103" s="114">
        <v>2019</v>
      </c>
      <c r="C103" s="113">
        <f t="shared" ref="C103:C116" si="14">J70</f>
        <v>66</v>
      </c>
      <c r="D103" s="324">
        <f>ROUND((C96)-(C96*$D$98),0)</f>
        <v>62</v>
      </c>
      <c r="E103" s="324">
        <f>ROUND((D96)-(D96*$E$98),0)</f>
        <v>61</v>
      </c>
      <c r="F103" s="324">
        <f>ROUND((E96)-(E96*$F$98),0)</f>
        <v>75</v>
      </c>
      <c r="G103" s="324">
        <f>ROUND((F96)-(F96*$G$98),0)</f>
        <v>81</v>
      </c>
      <c r="H103" s="324">
        <f>ROUND((G96)-(G96*$H$98),0)</f>
        <v>59</v>
      </c>
      <c r="I103" s="324">
        <f>ROUND((H96)-(H96*$I$98),0)</f>
        <v>60</v>
      </c>
      <c r="J103" s="111">
        <f t="shared" ref="J103:J116" si="15">SUM(C103:I103)</f>
        <v>464</v>
      </c>
    </row>
    <row r="104" spans="2:10" ht="15" customHeight="1">
      <c r="B104" s="114">
        <v>2020</v>
      </c>
      <c r="C104" s="113">
        <f t="shared" si="14"/>
        <v>66</v>
      </c>
      <c r="D104" s="324">
        <f>ROUND((C103-E50)-(C103*$D$98),0)</f>
        <v>65</v>
      </c>
      <c r="E104" s="112">
        <f t="shared" ref="E104:E116" si="16">ROUND((D103)-(D103*$E$98),0)</f>
        <v>60</v>
      </c>
      <c r="F104" s="112">
        <f t="shared" ref="F104:F116" si="17">ROUND((E103)-(E103*$F$98),0)</f>
        <v>60</v>
      </c>
      <c r="G104" s="112">
        <f t="shared" ref="G104:G116" si="18">ROUND((F103)-(F103*$G$98),0)</f>
        <v>76</v>
      </c>
      <c r="H104" s="112">
        <f t="shared" ref="H104:H116" si="19">ROUND((G103)-(G103*$H$98),0)</f>
        <v>81</v>
      </c>
      <c r="I104" s="112">
        <f t="shared" ref="I104:I116" si="20">ROUND((H103)-(H103*$I$98),0)</f>
        <v>57</v>
      </c>
      <c r="J104" s="111">
        <f t="shared" si="15"/>
        <v>465</v>
      </c>
    </row>
    <row r="105" spans="2:10" ht="15" customHeight="1">
      <c r="B105" s="114">
        <v>2021</v>
      </c>
      <c r="C105" s="113">
        <f t="shared" si="14"/>
        <v>72</v>
      </c>
      <c r="D105" s="324">
        <f>ROUND((C104-F50)-(C104*$D$98),0)</f>
        <v>65</v>
      </c>
      <c r="E105" s="112">
        <f t="shared" si="16"/>
        <v>63</v>
      </c>
      <c r="F105" s="112">
        <f t="shared" si="17"/>
        <v>59</v>
      </c>
      <c r="G105" s="112">
        <f t="shared" si="18"/>
        <v>61</v>
      </c>
      <c r="H105" s="112">
        <f t="shared" si="19"/>
        <v>76</v>
      </c>
      <c r="I105" s="112">
        <f t="shared" si="20"/>
        <v>78</v>
      </c>
      <c r="J105" s="111">
        <f t="shared" si="15"/>
        <v>474</v>
      </c>
    </row>
    <row r="106" spans="2:10" ht="15" customHeight="1">
      <c r="B106" s="114">
        <v>2022</v>
      </c>
      <c r="C106" s="113">
        <f t="shared" si="14"/>
        <v>72</v>
      </c>
      <c r="D106" s="324">
        <f>ROUND((C105-G50)-(C105*$D$98),0)</f>
        <v>71</v>
      </c>
      <c r="E106" s="112">
        <f t="shared" si="16"/>
        <v>63</v>
      </c>
      <c r="F106" s="112">
        <f t="shared" si="17"/>
        <v>62</v>
      </c>
      <c r="G106" s="112">
        <f t="shared" si="18"/>
        <v>60</v>
      </c>
      <c r="H106" s="112">
        <f t="shared" si="19"/>
        <v>61</v>
      </c>
      <c r="I106" s="112">
        <f t="shared" si="20"/>
        <v>74</v>
      </c>
      <c r="J106" s="111">
        <f t="shared" si="15"/>
        <v>463</v>
      </c>
    </row>
    <row r="107" spans="2:10" ht="15" customHeight="1">
      <c r="B107" s="114">
        <v>2023</v>
      </c>
      <c r="C107" s="113">
        <f t="shared" si="14"/>
        <v>72</v>
      </c>
      <c r="D107" s="324">
        <f>ROUND((C106-H50)-(C106*$D$98),0)</f>
        <v>71</v>
      </c>
      <c r="E107" s="112">
        <f t="shared" si="16"/>
        <v>69</v>
      </c>
      <c r="F107" s="112">
        <f t="shared" si="17"/>
        <v>62</v>
      </c>
      <c r="G107" s="112">
        <f t="shared" si="18"/>
        <v>63</v>
      </c>
      <c r="H107" s="112">
        <f t="shared" si="19"/>
        <v>60</v>
      </c>
      <c r="I107" s="112">
        <f t="shared" si="20"/>
        <v>59</v>
      </c>
      <c r="J107" s="111">
        <f t="shared" si="15"/>
        <v>456</v>
      </c>
    </row>
    <row r="108" spans="2:10" ht="15" customHeight="1">
      <c r="B108" s="114">
        <v>2024</v>
      </c>
      <c r="C108" s="113">
        <f t="shared" si="14"/>
        <v>72</v>
      </c>
      <c r="D108" s="324">
        <f>ROUND((C107-I50)-(C107*$D$98),0)</f>
        <v>71</v>
      </c>
      <c r="E108" s="112">
        <f t="shared" si="16"/>
        <v>69</v>
      </c>
      <c r="F108" s="112">
        <f t="shared" si="17"/>
        <v>68</v>
      </c>
      <c r="G108" s="112">
        <f t="shared" si="18"/>
        <v>63</v>
      </c>
      <c r="H108" s="112">
        <f t="shared" si="19"/>
        <v>63</v>
      </c>
      <c r="I108" s="112">
        <f t="shared" si="20"/>
        <v>58</v>
      </c>
      <c r="J108" s="111">
        <f t="shared" si="15"/>
        <v>464</v>
      </c>
    </row>
    <row r="109" spans="2:10" ht="15" customHeight="1">
      <c r="B109" s="114">
        <v>2025</v>
      </c>
      <c r="C109" s="113">
        <f t="shared" si="14"/>
        <v>75</v>
      </c>
      <c r="D109" s="324">
        <f>ROUND((C108-J50)-(C108*$D$98),0)</f>
        <v>71</v>
      </c>
      <c r="E109" s="112">
        <f t="shared" si="16"/>
        <v>69</v>
      </c>
      <c r="F109" s="112">
        <f t="shared" si="17"/>
        <v>68</v>
      </c>
      <c r="G109" s="112">
        <f t="shared" si="18"/>
        <v>69</v>
      </c>
      <c r="H109" s="112">
        <f t="shared" si="19"/>
        <v>63</v>
      </c>
      <c r="I109" s="112">
        <f t="shared" si="20"/>
        <v>61</v>
      </c>
      <c r="J109" s="111">
        <f t="shared" si="15"/>
        <v>476</v>
      </c>
    </row>
    <row r="110" spans="2:10" ht="15" customHeight="1">
      <c r="B110" s="114">
        <v>2026</v>
      </c>
      <c r="C110" s="113">
        <f t="shared" si="14"/>
        <v>75</v>
      </c>
      <c r="D110" s="324">
        <f>ROUND((C109-K50)-(C109*$D$98),0)</f>
        <v>74</v>
      </c>
      <c r="E110" s="112">
        <f t="shared" si="16"/>
        <v>69</v>
      </c>
      <c r="F110" s="112">
        <f t="shared" si="17"/>
        <v>68</v>
      </c>
      <c r="G110" s="112">
        <f t="shared" si="18"/>
        <v>69</v>
      </c>
      <c r="H110" s="112">
        <f t="shared" si="19"/>
        <v>69</v>
      </c>
      <c r="I110" s="112">
        <f t="shared" si="20"/>
        <v>61</v>
      </c>
      <c r="J110" s="111">
        <f t="shared" si="15"/>
        <v>485</v>
      </c>
    </row>
    <row r="111" spans="2:10" ht="15" customHeight="1">
      <c r="B111" s="114">
        <v>2027</v>
      </c>
      <c r="C111" s="113">
        <f t="shared" si="14"/>
        <v>75</v>
      </c>
      <c r="D111" s="324">
        <f>ROUND((C110-L50)-(C110*$D$98),0)</f>
        <v>74</v>
      </c>
      <c r="E111" s="112">
        <f t="shared" si="16"/>
        <v>72</v>
      </c>
      <c r="F111" s="112">
        <f t="shared" si="17"/>
        <v>68</v>
      </c>
      <c r="G111" s="112">
        <f t="shared" si="18"/>
        <v>69</v>
      </c>
      <c r="H111" s="112">
        <f t="shared" si="19"/>
        <v>69</v>
      </c>
      <c r="I111" s="112">
        <f t="shared" si="20"/>
        <v>67</v>
      </c>
      <c r="J111" s="111">
        <f t="shared" si="15"/>
        <v>494</v>
      </c>
    </row>
    <row r="112" spans="2:10" ht="15" customHeight="1">
      <c r="B112" s="114">
        <v>2028</v>
      </c>
      <c r="C112" s="113">
        <f t="shared" si="14"/>
        <v>75</v>
      </c>
      <c r="D112" s="324">
        <f>ROUND((C111-M50)-(C111*$D$98),0)</f>
        <v>74</v>
      </c>
      <c r="E112" s="112">
        <f t="shared" si="16"/>
        <v>72</v>
      </c>
      <c r="F112" s="112">
        <f t="shared" si="17"/>
        <v>71</v>
      </c>
      <c r="G112" s="112">
        <f t="shared" si="18"/>
        <v>69</v>
      </c>
      <c r="H112" s="112">
        <f t="shared" si="19"/>
        <v>69</v>
      </c>
      <c r="I112" s="112">
        <f t="shared" si="20"/>
        <v>67</v>
      </c>
      <c r="J112" s="111">
        <f t="shared" si="15"/>
        <v>497</v>
      </c>
    </row>
    <row r="113" spans="2:10" ht="15" customHeight="1">
      <c r="B113" s="114">
        <v>2029</v>
      </c>
      <c r="C113" s="113">
        <f t="shared" si="14"/>
        <v>75</v>
      </c>
      <c r="D113" s="324">
        <f>ROUND((C112-N50)-(C112*$D$98),0)</f>
        <v>74</v>
      </c>
      <c r="E113" s="112">
        <f t="shared" si="16"/>
        <v>72</v>
      </c>
      <c r="F113" s="112">
        <f t="shared" si="17"/>
        <v>71</v>
      </c>
      <c r="G113" s="112">
        <f t="shared" si="18"/>
        <v>72</v>
      </c>
      <c r="H113" s="112">
        <f t="shared" si="19"/>
        <v>69</v>
      </c>
      <c r="I113" s="112">
        <f t="shared" si="20"/>
        <v>67</v>
      </c>
      <c r="J113" s="111">
        <f t="shared" si="15"/>
        <v>500</v>
      </c>
    </row>
    <row r="114" spans="2:10" ht="15" customHeight="1">
      <c r="B114" s="114">
        <v>2030</v>
      </c>
      <c r="C114" s="113">
        <f t="shared" si="14"/>
        <v>75</v>
      </c>
      <c r="D114" s="324">
        <f>ROUND((C113-O50)-(C113*$D$98),0)</f>
        <v>74</v>
      </c>
      <c r="E114" s="112">
        <f t="shared" si="16"/>
        <v>72</v>
      </c>
      <c r="F114" s="112">
        <f t="shared" si="17"/>
        <v>71</v>
      </c>
      <c r="G114" s="112">
        <f t="shared" si="18"/>
        <v>72</v>
      </c>
      <c r="H114" s="112">
        <f t="shared" si="19"/>
        <v>72</v>
      </c>
      <c r="I114" s="112">
        <f t="shared" si="20"/>
        <v>67</v>
      </c>
      <c r="J114" s="111">
        <f t="shared" si="15"/>
        <v>503</v>
      </c>
    </row>
    <row r="115" spans="2:10" ht="15" customHeight="1">
      <c r="B115" s="114">
        <v>2031</v>
      </c>
      <c r="C115" s="113">
        <f t="shared" si="14"/>
        <v>75</v>
      </c>
      <c r="D115" s="324">
        <f>ROUND((C114-P50)-(C114*$D$98),0)</f>
        <v>74</v>
      </c>
      <c r="E115" s="112">
        <f t="shared" si="16"/>
        <v>72</v>
      </c>
      <c r="F115" s="112">
        <f t="shared" si="17"/>
        <v>71</v>
      </c>
      <c r="G115" s="112">
        <f t="shared" si="18"/>
        <v>72</v>
      </c>
      <c r="H115" s="112">
        <f t="shared" si="19"/>
        <v>72</v>
      </c>
      <c r="I115" s="112">
        <f t="shared" si="20"/>
        <v>70</v>
      </c>
      <c r="J115" s="111">
        <f t="shared" si="15"/>
        <v>506</v>
      </c>
    </row>
    <row r="116" spans="2:10" ht="15" customHeight="1">
      <c r="B116" s="114">
        <v>2032</v>
      </c>
      <c r="C116" s="113">
        <f t="shared" si="14"/>
        <v>75</v>
      </c>
      <c r="D116" s="324">
        <f>ROUND((C115-Q50)-(C115*$D$98),0)</f>
        <v>74</v>
      </c>
      <c r="E116" s="112">
        <f t="shared" si="16"/>
        <v>72</v>
      </c>
      <c r="F116" s="112">
        <f t="shared" si="17"/>
        <v>71</v>
      </c>
      <c r="G116" s="112">
        <f t="shared" si="18"/>
        <v>72</v>
      </c>
      <c r="H116" s="112">
        <f t="shared" si="19"/>
        <v>72</v>
      </c>
      <c r="I116" s="112">
        <f t="shared" si="20"/>
        <v>70</v>
      </c>
      <c r="J116" s="111">
        <f t="shared" si="15"/>
        <v>506</v>
      </c>
    </row>
    <row r="117" spans="2:10" ht="15" customHeight="1">
      <c r="F117" s="14"/>
      <c r="G117" s="14"/>
    </row>
    <row r="118" spans="2:10" ht="15" customHeight="1">
      <c r="B118" s="15" t="str">
        <f>"Table 4C: "&amp;E3&amp;" Projected Pupil Generation from Housing Development, 2019-2032"</f>
        <v>Table 4C: Liberton Primary School Projected Pupil Generation from Housing Development, 2019-2032</v>
      </c>
      <c r="F118" s="14"/>
      <c r="G118" s="14"/>
    </row>
    <row r="119" spans="2:10" ht="15" customHeight="1">
      <c r="F119" s="14"/>
      <c r="G119" s="14"/>
    </row>
    <row r="120" spans="2:10" ht="15" customHeight="1">
      <c r="B120" s="115"/>
      <c r="C120" s="109" t="s">
        <v>1</v>
      </c>
      <c r="D120" s="109" t="s">
        <v>2</v>
      </c>
      <c r="E120" s="109" t="s">
        <v>3</v>
      </c>
      <c r="F120" s="109" t="s">
        <v>4</v>
      </c>
      <c r="G120" s="109" t="s">
        <v>5</v>
      </c>
      <c r="H120" s="109" t="s">
        <v>6</v>
      </c>
      <c r="I120" s="109" t="s">
        <v>7</v>
      </c>
      <c r="J120" s="109" t="s">
        <v>8</v>
      </c>
    </row>
    <row r="121" spans="2:10" ht="15" customHeight="1">
      <c r="B121" s="114">
        <v>2019</v>
      </c>
      <c r="C121" s="116" t="s">
        <v>97</v>
      </c>
      <c r="D121" s="112">
        <f>VLOOKUP($E$3,'Housing Generation'!$A$3:$BE$90,11,FALSE)</f>
        <v>0</v>
      </c>
      <c r="E121" s="112">
        <f>VLOOKUP($E$3,'Housing Generation'!$A$3:$BE$90,12,FALSE)</f>
        <v>0</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0</v>
      </c>
    </row>
    <row r="122" spans="2:10" ht="15" customHeight="1">
      <c r="B122" s="114">
        <v>2020</v>
      </c>
      <c r="C122" s="116" t="s">
        <v>97</v>
      </c>
      <c r="D122" s="112">
        <f>VLOOKUP($E$3,'Housing Generation'!$A$3:$BE$90,19,FALSE)</f>
        <v>0</v>
      </c>
      <c r="E122" s="112">
        <f>VLOOKUP($E$3,'Housing Generation'!$A$3:$BE$90,20,FALSE)</f>
        <v>0</v>
      </c>
      <c r="F122" s="112">
        <f>VLOOKUP($E$3,'Housing Generation'!$A$3:$BE$90,21,FALSE)</f>
        <v>0</v>
      </c>
      <c r="G122" s="112">
        <f>VLOOKUP($E$3,'Housing Generation'!$A$3:$BE$90,22,FALSE)</f>
        <v>0</v>
      </c>
      <c r="H122" s="112">
        <f>VLOOKUP($E$3,'Housing Generation'!$A$3:$BE$90,23,FALSE)</f>
        <v>0</v>
      </c>
      <c r="I122" s="112">
        <f>VLOOKUP($E$3,'Housing Generation'!$A$3:$BE$90,24,FALSE)</f>
        <v>0</v>
      </c>
      <c r="J122" s="111">
        <f t="shared" si="21"/>
        <v>0</v>
      </c>
    </row>
    <row r="123" spans="2:10" ht="15" customHeight="1">
      <c r="B123" s="114">
        <v>2021</v>
      </c>
      <c r="C123" s="116" t="s">
        <v>97</v>
      </c>
      <c r="D123" s="112">
        <f>VLOOKUP($E$3,'Housing Generation'!$A$3:$BE$90,27,FALSE)</f>
        <v>1</v>
      </c>
      <c r="E123" s="112">
        <f>VLOOKUP($E$3,'Housing Generation'!$A$3:$BE$90,28,FALSE)</f>
        <v>1</v>
      </c>
      <c r="F123" s="112">
        <f>VLOOKUP($E$3,'Housing Generation'!$A$3:$BE$90,29,FALSE)</f>
        <v>0</v>
      </c>
      <c r="G123" s="112">
        <f>VLOOKUP($E$3,'Housing Generation'!$A$3:$BE$90,30,FALSE)</f>
        <v>0</v>
      </c>
      <c r="H123" s="112">
        <f>VLOOKUP($E$3,'Housing Generation'!$A$3:$BE$90,31,FALSE)</f>
        <v>0</v>
      </c>
      <c r="I123" s="112">
        <f>VLOOKUP($E$3,'Housing Generation'!$A$3:$BE$90,32,FALSE)</f>
        <v>0</v>
      </c>
      <c r="J123" s="111">
        <f t="shared" si="21"/>
        <v>2</v>
      </c>
    </row>
    <row r="124" spans="2:10" ht="15" customHeight="1">
      <c r="B124" s="114">
        <v>2022</v>
      </c>
      <c r="C124" s="116" t="s">
        <v>97</v>
      </c>
      <c r="D124" s="112">
        <f>VLOOKUP($E$3,'Housing Generation'!$A$3:$BE$90,35,FALSE)</f>
        <v>1</v>
      </c>
      <c r="E124" s="112">
        <f>VLOOKUP($E$3,'Housing Generation'!$A$3:$BE$90,36,FALSE)</f>
        <v>1</v>
      </c>
      <c r="F124" s="112">
        <f>VLOOKUP($E$3,'Housing Generation'!$A$3:$BE$90,37,FALSE)</f>
        <v>0</v>
      </c>
      <c r="G124" s="112">
        <f>VLOOKUP($E$3,'Housing Generation'!$A$3:$BE$90,38,FALSE)</f>
        <v>0</v>
      </c>
      <c r="H124" s="112">
        <f>VLOOKUP($E$3,'Housing Generation'!$A$3:$BE$90,39,FALSE)</f>
        <v>0</v>
      </c>
      <c r="I124" s="112">
        <f>VLOOKUP($E$3,'Housing Generation'!$A$3:$BE$90,40,FALSE)</f>
        <v>0</v>
      </c>
      <c r="J124" s="111">
        <f t="shared" si="21"/>
        <v>2</v>
      </c>
    </row>
    <row r="125" spans="2:10" ht="15" customHeight="1">
      <c r="B125" s="114">
        <v>2023</v>
      </c>
      <c r="C125" s="116" t="s">
        <v>97</v>
      </c>
      <c r="D125" s="112">
        <f>VLOOKUP($E$3,'Housing Generation'!$A$3:$BE$90,43,FALSE)</f>
        <v>1</v>
      </c>
      <c r="E125" s="112">
        <f>VLOOKUP($E$3,'Housing Generation'!$A$3:$BE$90,44,FALSE)</f>
        <v>1</v>
      </c>
      <c r="F125" s="112">
        <f>VLOOKUP($E$3,'Housing Generation'!$A$3:$BE$90,45,FALSE)</f>
        <v>0</v>
      </c>
      <c r="G125" s="112">
        <f>VLOOKUP($E$3,'Housing Generation'!$A$3:$BE$90,46,FALSE)</f>
        <v>0</v>
      </c>
      <c r="H125" s="112">
        <f>VLOOKUP($E$3,'Housing Generation'!$A$3:$BE$90,47,FALSE)</f>
        <v>0</v>
      </c>
      <c r="I125" s="112">
        <f>VLOOKUP($E$3,'Housing Generation'!$A$3:$BE$90,48,FALSE)</f>
        <v>0</v>
      </c>
      <c r="J125" s="111">
        <f t="shared" si="21"/>
        <v>2</v>
      </c>
    </row>
    <row r="126" spans="2:10" ht="15" customHeight="1">
      <c r="B126" s="114">
        <v>2024</v>
      </c>
      <c r="C126" s="116" t="s">
        <v>97</v>
      </c>
      <c r="D126" s="112">
        <f>VLOOKUP($E$3,'Housing Generation'!$A$3:$BE$90,51,FALSE)</f>
        <v>1</v>
      </c>
      <c r="E126" s="112">
        <f>VLOOKUP($E$3,'Housing Generation'!$A$3:$BE$90,52,FALSE)</f>
        <v>1</v>
      </c>
      <c r="F126" s="112">
        <f>VLOOKUP($E$3,'Housing Generation'!$A$3:$BE$90,53,FALSE)</f>
        <v>0</v>
      </c>
      <c r="G126" s="112">
        <f>VLOOKUP($E$3,'Housing Generation'!$A$3:$BE$90,54,FALSE)</f>
        <v>0</v>
      </c>
      <c r="H126" s="112">
        <f>VLOOKUP($E$3,'Housing Generation'!$A$3:$BE$90,55,FALSE)</f>
        <v>0</v>
      </c>
      <c r="I126" s="112">
        <f>VLOOKUP($E$3,'Housing Generation'!$A$3:$BE$90,56,FALSE)</f>
        <v>0</v>
      </c>
      <c r="J126" s="111">
        <f t="shared" si="21"/>
        <v>2</v>
      </c>
    </row>
    <row r="127" spans="2:10" ht="15" customHeight="1">
      <c r="B127" s="114">
        <v>2025</v>
      </c>
      <c r="C127" s="240" t="s">
        <v>97</v>
      </c>
      <c r="D127" s="112">
        <f>VLOOKUP($E$3,'Housing Generation'!$A$3:$CK$90,59,FALSE)</f>
        <v>1</v>
      </c>
      <c r="E127" s="112">
        <f>VLOOKUP($E$3,'Housing Generation'!$A$3:$CK$90,60,FALSE)</f>
        <v>1</v>
      </c>
      <c r="F127" s="112">
        <f>VLOOKUP($E$3,'Housing Generation'!$A$3:$CK$90,61,FALSE)</f>
        <v>0</v>
      </c>
      <c r="G127" s="112">
        <f>VLOOKUP($E$3,'Housing Generation'!$A$3:$CK$90,62,FALSE)</f>
        <v>0</v>
      </c>
      <c r="H127" s="112">
        <f>VLOOKUP($E$3,'Housing Generation'!$A$3:$CK$90,63,FALSE)</f>
        <v>0</v>
      </c>
      <c r="I127" s="112">
        <f>VLOOKUP($E$3,'Housing Generation'!$A$3:$CK$90,64,FALSE)</f>
        <v>0</v>
      </c>
      <c r="J127" s="111">
        <f t="shared" si="21"/>
        <v>2</v>
      </c>
    </row>
    <row r="128" spans="2:10" ht="15" customHeight="1">
      <c r="B128" s="114">
        <v>2026</v>
      </c>
      <c r="C128" s="240" t="s">
        <v>97</v>
      </c>
      <c r="D128" s="112">
        <f>VLOOKUP($E$3,'Housing Generation'!$A$3:$CK$90,67,FALSE)</f>
        <v>1</v>
      </c>
      <c r="E128" s="112">
        <f>VLOOKUP($E$3,'Housing Generation'!$A$3:$CK$90,68,FALSE)</f>
        <v>1</v>
      </c>
      <c r="F128" s="112">
        <f>VLOOKUP($E$3,'Housing Generation'!$A$3:$CK$90,69,FALSE)</f>
        <v>0</v>
      </c>
      <c r="G128" s="112">
        <f>VLOOKUP($E$3,'Housing Generation'!$A$3:$CK$90,70,FALSE)</f>
        <v>0</v>
      </c>
      <c r="H128" s="112">
        <f>VLOOKUP($E$3,'Housing Generation'!$A$3:$CK$90,71,FALSE)</f>
        <v>0</v>
      </c>
      <c r="I128" s="112">
        <f>VLOOKUP($E$3,'Housing Generation'!$A$3:$CK$90,72,FALSE)</f>
        <v>0</v>
      </c>
      <c r="J128" s="111">
        <f t="shared" si="21"/>
        <v>2</v>
      </c>
    </row>
    <row r="129" spans="2:10" ht="15" customHeight="1">
      <c r="B129" s="114">
        <v>2027</v>
      </c>
      <c r="C129" s="240" t="s">
        <v>97</v>
      </c>
      <c r="D129" s="112">
        <f>VLOOKUP($E$3,'Housing Generation'!$A$3:$CK$90,75,FALSE)</f>
        <v>1</v>
      </c>
      <c r="E129" s="112">
        <f>VLOOKUP($E$3,'Housing Generation'!$A$3:$CK$90,76,FALSE)</f>
        <v>1</v>
      </c>
      <c r="F129" s="112">
        <f>VLOOKUP($E$3,'Housing Generation'!$A$3:$CK$90,77,FALSE)</f>
        <v>0</v>
      </c>
      <c r="G129" s="112">
        <f>VLOOKUP($E$3,'Housing Generation'!$A$3:$CK$90,78,FALSE)</f>
        <v>0</v>
      </c>
      <c r="H129" s="112">
        <f>VLOOKUP($E$3,'Housing Generation'!$A$3:$CK$90,79,FALSE)</f>
        <v>0</v>
      </c>
      <c r="I129" s="112">
        <f>VLOOKUP($E$3,'Housing Generation'!$A$3:$CK$90,80,FALSE)</f>
        <v>0</v>
      </c>
      <c r="J129" s="111">
        <f t="shared" si="21"/>
        <v>2</v>
      </c>
    </row>
    <row r="130" spans="2:10" ht="15" customHeight="1">
      <c r="B130" s="114">
        <v>2028</v>
      </c>
      <c r="C130" s="289" t="s">
        <v>97</v>
      </c>
      <c r="D130" s="112">
        <f>VLOOKUP($E$3,'Housing Generation'!$A$3:$CK$90,83,FALSE)</f>
        <v>1</v>
      </c>
      <c r="E130" s="112">
        <f>VLOOKUP($E$3,'Housing Generation'!$A$3:$CK$90,84,FALSE)</f>
        <v>1</v>
      </c>
      <c r="F130" s="112">
        <f>VLOOKUP($E$3,'Housing Generation'!$A$3:$CK$90,85,FALSE)</f>
        <v>0</v>
      </c>
      <c r="G130" s="112">
        <f>VLOOKUP($E$3,'Housing Generation'!$A$3:$CK$90,86,FALSE)</f>
        <v>0</v>
      </c>
      <c r="H130" s="112">
        <f>VLOOKUP($E$3,'Housing Generation'!$A$3:$CK$90,87,FALSE)</f>
        <v>0</v>
      </c>
      <c r="I130" s="112">
        <f>VLOOKUP($E$3,'Housing Generation'!$A$3:$CK$90,88,FALSE)</f>
        <v>0</v>
      </c>
      <c r="J130" s="111">
        <f t="shared" si="21"/>
        <v>2</v>
      </c>
    </row>
    <row r="131" spans="2:10" ht="15" customHeight="1">
      <c r="B131" s="114">
        <v>2029</v>
      </c>
      <c r="C131" s="289" t="s">
        <v>97</v>
      </c>
      <c r="D131" s="112">
        <f>VLOOKUP($E$3,'Housing Generation'!$A$3:$DQ$90,91,FALSE)</f>
        <v>1</v>
      </c>
      <c r="E131" s="112">
        <f>VLOOKUP($E$3,'Housing Generation'!$A$3:$DQ$90,92,FALSE)</f>
        <v>1</v>
      </c>
      <c r="F131" s="112">
        <f>VLOOKUP($E$3,'Housing Generation'!$A$3:$DQ$90,93,FALSE)</f>
        <v>0</v>
      </c>
      <c r="G131" s="112">
        <f>VLOOKUP($E$3,'Housing Generation'!$A$3:$DQ$90,94,FALSE)</f>
        <v>0</v>
      </c>
      <c r="H131" s="112">
        <f>VLOOKUP($E$3,'Housing Generation'!$A$3:$DQ$90,95,FALSE)</f>
        <v>0</v>
      </c>
      <c r="I131" s="112">
        <f>VLOOKUP($E$3,'Housing Generation'!$A$3:$DQ$90,96,FALSE)</f>
        <v>0</v>
      </c>
      <c r="J131" s="111">
        <f t="shared" si="21"/>
        <v>2</v>
      </c>
    </row>
    <row r="132" spans="2:10" ht="15" customHeight="1">
      <c r="B132" s="114">
        <v>2030</v>
      </c>
      <c r="C132" s="289" t="s">
        <v>97</v>
      </c>
      <c r="D132" s="112">
        <f>VLOOKUP($E$3,'Housing Generation'!$A$3:$DQ$90,99,FALSE)</f>
        <v>1</v>
      </c>
      <c r="E132" s="112">
        <f>VLOOKUP($E$3,'Housing Generation'!$A$3:$DQ$90,100,FALSE)</f>
        <v>1</v>
      </c>
      <c r="F132" s="112">
        <f>VLOOKUP($E$3,'Housing Generation'!$A$3:$DQ$90,101,FALSE)</f>
        <v>0</v>
      </c>
      <c r="G132" s="112">
        <f>VLOOKUP($E$3,'Housing Generation'!$A$3:$DQ$90,102,FALSE)</f>
        <v>0</v>
      </c>
      <c r="H132" s="112">
        <f>VLOOKUP($E$3,'Housing Generation'!$A$3:$DQ$90,103,FALSE)</f>
        <v>0</v>
      </c>
      <c r="I132" s="112">
        <f>VLOOKUP($E$3,'Housing Generation'!$A$3:$DQ$90,104,FALSE)</f>
        <v>0</v>
      </c>
      <c r="J132" s="111">
        <f t="shared" si="21"/>
        <v>2</v>
      </c>
    </row>
    <row r="133" spans="2:10" ht="15" customHeight="1">
      <c r="B133" s="114">
        <v>2031</v>
      </c>
      <c r="C133" s="289" t="s">
        <v>97</v>
      </c>
      <c r="D133" s="112">
        <f>VLOOKUP($E$3,'Housing Generation'!$A$3:$DQ$90,107,FALSE)</f>
        <v>1</v>
      </c>
      <c r="E133" s="112">
        <f>VLOOKUP($E$3,'Housing Generation'!$A$3:$DQ$90,108,FALSE)</f>
        <v>1</v>
      </c>
      <c r="F133" s="112">
        <f>VLOOKUP($E$3,'Housing Generation'!$A$3:$DQ$90,109,FALSE)</f>
        <v>0</v>
      </c>
      <c r="G133" s="112">
        <f>VLOOKUP($E$3,'Housing Generation'!$A$3:$DQ$90,110,FALSE)</f>
        <v>0</v>
      </c>
      <c r="H133" s="112">
        <f>VLOOKUP($E$3,'Housing Generation'!$A$3:$DQ$90,111,FALSE)</f>
        <v>0</v>
      </c>
      <c r="I133" s="112">
        <f>VLOOKUP($E$3,'Housing Generation'!$A$3:$DQ$90,112,FALSE)</f>
        <v>0</v>
      </c>
      <c r="J133" s="111">
        <f t="shared" si="21"/>
        <v>2</v>
      </c>
    </row>
    <row r="134" spans="2:10" ht="15" customHeight="1">
      <c r="B134" s="114">
        <v>2032</v>
      </c>
      <c r="C134" s="289" t="s">
        <v>97</v>
      </c>
      <c r="D134" s="112">
        <f>VLOOKUP($E$3,'Housing Generation'!$A$3:$DQ$90,115,FALSE)</f>
        <v>1</v>
      </c>
      <c r="E134" s="112">
        <f>VLOOKUP($E$3,'Housing Generation'!$A$3:$DQ$90,116,FALSE)</f>
        <v>1</v>
      </c>
      <c r="F134" s="112">
        <f>VLOOKUP($E$3,'Housing Generation'!$A$3:$DQ$90,117,FALSE)</f>
        <v>0</v>
      </c>
      <c r="G134" s="112">
        <f>VLOOKUP($E$3,'Housing Generation'!$A$3:$DQ$90,118,FALSE)</f>
        <v>0</v>
      </c>
      <c r="H134" s="112">
        <f>VLOOKUP($E$3,'Housing Generation'!$A$3:$DQ$90,119,FALSE)</f>
        <v>0</v>
      </c>
      <c r="I134" s="112">
        <f>VLOOKUP($E$3,'Housing Generation'!$A$3:$DQ$90,120,FALSE)</f>
        <v>0</v>
      </c>
      <c r="J134" s="111">
        <f t="shared" si="21"/>
        <v>2</v>
      </c>
    </row>
    <row r="135" spans="2:10" ht="15"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Liberton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66</v>
      </c>
      <c r="D139" s="112">
        <f t="shared" ref="D139:I152" si="23">D121+D103</f>
        <v>62</v>
      </c>
      <c r="E139" s="112">
        <f t="shared" si="23"/>
        <v>61</v>
      </c>
      <c r="F139" s="112">
        <f t="shared" si="23"/>
        <v>75</v>
      </c>
      <c r="G139" s="112">
        <f t="shared" si="23"/>
        <v>81</v>
      </c>
      <c r="H139" s="112">
        <f t="shared" si="23"/>
        <v>59</v>
      </c>
      <c r="I139" s="112">
        <f t="shared" si="23"/>
        <v>60</v>
      </c>
      <c r="J139" s="111">
        <f t="shared" ref="J139:J144" si="24">SUM(C139:I139)</f>
        <v>464</v>
      </c>
    </row>
    <row r="140" spans="2:10" ht="15" customHeight="1">
      <c r="B140" s="114">
        <v>2020</v>
      </c>
      <c r="C140" s="113">
        <f t="shared" si="22"/>
        <v>66</v>
      </c>
      <c r="D140" s="112">
        <f t="shared" si="23"/>
        <v>65</v>
      </c>
      <c r="E140" s="112">
        <f t="shared" si="23"/>
        <v>60</v>
      </c>
      <c r="F140" s="112">
        <f t="shared" si="23"/>
        <v>60</v>
      </c>
      <c r="G140" s="112">
        <f t="shared" si="23"/>
        <v>76</v>
      </c>
      <c r="H140" s="112">
        <f t="shared" si="23"/>
        <v>81</v>
      </c>
      <c r="I140" s="112">
        <f t="shared" si="23"/>
        <v>57</v>
      </c>
      <c r="J140" s="111">
        <f t="shared" si="24"/>
        <v>465</v>
      </c>
    </row>
    <row r="141" spans="2:10" ht="15" customHeight="1">
      <c r="B141" s="114">
        <v>2021</v>
      </c>
      <c r="C141" s="113">
        <f t="shared" si="22"/>
        <v>72</v>
      </c>
      <c r="D141" s="112">
        <f t="shared" si="23"/>
        <v>66</v>
      </c>
      <c r="E141" s="112">
        <f t="shared" si="23"/>
        <v>64</v>
      </c>
      <c r="F141" s="112">
        <f t="shared" si="23"/>
        <v>59</v>
      </c>
      <c r="G141" s="112">
        <f t="shared" si="23"/>
        <v>61</v>
      </c>
      <c r="H141" s="112">
        <f t="shared" si="23"/>
        <v>76</v>
      </c>
      <c r="I141" s="112">
        <f t="shared" si="23"/>
        <v>78</v>
      </c>
      <c r="J141" s="111">
        <f t="shared" si="24"/>
        <v>476</v>
      </c>
    </row>
    <row r="142" spans="2:10" ht="15" customHeight="1">
      <c r="B142" s="114">
        <v>2022</v>
      </c>
      <c r="C142" s="113">
        <f t="shared" si="22"/>
        <v>72</v>
      </c>
      <c r="D142" s="112">
        <f t="shared" si="23"/>
        <v>72</v>
      </c>
      <c r="E142" s="112">
        <f t="shared" si="23"/>
        <v>64</v>
      </c>
      <c r="F142" s="112">
        <f t="shared" si="23"/>
        <v>62</v>
      </c>
      <c r="G142" s="112">
        <f t="shared" si="23"/>
        <v>60</v>
      </c>
      <c r="H142" s="112">
        <f t="shared" si="23"/>
        <v>61</v>
      </c>
      <c r="I142" s="112">
        <f t="shared" si="23"/>
        <v>74</v>
      </c>
      <c r="J142" s="111">
        <f t="shared" si="24"/>
        <v>465</v>
      </c>
    </row>
    <row r="143" spans="2:10" ht="15" customHeight="1">
      <c r="B143" s="114">
        <v>2023</v>
      </c>
      <c r="C143" s="113">
        <f t="shared" si="22"/>
        <v>72</v>
      </c>
      <c r="D143" s="112">
        <f t="shared" si="23"/>
        <v>72</v>
      </c>
      <c r="E143" s="112">
        <f t="shared" si="23"/>
        <v>70</v>
      </c>
      <c r="F143" s="112">
        <f t="shared" si="23"/>
        <v>62</v>
      </c>
      <c r="G143" s="112">
        <f t="shared" si="23"/>
        <v>63</v>
      </c>
      <c r="H143" s="112">
        <f t="shared" si="23"/>
        <v>60</v>
      </c>
      <c r="I143" s="112">
        <f t="shared" si="23"/>
        <v>59</v>
      </c>
      <c r="J143" s="111">
        <f t="shared" si="24"/>
        <v>458</v>
      </c>
    </row>
    <row r="144" spans="2:10" ht="15" customHeight="1">
      <c r="B144" s="114">
        <v>2024</v>
      </c>
      <c r="C144" s="113">
        <f t="shared" si="22"/>
        <v>72</v>
      </c>
      <c r="D144" s="112">
        <f t="shared" si="23"/>
        <v>72</v>
      </c>
      <c r="E144" s="112">
        <f t="shared" si="23"/>
        <v>70</v>
      </c>
      <c r="F144" s="112">
        <f t="shared" si="23"/>
        <v>68</v>
      </c>
      <c r="G144" s="112">
        <f t="shared" si="23"/>
        <v>63</v>
      </c>
      <c r="H144" s="112">
        <f t="shared" si="23"/>
        <v>63</v>
      </c>
      <c r="I144" s="112">
        <f t="shared" si="23"/>
        <v>58</v>
      </c>
      <c r="J144" s="111">
        <f t="shared" si="24"/>
        <v>466</v>
      </c>
    </row>
    <row r="145" spans="2:16" ht="15" customHeight="1">
      <c r="B145" s="114">
        <v>2025</v>
      </c>
      <c r="C145" s="113">
        <f t="shared" si="22"/>
        <v>75</v>
      </c>
      <c r="D145" s="112">
        <f t="shared" si="23"/>
        <v>72</v>
      </c>
      <c r="E145" s="112">
        <f t="shared" si="23"/>
        <v>70</v>
      </c>
      <c r="F145" s="112">
        <f t="shared" si="23"/>
        <v>68</v>
      </c>
      <c r="G145" s="112">
        <f t="shared" si="23"/>
        <v>69</v>
      </c>
      <c r="H145" s="112">
        <f t="shared" si="23"/>
        <v>63</v>
      </c>
      <c r="I145" s="112">
        <f t="shared" si="23"/>
        <v>61</v>
      </c>
      <c r="J145" s="111">
        <f t="shared" ref="J145:J152" si="25">SUM(C145:I145)</f>
        <v>478</v>
      </c>
    </row>
    <row r="146" spans="2:16" ht="15" customHeight="1">
      <c r="B146" s="114">
        <v>2026</v>
      </c>
      <c r="C146" s="113">
        <f t="shared" si="22"/>
        <v>75</v>
      </c>
      <c r="D146" s="112">
        <f t="shared" si="23"/>
        <v>75</v>
      </c>
      <c r="E146" s="112">
        <f t="shared" si="23"/>
        <v>70</v>
      </c>
      <c r="F146" s="112">
        <f t="shared" si="23"/>
        <v>68</v>
      </c>
      <c r="G146" s="112">
        <f t="shared" si="23"/>
        <v>69</v>
      </c>
      <c r="H146" s="112">
        <f t="shared" si="23"/>
        <v>69</v>
      </c>
      <c r="I146" s="112">
        <f t="shared" si="23"/>
        <v>61</v>
      </c>
      <c r="J146" s="111">
        <f t="shared" si="25"/>
        <v>487</v>
      </c>
    </row>
    <row r="147" spans="2:16" ht="15" customHeight="1">
      <c r="B147" s="114">
        <v>2027</v>
      </c>
      <c r="C147" s="113">
        <f t="shared" si="22"/>
        <v>75</v>
      </c>
      <c r="D147" s="112">
        <f t="shared" si="23"/>
        <v>75</v>
      </c>
      <c r="E147" s="112">
        <f t="shared" si="23"/>
        <v>73</v>
      </c>
      <c r="F147" s="112">
        <f t="shared" si="23"/>
        <v>68</v>
      </c>
      <c r="G147" s="112">
        <f t="shared" si="23"/>
        <v>69</v>
      </c>
      <c r="H147" s="112">
        <f t="shared" si="23"/>
        <v>69</v>
      </c>
      <c r="I147" s="112">
        <f t="shared" si="23"/>
        <v>67</v>
      </c>
      <c r="J147" s="111">
        <f t="shared" si="25"/>
        <v>496</v>
      </c>
    </row>
    <row r="148" spans="2:16" ht="15" customHeight="1">
      <c r="B148" s="114">
        <v>2028</v>
      </c>
      <c r="C148" s="113">
        <f t="shared" si="22"/>
        <v>75</v>
      </c>
      <c r="D148" s="112">
        <f t="shared" si="23"/>
        <v>75</v>
      </c>
      <c r="E148" s="112">
        <f t="shared" si="23"/>
        <v>73</v>
      </c>
      <c r="F148" s="112">
        <f t="shared" si="23"/>
        <v>71</v>
      </c>
      <c r="G148" s="112">
        <f t="shared" si="23"/>
        <v>69</v>
      </c>
      <c r="H148" s="112">
        <f t="shared" si="23"/>
        <v>69</v>
      </c>
      <c r="I148" s="112">
        <f t="shared" si="23"/>
        <v>67</v>
      </c>
      <c r="J148" s="111">
        <f t="shared" si="25"/>
        <v>499</v>
      </c>
    </row>
    <row r="149" spans="2:16" ht="15" customHeight="1">
      <c r="B149" s="114">
        <v>2029</v>
      </c>
      <c r="C149" s="113">
        <f t="shared" si="22"/>
        <v>75</v>
      </c>
      <c r="D149" s="112">
        <f t="shared" si="23"/>
        <v>75</v>
      </c>
      <c r="E149" s="112">
        <f t="shared" si="23"/>
        <v>73</v>
      </c>
      <c r="F149" s="112">
        <f t="shared" si="23"/>
        <v>71</v>
      </c>
      <c r="G149" s="112">
        <f t="shared" si="23"/>
        <v>72</v>
      </c>
      <c r="H149" s="112">
        <f t="shared" si="23"/>
        <v>69</v>
      </c>
      <c r="I149" s="112">
        <f t="shared" si="23"/>
        <v>67</v>
      </c>
      <c r="J149" s="111">
        <f t="shared" si="25"/>
        <v>502</v>
      </c>
    </row>
    <row r="150" spans="2:16" ht="15" customHeight="1">
      <c r="B150" s="114">
        <v>2030</v>
      </c>
      <c r="C150" s="113">
        <f t="shared" si="22"/>
        <v>75</v>
      </c>
      <c r="D150" s="112">
        <f t="shared" si="23"/>
        <v>75</v>
      </c>
      <c r="E150" s="112">
        <f t="shared" si="23"/>
        <v>73</v>
      </c>
      <c r="F150" s="112">
        <f t="shared" si="23"/>
        <v>71</v>
      </c>
      <c r="G150" s="112">
        <f t="shared" si="23"/>
        <v>72</v>
      </c>
      <c r="H150" s="112">
        <f t="shared" si="23"/>
        <v>72</v>
      </c>
      <c r="I150" s="112">
        <f t="shared" si="23"/>
        <v>67</v>
      </c>
      <c r="J150" s="111">
        <f t="shared" si="25"/>
        <v>505</v>
      </c>
    </row>
    <row r="151" spans="2:16" ht="15" customHeight="1">
      <c r="B151" s="114">
        <v>2031</v>
      </c>
      <c r="C151" s="113">
        <f t="shared" si="22"/>
        <v>75</v>
      </c>
      <c r="D151" s="112">
        <f t="shared" si="23"/>
        <v>75</v>
      </c>
      <c r="E151" s="112">
        <f t="shared" si="23"/>
        <v>73</v>
      </c>
      <c r="F151" s="112">
        <f t="shared" si="23"/>
        <v>71</v>
      </c>
      <c r="G151" s="112">
        <f t="shared" si="23"/>
        <v>72</v>
      </c>
      <c r="H151" s="112">
        <f t="shared" si="23"/>
        <v>72</v>
      </c>
      <c r="I151" s="112">
        <f t="shared" si="23"/>
        <v>70</v>
      </c>
      <c r="J151" s="111">
        <f t="shared" si="25"/>
        <v>508</v>
      </c>
    </row>
    <row r="152" spans="2:16" ht="15" customHeight="1">
      <c r="B152" s="114">
        <v>2032</v>
      </c>
      <c r="C152" s="113">
        <f t="shared" si="22"/>
        <v>75</v>
      </c>
      <c r="D152" s="112">
        <f t="shared" si="23"/>
        <v>75</v>
      </c>
      <c r="E152" s="112">
        <f t="shared" si="23"/>
        <v>73</v>
      </c>
      <c r="F152" s="112">
        <f t="shared" si="23"/>
        <v>71</v>
      </c>
      <c r="G152" s="112">
        <f t="shared" si="23"/>
        <v>72</v>
      </c>
      <c r="H152" s="112">
        <f t="shared" si="23"/>
        <v>72</v>
      </c>
      <c r="I152" s="112">
        <f t="shared" si="23"/>
        <v>70</v>
      </c>
      <c r="J152" s="111">
        <f t="shared" si="25"/>
        <v>508</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464</v>
      </c>
      <c r="D159" s="108">
        <f>J140</f>
        <v>465</v>
      </c>
      <c r="E159" s="108">
        <f>J141</f>
        <v>476</v>
      </c>
      <c r="F159" s="108">
        <f>J142</f>
        <v>465</v>
      </c>
      <c r="G159" s="108">
        <f>J143</f>
        <v>458</v>
      </c>
      <c r="H159" s="108">
        <f>J144</f>
        <v>466</v>
      </c>
      <c r="I159" s="108">
        <f>J145</f>
        <v>478</v>
      </c>
      <c r="J159" s="108">
        <f>J146</f>
        <v>487</v>
      </c>
      <c r="K159" s="108">
        <f>J147</f>
        <v>496</v>
      </c>
      <c r="L159" s="108">
        <f>J148</f>
        <v>499</v>
      </c>
      <c r="M159" s="108">
        <f>J149</f>
        <v>502</v>
      </c>
      <c r="N159" s="108">
        <f>J150</f>
        <v>505</v>
      </c>
      <c r="O159" s="108">
        <f>J151</f>
        <v>508</v>
      </c>
      <c r="P159" s="108">
        <f>J152</f>
        <v>508</v>
      </c>
    </row>
    <row r="160" spans="2:16" ht="15" customHeight="1">
      <c r="B160" s="107" t="s">
        <v>152</v>
      </c>
      <c r="C160" s="106">
        <f>VLOOKUP(C159,Capacity!$A$1:$C$645,2,TRUE)</f>
        <v>17</v>
      </c>
      <c r="D160" s="106">
        <f>VLOOKUP(D159,Capacity!$A$1:$C$645,2,TRUE)</f>
        <v>17</v>
      </c>
      <c r="E160" s="106">
        <f>VLOOKUP(E159,Capacity!$A$1:$C$645,2,TRUE)</f>
        <v>17</v>
      </c>
      <c r="F160" s="106">
        <f>VLOOKUP(F159,Capacity!$A$1:$C$645,2,TRUE)</f>
        <v>17</v>
      </c>
      <c r="G160" s="106">
        <f>VLOOKUP(G159,Capacity!$A$1:$C$645,2,TRUE)</f>
        <v>16</v>
      </c>
      <c r="H160" s="106">
        <f>VLOOKUP(H159,Capacity!$A$1:$C$645,2,TRUE)</f>
        <v>17</v>
      </c>
      <c r="I160" s="106">
        <f>VLOOKUP(I159,Capacity!$A$1:$C$645,2,TRUE)</f>
        <v>18</v>
      </c>
      <c r="J160" s="106">
        <f>VLOOKUP(J159,Capacity!$A$1:$C$645,2,TRUE)</f>
        <v>18</v>
      </c>
      <c r="K160" s="106">
        <f>VLOOKUP(K159,Capacity!$A$1:$C$645,2,TRUE)</f>
        <v>18</v>
      </c>
      <c r="L160" s="106">
        <f>VLOOKUP(L159,Capacity!$A$1:$C$645,2,TRUE)</f>
        <v>18</v>
      </c>
      <c r="M160" s="106">
        <f>VLOOKUP(M159,Capacity!$A$1:$C$645,2,TRUE)</f>
        <v>18</v>
      </c>
      <c r="N160" s="106">
        <f>VLOOKUP(N159,Capacity!$A$1:$C$645,2,TRUE)</f>
        <v>19</v>
      </c>
      <c r="O160" s="106">
        <f>VLOOKUP(O159,Capacity!$A$1:$C$645,2,TRUE)</f>
        <v>19</v>
      </c>
      <c r="P160" s="106">
        <f>VLOOKUP(P159,Capacity!$A$1:$C$645,2,TRUE)</f>
        <v>19</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76</v>
      </c>
      <c r="D169" s="97">
        <f>VLOOKUP($E$3,'Catchment Births'!$A$1:$U$90,11,FALSE)</f>
        <v>99</v>
      </c>
      <c r="E169" s="97">
        <f>VLOOKUP($E$3,'Catchment Births'!$A$1:$U$90,12,FALSE)</f>
        <v>94</v>
      </c>
      <c r="F169" s="97">
        <f>VLOOKUP($E$3,'Catchment Births'!$A$1:$U$90,13,FALSE)</f>
        <v>92</v>
      </c>
      <c r="G169" s="97">
        <f>VLOOKUP($E$3,'Catchment Births'!$A$1:$U$90,14,FALSE)</f>
        <v>115</v>
      </c>
      <c r="H169" s="97">
        <f>VLOOKUP($E$3,'Catchment Births'!$A$1:$U$90,15,FALSE)</f>
        <v>85</v>
      </c>
      <c r="I169" s="97">
        <f>VLOOKUP($E$3,'Catchment Births'!$A$1:$U$90,16,FALSE)</f>
        <v>115</v>
      </c>
      <c r="J169" s="97">
        <f>VLOOKUP($E$3,'Catchment Births'!$A$1:$U$90,17,FALSE)</f>
        <v>99</v>
      </c>
      <c r="K169" s="97">
        <f>VLOOKUP($E$3,'Catchment Births'!$A$1:$U$90,18,FALSE)</f>
        <v>102</v>
      </c>
      <c r="L169" s="97">
        <f>VLOOKUP($E$3,'Catchment Births'!$A$1:$U$90,19,FALSE)</f>
        <v>98</v>
      </c>
      <c r="M169" s="97">
        <f>VLOOKUP($E$3,'Catchment Births'!$A$1:$U$90,20,FALSE)</f>
        <v>96</v>
      </c>
      <c r="N169" s="97">
        <f>VLOOKUP($E$3,'Catchment Births'!$A$1:$U$90,21,FALSE)</f>
        <v>100</v>
      </c>
    </row>
    <row r="170" spans="2:14" ht="58.5" customHeight="1">
      <c r="B170" s="103" t="str">
        <f>"P1 "&amp;A35&amp;" Catchment Population (Actual)"</f>
        <v>P1 ND Catchment Population (Actual)</v>
      </c>
      <c r="C170" s="102" t="e">
        <v>#REF!</v>
      </c>
      <c r="D170" s="102">
        <v>65</v>
      </c>
      <c r="E170" s="102">
        <v>65</v>
      </c>
      <c r="F170" s="102">
        <v>65</v>
      </c>
      <c r="G170" s="102">
        <v>67</v>
      </c>
      <c r="H170" s="102">
        <v>64</v>
      </c>
      <c r="I170" s="102">
        <v>86</v>
      </c>
      <c r="J170" s="308">
        <f>VLOOKUP(E3,'Catchment Projections'!A1:BU92,42,FALSE)</f>
        <v>73</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86</v>
      </c>
      <c r="J172" s="96" t="e">
        <f>#REF!</f>
        <v>#REF!</v>
      </c>
      <c r="K172" s="96">
        <f>D51</f>
        <v>66</v>
      </c>
      <c r="L172" s="96">
        <f>E51</f>
        <v>69</v>
      </c>
      <c r="M172" s="96">
        <f>F51</f>
        <v>74</v>
      </c>
      <c r="N172" s="96">
        <f>G51</f>
        <v>74</v>
      </c>
    </row>
    <row r="173" spans="2:14" ht="12.75">
      <c r="B173" s="62"/>
      <c r="C173" s="62"/>
      <c r="D173" s="62"/>
      <c r="E173" s="62"/>
      <c r="F173" s="62"/>
      <c r="G173" s="62"/>
      <c r="H173" s="62"/>
      <c r="I173" s="62"/>
      <c r="J173" s="62"/>
      <c r="K173" s="62"/>
    </row>
    <row r="174" spans="2:14" ht="15" customHeight="1">
      <c r="B174" s="64" t="str">
        <f>"Table 5: "&amp;E3&amp;" Roll by Stage, 2002-2018"</f>
        <v>Table 5: Liberton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60</v>
      </c>
      <c r="D177" s="93">
        <v>57</v>
      </c>
      <c r="E177" s="93">
        <v>63</v>
      </c>
      <c r="F177" s="93">
        <v>62</v>
      </c>
      <c r="G177" s="93">
        <v>64</v>
      </c>
      <c r="H177" s="93">
        <v>91</v>
      </c>
      <c r="I177" s="93">
        <v>79</v>
      </c>
      <c r="J177" s="92">
        <v>476</v>
      </c>
      <c r="K177" s="62"/>
    </row>
    <row r="178" spans="2:11" ht="15" customHeight="1">
      <c r="B178" s="94">
        <v>2003</v>
      </c>
      <c r="C178" s="93">
        <v>60</v>
      </c>
      <c r="D178" s="93">
        <v>60</v>
      </c>
      <c r="E178" s="93">
        <v>59</v>
      </c>
      <c r="F178" s="93">
        <v>62</v>
      </c>
      <c r="G178" s="93">
        <v>60</v>
      </c>
      <c r="H178" s="93">
        <v>61</v>
      </c>
      <c r="I178" s="93">
        <v>89</v>
      </c>
      <c r="J178" s="92">
        <v>451</v>
      </c>
      <c r="K178" s="62"/>
    </row>
    <row r="179" spans="2:11" customFormat="1" ht="15" customHeight="1">
      <c r="B179" s="94">
        <v>2004</v>
      </c>
      <c r="C179" s="95">
        <v>58</v>
      </c>
      <c r="D179" s="95">
        <v>57</v>
      </c>
      <c r="E179" s="95">
        <v>60</v>
      </c>
      <c r="F179" s="95">
        <v>52</v>
      </c>
      <c r="G179" s="95">
        <v>63</v>
      </c>
      <c r="H179" s="95">
        <v>59</v>
      </c>
      <c r="I179" s="95">
        <v>57</v>
      </c>
      <c r="J179" s="92">
        <v>406</v>
      </c>
      <c r="K179" s="62"/>
    </row>
    <row r="180" spans="2:11" customFormat="1" ht="15" customHeight="1">
      <c r="B180" s="94">
        <v>2005</v>
      </c>
      <c r="C180" s="93">
        <v>58</v>
      </c>
      <c r="D180" s="93">
        <v>59</v>
      </c>
      <c r="E180" s="93">
        <v>60</v>
      </c>
      <c r="F180" s="93">
        <v>63</v>
      </c>
      <c r="G180" s="93">
        <v>56</v>
      </c>
      <c r="H180" s="93">
        <v>66</v>
      </c>
      <c r="I180" s="93">
        <v>62</v>
      </c>
      <c r="J180" s="92">
        <v>424</v>
      </c>
      <c r="K180" s="62"/>
    </row>
    <row r="181" spans="2:11" customFormat="1" ht="15" customHeight="1">
      <c r="B181" s="94">
        <v>2006</v>
      </c>
      <c r="C181" s="93">
        <v>49</v>
      </c>
      <c r="D181" s="93">
        <v>59</v>
      </c>
      <c r="E181" s="93">
        <v>58</v>
      </c>
      <c r="F181" s="93">
        <v>57</v>
      </c>
      <c r="G181" s="93">
        <v>62</v>
      </c>
      <c r="H181" s="93">
        <v>52</v>
      </c>
      <c r="I181" s="93">
        <v>67</v>
      </c>
      <c r="J181" s="92">
        <v>404</v>
      </c>
      <c r="K181" s="62"/>
    </row>
    <row r="182" spans="2:11" customFormat="1" ht="15" customHeight="1">
      <c r="B182" s="94">
        <v>2007</v>
      </c>
      <c r="C182" s="93">
        <v>53</v>
      </c>
      <c r="D182" s="93">
        <v>50</v>
      </c>
      <c r="E182" s="93">
        <v>60</v>
      </c>
      <c r="F182" s="93">
        <v>61</v>
      </c>
      <c r="G182" s="93">
        <v>57</v>
      </c>
      <c r="H182" s="93">
        <v>64</v>
      </c>
      <c r="I182" s="93">
        <v>50</v>
      </c>
      <c r="J182" s="92">
        <v>395</v>
      </c>
      <c r="K182" s="62"/>
    </row>
    <row r="183" spans="2:11" customFormat="1" ht="15" customHeight="1">
      <c r="B183" s="94">
        <v>2008</v>
      </c>
      <c r="C183" s="93">
        <v>59</v>
      </c>
      <c r="D183" s="93">
        <v>52</v>
      </c>
      <c r="E183" s="93">
        <v>52</v>
      </c>
      <c r="F183" s="93">
        <v>63</v>
      </c>
      <c r="G183" s="93">
        <v>56</v>
      </c>
      <c r="H183" s="93">
        <v>53</v>
      </c>
      <c r="I183" s="93">
        <v>63</v>
      </c>
      <c r="J183" s="92">
        <v>398</v>
      </c>
      <c r="K183" s="62"/>
    </row>
    <row r="184" spans="2:11" customFormat="1" ht="15" customHeight="1">
      <c r="B184" s="94">
        <v>2009</v>
      </c>
      <c r="C184" s="93">
        <v>47</v>
      </c>
      <c r="D184" s="93">
        <v>55</v>
      </c>
      <c r="E184" s="93">
        <v>52</v>
      </c>
      <c r="F184" s="93">
        <v>51</v>
      </c>
      <c r="G184" s="93">
        <v>60</v>
      </c>
      <c r="H184" s="93">
        <v>51</v>
      </c>
      <c r="I184" s="93">
        <v>54</v>
      </c>
      <c r="J184" s="94">
        <v>370</v>
      </c>
      <c r="K184" s="62"/>
    </row>
    <row r="185" spans="2:11" customFormat="1" ht="15" customHeight="1">
      <c r="B185" s="94">
        <v>2010</v>
      </c>
      <c r="C185" s="93">
        <v>65</v>
      </c>
      <c r="D185" s="93">
        <v>49</v>
      </c>
      <c r="E185" s="93">
        <v>58</v>
      </c>
      <c r="F185" s="93">
        <v>51</v>
      </c>
      <c r="G185" s="93">
        <v>50</v>
      </c>
      <c r="H185" s="93">
        <v>63</v>
      </c>
      <c r="I185" s="93">
        <v>48</v>
      </c>
      <c r="J185" s="92">
        <v>384</v>
      </c>
      <c r="K185" s="62"/>
    </row>
    <row r="186" spans="2:11" customFormat="1" ht="15" customHeight="1">
      <c r="B186" s="94">
        <v>2011</v>
      </c>
      <c r="C186" s="93">
        <v>60</v>
      </c>
      <c r="D186" s="93">
        <v>63</v>
      </c>
      <c r="E186" s="93">
        <v>48</v>
      </c>
      <c r="F186" s="93">
        <v>60</v>
      </c>
      <c r="G186" s="93">
        <v>47</v>
      </c>
      <c r="H186" s="93">
        <v>52</v>
      </c>
      <c r="I186" s="93">
        <v>60</v>
      </c>
      <c r="J186" s="92">
        <v>390</v>
      </c>
      <c r="K186" s="62"/>
    </row>
    <row r="187" spans="2:11" customFormat="1" ht="15" customHeight="1">
      <c r="B187" s="94">
        <v>2012</v>
      </c>
      <c r="C187" s="93">
        <v>60</v>
      </c>
      <c r="D187" s="93">
        <v>58</v>
      </c>
      <c r="E187" s="93">
        <v>59</v>
      </c>
      <c r="F187" s="93">
        <v>50</v>
      </c>
      <c r="G187" s="93">
        <v>65</v>
      </c>
      <c r="H187" s="93">
        <v>48</v>
      </c>
      <c r="I187" s="93">
        <v>52</v>
      </c>
      <c r="J187" s="92">
        <v>392</v>
      </c>
      <c r="K187" s="62"/>
    </row>
    <row r="188" spans="2:11" customFormat="1" ht="15" customHeight="1">
      <c r="B188" s="94">
        <v>2013</v>
      </c>
      <c r="C188" s="93">
        <v>59</v>
      </c>
      <c r="D188" s="93">
        <v>59</v>
      </c>
      <c r="E188" s="93">
        <v>53</v>
      </c>
      <c r="F188" s="93">
        <v>59</v>
      </c>
      <c r="G188" s="93">
        <v>49</v>
      </c>
      <c r="H188" s="93">
        <v>63</v>
      </c>
      <c r="I188" s="93">
        <v>47</v>
      </c>
      <c r="J188" s="94">
        <v>389</v>
      </c>
      <c r="K188" s="62"/>
    </row>
    <row r="189" spans="2:11" customFormat="1" ht="15" customHeight="1">
      <c r="B189" s="94">
        <v>2014</v>
      </c>
      <c r="C189" s="93">
        <v>60</v>
      </c>
      <c r="D189" s="93">
        <v>60</v>
      </c>
      <c r="E189" s="93">
        <v>60</v>
      </c>
      <c r="F189" s="93">
        <v>52</v>
      </c>
      <c r="G189" s="93">
        <v>60</v>
      </c>
      <c r="H189" s="93">
        <v>46</v>
      </c>
      <c r="I189" s="93">
        <v>61</v>
      </c>
      <c r="J189" s="92">
        <v>399</v>
      </c>
      <c r="K189" s="65"/>
    </row>
    <row r="190" spans="2:11" customFormat="1" ht="15" customHeight="1">
      <c r="B190" s="94">
        <v>2015</v>
      </c>
      <c r="C190" s="93">
        <v>87</v>
      </c>
      <c r="D190" s="93">
        <v>60</v>
      </c>
      <c r="E190" s="93">
        <v>60</v>
      </c>
      <c r="F190" s="93">
        <v>58</v>
      </c>
      <c r="G190" s="93">
        <v>52</v>
      </c>
      <c r="H190" s="93">
        <v>60</v>
      </c>
      <c r="I190" s="93">
        <v>40</v>
      </c>
      <c r="J190" s="92">
        <v>417</v>
      </c>
      <c r="K190" s="65"/>
    </row>
    <row r="191" spans="2:11" customFormat="1" ht="15" customHeight="1">
      <c r="B191" s="94">
        <v>2016</v>
      </c>
      <c r="C191" s="93">
        <v>72</v>
      </c>
      <c r="D191" s="93">
        <v>81</v>
      </c>
      <c r="E191" s="93">
        <v>57</v>
      </c>
      <c r="F191" s="93">
        <v>60</v>
      </c>
      <c r="G191" s="93">
        <v>59</v>
      </c>
      <c r="H191" s="93">
        <v>52</v>
      </c>
      <c r="I191" s="93">
        <v>58</v>
      </c>
      <c r="J191" s="92">
        <v>439</v>
      </c>
      <c r="K191" s="65"/>
    </row>
    <row r="192" spans="2:11" ht="15" customHeight="1">
      <c r="B192" s="94">
        <v>2017</v>
      </c>
      <c r="C192" s="93">
        <f>VLOOKUP($E$3,Rolls!A1:FA90,42,FALSE)</f>
        <v>64</v>
      </c>
      <c r="D192" s="93">
        <f>VLOOKUP($E$3,Rolls!A1:FA90,43,FALSE)</f>
        <v>79</v>
      </c>
      <c r="E192" s="93">
        <f>VLOOKUP($E$3,Rolls!A1:FA90,44,FALSE)</f>
        <v>79</v>
      </c>
      <c r="F192" s="93">
        <f>VLOOKUP($E$3,Rolls!A1:FA90,45,FALSE)</f>
        <v>54</v>
      </c>
      <c r="G192" s="93">
        <f>VLOOKUP($E$3,Rolls!A1:FA90,46,FALSE)</f>
        <v>62</v>
      </c>
      <c r="H192" s="93">
        <f>VLOOKUP($E$3,Rolls!A1:FA90,47,FALSE)</f>
        <v>56</v>
      </c>
      <c r="I192" s="93">
        <f>VLOOKUP($E$3,Rolls!A1:FA90,48,FALSE)</f>
        <v>52</v>
      </c>
      <c r="J192" s="92">
        <f>VLOOKUP($E$3,Rolls!A1:FA90,49,FALSE)</f>
        <v>446</v>
      </c>
      <c r="K192" s="65"/>
    </row>
    <row r="193" spans="2:11" ht="15" customHeight="1">
      <c r="B193" s="94">
        <v>2018</v>
      </c>
      <c r="C193" s="93">
        <f>VLOOKUP($E$3,Rolls!A1:FA90,50,FALSE)</f>
        <v>62</v>
      </c>
      <c r="D193" s="93">
        <f>VLOOKUP($E$3,Rolls!A1:FA90,51,FALSE)</f>
        <v>63</v>
      </c>
      <c r="E193" s="93">
        <f>VLOOKUP($E$3,Rolls!A1:FA90,52,FALSE)</f>
        <v>76</v>
      </c>
      <c r="F193" s="93">
        <f>VLOOKUP($E$3,Rolls!A1:FA90,53,FALSE)</f>
        <v>80</v>
      </c>
      <c r="G193" s="93">
        <f>VLOOKUP($E$3,Rolls!A1:FA90,54,FALSE)</f>
        <v>59</v>
      </c>
      <c r="H193" s="93">
        <f>VLOOKUP($E$3,Rolls!A1:FA90,55,FALSE)</f>
        <v>62</v>
      </c>
      <c r="I193" s="93">
        <f>VLOOKUP($E$3,Rolls!A1:FA90,56,FALSE)</f>
        <v>56</v>
      </c>
      <c r="J193" s="92">
        <f>VLOOKUP($E$3,Rolls!A1:FA90,57,FALSE)</f>
        <v>458</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47</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Longstone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315 Pupils (12 classes)</v>
      </c>
      <c r="G12" s="16"/>
      <c r="H12" s="16"/>
    </row>
    <row r="13" spans="2:10" ht="15" customHeight="1">
      <c r="C13" s="16"/>
      <c r="D13" s="16"/>
      <c r="E13" s="16"/>
      <c r="F13" s="16"/>
      <c r="G13" s="16"/>
      <c r="H13" s="16"/>
    </row>
    <row r="14" spans="2:10" ht="15" customHeight="1">
      <c r="B14" s="15" t="str">
        <f>"Figure 1: "&amp;E3&amp;" Roll, 2002-2015"</f>
        <v>Figure 1: Longstone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Longstone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37</v>
      </c>
      <c r="E49" s="108">
        <f>VLOOKUP($E$3,'Catchment Projections'!$A$1:$BU$90,46,FALSE)</f>
        <v>21</v>
      </c>
      <c r="F49" s="108">
        <f>VLOOKUP($E$3,'Catchment Projections'!$A$1:$BU$90,47,FALSE)</f>
        <v>24</v>
      </c>
      <c r="G49" s="108">
        <f>VLOOKUP($E$3,'Catchment Projections'!$A$1:$BU$90,48,FALSE)</f>
        <v>26</v>
      </c>
      <c r="H49" s="133">
        <f>VLOOKUP($E$3,'Catchment Projections'!$A$1:$BU$90,49,FALSE)</f>
        <v>24</v>
      </c>
      <c r="I49" s="133">
        <f>VLOOKUP($E$3,'Catchment Projections'!$A$1:$BU$90,50,FALSE)</f>
        <v>24</v>
      </c>
      <c r="J49" s="133">
        <f>VLOOKUP($E$3,'Catchment Projections'!$A$1:$BU$90,51,FALSE)</f>
        <v>25</v>
      </c>
      <c r="K49" s="133">
        <f>VLOOKUP($E$3,'Catchment Projections'!$A$1:$BU$90,52,FALSE)</f>
        <v>25</v>
      </c>
      <c r="L49" s="133">
        <f>VLOOKUP($E$3,'Catchment Projections'!$A$1:$BU$90,53,FALSE)</f>
        <v>25</v>
      </c>
      <c r="M49" s="133">
        <f>VLOOKUP($E$3,'Catchment Projections'!$A$1:$BU$90,54,FALSE)</f>
        <v>25</v>
      </c>
      <c r="N49" s="133">
        <f>VLOOKUP($E$3,'Catchment Projections'!$A$1:$BU$90,55,FALSE)</f>
        <v>25</v>
      </c>
      <c r="O49" s="133">
        <f>VLOOKUP($E$3,'Catchment Projections'!$A$1:$BU$90,56,FALSE)</f>
        <v>25</v>
      </c>
      <c r="P49" s="133">
        <f>VLOOKUP($E$3,'Catchment Projections'!$A$1:$BU$90,57,FALSE)</f>
        <v>25</v>
      </c>
      <c r="Q49" s="133">
        <f>VLOOKUP($E$3,'Catchment Projections'!$A$1:$BU$90,58,FALSE)</f>
        <v>25</v>
      </c>
    </row>
    <row r="50" spans="2:17" ht="15" customHeight="1" thickBot="1">
      <c r="B50" s="410" t="s">
        <v>141</v>
      </c>
      <c r="C50" s="411"/>
      <c r="D50" s="286">
        <f>VLOOKUP(E3,'Housing Generation'!$A$3:$DQ$90,10,FALSE)</f>
        <v>0</v>
      </c>
      <c r="E50" s="286">
        <f>VLOOKUP(E3,'Housing Generation'!$A$3:$DQ$90,18,FALSE)</f>
        <v>0</v>
      </c>
      <c r="F50" s="286">
        <f>VLOOKUP(E3,'Housing Generation'!$A$3:$DQ$90,26,FALSE)</f>
        <v>0</v>
      </c>
      <c r="G50" s="243">
        <f>VLOOKUP(E3,'Housing Generation'!$A$3:$DQ$90,34,FALSE)</f>
        <v>0</v>
      </c>
      <c r="H50" s="133">
        <f>VLOOKUP(E3,'Housing Generation'!$A$3:$DQ$90,42,FALSE)</f>
        <v>0</v>
      </c>
      <c r="I50" s="133">
        <f>VLOOKUP(E3,'Housing Generation'!$A$3:$DQ$90,50,FALSE)</f>
        <v>0</v>
      </c>
      <c r="J50" s="133">
        <f>VLOOKUP(E3,'Housing Generation'!$A$3:$CK$90,58,FALSE)</f>
        <v>0</v>
      </c>
      <c r="K50" s="133">
        <f>VLOOKUP(E3,'Housing Generation'!$A$3:$CK$90,66,FALSE)</f>
        <v>0</v>
      </c>
      <c r="L50" s="133">
        <f>VLOOKUP(E3,'Housing Generation'!$A$3:$DQ$90,74,FALSE)</f>
        <v>0</v>
      </c>
      <c r="M50" s="133">
        <f>VLOOKUP(E3,'Housing Generation'!$A$3:$DQ$90,82,FALSE)</f>
        <v>0</v>
      </c>
      <c r="N50" s="133">
        <f>VLOOKUP(E3,'Housing Generation'!$A$3:$DQ$90,90,FALSE)</f>
        <v>0</v>
      </c>
      <c r="O50" s="133">
        <f>VLOOKUP(E3,'Housing Generation'!$A$3:$DQ$90,98,FALSE)</f>
        <v>0</v>
      </c>
      <c r="P50" s="133">
        <f>VLOOKUP(E3,'Housing Generation'!$A$3:$DQ$90,106,FALSE)</f>
        <v>0</v>
      </c>
      <c r="Q50" s="133">
        <f>VLOOKUP(E3,'Housing Generation'!$A$3:$DQ$90,114,FALSE)</f>
        <v>0</v>
      </c>
    </row>
    <row r="51" spans="2:17" ht="15" customHeight="1" thickTop="1">
      <c r="B51" s="421" t="s">
        <v>130</v>
      </c>
      <c r="C51" s="422"/>
      <c r="D51" s="47">
        <f t="shared" ref="D51:Q51" si="0">SUM(D49:D50)</f>
        <v>37</v>
      </c>
      <c r="E51" s="47">
        <f t="shared" si="0"/>
        <v>21</v>
      </c>
      <c r="F51" s="80">
        <f t="shared" si="0"/>
        <v>24</v>
      </c>
      <c r="G51" s="244">
        <f t="shared" si="0"/>
        <v>26</v>
      </c>
      <c r="H51" s="71">
        <f t="shared" si="0"/>
        <v>24</v>
      </c>
      <c r="I51" s="71">
        <f t="shared" si="0"/>
        <v>24</v>
      </c>
      <c r="J51" s="71">
        <f t="shared" si="0"/>
        <v>25</v>
      </c>
      <c r="K51" s="71">
        <f t="shared" si="0"/>
        <v>25</v>
      </c>
      <c r="L51" s="71">
        <f t="shared" si="0"/>
        <v>25</v>
      </c>
      <c r="M51" s="71">
        <f t="shared" si="0"/>
        <v>25</v>
      </c>
      <c r="N51" s="71">
        <f t="shared" si="0"/>
        <v>25</v>
      </c>
      <c r="O51" s="71">
        <f t="shared" si="0"/>
        <v>25</v>
      </c>
      <c r="P51" s="71">
        <f t="shared" si="0"/>
        <v>25</v>
      </c>
      <c r="Q51" s="71">
        <f t="shared" si="0"/>
        <v>25</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34</v>
      </c>
      <c r="D60" s="358">
        <f>VLOOKUP($E$3,'Catchment Projections'!$A$1:$BZ$90,74,FALSE)</f>
        <v>30</v>
      </c>
      <c r="E60" s="303">
        <f>D60/C60</f>
        <v>0.88235294117647056</v>
      </c>
      <c r="G60" s="132">
        <v>2014</v>
      </c>
      <c r="H60" s="395">
        <f>VLOOKUP($G$60,$B$177:$C$215, 2, FALSE)</f>
        <v>41</v>
      </c>
      <c r="I60" s="120">
        <f>H60-D60</f>
        <v>11</v>
      </c>
      <c r="J60" s="121">
        <f>I60/H60</f>
        <v>0.26829268292682928</v>
      </c>
    </row>
    <row r="61" spans="2:17" ht="15" customHeight="1">
      <c r="B61" s="132">
        <v>2015</v>
      </c>
      <c r="C61" s="359">
        <f>VLOOKUP($E$3,'Catchment Projections'!$A$1:$BZ$90,41,FALSE)</f>
        <v>37</v>
      </c>
      <c r="D61" s="358">
        <f>VLOOKUP($E$3,'Catchment Projections'!$A$1:$BZ$90,75,FALSE)</f>
        <v>30</v>
      </c>
      <c r="E61" s="303">
        <f>D61/C61</f>
        <v>0.81081081081081086</v>
      </c>
      <c r="G61" s="132">
        <v>2015</v>
      </c>
      <c r="H61" s="395">
        <f>VLOOKUP($G$61,$B$177:$C$215, 2, FALSE)</f>
        <v>36</v>
      </c>
      <c r="I61" s="120">
        <f>H61-D61</f>
        <v>6</v>
      </c>
      <c r="J61" s="121">
        <f>I61/H61</f>
        <v>0.16666666666666666</v>
      </c>
    </row>
    <row r="62" spans="2:17" ht="15" customHeight="1">
      <c r="B62" s="131">
        <v>2016</v>
      </c>
      <c r="C62" s="359">
        <f>VLOOKUP($E$3,'Catchment Projections'!$A$1:$BZ$90,42,FALSE)</f>
        <v>51</v>
      </c>
      <c r="D62" s="358">
        <f>VLOOKUP($E$3,'Catchment Projections'!$A$1:$BZ$90,76,FALSE)</f>
        <v>46</v>
      </c>
      <c r="E62" s="57">
        <f>D62/C62</f>
        <v>0.90196078431372551</v>
      </c>
      <c r="G62" s="131">
        <v>2016</v>
      </c>
      <c r="H62" s="395">
        <f>VLOOKUP($G$62,$B$177:$C$215, 2, FALSE)</f>
        <v>48</v>
      </c>
      <c r="I62" s="120">
        <f>H62-D62</f>
        <v>2</v>
      </c>
      <c r="J62" s="121">
        <f>I62/H62</f>
        <v>4.1666666666666664E-2</v>
      </c>
    </row>
    <row r="63" spans="2:17" ht="15" customHeight="1">
      <c r="B63" s="114">
        <v>2017</v>
      </c>
      <c r="C63" s="359">
        <f>VLOOKUP($E$3,'Catchment Projections'!$A$1:$BZ$90,43,FALSE)</f>
        <v>33</v>
      </c>
      <c r="D63" s="358">
        <f>VLOOKUP($E$3,'Catchment Projections'!$A$1:$BZ$90,77,FALSE)</f>
        <v>31</v>
      </c>
      <c r="E63" s="304">
        <f>D63/C63</f>
        <v>0.93939393939393945</v>
      </c>
      <c r="G63" s="114">
        <v>2017</v>
      </c>
      <c r="H63" s="395">
        <f>VLOOKUP($G$63,$B$177:$C$215, 2, FALSE)</f>
        <v>38</v>
      </c>
      <c r="I63" s="120">
        <f>H63-D63</f>
        <v>7</v>
      </c>
      <c r="J63" s="121">
        <f>I63/H63</f>
        <v>0.18421052631578946</v>
      </c>
    </row>
    <row r="64" spans="2:17" ht="15" customHeight="1">
      <c r="B64" s="114">
        <v>2018</v>
      </c>
      <c r="C64" s="359">
        <f>VLOOKUP($E$3,'Catchment Projections'!$A$1:$BZ$90,44,FALSE)</f>
        <v>28</v>
      </c>
      <c r="D64" s="358">
        <f>VLOOKUP($E$3,'Catchment Projections'!$A$1:$BZ$90,78,FALSE)</f>
        <v>28</v>
      </c>
      <c r="E64" s="305">
        <f>D64/C64</f>
        <v>1</v>
      </c>
      <c r="G64" s="114">
        <v>2018</v>
      </c>
      <c r="H64" s="395">
        <f>VLOOKUP($G$64,$B$177:$C$215, 2, FALSE)</f>
        <v>35</v>
      </c>
      <c r="I64" s="120">
        <f>H64-D64</f>
        <v>7</v>
      </c>
      <c r="J64" s="121">
        <f>I64/H64</f>
        <v>0.2</v>
      </c>
    </row>
    <row r="65" spans="2:10" ht="15" customHeight="1">
      <c r="B65" s="412" t="s">
        <v>136</v>
      </c>
      <c r="C65" s="413"/>
      <c r="D65" s="414"/>
      <c r="E65" s="137">
        <f>IF((AVERAGE(E62:E64))="#DIV/0!","n/a",(AVERAGE(E62:E64)))</f>
        <v>0.94711824123588828</v>
      </c>
      <c r="G65" s="415" t="s">
        <v>137</v>
      </c>
      <c r="H65" s="416"/>
      <c r="I65" s="138">
        <f>MEDIAN(I60:I64)</f>
        <v>7</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37</v>
      </c>
      <c r="D70" s="408"/>
      <c r="E70" s="122">
        <f>E65</f>
        <v>0.94711824123588828</v>
      </c>
      <c r="F70" s="120">
        <f t="shared" ref="F70:F83" si="1">C70*$E$65</f>
        <v>35.043374925727868</v>
      </c>
      <c r="G70" s="118">
        <f>IF(F70&lt;26,25,IF(F70&gt;135,140,IF(F70&gt;130,135,IF(F70&gt;125,130,IF(F70&gt;120,125,IF(F70&gt;115,120,IF(F70&gt;110,115,IF(F70&gt;105,110,IF(F70&gt;100,105,IF(F70&gt;99,100,IF(F70&gt;90,99,IF(F70&gt;75,90,IF(F70&gt;72,75,IF(F70&gt;66,72,IF(F70&gt;60,66,IF(F70&gt;50,60,IF(F70&gt;30,50,IF(F70&gt;25,30,0))))))))))))))))))</f>
        <v>50</v>
      </c>
      <c r="H70" s="119">
        <f t="shared" ref="H70:H83" si="2">G70-F70</f>
        <v>14.956625074272132</v>
      </c>
      <c r="I70" s="118" t="str">
        <f>IF(I$65&lt;H70, "NO", "YES")</f>
        <v>NO</v>
      </c>
      <c r="J70" s="117">
        <f t="shared" ref="J70:J83" si="3">IF(I70="YES",G70,(MIN((SUM(F70,$I$65)),G70)))</f>
        <v>42.043374925727868</v>
      </c>
    </row>
    <row r="71" spans="2:10" ht="15" customHeight="1">
      <c r="B71" s="114">
        <v>2020</v>
      </c>
      <c r="C71" s="433">
        <f>E51</f>
        <v>21</v>
      </c>
      <c r="D71" s="408"/>
      <c r="E71" s="121">
        <f>E65</f>
        <v>0.94711824123588828</v>
      </c>
      <c r="F71" s="120">
        <f t="shared" si="1"/>
        <v>19.889483065953655</v>
      </c>
      <c r="G71" s="118">
        <f t="shared" ref="G71:G83" si="4">IF(F71&lt;26,25,IF(F71&gt;135,140,IF(F71&gt;130,135,IF(F71&gt;125,130,IF(F71&gt;120,125,IF(F71&gt;115,120,IF(F71&gt;110,115,IF(F71&gt;105,110,IF(F71&gt;100,105,IF(F71&gt;99,100,IF(F71&gt;90,99,IF(F71&gt;75,90,IF(F71&gt;72,75,IF(F71&gt;66,72,IF(F71&gt;60,66,IF(F71&gt;50,60,IF(F71&gt;30,50,IF(F71&gt;25,30,0))))))))))))))))))</f>
        <v>25</v>
      </c>
      <c r="H71" s="119">
        <f t="shared" si="2"/>
        <v>5.1105169340463448</v>
      </c>
      <c r="I71" s="118" t="str">
        <f t="shared" ref="I71:I83" si="5">IF(I$65&lt;H71, "NO", "YES")</f>
        <v>YES</v>
      </c>
      <c r="J71" s="117">
        <f t="shared" si="3"/>
        <v>25</v>
      </c>
    </row>
    <row r="72" spans="2:10" ht="15" customHeight="1">
      <c r="B72" s="114">
        <v>2021</v>
      </c>
      <c r="C72" s="430">
        <f>F51</f>
        <v>24</v>
      </c>
      <c r="D72" s="431"/>
      <c r="E72" s="121">
        <f>E65</f>
        <v>0.94711824123588828</v>
      </c>
      <c r="F72" s="120">
        <f t="shared" si="1"/>
        <v>22.730837789661319</v>
      </c>
      <c r="G72" s="118">
        <f t="shared" si="4"/>
        <v>25</v>
      </c>
      <c r="H72" s="119">
        <f t="shared" si="2"/>
        <v>2.2691622103386813</v>
      </c>
      <c r="I72" s="118" t="str">
        <f t="shared" si="5"/>
        <v>YES</v>
      </c>
      <c r="J72" s="117">
        <f t="shared" si="3"/>
        <v>25</v>
      </c>
    </row>
    <row r="73" spans="2:10" ht="15" customHeight="1">
      <c r="B73" s="114">
        <v>2022</v>
      </c>
      <c r="C73" s="430">
        <f>G51</f>
        <v>26</v>
      </c>
      <c r="D73" s="431"/>
      <c r="E73" s="121">
        <f>E65</f>
        <v>0.94711824123588828</v>
      </c>
      <c r="F73" s="120">
        <f t="shared" si="1"/>
        <v>24.625074272133094</v>
      </c>
      <c r="G73" s="118">
        <f t="shared" si="4"/>
        <v>25</v>
      </c>
      <c r="H73" s="119">
        <f t="shared" si="2"/>
        <v>0.37492572786690559</v>
      </c>
      <c r="I73" s="118" t="str">
        <f t="shared" si="5"/>
        <v>YES</v>
      </c>
      <c r="J73" s="117">
        <f t="shared" si="3"/>
        <v>25</v>
      </c>
    </row>
    <row r="74" spans="2:10" ht="15" customHeight="1">
      <c r="B74" s="114">
        <v>2023</v>
      </c>
      <c r="C74" s="430">
        <f>H51</f>
        <v>24</v>
      </c>
      <c r="D74" s="431"/>
      <c r="E74" s="121">
        <f>E65</f>
        <v>0.94711824123588828</v>
      </c>
      <c r="F74" s="120">
        <f t="shared" si="1"/>
        <v>22.730837789661319</v>
      </c>
      <c r="G74" s="118">
        <f t="shared" si="4"/>
        <v>25</v>
      </c>
      <c r="H74" s="119">
        <f t="shared" si="2"/>
        <v>2.2691622103386813</v>
      </c>
      <c r="I74" s="118" t="str">
        <f t="shared" si="5"/>
        <v>YES</v>
      </c>
      <c r="J74" s="117">
        <f t="shared" si="3"/>
        <v>25</v>
      </c>
    </row>
    <row r="75" spans="2:10" ht="15" customHeight="1">
      <c r="B75" s="114">
        <v>2024</v>
      </c>
      <c r="C75" s="430">
        <f>I51</f>
        <v>24</v>
      </c>
      <c r="D75" s="431"/>
      <c r="E75" s="121">
        <f>E65</f>
        <v>0.94711824123588828</v>
      </c>
      <c r="F75" s="120">
        <f t="shared" si="1"/>
        <v>22.730837789661319</v>
      </c>
      <c r="G75" s="118">
        <f t="shared" si="4"/>
        <v>25</v>
      </c>
      <c r="H75" s="119">
        <f t="shared" si="2"/>
        <v>2.2691622103386813</v>
      </c>
      <c r="I75" s="118" t="str">
        <f t="shared" si="5"/>
        <v>YES</v>
      </c>
      <c r="J75" s="117">
        <f t="shared" si="3"/>
        <v>25</v>
      </c>
    </row>
    <row r="76" spans="2:10" ht="15" customHeight="1">
      <c r="B76" s="114">
        <v>2025</v>
      </c>
      <c r="C76" s="430">
        <f>J51</f>
        <v>25</v>
      </c>
      <c r="D76" s="431"/>
      <c r="E76" s="121">
        <f>E65</f>
        <v>0.94711824123588828</v>
      </c>
      <c r="F76" s="120">
        <f t="shared" si="1"/>
        <v>23.677956030897207</v>
      </c>
      <c r="G76" s="118">
        <f t="shared" si="4"/>
        <v>25</v>
      </c>
      <c r="H76" s="119">
        <f t="shared" si="2"/>
        <v>1.3220439691027934</v>
      </c>
      <c r="I76" s="118" t="str">
        <f t="shared" si="5"/>
        <v>YES</v>
      </c>
      <c r="J76" s="117">
        <f t="shared" si="3"/>
        <v>25</v>
      </c>
    </row>
    <row r="77" spans="2:10" ht="15" customHeight="1">
      <c r="B77" s="114">
        <v>2026</v>
      </c>
      <c r="C77" s="430">
        <f>K51</f>
        <v>25</v>
      </c>
      <c r="D77" s="431"/>
      <c r="E77" s="121">
        <f>E65</f>
        <v>0.94711824123588828</v>
      </c>
      <c r="F77" s="120">
        <f t="shared" si="1"/>
        <v>23.677956030897207</v>
      </c>
      <c r="G77" s="118">
        <f t="shared" si="4"/>
        <v>25</v>
      </c>
      <c r="H77" s="119">
        <f t="shared" si="2"/>
        <v>1.3220439691027934</v>
      </c>
      <c r="I77" s="118" t="str">
        <f t="shared" si="5"/>
        <v>YES</v>
      </c>
      <c r="J77" s="117">
        <f t="shared" si="3"/>
        <v>25</v>
      </c>
    </row>
    <row r="78" spans="2:10" ht="15" customHeight="1">
      <c r="B78" s="114">
        <v>2027</v>
      </c>
      <c r="C78" s="430">
        <f>L51</f>
        <v>25</v>
      </c>
      <c r="D78" s="431"/>
      <c r="E78" s="121">
        <f>E65</f>
        <v>0.94711824123588828</v>
      </c>
      <c r="F78" s="120">
        <f t="shared" si="1"/>
        <v>23.677956030897207</v>
      </c>
      <c r="G78" s="118">
        <f t="shared" si="4"/>
        <v>25</v>
      </c>
      <c r="H78" s="119">
        <f t="shared" si="2"/>
        <v>1.3220439691027934</v>
      </c>
      <c r="I78" s="118" t="str">
        <f t="shared" si="5"/>
        <v>YES</v>
      </c>
      <c r="J78" s="117">
        <f t="shared" si="3"/>
        <v>25</v>
      </c>
    </row>
    <row r="79" spans="2:10" ht="15" customHeight="1">
      <c r="B79" s="114">
        <v>2028</v>
      </c>
      <c r="C79" s="430">
        <f>M51</f>
        <v>25</v>
      </c>
      <c r="D79" s="431"/>
      <c r="E79" s="121">
        <f t="shared" ref="E79:E83" si="6">$E$65</f>
        <v>0.94711824123588828</v>
      </c>
      <c r="F79" s="120">
        <f t="shared" si="1"/>
        <v>23.677956030897207</v>
      </c>
      <c r="G79" s="118">
        <f t="shared" si="4"/>
        <v>25</v>
      </c>
      <c r="H79" s="119">
        <f t="shared" si="2"/>
        <v>1.3220439691027934</v>
      </c>
      <c r="I79" s="118" t="str">
        <f t="shared" si="5"/>
        <v>YES</v>
      </c>
      <c r="J79" s="117">
        <f t="shared" si="3"/>
        <v>25</v>
      </c>
    </row>
    <row r="80" spans="2:10" ht="15" customHeight="1">
      <c r="B80" s="114">
        <v>2029</v>
      </c>
      <c r="C80" s="430">
        <f>N51</f>
        <v>25</v>
      </c>
      <c r="D80" s="431"/>
      <c r="E80" s="121">
        <f t="shared" si="6"/>
        <v>0.94711824123588828</v>
      </c>
      <c r="F80" s="120">
        <f t="shared" si="1"/>
        <v>23.677956030897207</v>
      </c>
      <c r="G80" s="118">
        <f t="shared" si="4"/>
        <v>25</v>
      </c>
      <c r="H80" s="119">
        <f t="shared" si="2"/>
        <v>1.3220439691027934</v>
      </c>
      <c r="I80" s="118" t="str">
        <f t="shared" si="5"/>
        <v>YES</v>
      </c>
      <c r="J80" s="117">
        <f t="shared" si="3"/>
        <v>25</v>
      </c>
    </row>
    <row r="81" spans="2:10" ht="15" customHeight="1">
      <c r="B81" s="114">
        <v>2030</v>
      </c>
      <c r="C81" s="430">
        <f>O51</f>
        <v>25</v>
      </c>
      <c r="D81" s="431"/>
      <c r="E81" s="121">
        <f t="shared" si="6"/>
        <v>0.94711824123588828</v>
      </c>
      <c r="F81" s="120">
        <f t="shared" si="1"/>
        <v>23.677956030897207</v>
      </c>
      <c r="G81" s="118">
        <f t="shared" si="4"/>
        <v>25</v>
      </c>
      <c r="H81" s="119">
        <f t="shared" si="2"/>
        <v>1.3220439691027934</v>
      </c>
      <c r="I81" s="118" t="str">
        <f t="shared" si="5"/>
        <v>YES</v>
      </c>
      <c r="J81" s="117">
        <f t="shared" si="3"/>
        <v>25</v>
      </c>
    </row>
    <row r="82" spans="2:10" ht="15" customHeight="1">
      <c r="B82" s="114">
        <v>2031</v>
      </c>
      <c r="C82" s="430">
        <f>P51</f>
        <v>25</v>
      </c>
      <c r="D82" s="431"/>
      <c r="E82" s="121">
        <f t="shared" si="6"/>
        <v>0.94711824123588828</v>
      </c>
      <c r="F82" s="120">
        <f t="shared" si="1"/>
        <v>23.677956030897207</v>
      </c>
      <c r="G82" s="118">
        <f t="shared" si="4"/>
        <v>25</v>
      </c>
      <c r="H82" s="119">
        <f t="shared" si="2"/>
        <v>1.3220439691027934</v>
      </c>
      <c r="I82" s="118" t="str">
        <f t="shared" si="5"/>
        <v>YES</v>
      </c>
      <c r="J82" s="117">
        <f t="shared" si="3"/>
        <v>25</v>
      </c>
    </row>
    <row r="83" spans="2:10" ht="15" customHeight="1">
      <c r="B83" s="114">
        <v>2032</v>
      </c>
      <c r="C83" s="430">
        <f>Q51</f>
        <v>25</v>
      </c>
      <c r="D83" s="431"/>
      <c r="E83" s="121">
        <f t="shared" si="6"/>
        <v>0.94711824123588828</v>
      </c>
      <c r="F83" s="120">
        <f t="shared" si="1"/>
        <v>23.677956030897207</v>
      </c>
      <c r="G83" s="118">
        <f t="shared" si="4"/>
        <v>25</v>
      </c>
      <c r="H83" s="119">
        <f t="shared" si="2"/>
        <v>1.3220439691027934</v>
      </c>
      <c r="I83" s="118" t="str">
        <f t="shared" si="5"/>
        <v>YES</v>
      </c>
      <c r="J83" s="117">
        <f t="shared" si="3"/>
        <v>25</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Longstone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30</v>
      </c>
      <c r="D91" s="112">
        <f t="shared" ref="D91:J91" si="7">D188</f>
        <v>54</v>
      </c>
      <c r="E91" s="112">
        <f t="shared" si="7"/>
        <v>43</v>
      </c>
      <c r="F91" s="112">
        <f t="shared" si="7"/>
        <v>27</v>
      </c>
      <c r="G91" s="112">
        <f t="shared" si="7"/>
        <v>29</v>
      </c>
      <c r="H91" s="112">
        <f t="shared" si="7"/>
        <v>33</v>
      </c>
      <c r="I91" s="112">
        <f t="shared" si="7"/>
        <v>31</v>
      </c>
      <c r="J91" s="213">
        <f t="shared" si="7"/>
        <v>247</v>
      </c>
    </row>
    <row r="92" spans="2:10" ht="15" customHeight="1">
      <c r="B92" s="114">
        <v>2014</v>
      </c>
      <c r="C92" s="112">
        <f>C189</f>
        <v>41</v>
      </c>
      <c r="D92" s="112">
        <f t="shared" ref="D92:J92" si="8">D189</f>
        <v>28</v>
      </c>
      <c r="E92" s="112">
        <f t="shared" si="8"/>
        <v>56</v>
      </c>
      <c r="F92" s="112">
        <f t="shared" si="8"/>
        <v>40</v>
      </c>
      <c r="G92" s="112">
        <f t="shared" si="8"/>
        <v>28</v>
      </c>
      <c r="H92" s="112">
        <f t="shared" si="8"/>
        <v>32</v>
      </c>
      <c r="I92" s="112">
        <f t="shared" si="8"/>
        <v>32</v>
      </c>
      <c r="J92" s="213">
        <f t="shared" si="8"/>
        <v>257</v>
      </c>
    </row>
    <row r="93" spans="2:10" ht="15" customHeight="1">
      <c r="B93" s="114">
        <v>2015</v>
      </c>
      <c r="C93" s="112">
        <f>C190</f>
        <v>36</v>
      </c>
      <c r="D93" s="112">
        <f t="shared" ref="D93:J93" si="9">D190</f>
        <v>42</v>
      </c>
      <c r="E93" s="112">
        <f t="shared" si="9"/>
        <v>29</v>
      </c>
      <c r="F93" s="112">
        <f t="shared" si="9"/>
        <v>50</v>
      </c>
      <c r="G93" s="112">
        <f t="shared" si="9"/>
        <v>41</v>
      </c>
      <c r="H93" s="112">
        <f t="shared" si="9"/>
        <v>24</v>
      </c>
      <c r="I93" s="112">
        <f t="shared" si="9"/>
        <v>28</v>
      </c>
      <c r="J93" s="213">
        <f t="shared" si="9"/>
        <v>250</v>
      </c>
    </row>
    <row r="94" spans="2:10" ht="15" customHeight="1">
      <c r="B94" s="114">
        <v>2016</v>
      </c>
      <c r="C94" s="112">
        <f>C191</f>
        <v>48</v>
      </c>
      <c r="D94" s="112">
        <f t="shared" ref="D94:J94" si="10">D191</f>
        <v>38</v>
      </c>
      <c r="E94" s="112">
        <f t="shared" si="10"/>
        <v>38</v>
      </c>
      <c r="F94" s="112">
        <f t="shared" si="10"/>
        <v>27</v>
      </c>
      <c r="G94" s="112">
        <f t="shared" si="10"/>
        <v>51</v>
      </c>
      <c r="H94" s="112">
        <f t="shared" si="10"/>
        <v>39</v>
      </c>
      <c r="I94" s="112">
        <f t="shared" si="10"/>
        <v>25</v>
      </c>
      <c r="J94" s="213">
        <f t="shared" si="10"/>
        <v>266</v>
      </c>
    </row>
    <row r="95" spans="2:10" ht="15" customHeight="1">
      <c r="B95" s="114">
        <v>2017</v>
      </c>
      <c r="C95" s="112">
        <f>C192</f>
        <v>38</v>
      </c>
      <c r="D95" s="112">
        <f t="shared" ref="D95:J95" si="11">D192</f>
        <v>45</v>
      </c>
      <c r="E95" s="112">
        <f t="shared" si="11"/>
        <v>40</v>
      </c>
      <c r="F95" s="112">
        <f t="shared" si="11"/>
        <v>36</v>
      </c>
      <c r="G95" s="112">
        <f t="shared" si="11"/>
        <v>27</v>
      </c>
      <c r="H95" s="112">
        <f t="shared" si="11"/>
        <v>51</v>
      </c>
      <c r="I95" s="112">
        <f t="shared" si="11"/>
        <v>38</v>
      </c>
      <c r="J95" s="213">
        <f t="shared" si="11"/>
        <v>275</v>
      </c>
    </row>
    <row r="96" spans="2:10" ht="15" customHeight="1">
      <c r="B96" s="307">
        <v>2018</v>
      </c>
      <c r="C96" s="112">
        <f t="shared" ref="C96:J96" si="12">C193</f>
        <v>35</v>
      </c>
      <c r="D96" s="112">
        <f t="shared" si="12"/>
        <v>37</v>
      </c>
      <c r="E96" s="112">
        <f t="shared" si="12"/>
        <v>48</v>
      </c>
      <c r="F96" s="112">
        <f t="shared" si="12"/>
        <v>39</v>
      </c>
      <c r="G96" s="112">
        <f t="shared" si="12"/>
        <v>35</v>
      </c>
      <c r="H96" s="112">
        <f t="shared" si="12"/>
        <v>27</v>
      </c>
      <c r="I96" s="112">
        <f t="shared" si="12"/>
        <v>49</v>
      </c>
      <c r="J96" s="213">
        <f t="shared" si="12"/>
        <v>270</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2.6315789473684209E-2</v>
      </c>
      <c r="E98" s="210">
        <f t="shared" ref="E98:I98" si="13">MEDIAN(((D91-E92)/D91),((D92-E93)/D92),((D93-E94)/D93),((D94-E95)/D94),((D95-E96)/D95))</f>
        <v>-3.7037037037037035E-2</v>
      </c>
      <c r="F98" s="210">
        <f t="shared" si="13"/>
        <v>6.8965517241379309E-2</v>
      </c>
      <c r="G98" s="210">
        <f t="shared" si="13"/>
        <v>-0.02</v>
      </c>
      <c r="H98" s="210">
        <f t="shared" si="13"/>
        <v>0</v>
      </c>
      <c r="I98" s="210">
        <f t="shared" si="13"/>
        <v>3.0303030303030304E-2</v>
      </c>
    </row>
    <row r="99" spans="2:10" ht="18.75">
      <c r="B99" s="59"/>
      <c r="C99" s="60"/>
      <c r="D99" s="61"/>
      <c r="E99" s="61"/>
      <c r="F99" s="61"/>
      <c r="G99" s="61"/>
      <c r="H99" s="61"/>
      <c r="I99" s="61"/>
      <c r="J99" s="58"/>
    </row>
    <row r="100" spans="2:10">
      <c r="B100" s="15" t="str">
        <f>"Table 4B: "&amp;E3&amp;" Projected Roll by Stage (incorporating Projected P1 and Drop-Off Rates), 2019-2032"</f>
        <v>Table 4B: Longstone Primary School Projected Roll by Stage (incorporating Projected P1 and Drop-Off Rates), 2019-2032</v>
      </c>
      <c r="F100" s="14"/>
      <c r="G100" s="14"/>
    </row>
    <row r="101" spans="2:10" ht="12.75">
      <c r="F101" s="14"/>
      <c r="G101" s="14"/>
    </row>
    <row r="102" spans="2:10">
      <c r="B102" s="115"/>
      <c r="C102" s="109" t="s">
        <v>1</v>
      </c>
      <c r="D102" s="109" t="s">
        <v>2</v>
      </c>
      <c r="E102" s="109" t="s">
        <v>3</v>
      </c>
      <c r="F102" s="109" t="s">
        <v>4</v>
      </c>
      <c r="G102" s="109" t="s">
        <v>5</v>
      </c>
      <c r="H102" s="109" t="s">
        <v>6</v>
      </c>
      <c r="I102" s="109" t="s">
        <v>7</v>
      </c>
      <c r="J102" s="109" t="s">
        <v>8</v>
      </c>
    </row>
    <row r="103" spans="2:10">
      <c r="B103" s="114">
        <v>2019</v>
      </c>
      <c r="C103" s="113">
        <f t="shared" ref="C103:C116" si="14">J70</f>
        <v>42.043374925727868</v>
      </c>
      <c r="D103" s="324">
        <f>ROUND((C96)-(C96*$D$98),0)</f>
        <v>34</v>
      </c>
      <c r="E103" s="324">
        <f>ROUND((D96)-(D96*$E$98),0)</f>
        <v>38</v>
      </c>
      <c r="F103" s="324">
        <f>ROUND((E96)-(E96*$F$98),0)</f>
        <v>45</v>
      </c>
      <c r="G103" s="324">
        <f>ROUND((F96)-(F96*$G$98),0)</f>
        <v>40</v>
      </c>
      <c r="H103" s="324">
        <f>ROUND((G96)-(G96*$H$98),0)</f>
        <v>35</v>
      </c>
      <c r="I103" s="324">
        <f>ROUND((H96)-(H96*$I$98),0)</f>
        <v>26</v>
      </c>
      <c r="J103" s="111">
        <f t="shared" ref="J103:J116" si="15">SUM(C103:I103)</f>
        <v>260.0433749257279</v>
      </c>
    </row>
    <row r="104" spans="2:10">
      <c r="B104" s="114">
        <v>2020</v>
      </c>
      <c r="C104" s="113">
        <f t="shared" si="14"/>
        <v>25</v>
      </c>
      <c r="D104" s="324">
        <f>ROUND((C103-E50)-(C103*$D$98),0)</f>
        <v>41</v>
      </c>
      <c r="E104" s="112">
        <f t="shared" ref="E104:E116" si="16">ROUND((D103)-(D103*$E$98),0)</f>
        <v>35</v>
      </c>
      <c r="F104" s="112">
        <f t="shared" ref="F104:F116" si="17">ROUND((E103)-(E103*$F$98),0)</f>
        <v>35</v>
      </c>
      <c r="G104" s="112">
        <f t="shared" ref="G104:G116" si="18">ROUND((F103)-(F103*$G$98),0)</f>
        <v>46</v>
      </c>
      <c r="H104" s="112">
        <f t="shared" ref="H104:H116" si="19">ROUND((G103)-(G103*$H$98),0)</f>
        <v>40</v>
      </c>
      <c r="I104" s="112">
        <f t="shared" ref="I104:I116" si="20">ROUND((H103)-(H103*$I$98),0)</f>
        <v>34</v>
      </c>
      <c r="J104" s="111">
        <f t="shared" si="15"/>
        <v>256</v>
      </c>
    </row>
    <row r="105" spans="2:10">
      <c r="B105" s="114">
        <v>2021</v>
      </c>
      <c r="C105" s="113">
        <f t="shared" si="14"/>
        <v>25</v>
      </c>
      <c r="D105" s="324">
        <f>ROUND((C104-F50)-(C104*$D$98),0)</f>
        <v>24</v>
      </c>
      <c r="E105" s="112">
        <f t="shared" si="16"/>
        <v>43</v>
      </c>
      <c r="F105" s="112">
        <f t="shared" si="17"/>
        <v>33</v>
      </c>
      <c r="G105" s="112">
        <f t="shared" si="18"/>
        <v>36</v>
      </c>
      <c r="H105" s="112">
        <f t="shared" si="19"/>
        <v>46</v>
      </c>
      <c r="I105" s="112">
        <f t="shared" si="20"/>
        <v>39</v>
      </c>
      <c r="J105" s="111">
        <f t="shared" si="15"/>
        <v>246</v>
      </c>
    </row>
    <row r="106" spans="2:10">
      <c r="B106" s="114">
        <v>2022</v>
      </c>
      <c r="C106" s="113">
        <f t="shared" si="14"/>
        <v>25</v>
      </c>
      <c r="D106" s="324">
        <f>ROUND((C105-G50)-(C105*$D$98),0)</f>
        <v>24</v>
      </c>
      <c r="E106" s="112">
        <f t="shared" si="16"/>
        <v>25</v>
      </c>
      <c r="F106" s="112">
        <f t="shared" si="17"/>
        <v>40</v>
      </c>
      <c r="G106" s="112">
        <f t="shared" si="18"/>
        <v>34</v>
      </c>
      <c r="H106" s="112">
        <f t="shared" si="19"/>
        <v>36</v>
      </c>
      <c r="I106" s="112">
        <f t="shared" si="20"/>
        <v>45</v>
      </c>
      <c r="J106" s="111">
        <f t="shared" si="15"/>
        <v>229</v>
      </c>
    </row>
    <row r="107" spans="2:10">
      <c r="B107" s="114">
        <v>2023</v>
      </c>
      <c r="C107" s="113">
        <f t="shared" si="14"/>
        <v>25</v>
      </c>
      <c r="D107" s="324">
        <f>ROUND((C106-H50)-(C106*$D$98),0)</f>
        <v>24</v>
      </c>
      <c r="E107" s="112">
        <f t="shared" si="16"/>
        <v>25</v>
      </c>
      <c r="F107" s="112">
        <f t="shared" si="17"/>
        <v>23</v>
      </c>
      <c r="G107" s="112">
        <f t="shared" si="18"/>
        <v>41</v>
      </c>
      <c r="H107" s="112">
        <f t="shared" si="19"/>
        <v>34</v>
      </c>
      <c r="I107" s="112">
        <f t="shared" si="20"/>
        <v>35</v>
      </c>
      <c r="J107" s="111">
        <f t="shared" si="15"/>
        <v>207</v>
      </c>
    </row>
    <row r="108" spans="2:10">
      <c r="B108" s="114">
        <v>2024</v>
      </c>
      <c r="C108" s="113">
        <f t="shared" si="14"/>
        <v>25</v>
      </c>
      <c r="D108" s="324">
        <f>ROUND((C107-I50)-(C107*$D$98),0)</f>
        <v>24</v>
      </c>
      <c r="E108" s="112">
        <f t="shared" si="16"/>
        <v>25</v>
      </c>
      <c r="F108" s="112">
        <f t="shared" si="17"/>
        <v>23</v>
      </c>
      <c r="G108" s="112">
        <f t="shared" si="18"/>
        <v>23</v>
      </c>
      <c r="H108" s="112">
        <f t="shared" si="19"/>
        <v>41</v>
      </c>
      <c r="I108" s="112">
        <f t="shared" si="20"/>
        <v>33</v>
      </c>
      <c r="J108" s="111">
        <f t="shared" si="15"/>
        <v>194</v>
      </c>
    </row>
    <row r="109" spans="2:10">
      <c r="B109" s="114">
        <v>2025</v>
      </c>
      <c r="C109" s="113">
        <f t="shared" si="14"/>
        <v>25</v>
      </c>
      <c r="D109" s="324">
        <f>ROUND((C108-J50)-(C108*$D$98),0)</f>
        <v>24</v>
      </c>
      <c r="E109" s="112">
        <f t="shared" si="16"/>
        <v>25</v>
      </c>
      <c r="F109" s="112">
        <f t="shared" si="17"/>
        <v>23</v>
      </c>
      <c r="G109" s="112">
        <f t="shared" si="18"/>
        <v>23</v>
      </c>
      <c r="H109" s="112">
        <f t="shared" si="19"/>
        <v>23</v>
      </c>
      <c r="I109" s="112">
        <f t="shared" si="20"/>
        <v>40</v>
      </c>
      <c r="J109" s="111">
        <f t="shared" si="15"/>
        <v>183</v>
      </c>
    </row>
    <row r="110" spans="2:10">
      <c r="B110" s="114">
        <v>2026</v>
      </c>
      <c r="C110" s="113">
        <f t="shared" si="14"/>
        <v>25</v>
      </c>
      <c r="D110" s="324">
        <f>ROUND((C109-K50)-(C109*$D$98),0)</f>
        <v>24</v>
      </c>
      <c r="E110" s="112">
        <f t="shared" si="16"/>
        <v>25</v>
      </c>
      <c r="F110" s="112">
        <f t="shared" si="17"/>
        <v>23</v>
      </c>
      <c r="G110" s="112">
        <f t="shared" si="18"/>
        <v>23</v>
      </c>
      <c r="H110" s="112">
        <f t="shared" si="19"/>
        <v>23</v>
      </c>
      <c r="I110" s="112">
        <f t="shared" si="20"/>
        <v>22</v>
      </c>
      <c r="J110" s="111">
        <f t="shared" si="15"/>
        <v>165</v>
      </c>
    </row>
    <row r="111" spans="2:10">
      <c r="B111" s="114">
        <v>2027</v>
      </c>
      <c r="C111" s="113">
        <f t="shared" si="14"/>
        <v>25</v>
      </c>
      <c r="D111" s="324">
        <f>ROUND((C110-L50)-(C110*$D$98),0)</f>
        <v>24</v>
      </c>
      <c r="E111" s="112">
        <f t="shared" si="16"/>
        <v>25</v>
      </c>
      <c r="F111" s="112">
        <f t="shared" si="17"/>
        <v>23</v>
      </c>
      <c r="G111" s="112">
        <f t="shared" si="18"/>
        <v>23</v>
      </c>
      <c r="H111" s="112">
        <f t="shared" si="19"/>
        <v>23</v>
      </c>
      <c r="I111" s="112">
        <f t="shared" si="20"/>
        <v>22</v>
      </c>
      <c r="J111" s="111">
        <f t="shared" si="15"/>
        <v>165</v>
      </c>
    </row>
    <row r="112" spans="2:10">
      <c r="B112" s="114">
        <v>2028</v>
      </c>
      <c r="C112" s="113">
        <f t="shared" si="14"/>
        <v>25</v>
      </c>
      <c r="D112" s="324">
        <f>ROUND((C111-M50)-(C111*$D$98),0)</f>
        <v>24</v>
      </c>
      <c r="E112" s="112">
        <f t="shared" si="16"/>
        <v>25</v>
      </c>
      <c r="F112" s="112">
        <f t="shared" si="17"/>
        <v>23</v>
      </c>
      <c r="G112" s="112">
        <f t="shared" si="18"/>
        <v>23</v>
      </c>
      <c r="H112" s="112">
        <f t="shared" si="19"/>
        <v>23</v>
      </c>
      <c r="I112" s="112">
        <f t="shared" si="20"/>
        <v>22</v>
      </c>
      <c r="J112" s="111">
        <f t="shared" si="15"/>
        <v>165</v>
      </c>
    </row>
    <row r="113" spans="2:10" ht="15" customHeight="1">
      <c r="B113" s="114">
        <v>2029</v>
      </c>
      <c r="C113" s="113">
        <f t="shared" si="14"/>
        <v>25</v>
      </c>
      <c r="D113" s="324">
        <f>ROUND((C112-N50)-(C112*$D$98),0)</f>
        <v>24</v>
      </c>
      <c r="E113" s="112">
        <f t="shared" si="16"/>
        <v>25</v>
      </c>
      <c r="F113" s="112">
        <f t="shared" si="17"/>
        <v>23</v>
      </c>
      <c r="G113" s="112">
        <f t="shared" si="18"/>
        <v>23</v>
      </c>
      <c r="H113" s="112">
        <f t="shared" si="19"/>
        <v>23</v>
      </c>
      <c r="I113" s="112">
        <f t="shared" si="20"/>
        <v>22</v>
      </c>
      <c r="J113" s="111">
        <f t="shared" si="15"/>
        <v>165</v>
      </c>
    </row>
    <row r="114" spans="2:10" ht="15" customHeight="1">
      <c r="B114" s="114">
        <v>2030</v>
      </c>
      <c r="C114" s="113">
        <f t="shared" si="14"/>
        <v>25</v>
      </c>
      <c r="D114" s="324">
        <f>ROUND((C113-O50)-(C113*$D$98),0)</f>
        <v>24</v>
      </c>
      <c r="E114" s="112">
        <f t="shared" si="16"/>
        <v>25</v>
      </c>
      <c r="F114" s="112">
        <f t="shared" si="17"/>
        <v>23</v>
      </c>
      <c r="G114" s="112">
        <f t="shared" si="18"/>
        <v>23</v>
      </c>
      <c r="H114" s="112">
        <f t="shared" si="19"/>
        <v>23</v>
      </c>
      <c r="I114" s="112">
        <f t="shared" si="20"/>
        <v>22</v>
      </c>
      <c r="J114" s="111">
        <f t="shared" si="15"/>
        <v>165</v>
      </c>
    </row>
    <row r="115" spans="2:10" ht="15" customHeight="1">
      <c r="B115" s="114">
        <v>2031</v>
      </c>
      <c r="C115" s="113">
        <f t="shared" si="14"/>
        <v>25</v>
      </c>
      <c r="D115" s="324">
        <f>ROUND((C114-P50)-(C114*$D$98),0)</f>
        <v>24</v>
      </c>
      <c r="E115" s="112">
        <f t="shared" si="16"/>
        <v>25</v>
      </c>
      <c r="F115" s="112">
        <f t="shared" si="17"/>
        <v>23</v>
      </c>
      <c r="G115" s="112">
        <f t="shared" si="18"/>
        <v>23</v>
      </c>
      <c r="H115" s="112">
        <f t="shared" si="19"/>
        <v>23</v>
      </c>
      <c r="I115" s="112">
        <f t="shared" si="20"/>
        <v>22</v>
      </c>
      <c r="J115" s="111">
        <f t="shared" si="15"/>
        <v>165</v>
      </c>
    </row>
    <row r="116" spans="2:10" ht="15" customHeight="1">
      <c r="B116" s="114">
        <v>2032</v>
      </c>
      <c r="C116" s="113">
        <f t="shared" si="14"/>
        <v>25</v>
      </c>
      <c r="D116" s="324">
        <f>ROUND((C115-Q50)-(C115*$D$98),0)</f>
        <v>24</v>
      </c>
      <c r="E116" s="112">
        <f t="shared" si="16"/>
        <v>25</v>
      </c>
      <c r="F116" s="112">
        <f t="shared" si="17"/>
        <v>23</v>
      </c>
      <c r="G116" s="112">
        <f t="shared" si="18"/>
        <v>23</v>
      </c>
      <c r="H116" s="112">
        <f t="shared" si="19"/>
        <v>23</v>
      </c>
      <c r="I116" s="112">
        <f t="shared" si="20"/>
        <v>22</v>
      </c>
      <c r="J116" s="111">
        <f t="shared" si="15"/>
        <v>165</v>
      </c>
    </row>
    <row r="117" spans="2:10" ht="15" hidden="1" customHeight="1">
      <c r="F117" s="14"/>
      <c r="G117" s="14"/>
    </row>
    <row r="118" spans="2:10" ht="15" hidden="1" customHeight="1">
      <c r="B118" s="15" t="str">
        <f>"Table 4C: "&amp;E3&amp;" Projected Pupil Generation from Housing Development, 2019-2032"</f>
        <v>Table 4C: Longstone Primary School Projected Pupil Generation from Housing Development, 2019-2032</v>
      </c>
      <c r="F118" s="14"/>
      <c r="G118" s="14"/>
    </row>
    <row r="119" spans="2:10" ht="15" hidden="1" customHeight="1">
      <c r="F119" s="14"/>
      <c r="G119" s="14"/>
    </row>
    <row r="120" spans="2:10" ht="15" hidden="1" customHeight="1">
      <c r="B120" s="115"/>
      <c r="C120" s="109" t="s">
        <v>1</v>
      </c>
      <c r="D120" s="109" t="s">
        <v>2</v>
      </c>
      <c r="E120" s="109" t="s">
        <v>3</v>
      </c>
      <c r="F120" s="109" t="s">
        <v>4</v>
      </c>
      <c r="G120" s="109" t="s">
        <v>5</v>
      </c>
      <c r="H120" s="109" t="s">
        <v>6</v>
      </c>
      <c r="I120" s="109" t="s">
        <v>7</v>
      </c>
      <c r="J120" s="109" t="s">
        <v>8</v>
      </c>
    </row>
    <row r="121" spans="2:10" ht="15" hidden="1" customHeight="1">
      <c r="B121" s="114">
        <v>2019</v>
      </c>
      <c r="C121" s="116" t="s">
        <v>97</v>
      </c>
      <c r="D121" s="112">
        <f>VLOOKUP($E$3,'Housing Generation'!$A$3:$BE$90,11,FALSE)</f>
        <v>0</v>
      </c>
      <c r="E121" s="112">
        <f>VLOOKUP($E$3,'Housing Generation'!$A$3:$BE$90,12,FALSE)</f>
        <v>0</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0</v>
      </c>
    </row>
    <row r="122" spans="2:10" ht="15" hidden="1" customHeight="1">
      <c r="B122" s="114">
        <v>2020</v>
      </c>
      <c r="C122" s="116" t="s">
        <v>97</v>
      </c>
      <c r="D122" s="112">
        <f>VLOOKUP($E$3,'Housing Generation'!$A$3:$BE$90,19,FALSE)</f>
        <v>0</v>
      </c>
      <c r="E122" s="112">
        <f>VLOOKUP($E$3,'Housing Generation'!$A$3:$BE$90,20,FALSE)</f>
        <v>0</v>
      </c>
      <c r="F122" s="112">
        <f>VLOOKUP($E$3,'Housing Generation'!$A$3:$BE$90,21,FALSE)</f>
        <v>0</v>
      </c>
      <c r="G122" s="112">
        <f>VLOOKUP($E$3,'Housing Generation'!$A$3:$BE$90,22,FALSE)</f>
        <v>0</v>
      </c>
      <c r="H122" s="112">
        <f>VLOOKUP($E$3,'Housing Generation'!$A$3:$BE$90,23,FALSE)</f>
        <v>0</v>
      </c>
      <c r="I122" s="112">
        <f>VLOOKUP($E$3,'Housing Generation'!$A$3:$BE$90,24,FALSE)</f>
        <v>0</v>
      </c>
      <c r="J122" s="111">
        <f t="shared" si="21"/>
        <v>0</v>
      </c>
    </row>
    <row r="123" spans="2:10" ht="15" hidden="1" customHeight="1">
      <c r="B123" s="114">
        <v>2021</v>
      </c>
      <c r="C123" s="116" t="s">
        <v>97</v>
      </c>
      <c r="D123" s="112">
        <f>VLOOKUP($E$3,'Housing Generation'!$A$3:$BE$90,27,FALSE)</f>
        <v>0</v>
      </c>
      <c r="E123" s="112">
        <f>VLOOKUP($E$3,'Housing Generation'!$A$3:$BE$90,28,FALSE)</f>
        <v>0</v>
      </c>
      <c r="F123" s="112">
        <f>VLOOKUP($E$3,'Housing Generation'!$A$3:$BE$90,29,FALSE)</f>
        <v>0</v>
      </c>
      <c r="G123" s="112">
        <f>VLOOKUP($E$3,'Housing Generation'!$A$3:$BE$90,30,FALSE)</f>
        <v>0</v>
      </c>
      <c r="H123" s="112">
        <f>VLOOKUP($E$3,'Housing Generation'!$A$3:$BE$90,31,FALSE)</f>
        <v>0</v>
      </c>
      <c r="I123" s="112">
        <f>VLOOKUP($E$3,'Housing Generation'!$A$3:$BE$90,32,FALSE)</f>
        <v>0</v>
      </c>
      <c r="J123" s="111">
        <f t="shared" si="21"/>
        <v>0</v>
      </c>
    </row>
    <row r="124" spans="2:10" ht="15" hidden="1" customHeight="1">
      <c r="B124" s="114">
        <v>2022</v>
      </c>
      <c r="C124" s="116" t="s">
        <v>97</v>
      </c>
      <c r="D124" s="112">
        <f>VLOOKUP($E$3,'Housing Generation'!$A$3:$BE$90,35,FALSE)</f>
        <v>0</v>
      </c>
      <c r="E124" s="112">
        <f>VLOOKUP($E$3,'Housing Generation'!$A$3:$BE$90,36,FALSE)</f>
        <v>0</v>
      </c>
      <c r="F124" s="112">
        <f>VLOOKUP($E$3,'Housing Generation'!$A$3:$BE$90,37,FALSE)</f>
        <v>0</v>
      </c>
      <c r="G124" s="112">
        <f>VLOOKUP($E$3,'Housing Generation'!$A$3:$BE$90,38,FALSE)</f>
        <v>0</v>
      </c>
      <c r="H124" s="112">
        <f>VLOOKUP($E$3,'Housing Generation'!$A$3:$BE$90,39,FALSE)</f>
        <v>0</v>
      </c>
      <c r="I124" s="112">
        <f>VLOOKUP($E$3,'Housing Generation'!$A$3:$BE$90,40,FALSE)</f>
        <v>0</v>
      </c>
      <c r="J124" s="111">
        <f t="shared" si="21"/>
        <v>0</v>
      </c>
    </row>
    <row r="125" spans="2:10" ht="15" hidden="1" customHeight="1">
      <c r="B125" s="114">
        <v>2023</v>
      </c>
      <c r="C125" s="116" t="s">
        <v>97</v>
      </c>
      <c r="D125" s="112">
        <f>VLOOKUP($E$3,'Housing Generation'!$A$3:$BE$90,43,FALSE)</f>
        <v>0</v>
      </c>
      <c r="E125" s="112">
        <f>VLOOKUP($E$3,'Housing Generation'!$A$3:$BE$90,44,FALSE)</f>
        <v>0</v>
      </c>
      <c r="F125" s="112">
        <f>VLOOKUP($E$3,'Housing Generation'!$A$3:$BE$90,45,FALSE)</f>
        <v>0</v>
      </c>
      <c r="G125" s="112">
        <f>VLOOKUP($E$3,'Housing Generation'!$A$3:$BE$90,46,FALSE)</f>
        <v>0</v>
      </c>
      <c r="H125" s="112">
        <f>VLOOKUP($E$3,'Housing Generation'!$A$3:$BE$90,47,FALSE)</f>
        <v>0</v>
      </c>
      <c r="I125" s="112">
        <f>VLOOKUP($E$3,'Housing Generation'!$A$3:$BE$90,48,FALSE)</f>
        <v>0</v>
      </c>
      <c r="J125" s="111">
        <f t="shared" si="21"/>
        <v>0</v>
      </c>
    </row>
    <row r="126" spans="2:10" ht="15" hidden="1" customHeight="1">
      <c r="B126" s="114">
        <v>2024</v>
      </c>
      <c r="C126" s="116" t="s">
        <v>97</v>
      </c>
      <c r="D126" s="112">
        <f>VLOOKUP($E$3,'Housing Generation'!$A$3:$BE$90,51,FALSE)</f>
        <v>0</v>
      </c>
      <c r="E126" s="112">
        <f>VLOOKUP($E$3,'Housing Generation'!$A$3:$BE$90,52,FALSE)</f>
        <v>0</v>
      </c>
      <c r="F126" s="112">
        <f>VLOOKUP($E$3,'Housing Generation'!$A$3:$BE$90,53,FALSE)</f>
        <v>0</v>
      </c>
      <c r="G126" s="112">
        <f>VLOOKUP($E$3,'Housing Generation'!$A$3:$BE$90,54,FALSE)</f>
        <v>0</v>
      </c>
      <c r="H126" s="112">
        <f>VLOOKUP($E$3,'Housing Generation'!$A$3:$BE$90,55,FALSE)</f>
        <v>0</v>
      </c>
      <c r="I126" s="112">
        <f>VLOOKUP($E$3,'Housing Generation'!$A$3:$BE$90,56,FALSE)</f>
        <v>0</v>
      </c>
      <c r="J126" s="111">
        <f t="shared" si="21"/>
        <v>0</v>
      </c>
    </row>
    <row r="127" spans="2:10" ht="15" hidden="1" customHeight="1">
      <c r="B127" s="114">
        <v>2025</v>
      </c>
      <c r="C127" s="240" t="s">
        <v>97</v>
      </c>
      <c r="D127" s="112">
        <f>VLOOKUP($E$3,'Housing Generation'!$A$3:$CK$90,59,FALSE)</f>
        <v>0</v>
      </c>
      <c r="E127" s="112">
        <f>VLOOKUP($E$3,'Housing Generation'!$A$3:$CK$90,60,FALSE)</f>
        <v>0</v>
      </c>
      <c r="F127" s="112">
        <f>VLOOKUP($E$3,'Housing Generation'!$A$3:$CK$90,61,FALSE)</f>
        <v>0</v>
      </c>
      <c r="G127" s="112">
        <f>VLOOKUP($E$3,'Housing Generation'!$A$3:$CK$90,62,FALSE)</f>
        <v>0</v>
      </c>
      <c r="H127" s="112">
        <f>VLOOKUP($E$3,'Housing Generation'!$A$3:$CK$90,63,FALSE)</f>
        <v>0</v>
      </c>
      <c r="I127" s="112">
        <f>VLOOKUP($E$3,'Housing Generation'!$A$3:$CK$90,64,FALSE)</f>
        <v>0</v>
      </c>
      <c r="J127" s="111">
        <f t="shared" si="21"/>
        <v>0</v>
      </c>
    </row>
    <row r="128" spans="2:10" ht="15" hidden="1" customHeight="1">
      <c r="B128" s="114">
        <v>2026</v>
      </c>
      <c r="C128" s="240" t="s">
        <v>97</v>
      </c>
      <c r="D128" s="112">
        <f>VLOOKUP($E$3,'Housing Generation'!$A$3:$CK$90,67,FALSE)</f>
        <v>0</v>
      </c>
      <c r="E128" s="112">
        <f>VLOOKUP($E$3,'Housing Generation'!$A$3:$CK$90,68,FALSE)</f>
        <v>0</v>
      </c>
      <c r="F128" s="112">
        <f>VLOOKUP($E$3,'Housing Generation'!$A$3:$CK$90,69,FALSE)</f>
        <v>0</v>
      </c>
      <c r="G128" s="112">
        <f>VLOOKUP($E$3,'Housing Generation'!$A$3:$CK$90,70,FALSE)</f>
        <v>0</v>
      </c>
      <c r="H128" s="112">
        <f>VLOOKUP($E$3,'Housing Generation'!$A$3:$CK$90,71,FALSE)</f>
        <v>0</v>
      </c>
      <c r="I128" s="112">
        <f>VLOOKUP($E$3,'Housing Generation'!$A$3:$CK$90,72,FALSE)</f>
        <v>0</v>
      </c>
      <c r="J128" s="111">
        <f t="shared" si="21"/>
        <v>0</v>
      </c>
    </row>
    <row r="129" spans="2:10" ht="15" hidden="1" customHeight="1">
      <c r="B129" s="114">
        <v>2027</v>
      </c>
      <c r="C129" s="240" t="s">
        <v>97</v>
      </c>
      <c r="D129" s="112">
        <f>VLOOKUP($E$3,'Housing Generation'!$A$3:$CK$90,75,FALSE)</f>
        <v>0</v>
      </c>
      <c r="E129" s="112">
        <f>VLOOKUP($E$3,'Housing Generation'!$A$3:$CK$90,76,FALSE)</f>
        <v>0</v>
      </c>
      <c r="F129" s="112">
        <f>VLOOKUP($E$3,'Housing Generation'!$A$3:$CK$90,77,FALSE)</f>
        <v>0</v>
      </c>
      <c r="G129" s="112">
        <f>VLOOKUP($E$3,'Housing Generation'!$A$3:$CK$90,78,FALSE)</f>
        <v>0</v>
      </c>
      <c r="H129" s="112">
        <f>VLOOKUP($E$3,'Housing Generation'!$A$3:$CK$90,79,FALSE)</f>
        <v>0</v>
      </c>
      <c r="I129" s="112">
        <f>VLOOKUP($E$3,'Housing Generation'!$A$3:$CK$90,80,FALSE)</f>
        <v>0</v>
      </c>
      <c r="J129" s="111">
        <f t="shared" si="21"/>
        <v>0</v>
      </c>
    </row>
    <row r="130" spans="2:10" ht="15" customHeight="1">
      <c r="B130" s="114">
        <v>2028</v>
      </c>
      <c r="C130" s="289" t="s">
        <v>97</v>
      </c>
      <c r="D130" s="112">
        <f>VLOOKUP($E$3,'Housing Generation'!$A$3:$CK$90,83,FALSE)</f>
        <v>0</v>
      </c>
      <c r="E130" s="112">
        <f>VLOOKUP($E$3,'Housing Generation'!$A$3:$CK$90,84,FALSE)</f>
        <v>0</v>
      </c>
      <c r="F130" s="112">
        <f>VLOOKUP($E$3,'Housing Generation'!$A$3:$CK$90,85,FALSE)</f>
        <v>0</v>
      </c>
      <c r="G130" s="112">
        <f>VLOOKUP($E$3,'Housing Generation'!$A$3:$CK$90,86,FALSE)</f>
        <v>0</v>
      </c>
      <c r="H130" s="112">
        <f>VLOOKUP($E$3,'Housing Generation'!$A$3:$CK$90,87,FALSE)</f>
        <v>0</v>
      </c>
      <c r="I130" s="112">
        <f>VLOOKUP($E$3,'Housing Generation'!$A$3:$CK$90,88,FALSE)</f>
        <v>0</v>
      </c>
      <c r="J130" s="111">
        <f t="shared" si="21"/>
        <v>0</v>
      </c>
    </row>
    <row r="131" spans="2:10" ht="15" customHeight="1">
      <c r="B131" s="114">
        <v>2029</v>
      </c>
      <c r="C131" s="289" t="s">
        <v>97</v>
      </c>
      <c r="D131" s="112">
        <f>VLOOKUP($E$3,'Housing Generation'!$A$3:$DQ$90,91,FALSE)</f>
        <v>0</v>
      </c>
      <c r="E131" s="112">
        <f>VLOOKUP($E$3,'Housing Generation'!$A$3:$DQ$90,92,FALSE)</f>
        <v>0</v>
      </c>
      <c r="F131" s="112">
        <f>VLOOKUP($E$3,'Housing Generation'!$A$3:$DQ$90,93,FALSE)</f>
        <v>0</v>
      </c>
      <c r="G131" s="112">
        <f>VLOOKUP($E$3,'Housing Generation'!$A$3:$DQ$90,94,FALSE)</f>
        <v>0</v>
      </c>
      <c r="H131" s="112">
        <f>VLOOKUP($E$3,'Housing Generation'!$A$3:$DQ$90,95,FALSE)</f>
        <v>0</v>
      </c>
      <c r="I131" s="112">
        <f>VLOOKUP($E$3,'Housing Generation'!$A$3:$DQ$90,96,FALSE)</f>
        <v>0</v>
      </c>
      <c r="J131" s="111">
        <f t="shared" si="21"/>
        <v>0</v>
      </c>
    </row>
    <row r="132" spans="2:10" ht="15" customHeight="1">
      <c r="B132" s="114">
        <v>2030</v>
      </c>
      <c r="C132" s="289" t="s">
        <v>97</v>
      </c>
      <c r="D132" s="112">
        <f>VLOOKUP($E$3,'Housing Generation'!$A$3:$DQ$90,99,FALSE)</f>
        <v>0</v>
      </c>
      <c r="E132" s="112">
        <f>VLOOKUP($E$3,'Housing Generation'!$A$3:$DQ$90,100,FALSE)</f>
        <v>0</v>
      </c>
      <c r="F132" s="112">
        <f>VLOOKUP($E$3,'Housing Generation'!$A$3:$DQ$90,101,FALSE)</f>
        <v>0</v>
      </c>
      <c r="G132" s="112">
        <f>VLOOKUP($E$3,'Housing Generation'!$A$3:$DQ$90,102,FALSE)</f>
        <v>0</v>
      </c>
      <c r="H132" s="112">
        <f>VLOOKUP($E$3,'Housing Generation'!$A$3:$DQ$90,103,FALSE)</f>
        <v>0</v>
      </c>
      <c r="I132" s="112">
        <f>VLOOKUP($E$3,'Housing Generation'!$A$3:$DQ$90,104,FALSE)</f>
        <v>0</v>
      </c>
      <c r="J132" s="111">
        <f t="shared" si="21"/>
        <v>0</v>
      </c>
    </row>
    <row r="133" spans="2:10" ht="15" customHeight="1">
      <c r="B133" s="114">
        <v>2031</v>
      </c>
      <c r="C133" s="289" t="s">
        <v>97</v>
      </c>
      <c r="D133" s="112">
        <f>VLOOKUP($E$3,'Housing Generation'!$A$3:$DQ$90,107,FALSE)</f>
        <v>0</v>
      </c>
      <c r="E133" s="112">
        <f>VLOOKUP($E$3,'Housing Generation'!$A$3:$DQ$90,108,FALSE)</f>
        <v>0</v>
      </c>
      <c r="F133" s="112">
        <f>VLOOKUP($E$3,'Housing Generation'!$A$3:$DQ$90,109,FALSE)</f>
        <v>0</v>
      </c>
      <c r="G133" s="112">
        <f>VLOOKUP($E$3,'Housing Generation'!$A$3:$DQ$90,110,FALSE)</f>
        <v>0</v>
      </c>
      <c r="H133" s="112">
        <f>VLOOKUP($E$3,'Housing Generation'!$A$3:$DQ$90,111,FALSE)</f>
        <v>0</v>
      </c>
      <c r="I133" s="112">
        <f>VLOOKUP($E$3,'Housing Generation'!$A$3:$DQ$90,112,FALSE)</f>
        <v>0</v>
      </c>
      <c r="J133" s="111">
        <f t="shared" si="21"/>
        <v>0</v>
      </c>
    </row>
    <row r="134" spans="2:10" ht="15" customHeight="1">
      <c r="B134" s="114">
        <v>2032</v>
      </c>
      <c r="C134" s="289" t="s">
        <v>97</v>
      </c>
      <c r="D134" s="112">
        <f>VLOOKUP($E$3,'Housing Generation'!$A$3:$DQ$90,115,FALSE)</f>
        <v>0</v>
      </c>
      <c r="E134" s="112">
        <f>VLOOKUP($E$3,'Housing Generation'!$A$3:$DQ$90,116,FALSE)</f>
        <v>0</v>
      </c>
      <c r="F134" s="112">
        <f>VLOOKUP($E$3,'Housing Generation'!$A$3:$DQ$90,117,FALSE)</f>
        <v>0</v>
      </c>
      <c r="G134" s="112">
        <f>VLOOKUP($E$3,'Housing Generation'!$A$3:$DQ$90,118,FALSE)</f>
        <v>0</v>
      </c>
      <c r="H134" s="112">
        <f>VLOOKUP($E$3,'Housing Generation'!$A$3:$DQ$90,119,FALSE)</f>
        <v>0</v>
      </c>
      <c r="I134" s="112">
        <f>VLOOKUP($E$3,'Housing Generation'!$A$3:$DQ$90,120,FALSE)</f>
        <v>0</v>
      </c>
      <c r="J134" s="111">
        <f t="shared" si="21"/>
        <v>0</v>
      </c>
    </row>
    <row r="135" spans="2:10" ht="15" hidden="1"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Longstone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42.043374925727868</v>
      </c>
      <c r="D139" s="112">
        <f t="shared" ref="D139:I152" si="23">D121+D103</f>
        <v>34</v>
      </c>
      <c r="E139" s="112">
        <f t="shared" si="23"/>
        <v>38</v>
      </c>
      <c r="F139" s="112">
        <f t="shared" si="23"/>
        <v>45</v>
      </c>
      <c r="G139" s="112">
        <f t="shared" si="23"/>
        <v>40</v>
      </c>
      <c r="H139" s="112">
        <f t="shared" si="23"/>
        <v>35</v>
      </c>
      <c r="I139" s="112">
        <f t="shared" si="23"/>
        <v>26</v>
      </c>
      <c r="J139" s="111">
        <f t="shared" ref="J139:J147" si="24">SUM(C139:I139)</f>
        <v>260.0433749257279</v>
      </c>
    </row>
    <row r="140" spans="2:10" ht="15" customHeight="1">
      <c r="B140" s="114">
        <v>2020</v>
      </c>
      <c r="C140" s="113">
        <f t="shared" si="22"/>
        <v>25</v>
      </c>
      <c r="D140" s="112">
        <f t="shared" si="23"/>
        <v>41</v>
      </c>
      <c r="E140" s="112">
        <f t="shared" si="23"/>
        <v>35</v>
      </c>
      <c r="F140" s="112">
        <f t="shared" si="23"/>
        <v>35</v>
      </c>
      <c r="G140" s="112">
        <f t="shared" si="23"/>
        <v>46</v>
      </c>
      <c r="H140" s="112">
        <f t="shared" si="23"/>
        <v>40</v>
      </c>
      <c r="I140" s="112">
        <f t="shared" si="23"/>
        <v>34</v>
      </c>
      <c r="J140" s="111">
        <f t="shared" si="24"/>
        <v>256</v>
      </c>
    </row>
    <row r="141" spans="2:10" ht="15" customHeight="1">
      <c r="B141" s="114">
        <v>2021</v>
      </c>
      <c r="C141" s="113">
        <f t="shared" si="22"/>
        <v>25</v>
      </c>
      <c r="D141" s="112">
        <f t="shared" si="23"/>
        <v>24</v>
      </c>
      <c r="E141" s="112">
        <f t="shared" si="23"/>
        <v>43</v>
      </c>
      <c r="F141" s="112">
        <f t="shared" si="23"/>
        <v>33</v>
      </c>
      <c r="G141" s="112">
        <f t="shared" si="23"/>
        <v>36</v>
      </c>
      <c r="H141" s="112">
        <f t="shared" si="23"/>
        <v>46</v>
      </c>
      <c r="I141" s="112">
        <f t="shared" si="23"/>
        <v>39</v>
      </c>
      <c r="J141" s="111">
        <f t="shared" si="24"/>
        <v>246</v>
      </c>
    </row>
    <row r="142" spans="2:10" ht="15" customHeight="1">
      <c r="B142" s="114">
        <v>2022</v>
      </c>
      <c r="C142" s="113">
        <f t="shared" si="22"/>
        <v>25</v>
      </c>
      <c r="D142" s="112">
        <f t="shared" si="23"/>
        <v>24</v>
      </c>
      <c r="E142" s="112">
        <f t="shared" si="23"/>
        <v>25</v>
      </c>
      <c r="F142" s="112">
        <f t="shared" si="23"/>
        <v>40</v>
      </c>
      <c r="G142" s="112">
        <f t="shared" si="23"/>
        <v>34</v>
      </c>
      <c r="H142" s="112">
        <f t="shared" si="23"/>
        <v>36</v>
      </c>
      <c r="I142" s="112">
        <f t="shared" si="23"/>
        <v>45</v>
      </c>
      <c r="J142" s="111">
        <f t="shared" si="24"/>
        <v>229</v>
      </c>
    </row>
    <row r="143" spans="2:10" ht="15" customHeight="1">
      <c r="B143" s="114">
        <v>2023</v>
      </c>
      <c r="C143" s="113">
        <f t="shared" si="22"/>
        <v>25</v>
      </c>
      <c r="D143" s="112">
        <f t="shared" si="23"/>
        <v>24</v>
      </c>
      <c r="E143" s="112">
        <f t="shared" si="23"/>
        <v>25</v>
      </c>
      <c r="F143" s="112">
        <f t="shared" si="23"/>
        <v>23</v>
      </c>
      <c r="G143" s="112">
        <f t="shared" si="23"/>
        <v>41</v>
      </c>
      <c r="H143" s="112">
        <f t="shared" si="23"/>
        <v>34</v>
      </c>
      <c r="I143" s="112">
        <f t="shared" si="23"/>
        <v>35</v>
      </c>
      <c r="J143" s="111">
        <f t="shared" si="24"/>
        <v>207</v>
      </c>
    </row>
    <row r="144" spans="2:10" ht="15" customHeight="1">
      <c r="B144" s="114">
        <v>2024</v>
      </c>
      <c r="C144" s="113">
        <f t="shared" si="22"/>
        <v>25</v>
      </c>
      <c r="D144" s="112">
        <f t="shared" si="23"/>
        <v>24</v>
      </c>
      <c r="E144" s="112">
        <f t="shared" si="23"/>
        <v>25</v>
      </c>
      <c r="F144" s="112">
        <f t="shared" si="23"/>
        <v>23</v>
      </c>
      <c r="G144" s="112">
        <f t="shared" si="23"/>
        <v>23</v>
      </c>
      <c r="H144" s="112">
        <f t="shared" si="23"/>
        <v>41</v>
      </c>
      <c r="I144" s="112">
        <f t="shared" si="23"/>
        <v>33</v>
      </c>
      <c r="J144" s="111">
        <f t="shared" si="24"/>
        <v>194</v>
      </c>
    </row>
    <row r="145" spans="2:16" ht="15" customHeight="1">
      <c r="B145" s="114">
        <v>2025</v>
      </c>
      <c r="C145" s="113">
        <f t="shared" si="22"/>
        <v>25</v>
      </c>
      <c r="D145" s="112">
        <f t="shared" si="23"/>
        <v>24</v>
      </c>
      <c r="E145" s="112">
        <f t="shared" si="23"/>
        <v>25</v>
      </c>
      <c r="F145" s="112">
        <f t="shared" si="23"/>
        <v>23</v>
      </c>
      <c r="G145" s="112">
        <f t="shared" si="23"/>
        <v>23</v>
      </c>
      <c r="H145" s="112">
        <f t="shared" si="23"/>
        <v>23</v>
      </c>
      <c r="I145" s="112">
        <f t="shared" si="23"/>
        <v>40</v>
      </c>
      <c r="J145" s="111">
        <f t="shared" si="24"/>
        <v>183</v>
      </c>
    </row>
    <row r="146" spans="2:16" ht="15" customHeight="1">
      <c r="B146" s="114">
        <v>2026</v>
      </c>
      <c r="C146" s="113">
        <f t="shared" si="22"/>
        <v>25</v>
      </c>
      <c r="D146" s="112">
        <f t="shared" si="23"/>
        <v>24</v>
      </c>
      <c r="E146" s="112">
        <f t="shared" si="23"/>
        <v>25</v>
      </c>
      <c r="F146" s="112">
        <f t="shared" si="23"/>
        <v>23</v>
      </c>
      <c r="G146" s="112">
        <f t="shared" si="23"/>
        <v>23</v>
      </c>
      <c r="H146" s="112">
        <f t="shared" si="23"/>
        <v>23</v>
      </c>
      <c r="I146" s="112">
        <f t="shared" si="23"/>
        <v>22</v>
      </c>
      <c r="J146" s="111">
        <f t="shared" si="24"/>
        <v>165</v>
      </c>
    </row>
    <row r="147" spans="2:16" ht="15" customHeight="1">
      <c r="B147" s="114">
        <v>2027</v>
      </c>
      <c r="C147" s="113">
        <f t="shared" si="22"/>
        <v>25</v>
      </c>
      <c r="D147" s="112">
        <f t="shared" si="23"/>
        <v>24</v>
      </c>
      <c r="E147" s="112">
        <f t="shared" si="23"/>
        <v>25</v>
      </c>
      <c r="F147" s="112">
        <f t="shared" si="23"/>
        <v>23</v>
      </c>
      <c r="G147" s="112">
        <f t="shared" si="23"/>
        <v>23</v>
      </c>
      <c r="H147" s="112">
        <f t="shared" si="23"/>
        <v>23</v>
      </c>
      <c r="I147" s="112">
        <f t="shared" si="23"/>
        <v>22</v>
      </c>
      <c r="J147" s="111">
        <f t="shared" si="24"/>
        <v>165</v>
      </c>
    </row>
    <row r="148" spans="2:16" ht="15" customHeight="1">
      <c r="B148" s="114">
        <v>2028</v>
      </c>
      <c r="C148" s="113">
        <f t="shared" si="22"/>
        <v>25</v>
      </c>
      <c r="D148" s="112">
        <f t="shared" si="23"/>
        <v>24</v>
      </c>
      <c r="E148" s="112">
        <f t="shared" si="23"/>
        <v>25</v>
      </c>
      <c r="F148" s="112">
        <f t="shared" si="23"/>
        <v>23</v>
      </c>
      <c r="G148" s="112">
        <f t="shared" si="23"/>
        <v>23</v>
      </c>
      <c r="H148" s="112">
        <f t="shared" si="23"/>
        <v>23</v>
      </c>
      <c r="I148" s="112">
        <f t="shared" si="23"/>
        <v>22</v>
      </c>
      <c r="J148" s="111">
        <f t="shared" ref="J148:J152" si="25">SUM(C148:I148)</f>
        <v>165</v>
      </c>
    </row>
    <row r="149" spans="2:16" ht="15" customHeight="1">
      <c r="B149" s="114">
        <v>2029</v>
      </c>
      <c r="C149" s="113">
        <f t="shared" si="22"/>
        <v>25</v>
      </c>
      <c r="D149" s="112">
        <f t="shared" si="23"/>
        <v>24</v>
      </c>
      <c r="E149" s="112">
        <f t="shared" si="23"/>
        <v>25</v>
      </c>
      <c r="F149" s="112">
        <f t="shared" si="23"/>
        <v>23</v>
      </c>
      <c r="G149" s="112">
        <f t="shared" si="23"/>
        <v>23</v>
      </c>
      <c r="H149" s="112">
        <f t="shared" si="23"/>
        <v>23</v>
      </c>
      <c r="I149" s="112">
        <f t="shared" si="23"/>
        <v>22</v>
      </c>
      <c r="J149" s="111">
        <f t="shared" si="25"/>
        <v>165</v>
      </c>
    </row>
    <row r="150" spans="2:16" ht="15" customHeight="1">
      <c r="B150" s="114">
        <v>2030</v>
      </c>
      <c r="C150" s="113">
        <f t="shared" si="22"/>
        <v>25</v>
      </c>
      <c r="D150" s="112">
        <f t="shared" si="23"/>
        <v>24</v>
      </c>
      <c r="E150" s="112">
        <f t="shared" si="23"/>
        <v>25</v>
      </c>
      <c r="F150" s="112">
        <f t="shared" si="23"/>
        <v>23</v>
      </c>
      <c r="G150" s="112">
        <f t="shared" si="23"/>
        <v>23</v>
      </c>
      <c r="H150" s="112">
        <f t="shared" si="23"/>
        <v>23</v>
      </c>
      <c r="I150" s="112">
        <f t="shared" si="23"/>
        <v>22</v>
      </c>
      <c r="J150" s="111">
        <f t="shared" si="25"/>
        <v>165</v>
      </c>
    </row>
    <row r="151" spans="2:16" ht="15" customHeight="1">
      <c r="B151" s="114">
        <v>2031</v>
      </c>
      <c r="C151" s="113">
        <f t="shared" si="22"/>
        <v>25</v>
      </c>
      <c r="D151" s="112">
        <f t="shared" si="23"/>
        <v>24</v>
      </c>
      <c r="E151" s="112">
        <f t="shared" si="23"/>
        <v>25</v>
      </c>
      <c r="F151" s="112">
        <f t="shared" si="23"/>
        <v>23</v>
      </c>
      <c r="G151" s="112">
        <f t="shared" si="23"/>
        <v>23</v>
      </c>
      <c r="H151" s="112">
        <f t="shared" si="23"/>
        <v>23</v>
      </c>
      <c r="I151" s="112">
        <f t="shared" si="23"/>
        <v>22</v>
      </c>
      <c r="J151" s="111">
        <f t="shared" si="25"/>
        <v>165</v>
      </c>
    </row>
    <row r="152" spans="2:16" ht="15" customHeight="1">
      <c r="B152" s="114">
        <v>2032</v>
      </c>
      <c r="C152" s="113">
        <f t="shared" si="22"/>
        <v>25</v>
      </c>
      <c r="D152" s="112">
        <f t="shared" si="23"/>
        <v>24</v>
      </c>
      <c r="E152" s="112">
        <f t="shared" si="23"/>
        <v>25</v>
      </c>
      <c r="F152" s="112">
        <f t="shared" si="23"/>
        <v>23</v>
      </c>
      <c r="G152" s="112">
        <f t="shared" si="23"/>
        <v>23</v>
      </c>
      <c r="H152" s="112">
        <f t="shared" si="23"/>
        <v>23</v>
      </c>
      <c r="I152" s="112">
        <f t="shared" si="23"/>
        <v>22</v>
      </c>
      <c r="J152" s="111">
        <f t="shared" si="25"/>
        <v>165</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260.0433749257279</v>
      </c>
      <c r="D159" s="108">
        <f>J140</f>
        <v>256</v>
      </c>
      <c r="E159" s="108">
        <f>J141</f>
        <v>246</v>
      </c>
      <c r="F159" s="108">
        <f>J142</f>
        <v>229</v>
      </c>
      <c r="G159" s="108">
        <f>J143</f>
        <v>207</v>
      </c>
      <c r="H159" s="108">
        <f>J144</f>
        <v>194</v>
      </c>
      <c r="I159" s="108">
        <f>J145</f>
        <v>183</v>
      </c>
      <c r="J159" s="108">
        <f>J146</f>
        <v>165</v>
      </c>
      <c r="K159" s="108">
        <f>J147</f>
        <v>165</v>
      </c>
      <c r="L159" s="108">
        <f>J148</f>
        <v>165</v>
      </c>
      <c r="M159" s="108">
        <f>J149</f>
        <v>165</v>
      </c>
      <c r="N159" s="108">
        <f>J150</f>
        <v>165</v>
      </c>
      <c r="O159" s="108">
        <f>J151</f>
        <v>165</v>
      </c>
      <c r="P159" s="108">
        <f>J152</f>
        <v>165</v>
      </c>
    </row>
    <row r="160" spans="2:16" ht="15" customHeight="1">
      <c r="B160" s="107" t="s">
        <v>152</v>
      </c>
      <c r="C160" s="106">
        <f>VLOOKUP(C159,Capacity!$A$1:$C$645,2,TRUE)</f>
        <v>11</v>
      </c>
      <c r="D160" s="106">
        <f>VLOOKUP(D159,Capacity!$A$1:$C$645,2,TRUE)</f>
        <v>10</v>
      </c>
      <c r="E160" s="106">
        <f>VLOOKUP(E159,Capacity!$A$1:$C$645,2,TRUE)</f>
        <v>10</v>
      </c>
      <c r="F160" s="106">
        <f>VLOOKUP(F159,Capacity!$A$1:$C$645,2,TRUE)</f>
        <v>9</v>
      </c>
      <c r="G160" s="106">
        <f>VLOOKUP(G159,Capacity!$A$1:$C$645,2,TRUE)</f>
        <v>7</v>
      </c>
      <c r="H160" s="106">
        <f>VLOOKUP(H159,Capacity!$A$1:$C$645,2,TRUE)</f>
        <v>7</v>
      </c>
      <c r="I160" s="106">
        <f>VLOOKUP(I159,Capacity!$A$1:$C$645,2,TRUE)</f>
        <v>7</v>
      </c>
      <c r="J160" s="106">
        <f>VLOOKUP(J159,Capacity!$A$1:$C$645,2,TRUE)</f>
        <v>7</v>
      </c>
      <c r="K160" s="106">
        <f>VLOOKUP(K159,Capacity!$A$1:$C$645,2,TRUE)</f>
        <v>7</v>
      </c>
      <c r="L160" s="106">
        <f>VLOOKUP(L159,Capacity!$A$1:$C$645,2,TRUE)</f>
        <v>7</v>
      </c>
      <c r="M160" s="106">
        <f>VLOOKUP(M159,Capacity!$A$1:$C$645,2,TRUE)</f>
        <v>7</v>
      </c>
      <c r="N160" s="106">
        <f>VLOOKUP(N159,Capacity!$A$1:$C$645,2,TRUE)</f>
        <v>7</v>
      </c>
      <c r="O160" s="106">
        <f>VLOOKUP(O159,Capacity!$A$1:$C$645,2,TRUE)</f>
        <v>7</v>
      </c>
      <c r="P160" s="106">
        <f>VLOOKUP(P159,Capacity!$A$1:$C$645,2,TRUE)</f>
        <v>7</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32</v>
      </c>
      <c r="D169" s="97">
        <f>VLOOKUP($E$3,'Catchment Births'!$A$1:$U$90,11,FALSE)</f>
        <v>31</v>
      </c>
      <c r="E169" s="97">
        <f>VLOOKUP($E$3,'Catchment Births'!$A$1:$U$90,12,FALSE)</f>
        <v>36</v>
      </c>
      <c r="F169" s="97">
        <f>VLOOKUP($E$3,'Catchment Births'!$A$1:$U$90,13,FALSE)</f>
        <v>47</v>
      </c>
      <c r="G169" s="97">
        <f>VLOOKUP($E$3,'Catchment Births'!$A$1:$U$90,14,FALSE)</f>
        <v>23</v>
      </c>
      <c r="H169" s="97">
        <f>VLOOKUP($E$3,'Catchment Births'!$A$1:$U$90,15,FALSE)</f>
        <v>50</v>
      </c>
      <c r="I169" s="97">
        <f>VLOOKUP($E$3,'Catchment Births'!$A$1:$U$90,16,FALSE)</f>
        <v>52</v>
      </c>
      <c r="J169" s="97">
        <f>VLOOKUP($E$3,'Catchment Births'!$A$1:$U$90,17,FALSE)</f>
        <v>54</v>
      </c>
      <c r="K169" s="97">
        <f>VLOOKUP($E$3,'Catchment Births'!$A$1:$U$90,18,FALSE)</f>
        <v>45</v>
      </c>
      <c r="L169" s="97">
        <f>VLOOKUP($E$3,'Catchment Births'!$A$1:$U$90,19,FALSE)</f>
        <v>40</v>
      </c>
      <c r="M169" s="97">
        <f>VLOOKUP($E$3,'Catchment Births'!$A$1:$U$90,20,FALSE)</f>
        <v>48</v>
      </c>
      <c r="N169" s="97">
        <f>VLOOKUP($E$3,'Catchment Births'!$A$1:$U$90,21,FALSE)</f>
        <v>28</v>
      </c>
    </row>
    <row r="170" spans="2:14" ht="58.5" customHeight="1">
      <c r="B170" s="103" t="str">
        <f>"P1 "&amp;A35&amp;" Catchment Population (Actual)"</f>
        <v>P1 ND Catchment Population (Actual)</v>
      </c>
      <c r="C170" s="102" t="e">
        <v>#REF!</v>
      </c>
      <c r="D170" s="102">
        <v>38</v>
      </c>
      <c r="E170" s="102">
        <v>42</v>
      </c>
      <c r="F170" s="102">
        <v>48</v>
      </c>
      <c r="G170" s="102">
        <v>32</v>
      </c>
      <c r="H170" s="102">
        <v>34</v>
      </c>
      <c r="I170" s="102">
        <v>37</v>
      </c>
      <c r="J170" s="308">
        <f>VLOOKUP(E3,'Catchment Projections'!A1:BU92,42,FALSE)</f>
        <v>51</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37</v>
      </c>
      <c r="J172" s="96" t="e">
        <f>#REF!</f>
        <v>#REF!</v>
      </c>
      <c r="K172" s="96">
        <f>D51</f>
        <v>37</v>
      </c>
      <c r="L172" s="96">
        <f>E51</f>
        <v>21</v>
      </c>
      <c r="M172" s="96">
        <f>F51</f>
        <v>24</v>
      </c>
      <c r="N172" s="96">
        <f>G51</f>
        <v>26</v>
      </c>
    </row>
    <row r="173" spans="2:14" ht="12.75">
      <c r="B173" s="62"/>
      <c r="C173" s="62"/>
      <c r="D173" s="62"/>
      <c r="E173" s="62"/>
      <c r="F173" s="62"/>
      <c r="G173" s="62"/>
      <c r="H173" s="62"/>
      <c r="I173" s="62"/>
      <c r="J173" s="62"/>
      <c r="K173" s="62"/>
    </row>
    <row r="174" spans="2:14" ht="15" customHeight="1">
      <c r="B174" s="64" t="str">
        <f>"Table 5: "&amp;E3&amp;" Roll by Stage, 2002-2018"</f>
        <v>Table 5: Longstone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26</v>
      </c>
      <c r="D177" s="93">
        <v>45</v>
      </c>
      <c r="E177" s="93">
        <v>21</v>
      </c>
      <c r="F177" s="93">
        <v>39</v>
      </c>
      <c r="G177" s="93">
        <v>32</v>
      </c>
      <c r="H177" s="93">
        <v>35</v>
      </c>
      <c r="I177" s="93">
        <v>46</v>
      </c>
      <c r="J177" s="92">
        <v>244</v>
      </c>
      <c r="K177" s="62"/>
    </row>
    <row r="178" spans="2:11" ht="15" customHeight="1">
      <c r="B178" s="94">
        <v>2003</v>
      </c>
      <c r="C178" s="93">
        <v>34</v>
      </c>
      <c r="D178" s="93">
        <v>26</v>
      </c>
      <c r="E178" s="93">
        <v>25</v>
      </c>
      <c r="F178" s="93">
        <v>42</v>
      </c>
      <c r="G178" s="93">
        <v>37</v>
      </c>
      <c r="H178" s="93">
        <v>33</v>
      </c>
      <c r="I178" s="93">
        <v>33</v>
      </c>
      <c r="J178" s="92">
        <v>230</v>
      </c>
      <c r="K178" s="62"/>
    </row>
    <row r="179" spans="2:11" customFormat="1" ht="15" customHeight="1">
      <c r="B179" s="94">
        <v>2004</v>
      </c>
      <c r="C179" s="95">
        <v>27</v>
      </c>
      <c r="D179" s="95">
        <v>28</v>
      </c>
      <c r="E179" s="95">
        <v>24</v>
      </c>
      <c r="F179" s="95">
        <v>24</v>
      </c>
      <c r="G179" s="95">
        <v>36</v>
      </c>
      <c r="H179" s="95">
        <v>34</v>
      </c>
      <c r="I179" s="95">
        <v>31</v>
      </c>
      <c r="J179" s="92">
        <v>204</v>
      </c>
      <c r="K179" s="62"/>
    </row>
    <row r="180" spans="2:11" customFormat="1" ht="15" customHeight="1">
      <c r="B180" s="94">
        <v>2005</v>
      </c>
      <c r="C180" s="93">
        <v>27</v>
      </c>
      <c r="D180" s="93">
        <v>27</v>
      </c>
      <c r="E180" s="93">
        <v>28</v>
      </c>
      <c r="F180" s="93">
        <v>25</v>
      </c>
      <c r="G180" s="93">
        <v>25</v>
      </c>
      <c r="H180" s="93">
        <v>36</v>
      </c>
      <c r="I180" s="93">
        <v>30</v>
      </c>
      <c r="J180" s="92">
        <v>198</v>
      </c>
      <c r="K180" s="62"/>
    </row>
    <row r="181" spans="2:11" customFormat="1" ht="15" customHeight="1">
      <c r="B181" s="94">
        <v>2006</v>
      </c>
      <c r="C181" s="93">
        <v>28</v>
      </c>
      <c r="D181" s="93">
        <v>25</v>
      </c>
      <c r="E181" s="93">
        <v>24</v>
      </c>
      <c r="F181" s="93">
        <v>29</v>
      </c>
      <c r="G181" s="93">
        <v>28</v>
      </c>
      <c r="H181" s="93">
        <v>25</v>
      </c>
      <c r="I181" s="93">
        <v>32</v>
      </c>
      <c r="J181" s="92">
        <v>191</v>
      </c>
      <c r="K181" s="62"/>
    </row>
    <row r="182" spans="2:11" customFormat="1" ht="15" customHeight="1">
      <c r="B182" s="94">
        <v>2007</v>
      </c>
      <c r="C182" s="93">
        <v>35</v>
      </c>
      <c r="D182" s="93">
        <v>27</v>
      </c>
      <c r="E182" s="93">
        <v>22</v>
      </c>
      <c r="F182" s="93">
        <v>24</v>
      </c>
      <c r="G182" s="93">
        <v>25</v>
      </c>
      <c r="H182" s="93">
        <v>26</v>
      </c>
      <c r="I182" s="93">
        <v>29</v>
      </c>
      <c r="J182" s="92">
        <v>188</v>
      </c>
      <c r="K182" s="62"/>
    </row>
    <row r="183" spans="2:11" customFormat="1" ht="15" customHeight="1">
      <c r="B183" s="94">
        <v>2008</v>
      </c>
      <c r="C183" s="93">
        <v>33</v>
      </c>
      <c r="D183" s="93">
        <v>38</v>
      </c>
      <c r="E183" s="93">
        <v>29</v>
      </c>
      <c r="F183" s="93">
        <v>24</v>
      </c>
      <c r="G183" s="93">
        <v>22</v>
      </c>
      <c r="H183" s="93">
        <v>25</v>
      </c>
      <c r="I183" s="93">
        <v>30</v>
      </c>
      <c r="J183" s="92">
        <v>201</v>
      </c>
      <c r="K183" s="62"/>
    </row>
    <row r="184" spans="2:11" customFormat="1" ht="15" customHeight="1">
      <c r="B184" s="94">
        <v>2009</v>
      </c>
      <c r="C184" s="93">
        <v>30</v>
      </c>
      <c r="D184" s="93">
        <v>34</v>
      </c>
      <c r="E184" s="93">
        <v>39</v>
      </c>
      <c r="F184" s="93">
        <v>28</v>
      </c>
      <c r="G184" s="93">
        <v>25</v>
      </c>
      <c r="H184" s="93">
        <v>25</v>
      </c>
      <c r="I184" s="93">
        <v>22</v>
      </c>
      <c r="J184" s="94">
        <v>203</v>
      </c>
      <c r="K184" s="62"/>
    </row>
    <row r="185" spans="2:11" customFormat="1" ht="15" customHeight="1">
      <c r="B185" s="94">
        <v>2010</v>
      </c>
      <c r="C185" s="93">
        <v>36</v>
      </c>
      <c r="D185" s="93">
        <v>28</v>
      </c>
      <c r="E185" s="93">
        <v>34</v>
      </c>
      <c r="F185" s="93">
        <v>37</v>
      </c>
      <c r="G185" s="93">
        <v>26</v>
      </c>
      <c r="H185" s="93">
        <v>25</v>
      </c>
      <c r="I185" s="93">
        <v>23</v>
      </c>
      <c r="J185" s="92">
        <v>209</v>
      </c>
      <c r="K185" s="62"/>
    </row>
    <row r="186" spans="2:11" customFormat="1" ht="15" customHeight="1">
      <c r="B186" s="94">
        <v>2011</v>
      </c>
      <c r="C186" s="93">
        <v>43</v>
      </c>
      <c r="D186" s="93">
        <v>31</v>
      </c>
      <c r="E186" s="93">
        <v>29</v>
      </c>
      <c r="F186" s="93">
        <v>32</v>
      </c>
      <c r="G186" s="93">
        <v>37</v>
      </c>
      <c r="H186" s="93">
        <v>24</v>
      </c>
      <c r="I186" s="93">
        <v>26</v>
      </c>
      <c r="J186" s="92">
        <v>222</v>
      </c>
      <c r="K186" s="62"/>
    </row>
    <row r="187" spans="2:11" customFormat="1" ht="15" customHeight="1">
      <c r="B187" s="94">
        <v>2012</v>
      </c>
      <c r="C187" s="93">
        <v>50</v>
      </c>
      <c r="D187" s="93">
        <v>45</v>
      </c>
      <c r="E187" s="93">
        <v>30</v>
      </c>
      <c r="F187" s="93">
        <v>30</v>
      </c>
      <c r="G187" s="93">
        <v>31</v>
      </c>
      <c r="H187" s="93">
        <v>31</v>
      </c>
      <c r="I187" s="93">
        <v>25</v>
      </c>
      <c r="J187" s="92">
        <v>242</v>
      </c>
      <c r="K187" s="62"/>
    </row>
    <row r="188" spans="2:11" customFormat="1" ht="15" customHeight="1">
      <c r="B188" s="94">
        <v>2013</v>
      </c>
      <c r="C188" s="93">
        <v>30</v>
      </c>
      <c r="D188" s="93">
        <v>54</v>
      </c>
      <c r="E188" s="93">
        <v>43</v>
      </c>
      <c r="F188" s="93">
        <v>27</v>
      </c>
      <c r="G188" s="93">
        <v>29</v>
      </c>
      <c r="H188" s="93">
        <v>33</v>
      </c>
      <c r="I188" s="93">
        <v>31</v>
      </c>
      <c r="J188" s="94">
        <v>247</v>
      </c>
      <c r="K188" s="62"/>
    </row>
    <row r="189" spans="2:11" customFormat="1" ht="15" customHeight="1">
      <c r="B189" s="94">
        <v>2014</v>
      </c>
      <c r="C189" s="93">
        <v>41</v>
      </c>
      <c r="D189" s="93">
        <v>28</v>
      </c>
      <c r="E189" s="93">
        <v>56</v>
      </c>
      <c r="F189" s="93">
        <v>40</v>
      </c>
      <c r="G189" s="93">
        <v>28</v>
      </c>
      <c r="H189" s="93">
        <v>32</v>
      </c>
      <c r="I189" s="93">
        <v>32</v>
      </c>
      <c r="J189" s="92">
        <v>257</v>
      </c>
      <c r="K189" s="65"/>
    </row>
    <row r="190" spans="2:11" customFormat="1" ht="15" customHeight="1">
      <c r="B190" s="94">
        <v>2015</v>
      </c>
      <c r="C190" s="93">
        <v>36</v>
      </c>
      <c r="D190" s="93">
        <v>42</v>
      </c>
      <c r="E190" s="93">
        <v>29</v>
      </c>
      <c r="F190" s="93">
        <v>50</v>
      </c>
      <c r="G190" s="93">
        <v>41</v>
      </c>
      <c r="H190" s="93">
        <v>24</v>
      </c>
      <c r="I190" s="93">
        <v>28</v>
      </c>
      <c r="J190" s="92">
        <v>250</v>
      </c>
      <c r="K190" s="65"/>
    </row>
    <row r="191" spans="2:11" customFormat="1" ht="15" customHeight="1">
      <c r="B191" s="94">
        <v>2016</v>
      </c>
      <c r="C191" s="93">
        <v>48</v>
      </c>
      <c r="D191" s="93">
        <v>38</v>
      </c>
      <c r="E191" s="93">
        <v>38</v>
      </c>
      <c r="F191" s="93">
        <v>27</v>
      </c>
      <c r="G191" s="93">
        <v>51</v>
      </c>
      <c r="H191" s="93">
        <v>39</v>
      </c>
      <c r="I191" s="93">
        <v>25</v>
      </c>
      <c r="J191" s="92">
        <v>266</v>
      </c>
      <c r="K191" s="65"/>
    </row>
    <row r="192" spans="2:11" ht="15" customHeight="1">
      <c r="B192" s="94">
        <v>2017</v>
      </c>
      <c r="C192" s="93">
        <f>VLOOKUP($E$3,Rolls!A1:FA90,42,FALSE)</f>
        <v>38</v>
      </c>
      <c r="D192" s="93">
        <f>VLOOKUP($E$3,Rolls!A1:FA90,43,FALSE)</f>
        <v>45</v>
      </c>
      <c r="E192" s="93">
        <f>VLOOKUP($E$3,Rolls!A1:FA90,44,FALSE)</f>
        <v>40</v>
      </c>
      <c r="F192" s="93">
        <f>VLOOKUP($E$3,Rolls!A1:FA90,45,FALSE)</f>
        <v>36</v>
      </c>
      <c r="G192" s="93">
        <f>VLOOKUP($E$3,Rolls!A1:FA90,46,FALSE)</f>
        <v>27</v>
      </c>
      <c r="H192" s="93">
        <f>VLOOKUP($E$3,Rolls!A1:FA90,47,FALSE)</f>
        <v>51</v>
      </c>
      <c r="I192" s="93">
        <f>VLOOKUP($E$3,Rolls!A1:FA90,48,FALSE)</f>
        <v>38</v>
      </c>
      <c r="J192" s="92">
        <f>VLOOKUP($E$3,Rolls!A1:FA90,49,FALSE)</f>
        <v>275</v>
      </c>
      <c r="K192" s="65"/>
    </row>
    <row r="193" spans="2:11" ht="15" customHeight="1">
      <c r="B193" s="94">
        <v>2018</v>
      </c>
      <c r="C193" s="93">
        <f>VLOOKUP($E$3,Rolls!A1:FA90,50,FALSE)</f>
        <v>35</v>
      </c>
      <c r="D193" s="93">
        <f>VLOOKUP($E$3,Rolls!A1:FA90,51,FALSE)</f>
        <v>37</v>
      </c>
      <c r="E193" s="93">
        <f>VLOOKUP($E$3,Rolls!A1:FA90,52,FALSE)</f>
        <v>48</v>
      </c>
      <c r="F193" s="93">
        <f>VLOOKUP($E$3,Rolls!A1:FA90,53,FALSE)</f>
        <v>39</v>
      </c>
      <c r="G193" s="93">
        <f>VLOOKUP($E$3,Rolls!A1:FA90,54,FALSE)</f>
        <v>35</v>
      </c>
      <c r="H193" s="93">
        <f>VLOOKUP($E$3,Rolls!A1:FA90,55,FALSE)</f>
        <v>27</v>
      </c>
      <c r="I193" s="93">
        <f>VLOOKUP($E$3,Rolls!A1:FA90,56,FALSE)</f>
        <v>49</v>
      </c>
      <c r="J193" s="92">
        <f>VLOOKUP($E$3,Rolls!A1:FA90,57,FALSE)</f>
        <v>270</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48</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Lorne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259 Pupils (10 classes)</v>
      </c>
      <c r="G12" s="16"/>
      <c r="H12" s="16"/>
    </row>
    <row r="13" spans="2:10" ht="15" customHeight="1">
      <c r="C13" s="16"/>
      <c r="D13" s="16"/>
      <c r="E13" s="16"/>
      <c r="F13" s="16"/>
      <c r="G13" s="16"/>
      <c r="H13" s="16"/>
    </row>
    <row r="14" spans="2:10" ht="15" customHeight="1">
      <c r="B14" s="15" t="str">
        <f>"Figure 1: "&amp;E3&amp;" Roll, 2002-2015"</f>
        <v>Figure 1: Lorne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Lorne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36</v>
      </c>
      <c r="E49" s="108">
        <f>VLOOKUP($E$3,'Catchment Projections'!$A$1:$BU$90,46,FALSE)</f>
        <v>28</v>
      </c>
      <c r="F49" s="108">
        <f>VLOOKUP($E$3,'Catchment Projections'!$A$1:$BU$90,47,FALSE)</f>
        <v>28</v>
      </c>
      <c r="G49" s="108">
        <f>VLOOKUP($E$3,'Catchment Projections'!$A$1:$BU$90,48,FALSE)</f>
        <v>24</v>
      </c>
      <c r="H49" s="133">
        <f>VLOOKUP($E$3,'Catchment Projections'!$A$1:$BU$90,49,FALSE)</f>
        <v>27</v>
      </c>
      <c r="I49" s="133">
        <f>VLOOKUP($E$3,'Catchment Projections'!$A$1:$BU$90,50,FALSE)</f>
        <v>28</v>
      </c>
      <c r="J49" s="133">
        <f>VLOOKUP($E$3,'Catchment Projections'!$A$1:$BU$90,51,FALSE)</f>
        <v>28</v>
      </c>
      <c r="K49" s="133">
        <f>VLOOKUP($E$3,'Catchment Projections'!$A$1:$BU$90,52,FALSE)</f>
        <v>28</v>
      </c>
      <c r="L49" s="133">
        <f>VLOOKUP($E$3,'Catchment Projections'!$A$1:$BU$90,53,FALSE)</f>
        <v>28</v>
      </c>
      <c r="M49" s="133">
        <f>VLOOKUP($E$3,'Catchment Projections'!$A$1:$BU$90,54,FALSE)</f>
        <v>28</v>
      </c>
      <c r="N49" s="133">
        <f>VLOOKUP($E$3,'Catchment Projections'!$A$1:$BU$90,55,FALSE)</f>
        <v>28</v>
      </c>
      <c r="O49" s="133">
        <f>VLOOKUP($E$3,'Catchment Projections'!$A$1:$BU$90,56,FALSE)</f>
        <v>28</v>
      </c>
      <c r="P49" s="133">
        <f>VLOOKUP($E$3,'Catchment Projections'!$A$1:$BU$90,57,FALSE)</f>
        <v>28</v>
      </c>
      <c r="Q49" s="133">
        <f>VLOOKUP($E$3,'Catchment Projections'!$A$1:$BU$90,58,FALSE)</f>
        <v>28</v>
      </c>
    </row>
    <row r="50" spans="2:17" ht="15" customHeight="1" thickBot="1">
      <c r="B50" s="410" t="s">
        <v>141</v>
      </c>
      <c r="C50" s="411"/>
      <c r="D50" s="286">
        <f>VLOOKUP(E3,'Housing Generation'!$A$3:$DQ$90,10,FALSE)</f>
        <v>0</v>
      </c>
      <c r="E50" s="286">
        <f>VLOOKUP(E3,'Housing Generation'!$A$3:$DQ$90,18,FALSE)</f>
        <v>0</v>
      </c>
      <c r="F50" s="286">
        <f>VLOOKUP(E3,'Housing Generation'!$A$3:$DQ$90,26,FALSE)</f>
        <v>0</v>
      </c>
      <c r="G50" s="243">
        <f>VLOOKUP(E3,'Housing Generation'!$A$3:$DQ$90,34,FALSE)</f>
        <v>0</v>
      </c>
      <c r="H50" s="133">
        <f>VLOOKUP(E3,'Housing Generation'!$A$3:$DQ$90,42,FALSE)</f>
        <v>0</v>
      </c>
      <c r="I50" s="133">
        <f>VLOOKUP(E3,'Housing Generation'!$A$3:$DQ$90,50,FALSE)</f>
        <v>0</v>
      </c>
      <c r="J50" s="133">
        <f>VLOOKUP(E3,'Housing Generation'!$A$3:$CK$90,58,FALSE)</f>
        <v>0</v>
      </c>
      <c r="K50" s="133">
        <f>VLOOKUP(E3,'Housing Generation'!$A$3:$CK$90,66,FALSE)</f>
        <v>0</v>
      </c>
      <c r="L50" s="133">
        <f>VLOOKUP(E3,'Housing Generation'!$A$3:$DQ$90,74,FALSE)</f>
        <v>0</v>
      </c>
      <c r="M50" s="133">
        <f>VLOOKUP(E3,'Housing Generation'!$A$3:$DQ$90,82,FALSE)</f>
        <v>0</v>
      </c>
      <c r="N50" s="133">
        <f>VLOOKUP(E3,'Housing Generation'!$A$3:$DQ$90,90,FALSE)</f>
        <v>0</v>
      </c>
      <c r="O50" s="133">
        <f>VLOOKUP(E3,'Housing Generation'!$A$3:$DQ$90,98,FALSE)</f>
        <v>0</v>
      </c>
      <c r="P50" s="133">
        <f>VLOOKUP(E3,'Housing Generation'!$A$3:$DQ$90,106,FALSE)</f>
        <v>0</v>
      </c>
      <c r="Q50" s="133">
        <f>VLOOKUP(E3,'Housing Generation'!$A$3:$DQ$90,114,FALSE)</f>
        <v>0</v>
      </c>
    </row>
    <row r="51" spans="2:17" ht="15" customHeight="1" thickTop="1">
      <c r="B51" s="421" t="s">
        <v>130</v>
      </c>
      <c r="C51" s="422"/>
      <c r="D51" s="47">
        <f t="shared" ref="D51:Q51" si="0">SUM(D49:D50)</f>
        <v>36</v>
      </c>
      <c r="E51" s="47">
        <f t="shared" si="0"/>
        <v>28</v>
      </c>
      <c r="F51" s="80">
        <f t="shared" si="0"/>
        <v>28</v>
      </c>
      <c r="G51" s="244">
        <f t="shared" si="0"/>
        <v>24</v>
      </c>
      <c r="H51" s="71">
        <f t="shared" si="0"/>
        <v>27</v>
      </c>
      <c r="I51" s="71">
        <f t="shared" si="0"/>
        <v>28</v>
      </c>
      <c r="J51" s="71">
        <f t="shared" si="0"/>
        <v>28</v>
      </c>
      <c r="K51" s="71">
        <f t="shared" si="0"/>
        <v>28</v>
      </c>
      <c r="L51" s="71">
        <f t="shared" si="0"/>
        <v>28</v>
      </c>
      <c r="M51" s="71">
        <f t="shared" si="0"/>
        <v>28</v>
      </c>
      <c r="N51" s="71">
        <f t="shared" si="0"/>
        <v>28</v>
      </c>
      <c r="O51" s="71">
        <f t="shared" si="0"/>
        <v>28</v>
      </c>
      <c r="P51" s="71">
        <f t="shared" si="0"/>
        <v>28</v>
      </c>
      <c r="Q51" s="71">
        <f t="shared" si="0"/>
        <v>28</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30</v>
      </c>
      <c r="D60" s="358">
        <f>VLOOKUP($E$3,'Catchment Projections'!$A$1:$BZ$90,74,FALSE)</f>
        <v>20</v>
      </c>
      <c r="E60" s="303">
        <f>D60/C60</f>
        <v>0.66666666666666663</v>
      </c>
      <c r="G60" s="132">
        <v>2014</v>
      </c>
      <c r="H60" s="395">
        <f>VLOOKUP($G$60,$B$177:$C$215, 2, FALSE)</f>
        <v>29</v>
      </c>
      <c r="I60" s="120">
        <f>H60-D60</f>
        <v>9</v>
      </c>
      <c r="J60" s="121">
        <f>I60/H60</f>
        <v>0.31034482758620691</v>
      </c>
    </row>
    <row r="61" spans="2:17" ht="15" customHeight="1">
      <c r="B61" s="132">
        <v>2015</v>
      </c>
      <c r="C61" s="359">
        <f>VLOOKUP($E$3,'Catchment Projections'!$A$1:$BZ$90,41,FALSE)</f>
        <v>31</v>
      </c>
      <c r="D61" s="358">
        <f>VLOOKUP($E$3,'Catchment Projections'!$A$1:$BZ$90,75,FALSE)</f>
        <v>26</v>
      </c>
      <c r="E61" s="303">
        <f>D61/C61</f>
        <v>0.83870967741935487</v>
      </c>
      <c r="G61" s="132">
        <v>2015</v>
      </c>
      <c r="H61" s="395">
        <f>VLOOKUP($G$61,$B$177:$C$215, 2, FALSE)</f>
        <v>40</v>
      </c>
      <c r="I61" s="120">
        <f>H61-D61</f>
        <v>14</v>
      </c>
      <c r="J61" s="121">
        <f>I61/H61</f>
        <v>0.35</v>
      </c>
    </row>
    <row r="62" spans="2:17" ht="15" customHeight="1">
      <c r="B62" s="131">
        <v>2016</v>
      </c>
      <c r="C62" s="359">
        <f>VLOOKUP($E$3,'Catchment Projections'!$A$1:$BZ$90,42,FALSE)</f>
        <v>27</v>
      </c>
      <c r="D62" s="358">
        <f>VLOOKUP($E$3,'Catchment Projections'!$A$1:$BZ$90,76,FALSE)</f>
        <v>21</v>
      </c>
      <c r="E62" s="57">
        <f>D62/C62</f>
        <v>0.77777777777777779</v>
      </c>
      <c r="G62" s="131">
        <v>2016</v>
      </c>
      <c r="H62" s="395">
        <f>VLOOKUP($G$62,$B$177:$C$215, 2, FALSE)</f>
        <v>36</v>
      </c>
      <c r="I62" s="120">
        <f>H62-D62</f>
        <v>15</v>
      </c>
      <c r="J62" s="121">
        <f>I62/H62</f>
        <v>0.41666666666666669</v>
      </c>
    </row>
    <row r="63" spans="2:17" ht="15" customHeight="1">
      <c r="B63" s="114">
        <v>2017</v>
      </c>
      <c r="C63" s="359">
        <f>VLOOKUP($E$3,'Catchment Projections'!$A$1:$BZ$90,43,FALSE)</f>
        <v>32</v>
      </c>
      <c r="D63" s="358">
        <f>VLOOKUP($E$3,'Catchment Projections'!$A$1:$BZ$90,77,FALSE)</f>
        <v>22</v>
      </c>
      <c r="E63" s="304">
        <f>D63/C63</f>
        <v>0.6875</v>
      </c>
      <c r="G63" s="114">
        <v>2017</v>
      </c>
      <c r="H63" s="395">
        <f>VLOOKUP($G$63,$B$177:$C$215, 2, FALSE)</f>
        <v>33</v>
      </c>
      <c r="I63" s="120">
        <f>H63-D63</f>
        <v>11</v>
      </c>
      <c r="J63" s="121">
        <f>I63/H63</f>
        <v>0.33333333333333331</v>
      </c>
    </row>
    <row r="64" spans="2:17" ht="15" customHeight="1">
      <c r="B64" s="114">
        <v>2018</v>
      </c>
      <c r="C64" s="359">
        <f>VLOOKUP($E$3,'Catchment Projections'!$A$1:$BZ$90,44,FALSE)</f>
        <v>33</v>
      </c>
      <c r="D64" s="358">
        <f>VLOOKUP($E$3,'Catchment Projections'!$A$1:$BZ$90,78,FALSE)</f>
        <v>26</v>
      </c>
      <c r="E64" s="305">
        <f>D64/C64</f>
        <v>0.78787878787878785</v>
      </c>
      <c r="G64" s="114">
        <v>2018</v>
      </c>
      <c r="H64" s="395">
        <f>VLOOKUP($G$64,$B$177:$C$215, 2, FALSE)</f>
        <v>44</v>
      </c>
      <c r="I64" s="120">
        <f>H64-D64</f>
        <v>18</v>
      </c>
      <c r="J64" s="121">
        <f>I64/H64</f>
        <v>0.40909090909090912</v>
      </c>
    </row>
    <row r="65" spans="2:10" ht="15" customHeight="1">
      <c r="B65" s="412" t="s">
        <v>136</v>
      </c>
      <c r="C65" s="413"/>
      <c r="D65" s="414"/>
      <c r="E65" s="137">
        <f>IF((AVERAGE(E62:E64))="#DIV/0!","n/a",(AVERAGE(E62:E64)))</f>
        <v>0.75105218855218858</v>
      </c>
      <c r="G65" s="415" t="s">
        <v>137</v>
      </c>
      <c r="H65" s="416"/>
      <c r="I65" s="138">
        <f>MEDIAN(I60:I64)</f>
        <v>14</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36</v>
      </c>
      <c r="D70" s="408"/>
      <c r="E70" s="122">
        <f>E65</f>
        <v>0.75105218855218858</v>
      </c>
      <c r="F70" s="120">
        <f t="shared" ref="F70:F83" si="1">C70*$E$65</f>
        <v>27.037878787878789</v>
      </c>
      <c r="G70" s="118">
        <f>IF(F70&lt;26,25,IF(F70&gt;135,140,IF(F70&gt;130,135,IF(F70&gt;125,130,IF(F70&gt;120,125,IF(F70&gt;115,120,IF(F70&gt;110,115,IF(F70&gt;105,110,IF(F70&gt;100,105,IF(F70&gt;99,100,IF(F70&gt;90,99,IF(F70&gt;75,90,IF(F70&gt;72,75,IF(F70&gt;66,72,IF(F70&gt;60,66,IF(F70&gt;50,60,IF(F70&gt;30,50,IF(F70&gt;25,30,0))))))))))))))))))</f>
        <v>30</v>
      </c>
      <c r="H70" s="119">
        <f t="shared" ref="H70:H83" si="2">G70-F70</f>
        <v>2.962121212121211</v>
      </c>
      <c r="I70" s="118" t="str">
        <f>IF(I$65&lt;H70, "NO", "YES")</f>
        <v>YES</v>
      </c>
      <c r="J70" s="117">
        <f t="shared" ref="J70:J83" si="3">IF(I70="YES",G70,(MIN((SUM(F70,$I$65)),G70)))</f>
        <v>30</v>
      </c>
    </row>
    <row r="71" spans="2:10" ht="15" customHeight="1">
      <c r="B71" s="114">
        <v>2020</v>
      </c>
      <c r="C71" s="433">
        <f>E51</f>
        <v>28</v>
      </c>
      <c r="D71" s="408"/>
      <c r="E71" s="121">
        <f>E65</f>
        <v>0.75105218855218858</v>
      </c>
      <c r="F71" s="120">
        <f t="shared" si="1"/>
        <v>21.02946127946128</v>
      </c>
      <c r="G71" s="118">
        <f t="shared" ref="G71:G83" si="4">IF(F71&lt;26,25,IF(F71&gt;135,140,IF(F71&gt;130,135,IF(F71&gt;125,130,IF(F71&gt;120,125,IF(F71&gt;115,120,IF(F71&gt;110,115,IF(F71&gt;105,110,IF(F71&gt;100,105,IF(F71&gt;99,100,IF(F71&gt;90,99,IF(F71&gt;75,90,IF(F71&gt;72,75,IF(F71&gt;66,72,IF(F71&gt;60,66,IF(F71&gt;50,60,IF(F71&gt;30,50,IF(F71&gt;25,30,0))))))))))))))))))</f>
        <v>25</v>
      </c>
      <c r="H71" s="119">
        <f t="shared" si="2"/>
        <v>3.9705387205387197</v>
      </c>
      <c r="I71" s="118" t="str">
        <f t="shared" ref="I71:I83" si="5">IF(I$65&lt;H71, "NO", "YES")</f>
        <v>YES</v>
      </c>
      <c r="J71" s="117">
        <f t="shared" si="3"/>
        <v>25</v>
      </c>
    </row>
    <row r="72" spans="2:10" ht="15" customHeight="1">
      <c r="B72" s="114">
        <v>2021</v>
      </c>
      <c r="C72" s="430">
        <f>F51</f>
        <v>28</v>
      </c>
      <c r="D72" s="431"/>
      <c r="E72" s="121">
        <f>E65</f>
        <v>0.75105218855218858</v>
      </c>
      <c r="F72" s="120">
        <f t="shared" si="1"/>
        <v>21.02946127946128</v>
      </c>
      <c r="G72" s="118">
        <f t="shared" si="4"/>
        <v>25</v>
      </c>
      <c r="H72" s="119">
        <f t="shared" si="2"/>
        <v>3.9705387205387197</v>
      </c>
      <c r="I72" s="118" t="str">
        <f t="shared" si="5"/>
        <v>YES</v>
      </c>
      <c r="J72" s="117">
        <f t="shared" si="3"/>
        <v>25</v>
      </c>
    </row>
    <row r="73" spans="2:10" ht="15" customHeight="1">
      <c r="B73" s="114">
        <v>2022</v>
      </c>
      <c r="C73" s="430">
        <f>G51</f>
        <v>24</v>
      </c>
      <c r="D73" s="431"/>
      <c r="E73" s="121">
        <f>E65</f>
        <v>0.75105218855218858</v>
      </c>
      <c r="F73" s="120">
        <f t="shared" si="1"/>
        <v>18.025252525252526</v>
      </c>
      <c r="G73" s="118">
        <f t="shared" si="4"/>
        <v>25</v>
      </c>
      <c r="H73" s="119">
        <f t="shared" si="2"/>
        <v>6.974747474747474</v>
      </c>
      <c r="I73" s="118" t="str">
        <f t="shared" si="5"/>
        <v>YES</v>
      </c>
      <c r="J73" s="117">
        <f t="shared" si="3"/>
        <v>25</v>
      </c>
    </row>
    <row r="74" spans="2:10" ht="15" customHeight="1">
      <c r="B74" s="114">
        <v>2023</v>
      </c>
      <c r="C74" s="430">
        <f>H51</f>
        <v>27</v>
      </c>
      <c r="D74" s="431"/>
      <c r="E74" s="121">
        <f>E65</f>
        <v>0.75105218855218858</v>
      </c>
      <c r="F74" s="120">
        <f t="shared" si="1"/>
        <v>20.278409090909093</v>
      </c>
      <c r="G74" s="118">
        <f t="shared" si="4"/>
        <v>25</v>
      </c>
      <c r="H74" s="119">
        <f t="shared" si="2"/>
        <v>4.7215909090909065</v>
      </c>
      <c r="I74" s="118" t="str">
        <f t="shared" si="5"/>
        <v>YES</v>
      </c>
      <c r="J74" s="117">
        <f t="shared" si="3"/>
        <v>25</v>
      </c>
    </row>
    <row r="75" spans="2:10" ht="15" customHeight="1">
      <c r="B75" s="114">
        <v>2024</v>
      </c>
      <c r="C75" s="430">
        <f>I51</f>
        <v>28</v>
      </c>
      <c r="D75" s="431"/>
      <c r="E75" s="121">
        <f>E65</f>
        <v>0.75105218855218858</v>
      </c>
      <c r="F75" s="120">
        <f t="shared" si="1"/>
        <v>21.02946127946128</v>
      </c>
      <c r="G75" s="118">
        <f t="shared" si="4"/>
        <v>25</v>
      </c>
      <c r="H75" s="119">
        <f t="shared" si="2"/>
        <v>3.9705387205387197</v>
      </c>
      <c r="I75" s="118" t="str">
        <f t="shared" si="5"/>
        <v>YES</v>
      </c>
      <c r="J75" s="117">
        <f t="shared" si="3"/>
        <v>25</v>
      </c>
    </row>
    <row r="76" spans="2:10" ht="15" customHeight="1">
      <c r="B76" s="114">
        <v>2025</v>
      </c>
      <c r="C76" s="430">
        <f>J51</f>
        <v>28</v>
      </c>
      <c r="D76" s="431"/>
      <c r="E76" s="121">
        <f>E65</f>
        <v>0.75105218855218858</v>
      </c>
      <c r="F76" s="120">
        <f t="shared" si="1"/>
        <v>21.02946127946128</v>
      </c>
      <c r="G76" s="118">
        <f t="shared" si="4"/>
        <v>25</v>
      </c>
      <c r="H76" s="119">
        <f t="shared" si="2"/>
        <v>3.9705387205387197</v>
      </c>
      <c r="I76" s="118" t="str">
        <f t="shared" si="5"/>
        <v>YES</v>
      </c>
      <c r="J76" s="117">
        <f t="shared" si="3"/>
        <v>25</v>
      </c>
    </row>
    <row r="77" spans="2:10" ht="15" customHeight="1">
      <c r="B77" s="114">
        <v>2026</v>
      </c>
      <c r="C77" s="430">
        <f>K51</f>
        <v>28</v>
      </c>
      <c r="D77" s="431"/>
      <c r="E77" s="121">
        <f>E65</f>
        <v>0.75105218855218858</v>
      </c>
      <c r="F77" s="120">
        <f t="shared" si="1"/>
        <v>21.02946127946128</v>
      </c>
      <c r="G77" s="118">
        <f t="shared" si="4"/>
        <v>25</v>
      </c>
      <c r="H77" s="119">
        <f t="shared" si="2"/>
        <v>3.9705387205387197</v>
      </c>
      <c r="I77" s="118" t="str">
        <f t="shared" si="5"/>
        <v>YES</v>
      </c>
      <c r="J77" s="117">
        <f t="shared" si="3"/>
        <v>25</v>
      </c>
    </row>
    <row r="78" spans="2:10" ht="15" customHeight="1">
      <c r="B78" s="114">
        <v>2027</v>
      </c>
      <c r="C78" s="430">
        <f>L51</f>
        <v>28</v>
      </c>
      <c r="D78" s="431"/>
      <c r="E78" s="121">
        <f>E65</f>
        <v>0.75105218855218858</v>
      </c>
      <c r="F78" s="120">
        <f t="shared" si="1"/>
        <v>21.02946127946128</v>
      </c>
      <c r="G78" s="118">
        <f t="shared" si="4"/>
        <v>25</v>
      </c>
      <c r="H78" s="119">
        <f t="shared" si="2"/>
        <v>3.9705387205387197</v>
      </c>
      <c r="I78" s="118" t="str">
        <f t="shared" si="5"/>
        <v>YES</v>
      </c>
      <c r="J78" s="117">
        <f t="shared" si="3"/>
        <v>25</v>
      </c>
    </row>
    <row r="79" spans="2:10" ht="15" customHeight="1">
      <c r="B79" s="114">
        <v>2028</v>
      </c>
      <c r="C79" s="430">
        <f>M51</f>
        <v>28</v>
      </c>
      <c r="D79" s="431"/>
      <c r="E79" s="121">
        <f t="shared" ref="E79:E83" si="6">$E$65</f>
        <v>0.75105218855218858</v>
      </c>
      <c r="F79" s="120">
        <f t="shared" si="1"/>
        <v>21.02946127946128</v>
      </c>
      <c r="G79" s="118">
        <f t="shared" si="4"/>
        <v>25</v>
      </c>
      <c r="H79" s="119">
        <f t="shared" si="2"/>
        <v>3.9705387205387197</v>
      </c>
      <c r="I79" s="118" t="str">
        <f t="shared" si="5"/>
        <v>YES</v>
      </c>
      <c r="J79" s="117">
        <f t="shared" si="3"/>
        <v>25</v>
      </c>
    </row>
    <row r="80" spans="2:10" ht="15" customHeight="1">
      <c r="B80" s="114">
        <v>2029</v>
      </c>
      <c r="C80" s="430">
        <f>N51</f>
        <v>28</v>
      </c>
      <c r="D80" s="431"/>
      <c r="E80" s="121">
        <f t="shared" si="6"/>
        <v>0.75105218855218858</v>
      </c>
      <c r="F80" s="120">
        <f t="shared" si="1"/>
        <v>21.02946127946128</v>
      </c>
      <c r="G80" s="118">
        <f t="shared" si="4"/>
        <v>25</v>
      </c>
      <c r="H80" s="119">
        <f t="shared" si="2"/>
        <v>3.9705387205387197</v>
      </c>
      <c r="I80" s="118" t="str">
        <f t="shared" si="5"/>
        <v>YES</v>
      </c>
      <c r="J80" s="117">
        <f t="shared" si="3"/>
        <v>25</v>
      </c>
    </row>
    <row r="81" spans="2:10" ht="15" customHeight="1">
      <c r="B81" s="114">
        <v>2030</v>
      </c>
      <c r="C81" s="430">
        <f>O51</f>
        <v>28</v>
      </c>
      <c r="D81" s="431"/>
      <c r="E81" s="121">
        <f t="shared" si="6"/>
        <v>0.75105218855218858</v>
      </c>
      <c r="F81" s="120">
        <f t="shared" si="1"/>
        <v>21.02946127946128</v>
      </c>
      <c r="G81" s="118">
        <f t="shared" si="4"/>
        <v>25</v>
      </c>
      <c r="H81" s="119">
        <f t="shared" si="2"/>
        <v>3.9705387205387197</v>
      </c>
      <c r="I81" s="118" t="str">
        <f t="shared" si="5"/>
        <v>YES</v>
      </c>
      <c r="J81" s="117">
        <f t="shared" si="3"/>
        <v>25</v>
      </c>
    </row>
    <row r="82" spans="2:10" ht="15" customHeight="1">
      <c r="B82" s="114">
        <v>2031</v>
      </c>
      <c r="C82" s="430">
        <f>P51</f>
        <v>28</v>
      </c>
      <c r="D82" s="431"/>
      <c r="E82" s="121">
        <f t="shared" si="6"/>
        <v>0.75105218855218858</v>
      </c>
      <c r="F82" s="120">
        <f t="shared" si="1"/>
        <v>21.02946127946128</v>
      </c>
      <c r="G82" s="118">
        <f t="shared" si="4"/>
        <v>25</v>
      </c>
      <c r="H82" s="119">
        <f t="shared" si="2"/>
        <v>3.9705387205387197</v>
      </c>
      <c r="I82" s="118" t="str">
        <f t="shared" si="5"/>
        <v>YES</v>
      </c>
      <c r="J82" s="117">
        <f t="shared" si="3"/>
        <v>25</v>
      </c>
    </row>
    <row r="83" spans="2:10" ht="15" customHeight="1">
      <c r="B83" s="114">
        <v>2032</v>
      </c>
      <c r="C83" s="430">
        <f>Q51</f>
        <v>28</v>
      </c>
      <c r="D83" s="431"/>
      <c r="E83" s="121">
        <f t="shared" si="6"/>
        <v>0.75105218855218858</v>
      </c>
      <c r="F83" s="120">
        <f t="shared" si="1"/>
        <v>21.02946127946128</v>
      </c>
      <c r="G83" s="118">
        <f t="shared" si="4"/>
        <v>25</v>
      </c>
      <c r="H83" s="119">
        <f t="shared" si="2"/>
        <v>3.9705387205387197</v>
      </c>
      <c r="I83" s="118" t="str">
        <f t="shared" si="5"/>
        <v>YES</v>
      </c>
      <c r="J83" s="117">
        <f t="shared" si="3"/>
        <v>25</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Lorne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45</v>
      </c>
      <c r="D91" s="112">
        <f t="shared" ref="D91:J91" si="7">D188</f>
        <v>30</v>
      </c>
      <c r="E91" s="112">
        <f t="shared" si="7"/>
        <v>46</v>
      </c>
      <c r="F91" s="112">
        <f t="shared" si="7"/>
        <v>25</v>
      </c>
      <c r="G91" s="112">
        <f t="shared" si="7"/>
        <v>33</v>
      </c>
      <c r="H91" s="112">
        <f t="shared" si="7"/>
        <v>40</v>
      </c>
      <c r="I91" s="112">
        <f t="shared" si="7"/>
        <v>23</v>
      </c>
      <c r="J91" s="213">
        <f t="shared" si="7"/>
        <v>242</v>
      </c>
    </row>
    <row r="92" spans="2:10" ht="15" customHeight="1">
      <c r="B92" s="114">
        <v>2014</v>
      </c>
      <c r="C92" s="112">
        <f>C189</f>
        <v>29</v>
      </c>
      <c r="D92" s="112">
        <f t="shared" ref="D92:J92" si="8">D189</f>
        <v>39</v>
      </c>
      <c r="E92" s="112">
        <f t="shared" si="8"/>
        <v>27</v>
      </c>
      <c r="F92" s="112">
        <f t="shared" si="8"/>
        <v>42</v>
      </c>
      <c r="G92" s="112">
        <f t="shared" si="8"/>
        <v>21</v>
      </c>
      <c r="H92" s="112">
        <f t="shared" si="8"/>
        <v>34</v>
      </c>
      <c r="I92" s="112">
        <f t="shared" si="8"/>
        <v>39</v>
      </c>
      <c r="J92" s="213">
        <f t="shared" si="8"/>
        <v>231</v>
      </c>
    </row>
    <row r="93" spans="2:10" ht="15" customHeight="1">
      <c r="B93" s="114">
        <v>2015</v>
      </c>
      <c r="C93" s="112">
        <f>C190</f>
        <v>40</v>
      </c>
      <c r="D93" s="112">
        <f t="shared" ref="D93:J93" si="9">D190</f>
        <v>28</v>
      </c>
      <c r="E93" s="112">
        <f t="shared" si="9"/>
        <v>40</v>
      </c>
      <c r="F93" s="112">
        <f t="shared" si="9"/>
        <v>29</v>
      </c>
      <c r="G93" s="112">
        <f t="shared" si="9"/>
        <v>42</v>
      </c>
      <c r="H93" s="112">
        <f t="shared" si="9"/>
        <v>21</v>
      </c>
      <c r="I93" s="112">
        <f t="shared" si="9"/>
        <v>34</v>
      </c>
      <c r="J93" s="213">
        <f t="shared" si="9"/>
        <v>234</v>
      </c>
    </row>
    <row r="94" spans="2:10" ht="15" customHeight="1">
      <c r="B94" s="114">
        <v>2016</v>
      </c>
      <c r="C94" s="112">
        <f>C191</f>
        <v>36</v>
      </c>
      <c r="D94" s="112">
        <f t="shared" ref="D94:J94" si="10">D191</f>
        <v>35</v>
      </c>
      <c r="E94" s="112">
        <f t="shared" si="10"/>
        <v>26</v>
      </c>
      <c r="F94" s="112">
        <f t="shared" si="10"/>
        <v>34</v>
      </c>
      <c r="G94" s="112">
        <f t="shared" si="10"/>
        <v>24</v>
      </c>
      <c r="H94" s="112">
        <f t="shared" si="10"/>
        <v>41</v>
      </c>
      <c r="I94" s="112">
        <f t="shared" si="10"/>
        <v>21</v>
      </c>
      <c r="J94" s="213">
        <f t="shared" si="10"/>
        <v>217</v>
      </c>
    </row>
    <row r="95" spans="2:10" ht="15" customHeight="1">
      <c r="B95" s="114">
        <v>2017</v>
      </c>
      <c r="C95" s="112">
        <f>C192</f>
        <v>33</v>
      </c>
      <c r="D95" s="112">
        <f t="shared" ref="D95:J95" si="11">D192</f>
        <v>37</v>
      </c>
      <c r="E95" s="112">
        <f t="shared" si="11"/>
        <v>40</v>
      </c>
      <c r="F95" s="112">
        <f t="shared" si="11"/>
        <v>25</v>
      </c>
      <c r="G95" s="112">
        <f t="shared" si="11"/>
        <v>35</v>
      </c>
      <c r="H95" s="112">
        <f t="shared" si="11"/>
        <v>27</v>
      </c>
      <c r="I95" s="112">
        <f t="shared" si="11"/>
        <v>40</v>
      </c>
      <c r="J95" s="213">
        <f t="shared" si="11"/>
        <v>237</v>
      </c>
    </row>
    <row r="96" spans="2:10" ht="15" customHeight="1">
      <c r="B96" s="307">
        <v>2018</v>
      </c>
      <c r="C96" s="112">
        <f t="shared" ref="C96:J96" si="12">C193</f>
        <v>44</v>
      </c>
      <c r="D96" s="112">
        <f t="shared" si="12"/>
        <v>32</v>
      </c>
      <c r="E96" s="112">
        <f t="shared" si="12"/>
        <v>32</v>
      </c>
      <c r="F96" s="112">
        <f t="shared" si="12"/>
        <v>37</v>
      </c>
      <c r="G96" s="112">
        <f t="shared" si="12"/>
        <v>26</v>
      </c>
      <c r="H96" s="112">
        <f t="shared" si="12"/>
        <v>35</v>
      </c>
      <c r="I96" s="112">
        <f t="shared" si="12"/>
        <v>24</v>
      </c>
      <c r="J96" s="213">
        <f t="shared" si="12"/>
        <v>230</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3.4482758620689655E-2</v>
      </c>
      <c r="E98" s="210">
        <f t="shared" ref="E98:I98" si="13">MEDIAN(((D91-E92)/D91),((D92-E93)/D92),((D93-E94)/D93),((D94-E95)/D94),((D95-E96)/D95))</f>
        <v>7.1428571428571425E-2</v>
      </c>
      <c r="F98" s="210">
        <f t="shared" si="13"/>
        <v>7.4999999999999997E-2</v>
      </c>
      <c r="G98" s="210">
        <f t="shared" si="13"/>
        <v>0</v>
      </c>
      <c r="H98" s="210">
        <f t="shared" si="13"/>
        <v>0</v>
      </c>
      <c r="I98" s="210">
        <f t="shared" si="13"/>
        <v>2.4390243902439025E-2</v>
      </c>
    </row>
    <row r="99" spans="2:10" ht="18.75">
      <c r="B99" s="59"/>
      <c r="C99" s="60"/>
      <c r="D99" s="61"/>
      <c r="E99" s="61"/>
      <c r="F99" s="61"/>
      <c r="G99" s="61"/>
      <c r="H99" s="61"/>
      <c r="I99" s="61"/>
      <c r="J99" s="58"/>
    </row>
    <row r="100" spans="2:10">
      <c r="B100" s="15" t="str">
        <f>"Table 4B: "&amp;E3&amp;" Projected Roll by Stage (incorporating Projected P1 and Drop-Off Rates), 2019-2032"</f>
        <v>Table 4B: Lorne Primary School Projected Roll by Stage (incorporating Projected P1 and Drop-Off Rates), 2019-2032</v>
      </c>
      <c r="F100" s="14"/>
      <c r="G100" s="14"/>
    </row>
    <row r="101" spans="2:10" ht="12.75">
      <c r="F101" s="14"/>
      <c r="G101" s="14"/>
    </row>
    <row r="102" spans="2:10">
      <c r="B102" s="115"/>
      <c r="C102" s="109" t="s">
        <v>1</v>
      </c>
      <c r="D102" s="109" t="s">
        <v>2</v>
      </c>
      <c r="E102" s="109" t="s">
        <v>3</v>
      </c>
      <c r="F102" s="109" t="s">
        <v>4</v>
      </c>
      <c r="G102" s="109" t="s">
        <v>5</v>
      </c>
      <c r="H102" s="109" t="s">
        <v>6</v>
      </c>
      <c r="I102" s="109" t="s">
        <v>7</v>
      </c>
      <c r="J102" s="109" t="s">
        <v>8</v>
      </c>
    </row>
    <row r="103" spans="2:10">
      <c r="B103" s="114">
        <v>2019</v>
      </c>
      <c r="C103" s="113">
        <f t="shared" ref="C103:C116" si="14">J70</f>
        <v>30</v>
      </c>
      <c r="D103" s="324">
        <f>ROUND((C96)-(C96*$D$98),0)</f>
        <v>42</v>
      </c>
      <c r="E103" s="324">
        <f>ROUND((D96)-(D96*$E$98),0)</f>
        <v>30</v>
      </c>
      <c r="F103" s="324">
        <f>ROUND((E96)-(E96*$F$98),0)</f>
        <v>30</v>
      </c>
      <c r="G103" s="324">
        <f>ROUND((F96)-(F96*$G$98),0)</f>
        <v>37</v>
      </c>
      <c r="H103" s="324">
        <f>ROUND((G96)-(G96*$H$98),0)</f>
        <v>26</v>
      </c>
      <c r="I103" s="324">
        <f>ROUND((H96)-(H96*$I$98),0)</f>
        <v>34</v>
      </c>
      <c r="J103" s="111">
        <f t="shared" ref="J103:J116" si="15">SUM(C103:I103)</f>
        <v>229</v>
      </c>
    </row>
    <row r="104" spans="2:10">
      <c r="B104" s="114">
        <v>2020</v>
      </c>
      <c r="C104" s="113">
        <f t="shared" si="14"/>
        <v>25</v>
      </c>
      <c r="D104" s="324">
        <f>ROUND((C103-E50)-(C103*$D$98),0)</f>
        <v>29</v>
      </c>
      <c r="E104" s="112">
        <f t="shared" ref="E104:E116" si="16">ROUND((D103)-(D103*$E$98),0)</f>
        <v>39</v>
      </c>
      <c r="F104" s="112">
        <f t="shared" ref="F104:F116" si="17">ROUND((E103)-(E103*$F$98),0)</f>
        <v>28</v>
      </c>
      <c r="G104" s="112">
        <f t="shared" ref="G104:G116" si="18">ROUND((F103)-(F103*$G$98),0)</f>
        <v>30</v>
      </c>
      <c r="H104" s="112">
        <f t="shared" ref="H104:H116" si="19">ROUND((G103)-(G103*$H$98),0)</f>
        <v>37</v>
      </c>
      <c r="I104" s="112">
        <f t="shared" ref="I104:I116" si="20">ROUND((H103)-(H103*$I$98),0)</f>
        <v>25</v>
      </c>
      <c r="J104" s="111">
        <f t="shared" si="15"/>
        <v>213</v>
      </c>
    </row>
    <row r="105" spans="2:10">
      <c r="B105" s="114">
        <v>2021</v>
      </c>
      <c r="C105" s="113">
        <f t="shared" si="14"/>
        <v>25</v>
      </c>
      <c r="D105" s="324">
        <f>ROUND((C104-F50)-(C104*$D$98),0)</f>
        <v>24</v>
      </c>
      <c r="E105" s="112">
        <f t="shared" si="16"/>
        <v>27</v>
      </c>
      <c r="F105" s="112">
        <f t="shared" si="17"/>
        <v>36</v>
      </c>
      <c r="G105" s="112">
        <f t="shared" si="18"/>
        <v>28</v>
      </c>
      <c r="H105" s="112">
        <f t="shared" si="19"/>
        <v>30</v>
      </c>
      <c r="I105" s="112">
        <f t="shared" si="20"/>
        <v>36</v>
      </c>
      <c r="J105" s="111">
        <f t="shared" si="15"/>
        <v>206</v>
      </c>
    </row>
    <row r="106" spans="2:10">
      <c r="B106" s="114">
        <v>2022</v>
      </c>
      <c r="C106" s="113">
        <f t="shared" si="14"/>
        <v>25</v>
      </c>
      <c r="D106" s="324">
        <f>ROUND((C105-G50)-(C105*$D$98),0)</f>
        <v>24</v>
      </c>
      <c r="E106" s="112">
        <f t="shared" si="16"/>
        <v>22</v>
      </c>
      <c r="F106" s="112">
        <f t="shared" si="17"/>
        <v>25</v>
      </c>
      <c r="G106" s="112">
        <f t="shared" si="18"/>
        <v>36</v>
      </c>
      <c r="H106" s="112">
        <f t="shared" si="19"/>
        <v>28</v>
      </c>
      <c r="I106" s="112">
        <f t="shared" si="20"/>
        <v>29</v>
      </c>
      <c r="J106" s="111">
        <f t="shared" si="15"/>
        <v>189</v>
      </c>
    </row>
    <row r="107" spans="2:10">
      <c r="B107" s="114">
        <v>2023</v>
      </c>
      <c r="C107" s="113">
        <f t="shared" si="14"/>
        <v>25</v>
      </c>
      <c r="D107" s="324">
        <f>ROUND((C106-H50)-(C106*$D$98),0)</f>
        <v>24</v>
      </c>
      <c r="E107" s="112">
        <f t="shared" si="16"/>
        <v>22</v>
      </c>
      <c r="F107" s="112">
        <f t="shared" si="17"/>
        <v>20</v>
      </c>
      <c r="G107" s="112">
        <f t="shared" si="18"/>
        <v>25</v>
      </c>
      <c r="H107" s="112">
        <f t="shared" si="19"/>
        <v>36</v>
      </c>
      <c r="I107" s="112">
        <f t="shared" si="20"/>
        <v>27</v>
      </c>
      <c r="J107" s="111">
        <f t="shared" si="15"/>
        <v>179</v>
      </c>
    </row>
    <row r="108" spans="2:10">
      <c r="B108" s="114">
        <v>2024</v>
      </c>
      <c r="C108" s="113">
        <f t="shared" si="14"/>
        <v>25</v>
      </c>
      <c r="D108" s="324">
        <f>ROUND((C107-I50)-(C107*$D$98),0)</f>
        <v>24</v>
      </c>
      <c r="E108" s="112">
        <f t="shared" si="16"/>
        <v>22</v>
      </c>
      <c r="F108" s="112">
        <f t="shared" si="17"/>
        <v>20</v>
      </c>
      <c r="G108" s="112">
        <f t="shared" si="18"/>
        <v>20</v>
      </c>
      <c r="H108" s="112">
        <f t="shared" si="19"/>
        <v>25</v>
      </c>
      <c r="I108" s="112">
        <f t="shared" si="20"/>
        <v>35</v>
      </c>
      <c r="J108" s="111">
        <f t="shared" si="15"/>
        <v>171</v>
      </c>
    </row>
    <row r="109" spans="2:10">
      <c r="B109" s="114">
        <v>2025</v>
      </c>
      <c r="C109" s="113">
        <f t="shared" si="14"/>
        <v>25</v>
      </c>
      <c r="D109" s="324">
        <f>ROUND((C108-J50)-(C108*$D$98),0)</f>
        <v>24</v>
      </c>
      <c r="E109" s="112">
        <f t="shared" si="16"/>
        <v>22</v>
      </c>
      <c r="F109" s="112">
        <f t="shared" si="17"/>
        <v>20</v>
      </c>
      <c r="G109" s="112">
        <f t="shared" si="18"/>
        <v>20</v>
      </c>
      <c r="H109" s="112">
        <f t="shared" si="19"/>
        <v>20</v>
      </c>
      <c r="I109" s="112">
        <f t="shared" si="20"/>
        <v>24</v>
      </c>
      <c r="J109" s="111">
        <f t="shared" si="15"/>
        <v>155</v>
      </c>
    </row>
    <row r="110" spans="2:10">
      <c r="B110" s="114">
        <v>2026</v>
      </c>
      <c r="C110" s="113">
        <f t="shared" si="14"/>
        <v>25</v>
      </c>
      <c r="D110" s="324">
        <f>ROUND((C109-K50)-(C109*$D$98),0)</f>
        <v>24</v>
      </c>
      <c r="E110" s="112">
        <f t="shared" si="16"/>
        <v>22</v>
      </c>
      <c r="F110" s="112">
        <f t="shared" si="17"/>
        <v>20</v>
      </c>
      <c r="G110" s="112">
        <f t="shared" si="18"/>
        <v>20</v>
      </c>
      <c r="H110" s="112">
        <f t="shared" si="19"/>
        <v>20</v>
      </c>
      <c r="I110" s="112">
        <f t="shared" si="20"/>
        <v>20</v>
      </c>
      <c r="J110" s="111">
        <f t="shared" si="15"/>
        <v>151</v>
      </c>
    </row>
    <row r="111" spans="2:10">
      <c r="B111" s="114">
        <v>2027</v>
      </c>
      <c r="C111" s="113">
        <f t="shared" si="14"/>
        <v>25</v>
      </c>
      <c r="D111" s="324">
        <f>ROUND((C110-L50)-(C110*$D$98),0)</f>
        <v>24</v>
      </c>
      <c r="E111" s="112">
        <f t="shared" si="16"/>
        <v>22</v>
      </c>
      <c r="F111" s="112">
        <f t="shared" si="17"/>
        <v>20</v>
      </c>
      <c r="G111" s="112">
        <f t="shared" si="18"/>
        <v>20</v>
      </c>
      <c r="H111" s="112">
        <f t="shared" si="19"/>
        <v>20</v>
      </c>
      <c r="I111" s="112">
        <f t="shared" si="20"/>
        <v>20</v>
      </c>
      <c r="J111" s="111">
        <f t="shared" si="15"/>
        <v>151</v>
      </c>
    </row>
    <row r="112" spans="2:10">
      <c r="B112" s="114">
        <v>2028</v>
      </c>
      <c r="C112" s="113">
        <f t="shared" si="14"/>
        <v>25</v>
      </c>
      <c r="D112" s="324">
        <f>ROUND((C111-M50)-(C111*$D$98),0)</f>
        <v>24</v>
      </c>
      <c r="E112" s="112">
        <f t="shared" si="16"/>
        <v>22</v>
      </c>
      <c r="F112" s="112">
        <f t="shared" si="17"/>
        <v>20</v>
      </c>
      <c r="G112" s="112">
        <f t="shared" si="18"/>
        <v>20</v>
      </c>
      <c r="H112" s="112">
        <f t="shared" si="19"/>
        <v>20</v>
      </c>
      <c r="I112" s="112">
        <f t="shared" si="20"/>
        <v>20</v>
      </c>
      <c r="J112" s="111">
        <f t="shared" si="15"/>
        <v>151</v>
      </c>
    </row>
    <row r="113" spans="2:10" ht="15" customHeight="1">
      <c r="B113" s="114">
        <v>2029</v>
      </c>
      <c r="C113" s="113">
        <f t="shared" si="14"/>
        <v>25</v>
      </c>
      <c r="D113" s="324">
        <f>ROUND((C112-N50)-(C112*$D$98),0)</f>
        <v>24</v>
      </c>
      <c r="E113" s="112">
        <f t="shared" si="16"/>
        <v>22</v>
      </c>
      <c r="F113" s="112">
        <f t="shared" si="17"/>
        <v>20</v>
      </c>
      <c r="G113" s="112">
        <f t="shared" si="18"/>
        <v>20</v>
      </c>
      <c r="H113" s="112">
        <f t="shared" si="19"/>
        <v>20</v>
      </c>
      <c r="I113" s="112">
        <f t="shared" si="20"/>
        <v>20</v>
      </c>
      <c r="J113" s="111">
        <f t="shared" si="15"/>
        <v>151</v>
      </c>
    </row>
    <row r="114" spans="2:10" ht="15" customHeight="1">
      <c r="B114" s="114">
        <v>2030</v>
      </c>
      <c r="C114" s="113">
        <f t="shared" si="14"/>
        <v>25</v>
      </c>
      <c r="D114" s="324">
        <f>ROUND((C113-O50)-(C113*$D$98),0)</f>
        <v>24</v>
      </c>
      <c r="E114" s="112">
        <f t="shared" si="16"/>
        <v>22</v>
      </c>
      <c r="F114" s="112">
        <f t="shared" si="17"/>
        <v>20</v>
      </c>
      <c r="G114" s="112">
        <f t="shared" si="18"/>
        <v>20</v>
      </c>
      <c r="H114" s="112">
        <f t="shared" si="19"/>
        <v>20</v>
      </c>
      <c r="I114" s="112">
        <f t="shared" si="20"/>
        <v>20</v>
      </c>
      <c r="J114" s="111">
        <f t="shared" si="15"/>
        <v>151</v>
      </c>
    </row>
    <row r="115" spans="2:10" ht="15" customHeight="1">
      <c r="B115" s="114">
        <v>2031</v>
      </c>
      <c r="C115" s="113">
        <f t="shared" si="14"/>
        <v>25</v>
      </c>
      <c r="D115" s="324">
        <f>ROUND((C114-P50)-(C114*$D$98),0)</f>
        <v>24</v>
      </c>
      <c r="E115" s="112">
        <f t="shared" si="16"/>
        <v>22</v>
      </c>
      <c r="F115" s="112">
        <f t="shared" si="17"/>
        <v>20</v>
      </c>
      <c r="G115" s="112">
        <f t="shared" si="18"/>
        <v>20</v>
      </c>
      <c r="H115" s="112">
        <f t="shared" si="19"/>
        <v>20</v>
      </c>
      <c r="I115" s="112">
        <f t="shared" si="20"/>
        <v>20</v>
      </c>
      <c r="J115" s="111">
        <f t="shared" si="15"/>
        <v>151</v>
      </c>
    </row>
    <row r="116" spans="2:10" ht="15" customHeight="1">
      <c r="B116" s="114">
        <v>2032</v>
      </c>
      <c r="C116" s="113">
        <f t="shared" si="14"/>
        <v>25</v>
      </c>
      <c r="D116" s="324">
        <f>ROUND((C115-Q50)-(C115*$D$98),0)</f>
        <v>24</v>
      </c>
      <c r="E116" s="112">
        <f t="shared" si="16"/>
        <v>22</v>
      </c>
      <c r="F116" s="112">
        <f t="shared" si="17"/>
        <v>20</v>
      </c>
      <c r="G116" s="112">
        <f t="shared" si="18"/>
        <v>20</v>
      </c>
      <c r="H116" s="112">
        <f t="shared" si="19"/>
        <v>20</v>
      </c>
      <c r="I116" s="112">
        <f t="shared" si="20"/>
        <v>20</v>
      </c>
      <c r="J116" s="111">
        <f t="shared" si="15"/>
        <v>151</v>
      </c>
    </row>
    <row r="117" spans="2:10" ht="15" hidden="1" customHeight="1">
      <c r="F117" s="14"/>
      <c r="G117" s="14"/>
    </row>
    <row r="118" spans="2:10" ht="15" hidden="1" customHeight="1">
      <c r="B118" s="15" t="str">
        <f>"Table 4C: "&amp;E3&amp;" Projected Pupil Generation from Housing Development, 2019-2032"</f>
        <v>Table 4C: Lorne Primary School Projected Pupil Generation from Housing Development, 2019-2032</v>
      </c>
      <c r="F118" s="14"/>
      <c r="G118" s="14"/>
    </row>
    <row r="119" spans="2:10" ht="15" hidden="1" customHeight="1">
      <c r="F119" s="14"/>
      <c r="G119" s="14"/>
    </row>
    <row r="120" spans="2:10" ht="15" hidden="1" customHeight="1">
      <c r="B120" s="115"/>
      <c r="C120" s="109" t="s">
        <v>1</v>
      </c>
      <c r="D120" s="109" t="s">
        <v>2</v>
      </c>
      <c r="E120" s="109" t="s">
        <v>3</v>
      </c>
      <c r="F120" s="109" t="s">
        <v>4</v>
      </c>
      <c r="G120" s="109" t="s">
        <v>5</v>
      </c>
      <c r="H120" s="109" t="s">
        <v>6</v>
      </c>
      <c r="I120" s="109" t="s">
        <v>7</v>
      </c>
      <c r="J120" s="109" t="s">
        <v>8</v>
      </c>
    </row>
    <row r="121" spans="2:10" ht="15" hidden="1" customHeight="1">
      <c r="B121" s="114">
        <v>2019</v>
      </c>
      <c r="C121" s="116" t="s">
        <v>97</v>
      </c>
      <c r="D121" s="112">
        <f>VLOOKUP($E$3,'Housing Generation'!$A$3:$BE$90,11,FALSE)</f>
        <v>0</v>
      </c>
      <c r="E121" s="112">
        <f>VLOOKUP($E$3,'Housing Generation'!$A$3:$BE$90,12,FALSE)</f>
        <v>0</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0</v>
      </c>
    </row>
    <row r="122" spans="2:10" ht="15" hidden="1" customHeight="1">
      <c r="B122" s="114">
        <v>2020</v>
      </c>
      <c r="C122" s="116" t="s">
        <v>97</v>
      </c>
      <c r="D122" s="112">
        <f>VLOOKUP($E$3,'Housing Generation'!$A$3:$BE$90,19,FALSE)</f>
        <v>0</v>
      </c>
      <c r="E122" s="112">
        <f>VLOOKUP($E$3,'Housing Generation'!$A$3:$BE$90,20,FALSE)</f>
        <v>0</v>
      </c>
      <c r="F122" s="112">
        <f>VLOOKUP($E$3,'Housing Generation'!$A$3:$BE$90,21,FALSE)</f>
        <v>0</v>
      </c>
      <c r="G122" s="112">
        <f>VLOOKUP($E$3,'Housing Generation'!$A$3:$BE$90,22,FALSE)</f>
        <v>0</v>
      </c>
      <c r="H122" s="112">
        <f>VLOOKUP($E$3,'Housing Generation'!$A$3:$BE$90,23,FALSE)</f>
        <v>0</v>
      </c>
      <c r="I122" s="112">
        <f>VLOOKUP($E$3,'Housing Generation'!$A$3:$BE$90,24,FALSE)</f>
        <v>0</v>
      </c>
      <c r="J122" s="111">
        <f t="shared" si="21"/>
        <v>0</v>
      </c>
    </row>
    <row r="123" spans="2:10" ht="15" hidden="1" customHeight="1">
      <c r="B123" s="114">
        <v>2021</v>
      </c>
      <c r="C123" s="116" t="s">
        <v>97</v>
      </c>
      <c r="D123" s="112">
        <f>VLOOKUP($E$3,'Housing Generation'!$A$3:$BE$90,27,FALSE)</f>
        <v>0</v>
      </c>
      <c r="E123" s="112">
        <f>VLOOKUP($E$3,'Housing Generation'!$A$3:$BE$90,28,FALSE)</f>
        <v>0</v>
      </c>
      <c r="F123" s="112">
        <f>VLOOKUP($E$3,'Housing Generation'!$A$3:$BE$90,29,FALSE)</f>
        <v>0</v>
      </c>
      <c r="G123" s="112">
        <f>VLOOKUP($E$3,'Housing Generation'!$A$3:$BE$90,30,FALSE)</f>
        <v>0</v>
      </c>
      <c r="H123" s="112">
        <f>VLOOKUP($E$3,'Housing Generation'!$A$3:$BE$90,31,FALSE)</f>
        <v>0</v>
      </c>
      <c r="I123" s="112">
        <f>VLOOKUP($E$3,'Housing Generation'!$A$3:$BE$90,32,FALSE)</f>
        <v>0</v>
      </c>
      <c r="J123" s="111">
        <f t="shared" si="21"/>
        <v>0</v>
      </c>
    </row>
    <row r="124" spans="2:10" ht="15" hidden="1" customHeight="1">
      <c r="B124" s="114">
        <v>2022</v>
      </c>
      <c r="C124" s="116" t="s">
        <v>97</v>
      </c>
      <c r="D124" s="112">
        <f>VLOOKUP($E$3,'Housing Generation'!$A$3:$BE$90,35,FALSE)</f>
        <v>0</v>
      </c>
      <c r="E124" s="112">
        <f>VLOOKUP($E$3,'Housing Generation'!$A$3:$BE$90,36,FALSE)</f>
        <v>0</v>
      </c>
      <c r="F124" s="112">
        <f>VLOOKUP($E$3,'Housing Generation'!$A$3:$BE$90,37,FALSE)</f>
        <v>0</v>
      </c>
      <c r="G124" s="112">
        <f>VLOOKUP($E$3,'Housing Generation'!$A$3:$BE$90,38,FALSE)</f>
        <v>0</v>
      </c>
      <c r="H124" s="112">
        <f>VLOOKUP($E$3,'Housing Generation'!$A$3:$BE$90,39,FALSE)</f>
        <v>0</v>
      </c>
      <c r="I124" s="112">
        <f>VLOOKUP($E$3,'Housing Generation'!$A$3:$BE$90,40,FALSE)</f>
        <v>0</v>
      </c>
      <c r="J124" s="111">
        <f t="shared" si="21"/>
        <v>0</v>
      </c>
    </row>
    <row r="125" spans="2:10" ht="15" hidden="1" customHeight="1">
      <c r="B125" s="114">
        <v>2023</v>
      </c>
      <c r="C125" s="116" t="s">
        <v>97</v>
      </c>
      <c r="D125" s="112">
        <f>VLOOKUP($E$3,'Housing Generation'!$A$3:$BE$90,43,FALSE)</f>
        <v>0</v>
      </c>
      <c r="E125" s="112">
        <f>VLOOKUP($E$3,'Housing Generation'!$A$3:$BE$90,44,FALSE)</f>
        <v>0</v>
      </c>
      <c r="F125" s="112">
        <f>VLOOKUP($E$3,'Housing Generation'!$A$3:$BE$90,45,FALSE)</f>
        <v>0</v>
      </c>
      <c r="G125" s="112">
        <f>VLOOKUP($E$3,'Housing Generation'!$A$3:$BE$90,46,FALSE)</f>
        <v>0</v>
      </c>
      <c r="H125" s="112">
        <f>VLOOKUP($E$3,'Housing Generation'!$A$3:$BE$90,47,FALSE)</f>
        <v>0</v>
      </c>
      <c r="I125" s="112">
        <f>VLOOKUP($E$3,'Housing Generation'!$A$3:$BE$90,48,FALSE)</f>
        <v>0</v>
      </c>
      <c r="J125" s="111">
        <f t="shared" si="21"/>
        <v>0</v>
      </c>
    </row>
    <row r="126" spans="2:10" ht="15" hidden="1" customHeight="1">
      <c r="B126" s="114">
        <v>2024</v>
      </c>
      <c r="C126" s="116" t="s">
        <v>97</v>
      </c>
      <c r="D126" s="112">
        <f>VLOOKUP($E$3,'Housing Generation'!$A$3:$BE$90,51,FALSE)</f>
        <v>0</v>
      </c>
      <c r="E126" s="112">
        <f>VLOOKUP($E$3,'Housing Generation'!$A$3:$BE$90,52,FALSE)</f>
        <v>0</v>
      </c>
      <c r="F126" s="112">
        <f>VLOOKUP($E$3,'Housing Generation'!$A$3:$BE$90,53,FALSE)</f>
        <v>0</v>
      </c>
      <c r="G126" s="112">
        <f>VLOOKUP($E$3,'Housing Generation'!$A$3:$BE$90,54,FALSE)</f>
        <v>0</v>
      </c>
      <c r="H126" s="112">
        <f>VLOOKUP($E$3,'Housing Generation'!$A$3:$BE$90,55,FALSE)</f>
        <v>0</v>
      </c>
      <c r="I126" s="112">
        <f>VLOOKUP($E$3,'Housing Generation'!$A$3:$BE$90,56,FALSE)</f>
        <v>0</v>
      </c>
      <c r="J126" s="111">
        <f t="shared" si="21"/>
        <v>0</v>
      </c>
    </row>
    <row r="127" spans="2:10" ht="15" hidden="1" customHeight="1">
      <c r="B127" s="114">
        <v>2025</v>
      </c>
      <c r="C127" s="240" t="s">
        <v>97</v>
      </c>
      <c r="D127" s="112">
        <f>VLOOKUP($E$3,'Housing Generation'!$A$3:$CK$90,59,FALSE)</f>
        <v>0</v>
      </c>
      <c r="E127" s="112">
        <f>VLOOKUP($E$3,'Housing Generation'!$A$3:$CK$90,60,FALSE)</f>
        <v>0</v>
      </c>
      <c r="F127" s="112">
        <f>VLOOKUP($E$3,'Housing Generation'!$A$3:$CK$90,61,FALSE)</f>
        <v>0</v>
      </c>
      <c r="G127" s="112">
        <f>VLOOKUP($E$3,'Housing Generation'!$A$3:$CK$90,62,FALSE)</f>
        <v>0</v>
      </c>
      <c r="H127" s="112">
        <f>VLOOKUP($E$3,'Housing Generation'!$A$3:$CK$90,63,FALSE)</f>
        <v>0</v>
      </c>
      <c r="I127" s="112">
        <f>VLOOKUP($E$3,'Housing Generation'!$A$3:$CK$90,64,FALSE)</f>
        <v>0</v>
      </c>
      <c r="J127" s="111">
        <f t="shared" si="21"/>
        <v>0</v>
      </c>
    </row>
    <row r="128" spans="2:10" ht="15" hidden="1" customHeight="1">
      <c r="B128" s="114">
        <v>2026</v>
      </c>
      <c r="C128" s="240" t="s">
        <v>97</v>
      </c>
      <c r="D128" s="112">
        <f>VLOOKUP($E$3,'Housing Generation'!$A$3:$CK$90,67,FALSE)</f>
        <v>0</v>
      </c>
      <c r="E128" s="112">
        <f>VLOOKUP($E$3,'Housing Generation'!$A$3:$CK$90,68,FALSE)</f>
        <v>0</v>
      </c>
      <c r="F128" s="112">
        <f>VLOOKUP($E$3,'Housing Generation'!$A$3:$CK$90,69,FALSE)</f>
        <v>0</v>
      </c>
      <c r="G128" s="112">
        <f>VLOOKUP($E$3,'Housing Generation'!$A$3:$CK$90,70,FALSE)</f>
        <v>0</v>
      </c>
      <c r="H128" s="112">
        <f>VLOOKUP($E$3,'Housing Generation'!$A$3:$CK$90,71,FALSE)</f>
        <v>0</v>
      </c>
      <c r="I128" s="112">
        <f>VLOOKUP($E$3,'Housing Generation'!$A$3:$CK$90,72,FALSE)</f>
        <v>0</v>
      </c>
      <c r="J128" s="111">
        <f t="shared" si="21"/>
        <v>0</v>
      </c>
    </row>
    <row r="129" spans="2:10" ht="15" hidden="1" customHeight="1">
      <c r="B129" s="114">
        <v>2027</v>
      </c>
      <c r="C129" s="240" t="s">
        <v>97</v>
      </c>
      <c r="D129" s="112">
        <f>VLOOKUP($E$3,'Housing Generation'!$A$3:$CK$90,75,FALSE)</f>
        <v>0</v>
      </c>
      <c r="E129" s="112">
        <f>VLOOKUP($E$3,'Housing Generation'!$A$3:$CK$90,76,FALSE)</f>
        <v>0</v>
      </c>
      <c r="F129" s="112">
        <f>VLOOKUP($E$3,'Housing Generation'!$A$3:$CK$90,77,FALSE)</f>
        <v>0</v>
      </c>
      <c r="G129" s="112">
        <f>VLOOKUP($E$3,'Housing Generation'!$A$3:$CK$90,78,FALSE)</f>
        <v>0</v>
      </c>
      <c r="H129" s="112">
        <f>VLOOKUP($E$3,'Housing Generation'!$A$3:$CK$90,79,FALSE)</f>
        <v>0</v>
      </c>
      <c r="I129" s="112">
        <f>VLOOKUP($E$3,'Housing Generation'!$A$3:$CK$90,80,FALSE)</f>
        <v>0</v>
      </c>
      <c r="J129" s="111">
        <f t="shared" si="21"/>
        <v>0</v>
      </c>
    </row>
    <row r="130" spans="2:10" ht="15" customHeight="1">
      <c r="B130" s="114">
        <v>2028</v>
      </c>
      <c r="C130" s="289" t="s">
        <v>97</v>
      </c>
      <c r="D130" s="112">
        <f>VLOOKUP($E$3,'Housing Generation'!$A$3:$CK$90,83,FALSE)</f>
        <v>0</v>
      </c>
      <c r="E130" s="112">
        <f>VLOOKUP($E$3,'Housing Generation'!$A$3:$CK$90,84,FALSE)</f>
        <v>0</v>
      </c>
      <c r="F130" s="112">
        <f>VLOOKUP($E$3,'Housing Generation'!$A$3:$CK$90,85,FALSE)</f>
        <v>0</v>
      </c>
      <c r="G130" s="112">
        <f>VLOOKUP($E$3,'Housing Generation'!$A$3:$CK$90,86,FALSE)</f>
        <v>0</v>
      </c>
      <c r="H130" s="112">
        <f>VLOOKUP($E$3,'Housing Generation'!$A$3:$CK$90,87,FALSE)</f>
        <v>0</v>
      </c>
      <c r="I130" s="112">
        <f>VLOOKUP($E$3,'Housing Generation'!$A$3:$CK$90,88,FALSE)</f>
        <v>0</v>
      </c>
      <c r="J130" s="111">
        <f t="shared" si="21"/>
        <v>0</v>
      </c>
    </row>
    <row r="131" spans="2:10" ht="15" customHeight="1">
      <c r="B131" s="114">
        <v>2029</v>
      </c>
      <c r="C131" s="289" t="s">
        <v>97</v>
      </c>
      <c r="D131" s="112">
        <f>VLOOKUP($E$3,'Housing Generation'!$A$3:$DQ$90,91,FALSE)</f>
        <v>0</v>
      </c>
      <c r="E131" s="112">
        <f>VLOOKUP($E$3,'Housing Generation'!$A$3:$DQ$90,92,FALSE)</f>
        <v>0</v>
      </c>
      <c r="F131" s="112">
        <f>VLOOKUP($E$3,'Housing Generation'!$A$3:$DQ$90,93,FALSE)</f>
        <v>0</v>
      </c>
      <c r="G131" s="112">
        <f>VLOOKUP($E$3,'Housing Generation'!$A$3:$DQ$90,94,FALSE)</f>
        <v>0</v>
      </c>
      <c r="H131" s="112">
        <f>VLOOKUP($E$3,'Housing Generation'!$A$3:$DQ$90,95,FALSE)</f>
        <v>0</v>
      </c>
      <c r="I131" s="112">
        <f>VLOOKUP($E$3,'Housing Generation'!$A$3:$DQ$90,96,FALSE)</f>
        <v>0</v>
      </c>
      <c r="J131" s="111">
        <f t="shared" si="21"/>
        <v>0</v>
      </c>
    </row>
    <row r="132" spans="2:10" ht="15" customHeight="1">
      <c r="B132" s="114">
        <v>2030</v>
      </c>
      <c r="C132" s="289" t="s">
        <v>97</v>
      </c>
      <c r="D132" s="112">
        <f>VLOOKUP($E$3,'Housing Generation'!$A$3:$DQ$90,99,FALSE)</f>
        <v>0</v>
      </c>
      <c r="E132" s="112">
        <f>VLOOKUP($E$3,'Housing Generation'!$A$3:$DQ$90,100,FALSE)</f>
        <v>0</v>
      </c>
      <c r="F132" s="112">
        <f>VLOOKUP($E$3,'Housing Generation'!$A$3:$DQ$90,101,FALSE)</f>
        <v>0</v>
      </c>
      <c r="G132" s="112">
        <f>VLOOKUP($E$3,'Housing Generation'!$A$3:$DQ$90,102,FALSE)</f>
        <v>0</v>
      </c>
      <c r="H132" s="112">
        <f>VLOOKUP($E$3,'Housing Generation'!$A$3:$DQ$90,103,FALSE)</f>
        <v>0</v>
      </c>
      <c r="I132" s="112">
        <f>VLOOKUP($E$3,'Housing Generation'!$A$3:$DQ$90,104,FALSE)</f>
        <v>0</v>
      </c>
      <c r="J132" s="111">
        <f t="shared" si="21"/>
        <v>0</v>
      </c>
    </row>
    <row r="133" spans="2:10" ht="15" customHeight="1">
      <c r="B133" s="114">
        <v>2031</v>
      </c>
      <c r="C133" s="289" t="s">
        <v>97</v>
      </c>
      <c r="D133" s="112">
        <f>VLOOKUP($E$3,'Housing Generation'!$A$3:$DQ$90,107,FALSE)</f>
        <v>0</v>
      </c>
      <c r="E133" s="112">
        <f>VLOOKUP($E$3,'Housing Generation'!$A$3:$DQ$90,108,FALSE)</f>
        <v>0</v>
      </c>
      <c r="F133" s="112">
        <f>VLOOKUP($E$3,'Housing Generation'!$A$3:$DQ$90,109,FALSE)</f>
        <v>0</v>
      </c>
      <c r="G133" s="112">
        <f>VLOOKUP($E$3,'Housing Generation'!$A$3:$DQ$90,110,FALSE)</f>
        <v>0</v>
      </c>
      <c r="H133" s="112">
        <f>VLOOKUP($E$3,'Housing Generation'!$A$3:$DQ$90,111,FALSE)</f>
        <v>0</v>
      </c>
      <c r="I133" s="112">
        <f>VLOOKUP($E$3,'Housing Generation'!$A$3:$DQ$90,112,FALSE)</f>
        <v>0</v>
      </c>
      <c r="J133" s="111">
        <f t="shared" si="21"/>
        <v>0</v>
      </c>
    </row>
    <row r="134" spans="2:10" ht="15" customHeight="1">
      <c r="B134" s="114">
        <v>2032</v>
      </c>
      <c r="C134" s="289" t="s">
        <v>97</v>
      </c>
      <c r="D134" s="112">
        <f>VLOOKUP($E$3,'Housing Generation'!$A$3:$DQ$90,115,FALSE)</f>
        <v>0</v>
      </c>
      <c r="E134" s="112">
        <f>VLOOKUP($E$3,'Housing Generation'!$A$3:$DQ$90,116,FALSE)</f>
        <v>0</v>
      </c>
      <c r="F134" s="112">
        <f>VLOOKUP($E$3,'Housing Generation'!$A$3:$DQ$90,117,FALSE)</f>
        <v>0</v>
      </c>
      <c r="G134" s="112">
        <f>VLOOKUP($E$3,'Housing Generation'!$A$3:$DQ$90,118,FALSE)</f>
        <v>0</v>
      </c>
      <c r="H134" s="112">
        <f>VLOOKUP($E$3,'Housing Generation'!$A$3:$DQ$90,119,FALSE)</f>
        <v>0</v>
      </c>
      <c r="I134" s="112">
        <f>VLOOKUP($E$3,'Housing Generation'!$A$3:$DQ$90,120,FALSE)</f>
        <v>0</v>
      </c>
      <c r="J134" s="111">
        <f t="shared" si="21"/>
        <v>0</v>
      </c>
    </row>
    <row r="135" spans="2:10" ht="15" hidden="1"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Lorne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30</v>
      </c>
      <c r="D139" s="112">
        <f t="shared" ref="D139:I152" si="23">D121+D103</f>
        <v>42</v>
      </c>
      <c r="E139" s="112">
        <f t="shared" si="23"/>
        <v>30</v>
      </c>
      <c r="F139" s="112">
        <f t="shared" si="23"/>
        <v>30</v>
      </c>
      <c r="G139" s="112">
        <f t="shared" si="23"/>
        <v>37</v>
      </c>
      <c r="H139" s="112">
        <f t="shared" si="23"/>
        <v>26</v>
      </c>
      <c r="I139" s="112">
        <f t="shared" si="23"/>
        <v>34</v>
      </c>
      <c r="J139" s="111">
        <f t="shared" ref="J139:J147" si="24">SUM(C139:I139)</f>
        <v>229</v>
      </c>
    </row>
    <row r="140" spans="2:10" ht="15" customHeight="1">
      <c r="B140" s="114">
        <v>2020</v>
      </c>
      <c r="C140" s="113">
        <f t="shared" si="22"/>
        <v>25</v>
      </c>
      <c r="D140" s="112">
        <f t="shared" si="23"/>
        <v>29</v>
      </c>
      <c r="E140" s="112">
        <f t="shared" si="23"/>
        <v>39</v>
      </c>
      <c r="F140" s="112">
        <f t="shared" si="23"/>
        <v>28</v>
      </c>
      <c r="G140" s="112">
        <f t="shared" si="23"/>
        <v>30</v>
      </c>
      <c r="H140" s="112">
        <f t="shared" si="23"/>
        <v>37</v>
      </c>
      <c r="I140" s="112">
        <f t="shared" si="23"/>
        <v>25</v>
      </c>
      <c r="J140" s="111">
        <f t="shared" si="24"/>
        <v>213</v>
      </c>
    </row>
    <row r="141" spans="2:10" ht="15" customHeight="1">
      <c r="B141" s="114">
        <v>2021</v>
      </c>
      <c r="C141" s="113">
        <f t="shared" si="22"/>
        <v>25</v>
      </c>
      <c r="D141" s="112">
        <f t="shared" si="23"/>
        <v>24</v>
      </c>
      <c r="E141" s="112">
        <f t="shared" si="23"/>
        <v>27</v>
      </c>
      <c r="F141" s="112">
        <f t="shared" si="23"/>
        <v>36</v>
      </c>
      <c r="G141" s="112">
        <f t="shared" si="23"/>
        <v>28</v>
      </c>
      <c r="H141" s="112">
        <f t="shared" si="23"/>
        <v>30</v>
      </c>
      <c r="I141" s="112">
        <f t="shared" si="23"/>
        <v>36</v>
      </c>
      <c r="J141" s="111">
        <f t="shared" si="24"/>
        <v>206</v>
      </c>
    </row>
    <row r="142" spans="2:10" ht="15" customHeight="1">
      <c r="B142" s="114">
        <v>2022</v>
      </c>
      <c r="C142" s="113">
        <f t="shared" si="22"/>
        <v>25</v>
      </c>
      <c r="D142" s="112">
        <f t="shared" si="23"/>
        <v>24</v>
      </c>
      <c r="E142" s="112">
        <f t="shared" si="23"/>
        <v>22</v>
      </c>
      <c r="F142" s="112">
        <f t="shared" si="23"/>
        <v>25</v>
      </c>
      <c r="G142" s="112">
        <f t="shared" si="23"/>
        <v>36</v>
      </c>
      <c r="H142" s="112">
        <f t="shared" si="23"/>
        <v>28</v>
      </c>
      <c r="I142" s="112">
        <f t="shared" si="23"/>
        <v>29</v>
      </c>
      <c r="J142" s="111">
        <f t="shared" si="24"/>
        <v>189</v>
      </c>
    </row>
    <row r="143" spans="2:10" ht="15" customHeight="1">
      <c r="B143" s="114">
        <v>2023</v>
      </c>
      <c r="C143" s="113">
        <f t="shared" si="22"/>
        <v>25</v>
      </c>
      <c r="D143" s="112">
        <f t="shared" si="23"/>
        <v>24</v>
      </c>
      <c r="E143" s="112">
        <f t="shared" si="23"/>
        <v>22</v>
      </c>
      <c r="F143" s="112">
        <f t="shared" si="23"/>
        <v>20</v>
      </c>
      <c r="G143" s="112">
        <f t="shared" si="23"/>
        <v>25</v>
      </c>
      <c r="H143" s="112">
        <f t="shared" si="23"/>
        <v>36</v>
      </c>
      <c r="I143" s="112">
        <f t="shared" si="23"/>
        <v>27</v>
      </c>
      <c r="J143" s="111">
        <f t="shared" si="24"/>
        <v>179</v>
      </c>
    </row>
    <row r="144" spans="2:10" ht="15" customHeight="1">
      <c r="B144" s="114">
        <v>2024</v>
      </c>
      <c r="C144" s="113">
        <f t="shared" si="22"/>
        <v>25</v>
      </c>
      <c r="D144" s="112">
        <f t="shared" si="23"/>
        <v>24</v>
      </c>
      <c r="E144" s="112">
        <f t="shared" si="23"/>
        <v>22</v>
      </c>
      <c r="F144" s="112">
        <f t="shared" si="23"/>
        <v>20</v>
      </c>
      <c r="G144" s="112">
        <f t="shared" si="23"/>
        <v>20</v>
      </c>
      <c r="H144" s="112">
        <f t="shared" si="23"/>
        <v>25</v>
      </c>
      <c r="I144" s="112">
        <f t="shared" si="23"/>
        <v>35</v>
      </c>
      <c r="J144" s="111">
        <f t="shared" si="24"/>
        <v>171</v>
      </c>
    </row>
    <row r="145" spans="2:16" ht="15" customHeight="1">
      <c r="B145" s="114">
        <v>2025</v>
      </c>
      <c r="C145" s="113">
        <f t="shared" si="22"/>
        <v>25</v>
      </c>
      <c r="D145" s="112">
        <f t="shared" si="23"/>
        <v>24</v>
      </c>
      <c r="E145" s="112">
        <f t="shared" si="23"/>
        <v>22</v>
      </c>
      <c r="F145" s="112">
        <f t="shared" si="23"/>
        <v>20</v>
      </c>
      <c r="G145" s="112">
        <f t="shared" si="23"/>
        <v>20</v>
      </c>
      <c r="H145" s="112">
        <f t="shared" si="23"/>
        <v>20</v>
      </c>
      <c r="I145" s="112">
        <f t="shared" si="23"/>
        <v>24</v>
      </c>
      <c r="J145" s="111">
        <f t="shared" si="24"/>
        <v>155</v>
      </c>
    </row>
    <row r="146" spans="2:16" ht="15" customHeight="1">
      <c r="B146" s="114">
        <v>2026</v>
      </c>
      <c r="C146" s="113">
        <f t="shared" si="22"/>
        <v>25</v>
      </c>
      <c r="D146" s="112">
        <f t="shared" si="23"/>
        <v>24</v>
      </c>
      <c r="E146" s="112">
        <f t="shared" si="23"/>
        <v>22</v>
      </c>
      <c r="F146" s="112">
        <f t="shared" si="23"/>
        <v>20</v>
      </c>
      <c r="G146" s="112">
        <f t="shared" si="23"/>
        <v>20</v>
      </c>
      <c r="H146" s="112">
        <f t="shared" si="23"/>
        <v>20</v>
      </c>
      <c r="I146" s="112">
        <f t="shared" si="23"/>
        <v>20</v>
      </c>
      <c r="J146" s="111">
        <f t="shared" si="24"/>
        <v>151</v>
      </c>
    </row>
    <row r="147" spans="2:16" ht="15" customHeight="1">
      <c r="B147" s="114">
        <v>2027</v>
      </c>
      <c r="C147" s="113">
        <f t="shared" si="22"/>
        <v>25</v>
      </c>
      <c r="D147" s="112">
        <f t="shared" si="23"/>
        <v>24</v>
      </c>
      <c r="E147" s="112">
        <f t="shared" si="23"/>
        <v>22</v>
      </c>
      <c r="F147" s="112">
        <f t="shared" si="23"/>
        <v>20</v>
      </c>
      <c r="G147" s="112">
        <f t="shared" si="23"/>
        <v>20</v>
      </c>
      <c r="H147" s="112">
        <f t="shared" si="23"/>
        <v>20</v>
      </c>
      <c r="I147" s="112">
        <f t="shared" si="23"/>
        <v>20</v>
      </c>
      <c r="J147" s="111">
        <f t="shared" si="24"/>
        <v>151</v>
      </c>
    </row>
    <row r="148" spans="2:16" ht="15" customHeight="1">
      <c r="B148" s="114">
        <v>2028</v>
      </c>
      <c r="C148" s="113">
        <f t="shared" si="22"/>
        <v>25</v>
      </c>
      <c r="D148" s="112">
        <f t="shared" si="23"/>
        <v>24</v>
      </c>
      <c r="E148" s="112">
        <f t="shared" si="23"/>
        <v>22</v>
      </c>
      <c r="F148" s="112">
        <f t="shared" si="23"/>
        <v>20</v>
      </c>
      <c r="G148" s="112">
        <f t="shared" si="23"/>
        <v>20</v>
      </c>
      <c r="H148" s="112">
        <f t="shared" si="23"/>
        <v>20</v>
      </c>
      <c r="I148" s="112">
        <f t="shared" si="23"/>
        <v>20</v>
      </c>
      <c r="J148" s="111">
        <f t="shared" ref="J148:J152" si="25">SUM(C148:I148)</f>
        <v>151</v>
      </c>
    </row>
    <row r="149" spans="2:16" ht="15" customHeight="1">
      <c r="B149" s="114">
        <v>2029</v>
      </c>
      <c r="C149" s="113">
        <f t="shared" si="22"/>
        <v>25</v>
      </c>
      <c r="D149" s="112">
        <f t="shared" si="23"/>
        <v>24</v>
      </c>
      <c r="E149" s="112">
        <f t="shared" si="23"/>
        <v>22</v>
      </c>
      <c r="F149" s="112">
        <f t="shared" si="23"/>
        <v>20</v>
      </c>
      <c r="G149" s="112">
        <f t="shared" si="23"/>
        <v>20</v>
      </c>
      <c r="H149" s="112">
        <f t="shared" si="23"/>
        <v>20</v>
      </c>
      <c r="I149" s="112">
        <f t="shared" si="23"/>
        <v>20</v>
      </c>
      <c r="J149" s="111">
        <f t="shared" si="25"/>
        <v>151</v>
      </c>
    </row>
    <row r="150" spans="2:16" ht="15" customHeight="1">
      <c r="B150" s="114">
        <v>2030</v>
      </c>
      <c r="C150" s="113">
        <f t="shared" si="22"/>
        <v>25</v>
      </c>
      <c r="D150" s="112">
        <f t="shared" si="23"/>
        <v>24</v>
      </c>
      <c r="E150" s="112">
        <f t="shared" si="23"/>
        <v>22</v>
      </c>
      <c r="F150" s="112">
        <f t="shared" si="23"/>
        <v>20</v>
      </c>
      <c r="G150" s="112">
        <f t="shared" si="23"/>
        <v>20</v>
      </c>
      <c r="H150" s="112">
        <f t="shared" si="23"/>
        <v>20</v>
      </c>
      <c r="I150" s="112">
        <f t="shared" si="23"/>
        <v>20</v>
      </c>
      <c r="J150" s="111">
        <f t="shared" si="25"/>
        <v>151</v>
      </c>
    </row>
    <row r="151" spans="2:16" ht="15" customHeight="1">
      <c r="B151" s="114">
        <v>2031</v>
      </c>
      <c r="C151" s="113">
        <f t="shared" si="22"/>
        <v>25</v>
      </c>
      <c r="D151" s="112">
        <f t="shared" si="23"/>
        <v>24</v>
      </c>
      <c r="E151" s="112">
        <f t="shared" si="23"/>
        <v>22</v>
      </c>
      <c r="F151" s="112">
        <f t="shared" si="23"/>
        <v>20</v>
      </c>
      <c r="G151" s="112">
        <f t="shared" si="23"/>
        <v>20</v>
      </c>
      <c r="H151" s="112">
        <f t="shared" si="23"/>
        <v>20</v>
      </c>
      <c r="I151" s="112">
        <f t="shared" si="23"/>
        <v>20</v>
      </c>
      <c r="J151" s="111">
        <f t="shared" si="25"/>
        <v>151</v>
      </c>
    </row>
    <row r="152" spans="2:16" ht="15" customHeight="1">
      <c r="B152" s="114">
        <v>2032</v>
      </c>
      <c r="C152" s="113">
        <f t="shared" si="22"/>
        <v>25</v>
      </c>
      <c r="D152" s="112">
        <f t="shared" si="23"/>
        <v>24</v>
      </c>
      <c r="E152" s="112">
        <f t="shared" si="23"/>
        <v>22</v>
      </c>
      <c r="F152" s="112">
        <f t="shared" si="23"/>
        <v>20</v>
      </c>
      <c r="G152" s="112">
        <f t="shared" si="23"/>
        <v>20</v>
      </c>
      <c r="H152" s="112">
        <f t="shared" si="23"/>
        <v>20</v>
      </c>
      <c r="I152" s="112">
        <f t="shared" si="23"/>
        <v>20</v>
      </c>
      <c r="J152" s="111">
        <f t="shared" si="25"/>
        <v>151</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229</v>
      </c>
      <c r="D159" s="108">
        <f>J140</f>
        <v>213</v>
      </c>
      <c r="E159" s="108">
        <f>J141</f>
        <v>206</v>
      </c>
      <c r="F159" s="108">
        <f>J142</f>
        <v>189</v>
      </c>
      <c r="G159" s="108">
        <f>J143</f>
        <v>179</v>
      </c>
      <c r="H159" s="108">
        <f>J144</f>
        <v>171</v>
      </c>
      <c r="I159" s="108">
        <f>J145</f>
        <v>155</v>
      </c>
      <c r="J159" s="108">
        <f>J146</f>
        <v>151</v>
      </c>
      <c r="K159" s="108">
        <f>J147</f>
        <v>151</v>
      </c>
      <c r="L159" s="108">
        <f>J148</f>
        <v>151</v>
      </c>
      <c r="M159" s="108">
        <f>J149</f>
        <v>151</v>
      </c>
      <c r="N159" s="108">
        <f>J150</f>
        <v>151</v>
      </c>
      <c r="O159" s="108">
        <f>J151</f>
        <v>151</v>
      </c>
      <c r="P159" s="108">
        <f>J152</f>
        <v>151</v>
      </c>
    </row>
    <row r="160" spans="2:16" ht="15" customHeight="1">
      <c r="B160" s="107" t="s">
        <v>152</v>
      </c>
      <c r="C160" s="106">
        <f>VLOOKUP(C159,Capacity!$A$1:$C$645,2,TRUE)</f>
        <v>9</v>
      </c>
      <c r="D160" s="106">
        <f>VLOOKUP(D159,Capacity!$A$1:$C$645,2,TRUE)</f>
        <v>8</v>
      </c>
      <c r="E160" s="106">
        <f>VLOOKUP(E159,Capacity!$A$1:$C$645,2,TRUE)</f>
        <v>7</v>
      </c>
      <c r="F160" s="106">
        <f>VLOOKUP(F159,Capacity!$A$1:$C$645,2,TRUE)</f>
        <v>7</v>
      </c>
      <c r="G160" s="106">
        <f>VLOOKUP(G159,Capacity!$A$1:$C$645,2,TRUE)</f>
        <v>7</v>
      </c>
      <c r="H160" s="106">
        <f>VLOOKUP(H159,Capacity!$A$1:$C$645,2,TRUE)</f>
        <v>7</v>
      </c>
      <c r="I160" s="106">
        <f>VLOOKUP(I159,Capacity!$A$1:$C$645,2,TRUE)</f>
        <v>7</v>
      </c>
      <c r="J160" s="106">
        <f>VLOOKUP(J159,Capacity!$A$1:$C$645,2,TRUE)</f>
        <v>7</v>
      </c>
      <c r="K160" s="106">
        <f>VLOOKUP(K159,Capacity!$A$1:$C$645,2,TRUE)</f>
        <v>7</v>
      </c>
      <c r="L160" s="106">
        <f>VLOOKUP(L159,Capacity!$A$1:$C$645,2,TRUE)</f>
        <v>7</v>
      </c>
      <c r="M160" s="106">
        <f>VLOOKUP(M159,Capacity!$A$1:$C$645,2,TRUE)</f>
        <v>7</v>
      </c>
      <c r="N160" s="106">
        <f>VLOOKUP(N159,Capacity!$A$1:$C$645,2,TRUE)</f>
        <v>7</v>
      </c>
      <c r="O160" s="106">
        <f>VLOOKUP(O159,Capacity!$A$1:$C$645,2,TRUE)</f>
        <v>7</v>
      </c>
      <c r="P160" s="106">
        <f>VLOOKUP(P159,Capacity!$A$1:$C$645,2,TRUE)</f>
        <v>7</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67</v>
      </c>
      <c r="D169" s="97">
        <f>VLOOKUP($E$3,'Catchment Births'!$A$1:$U$90,11,FALSE)</f>
        <v>62</v>
      </c>
      <c r="E169" s="97">
        <f>VLOOKUP($E$3,'Catchment Births'!$A$1:$U$90,12,FALSE)</f>
        <v>61</v>
      </c>
      <c r="F169" s="97">
        <f>VLOOKUP($E$3,'Catchment Births'!$A$1:$U$90,13,FALSE)</f>
        <v>84</v>
      </c>
      <c r="G169" s="97">
        <f>VLOOKUP($E$3,'Catchment Births'!$A$1:$U$90,14,FALSE)</f>
        <v>78</v>
      </c>
      <c r="H169" s="97">
        <f>VLOOKUP($E$3,'Catchment Births'!$A$1:$U$90,15,FALSE)</f>
        <v>78</v>
      </c>
      <c r="I169" s="97">
        <f>VLOOKUP($E$3,'Catchment Births'!$A$1:$U$90,16,FALSE)</f>
        <v>90</v>
      </c>
      <c r="J169" s="97">
        <f>VLOOKUP($E$3,'Catchment Births'!$A$1:$U$90,17,FALSE)</f>
        <v>101</v>
      </c>
      <c r="K169" s="97">
        <f>VLOOKUP($E$3,'Catchment Births'!$A$1:$U$90,18,FALSE)</f>
        <v>84</v>
      </c>
      <c r="L169" s="97">
        <f>VLOOKUP($E$3,'Catchment Births'!$A$1:$U$90,19,FALSE)</f>
        <v>84</v>
      </c>
      <c r="M169" s="97">
        <f>VLOOKUP($E$3,'Catchment Births'!$A$1:$U$90,20,FALSE)</f>
        <v>95</v>
      </c>
      <c r="N169" s="97">
        <f>VLOOKUP($E$3,'Catchment Births'!$A$1:$U$90,21,FALSE)</f>
        <v>77</v>
      </c>
    </row>
    <row r="170" spans="2:14" ht="58.5" customHeight="1">
      <c r="B170" s="103" t="str">
        <f>"P1 "&amp;A35&amp;" Catchment Population (Actual)"</f>
        <v>P1 ND Catchment Population (Actual)</v>
      </c>
      <c r="C170" s="102" t="e">
        <v>#REF!</v>
      </c>
      <c r="D170" s="102">
        <v>25</v>
      </c>
      <c r="E170" s="102">
        <v>39</v>
      </c>
      <c r="F170" s="102">
        <v>32</v>
      </c>
      <c r="G170" s="102">
        <v>42</v>
      </c>
      <c r="H170" s="102">
        <v>30</v>
      </c>
      <c r="I170" s="102">
        <v>31</v>
      </c>
      <c r="J170" s="308">
        <f>VLOOKUP(E3,'Catchment Projections'!A1:BU92,42,FALSE)</f>
        <v>27</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31</v>
      </c>
      <c r="J172" s="96" t="e">
        <f>#REF!</f>
        <v>#REF!</v>
      </c>
      <c r="K172" s="96">
        <f>D51</f>
        <v>36</v>
      </c>
      <c r="L172" s="96">
        <f>E51</f>
        <v>28</v>
      </c>
      <c r="M172" s="96">
        <f>F51</f>
        <v>28</v>
      </c>
      <c r="N172" s="96">
        <f>G51</f>
        <v>24</v>
      </c>
    </row>
    <row r="173" spans="2:14" ht="12.75">
      <c r="B173" s="62"/>
      <c r="C173" s="62"/>
      <c r="D173" s="62"/>
      <c r="E173" s="62"/>
      <c r="F173" s="62"/>
      <c r="G173" s="62"/>
      <c r="H173" s="62"/>
      <c r="I173" s="62"/>
      <c r="J173" s="62"/>
      <c r="K173" s="62"/>
    </row>
    <row r="174" spans="2:14" ht="15" customHeight="1">
      <c r="B174" s="64" t="str">
        <f>"Table 5: "&amp;E3&amp;" Roll by Stage, 2002-2018"</f>
        <v>Table 5: Lorne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32</v>
      </c>
      <c r="D177" s="93">
        <v>29</v>
      </c>
      <c r="E177" s="93">
        <v>36</v>
      </c>
      <c r="F177" s="93">
        <v>27</v>
      </c>
      <c r="G177" s="93">
        <v>36</v>
      </c>
      <c r="H177" s="93">
        <v>30</v>
      </c>
      <c r="I177" s="93">
        <v>35</v>
      </c>
      <c r="J177" s="92">
        <v>225</v>
      </c>
      <c r="K177" s="62"/>
    </row>
    <row r="178" spans="2:11" ht="15" customHeight="1">
      <c r="B178" s="94">
        <v>2003</v>
      </c>
      <c r="C178" s="93">
        <v>47</v>
      </c>
      <c r="D178" s="93">
        <v>29</v>
      </c>
      <c r="E178" s="93">
        <v>28</v>
      </c>
      <c r="F178" s="93">
        <v>33</v>
      </c>
      <c r="G178" s="93">
        <v>30</v>
      </c>
      <c r="H178" s="93">
        <v>36</v>
      </c>
      <c r="I178" s="93">
        <v>30</v>
      </c>
      <c r="J178" s="92">
        <v>233</v>
      </c>
      <c r="K178" s="62"/>
    </row>
    <row r="179" spans="2:11" customFormat="1" ht="15" customHeight="1">
      <c r="B179" s="94">
        <v>2004</v>
      </c>
      <c r="C179" s="95">
        <v>41</v>
      </c>
      <c r="D179" s="95">
        <v>44</v>
      </c>
      <c r="E179" s="95">
        <v>31</v>
      </c>
      <c r="F179" s="95">
        <v>28</v>
      </c>
      <c r="G179" s="95">
        <v>33</v>
      </c>
      <c r="H179" s="95">
        <v>29</v>
      </c>
      <c r="I179" s="95">
        <v>34</v>
      </c>
      <c r="J179" s="92">
        <v>240</v>
      </c>
      <c r="K179" s="62"/>
    </row>
    <row r="180" spans="2:11" customFormat="1" ht="15" customHeight="1">
      <c r="B180" s="94">
        <v>2005</v>
      </c>
      <c r="C180" s="93">
        <v>39</v>
      </c>
      <c r="D180" s="93">
        <v>46</v>
      </c>
      <c r="E180" s="93">
        <v>47</v>
      </c>
      <c r="F180" s="93">
        <v>31</v>
      </c>
      <c r="G180" s="93">
        <v>25</v>
      </c>
      <c r="H180" s="93">
        <v>34</v>
      </c>
      <c r="I180" s="93">
        <v>31</v>
      </c>
      <c r="J180" s="92">
        <v>253</v>
      </c>
      <c r="K180" s="62"/>
    </row>
    <row r="181" spans="2:11" customFormat="1" ht="15" customHeight="1">
      <c r="B181" s="94">
        <v>2006</v>
      </c>
      <c r="C181" s="93">
        <v>47</v>
      </c>
      <c r="D181" s="93">
        <v>34</v>
      </c>
      <c r="E181" s="93">
        <v>38</v>
      </c>
      <c r="F181" s="93">
        <v>47</v>
      </c>
      <c r="G181" s="93">
        <v>28</v>
      </c>
      <c r="H181" s="93">
        <v>28</v>
      </c>
      <c r="I181" s="93">
        <v>31</v>
      </c>
      <c r="J181" s="92">
        <v>253</v>
      </c>
      <c r="K181" s="62"/>
    </row>
    <row r="182" spans="2:11" customFormat="1" ht="15" customHeight="1">
      <c r="B182" s="94">
        <v>2007</v>
      </c>
      <c r="C182" s="93">
        <v>28</v>
      </c>
      <c r="D182" s="93">
        <v>44</v>
      </c>
      <c r="E182" s="93">
        <v>29</v>
      </c>
      <c r="F182" s="93">
        <v>39</v>
      </c>
      <c r="G182" s="93">
        <v>42</v>
      </c>
      <c r="H182" s="93">
        <v>24</v>
      </c>
      <c r="I182" s="93">
        <v>28</v>
      </c>
      <c r="J182" s="92">
        <v>234</v>
      </c>
      <c r="K182" s="62"/>
    </row>
    <row r="183" spans="2:11" customFormat="1" ht="15" customHeight="1">
      <c r="B183" s="94">
        <v>2008</v>
      </c>
      <c r="C183" s="93">
        <v>32</v>
      </c>
      <c r="D183" s="93">
        <v>28</v>
      </c>
      <c r="E183" s="93">
        <v>45</v>
      </c>
      <c r="F183" s="93">
        <v>32</v>
      </c>
      <c r="G183" s="93">
        <v>38</v>
      </c>
      <c r="H183" s="93">
        <v>41</v>
      </c>
      <c r="I183" s="93">
        <v>29</v>
      </c>
      <c r="J183" s="92">
        <v>245</v>
      </c>
      <c r="K183" s="62"/>
    </row>
    <row r="184" spans="2:11" customFormat="1" ht="15" customHeight="1">
      <c r="B184" s="94">
        <v>2009</v>
      </c>
      <c r="C184" s="93">
        <v>42</v>
      </c>
      <c r="D184" s="93">
        <v>36</v>
      </c>
      <c r="E184" s="93">
        <v>25</v>
      </c>
      <c r="F184" s="93">
        <v>45</v>
      </c>
      <c r="G184" s="93">
        <v>31</v>
      </c>
      <c r="H184" s="93">
        <v>40</v>
      </c>
      <c r="I184" s="93">
        <v>37</v>
      </c>
      <c r="J184" s="94">
        <v>256</v>
      </c>
      <c r="K184" s="62"/>
    </row>
    <row r="185" spans="2:11" customFormat="1" ht="15" customHeight="1">
      <c r="B185" s="94">
        <v>2010</v>
      </c>
      <c r="C185" s="93">
        <v>31</v>
      </c>
      <c r="D185" s="93">
        <v>37</v>
      </c>
      <c r="E185" s="93">
        <v>39</v>
      </c>
      <c r="F185" s="93">
        <v>24</v>
      </c>
      <c r="G185" s="93">
        <v>43</v>
      </c>
      <c r="H185" s="93">
        <v>27</v>
      </c>
      <c r="I185" s="93">
        <v>39</v>
      </c>
      <c r="J185" s="92">
        <v>240</v>
      </c>
      <c r="K185" s="62"/>
    </row>
    <row r="186" spans="2:11" customFormat="1" ht="15" customHeight="1">
      <c r="B186" s="94">
        <v>2011</v>
      </c>
      <c r="C186" s="93">
        <v>47</v>
      </c>
      <c r="D186" s="93">
        <v>30</v>
      </c>
      <c r="E186" s="93">
        <v>38</v>
      </c>
      <c r="F186" s="93">
        <v>38</v>
      </c>
      <c r="G186" s="93">
        <v>24</v>
      </c>
      <c r="H186" s="93">
        <v>42</v>
      </c>
      <c r="I186" s="93">
        <v>27</v>
      </c>
      <c r="J186" s="92">
        <v>246</v>
      </c>
      <c r="K186" s="62"/>
    </row>
    <row r="187" spans="2:11" customFormat="1" ht="15" customHeight="1">
      <c r="B187" s="94">
        <v>2012</v>
      </c>
      <c r="C187" s="93">
        <v>30</v>
      </c>
      <c r="D187" s="93">
        <v>48</v>
      </c>
      <c r="E187" s="93">
        <v>28</v>
      </c>
      <c r="F187" s="93">
        <v>34</v>
      </c>
      <c r="G187" s="93">
        <v>36</v>
      </c>
      <c r="H187" s="93">
        <v>27</v>
      </c>
      <c r="I187" s="93">
        <v>39</v>
      </c>
      <c r="J187" s="92">
        <v>242</v>
      </c>
      <c r="K187" s="62"/>
    </row>
    <row r="188" spans="2:11" customFormat="1" ht="15" customHeight="1">
      <c r="B188" s="94">
        <v>2013</v>
      </c>
      <c r="C188" s="93">
        <v>45</v>
      </c>
      <c r="D188" s="93">
        <v>30</v>
      </c>
      <c r="E188" s="93">
        <v>46</v>
      </c>
      <c r="F188" s="93">
        <v>25</v>
      </c>
      <c r="G188" s="93">
        <v>33</v>
      </c>
      <c r="H188" s="93">
        <v>40</v>
      </c>
      <c r="I188" s="93">
        <v>23</v>
      </c>
      <c r="J188" s="94">
        <v>242</v>
      </c>
      <c r="K188" s="62"/>
    </row>
    <row r="189" spans="2:11" customFormat="1" ht="15" customHeight="1">
      <c r="B189" s="94">
        <v>2014</v>
      </c>
      <c r="C189" s="93">
        <v>29</v>
      </c>
      <c r="D189" s="93">
        <v>39</v>
      </c>
      <c r="E189" s="93">
        <v>27</v>
      </c>
      <c r="F189" s="93">
        <v>42</v>
      </c>
      <c r="G189" s="93">
        <v>21</v>
      </c>
      <c r="H189" s="93">
        <v>34</v>
      </c>
      <c r="I189" s="93">
        <v>39</v>
      </c>
      <c r="J189" s="92">
        <v>231</v>
      </c>
      <c r="K189" s="65"/>
    </row>
    <row r="190" spans="2:11" customFormat="1" ht="15" customHeight="1">
      <c r="B190" s="94">
        <v>2015</v>
      </c>
      <c r="C190" s="93">
        <v>40</v>
      </c>
      <c r="D190" s="93">
        <v>28</v>
      </c>
      <c r="E190" s="93">
        <v>40</v>
      </c>
      <c r="F190" s="93">
        <v>29</v>
      </c>
      <c r="G190" s="93">
        <v>42</v>
      </c>
      <c r="H190" s="93">
        <v>21</v>
      </c>
      <c r="I190" s="93">
        <v>34</v>
      </c>
      <c r="J190" s="92">
        <v>234</v>
      </c>
      <c r="K190" s="65"/>
    </row>
    <row r="191" spans="2:11" customFormat="1" ht="15" customHeight="1">
      <c r="B191" s="94">
        <v>2016</v>
      </c>
      <c r="C191" s="93">
        <v>36</v>
      </c>
      <c r="D191" s="93">
        <v>35</v>
      </c>
      <c r="E191" s="93">
        <v>26</v>
      </c>
      <c r="F191" s="93">
        <v>34</v>
      </c>
      <c r="G191" s="93">
        <v>24</v>
      </c>
      <c r="H191" s="93">
        <v>41</v>
      </c>
      <c r="I191" s="93">
        <v>21</v>
      </c>
      <c r="J191" s="92">
        <v>217</v>
      </c>
      <c r="K191" s="65"/>
    </row>
    <row r="192" spans="2:11" ht="15" customHeight="1">
      <c r="B192" s="94">
        <v>2017</v>
      </c>
      <c r="C192" s="93">
        <f>VLOOKUP($E$3,Rolls!A1:FA90,42,FALSE)</f>
        <v>33</v>
      </c>
      <c r="D192" s="93">
        <f>VLOOKUP($E$3,Rolls!A1:FA90,43,FALSE)</f>
        <v>37</v>
      </c>
      <c r="E192" s="93">
        <f>VLOOKUP($E$3,Rolls!A1:FA90,44,FALSE)</f>
        <v>40</v>
      </c>
      <c r="F192" s="93">
        <f>VLOOKUP($E$3,Rolls!A1:FA90,45,FALSE)</f>
        <v>25</v>
      </c>
      <c r="G192" s="93">
        <f>VLOOKUP($E$3,Rolls!A1:FA90,46,FALSE)</f>
        <v>35</v>
      </c>
      <c r="H192" s="93">
        <f>VLOOKUP($E$3,Rolls!A1:FA90,47,FALSE)</f>
        <v>27</v>
      </c>
      <c r="I192" s="93">
        <f>VLOOKUP($E$3,Rolls!A1:FA90,48,FALSE)</f>
        <v>40</v>
      </c>
      <c r="J192" s="92">
        <f>VLOOKUP($E$3,Rolls!A1:FA90,49,FALSE)</f>
        <v>237</v>
      </c>
      <c r="K192" s="65"/>
    </row>
    <row r="193" spans="2:11" ht="15" customHeight="1">
      <c r="B193" s="94">
        <v>2018</v>
      </c>
      <c r="C193" s="93">
        <f>VLOOKUP($E$3,Rolls!A1:FA90,50,FALSE)</f>
        <v>44</v>
      </c>
      <c r="D193" s="93">
        <f>VLOOKUP($E$3,Rolls!A1:FA90,51,FALSE)</f>
        <v>32</v>
      </c>
      <c r="E193" s="93">
        <f>VLOOKUP($E$3,Rolls!A1:FA90,52,FALSE)</f>
        <v>32</v>
      </c>
      <c r="F193" s="93">
        <f>VLOOKUP($E$3,Rolls!A1:FA90,53,FALSE)</f>
        <v>37</v>
      </c>
      <c r="G193" s="93">
        <f>VLOOKUP($E$3,Rolls!A1:FA90,54,FALSE)</f>
        <v>26</v>
      </c>
      <c r="H193" s="93">
        <f>VLOOKUP($E$3,Rolls!A1:FA90,55,FALSE)</f>
        <v>35</v>
      </c>
      <c r="I193" s="93">
        <f>VLOOKUP($E$3,Rolls!A1:FA90,56,FALSE)</f>
        <v>24</v>
      </c>
      <c r="J193" s="92">
        <f>VLOOKUP($E$3,Rolls!A1:FA90,57,FALSE)</f>
        <v>230</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49</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Murrayburn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420 Pupils (14 classes)</v>
      </c>
      <c r="G12" s="16"/>
      <c r="H12" s="16"/>
    </row>
    <row r="13" spans="2:10" ht="15" customHeight="1">
      <c r="C13" s="16"/>
      <c r="D13" s="16"/>
      <c r="E13" s="16"/>
      <c r="F13" s="16"/>
      <c r="G13" s="16"/>
      <c r="H13" s="16"/>
    </row>
    <row r="14" spans="2:10" ht="15" customHeight="1">
      <c r="B14" s="15" t="str">
        <f>"Figure 1: "&amp;E3&amp;" Roll, 2002-2015"</f>
        <v>Figure 1: Murrayburn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Murrayburn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55</v>
      </c>
      <c r="E49" s="108">
        <f>VLOOKUP($E$3,'Catchment Projections'!$A$1:$BU$90,46,FALSE)</f>
        <v>45</v>
      </c>
      <c r="F49" s="108">
        <f>VLOOKUP($E$3,'Catchment Projections'!$A$1:$BU$90,47,FALSE)</f>
        <v>33</v>
      </c>
      <c r="G49" s="108">
        <f>VLOOKUP($E$3,'Catchment Projections'!$A$1:$BU$90,48,FALSE)</f>
        <v>49</v>
      </c>
      <c r="H49" s="133">
        <f>VLOOKUP($E$3,'Catchment Projections'!$A$1:$BU$90,49,FALSE)</f>
        <v>43</v>
      </c>
      <c r="I49" s="133">
        <f>VLOOKUP($E$3,'Catchment Projections'!$A$1:$BU$90,50,FALSE)</f>
        <v>43</v>
      </c>
      <c r="J49" s="133">
        <f>VLOOKUP($E$3,'Catchment Projections'!$A$1:$BU$90,51,FALSE)</f>
        <v>43</v>
      </c>
      <c r="K49" s="133">
        <f>VLOOKUP($E$3,'Catchment Projections'!$A$1:$BU$90,52,FALSE)</f>
        <v>44</v>
      </c>
      <c r="L49" s="133">
        <f>VLOOKUP($E$3,'Catchment Projections'!$A$1:$BU$90,53,FALSE)</f>
        <v>44</v>
      </c>
      <c r="M49" s="133">
        <f>VLOOKUP($E$3,'Catchment Projections'!$A$1:$BU$90,54,FALSE)</f>
        <v>45</v>
      </c>
      <c r="N49" s="133">
        <f>VLOOKUP($E$3,'Catchment Projections'!$A$1:$BU$90,55,FALSE)</f>
        <v>45</v>
      </c>
      <c r="O49" s="133">
        <f>VLOOKUP($E$3,'Catchment Projections'!$A$1:$BU$90,56,FALSE)</f>
        <v>45</v>
      </c>
      <c r="P49" s="133">
        <f>VLOOKUP($E$3,'Catchment Projections'!$A$1:$BU$90,57,FALSE)</f>
        <v>45</v>
      </c>
      <c r="Q49" s="133">
        <f>VLOOKUP($E$3,'Catchment Projections'!$A$1:$BU$90,58,FALSE)</f>
        <v>45</v>
      </c>
    </row>
    <row r="50" spans="2:17" ht="15" customHeight="1" thickBot="1">
      <c r="B50" s="410" t="s">
        <v>141</v>
      </c>
      <c r="C50" s="411"/>
      <c r="D50" s="286">
        <f>VLOOKUP(E3,'Housing Generation'!$A$3:$DQ$90,10,FALSE)</f>
        <v>0</v>
      </c>
      <c r="E50" s="286">
        <f>VLOOKUP(E3,'Housing Generation'!$A$3:$DQ$90,18,FALSE)</f>
        <v>0</v>
      </c>
      <c r="F50" s="286">
        <f>VLOOKUP(E3,'Housing Generation'!$A$3:$DQ$90,26,FALSE)</f>
        <v>0</v>
      </c>
      <c r="G50" s="243">
        <f>VLOOKUP(E3,'Housing Generation'!$A$3:$DQ$90,34,FALSE)</f>
        <v>0</v>
      </c>
      <c r="H50" s="133">
        <f>VLOOKUP(E3,'Housing Generation'!$A$3:$DQ$90,42,FALSE)</f>
        <v>0</v>
      </c>
      <c r="I50" s="133">
        <f>VLOOKUP(E3,'Housing Generation'!$A$3:$DQ$90,50,FALSE)</f>
        <v>0</v>
      </c>
      <c r="J50" s="133">
        <f>VLOOKUP(E3,'Housing Generation'!$A$3:$CK$90,58,FALSE)</f>
        <v>0</v>
      </c>
      <c r="K50" s="133">
        <f>VLOOKUP(E3,'Housing Generation'!$A$3:$CK$90,66,FALSE)</f>
        <v>0</v>
      </c>
      <c r="L50" s="133">
        <f>VLOOKUP(E3,'Housing Generation'!$A$3:$DQ$90,74,FALSE)</f>
        <v>0</v>
      </c>
      <c r="M50" s="133">
        <f>VLOOKUP(E3,'Housing Generation'!$A$3:$DQ$90,82,FALSE)</f>
        <v>0</v>
      </c>
      <c r="N50" s="133">
        <f>VLOOKUP(E3,'Housing Generation'!$A$3:$DQ$90,90,FALSE)</f>
        <v>0</v>
      </c>
      <c r="O50" s="133">
        <f>VLOOKUP(E3,'Housing Generation'!$A$3:$DQ$90,98,FALSE)</f>
        <v>0</v>
      </c>
      <c r="P50" s="133">
        <f>VLOOKUP(E3,'Housing Generation'!$A$3:$DQ$90,106,FALSE)</f>
        <v>0</v>
      </c>
      <c r="Q50" s="133">
        <f>VLOOKUP(E3,'Housing Generation'!$A$3:$DQ$90,114,FALSE)</f>
        <v>0</v>
      </c>
    </row>
    <row r="51" spans="2:17" ht="15" customHeight="1" thickTop="1">
      <c r="B51" s="421" t="s">
        <v>130</v>
      </c>
      <c r="C51" s="422"/>
      <c r="D51" s="47">
        <f t="shared" ref="D51:Q51" si="0">SUM(D49:D50)</f>
        <v>55</v>
      </c>
      <c r="E51" s="47">
        <f t="shared" si="0"/>
        <v>45</v>
      </c>
      <c r="F51" s="80">
        <f t="shared" si="0"/>
        <v>33</v>
      </c>
      <c r="G51" s="244">
        <f t="shared" si="0"/>
        <v>49</v>
      </c>
      <c r="H51" s="71">
        <f t="shared" si="0"/>
        <v>43</v>
      </c>
      <c r="I51" s="71">
        <f t="shared" si="0"/>
        <v>43</v>
      </c>
      <c r="J51" s="71">
        <f t="shared" si="0"/>
        <v>43</v>
      </c>
      <c r="K51" s="71">
        <f t="shared" si="0"/>
        <v>44</v>
      </c>
      <c r="L51" s="71">
        <f t="shared" si="0"/>
        <v>44</v>
      </c>
      <c r="M51" s="71">
        <f t="shared" si="0"/>
        <v>45</v>
      </c>
      <c r="N51" s="71">
        <f t="shared" si="0"/>
        <v>45</v>
      </c>
      <c r="O51" s="71">
        <f t="shared" si="0"/>
        <v>45</v>
      </c>
      <c r="P51" s="71">
        <f t="shared" si="0"/>
        <v>45</v>
      </c>
      <c r="Q51" s="71">
        <f t="shared" si="0"/>
        <v>45</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56</v>
      </c>
      <c r="D60" s="358">
        <f>VLOOKUP($E$3,'Catchment Projections'!$A$1:$BZ$90,74,FALSE)</f>
        <v>48</v>
      </c>
      <c r="E60" s="303">
        <f>D60/C60</f>
        <v>0.8571428571428571</v>
      </c>
      <c r="G60" s="132">
        <v>2014</v>
      </c>
      <c r="H60" s="395">
        <f>VLOOKUP($G$60,$B$177:$C$215, 2, FALSE)</f>
        <v>58</v>
      </c>
      <c r="I60" s="120">
        <f>H60-D60</f>
        <v>10</v>
      </c>
      <c r="J60" s="121">
        <f>I60/H60</f>
        <v>0.17241379310344829</v>
      </c>
    </row>
    <row r="61" spans="2:17" ht="15" customHeight="1">
      <c r="B61" s="132">
        <v>2015</v>
      </c>
      <c r="C61" s="359">
        <f>VLOOKUP($E$3,'Catchment Projections'!$A$1:$BZ$90,41,FALSE)</f>
        <v>38</v>
      </c>
      <c r="D61" s="358">
        <f>VLOOKUP($E$3,'Catchment Projections'!$A$1:$BZ$90,75,FALSE)</f>
        <v>33</v>
      </c>
      <c r="E61" s="303">
        <f>D61/C61</f>
        <v>0.86842105263157898</v>
      </c>
      <c r="G61" s="132">
        <v>2015</v>
      </c>
      <c r="H61" s="395">
        <f>VLOOKUP($G$61,$B$177:$C$215, 2, FALSE)</f>
        <v>48</v>
      </c>
      <c r="I61" s="120">
        <f>H61-D61</f>
        <v>15</v>
      </c>
      <c r="J61" s="121">
        <f>I61/H61</f>
        <v>0.3125</v>
      </c>
    </row>
    <row r="62" spans="2:17" ht="15" customHeight="1">
      <c r="B62" s="131">
        <v>2016</v>
      </c>
      <c r="C62" s="359">
        <f>VLOOKUP($E$3,'Catchment Projections'!$A$1:$BZ$90,42,FALSE)</f>
        <v>45</v>
      </c>
      <c r="D62" s="358">
        <f>VLOOKUP($E$3,'Catchment Projections'!$A$1:$BZ$90,76,FALSE)</f>
        <v>35</v>
      </c>
      <c r="E62" s="57">
        <f>D62/C62</f>
        <v>0.77777777777777779</v>
      </c>
      <c r="G62" s="131">
        <v>2016</v>
      </c>
      <c r="H62" s="395">
        <f>VLOOKUP($G$62,$B$177:$C$215, 2, FALSE)</f>
        <v>57</v>
      </c>
      <c r="I62" s="120">
        <f>H62-D62</f>
        <v>22</v>
      </c>
      <c r="J62" s="121">
        <f>I62/H62</f>
        <v>0.38596491228070173</v>
      </c>
    </row>
    <row r="63" spans="2:17" ht="15" customHeight="1">
      <c r="B63" s="114">
        <v>2017</v>
      </c>
      <c r="C63" s="359">
        <f>VLOOKUP($E$3,'Catchment Projections'!$A$1:$BZ$90,43,FALSE)</f>
        <v>41</v>
      </c>
      <c r="D63" s="358">
        <f>VLOOKUP($E$3,'Catchment Projections'!$A$1:$BZ$90,77,FALSE)</f>
        <v>37</v>
      </c>
      <c r="E63" s="304">
        <f>D63/C63</f>
        <v>0.90243902439024393</v>
      </c>
      <c r="G63" s="114">
        <v>2017</v>
      </c>
      <c r="H63" s="395">
        <f>VLOOKUP($G$63,$B$177:$C$215, 2, FALSE)</f>
        <v>49</v>
      </c>
      <c r="I63" s="120">
        <f>H63-D63</f>
        <v>12</v>
      </c>
      <c r="J63" s="121">
        <f>I63/H63</f>
        <v>0.24489795918367346</v>
      </c>
    </row>
    <row r="64" spans="2:17" ht="15" customHeight="1">
      <c r="B64" s="114">
        <v>2018</v>
      </c>
      <c r="C64" s="359">
        <f>VLOOKUP($E$3,'Catchment Projections'!$A$1:$BZ$90,44,FALSE)</f>
        <v>45</v>
      </c>
      <c r="D64" s="358">
        <f>VLOOKUP($E$3,'Catchment Projections'!$A$1:$BZ$90,78,FALSE)</f>
        <v>39</v>
      </c>
      <c r="E64" s="305">
        <f>D64/C64</f>
        <v>0.8666666666666667</v>
      </c>
      <c r="G64" s="114">
        <v>2018</v>
      </c>
      <c r="H64" s="395">
        <f>VLOOKUP($G$64,$B$177:$C$215, 2, FALSE)</f>
        <v>48</v>
      </c>
      <c r="I64" s="120">
        <f>H64-D64</f>
        <v>9</v>
      </c>
      <c r="J64" s="121">
        <f>I64/H64</f>
        <v>0.1875</v>
      </c>
    </row>
    <row r="65" spans="2:10" ht="15" customHeight="1">
      <c r="B65" s="412" t="s">
        <v>136</v>
      </c>
      <c r="C65" s="413"/>
      <c r="D65" s="414"/>
      <c r="E65" s="137">
        <f>IF((AVERAGE(E62:E64))="#DIV/0!","n/a",(AVERAGE(E62:E64)))</f>
        <v>0.84896115627822955</v>
      </c>
      <c r="G65" s="415" t="s">
        <v>137</v>
      </c>
      <c r="H65" s="416"/>
      <c r="I65" s="138">
        <f>MEDIAN(I60:I64)</f>
        <v>12</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55</v>
      </c>
      <c r="D70" s="408"/>
      <c r="E70" s="122">
        <f>E65</f>
        <v>0.84896115627822955</v>
      </c>
      <c r="F70" s="120">
        <f t="shared" ref="F70:F83" si="1">C70*$E$65</f>
        <v>46.692863595302626</v>
      </c>
      <c r="G70" s="118">
        <f>IF(F70&lt;26,25,IF(F70&gt;135,140,IF(F70&gt;130,135,IF(F70&gt;125,130,IF(F70&gt;120,125,IF(F70&gt;115,120,IF(F70&gt;110,115,IF(F70&gt;105,110,IF(F70&gt;100,105,IF(F70&gt;99,100,IF(F70&gt;90,99,IF(F70&gt;75,90,IF(F70&gt;72,75,IF(F70&gt;66,72,IF(F70&gt;60,66,IF(F70&gt;50,60,IF(F70&gt;30,50,IF(F70&gt;25,30,0))))))))))))))))))</f>
        <v>50</v>
      </c>
      <c r="H70" s="119">
        <f t="shared" ref="H70:H83" si="2">G70-F70</f>
        <v>3.3071364046973741</v>
      </c>
      <c r="I70" s="118" t="str">
        <f>IF(I$65&lt;H70, "NO", "YES")</f>
        <v>YES</v>
      </c>
      <c r="J70" s="117">
        <f t="shared" ref="J70:J83" si="3">IF(I70="YES",G70,(MIN((SUM(F70,$I$65)),G70)))</f>
        <v>50</v>
      </c>
    </row>
    <row r="71" spans="2:10" ht="15" customHeight="1">
      <c r="B71" s="114">
        <v>2020</v>
      </c>
      <c r="C71" s="433">
        <f>E51</f>
        <v>45</v>
      </c>
      <c r="D71" s="408"/>
      <c r="E71" s="121">
        <f>E65</f>
        <v>0.84896115627822955</v>
      </c>
      <c r="F71" s="120">
        <f t="shared" si="1"/>
        <v>38.203252032520332</v>
      </c>
      <c r="G71" s="118">
        <f t="shared" ref="G71:G83" si="4">IF(F71&lt;26,25,IF(F71&gt;135,140,IF(F71&gt;130,135,IF(F71&gt;125,130,IF(F71&gt;120,125,IF(F71&gt;115,120,IF(F71&gt;110,115,IF(F71&gt;105,110,IF(F71&gt;100,105,IF(F71&gt;99,100,IF(F71&gt;90,99,IF(F71&gt;75,90,IF(F71&gt;72,75,IF(F71&gt;66,72,IF(F71&gt;60,66,IF(F71&gt;50,60,IF(F71&gt;30,50,IF(F71&gt;25,30,0))))))))))))))))))</f>
        <v>50</v>
      </c>
      <c r="H71" s="119">
        <f t="shared" si="2"/>
        <v>11.796747967479668</v>
      </c>
      <c r="I71" s="118" t="str">
        <f t="shared" ref="I71:I83" si="5">IF(I$65&lt;H71, "NO", "YES")</f>
        <v>YES</v>
      </c>
      <c r="J71" s="117">
        <f t="shared" si="3"/>
        <v>50</v>
      </c>
    </row>
    <row r="72" spans="2:10" ht="15" customHeight="1">
      <c r="B72" s="114">
        <v>2021</v>
      </c>
      <c r="C72" s="430">
        <f>F51</f>
        <v>33</v>
      </c>
      <c r="D72" s="431"/>
      <c r="E72" s="121">
        <f>E65</f>
        <v>0.84896115627822955</v>
      </c>
      <c r="F72" s="120">
        <f t="shared" si="1"/>
        <v>28.015718157181574</v>
      </c>
      <c r="G72" s="118">
        <f t="shared" si="4"/>
        <v>30</v>
      </c>
      <c r="H72" s="119">
        <f t="shared" si="2"/>
        <v>1.9842818428184259</v>
      </c>
      <c r="I72" s="118" t="str">
        <f t="shared" si="5"/>
        <v>YES</v>
      </c>
      <c r="J72" s="117">
        <f t="shared" si="3"/>
        <v>30</v>
      </c>
    </row>
    <row r="73" spans="2:10" ht="15" customHeight="1">
      <c r="B73" s="114">
        <v>2022</v>
      </c>
      <c r="C73" s="430">
        <f>G51</f>
        <v>49</v>
      </c>
      <c r="D73" s="431"/>
      <c r="E73" s="121">
        <f>E65</f>
        <v>0.84896115627822955</v>
      </c>
      <c r="F73" s="120">
        <f t="shared" si="1"/>
        <v>41.599096657633247</v>
      </c>
      <c r="G73" s="118">
        <f t="shared" si="4"/>
        <v>50</v>
      </c>
      <c r="H73" s="119">
        <f t="shared" si="2"/>
        <v>8.4009033423667532</v>
      </c>
      <c r="I73" s="118" t="str">
        <f t="shared" si="5"/>
        <v>YES</v>
      </c>
      <c r="J73" s="117">
        <f t="shared" si="3"/>
        <v>50</v>
      </c>
    </row>
    <row r="74" spans="2:10" ht="15" customHeight="1">
      <c r="B74" s="114">
        <v>2023</v>
      </c>
      <c r="C74" s="430">
        <f>H51</f>
        <v>43</v>
      </c>
      <c r="D74" s="431"/>
      <c r="E74" s="121">
        <f>E65</f>
        <v>0.84896115627822955</v>
      </c>
      <c r="F74" s="120">
        <f t="shared" si="1"/>
        <v>36.505329719963868</v>
      </c>
      <c r="G74" s="118">
        <f t="shared" si="4"/>
        <v>50</v>
      </c>
      <c r="H74" s="119">
        <f t="shared" si="2"/>
        <v>13.494670280036132</v>
      </c>
      <c r="I74" s="118" t="str">
        <f t="shared" si="5"/>
        <v>NO</v>
      </c>
      <c r="J74" s="117">
        <f t="shared" si="3"/>
        <v>48.505329719963868</v>
      </c>
    </row>
    <row r="75" spans="2:10" ht="15" customHeight="1">
      <c r="B75" s="114">
        <v>2024</v>
      </c>
      <c r="C75" s="430">
        <f>I51</f>
        <v>43</v>
      </c>
      <c r="D75" s="431"/>
      <c r="E75" s="121">
        <f>E65</f>
        <v>0.84896115627822955</v>
      </c>
      <c r="F75" s="120">
        <f t="shared" si="1"/>
        <v>36.505329719963868</v>
      </c>
      <c r="G75" s="118">
        <f t="shared" si="4"/>
        <v>50</v>
      </c>
      <c r="H75" s="119">
        <f t="shared" si="2"/>
        <v>13.494670280036132</v>
      </c>
      <c r="I75" s="118" t="str">
        <f t="shared" si="5"/>
        <v>NO</v>
      </c>
      <c r="J75" s="117">
        <f t="shared" si="3"/>
        <v>48.505329719963868</v>
      </c>
    </row>
    <row r="76" spans="2:10" ht="15" customHeight="1">
      <c r="B76" s="114">
        <v>2025</v>
      </c>
      <c r="C76" s="430">
        <f>J51</f>
        <v>43</v>
      </c>
      <c r="D76" s="431"/>
      <c r="E76" s="121">
        <f>E65</f>
        <v>0.84896115627822955</v>
      </c>
      <c r="F76" s="120">
        <f t="shared" si="1"/>
        <v>36.505329719963868</v>
      </c>
      <c r="G76" s="118">
        <f t="shared" si="4"/>
        <v>50</v>
      </c>
      <c r="H76" s="119">
        <f t="shared" si="2"/>
        <v>13.494670280036132</v>
      </c>
      <c r="I76" s="118" t="str">
        <f t="shared" si="5"/>
        <v>NO</v>
      </c>
      <c r="J76" s="117">
        <f t="shared" si="3"/>
        <v>48.505329719963868</v>
      </c>
    </row>
    <row r="77" spans="2:10" ht="15" customHeight="1">
      <c r="B77" s="114">
        <v>2026</v>
      </c>
      <c r="C77" s="430">
        <f>K51</f>
        <v>44</v>
      </c>
      <c r="D77" s="431"/>
      <c r="E77" s="121">
        <f>E65</f>
        <v>0.84896115627822955</v>
      </c>
      <c r="F77" s="120">
        <f t="shared" si="1"/>
        <v>37.354290876242104</v>
      </c>
      <c r="G77" s="118">
        <f t="shared" si="4"/>
        <v>50</v>
      </c>
      <c r="H77" s="119">
        <f t="shared" si="2"/>
        <v>12.645709123757896</v>
      </c>
      <c r="I77" s="118" t="str">
        <f t="shared" si="5"/>
        <v>NO</v>
      </c>
      <c r="J77" s="117">
        <f t="shared" si="3"/>
        <v>49.354290876242104</v>
      </c>
    </row>
    <row r="78" spans="2:10" ht="15" customHeight="1">
      <c r="B78" s="114">
        <v>2027</v>
      </c>
      <c r="C78" s="430">
        <f>L51</f>
        <v>44</v>
      </c>
      <c r="D78" s="431"/>
      <c r="E78" s="121">
        <f>E65</f>
        <v>0.84896115627822955</v>
      </c>
      <c r="F78" s="120">
        <f t="shared" si="1"/>
        <v>37.354290876242104</v>
      </c>
      <c r="G78" s="118">
        <f t="shared" si="4"/>
        <v>50</v>
      </c>
      <c r="H78" s="119">
        <f t="shared" si="2"/>
        <v>12.645709123757896</v>
      </c>
      <c r="I78" s="118" t="str">
        <f t="shared" si="5"/>
        <v>NO</v>
      </c>
      <c r="J78" s="117">
        <f t="shared" si="3"/>
        <v>49.354290876242104</v>
      </c>
    </row>
    <row r="79" spans="2:10" ht="15" customHeight="1">
      <c r="B79" s="114">
        <v>2028</v>
      </c>
      <c r="C79" s="430">
        <f>M51</f>
        <v>45</v>
      </c>
      <c r="D79" s="431"/>
      <c r="E79" s="121">
        <f t="shared" ref="E79:E83" si="6">$E$65</f>
        <v>0.84896115627822955</v>
      </c>
      <c r="F79" s="120">
        <f t="shared" si="1"/>
        <v>38.203252032520332</v>
      </c>
      <c r="G79" s="118">
        <f t="shared" si="4"/>
        <v>50</v>
      </c>
      <c r="H79" s="119">
        <f t="shared" si="2"/>
        <v>11.796747967479668</v>
      </c>
      <c r="I79" s="118" t="str">
        <f t="shared" si="5"/>
        <v>YES</v>
      </c>
      <c r="J79" s="117">
        <f t="shared" si="3"/>
        <v>50</v>
      </c>
    </row>
    <row r="80" spans="2:10" ht="15" customHeight="1">
      <c r="B80" s="114">
        <v>2029</v>
      </c>
      <c r="C80" s="430">
        <f>N51</f>
        <v>45</v>
      </c>
      <c r="D80" s="431"/>
      <c r="E80" s="121">
        <f t="shared" si="6"/>
        <v>0.84896115627822955</v>
      </c>
      <c r="F80" s="120">
        <f t="shared" si="1"/>
        <v>38.203252032520332</v>
      </c>
      <c r="G80" s="118">
        <f t="shared" si="4"/>
        <v>50</v>
      </c>
      <c r="H80" s="119">
        <f t="shared" si="2"/>
        <v>11.796747967479668</v>
      </c>
      <c r="I80" s="118" t="str">
        <f t="shared" si="5"/>
        <v>YES</v>
      </c>
      <c r="J80" s="117">
        <f t="shared" si="3"/>
        <v>50</v>
      </c>
    </row>
    <row r="81" spans="2:10" ht="15" customHeight="1">
      <c r="B81" s="114">
        <v>2030</v>
      </c>
      <c r="C81" s="430">
        <f>O51</f>
        <v>45</v>
      </c>
      <c r="D81" s="431"/>
      <c r="E81" s="121">
        <f t="shared" si="6"/>
        <v>0.84896115627822955</v>
      </c>
      <c r="F81" s="120">
        <f t="shared" si="1"/>
        <v>38.203252032520332</v>
      </c>
      <c r="G81" s="118">
        <f t="shared" si="4"/>
        <v>50</v>
      </c>
      <c r="H81" s="119">
        <f t="shared" si="2"/>
        <v>11.796747967479668</v>
      </c>
      <c r="I81" s="118" t="str">
        <f t="shared" si="5"/>
        <v>YES</v>
      </c>
      <c r="J81" s="117">
        <f t="shared" si="3"/>
        <v>50</v>
      </c>
    </row>
    <row r="82" spans="2:10" ht="15" customHeight="1">
      <c r="B82" s="114">
        <v>2031</v>
      </c>
      <c r="C82" s="430">
        <f>P51</f>
        <v>45</v>
      </c>
      <c r="D82" s="431"/>
      <c r="E82" s="121">
        <f t="shared" si="6"/>
        <v>0.84896115627822955</v>
      </c>
      <c r="F82" s="120">
        <f t="shared" si="1"/>
        <v>38.203252032520332</v>
      </c>
      <c r="G82" s="118">
        <f t="shared" si="4"/>
        <v>50</v>
      </c>
      <c r="H82" s="119">
        <f t="shared" si="2"/>
        <v>11.796747967479668</v>
      </c>
      <c r="I82" s="118" t="str">
        <f t="shared" si="5"/>
        <v>YES</v>
      </c>
      <c r="J82" s="117">
        <f t="shared" si="3"/>
        <v>50</v>
      </c>
    </row>
    <row r="83" spans="2:10" ht="15" customHeight="1">
      <c r="B83" s="114">
        <v>2032</v>
      </c>
      <c r="C83" s="430">
        <f>Q51</f>
        <v>45</v>
      </c>
      <c r="D83" s="431"/>
      <c r="E83" s="121">
        <f t="shared" si="6"/>
        <v>0.84896115627822955</v>
      </c>
      <c r="F83" s="120">
        <f t="shared" si="1"/>
        <v>38.203252032520332</v>
      </c>
      <c r="G83" s="118">
        <f t="shared" si="4"/>
        <v>50</v>
      </c>
      <c r="H83" s="119">
        <f t="shared" si="2"/>
        <v>11.796747967479668</v>
      </c>
      <c r="I83" s="118" t="str">
        <f t="shared" si="5"/>
        <v>YES</v>
      </c>
      <c r="J83" s="117">
        <f t="shared" si="3"/>
        <v>50</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Murrayburn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49</v>
      </c>
      <c r="D91" s="112">
        <f t="shared" ref="D91:J91" si="7">D188</f>
        <v>53</v>
      </c>
      <c r="E91" s="112">
        <f t="shared" si="7"/>
        <v>61</v>
      </c>
      <c r="F91" s="112">
        <f t="shared" si="7"/>
        <v>54</v>
      </c>
      <c r="G91" s="112">
        <f t="shared" si="7"/>
        <v>48</v>
      </c>
      <c r="H91" s="112">
        <f t="shared" si="7"/>
        <v>55</v>
      </c>
      <c r="I91" s="112">
        <f t="shared" si="7"/>
        <v>44</v>
      </c>
      <c r="J91" s="213">
        <f t="shared" si="7"/>
        <v>364</v>
      </c>
    </row>
    <row r="92" spans="2:10" ht="15" customHeight="1">
      <c r="B92" s="114">
        <v>2014</v>
      </c>
      <c r="C92" s="112">
        <f>C189</f>
        <v>58</v>
      </c>
      <c r="D92" s="112">
        <f t="shared" ref="D92:J92" si="8">D189</f>
        <v>48</v>
      </c>
      <c r="E92" s="112">
        <f t="shared" si="8"/>
        <v>52</v>
      </c>
      <c r="F92" s="112">
        <f t="shared" si="8"/>
        <v>58</v>
      </c>
      <c r="G92" s="112">
        <f t="shared" si="8"/>
        <v>55</v>
      </c>
      <c r="H92" s="112">
        <f t="shared" si="8"/>
        <v>46</v>
      </c>
      <c r="I92" s="112">
        <f t="shared" si="8"/>
        <v>53</v>
      </c>
      <c r="J92" s="213">
        <f t="shared" si="8"/>
        <v>370</v>
      </c>
    </row>
    <row r="93" spans="2:10" ht="15" customHeight="1">
      <c r="B93" s="114">
        <v>2015</v>
      </c>
      <c r="C93" s="112">
        <f>C190</f>
        <v>48</v>
      </c>
      <c r="D93" s="112">
        <f t="shared" ref="D93:J93" si="9">D190</f>
        <v>62</v>
      </c>
      <c r="E93" s="112">
        <f t="shared" si="9"/>
        <v>53</v>
      </c>
      <c r="F93" s="112">
        <f t="shared" si="9"/>
        <v>47</v>
      </c>
      <c r="G93" s="112">
        <f t="shared" si="9"/>
        <v>57</v>
      </c>
      <c r="H93" s="112">
        <f t="shared" si="9"/>
        <v>58</v>
      </c>
      <c r="I93" s="112">
        <f t="shared" si="9"/>
        <v>49</v>
      </c>
      <c r="J93" s="213">
        <f t="shared" si="9"/>
        <v>374</v>
      </c>
    </row>
    <row r="94" spans="2:10" ht="15" customHeight="1">
      <c r="B94" s="114">
        <v>2016</v>
      </c>
      <c r="C94" s="112">
        <f>C191</f>
        <v>57</v>
      </c>
      <c r="D94" s="112">
        <f t="shared" ref="D94:J94" si="10">D191</f>
        <v>45</v>
      </c>
      <c r="E94" s="112">
        <f t="shared" si="10"/>
        <v>62</v>
      </c>
      <c r="F94" s="112">
        <f t="shared" si="10"/>
        <v>53</v>
      </c>
      <c r="G94" s="112">
        <f t="shared" si="10"/>
        <v>51</v>
      </c>
      <c r="H94" s="112">
        <f t="shared" si="10"/>
        <v>59</v>
      </c>
      <c r="I94" s="112">
        <f t="shared" si="10"/>
        <v>57</v>
      </c>
      <c r="J94" s="213">
        <f t="shared" si="10"/>
        <v>384</v>
      </c>
    </row>
    <row r="95" spans="2:10" ht="15" customHeight="1">
      <c r="B95" s="114">
        <v>2017</v>
      </c>
      <c r="C95" s="112">
        <f>C192</f>
        <v>49</v>
      </c>
      <c r="D95" s="112">
        <f t="shared" ref="D95:J95" si="11">D192</f>
        <v>60</v>
      </c>
      <c r="E95" s="112">
        <f t="shared" si="11"/>
        <v>45</v>
      </c>
      <c r="F95" s="112">
        <f t="shared" si="11"/>
        <v>65</v>
      </c>
      <c r="G95" s="112">
        <f t="shared" si="11"/>
        <v>51</v>
      </c>
      <c r="H95" s="112">
        <f t="shared" si="11"/>
        <v>54</v>
      </c>
      <c r="I95" s="112">
        <f t="shared" si="11"/>
        <v>61</v>
      </c>
      <c r="J95" s="213">
        <f t="shared" si="11"/>
        <v>385</v>
      </c>
    </row>
    <row r="96" spans="2:10" ht="15" customHeight="1">
      <c r="B96" s="307">
        <v>2018</v>
      </c>
      <c r="C96" s="112">
        <f t="shared" ref="C96:J96" si="12">C193</f>
        <v>48</v>
      </c>
      <c r="D96" s="112">
        <f t="shared" si="12"/>
        <v>48</v>
      </c>
      <c r="E96" s="112">
        <f t="shared" si="12"/>
        <v>60</v>
      </c>
      <c r="F96" s="112">
        <f t="shared" si="12"/>
        <v>45</v>
      </c>
      <c r="G96" s="112">
        <f t="shared" si="12"/>
        <v>65</v>
      </c>
      <c r="H96" s="112">
        <f t="shared" si="12"/>
        <v>56</v>
      </c>
      <c r="I96" s="112">
        <f t="shared" si="12"/>
        <v>53</v>
      </c>
      <c r="J96" s="213">
        <f t="shared" si="12"/>
        <v>375</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2.0408163265306121E-2</v>
      </c>
      <c r="E98" s="210">
        <f t="shared" ref="E98:I98" si="13">MEDIAN(((D91-E92)/D91),((D92-E93)/D92),((D93-E94)/D93),((D94-E95)/D94),((D95-E96)/D95))</f>
        <v>0</v>
      </c>
      <c r="F98" s="210">
        <f t="shared" si="13"/>
        <v>0</v>
      </c>
      <c r="G98" s="210">
        <f t="shared" si="13"/>
        <v>0</v>
      </c>
      <c r="H98" s="210">
        <f t="shared" si="13"/>
        <v>-5.4545454545454543E-2</v>
      </c>
      <c r="I98" s="210">
        <f t="shared" si="13"/>
        <v>1.7241379310344827E-2</v>
      </c>
    </row>
    <row r="99" spans="2:10" ht="15" customHeight="1">
      <c r="B99" s="59"/>
      <c r="C99" s="60"/>
      <c r="D99" s="61"/>
      <c r="E99" s="61"/>
      <c r="F99" s="61"/>
      <c r="G99" s="61"/>
      <c r="H99" s="61"/>
      <c r="I99" s="61"/>
      <c r="J99" s="58"/>
    </row>
    <row r="100" spans="2:10" ht="15" customHeight="1">
      <c r="B100" s="15" t="str">
        <f>"Table 4B: "&amp;E3&amp;" Projected Roll by Stage (incorporating Projected P1 and Drop-Off Rates), 2019-2032"</f>
        <v>Table 4B: Murrayburn Primary School Projected Roll by Stage (incorporating Projected P1 and Drop-Off Rates), 2019-2032</v>
      </c>
      <c r="F100" s="14"/>
      <c r="G100" s="14"/>
    </row>
    <row r="101" spans="2:10" ht="15" customHeight="1">
      <c r="F101" s="14"/>
      <c r="G101" s="14"/>
    </row>
    <row r="102" spans="2:10" ht="15" customHeight="1">
      <c r="B102" s="115"/>
      <c r="C102" s="109" t="s">
        <v>1</v>
      </c>
      <c r="D102" s="109" t="s">
        <v>2</v>
      </c>
      <c r="E102" s="109" t="s">
        <v>3</v>
      </c>
      <c r="F102" s="109" t="s">
        <v>4</v>
      </c>
      <c r="G102" s="109" t="s">
        <v>5</v>
      </c>
      <c r="H102" s="109" t="s">
        <v>6</v>
      </c>
      <c r="I102" s="109" t="s">
        <v>7</v>
      </c>
      <c r="J102" s="109" t="s">
        <v>8</v>
      </c>
    </row>
    <row r="103" spans="2:10" ht="15" customHeight="1">
      <c r="B103" s="114">
        <v>2019</v>
      </c>
      <c r="C103" s="113">
        <f t="shared" ref="C103:C116" si="14">J70</f>
        <v>50</v>
      </c>
      <c r="D103" s="324">
        <f>ROUND((C96)-(C96*$D$98),0)</f>
        <v>47</v>
      </c>
      <c r="E103" s="324">
        <f>ROUND((D96)-(D96*$E$98),0)</f>
        <v>48</v>
      </c>
      <c r="F103" s="324">
        <f>ROUND((E96)-(E96*$F$98),0)</f>
        <v>60</v>
      </c>
      <c r="G103" s="324">
        <f>ROUND((F96)-(F96*$G$98),0)</f>
        <v>45</v>
      </c>
      <c r="H103" s="324">
        <f>ROUND((G96)-(G96*$H$98),0)</f>
        <v>69</v>
      </c>
      <c r="I103" s="324">
        <f>ROUND((H96)-(H96*$I$98),0)</f>
        <v>55</v>
      </c>
      <c r="J103" s="111">
        <f t="shared" ref="J103:J116" si="15">SUM(C103:I103)</f>
        <v>374</v>
      </c>
    </row>
    <row r="104" spans="2:10" ht="15" customHeight="1">
      <c r="B104" s="114">
        <v>2020</v>
      </c>
      <c r="C104" s="113">
        <f t="shared" si="14"/>
        <v>50</v>
      </c>
      <c r="D104" s="324">
        <f>ROUND((C103-E50)-(C103*$D$98),0)</f>
        <v>49</v>
      </c>
      <c r="E104" s="112">
        <f t="shared" ref="E104:E116" si="16">ROUND((D103)-(D103*$E$98),0)</f>
        <v>47</v>
      </c>
      <c r="F104" s="112">
        <f t="shared" ref="F104:F116" si="17">ROUND((E103)-(E103*$F$98),0)</f>
        <v>48</v>
      </c>
      <c r="G104" s="112">
        <f t="shared" ref="G104:G116" si="18">ROUND((F103)-(F103*$G$98),0)</f>
        <v>60</v>
      </c>
      <c r="H104" s="112">
        <f t="shared" ref="H104:H116" si="19">ROUND((G103)-(G103*$H$98),0)</f>
        <v>47</v>
      </c>
      <c r="I104" s="112">
        <f t="shared" ref="I104:I116" si="20">ROUND((H103)-(H103*$I$98),0)</f>
        <v>68</v>
      </c>
      <c r="J104" s="111">
        <f t="shared" si="15"/>
        <v>369</v>
      </c>
    </row>
    <row r="105" spans="2:10" ht="15" customHeight="1">
      <c r="B105" s="114">
        <v>2021</v>
      </c>
      <c r="C105" s="113">
        <f t="shared" si="14"/>
        <v>30</v>
      </c>
      <c r="D105" s="324">
        <f>ROUND((C104-F50)-(C104*$D$98),0)</f>
        <v>49</v>
      </c>
      <c r="E105" s="112">
        <f t="shared" si="16"/>
        <v>49</v>
      </c>
      <c r="F105" s="112">
        <f t="shared" si="17"/>
        <v>47</v>
      </c>
      <c r="G105" s="112">
        <f t="shared" si="18"/>
        <v>48</v>
      </c>
      <c r="H105" s="112">
        <f t="shared" si="19"/>
        <v>63</v>
      </c>
      <c r="I105" s="112">
        <f t="shared" si="20"/>
        <v>46</v>
      </c>
      <c r="J105" s="111">
        <f t="shared" si="15"/>
        <v>332</v>
      </c>
    </row>
    <row r="106" spans="2:10" ht="15" customHeight="1">
      <c r="B106" s="114">
        <v>2022</v>
      </c>
      <c r="C106" s="113">
        <f t="shared" si="14"/>
        <v>50</v>
      </c>
      <c r="D106" s="324">
        <f>ROUND((C105-G50)-(C105*$D$98),0)</f>
        <v>29</v>
      </c>
      <c r="E106" s="112">
        <f t="shared" si="16"/>
        <v>49</v>
      </c>
      <c r="F106" s="112">
        <f t="shared" si="17"/>
        <v>49</v>
      </c>
      <c r="G106" s="112">
        <f t="shared" si="18"/>
        <v>47</v>
      </c>
      <c r="H106" s="112">
        <f t="shared" si="19"/>
        <v>51</v>
      </c>
      <c r="I106" s="112">
        <f t="shared" si="20"/>
        <v>62</v>
      </c>
      <c r="J106" s="111">
        <f t="shared" si="15"/>
        <v>337</v>
      </c>
    </row>
    <row r="107" spans="2:10" ht="15" customHeight="1">
      <c r="B107" s="114">
        <v>2023</v>
      </c>
      <c r="C107" s="113">
        <f t="shared" si="14"/>
        <v>48.505329719963868</v>
      </c>
      <c r="D107" s="324">
        <f>ROUND((C106-H50)-(C106*$D$98),0)</f>
        <v>49</v>
      </c>
      <c r="E107" s="112">
        <f t="shared" si="16"/>
        <v>29</v>
      </c>
      <c r="F107" s="112">
        <f t="shared" si="17"/>
        <v>49</v>
      </c>
      <c r="G107" s="112">
        <f t="shared" si="18"/>
        <v>49</v>
      </c>
      <c r="H107" s="112">
        <f t="shared" si="19"/>
        <v>50</v>
      </c>
      <c r="I107" s="112">
        <f t="shared" si="20"/>
        <v>50</v>
      </c>
      <c r="J107" s="111">
        <f t="shared" si="15"/>
        <v>324.50532971996387</v>
      </c>
    </row>
    <row r="108" spans="2:10" ht="15" customHeight="1">
      <c r="B108" s="114">
        <v>2024</v>
      </c>
      <c r="C108" s="113">
        <f t="shared" si="14"/>
        <v>48.505329719963868</v>
      </c>
      <c r="D108" s="324">
        <f>ROUND((C107-I50)-(C107*$D$98),0)</f>
        <v>48</v>
      </c>
      <c r="E108" s="112">
        <f t="shared" si="16"/>
        <v>49</v>
      </c>
      <c r="F108" s="112">
        <f t="shared" si="17"/>
        <v>29</v>
      </c>
      <c r="G108" s="112">
        <f t="shared" si="18"/>
        <v>49</v>
      </c>
      <c r="H108" s="112">
        <f t="shared" si="19"/>
        <v>52</v>
      </c>
      <c r="I108" s="112">
        <f t="shared" si="20"/>
        <v>49</v>
      </c>
      <c r="J108" s="111">
        <f t="shared" si="15"/>
        <v>324.50532971996387</v>
      </c>
    </row>
    <row r="109" spans="2:10" ht="15" customHeight="1">
      <c r="B109" s="114">
        <v>2025</v>
      </c>
      <c r="C109" s="113">
        <f t="shared" si="14"/>
        <v>48.505329719963868</v>
      </c>
      <c r="D109" s="324">
        <f>ROUND((C108-J50)-(C108*$D$98),0)</f>
        <v>48</v>
      </c>
      <c r="E109" s="112">
        <f t="shared" si="16"/>
        <v>48</v>
      </c>
      <c r="F109" s="112">
        <f t="shared" si="17"/>
        <v>49</v>
      </c>
      <c r="G109" s="112">
        <f t="shared" si="18"/>
        <v>29</v>
      </c>
      <c r="H109" s="112">
        <f t="shared" si="19"/>
        <v>52</v>
      </c>
      <c r="I109" s="112">
        <f t="shared" si="20"/>
        <v>51</v>
      </c>
      <c r="J109" s="111">
        <f t="shared" si="15"/>
        <v>325.50532971996387</v>
      </c>
    </row>
    <row r="110" spans="2:10" ht="15" customHeight="1">
      <c r="B110" s="114">
        <v>2026</v>
      </c>
      <c r="C110" s="113">
        <f t="shared" si="14"/>
        <v>49.354290876242104</v>
      </c>
      <c r="D110" s="324">
        <f>ROUND((C109-K50)-(C109*$D$98),0)</f>
        <v>48</v>
      </c>
      <c r="E110" s="112">
        <f t="shared" si="16"/>
        <v>48</v>
      </c>
      <c r="F110" s="112">
        <f t="shared" si="17"/>
        <v>48</v>
      </c>
      <c r="G110" s="112">
        <f t="shared" si="18"/>
        <v>49</v>
      </c>
      <c r="H110" s="112">
        <f t="shared" si="19"/>
        <v>31</v>
      </c>
      <c r="I110" s="112">
        <f t="shared" si="20"/>
        <v>51</v>
      </c>
      <c r="J110" s="111">
        <f t="shared" si="15"/>
        <v>324.35429087624209</v>
      </c>
    </row>
    <row r="111" spans="2:10" ht="15" customHeight="1">
      <c r="B111" s="114">
        <v>2027</v>
      </c>
      <c r="C111" s="113">
        <f t="shared" si="14"/>
        <v>49.354290876242104</v>
      </c>
      <c r="D111" s="324">
        <f>ROUND((C110-L50)-(C110*$D$98),0)</f>
        <v>48</v>
      </c>
      <c r="E111" s="112">
        <f t="shared" si="16"/>
        <v>48</v>
      </c>
      <c r="F111" s="112">
        <f t="shared" si="17"/>
        <v>48</v>
      </c>
      <c r="G111" s="112">
        <f t="shared" si="18"/>
        <v>48</v>
      </c>
      <c r="H111" s="112">
        <f t="shared" si="19"/>
        <v>52</v>
      </c>
      <c r="I111" s="112">
        <f t="shared" si="20"/>
        <v>30</v>
      </c>
      <c r="J111" s="111">
        <f t="shared" si="15"/>
        <v>323.35429087624209</v>
      </c>
    </row>
    <row r="112" spans="2:10" ht="15" customHeight="1">
      <c r="B112" s="114">
        <v>2028</v>
      </c>
      <c r="C112" s="113">
        <f t="shared" si="14"/>
        <v>50</v>
      </c>
      <c r="D112" s="324">
        <f>ROUND((C111-M50)-(C111*$D$98),0)</f>
        <v>48</v>
      </c>
      <c r="E112" s="112">
        <f t="shared" si="16"/>
        <v>48</v>
      </c>
      <c r="F112" s="112">
        <f t="shared" si="17"/>
        <v>48</v>
      </c>
      <c r="G112" s="112">
        <f t="shared" si="18"/>
        <v>48</v>
      </c>
      <c r="H112" s="112">
        <f t="shared" si="19"/>
        <v>51</v>
      </c>
      <c r="I112" s="112">
        <f t="shared" si="20"/>
        <v>51</v>
      </c>
      <c r="J112" s="111">
        <f t="shared" si="15"/>
        <v>344</v>
      </c>
    </row>
    <row r="113" spans="2:10" ht="15" customHeight="1">
      <c r="B113" s="114">
        <v>2029</v>
      </c>
      <c r="C113" s="113">
        <f t="shared" si="14"/>
        <v>50</v>
      </c>
      <c r="D113" s="324">
        <f>ROUND((C112-N50)-(C112*$D$98),0)</f>
        <v>49</v>
      </c>
      <c r="E113" s="112">
        <f t="shared" si="16"/>
        <v>48</v>
      </c>
      <c r="F113" s="112">
        <f t="shared" si="17"/>
        <v>48</v>
      </c>
      <c r="G113" s="112">
        <f t="shared" si="18"/>
        <v>48</v>
      </c>
      <c r="H113" s="112">
        <f t="shared" si="19"/>
        <v>51</v>
      </c>
      <c r="I113" s="112">
        <f t="shared" si="20"/>
        <v>50</v>
      </c>
      <c r="J113" s="111">
        <f t="shared" si="15"/>
        <v>344</v>
      </c>
    </row>
    <row r="114" spans="2:10" ht="15" customHeight="1">
      <c r="B114" s="114">
        <v>2030</v>
      </c>
      <c r="C114" s="113">
        <f t="shared" si="14"/>
        <v>50</v>
      </c>
      <c r="D114" s="324">
        <f>ROUND((C113-O50)-(C113*$D$98),0)</f>
        <v>49</v>
      </c>
      <c r="E114" s="112">
        <f t="shared" si="16"/>
        <v>49</v>
      </c>
      <c r="F114" s="112">
        <f t="shared" si="17"/>
        <v>48</v>
      </c>
      <c r="G114" s="112">
        <f t="shared" si="18"/>
        <v>48</v>
      </c>
      <c r="H114" s="112">
        <f t="shared" si="19"/>
        <v>51</v>
      </c>
      <c r="I114" s="112">
        <f t="shared" si="20"/>
        <v>50</v>
      </c>
      <c r="J114" s="111">
        <f t="shared" si="15"/>
        <v>345</v>
      </c>
    </row>
    <row r="115" spans="2:10" ht="15" customHeight="1">
      <c r="B115" s="114">
        <v>2031</v>
      </c>
      <c r="C115" s="113">
        <f t="shared" si="14"/>
        <v>50</v>
      </c>
      <c r="D115" s="324">
        <f>ROUND((C114-P50)-(C114*$D$98),0)</f>
        <v>49</v>
      </c>
      <c r="E115" s="112">
        <f t="shared" si="16"/>
        <v>49</v>
      </c>
      <c r="F115" s="112">
        <f t="shared" si="17"/>
        <v>49</v>
      </c>
      <c r="G115" s="112">
        <f t="shared" si="18"/>
        <v>48</v>
      </c>
      <c r="H115" s="112">
        <f t="shared" si="19"/>
        <v>51</v>
      </c>
      <c r="I115" s="112">
        <f t="shared" si="20"/>
        <v>50</v>
      </c>
      <c r="J115" s="111">
        <f t="shared" si="15"/>
        <v>346</v>
      </c>
    </row>
    <row r="116" spans="2:10" ht="15" customHeight="1">
      <c r="B116" s="114">
        <v>2032</v>
      </c>
      <c r="C116" s="113">
        <f t="shared" si="14"/>
        <v>50</v>
      </c>
      <c r="D116" s="324">
        <f>ROUND((C115-Q50)-(C115*$D$98),0)</f>
        <v>49</v>
      </c>
      <c r="E116" s="112">
        <f t="shared" si="16"/>
        <v>49</v>
      </c>
      <c r="F116" s="112">
        <f t="shared" si="17"/>
        <v>49</v>
      </c>
      <c r="G116" s="112">
        <f t="shared" si="18"/>
        <v>49</v>
      </c>
      <c r="H116" s="112">
        <f t="shared" si="19"/>
        <v>51</v>
      </c>
      <c r="I116" s="112">
        <f t="shared" si="20"/>
        <v>50</v>
      </c>
      <c r="J116" s="111">
        <f t="shared" si="15"/>
        <v>347</v>
      </c>
    </row>
    <row r="117" spans="2:10" ht="15" customHeight="1">
      <c r="F117" s="14"/>
      <c r="G117" s="14"/>
    </row>
    <row r="118" spans="2:10" ht="15" customHeight="1">
      <c r="B118" s="15" t="str">
        <f>"Table 4C: "&amp;E3&amp;" Projected Pupil Generation from Housing Development, 2019-2032"</f>
        <v>Table 4C: Murrayburn Primary School Projected Pupil Generation from Housing Development, 2019-2032</v>
      </c>
      <c r="F118" s="14"/>
      <c r="G118" s="14"/>
    </row>
    <row r="119" spans="2:10" ht="15" customHeight="1">
      <c r="F119" s="14"/>
      <c r="G119" s="14"/>
    </row>
    <row r="120" spans="2:10" ht="15" customHeight="1">
      <c r="B120" s="115"/>
      <c r="C120" s="109" t="s">
        <v>1</v>
      </c>
      <c r="D120" s="109" t="s">
        <v>2</v>
      </c>
      <c r="E120" s="109" t="s">
        <v>3</v>
      </c>
      <c r="F120" s="109" t="s">
        <v>4</v>
      </c>
      <c r="G120" s="109" t="s">
        <v>5</v>
      </c>
      <c r="H120" s="109" t="s">
        <v>6</v>
      </c>
      <c r="I120" s="109" t="s">
        <v>7</v>
      </c>
      <c r="J120" s="109" t="s">
        <v>8</v>
      </c>
    </row>
    <row r="121" spans="2:10" ht="15" customHeight="1">
      <c r="B121" s="114">
        <v>2019</v>
      </c>
      <c r="C121" s="116" t="s">
        <v>97</v>
      </c>
      <c r="D121" s="112">
        <f>VLOOKUP($E$3,'Housing Generation'!$A$3:$BE$90,11,FALSE)</f>
        <v>0</v>
      </c>
      <c r="E121" s="112">
        <f>VLOOKUP($E$3,'Housing Generation'!$A$3:$BE$90,12,FALSE)</f>
        <v>0</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0</v>
      </c>
    </row>
    <row r="122" spans="2:10" ht="15" customHeight="1">
      <c r="B122" s="114">
        <v>2020</v>
      </c>
      <c r="C122" s="116" t="s">
        <v>97</v>
      </c>
      <c r="D122" s="112">
        <f>VLOOKUP($E$3,'Housing Generation'!$A$3:$BE$90,19,FALSE)</f>
        <v>0</v>
      </c>
      <c r="E122" s="112">
        <f>VLOOKUP($E$3,'Housing Generation'!$A$3:$BE$90,20,FALSE)</f>
        <v>0</v>
      </c>
      <c r="F122" s="112">
        <f>VLOOKUP($E$3,'Housing Generation'!$A$3:$BE$90,21,FALSE)</f>
        <v>0</v>
      </c>
      <c r="G122" s="112">
        <f>VLOOKUP($E$3,'Housing Generation'!$A$3:$BE$90,22,FALSE)</f>
        <v>0</v>
      </c>
      <c r="H122" s="112">
        <f>VLOOKUP($E$3,'Housing Generation'!$A$3:$BE$90,23,FALSE)</f>
        <v>0</v>
      </c>
      <c r="I122" s="112">
        <f>VLOOKUP($E$3,'Housing Generation'!$A$3:$BE$90,24,FALSE)</f>
        <v>0</v>
      </c>
      <c r="J122" s="111">
        <f t="shared" si="21"/>
        <v>0</v>
      </c>
    </row>
    <row r="123" spans="2:10" ht="15" customHeight="1">
      <c r="B123" s="114">
        <v>2021</v>
      </c>
      <c r="C123" s="116" t="s">
        <v>97</v>
      </c>
      <c r="D123" s="112">
        <f>VLOOKUP($E$3,'Housing Generation'!$A$3:$BE$90,27,FALSE)</f>
        <v>0</v>
      </c>
      <c r="E123" s="112">
        <f>VLOOKUP($E$3,'Housing Generation'!$A$3:$BE$90,28,FALSE)</f>
        <v>0</v>
      </c>
      <c r="F123" s="112">
        <f>VLOOKUP($E$3,'Housing Generation'!$A$3:$BE$90,29,FALSE)</f>
        <v>0</v>
      </c>
      <c r="G123" s="112">
        <f>VLOOKUP($E$3,'Housing Generation'!$A$3:$BE$90,30,FALSE)</f>
        <v>0</v>
      </c>
      <c r="H123" s="112">
        <f>VLOOKUP($E$3,'Housing Generation'!$A$3:$BE$90,31,FALSE)</f>
        <v>0</v>
      </c>
      <c r="I123" s="112">
        <f>VLOOKUP($E$3,'Housing Generation'!$A$3:$BE$90,32,FALSE)</f>
        <v>0</v>
      </c>
      <c r="J123" s="111">
        <f t="shared" si="21"/>
        <v>0</v>
      </c>
    </row>
    <row r="124" spans="2:10" ht="15" customHeight="1">
      <c r="B124" s="114">
        <v>2022</v>
      </c>
      <c r="C124" s="116" t="s">
        <v>97</v>
      </c>
      <c r="D124" s="112">
        <f>VLOOKUP($E$3,'Housing Generation'!$A$3:$BE$90,35,FALSE)</f>
        <v>0</v>
      </c>
      <c r="E124" s="112">
        <f>VLOOKUP($E$3,'Housing Generation'!$A$3:$BE$90,36,FALSE)</f>
        <v>0</v>
      </c>
      <c r="F124" s="112">
        <f>VLOOKUP($E$3,'Housing Generation'!$A$3:$BE$90,37,FALSE)</f>
        <v>0</v>
      </c>
      <c r="G124" s="112">
        <f>VLOOKUP($E$3,'Housing Generation'!$A$3:$BE$90,38,FALSE)</f>
        <v>0</v>
      </c>
      <c r="H124" s="112">
        <f>VLOOKUP($E$3,'Housing Generation'!$A$3:$BE$90,39,FALSE)</f>
        <v>0</v>
      </c>
      <c r="I124" s="112">
        <f>VLOOKUP($E$3,'Housing Generation'!$A$3:$BE$90,40,FALSE)</f>
        <v>0</v>
      </c>
      <c r="J124" s="111">
        <f t="shared" si="21"/>
        <v>0</v>
      </c>
    </row>
    <row r="125" spans="2:10" ht="15" customHeight="1">
      <c r="B125" s="114">
        <v>2023</v>
      </c>
      <c r="C125" s="116" t="s">
        <v>97</v>
      </c>
      <c r="D125" s="112">
        <f>VLOOKUP($E$3,'Housing Generation'!$A$3:$BE$90,43,FALSE)</f>
        <v>0</v>
      </c>
      <c r="E125" s="112">
        <f>VLOOKUP($E$3,'Housing Generation'!$A$3:$BE$90,44,FALSE)</f>
        <v>0</v>
      </c>
      <c r="F125" s="112">
        <f>VLOOKUP($E$3,'Housing Generation'!$A$3:$BE$90,45,FALSE)</f>
        <v>0</v>
      </c>
      <c r="G125" s="112">
        <f>VLOOKUP($E$3,'Housing Generation'!$A$3:$BE$90,46,FALSE)</f>
        <v>0</v>
      </c>
      <c r="H125" s="112">
        <f>VLOOKUP($E$3,'Housing Generation'!$A$3:$BE$90,47,FALSE)</f>
        <v>0</v>
      </c>
      <c r="I125" s="112">
        <f>VLOOKUP($E$3,'Housing Generation'!$A$3:$BE$90,48,FALSE)</f>
        <v>0</v>
      </c>
      <c r="J125" s="111">
        <f t="shared" si="21"/>
        <v>0</v>
      </c>
    </row>
    <row r="126" spans="2:10" ht="15" customHeight="1">
      <c r="B126" s="114">
        <v>2024</v>
      </c>
      <c r="C126" s="116" t="s">
        <v>97</v>
      </c>
      <c r="D126" s="112">
        <f>VLOOKUP($E$3,'Housing Generation'!$A$3:$BE$90,51,FALSE)</f>
        <v>0</v>
      </c>
      <c r="E126" s="112">
        <f>VLOOKUP($E$3,'Housing Generation'!$A$3:$BE$90,52,FALSE)</f>
        <v>0</v>
      </c>
      <c r="F126" s="112">
        <f>VLOOKUP($E$3,'Housing Generation'!$A$3:$BE$90,53,FALSE)</f>
        <v>0</v>
      </c>
      <c r="G126" s="112">
        <f>VLOOKUP($E$3,'Housing Generation'!$A$3:$BE$90,54,FALSE)</f>
        <v>0</v>
      </c>
      <c r="H126" s="112">
        <f>VLOOKUP($E$3,'Housing Generation'!$A$3:$BE$90,55,FALSE)</f>
        <v>0</v>
      </c>
      <c r="I126" s="112">
        <f>VLOOKUP($E$3,'Housing Generation'!$A$3:$BE$90,56,FALSE)</f>
        <v>0</v>
      </c>
      <c r="J126" s="111">
        <f t="shared" si="21"/>
        <v>0</v>
      </c>
    </row>
    <row r="127" spans="2:10" ht="15" customHeight="1">
      <c r="B127" s="114">
        <v>2025</v>
      </c>
      <c r="C127" s="240" t="s">
        <v>97</v>
      </c>
      <c r="D127" s="112">
        <f>VLOOKUP($E$3,'Housing Generation'!$A$3:$CK$90,59,FALSE)</f>
        <v>0</v>
      </c>
      <c r="E127" s="112">
        <f>VLOOKUP($E$3,'Housing Generation'!$A$3:$CK$90,60,FALSE)</f>
        <v>0</v>
      </c>
      <c r="F127" s="112">
        <f>VLOOKUP($E$3,'Housing Generation'!$A$3:$CK$90,61,FALSE)</f>
        <v>0</v>
      </c>
      <c r="G127" s="112">
        <f>VLOOKUP($E$3,'Housing Generation'!$A$3:$CK$90,62,FALSE)</f>
        <v>0</v>
      </c>
      <c r="H127" s="112">
        <f>VLOOKUP($E$3,'Housing Generation'!$A$3:$CK$90,63,FALSE)</f>
        <v>0</v>
      </c>
      <c r="I127" s="112">
        <f>VLOOKUP($E$3,'Housing Generation'!$A$3:$CK$90,64,FALSE)</f>
        <v>0</v>
      </c>
      <c r="J127" s="111">
        <f t="shared" si="21"/>
        <v>0</v>
      </c>
    </row>
    <row r="128" spans="2:10" ht="15" customHeight="1">
      <c r="B128" s="114">
        <v>2026</v>
      </c>
      <c r="C128" s="240" t="s">
        <v>97</v>
      </c>
      <c r="D128" s="112">
        <f>VLOOKUP($E$3,'Housing Generation'!$A$3:$CK$90,67,FALSE)</f>
        <v>0</v>
      </c>
      <c r="E128" s="112">
        <f>VLOOKUP($E$3,'Housing Generation'!$A$3:$CK$90,68,FALSE)</f>
        <v>0</v>
      </c>
      <c r="F128" s="112">
        <f>VLOOKUP($E$3,'Housing Generation'!$A$3:$CK$90,69,FALSE)</f>
        <v>0</v>
      </c>
      <c r="G128" s="112">
        <f>VLOOKUP($E$3,'Housing Generation'!$A$3:$CK$90,70,FALSE)</f>
        <v>0</v>
      </c>
      <c r="H128" s="112">
        <f>VLOOKUP($E$3,'Housing Generation'!$A$3:$CK$90,71,FALSE)</f>
        <v>0</v>
      </c>
      <c r="I128" s="112">
        <f>VLOOKUP($E$3,'Housing Generation'!$A$3:$CK$90,72,FALSE)</f>
        <v>0</v>
      </c>
      <c r="J128" s="111">
        <f t="shared" si="21"/>
        <v>0</v>
      </c>
    </row>
    <row r="129" spans="2:10" ht="15" customHeight="1">
      <c r="B129" s="114">
        <v>2027</v>
      </c>
      <c r="C129" s="240" t="s">
        <v>97</v>
      </c>
      <c r="D129" s="112">
        <f>VLOOKUP($E$3,'Housing Generation'!$A$3:$CK$90,75,FALSE)</f>
        <v>0</v>
      </c>
      <c r="E129" s="112">
        <f>VLOOKUP($E$3,'Housing Generation'!$A$3:$CK$90,76,FALSE)</f>
        <v>0</v>
      </c>
      <c r="F129" s="112">
        <f>VLOOKUP($E$3,'Housing Generation'!$A$3:$CK$90,77,FALSE)</f>
        <v>0</v>
      </c>
      <c r="G129" s="112">
        <f>VLOOKUP($E$3,'Housing Generation'!$A$3:$CK$90,78,FALSE)</f>
        <v>0</v>
      </c>
      <c r="H129" s="112">
        <f>VLOOKUP($E$3,'Housing Generation'!$A$3:$CK$90,79,FALSE)</f>
        <v>0</v>
      </c>
      <c r="I129" s="112">
        <f>VLOOKUP($E$3,'Housing Generation'!$A$3:$CK$90,80,FALSE)</f>
        <v>0</v>
      </c>
      <c r="J129" s="111">
        <f t="shared" si="21"/>
        <v>0</v>
      </c>
    </row>
    <row r="130" spans="2:10" ht="15" customHeight="1">
      <c r="B130" s="114">
        <v>2028</v>
      </c>
      <c r="C130" s="289" t="s">
        <v>97</v>
      </c>
      <c r="D130" s="112">
        <f>VLOOKUP($E$3,'Housing Generation'!$A$3:$CK$90,83,FALSE)</f>
        <v>0</v>
      </c>
      <c r="E130" s="112">
        <f>VLOOKUP($E$3,'Housing Generation'!$A$3:$CK$90,84,FALSE)</f>
        <v>0</v>
      </c>
      <c r="F130" s="112">
        <f>VLOOKUP($E$3,'Housing Generation'!$A$3:$CK$90,85,FALSE)</f>
        <v>0</v>
      </c>
      <c r="G130" s="112">
        <f>VLOOKUP($E$3,'Housing Generation'!$A$3:$CK$90,86,FALSE)</f>
        <v>0</v>
      </c>
      <c r="H130" s="112">
        <f>VLOOKUP($E$3,'Housing Generation'!$A$3:$CK$90,87,FALSE)</f>
        <v>0</v>
      </c>
      <c r="I130" s="112">
        <f>VLOOKUP($E$3,'Housing Generation'!$A$3:$CK$90,88,FALSE)</f>
        <v>0</v>
      </c>
      <c r="J130" s="111">
        <f t="shared" si="21"/>
        <v>0</v>
      </c>
    </row>
    <row r="131" spans="2:10" ht="15" customHeight="1">
      <c r="B131" s="114">
        <v>2029</v>
      </c>
      <c r="C131" s="289" t="s">
        <v>97</v>
      </c>
      <c r="D131" s="112">
        <f>VLOOKUP($E$3,'Housing Generation'!$A$3:$DQ$90,91,FALSE)</f>
        <v>0</v>
      </c>
      <c r="E131" s="112">
        <f>VLOOKUP($E$3,'Housing Generation'!$A$3:$DQ$90,92,FALSE)</f>
        <v>0</v>
      </c>
      <c r="F131" s="112">
        <f>VLOOKUP($E$3,'Housing Generation'!$A$3:$DQ$90,93,FALSE)</f>
        <v>0</v>
      </c>
      <c r="G131" s="112">
        <f>VLOOKUP($E$3,'Housing Generation'!$A$3:$DQ$90,94,FALSE)</f>
        <v>0</v>
      </c>
      <c r="H131" s="112">
        <f>VLOOKUP($E$3,'Housing Generation'!$A$3:$DQ$90,95,FALSE)</f>
        <v>0</v>
      </c>
      <c r="I131" s="112">
        <f>VLOOKUP($E$3,'Housing Generation'!$A$3:$DQ$90,96,FALSE)</f>
        <v>0</v>
      </c>
      <c r="J131" s="111">
        <f t="shared" si="21"/>
        <v>0</v>
      </c>
    </row>
    <row r="132" spans="2:10" ht="15" customHeight="1">
      <c r="B132" s="114">
        <v>2030</v>
      </c>
      <c r="C132" s="289" t="s">
        <v>97</v>
      </c>
      <c r="D132" s="112">
        <f>VLOOKUP($E$3,'Housing Generation'!$A$3:$DQ$90,99,FALSE)</f>
        <v>0</v>
      </c>
      <c r="E132" s="112">
        <f>VLOOKUP($E$3,'Housing Generation'!$A$3:$DQ$90,100,FALSE)</f>
        <v>0</v>
      </c>
      <c r="F132" s="112">
        <f>VLOOKUP($E$3,'Housing Generation'!$A$3:$DQ$90,101,FALSE)</f>
        <v>0</v>
      </c>
      <c r="G132" s="112">
        <f>VLOOKUP($E$3,'Housing Generation'!$A$3:$DQ$90,102,FALSE)</f>
        <v>0</v>
      </c>
      <c r="H132" s="112">
        <f>VLOOKUP($E$3,'Housing Generation'!$A$3:$DQ$90,103,FALSE)</f>
        <v>0</v>
      </c>
      <c r="I132" s="112">
        <f>VLOOKUP($E$3,'Housing Generation'!$A$3:$DQ$90,104,FALSE)</f>
        <v>0</v>
      </c>
      <c r="J132" s="111">
        <f t="shared" si="21"/>
        <v>0</v>
      </c>
    </row>
    <row r="133" spans="2:10" ht="15" customHeight="1">
      <c r="B133" s="114">
        <v>2031</v>
      </c>
      <c r="C133" s="289" t="s">
        <v>97</v>
      </c>
      <c r="D133" s="112">
        <f>VLOOKUP($E$3,'Housing Generation'!$A$3:$DQ$90,107,FALSE)</f>
        <v>0</v>
      </c>
      <c r="E133" s="112">
        <f>VLOOKUP($E$3,'Housing Generation'!$A$3:$DQ$90,108,FALSE)</f>
        <v>0</v>
      </c>
      <c r="F133" s="112">
        <f>VLOOKUP($E$3,'Housing Generation'!$A$3:$DQ$90,109,FALSE)</f>
        <v>0</v>
      </c>
      <c r="G133" s="112">
        <f>VLOOKUP($E$3,'Housing Generation'!$A$3:$DQ$90,110,FALSE)</f>
        <v>0</v>
      </c>
      <c r="H133" s="112">
        <f>VLOOKUP($E$3,'Housing Generation'!$A$3:$DQ$90,111,FALSE)</f>
        <v>0</v>
      </c>
      <c r="I133" s="112">
        <f>VLOOKUP($E$3,'Housing Generation'!$A$3:$DQ$90,112,FALSE)</f>
        <v>0</v>
      </c>
      <c r="J133" s="111">
        <f t="shared" si="21"/>
        <v>0</v>
      </c>
    </row>
    <row r="134" spans="2:10" ht="15" customHeight="1">
      <c r="B134" s="114">
        <v>2032</v>
      </c>
      <c r="C134" s="289" t="s">
        <v>97</v>
      </c>
      <c r="D134" s="112">
        <f>VLOOKUP($E$3,'Housing Generation'!$A$3:$DQ$90,115,FALSE)</f>
        <v>0</v>
      </c>
      <c r="E134" s="112">
        <f>VLOOKUP($E$3,'Housing Generation'!$A$3:$DQ$90,116,FALSE)</f>
        <v>0</v>
      </c>
      <c r="F134" s="112">
        <f>VLOOKUP($E$3,'Housing Generation'!$A$3:$DQ$90,117,FALSE)</f>
        <v>0</v>
      </c>
      <c r="G134" s="112">
        <f>VLOOKUP($E$3,'Housing Generation'!$A$3:$DQ$90,118,FALSE)</f>
        <v>0</v>
      </c>
      <c r="H134" s="112">
        <f>VLOOKUP($E$3,'Housing Generation'!$A$3:$DQ$90,119,FALSE)</f>
        <v>0</v>
      </c>
      <c r="I134" s="112">
        <f>VLOOKUP($E$3,'Housing Generation'!$A$3:$DQ$90,120,FALSE)</f>
        <v>0</v>
      </c>
      <c r="J134" s="111">
        <f t="shared" si="21"/>
        <v>0</v>
      </c>
    </row>
    <row r="135" spans="2:10" ht="15"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Murrayburn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50</v>
      </c>
      <c r="D139" s="112">
        <f t="shared" ref="D139:I152" si="23">D121+D103</f>
        <v>47</v>
      </c>
      <c r="E139" s="112">
        <f t="shared" si="23"/>
        <v>48</v>
      </c>
      <c r="F139" s="112">
        <f t="shared" si="23"/>
        <v>60</v>
      </c>
      <c r="G139" s="112">
        <f t="shared" si="23"/>
        <v>45</v>
      </c>
      <c r="H139" s="112">
        <f t="shared" si="23"/>
        <v>69</v>
      </c>
      <c r="I139" s="112">
        <f t="shared" si="23"/>
        <v>55</v>
      </c>
      <c r="J139" s="111">
        <f t="shared" ref="J139:J147" si="24">SUM(C139:I139)</f>
        <v>374</v>
      </c>
    </row>
    <row r="140" spans="2:10" ht="15" customHeight="1">
      <c r="B140" s="114">
        <v>2020</v>
      </c>
      <c r="C140" s="113">
        <f t="shared" si="22"/>
        <v>50</v>
      </c>
      <c r="D140" s="112">
        <f t="shared" si="23"/>
        <v>49</v>
      </c>
      <c r="E140" s="112">
        <f t="shared" si="23"/>
        <v>47</v>
      </c>
      <c r="F140" s="112">
        <f t="shared" si="23"/>
        <v>48</v>
      </c>
      <c r="G140" s="112">
        <f t="shared" si="23"/>
        <v>60</v>
      </c>
      <c r="H140" s="112">
        <f t="shared" si="23"/>
        <v>47</v>
      </c>
      <c r="I140" s="112">
        <f t="shared" si="23"/>
        <v>68</v>
      </c>
      <c r="J140" s="111">
        <f t="shared" si="24"/>
        <v>369</v>
      </c>
    </row>
    <row r="141" spans="2:10" ht="15" customHeight="1">
      <c r="B141" s="114">
        <v>2021</v>
      </c>
      <c r="C141" s="113">
        <f t="shared" si="22"/>
        <v>30</v>
      </c>
      <c r="D141" s="112">
        <f t="shared" si="23"/>
        <v>49</v>
      </c>
      <c r="E141" s="112">
        <f t="shared" si="23"/>
        <v>49</v>
      </c>
      <c r="F141" s="112">
        <f t="shared" si="23"/>
        <v>47</v>
      </c>
      <c r="G141" s="112">
        <f t="shared" si="23"/>
        <v>48</v>
      </c>
      <c r="H141" s="112">
        <f t="shared" si="23"/>
        <v>63</v>
      </c>
      <c r="I141" s="112">
        <f t="shared" si="23"/>
        <v>46</v>
      </c>
      <c r="J141" s="111">
        <f t="shared" si="24"/>
        <v>332</v>
      </c>
    </row>
    <row r="142" spans="2:10" ht="15" customHeight="1">
      <c r="B142" s="114">
        <v>2022</v>
      </c>
      <c r="C142" s="113">
        <f t="shared" si="22"/>
        <v>50</v>
      </c>
      <c r="D142" s="112">
        <f t="shared" si="23"/>
        <v>29</v>
      </c>
      <c r="E142" s="112">
        <f t="shared" si="23"/>
        <v>49</v>
      </c>
      <c r="F142" s="112">
        <f t="shared" si="23"/>
        <v>49</v>
      </c>
      <c r="G142" s="112">
        <f t="shared" si="23"/>
        <v>47</v>
      </c>
      <c r="H142" s="112">
        <f t="shared" si="23"/>
        <v>51</v>
      </c>
      <c r="I142" s="112">
        <f t="shared" si="23"/>
        <v>62</v>
      </c>
      <c r="J142" s="111">
        <f t="shared" si="24"/>
        <v>337</v>
      </c>
    </row>
    <row r="143" spans="2:10" ht="15" customHeight="1">
      <c r="B143" s="114">
        <v>2023</v>
      </c>
      <c r="C143" s="113">
        <f t="shared" si="22"/>
        <v>48.505329719963868</v>
      </c>
      <c r="D143" s="112">
        <f t="shared" si="23"/>
        <v>49</v>
      </c>
      <c r="E143" s="112">
        <f t="shared" si="23"/>
        <v>29</v>
      </c>
      <c r="F143" s="112">
        <f t="shared" si="23"/>
        <v>49</v>
      </c>
      <c r="G143" s="112">
        <f t="shared" si="23"/>
        <v>49</v>
      </c>
      <c r="H143" s="112">
        <f t="shared" si="23"/>
        <v>50</v>
      </c>
      <c r="I143" s="112">
        <f t="shared" si="23"/>
        <v>50</v>
      </c>
      <c r="J143" s="111">
        <f t="shared" si="24"/>
        <v>324.50532971996387</v>
      </c>
    </row>
    <row r="144" spans="2:10" ht="15" customHeight="1">
      <c r="B144" s="114">
        <v>2024</v>
      </c>
      <c r="C144" s="113">
        <f t="shared" si="22"/>
        <v>48.505329719963868</v>
      </c>
      <c r="D144" s="112">
        <f t="shared" si="23"/>
        <v>48</v>
      </c>
      <c r="E144" s="112">
        <f t="shared" si="23"/>
        <v>49</v>
      </c>
      <c r="F144" s="112">
        <f t="shared" si="23"/>
        <v>29</v>
      </c>
      <c r="G144" s="112">
        <f t="shared" si="23"/>
        <v>49</v>
      </c>
      <c r="H144" s="112">
        <f t="shared" si="23"/>
        <v>52</v>
      </c>
      <c r="I144" s="112">
        <f t="shared" si="23"/>
        <v>49</v>
      </c>
      <c r="J144" s="111">
        <f t="shared" si="24"/>
        <v>324.50532971996387</v>
      </c>
    </row>
    <row r="145" spans="2:16" ht="15" customHeight="1">
      <c r="B145" s="114">
        <v>2025</v>
      </c>
      <c r="C145" s="113">
        <f t="shared" si="22"/>
        <v>48.505329719963868</v>
      </c>
      <c r="D145" s="112">
        <f t="shared" si="23"/>
        <v>48</v>
      </c>
      <c r="E145" s="112">
        <f t="shared" si="23"/>
        <v>48</v>
      </c>
      <c r="F145" s="112">
        <f t="shared" si="23"/>
        <v>49</v>
      </c>
      <c r="G145" s="112">
        <f t="shared" si="23"/>
        <v>29</v>
      </c>
      <c r="H145" s="112">
        <f t="shared" si="23"/>
        <v>52</v>
      </c>
      <c r="I145" s="112">
        <f t="shared" si="23"/>
        <v>51</v>
      </c>
      <c r="J145" s="111">
        <f t="shared" si="24"/>
        <v>325.50532971996387</v>
      </c>
    </row>
    <row r="146" spans="2:16" ht="15" customHeight="1">
      <c r="B146" s="114">
        <v>2026</v>
      </c>
      <c r="C146" s="113">
        <f t="shared" si="22"/>
        <v>49.354290876242104</v>
      </c>
      <c r="D146" s="112">
        <f t="shared" si="23"/>
        <v>48</v>
      </c>
      <c r="E146" s="112">
        <f t="shared" si="23"/>
        <v>48</v>
      </c>
      <c r="F146" s="112">
        <f t="shared" si="23"/>
        <v>48</v>
      </c>
      <c r="G146" s="112">
        <f t="shared" si="23"/>
        <v>49</v>
      </c>
      <c r="H146" s="112">
        <f t="shared" si="23"/>
        <v>31</v>
      </c>
      <c r="I146" s="112">
        <f t="shared" si="23"/>
        <v>51</v>
      </c>
      <c r="J146" s="111">
        <f t="shared" si="24"/>
        <v>324.35429087624209</v>
      </c>
    </row>
    <row r="147" spans="2:16" ht="15" customHeight="1">
      <c r="B147" s="114">
        <v>2027</v>
      </c>
      <c r="C147" s="113">
        <f t="shared" si="22"/>
        <v>49.354290876242104</v>
      </c>
      <c r="D147" s="112">
        <f t="shared" si="23"/>
        <v>48</v>
      </c>
      <c r="E147" s="112">
        <f t="shared" si="23"/>
        <v>48</v>
      </c>
      <c r="F147" s="112">
        <f t="shared" si="23"/>
        <v>48</v>
      </c>
      <c r="G147" s="112">
        <f t="shared" si="23"/>
        <v>48</v>
      </c>
      <c r="H147" s="112">
        <f t="shared" si="23"/>
        <v>52</v>
      </c>
      <c r="I147" s="112">
        <f t="shared" si="23"/>
        <v>30</v>
      </c>
      <c r="J147" s="111">
        <f t="shared" si="24"/>
        <v>323.35429087624209</v>
      </c>
    </row>
    <row r="148" spans="2:16" ht="15" customHeight="1">
      <c r="B148" s="114">
        <v>2028</v>
      </c>
      <c r="C148" s="113">
        <f t="shared" si="22"/>
        <v>50</v>
      </c>
      <c r="D148" s="112">
        <f t="shared" si="23"/>
        <v>48</v>
      </c>
      <c r="E148" s="112">
        <f t="shared" si="23"/>
        <v>48</v>
      </c>
      <c r="F148" s="112">
        <f t="shared" si="23"/>
        <v>48</v>
      </c>
      <c r="G148" s="112">
        <f t="shared" si="23"/>
        <v>48</v>
      </c>
      <c r="H148" s="112">
        <f t="shared" si="23"/>
        <v>51</v>
      </c>
      <c r="I148" s="112">
        <f t="shared" si="23"/>
        <v>51</v>
      </c>
      <c r="J148" s="111">
        <f t="shared" ref="J148:J152" si="25">SUM(C148:I148)</f>
        <v>344</v>
      </c>
    </row>
    <row r="149" spans="2:16" ht="15" customHeight="1">
      <c r="B149" s="114">
        <v>2029</v>
      </c>
      <c r="C149" s="113">
        <f t="shared" si="22"/>
        <v>50</v>
      </c>
      <c r="D149" s="112">
        <f t="shared" si="23"/>
        <v>49</v>
      </c>
      <c r="E149" s="112">
        <f t="shared" si="23"/>
        <v>48</v>
      </c>
      <c r="F149" s="112">
        <f t="shared" si="23"/>
        <v>48</v>
      </c>
      <c r="G149" s="112">
        <f t="shared" si="23"/>
        <v>48</v>
      </c>
      <c r="H149" s="112">
        <f t="shared" si="23"/>
        <v>51</v>
      </c>
      <c r="I149" s="112">
        <f t="shared" si="23"/>
        <v>50</v>
      </c>
      <c r="J149" s="111">
        <f t="shared" si="25"/>
        <v>344</v>
      </c>
    </row>
    <row r="150" spans="2:16" ht="15" customHeight="1">
      <c r="B150" s="114">
        <v>2030</v>
      </c>
      <c r="C150" s="113">
        <f t="shared" si="22"/>
        <v>50</v>
      </c>
      <c r="D150" s="112">
        <f t="shared" si="23"/>
        <v>49</v>
      </c>
      <c r="E150" s="112">
        <f t="shared" si="23"/>
        <v>49</v>
      </c>
      <c r="F150" s="112">
        <f t="shared" si="23"/>
        <v>48</v>
      </c>
      <c r="G150" s="112">
        <f t="shared" si="23"/>
        <v>48</v>
      </c>
      <c r="H150" s="112">
        <f t="shared" si="23"/>
        <v>51</v>
      </c>
      <c r="I150" s="112">
        <f t="shared" si="23"/>
        <v>50</v>
      </c>
      <c r="J150" s="111">
        <f t="shared" si="25"/>
        <v>345</v>
      </c>
    </row>
    <row r="151" spans="2:16" ht="15" customHeight="1">
      <c r="B151" s="114">
        <v>2031</v>
      </c>
      <c r="C151" s="113">
        <f t="shared" si="22"/>
        <v>50</v>
      </c>
      <c r="D151" s="112">
        <f t="shared" si="23"/>
        <v>49</v>
      </c>
      <c r="E151" s="112">
        <f t="shared" si="23"/>
        <v>49</v>
      </c>
      <c r="F151" s="112">
        <f t="shared" si="23"/>
        <v>49</v>
      </c>
      <c r="G151" s="112">
        <f t="shared" si="23"/>
        <v>48</v>
      </c>
      <c r="H151" s="112">
        <f t="shared" si="23"/>
        <v>51</v>
      </c>
      <c r="I151" s="112">
        <f t="shared" si="23"/>
        <v>50</v>
      </c>
      <c r="J151" s="111">
        <f t="shared" si="25"/>
        <v>346</v>
      </c>
    </row>
    <row r="152" spans="2:16" ht="15" customHeight="1">
      <c r="B152" s="114">
        <v>2032</v>
      </c>
      <c r="C152" s="113">
        <f t="shared" si="22"/>
        <v>50</v>
      </c>
      <c r="D152" s="112">
        <f t="shared" si="23"/>
        <v>49</v>
      </c>
      <c r="E152" s="112">
        <f t="shared" si="23"/>
        <v>49</v>
      </c>
      <c r="F152" s="112">
        <f t="shared" si="23"/>
        <v>49</v>
      </c>
      <c r="G152" s="112">
        <f t="shared" si="23"/>
        <v>49</v>
      </c>
      <c r="H152" s="112">
        <f t="shared" si="23"/>
        <v>51</v>
      </c>
      <c r="I152" s="112">
        <f t="shared" si="23"/>
        <v>50</v>
      </c>
      <c r="J152" s="111">
        <f t="shared" si="25"/>
        <v>347</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374</v>
      </c>
      <c r="D159" s="108">
        <f>J140</f>
        <v>369</v>
      </c>
      <c r="E159" s="108">
        <f>J141</f>
        <v>332</v>
      </c>
      <c r="F159" s="108">
        <f>J142</f>
        <v>337</v>
      </c>
      <c r="G159" s="108">
        <f>J143</f>
        <v>324.50532971996387</v>
      </c>
      <c r="H159" s="108">
        <f>J144</f>
        <v>324.50532971996387</v>
      </c>
      <c r="I159" s="108">
        <f>J145</f>
        <v>325.50532971996387</v>
      </c>
      <c r="J159" s="108">
        <f>J146</f>
        <v>324.35429087624209</v>
      </c>
      <c r="K159" s="108">
        <f>J147</f>
        <v>323.35429087624209</v>
      </c>
      <c r="L159" s="108">
        <f>J148</f>
        <v>344</v>
      </c>
      <c r="M159" s="108">
        <f>J149</f>
        <v>344</v>
      </c>
      <c r="N159" s="108">
        <f>J150</f>
        <v>345</v>
      </c>
      <c r="O159" s="108">
        <f>J151</f>
        <v>346</v>
      </c>
      <c r="P159" s="108">
        <f>J152</f>
        <v>347</v>
      </c>
    </row>
    <row r="160" spans="2:16" ht="15" customHeight="1">
      <c r="B160" s="107" t="s">
        <v>152</v>
      </c>
      <c r="C160" s="106">
        <f>VLOOKUP(C159,Capacity!$A$1:$C$645,2,TRUE)</f>
        <v>14</v>
      </c>
      <c r="D160" s="106">
        <f>VLOOKUP(D159,Capacity!$A$1:$C$645,2,TRUE)</f>
        <v>14</v>
      </c>
      <c r="E160" s="106">
        <f>VLOOKUP(E159,Capacity!$A$1:$C$645,2,TRUE)</f>
        <v>14</v>
      </c>
      <c r="F160" s="106">
        <f>VLOOKUP(F159,Capacity!$A$1:$C$645,2,TRUE)</f>
        <v>14</v>
      </c>
      <c r="G160" s="106">
        <f>VLOOKUP(G159,Capacity!$A$1:$C$645,2,TRUE)</f>
        <v>13</v>
      </c>
      <c r="H160" s="106">
        <f>VLOOKUP(H159,Capacity!$A$1:$C$645,2,TRUE)</f>
        <v>13</v>
      </c>
      <c r="I160" s="106">
        <f>VLOOKUP(I159,Capacity!$A$1:$C$645,2,TRUE)</f>
        <v>13</v>
      </c>
      <c r="J160" s="106">
        <f>VLOOKUP(J159,Capacity!$A$1:$C$645,2,TRUE)</f>
        <v>13</v>
      </c>
      <c r="K160" s="106">
        <f>VLOOKUP(K159,Capacity!$A$1:$C$645,2,TRUE)</f>
        <v>13</v>
      </c>
      <c r="L160" s="106">
        <f>VLOOKUP(L159,Capacity!$A$1:$C$645,2,TRUE)</f>
        <v>14</v>
      </c>
      <c r="M160" s="106">
        <f>VLOOKUP(M159,Capacity!$A$1:$C$645,2,TRUE)</f>
        <v>14</v>
      </c>
      <c r="N160" s="106">
        <f>VLOOKUP(N159,Capacity!$A$1:$C$645,2,TRUE)</f>
        <v>14</v>
      </c>
      <c r="O160" s="106">
        <f>VLOOKUP(O159,Capacity!$A$1:$C$645,2,TRUE)</f>
        <v>14</v>
      </c>
      <c r="P160" s="106">
        <f>VLOOKUP(P159,Capacity!$A$1:$C$645,2,TRUE)</f>
        <v>14</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34</v>
      </c>
      <c r="D169" s="97">
        <f>VLOOKUP($E$3,'Catchment Births'!$A$1:$U$90,11,FALSE)</f>
        <v>44</v>
      </c>
      <c r="E169" s="97">
        <f>VLOOKUP($E$3,'Catchment Births'!$A$1:$U$90,12,FALSE)</f>
        <v>40</v>
      </c>
      <c r="F169" s="97">
        <f>VLOOKUP($E$3,'Catchment Births'!$A$1:$U$90,13,FALSE)</f>
        <v>61</v>
      </c>
      <c r="G169" s="97">
        <f>VLOOKUP($E$3,'Catchment Births'!$A$1:$U$90,14,FALSE)</f>
        <v>59</v>
      </c>
      <c r="H169" s="97">
        <f>VLOOKUP($E$3,'Catchment Births'!$A$1:$U$90,15,FALSE)</f>
        <v>56</v>
      </c>
      <c r="I169" s="97">
        <f>VLOOKUP($E$3,'Catchment Births'!$A$1:$U$90,16,FALSE)</f>
        <v>44</v>
      </c>
      <c r="J169" s="97">
        <f>VLOOKUP($E$3,'Catchment Births'!$A$1:$U$90,17,FALSE)</f>
        <v>52</v>
      </c>
      <c r="K169" s="97">
        <f>VLOOKUP($E$3,'Catchment Births'!$A$1:$U$90,18,FALSE)</f>
        <v>54</v>
      </c>
      <c r="L169" s="97">
        <f>VLOOKUP($E$3,'Catchment Births'!$A$1:$U$90,19,FALSE)</f>
        <v>55</v>
      </c>
      <c r="M169" s="97">
        <f>VLOOKUP($E$3,'Catchment Births'!$A$1:$U$90,20,FALSE)</f>
        <v>64</v>
      </c>
      <c r="N169" s="97">
        <f>VLOOKUP($E$3,'Catchment Births'!$A$1:$U$90,21,FALSE)</f>
        <v>53</v>
      </c>
    </row>
    <row r="170" spans="2:14" ht="58.5" customHeight="1">
      <c r="B170" s="103" t="str">
        <f>"P1 "&amp;A35&amp;" Catchment Population (Actual)"</f>
        <v>P1 ND Catchment Population (Actual)</v>
      </c>
      <c r="C170" s="102" t="e">
        <v>#REF!</v>
      </c>
      <c r="D170" s="102">
        <v>37</v>
      </c>
      <c r="E170" s="102">
        <v>45</v>
      </c>
      <c r="F170" s="102">
        <v>48</v>
      </c>
      <c r="G170" s="102">
        <v>45</v>
      </c>
      <c r="H170" s="102">
        <v>56</v>
      </c>
      <c r="I170" s="102">
        <v>38</v>
      </c>
      <c r="J170" s="308">
        <f>VLOOKUP(E3,'Catchment Projections'!A1:BU92,42,FALSE)</f>
        <v>45</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38</v>
      </c>
      <c r="J172" s="96" t="e">
        <f>#REF!</f>
        <v>#REF!</v>
      </c>
      <c r="K172" s="96">
        <f>D51</f>
        <v>55</v>
      </c>
      <c r="L172" s="96">
        <f>E51</f>
        <v>45</v>
      </c>
      <c r="M172" s="96">
        <f>F51</f>
        <v>33</v>
      </c>
      <c r="N172" s="96">
        <f>G51</f>
        <v>49</v>
      </c>
    </row>
    <row r="173" spans="2:14" ht="12.75">
      <c r="B173" s="62"/>
      <c r="C173" s="62"/>
      <c r="D173" s="62"/>
      <c r="E173" s="62"/>
      <c r="F173" s="62"/>
      <c r="G173" s="62"/>
      <c r="H173" s="62"/>
      <c r="I173" s="62"/>
      <c r="J173" s="62"/>
      <c r="K173" s="62"/>
    </row>
    <row r="174" spans="2:14" ht="15" customHeight="1">
      <c r="B174" s="64" t="str">
        <f>"Table 5: "&amp;E3&amp;" Roll by Stage, 2002-2018"</f>
        <v>Table 5: Murrayburn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46</v>
      </c>
      <c r="D177" s="93">
        <v>45</v>
      </c>
      <c r="E177" s="93">
        <v>48</v>
      </c>
      <c r="F177" s="93">
        <v>63</v>
      </c>
      <c r="G177" s="93">
        <v>40</v>
      </c>
      <c r="H177" s="93">
        <v>46</v>
      </c>
      <c r="I177" s="93">
        <v>59</v>
      </c>
      <c r="J177" s="92">
        <v>347</v>
      </c>
      <c r="K177" s="62"/>
    </row>
    <row r="178" spans="2:11" ht="15" customHeight="1">
      <c r="B178" s="94">
        <v>2003</v>
      </c>
      <c r="C178" s="93">
        <v>46</v>
      </c>
      <c r="D178" s="93">
        <v>33</v>
      </c>
      <c r="E178" s="93">
        <v>45</v>
      </c>
      <c r="F178" s="93">
        <v>48</v>
      </c>
      <c r="G178" s="93">
        <v>62</v>
      </c>
      <c r="H178" s="93">
        <v>39</v>
      </c>
      <c r="I178" s="93">
        <v>45</v>
      </c>
      <c r="J178" s="92">
        <v>318</v>
      </c>
      <c r="K178" s="62"/>
    </row>
    <row r="179" spans="2:11" customFormat="1" ht="15" customHeight="1">
      <c r="B179" s="94">
        <v>2004</v>
      </c>
      <c r="C179" s="95">
        <v>29</v>
      </c>
      <c r="D179" s="95">
        <v>50</v>
      </c>
      <c r="E179" s="95">
        <v>36</v>
      </c>
      <c r="F179" s="95">
        <v>42</v>
      </c>
      <c r="G179" s="95">
        <v>48</v>
      </c>
      <c r="H179" s="95">
        <v>63</v>
      </c>
      <c r="I179" s="95">
        <v>42</v>
      </c>
      <c r="J179" s="92">
        <v>310</v>
      </c>
      <c r="K179" s="62"/>
    </row>
    <row r="180" spans="2:11" customFormat="1" ht="15" customHeight="1">
      <c r="B180" s="94">
        <v>2005</v>
      </c>
      <c r="C180" s="93">
        <v>46</v>
      </c>
      <c r="D180" s="93">
        <v>37</v>
      </c>
      <c r="E180" s="93">
        <v>43</v>
      </c>
      <c r="F180" s="93">
        <v>40</v>
      </c>
      <c r="G180" s="93">
        <v>44</v>
      </c>
      <c r="H180" s="93">
        <v>51</v>
      </c>
      <c r="I180" s="93">
        <v>65</v>
      </c>
      <c r="J180" s="92">
        <v>326</v>
      </c>
      <c r="K180" s="62"/>
    </row>
    <row r="181" spans="2:11" customFormat="1" ht="15" customHeight="1">
      <c r="B181" s="94">
        <v>2006</v>
      </c>
      <c r="C181" s="93">
        <v>41</v>
      </c>
      <c r="D181" s="93">
        <v>47</v>
      </c>
      <c r="E181" s="93">
        <v>34</v>
      </c>
      <c r="F181" s="93">
        <v>44</v>
      </c>
      <c r="G181" s="93">
        <v>35</v>
      </c>
      <c r="H181" s="93">
        <v>44</v>
      </c>
      <c r="I181" s="93">
        <v>51</v>
      </c>
      <c r="J181" s="92">
        <v>296</v>
      </c>
      <c r="K181" s="62"/>
    </row>
    <row r="182" spans="2:11" customFormat="1" ht="15" customHeight="1">
      <c r="B182" s="94">
        <v>2007</v>
      </c>
      <c r="C182" s="93">
        <v>43</v>
      </c>
      <c r="D182" s="93">
        <v>39</v>
      </c>
      <c r="E182" s="93">
        <v>49</v>
      </c>
      <c r="F182" s="93">
        <v>37</v>
      </c>
      <c r="G182" s="93">
        <v>47</v>
      </c>
      <c r="H182" s="93">
        <v>37</v>
      </c>
      <c r="I182" s="93">
        <v>42</v>
      </c>
      <c r="J182" s="92">
        <v>294</v>
      </c>
      <c r="K182" s="62"/>
    </row>
    <row r="183" spans="2:11" customFormat="1" ht="15" customHeight="1">
      <c r="B183" s="94">
        <v>2008</v>
      </c>
      <c r="C183" s="93">
        <v>45</v>
      </c>
      <c r="D183" s="93">
        <v>41</v>
      </c>
      <c r="E183" s="93">
        <v>35</v>
      </c>
      <c r="F183" s="93">
        <v>53</v>
      </c>
      <c r="G183" s="93">
        <v>38</v>
      </c>
      <c r="H183" s="93">
        <v>45</v>
      </c>
      <c r="I183" s="93">
        <v>38</v>
      </c>
      <c r="J183" s="92">
        <v>295</v>
      </c>
      <c r="K183" s="62"/>
    </row>
    <row r="184" spans="2:11" customFormat="1" ht="15" customHeight="1">
      <c r="B184" s="94">
        <v>2009</v>
      </c>
      <c r="C184" s="93">
        <v>51</v>
      </c>
      <c r="D184" s="93">
        <v>52</v>
      </c>
      <c r="E184" s="93">
        <v>49</v>
      </c>
      <c r="F184" s="93">
        <v>47</v>
      </c>
      <c r="G184" s="93">
        <v>58</v>
      </c>
      <c r="H184" s="93">
        <v>39</v>
      </c>
      <c r="I184" s="93">
        <v>61</v>
      </c>
      <c r="J184" s="94">
        <v>357</v>
      </c>
      <c r="K184" s="62"/>
    </row>
    <row r="185" spans="2:11" customFormat="1" ht="15" customHeight="1">
      <c r="B185" s="94">
        <v>2010</v>
      </c>
      <c r="C185" s="93">
        <v>50</v>
      </c>
      <c r="D185" s="93">
        <v>51</v>
      </c>
      <c r="E185" s="93">
        <v>52</v>
      </c>
      <c r="F185" s="93">
        <v>47</v>
      </c>
      <c r="G185" s="93">
        <v>49</v>
      </c>
      <c r="H185" s="93">
        <v>60</v>
      </c>
      <c r="I185" s="93">
        <v>43</v>
      </c>
      <c r="J185" s="92">
        <v>352</v>
      </c>
      <c r="K185" s="62"/>
    </row>
    <row r="186" spans="2:11" customFormat="1" ht="15" customHeight="1">
      <c r="B186" s="94">
        <v>2011</v>
      </c>
      <c r="C186" s="93">
        <v>58</v>
      </c>
      <c r="D186" s="93">
        <v>51</v>
      </c>
      <c r="E186" s="93">
        <v>53</v>
      </c>
      <c r="F186" s="93">
        <v>58</v>
      </c>
      <c r="G186" s="93">
        <v>48</v>
      </c>
      <c r="H186" s="93">
        <v>48</v>
      </c>
      <c r="I186" s="93">
        <v>61</v>
      </c>
      <c r="J186" s="92">
        <v>377</v>
      </c>
      <c r="K186" s="62"/>
    </row>
    <row r="187" spans="2:11" customFormat="1" ht="15" customHeight="1">
      <c r="B187" s="94">
        <v>2012</v>
      </c>
      <c r="C187" s="93">
        <v>52</v>
      </c>
      <c r="D187" s="93">
        <v>59</v>
      </c>
      <c r="E187" s="93">
        <v>51</v>
      </c>
      <c r="F187" s="93">
        <v>51</v>
      </c>
      <c r="G187" s="93">
        <v>58</v>
      </c>
      <c r="H187" s="93">
        <v>47</v>
      </c>
      <c r="I187" s="93">
        <v>47</v>
      </c>
      <c r="J187" s="92">
        <v>365</v>
      </c>
      <c r="K187" s="62"/>
    </row>
    <row r="188" spans="2:11" customFormat="1" ht="15" customHeight="1">
      <c r="B188" s="94">
        <v>2013</v>
      </c>
      <c r="C188" s="93">
        <v>49</v>
      </c>
      <c r="D188" s="93">
        <v>53</v>
      </c>
      <c r="E188" s="93">
        <v>61</v>
      </c>
      <c r="F188" s="93">
        <v>54</v>
      </c>
      <c r="G188" s="93">
        <v>48</v>
      </c>
      <c r="H188" s="93">
        <v>55</v>
      </c>
      <c r="I188" s="93">
        <v>44</v>
      </c>
      <c r="J188" s="94">
        <v>364</v>
      </c>
      <c r="K188" s="62"/>
    </row>
    <row r="189" spans="2:11" customFormat="1" ht="15" customHeight="1">
      <c r="B189" s="94">
        <v>2014</v>
      </c>
      <c r="C189" s="93">
        <v>58</v>
      </c>
      <c r="D189" s="93">
        <v>48</v>
      </c>
      <c r="E189" s="93">
        <v>52</v>
      </c>
      <c r="F189" s="93">
        <v>58</v>
      </c>
      <c r="G189" s="93">
        <v>55</v>
      </c>
      <c r="H189" s="93">
        <v>46</v>
      </c>
      <c r="I189" s="93">
        <v>53</v>
      </c>
      <c r="J189" s="92">
        <v>370</v>
      </c>
      <c r="K189" s="65"/>
    </row>
    <row r="190" spans="2:11" customFormat="1" ht="15" customHeight="1">
      <c r="B190" s="94">
        <v>2015</v>
      </c>
      <c r="C190" s="93">
        <v>48</v>
      </c>
      <c r="D190" s="93">
        <v>62</v>
      </c>
      <c r="E190" s="93">
        <v>53</v>
      </c>
      <c r="F190" s="93">
        <v>47</v>
      </c>
      <c r="G190" s="93">
        <v>57</v>
      </c>
      <c r="H190" s="93">
        <v>58</v>
      </c>
      <c r="I190" s="93">
        <v>49</v>
      </c>
      <c r="J190" s="92">
        <v>374</v>
      </c>
      <c r="K190" s="65"/>
    </row>
    <row r="191" spans="2:11" customFormat="1" ht="15" customHeight="1">
      <c r="B191" s="94">
        <v>2016</v>
      </c>
      <c r="C191" s="93">
        <v>57</v>
      </c>
      <c r="D191" s="93">
        <v>45</v>
      </c>
      <c r="E191" s="93">
        <v>62</v>
      </c>
      <c r="F191" s="93">
        <v>53</v>
      </c>
      <c r="G191" s="93">
        <v>51</v>
      </c>
      <c r="H191" s="93">
        <v>59</v>
      </c>
      <c r="I191" s="93">
        <v>57</v>
      </c>
      <c r="J191" s="92">
        <v>384</v>
      </c>
      <c r="K191" s="65"/>
    </row>
    <row r="192" spans="2:11" ht="15" customHeight="1">
      <c r="B192" s="94">
        <v>2017</v>
      </c>
      <c r="C192" s="93">
        <f>VLOOKUP($E$3,Rolls!A1:FA90,42,FALSE)</f>
        <v>49</v>
      </c>
      <c r="D192" s="93">
        <f>VLOOKUP($E$3,Rolls!A1:FA90,43,FALSE)</f>
        <v>60</v>
      </c>
      <c r="E192" s="93">
        <f>VLOOKUP($E$3,Rolls!A1:FA90,44,FALSE)</f>
        <v>45</v>
      </c>
      <c r="F192" s="93">
        <f>VLOOKUP($E$3,Rolls!A1:FA90,45,FALSE)</f>
        <v>65</v>
      </c>
      <c r="G192" s="93">
        <f>VLOOKUP($E$3,Rolls!A1:FA90,46,FALSE)</f>
        <v>51</v>
      </c>
      <c r="H192" s="93">
        <f>VLOOKUP($E$3,Rolls!A1:FA90,47,FALSE)</f>
        <v>54</v>
      </c>
      <c r="I192" s="93">
        <f>VLOOKUP($E$3,Rolls!A1:FA90,48,FALSE)</f>
        <v>61</v>
      </c>
      <c r="J192" s="92">
        <f>VLOOKUP($E$3,Rolls!A1:FA90,49,FALSE)</f>
        <v>385</v>
      </c>
      <c r="K192" s="65"/>
    </row>
    <row r="193" spans="2:11" ht="15" customHeight="1">
      <c r="B193" s="94">
        <v>2018</v>
      </c>
      <c r="C193" s="93">
        <f>VLOOKUP($E$3,Rolls!A1:FA90,50,FALSE)</f>
        <v>48</v>
      </c>
      <c r="D193" s="93">
        <f>VLOOKUP($E$3,Rolls!A1:FA90,51,FALSE)</f>
        <v>48</v>
      </c>
      <c r="E193" s="93">
        <f>VLOOKUP($E$3,Rolls!A1:FA90,52,FALSE)</f>
        <v>60</v>
      </c>
      <c r="F193" s="93">
        <f>VLOOKUP($E$3,Rolls!A1:FA90,53,FALSE)</f>
        <v>45</v>
      </c>
      <c r="G193" s="93">
        <f>VLOOKUP($E$3,Rolls!A1:FA90,54,FALSE)</f>
        <v>65</v>
      </c>
      <c r="H193" s="93">
        <f>VLOOKUP($E$3,Rolls!A1:FA90,55,FALSE)</f>
        <v>56</v>
      </c>
      <c r="I193" s="93">
        <f>VLOOKUP($E$3,Rolls!A1:FA90,56,FALSE)</f>
        <v>53</v>
      </c>
      <c r="J193" s="92">
        <f>VLOOKUP($E$3,Rolls!A1:FA90,57,FALSE)</f>
        <v>375</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50</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Nether Currie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210 Pupils (7 classes)</v>
      </c>
      <c r="G12" s="16"/>
      <c r="H12" s="16"/>
    </row>
    <row r="13" spans="2:10" ht="15" customHeight="1">
      <c r="C13" s="16"/>
      <c r="D13" s="16"/>
      <c r="E13" s="16"/>
      <c r="F13" s="16"/>
      <c r="G13" s="16"/>
      <c r="H13" s="16"/>
    </row>
    <row r="14" spans="2:10" ht="15" customHeight="1">
      <c r="B14" s="15" t="str">
        <f>"Figure 1: "&amp;E3&amp;" Roll, 2002-2015"</f>
        <v>Figure 1: Nether Currie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Nether Currie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18</v>
      </c>
      <c r="E49" s="108">
        <f>VLOOKUP($E$3,'Catchment Projections'!$A$1:$BU$90,46,FALSE)</f>
        <v>15</v>
      </c>
      <c r="F49" s="108">
        <f>VLOOKUP($E$3,'Catchment Projections'!$A$1:$BU$90,47,FALSE)</f>
        <v>15</v>
      </c>
      <c r="G49" s="108">
        <f>VLOOKUP($E$3,'Catchment Projections'!$A$1:$BU$90,48,FALSE)</f>
        <v>21</v>
      </c>
      <c r="H49" s="133">
        <f>VLOOKUP($E$3,'Catchment Projections'!$A$1:$BU$90,49,FALSE)</f>
        <v>17</v>
      </c>
      <c r="I49" s="133">
        <f>VLOOKUP($E$3,'Catchment Projections'!$A$1:$BU$90,50,FALSE)</f>
        <v>17</v>
      </c>
      <c r="J49" s="133">
        <f>VLOOKUP($E$3,'Catchment Projections'!$A$1:$BU$90,51,FALSE)</f>
        <v>18</v>
      </c>
      <c r="K49" s="133">
        <f>VLOOKUP($E$3,'Catchment Projections'!$A$1:$BU$90,52,FALSE)</f>
        <v>18</v>
      </c>
      <c r="L49" s="133">
        <f>VLOOKUP($E$3,'Catchment Projections'!$A$1:$BU$90,53,FALSE)</f>
        <v>18</v>
      </c>
      <c r="M49" s="133">
        <f>VLOOKUP($E$3,'Catchment Projections'!$A$1:$BU$90,54,FALSE)</f>
        <v>18</v>
      </c>
      <c r="N49" s="133">
        <f>VLOOKUP($E$3,'Catchment Projections'!$A$1:$BU$90,55,FALSE)</f>
        <v>18</v>
      </c>
      <c r="O49" s="133">
        <f>VLOOKUP($E$3,'Catchment Projections'!$A$1:$BU$90,56,FALSE)</f>
        <v>18</v>
      </c>
      <c r="P49" s="133">
        <f>VLOOKUP($E$3,'Catchment Projections'!$A$1:$BU$90,57,FALSE)</f>
        <v>18</v>
      </c>
      <c r="Q49" s="133">
        <f>VLOOKUP($E$3,'Catchment Projections'!$A$1:$BU$90,58,FALSE)</f>
        <v>18</v>
      </c>
    </row>
    <row r="50" spans="2:17" ht="15" customHeight="1" thickBot="1">
      <c r="B50" s="410" t="s">
        <v>141</v>
      </c>
      <c r="C50" s="411"/>
      <c r="D50" s="286">
        <f>VLOOKUP(E3,'Housing Generation'!$A$3:$DQ$90,10,FALSE)</f>
        <v>0</v>
      </c>
      <c r="E50" s="286">
        <f>VLOOKUP(E3,'Housing Generation'!$A$3:$DQ$90,18,FALSE)</f>
        <v>0</v>
      </c>
      <c r="F50" s="286">
        <f>VLOOKUP(E3,'Housing Generation'!$A$3:$DQ$90,26,FALSE)</f>
        <v>0</v>
      </c>
      <c r="G50" s="243">
        <f>VLOOKUP(E3,'Housing Generation'!$A$3:$DQ$90,34,FALSE)</f>
        <v>0</v>
      </c>
      <c r="H50" s="133">
        <f>VLOOKUP(E3,'Housing Generation'!$A$3:$DQ$90,42,FALSE)</f>
        <v>0</v>
      </c>
      <c r="I50" s="133">
        <f>VLOOKUP(E3,'Housing Generation'!$A$3:$DQ$90,50,FALSE)</f>
        <v>0</v>
      </c>
      <c r="J50" s="133">
        <f>VLOOKUP(E3,'Housing Generation'!$A$3:$CK$90,58,FALSE)</f>
        <v>0</v>
      </c>
      <c r="K50" s="133">
        <f>VLOOKUP(E3,'Housing Generation'!$A$3:$CK$90,66,FALSE)</f>
        <v>0</v>
      </c>
      <c r="L50" s="133">
        <f>VLOOKUP(E3,'Housing Generation'!$A$3:$DQ$90,74,FALSE)</f>
        <v>0</v>
      </c>
      <c r="M50" s="133">
        <f>VLOOKUP(E3,'Housing Generation'!$A$3:$DQ$90,82,FALSE)</f>
        <v>0</v>
      </c>
      <c r="N50" s="133">
        <f>VLOOKUP(E3,'Housing Generation'!$A$3:$DQ$90,90,FALSE)</f>
        <v>0</v>
      </c>
      <c r="O50" s="133">
        <f>VLOOKUP(E3,'Housing Generation'!$A$3:$DQ$90,98,FALSE)</f>
        <v>0</v>
      </c>
      <c r="P50" s="133">
        <f>VLOOKUP(E3,'Housing Generation'!$A$3:$DQ$90,106,FALSE)</f>
        <v>0</v>
      </c>
      <c r="Q50" s="133">
        <f>VLOOKUP(E3,'Housing Generation'!$A$3:$DQ$90,114,FALSE)</f>
        <v>0</v>
      </c>
    </row>
    <row r="51" spans="2:17" ht="15" customHeight="1" thickTop="1">
      <c r="B51" s="421" t="s">
        <v>130</v>
      </c>
      <c r="C51" s="422"/>
      <c r="D51" s="47">
        <f t="shared" ref="D51:Q51" si="0">SUM(D49:D50)</f>
        <v>18</v>
      </c>
      <c r="E51" s="47">
        <f t="shared" si="0"/>
        <v>15</v>
      </c>
      <c r="F51" s="80">
        <f t="shared" si="0"/>
        <v>15</v>
      </c>
      <c r="G51" s="244">
        <f t="shared" si="0"/>
        <v>21</v>
      </c>
      <c r="H51" s="71">
        <f t="shared" si="0"/>
        <v>17</v>
      </c>
      <c r="I51" s="71">
        <f t="shared" si="0"/>
        <v>17</v>
      </c>
      <c r="J51" s="71">
        <f t="shared" si="0"/>
        <v>18</v>
      </c>
      <c r="K51" s="71">
        <f t="shared" si="0"/>
        <v>18</v>
      </c>
      <c r="L51" s="71">
        <f t="shared" si="0"/>
        <v>18</v>
      </c>
      <c r="M51" s="71">
        <f t="shared" si="0"/>
        <v>18</v>
      </c>
      <c r="N51" s="71">
        <f t="shared" si="0"/>
        <v>18</v>
      </c>
      <c r="O51" s="71">
        <f t="shared" si="0"/>
        <v>18</v>
      </c>
      <c r="P51" s="71">
        <f t="shared" si="0"/>
        <v>18</v>
      </c>
      <c r="Q51" s="71">
        <f t="shared" si="0"/>
        <v>18</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19</v>
      </c>
      <c r="D60" s="358">
        <f>VLOOKUP($E$3,'Catchment Projections'!$A$1:$BZ$90,74,FALSE)</f>
        <v>18</v>
      </c>
      <c r="E60" s="303">
        <f>D60/C60</f>
        <v>0.94736842105263153</v>
      </c>
      <c r="G60" s="132">
        <v>2014</v>
      </c>
      <c r="H60" s="395">
        <f>VLOOKUP($G$60,$B$177:$C$215, 2, FALSE)</f>
        <v>28</v>
      </c>
      <c r="I60" s="120">
        <f>H60-D60</f>
        <v>10</v>
      </c>
      <c r="J60" s="121">
        <f>I60/H60</f>
        <v>0.35714285714285715</v>
      </c>
    </row>
    <row r="61" spans="2:17" ht="15" customHeight="1">
      <c r="B61" s="132">
        <v>2015</v>
      </c>
      <c r="C61" s="359">
        <f>VLOOKUP($E$3,'Catchment Projections'!$A$1:$BZ$90,41,FALSE)</f>
        <v>6</v>
      </c>
      <c r="D61" s="358">
        <f>VLOOKUP($E$3,'Catchment Projections'!$A$1:$BZ$90,75,FALSE)</f>
        <v>6</v>
      </c>
      <c r="E61" s="303">
        <f>D61/C61</f>
        <v>1</v>
      </c>
      <c r="G61" s="132">
        <v>2015</v>
      </c>
      <c r="H61" s="395">
        <f>VLOOKUP($G$61,$B$177:$C$215, 2, FALSE)</f>
        <v>20</v>
      </c>
      <c r="I61" s="120">
        <f>H61-D61</f>
        <v>14</v>
      </c>
      <c r="J61" s="121">
        <f>I61/H61</f>
        <v>0.7</v>
      </c>
    </row>
    <row r="62" spans="2:17" ht="15" customHeight="1">
      <c r="B62" s="131">
        <v>2016</v>
      </c>
      <c r="C62" s="359">
        <f>VLOOKUP($E$3,'Catchment Projections'!$A$1:$BZ$90,42,FALSE)</f>
        <v>17</v>
      </c>
      <c r="D62" s="358">
        <f>VLOOKUP($E$3,'Catchment Projections'!$A$1:$BZ$90,76,FALSE)</f>
        <v>17</v>
      </c>
      <c r="E62" s="57">
        <f>D62/C62</f>
        <v>1</v>
      </c>
      <c r="G62" s="131">
        <v>2016</v>
      </c>
      <c r="H62" s="395">
        <f>VLOOKUP($G$62,$B$177:$C$215, 2, FALSE)</f>
        <v>24</v>
      </c>
      <c r="I62" s="120">
        <f>H62-D62</f>
        <v>7</v>
      </c>
      <c r="J62" s="121">
        <f>I62/H62</f>
        <v>0.29166666666666669</v>
      </c>
    </row>
    <row r="63" spans="2:17" ht="15" customHeight="1">
      <c r="B63" s="114">
        <v>2017</v>
      </c>
      <c r="C63" s="359">
        <f>VLOOKUP($E$3,'Catchment Projections'!$A$1:$BZ$90,43,FALSE)</f>
        <v>11</v>
      </c>
      <c r="D63" s="358">
        <f>VLOOKUP($E$3,'Catchment Projections'!$A$1:$BZ$90,77,FALSE)</f>
        <v>11</v>
      </c>
      <c r="E63" s="304">
        <f>D63/C63</f>
        <v>1</v>
      </c>
      <c r="G63" s="114">
        <v>2017</v>
      </c>
      <c r="H63" s="395">
        <f>VLOOKUP($G$63,$B$177:$C$215, 2, FALSE)</f>
        <v>24</v>
      </c>
      <c r="I63" s="120">
        <f>H63-D63</f>
        <v>13</v>
      </c>
      <c r="J63" s="121">
        <f>I63/H63</f>
        <v>0.54166666666666663</v>
      </c>
    </row>
    <row r="64" spans="2:17" ht="15" customHeight="1">
      <c r="B64" s="114">
        <v>2018</v>
      </c>
      <c r="C64" s="359">
        <f>VLOOKUP($E$3,'Catchment Projections'!$A$1:$BZ$90,44,FALSE)</f>
        <v>19</v>
      </c>
      <c r="D64" s="358">
        <f>VLOOKUP($E$3,'Catchment Projections'!$A$1:$BZ$90,78,FALSE)</f>
        <v>18</v>
      </c>
      <c r="E64" s="305">
        <f>D64/C64</f>
        <v>0.94736842105263153</v>
      </c>
      <c r="G64" s="114">
        <v>2018</v>
      </c>
      <c r="H64" s="395">
        <f>VLOOKUP($G$64,$B$177:$C$215, 2, FALSE)</f>
        <v>23</v>
      </c>
      <c r="I64" s="120">
        <f>H64-D64</f>
        <v>5</v>
      </c>
      <c r="J64" s="121">
        <f>I64/H64</f>
        <v>0.21739130434782608</v>
      </c>
    </row>
    <row r="65" spans="2:10" ht="15" customHeight="1">
      <c r="B65" s="412" t="s">
        <v>136</v>
      </c>
      <c r="C65" s="413"/>
      <c r="D65" s="414"/>
      <c r="E65" s="137">
        <f>IF((AVERAGE(E62:E64))="#DIV/0!","n/a",(AVERAGE(E62:E64)))</f>
        <v>0.98245614035087714</v>
      </c>
      <c r="G65" s="415" t="s">
        <v>137</v>
      </c>
      <c r="H65" s="416"/>
      <c r="I65" s="138">
        <f>MEDIAN(I60:I64)</f>
        <v>10</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18</v>
      </c>
      <c r="D70" s="408"/>
      <c r="E70" s="122">
        <f>E65</f>
        <v>0.98245614035087714</v>
      </c>
      <c r="F70" s="120">
        <f t="shared" ref="F70:F83" si="1">C70*$E$65</f>
        <v>17.684210526315788</v>
      </c>
      <c r="G70" s="118">
        <f>IF(F70&lt;26,25,IF(F70&gt;135,140,IF(F70&gt;130,135,IF(F70&gt;125,130,IF(F70&gt;120,125,IF(F70&gt;115,120,IF(F70&gt;110,115,IF(F70&gt;105,110,IF(F70&gt;100,105,IF(F70&gt;99,100,IF(F70&gt;90,99,IF(F70&gt;75,90,IF(F70&gt;72,75,IF(F70&gt;66,72,IF(F70&gt;60,66,IF(F70&gt;50,60,IF(F70&gt;30,50,IF(F70&gt;25,30,0))))))))))))))))))</f>
        <v>25</v>
      </c>
      <c r="H70" s="119">
        <f t="shared" ref="H70:H83" si="2">G70-F70</f>
        <v>7.3157894736842124</v>
      </c>
      <c r="I70" s="118" t="str">
        <f>IF(I$65&lt;H70, "NO", "YES")</f>
        <v>YES</v>
      </c>
      <c r="J70" s="117">
        <f t="shared" ref="J70:J83" si="3">IF(I70="YES",G70,(MIN((SUM(F70,$I$65)),G70)))</f>
        <v>25</v>
      </c>
    </row>
    <row r="71" spans="2:10" ht="15" customHeight="1">
      <c r="B71" s="114">
        <v>2020</v>
      </c>
      <c r="C71" s="433">
        <f>E51</f>
        <v>15</v>
      </c>
      <c r="D71" s="408"/>
      <c r="E71" s="121">
        <f>E65</f>
        <v>0.98245614035087714</v>
      </c>
      <c r="F71" s="120">
        <f t="shared" si="1"/>
        <v>14.736842105263158</v>
      </c>
      <c r="G71" s="118">
        <f t="shared" ref="G71:G83" si="4">IF(F71&lt;26,25,IF(F71&gt;135,140,IF(F71&gt;130,135,IF(F71&gt;125,130,IF(F71&gt;120,125,IF(F71&gt;115,120,IF(F71&gt;110,115,IF(F71&gt;105,110,IF(F71&gt;100,105,IF(F71&gt;99,100,IF(F71&gt;90,99,IF(F71&gt;75,90,IF(F71&gt;72,75,IF(F71&gt;66,72,IF(F71&gt;60,66,IF(F71&gt;50,60,IF(F71&gt;30,50,IF(F71&gt;25,30,0))))))))))))))))))</f>
        <v>25</v>
      </c>
      <c r="H71" s="119">
        <f t="shared" si="2"/>
        <v>10.263157894736842</v>
      </c>
      <c r="I71" s="118" t="str">
        <f t="shared" ref="I71:I83" si="5">IF(I$65&lt;H71, "NO", "YES")</f>
        <v>NO</v>
      </c>
      <c r="J71" s="117">
        <f t="shared" si="3"/>
        <v>24.736842105263158</v>
      </c>
    </row>
    <row r="72" spans="2:10" ht="15" customHeight="1">
      <c r="B72" s="114">
        <v>2021</v>
      </c>
      <c r="C72" s="430">
        <f>F51</f>
        <v>15</v>
      </c>
      <c r="D72" s="431"/>
      <c r="E72" s="121">
        <f>E65</f>
        <v>0.98245614035087714</v>
      </c>
      <c r="F72" s="120">
        <f t="shared" si="1"/>
        <v>14.736842105263158</v>
      </c>
      <c r="G72" s="118">
        <f t="shared" si="4"/>
        <v>25</v>
      </c>
      <c r="H72" s="119">
        <f t="shared" si="2"/>
        <v>10.263157894736842</v>
      </c>
      <c r="I72" s="118" t="str">
        <f t="shared" si="5"/>
        <v>NO</v>
      </c>
      <c r="J72" s="117">
        <f t="shared" si="3"/>
        <v>24.736842105263158</v>
      </c>
    </row>
    <row r="73" spans="2:10" ht="15" customHeight="1">
      <c r="B73" s="114">
        <v>2022</v>
      </c>
      <c r="C73" s="430">
        <f>G51</f>
        <v>21</v>
      </c>
      <c r="D73" s="431"/>
      <c r="E73" s="121">
        <f>E65</f>
        <v>0.98245614035087714</v>
      </c>
      <c r="F73" s="120">
        <f t="shared" si="1"/>
        <v>20.631578947368421</v>
      </c>
      <c r="G73" s="118">
        <f t="shared" si="4"/>
        <v>25</v>
      </c>
      <c r="H73" s="119">
        <f t="shared" si="2"/>
        <v>4.3684210526315788</v>
      </c>
      <c r="I73" s="118" t="str">
        <f t="shared" si="5"/>
        <v>YES</v>
      </c>
      <c r="J73" s="117">
        <f t="shared" si="3"/>
        <v>25</v>
      </c>
    </row>
    <row r="74" spans="2:10" ht="15" customHeight="1">
      <c r="B74" s="114">
        <v>2023</v>
      </c>
      <c r="C74" s="430">
        <f>H51</f>
        <v>17</v>
      </c>
      <c r="D74" s="431"/>
      <c r="E74" s="121">
        <f>E65</f>
        <v>0.98245614035087714</v>
      </c>
      <c r="F74" s="120">
        <f t="shared" si="1"/>
        <v>16.701754385964911</v>
      </c>
      <c r="G74" s="118">
        <f t="shared" si="4"/>
        <v>25</v>
      </c>
      <c r="H74" s="119">
        <f t="shared" si="2"/>
        <v>8.2982456140350891</v>
      </c>
      <c r="I74" s="118" t="str">
        <f t="shared" si="5"/>
        <v>YES</v>
      </c>
      <c r="J74" s="117">
        <f t="shared" si="3"/>
        <v>25</v>
      </c>
    </row>
    <row r="75" spans="2:10" ht="15" customHeight="1">
      <c r="B75" s="114">
        <v>2024</v>
      </c>
      <c r="C75" s="430">
        <f>I51</f>
        <v>17</v>
      </c>
      <c r="D75" s="431"/>
      <c r="E75" s="121">
        <f>E65</f>
        <v>0.98245614035087714</v>
      </c>
      <c r="F75" s="120">
        <f t="shared" si="1"/>
        <v>16.701754385964911</v>
      </c>
      <c r="G75" s="118">
        <f t="shared" si="4"/>
        <v>25</v>
      </c>
      <c r="H75" s="119">
        <f t="shared" si="2"/>
        <v>8.2982456140350891</v>
      </c>
      <c r="I75" s="118" t="str">
        <f t="shared" si="5"/>
        <v>YES</v>
      </c>
      <c r="J75" s="117">
        <f t="shared" si="3"/>
        <v>25</v>
      </c>
    </row>
    <row r="76" spans="2:10" ht="15" customHeight="1">
      <c r="B76" s="114">
        <v>2025</v>
      </c>
      <c r="C76" s="430">
        <f>J51</f>
        <v>18</v>
      </c>
      <c r="D76" s="431"/>
      <c r="E76" s="121">
        <f>E65</f>
        <v>0.98245614035087714</v>
      </c>
      <c r="F76" s="120">
        <f t="shared" si="1"/>
        <v>17.684210526315788</v>
      </c>
      <c r="G76" s="118">
        <f t="shared" si="4"/>
        <v>25</v>
      </c>
      <c r="H76" s="119">
        <f t="shared" si="2"/>
        <v>7.3157894736842124</v>
      </c>
      <c r="I76" s="118" t="str">
        <f t="shared" si="5"/>
        <v>YES</v>
      </c>
      <c r="J76" s="117">
        <f t="shared" si="3"/>
        <v>25</v>
      </c>
    </row>
    <row r="77" spans="2:10" ht="15" customHeight="1">
      <c r="B77" s="114">
        <v>2026</v>
      </c>
      <c r="C77" s="430">
        <f>K51</f>
        <v>18</v>
      </c>
      <c r="D77" s="431"/>
      <c r="E77" s="121">
        <f>E65</f>
        <v>0.98245614035087714</v>
      </c>
      <c r="F77" s="120">
        <f t="shared" si="1"/>
        <v>17.684210526315788</v>
      </c>
      <c r="G77" s="118">
        <f t="shared" si="4"/>
        <v>25</v>
      </c>
      <c r="H77" s="119">
        <f t="shared" si="2"/>
        <v>7.3157894736842124</v>
      </c>
      <c r="I77" s="118" t="str">
        <f t="shared" si="5"/>
        <v>YES</v>
      </c>
      <c r="J77" s="117">
        <f t="shared" si="3"/>
        <v>25</v>
      </c>
    </row>
    <row r="78" spans="2:10" ht="15" customHeight="1">
      <c r="B78" s="114">
        <v>2027</v>
      </c>
      <c r="C78" s="430">
        <f>L51</f>
        <v>18</v>
      </c>
      <c r="D78" s="431"/>
      <c r="E78" s="121">
        <f>E65</f>
        <v>0.98245614035087714</v>
      </c>
      <c r="F78" s="120">
        <f t="shared" si="1"/>
        <v>17.684210526315788</v>
      </c>
      <c r="G78" s="118">
        <f t="shared" si="4"/>
        <v>25</v>
      </c>
      <c r="H78" s="119">
        <f t="shared" si="2"/>
        <v>7.3157894736842124</v>
      </c>
      <c r="I78" s="118" t="str">
        <f t="shared" si="5"/>
        <v>YES</v>
      </c>
      <c r="J78" s="117">
        <f t="shared" si="3"/>
        <v>25</v>
      </c>
    </row>
    <row r="79" spans="2:10" ht="15" customHeight="1">
      <c r="B79" s="114">
        <v>2028</v>
      </c>
      <c r="C79" s="430">
        <f>M51</f>
        <v>18</v>
      </c>
      <c r="D79" s="431"/>
      <c r="E79" s="121">
        <f t="shared" ref="E79:E83" si="6">$E$65</f>
        <v>0.98245614035087714</v>
      </c>
      <c r="F79" s="120">
        <f t="shared" si="1"/>
        <v>17.684210526315788</v>
      </c>
      <c r="G79" s="118">
        <f t="shared" si="4"/>
        <v>25</v>
      </c>
      <c r="H79" s="119">
        <f t="shared" si="2"/>
        <v>7.3157894736842124</v>
      </c>
      <c r="I79" s="118" t="str">
        <f t="shared" si="5"/>
        <v>YES</v>
      </c>
      <c r="J79" s="117">
        <f t="shared" si="3"/>
        <v>25</v>
      </c>
    </row>
    <row r="80" spans="2:10" ht="15" customHeight="1">
      <c r="B80" s="114">
        <v>2029</v>
      </c>
      <c r="C80" s="430">
        <f>N51</f>
        <v>18</v>
      </c>
      <c r="D80" s="431"/>
      <c r="E80" s="121">
        <f t="shared" si="6"/>
        <v>0.98245614035087714</v>
      </c>
      <c r="F80" s="120">
        <f t="shared" si="1"/>
        <v>17.684210526315788</v>
      </c>
      <c r="G80" s="118">
        <f t="shared" si="4"/>
        <v>25</v>
      </c>
      <c r="H80" s="119">
        <f t="shared" si="2"/>
        <v>7.3157894736842124</v>
      </c>
      <c r="I80" s="118" t="str">
        <f t="shared" si="5"/>
        <v>YES</v>
      </c>
      <c r="J80" s="117">
        <f t="shared" si="3"/>
        <v>25</v>
      </c>
    </row>
    <row r="81" spans="2:10" ht="15" customHeight="1">
      <c r="B81" s="114">
        <v>2030</v>
      </c>
      <c r="C81" s="430">
        <f>O51</f>
        <v>18</v>
      </c>
      <c r="D81" s="431"/>
      <c r="E81" s="121">
        <f t="shared" si="6"/>
        <v>0.98245614035087714</v>
      </c>
      <c r="F81" s="120">
        <f t="shared" si="1"/>
        <v>17.684210526315788</v>
      </c>
      <c r="G81" s="118">
        <f t="shared" si="4"/>
        <v>25</v>
      </c>
      <c r="H81" s="119">
        <f t="shared" si="2"/>
        <v>7.3157894736842124</v>
      </c>
      <c r="I81" s="118" t="str">
        <f t="shared" si="5"/>
        <v>YES</v>
      </c>
      <c r="J81" s="117">
        <f t="shared" si="3"/>
        <v>25</v>
      </c>
    </row>
    <row r="82" spans="2:10" ht="15" customHeight="1">
      <c r="B82" s="114">
        <v>2031</v>
      </c>
      <c r="C82" s="430">
        <f>P51</f>
        <v>18</v>
      </c>
      <c r="D82" s="431"/>
      <c r="E82" s="121">
        <f t="shared" si="6"/>
        <v>0.98245614035087714</v>
      </c>
      <c r="F82" s="120">
        <f t="shared" si="1"/>
        <v>17.684210526315788</v>
      </c>
      <c r="G82" s="118">
        <f t="shared" si="4"/>
        <v>25</v>
      </c>
      <c r="H82" s="119">
        <f t="shared" si="2"/>
        <v>7.3157894736842124</v>
      </c>
      <c r="I82" s="118" t="str">
        <f t="shared" si="5"/>
        <v>YES</v>
      </c>
      <c r="J82" s="117">
        <f t="shared" si="3"/>
        <v>25</v>
      </c>
    </row>
    <row r="83" spans="2:10" ht="15" customHeight="1">
      <c r="B83" s="114">
        <v>2032</v>
      </c>
      <c r="C83" s="430">
        <f>Q51</f>
        <v>18</v>
      </c>
      <c r="D83" s="431"/>
      <c r="E83" s="121">
        <f t="shared" si="6"/>
        <v>0.98245614035087714</v>
      </c>
      <c r="F83" s="120">
        <f t="shared" si="1"/>
        <v>17.684210526315788</v>
      </c>
      <c r="G83" s="118">
        <f t="shared" si="4"/>
        <v>25</v>
      </c>
      <c r="H83" s="119">
        <f t="shared" si="2"/>
        <v>7.3157894736842124</v>
      </c>
      <c r="I83" s="118" t="str">
        <f t="shared" si="5"/>
        <v>YES</v>
      </c>
      <c r="J83" s="117">
        <f t="shared" si="3"/>
        <v>25</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Nether Currie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25</v>
      </c>
      <c r="D91" s="112">
        <f t="shared" ref="D91:J91" si="7">D188</f>
        <v>16</v>
      </c>
      <c r="E91" s="112">
        <f t="shared" si="7"/>
        <v>27</v>
      </c>
      <c r="F91" s="112">
        <f t="shared" si="7"/>
        <v>28</v>
      </c>
      <c r="G91" s="112">
        <f t="shared" si="7"/>
        <v>14</v>
      </c>
      <c r="H91" s="112">
        <f t="shared" si="7"/>
        <v>19</v>
      </c>
      <c r="I91" s="112">
        <f t="shared" si="7"/>
        <v>30</v>
      </c>
      <c r="J91" s="213">
        <f t="shared" si="7"/>
        <v>159</v>
      </c>
    </row>
    <row r="92" spans="2:10" ht="15" customHeight="1">
      <c r="B92" s="114">
        <v>2014</v>
      </c>
      <c r="C92" s="112">
        <f>C189</f>
        <v>28</v>
      </c>
      <c r="D92" s="112">
        <f t="shared" ref="D92:J92" si="8">D189</f>
        <v>20</v>
      </c>
      <c r="E92" s="112">
        <f t="shared" si="8"/>
        <v>16</v>
      </c>
      <c r="F92" s="112">
        <f t="shared" si="8"/>
        <v>27</v>
      </c>
      <c r="G92" s="112">
        <f t="shared" si="8"/>
        <v>29</v>
      </c>
      <c r="H92" s="112">
        <f t="shared" si="8"/>
        <v>15</v>
      </c>
      <c r="I92" s="112">
        <f t="shared" si="8"/>
        <v>14</v>
      </c>
      <c r="J92" s="213">
        <f t="shared" si="8"/>
        <v>149</v>
      </c>
    </row>
    <row r="93" spans="2:10" ht="15" customHeight="1">
      <c r="B93" s="114">
        <v>2015</v>
      </c>
      <c r="C93" s="112">
        <f>C190</f>
        <v>20</v>
      </c>
      <c r="D93" s="112">
        <f t="shared" ref="D93:J93" si="9">D190</f>
        <v>29</v>
      </c>
      <c r="E93" s="112">
        <f t="shared" si="9"/>
        <v>19</v>
      </c>
      <c r="F93" s="112">
        <f t="shared" si="9"/>
        <v>17</v>
      </c>
      <c r="G93" s="112">
        <f t="shared" si="9"/>
        <v>27</v>
      </c>
      <c r="H93" s="112">
        <f t="shared" si="9"/>
        <v>29</v>
      </c>
      <c r="I93" s="112">
        <f t="shared" si="9"/>
        <v>9</v>
      </c>
      <c r="J93" s="213">
        <f t="shared" si="9"/>
        <v>150</v>
      </c>
    </row>
    <row r="94" spans="2:10" ht="15" customHeight="1">
      <c r="B94" s="114">
        <v>2016</v>
      </c>
      <c r="C94" s="112">
        <f>C191</f>
        <v>24</v>
      </c>
      <c r="D94" s="112">
        <f t="shared" ref="D94:J94" si="10">D191</f>
        <v>20</v>
      </c>
      <c r="E94" s="112">
        <f t="shared" si="10"/>
        <v>27</v>
      </c>
      <c r="F94" s="112">
        <f t="shared" si="10"/>
        <v>20</v>
      </c>
      <c r="G94" s="112">
        <f t="shared" si="10"/>
        <v>17</v>
      </c>
      <c r="H94" s="112">
        <f t="shared" si="10"/>
        <v>27</v>
      </c>
      <c r="I94" s="112">
        <f t="shared" si="10"/>
        <v>28</v>
      </c>
      <c r="J94" s="213">
        <f t="shared" si="10"/>
        <v>163</v>
      </c>
    </row>
    <row r="95" spans="2:10" ht="15" customHeight="1">
      <c r="B95" s="114">
        <v>2017</v>
      </c>
      <c r="C95" s="112">
        <f>C192</f>
        <v>24</v>
      </c>
      <c r="D95" s="112">
        <f t="shared" ref="D95:J95" si="11">D192</f>
        <v>24</v>
      </c>
      <c r="E95" s="112">
        <f t="shared" si="11"/>
        <v>19</v>
      </c>
      <c r="F95" s="112">
        <f t="shared" si="11"/>
        <v>28</v>
      </c>
      <c r="G95" s="112">
        <f t="shared" si="11"/>
        <v>20</v>
      </c>
      <c r="H95" s="112">
        <f t="shared" si="11"/>
        <v>15</v>
      </c>
      <c r="I95" s="112">
        <f t="shared" si="11"/>
        <v>26</v>
      </c>
      <c r="J95" s="213">
        <f t="shared" si="11"/>
        <v>156</v>
      </c>
    </row>
    <row r="96" spans="2:10" ht="15" customHeight="1">
      <c r="B96" s="307">
        <v>2018</v>
      </c>
      <c r="C96" s="112">
        <f t="shared" ref="C96:J96" si="12">C193</f>
        <v>23</v>
      </c>
      <c r="D96" s="112">
        <f t="shared" si="12"/>
        <v>25</v>
      </c>
      <c r="E96" s="112">
        <f t="shared" si="12"/>
        <v>23</v>
      </c>
      <c r="F96" s="112">
        <f t="shared" si="12"/>
        <v>19</v>
      </c>
      <c r="G96" s="112">
        <f t="shared" si="12"/>
        <v>29</v>
      </c>
      <c r="H96" s="112">
        <f t="shared" si="12"/>
        <v>20</v>
      </c>
      <c r="I96" s="112">
        <f t="shared" si="12"/>
        <v>17</v>
      </c>
      <c r="J96" s="213">
        <f t="shared" si="12"/>
        <v>156</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0</v>
      </c>
      <c r="E98" s="210">
        <f t="shared" ref="E98:I98" si="13">MEDIAN(((D91-E92)/D91),((D92-E93)/D92),((D93-E94)/D93),((D94-E95)/D94),((D95-E96)/D95))</f>
        <v>0.05</v>
      </c>
      <c r="F98" s="210">
        <f t="shared" si="13"/>
        <v>-3.7037037037037035E-2</v>
      </c>
      <c r="G98" s="210">
        <f t="shared" si="13"/>
        <v>0</v>
      </c>
      <c r="H98" s="210">
        <f t="shared" si="13"/>
        <v>0</v>
      </c>
      <c r="I98" s="210">
        <f t="shared" si="13"/>
        <v>3.7037037037037035E-2</v>
      </c>
    </row>
    <row r="99" spans="2:10" ht="18.75">
      <c r="B99" s="59"/>
      <c r="C99" s="60"/>
      <c r="D99" s="61"/>
      <c r="E99" s="61"/>
      <c r="F99" s="61"/>
      <c r="G99" s="61"/>
      <c r="H99" s="61"/>
      <c r="I99" s="61"/>
      <c r="J99" s="58"/>
    </row>
    <row r="100" spans="2:10">
      <c r="B100" s="15" t="str">
        <f>"Table 4B: "&amp;E3&amp;" Projected Roll by Stage (incorporating Projected P1 and Drop-Off Rates), 2019-2032"</f>
        <v>Table 4B: Nether Currie Primary School Projected Roll by Stage (incorporating Projected P1 and Drop-Off Rates), 2019-2032</v>
      </c>
      <c r="F100" s="14"/>
      <c r="G100" s="14"/>
    </row>
    <row r="101" spans="2:10" ht="12.75">
      <c r="F101" s="14"/>
      <c r="G101" s="14"/>
    </row>
    <row r="102" spans="2:10">
      <c r="B102" s="115"/>
      <c r="C102" s="109" t="s">
        <v>1</v>
      </c>
      <c r="D102" s="109" t="s">
        <v>2</v>
      </c>
      <c r="E102" s="109" t="s">
        <v>3</v>
      </c>
      <c r="F102" s="109" t="s">
        <v>4</v>
      </c>
      <c r="G102" s="109" t="s">
        <v>5</v>
      </c>
      <c r="H102" s="109" t="s">
        <v>6</v>
      </c>
      <c r="I102" s="109" t="s">
        <v>7</v>
      </c>
      <c r="J102" s="109" t="s">
        <v>8</v>
      </c>
    </row>
    <row r="103" spans="2:10">
      <c r="B103" s="114">
        <v>2019</v>
      </c>
      <c r="C103" s="113">
        <f t="shared" ref="C103:C116" si="14">J70</f>
        <v>25</v>
      </c>
      <c r="D103" s="324">
        <f>ROUND((C96)-(C96*$D$98),0)</f>
        <v>23</v>
      </c>
      <c r="E103" s="324">
        <f>ROUND((D96)-(D96*$E$98),0)</f>
        <v>24</v>
      </c>
      <c r="F103" s="324">
        <f>ROUND((E96)-(E96*$F$98),0)</f>
        <v>24</v>
      </c>
      <c r="G103" s="324">
        <f>ROUND((F96)-(F96*$G$98),0)</f>
        <v>19</v>
      </c>
      <c r="H103" s="324">
        <f>ROUND((G96)-(G96*$H$98),0)</f>
        <v>29</v>
      </c>
      <c r="I103" s="324">
        <f>ROUND((H96)-(H96*$I$98),0)</f>
        <v>19</v>
      </c>
      <c r="J103" s="111">
        <f t="shared" ref="J103:J116" si="15">SUM(C103:I103)</f>
        <v>163</v>
      </c>
    </row>
    <row r="104" spans="2:10">
      <c r="B104" s="114">
        <v>2020</v>
      </c>
      <c r="C104" s="113">
        <f t="shared" si="14"/>
        <v>24.736842105263158</v>
      </c>
      <c r="D104" s="324">
        <f>ROUND((C103-E50)-(C103*$D$98),0)</f>
        <v>25</v>
      </c>
      <c r="E104" s="112">
        <f t="shared" ref="E104:E116" si="16">ROUND((D103)-(D103*$E$98),0)</f>
        <v>22</v>
      </c>
      <c r="F104" s="112">
        <f t="shared" ref="F104:F116" si="17">ROUND((E103)-(E103*$F$98),0)</f>
        <v>25</v>
      </c>
      <c r="G104" s="112">
        <f t="shared" ref="G104:G116" si="18">ROUND((F103)-(F103*$G$98),0)</f>
        <v>24</v>
      </c>
      <c r="H104" s="112">
        <f t="shared" ref="H104:H116" si="19">ROUND((G103)-(G103*$H$98),0)</f>
        <v>19</v>
      </c>
      <c r="I104" s="112">
        <f t="shared" ref="I104:I116" si="20">ROUND((H103)-(H103*$I$98),0)</f>
        <v>28</v>
      </c>
      <c r="J104" s="111">
        <f t="shared" si="15"/>
        <v>167.73684210526315</v>
      </c>
    </row>
    <row r="105" spans="2:10">
      <c r="B105" s="114">
        <v>2021</v>
      </c>
      <c r="C105" s="113">
        <f t="shared" si="14"/>
        <v>24.736842105263158</v>
      </c>
      <c r="D105" s="324">
        <f>ROUND((C104-F50)-(C104*$D$98),0)</f>
        <v>25</v>
      </c>
      <c r="E105" s="112">
        <f t="shared" si="16"/>
        <v>24</v>
      </c>
      <c r="F105" s="112">
        <f t="shared" si="17"/>
        <v>23</v>
      </c>
      <c r="G105" s="112">
        <f t="shared" si="18"/>
        <v>25</v>
      </c>
      <c r="H105" s="112">
        <f t="shared" si="19"/>
        <v>24</v>
      </c>
      <c r="I105" s="112">
        <f t="shared" si="20"/>
        <v>18</v>
      </c>
      <c r="J105" s="111">
        <f t="shared" si="15"/>
        <v>163.73684210526315</v>
      </c>
    </row>
    <row r="106" spans="2:10">
      <c r="B106" s="114">
        <v>2022</v>
      </c>
      <c r="C106" s="113">
        <f t="shared" si="14"/>
        <v>25</v>
      </c>
      <c r="D106" s="324">
        <f>ROUND((C105-G50)-(C105*$D$98),0)</f>
        <v>25</v>
      </c>
      <c r="E106" s="112">
        <f t="shared" si="16"/>
        <v>24</v>
      </c>
      <c r="F106" s="112">
        <f t="shared" si="17"/>
        <v>25</v>
      </c>
      <c r="G106" s="112">
        <f t="shared" si="18"/>
        <v>23</v>
      </c>
      <c r="H106" s="112">
        <f t="shared" si="19"/>
        <v>25</v>
      </c>
      <c r="I106" s="112">
        <f t="shared" si="20"/>
        <v>23</v>
      </c>
      <c r="J106" s="111">
        <f t="shared" si="15"/>
        <v>170</v>
      </c>
    </row>
    <row r="107" spans="2:10">
      <c r="B107" s="114">
        <v>2023</v>
      </c>
      <c r="C107" s="113">
        <f t="shared" si="14"/>
        <v>25</v>
      </c>
      <c r="D107" s="324">
        <f>ROUND((C106-H50)-(C106*$D$98),0)</f>
        <v>25</v>
      </c>
      <c r="E107" s="112">
        <f t="shared" si="16"/>
        <v>24</v>
      </c>
      <c r="F107" s="112">
        <f t="shared" si="17"/>
        <v>25</v>
      </c>
      <c r="G107" s="112">
        <f t="shared" si="18"/>
        <v>25</v>
      </c>
      <c r="H107" s="112">
        <f t="shared" si="19"/>
        <v>23</v>
      </c>
      <c r="I107" s="112">
        <f t="shared" si="20"/>
        <v>24</v>
      </c>
      <c r="J107" s="111">
        <f t="shared" si="15"/>
        <v>171</v>
      </c>
    </row>
    <row r="108" spans="2:10">
      <c r="B108" s="114">
        <v>2024</v>
      </c>
      <c r="C108" s="113">
        <f t="shared" si="14"/>
        <v>25</v>
      </c>
      <c r="D108" s="324">
        <f>ROUND((C107-I50)-(C107*$D$98),0)</f>
        <v>25</v>
      </c>
      <c r="E108" s="112">
        <f t="shared" si="16"/>
        <v>24</v>
      </c>
      <c r="F108" s="112">
        <f t="shared" si="17"/>
        <v>25</v>
      </c>
      <c r="G108" s="112">
        <f t="shared" si="18"/>
        <v>25</v>
      </c>
      <c r="H108" s="112">
        <f t="shared" si="19"/>
        <v>25</v>
      </c>
      <c r="I108" s="112">
        <f t="shared" si="20"/>
        <v>22</v>
      </c>
      <c r="J108" s="111">
        <f t="shared" si="15"/>
        <v>171</v>
      </c>
    </row>
    <row r="109" spans="2:10">
      <c r="B109" s="114">
        <v>2025</v>
      </c>
      <c r="C109" s="113">
        <f t="shared" si="14"/>
        <v>25</v>
      </c>
      <c r="D109" s="324">
        <f>ROUND((C108-J50)-(C108*$D$98),0)</f>
        <v>25</v>
      </c>
      <c r="E109" s="112">
        <f t="shared" si="16"/>
        <v>24</v>
      </c>
      <c r="F109" s="112">
        <f t="shared" si="17"/>
        <v>25</v>
      </c>
      <c r="G109" s="112">
        <f t="shared" si="18"/>
        <v>25</v>
      </c>
      <c r="H109" s="112">
        <f t="shared" si="19"/>
        <v>25</v>
      </c>
      <c r="I109" s="112">
        <f t="shared" si="20"/>
        <v>24</v>
      </c>
      <c r="J109" s="111">
        <f t="shared" si="15"/>
        <v>173</v>
      </c>
    </row>
    <row r="110" spans="2:10">
      <c r="B110" s="114">
        <v>2026</v>
      </c>
      <c r="C110" s="113">
        <f t="shared" si="14"/>
        <v>25</v>
      </c>
      <c r="D110" s="324">
        <f>ROUND((C109-K50)-(C109*$D$98),0)</f>
        <v>25</v>
      </c>
      <c r="E110" s="112">
        <f t="shared" si="16"/>
        <v>24</v>
      </c>
      <c r="F110" s="112">
        <f t="shared" si="17"/>
        <v>25</v>
      </c>
      <c r="G110" s="112">
        <f t="shared" si="18"/>
        <v>25</v>
      </c>
      <c r="H110" s="112">
        <f t="shared" si="19"/>
        <v>25</v>
      </c>
      <c r="I110" s="112">
        <f t="shared" si="20"/>
        <v>24</v>
      </c>
      <c r="J110" s="111">
        <f t="shared" si="15"/>
        <v>173</v>
      </c>
    </row>
    <row r="111" spans="2:10">
      <c r="B111" s="114">
        <v>2027</v>
      </c>
      <c r="C111" s="113">
        <f t="shared" si="14"/>
        <v>25</v>
      </c>
      <c r="D111" s="324">
        <f>ROUND((C110-L50)-(C110*$D$98),0)</f>
        <v>25</v>
      </c>
      <c r="E111" s="112">
        <f t="shared" si="16"/>
        <v>24</v>
      </c>
      <c r="F111" s="112">
        <f t="shared" si="17"/>
        <v>25</v>
      </c>
      <c r="G111" s="112">
        <f t="shared" si="18"/>
        <v>25</v>
      </c>
      <c r="H111" s="112">
        <f t="shared" si="19"/>
        <v>25</v>
      </c>
      <c r="I111" s="112">
        <f t="shared" si="20"/>
        <v>24</v>
      </c>
      <c r="J111" s="111">
        <f t="shared" si="15"/>
        <v>173</v>
      </c>
    </row>
    <row r="112" spans="2:10">
      <c r="B112" s="114">
        <v>2028</v>
      </c>
      <c r="C112" s="113">
        <f t="shared" si="14"/>
        <v>25</v>
      </c>
      <c r="D112" s="324">
        <f>ROUND((C111-M50)-(C111*$D$98),0)</f>
        <v>25</v>
      </c>
      <c r="E112" s="112">
        <f t="shared" si="16"/>
        <v>24</v>
      </c>
      <c r="F112" s="112">
        <f t="shared" si="17"/>
        <v>25</v>
      </c>
      <c r="G112" s="112">
        <f t="shared" si="18"/>
        <v>25</v>
      </c>
      <c r="H112" s="112">
        <f t="shared" si="19"/>
        <v>25</v>
      </c>
      <c r="I112" s="112">
        <f t="shared" si="20"/>
        <v>24</v>
      </c>
      <c r="J112" s="111">
        <f t="shared" si="15"/>
        <v>173</v>
      </c>
    </row>
    <row r="113" spans="2:10" ht="15" customHeight="1">
      <c r="B113" s="114">
        <v>2029</v>
      </c>
      <c r="C113" s="113">
        <f t="shared" si="14"/>
        <v>25</v>
      </c>
      <c r="D113" s="324">
        <f>ROUND((C112-N50)-(C112*$D$98),0)</f>
        <v>25</v>
      </c>
      <c r="E113" s="112">
        <f t="shared" si="16"/>
        <v>24</v>
      </c>
      <c r="F113" s="112">
        <f t="shared" si="17"/>
        <v>25</v>
      </c>
      <c r="G113" s="112">
        <f t="shared" si="18"/>
        <v>25</v>
      </c>
      <c r="H113" s="112">
        <f t="shared" si="19"/>
        <v>25</v>
      </c>
      <c r="I113" s="112">
        <f t="shared" si="20"/>
        <v>24</v>
      </c>
      <c r="J113" s="111">
        <f t="shared" si="15"/>
        <v>173</v>
      </c>
    </row>
    <row r="114" spans="2:10" ht="15" customHeight="1">
      <c r="B114" s="114">
        <v>2030</v>
      </c>
      <c r="C114" s="113">
        <f t="shared" si="14"/>
        <v>25</v>
      </c>
      <c r="D114" s="324">
        <f>ROUND((C113-O50)-(C113*$D$98),0)</f>
        <v>25</v>
      </c>
      <c r="E114" s="112">
        <f t="shared" si="16"/>
        <v>24</v>
      </c>
      <c r="F114" s="112">
        <f t="shared" si="17"/>
        <v>25</v>
      </c>
      <c r="G114" s="112">
        <f t="shared" si="18"/>
        <v>25</v>
      </c>
      <c r="H114" s="112">
        <f t="shared" si="19"/>
        <v>25</v>
      </c>
      <c r="I114" s="112">
        <f t="shared" si="20"/>
        <v>24</v>
      </c>
      <c r="J114" s="111">
        <f t="shared" si="15"/>
        <v>173</v>
      </c>
    </row>
    <row r="115" spans="2:10" ht="15" customHeight="1">
      <c r="B115" s="114">
        <v>2031</v>
      </c>
      <c r="C115" s="113">
        <f t="shared" si="14"/>
        <v>25</v>
      </c>
      <c r="D115" s="324">
        <f>ROUND((C114-P50)-(C114*$D$98),0)</f>
        <v>25</v>
      </c>
      <c r="E115" s="112">
        <f t="shared" si="16"/>
        <v>24</v>
      </c>
      <c r="F115" s="112">
        <f t="shared" si="17"/>
        <v>25</v>
      </c>
      <c r="G115" s="112">
        <f t="shared" si="18"/>
        <v>25</v>
      </c>
      <c r="H115" s="112">
        <f t="shared" si="19"/>
        <v>25</v>
      </c>
      <c r="I115" s="112">
        <f t="shared" si="20"/>
        <v>24</v>
      </c>
      <c r="J115" s="111">
        <f t="shared" si="15"/>
        <v>173</v>
      </c>
    </row>
    <row r="116" spans="2:10" ht="15" customHeight="1">
      <c r="B116" s="114">
        <v>2032</v>
      </c>
      <c r="C116" s="113">
        <f t="shared" si="14"/>
        <v>25</v>
      </c>
      <c r="D116" s="324">
        <f>ROUND((C115-Q50)-(C115*$D$98),0)</f>
        <v>25</v>
      </c>
      <c r="E116" s="112">
        <f t="shared" si="16"/>
        <v>24</v>
      </c>
      <c r="F116" s="112">
        <f t="shared" si="17"/>
        <v>25</v>
      </c>
      <c r="G116" s="112">
        <f t="shared" si="18"/>
        <v>25</v>
      </c>
      <c r="H116" s="112">
        <f t="shared" si="19"/>
        <v>25</v>
      </c>
      <c r="I116" s="112">
        <f t="shared" si="20"/>
        <v>24</v>
      </c>
      <c r="J116" s="111">
        <f t="shared" si="15"/>
        <v>173</v>
      </c>
    </row>
    <row r="117" spans="2:10" ht="15" hidden="1" customHeight="1">
      <c r="F117" s="14"/>
      <c r="G117" s="14"/>
    </row>
    <row r="118" spans="2:10" ht="15" hidden="1" customHeight="1">
      <c r="B118" s="15" t="str">
        <f>"Table 4C: "&amp;E3&amp;" Projected Pupil Generation from Housing Development, 2019-2032"</f>
        <v>Table 4C: Nether Currie Primary School Projected Pupil Generation from Housing Development, 2019-2032</v>
      </c>
      <c r="F118" s="14"/>
      <c r="G118" s="14"/>
    </row>
    <row r="119" spans="2:10" ht="15" hidden="1" customHeight="1">
      <c r="F119" s="14"/>
      <c r="G119" s="14"/>
    </row>
    <row r="120" spans="2:10" ht="15" hidden="1" customHeight="1">
      <c r="B120" s="115"/>
      <c r="C120" s="109" t="s">
        <v>1</v>
      </c>
      <c r="D120" s="109" t="s">
        <v>2</v>
      </c>
      <c r="E120" s="109" t="s">
        <v>3</v>
      </c>
      <c r="F120" s="109" t="s">
        <v>4</v>
      </c>
      <c r="G120" s="109" t="s">
        <v>5</v>
      </c>
      <c r="H120" s="109" t="s">
        <v>6</v>
      </c>
      <c r="I120" s="109" t="s">
        <v>7</v>
      </c>
      <c r="J120" s="109" t="s">
        <v>8</v>
      </c>
    </row>
    <row r="121" spans="2:10" ht="15" hidden="1" customHeight="1">
      <c r="B121" s="114">
        <v>2019</v>
      </c>
      <c r="C121" s="116" t="s">
        <v>97</v>
      </c>
      <c r="D121" s="112">
        <f>VLOOKUP($E$3,'Housing Generation'!$A$3:$BE$90,11,FALSE)</f>
        <v>0</v>
      </c>
      <c r="E121" s="112">
        <f>VLOOKUP($E$3,'Housing Generation'!$A$3:$BE$90,12,FALSE)</f>
        <v>0</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0</v>
      </c>
    </row>
    <row r="122" spans="2:10" ht="15" hidden="1" customHeight="1">
      <c r="B122" s="114">
        <v>2020</v>
      </c>
      <c r="C122" s="116" t="s">
        <v>97</v>
      </c>
      <c r="D122" s="112">
        <f>VLOOKUP($E$3,'Housing Generation'!$A$3:$BE$90,19,FALSE)</f>
        <v>0</v>
      </c>
      <c r="E122" s="112">
        <f>VLOOKUP($E$3,'Housing Generation'!$A$3:$BE$90,20,FALSE)</f>
        <v>0</v>
      </c>
      <c r="F122" s="112">
        <f>VLOOKUP($E$3,'Housing Generation'!$A$3:$BE$90,21,FALSE)</f>
        <v>0</v>
      </c>
      <c r="G122" s="112">
        <f>VLOOKUP($E$3,'Housing Generation'!$A$3:$BE$90,22,FALSE)</f>
        <v>0</v>
      </c>
      <c r="H122" s="112">
        <f>VLOOKUP($E$3,'Housing Generation'!$A$3:$BE$90,23,FALSE)</f>
        <v>0</v>
      </c>
      <c r="I122" s="112">
        <f>VLOOKUP($E$3,'Housing Generation'!$A$3:$BE$90,24,FALSE)</f>
        <v>0</v>
      </c>
      <c r="J122" s="111">
        <f t="shared" si="21"/>
        <v>0</v>
      </c>
    </row>
    <row r="123" spans="2:10" ht="15" hidden="1" customHeight="1">
      <c r="B123" s="114">
        <v>2021</v>
      </c>
      <c r="C123" s="116" t="s">
        <v>97</v>
      </c>
      <c r="D123" s="112">
        <f>VLOOKUP($E$3,'Housing Generation'!$A$3:$BE$90,27,FALSE)</f>
        <v>0</v>
      </c>
      <c r="E123" s="112">
        <f>VLOOKUP($E$3,'Housing Generation'!$A$3:$BE$90,28,FALSE)</f>
        <v>0</v>
      </c>
      <c r="F123" s="112">
        <f>VLOOKUP($E$3,'Housing Generation'!$A$3:$BE$90,29,FALSE)</f>
        <v>0</v>
      </c>
      <c r="G123" s="112">
        <f>VLOOKUP($E$3,'Housing Generation'!$A$3:$BE$90,30,FALSE)</f>
        <v>0</v>
      </c>
      <c r="H123" s="112">
        <f>VLOOKUP($E$3,'Housing Generation'!$A$3:$BE$90,31,FALSE)</f>
        <v>0</v>
      </c>
      <c r="I123" s="112">
        <f>VLOOKUP($E$3,'Housing Generation'!$A$3:$BE$90,32,FALSE)</f>
        <v>0</v>
      </c>
      <c r="J123" s="111">
        <f t="shared" si="21"/>
        <v>0</v>
      </c>
    </row>
    <row r="124" spans="2:10" ht="15" hidden="1" customHeight="1">
      <c r="B124" s="114">
        <v>2022</v>
      </c>
      <c r="C124" s="116" t="s">
        <v>97</v>
      </c>
      <c r="D124" s="112">
        <f>VLOOKUP($E$3,'Housing Generation'!$A$3:$BE$90,35,FALSE)</f>
        <v>0</v>
      </c>
      <c r="E124" s="112">
        <f>VLOOKUP($E$3,'Housing Generation'!$A$3:$BE$90,36,FALSE)</f>
        <v>0</v>
      </c>
      <c r="F124" s="112">
        <f>VLOOKUP($E$3,'Housing Generation'!$A$3:$BE$90,37,FALSE)</f>
        <v>0</v>
      </c>
      <c r="G124" s="112">
        <f>VLOOKUP($E$3,'Housing Generation'!$A$3:$BE$90,38,FALSE)</f>
        <v>0</v>
      </c>
      <c r="H124" s="112">
        <f>VLOOKUP($E$3,'Housing Generation'!$A$3:$BE$90,39,FALSE)</f>
        <v>0</v>
      </c>
      <c r="I124" s="112">
        <f>VLOOKUP($E$3,'Housing Generation'!$A$3:$BE$90,40,FALSE)</f>
        <v>0</v>
      </c>
      <c r="J124" s="111">
        <f t="shared" si="21"/>
        <v>0</v>
      </c>
    </row>
    <row r="125" spans="2:10" ht="15" hidden="1" customHeight="1">
      <c r="B125" s="114">
        <v>2023</v>
      </c>
      <c r="C125" s="116" t="s">
        <v>97</v>
      </c>
      <c r="D125" s="112">
        <f>VLOOKUP($E$3,'Housing Generation'!$A$3:$BE$90,43,FALSE)</f>
        <v>0</v>
      </c>
      <c r="E125" s="112">
        <f>VLOOKUP($E$3,'Housing Generation'!$A$3:$BE$90,44,FALSE)</f>
        <v>0</v>
      </c>
      <c r="F125" s="112">
        <f>VLOOKUP($E$3,'Housing Generation'!$A$3:$BE$90,45,FALSE)</f>
        <v>0</v>
      </c>
      <c r="G125" s="112">
        <f>VLOOKUP($E$3,'Housing Generation'!$A$3:$BE$90,46,FALSE)</f>
        <v>0</v>
      </c>
      <c r="H125" s="112">
        <f>VLOOKUP($E$3,'Housing Generation'!$A$3:$BE$90,47,FALSE)</f>
        <v>0</v>
      </c>
      <c r="I125" s="112">
        <f>VLOOKUP($E$3,'Housing Generation'!$A$3:$BE$90,48,FALSE)</f>
        <v>0</v>
      </c>
      <c r="J125" s="111">
        <f t="shared" si="21"/>
        <v>0</v>
      </c>
    </row>
    <row r="126" spans="2:10" ht="15" hidden="1" customHeight="1">
      <c r="B126" s="114">
        <v>2024</v>
      </c>
      <c r="C126" s="116" t="s">
        <v>97</v>
      </c>
      <c r="D126" s="112">
        <f>VLOOKUP($E$3,'Housing Generation'!$A$3:$BE$90,51,FALSE)</f>
        <v>0</v>
      </c>
      <c r="E126" s="112">
        <f>VLOOKUP($E$3,'Housing Generation'!$A$3:$BE$90,52,FALSE)</f>
        <v>0</v>
      </c>
      <c r="F126" s="112">
        <f>VLOOKUP($E$3,'Housing Generation'!$A$3:$BE$90,53,FALSE)</f>
        <v>0</v>
      </c>
      <c r="G126" s="112">
        <f>VLOOKUP($E$3,'Housing Generation'!$A$3:$BE$90,54,FALSE)</f>
        <v>0</v>
      </c>
      <c r="H126" s="112">
        <f>VLOOKUP($E$3,'Housing Generation'!$A$3:$BE$90,55,FALSE)</f>
        <v>0</v>
      </c>
      <c r="I126" s="112">
        <f>VLOOKUP($E$3,'Housing Generation'!$A$3:$BE$90,56,FALSE)</f>
        <v>0</v>
      </c>
      <c r="J126" s="111">
        <f t="shared" si="21"/>
        <v>0</v>
      </c>
    </row>
    <row r="127" spans="2:10" ht="15" hidden="1" customHeight="1">
      <c r="B127" s="114">
        <v>2025</v>
      </c>
      <c r="C127" s="240" t="s">
        <v>97</v>
      </c>
      <c r="D127" s="112">
        <f>VLOOKUP($E$3,'Housing Generation'!$A$3:$CK$90,59,FALSE)</f>
        <v>0</v>
      </c>
      <c r="E127" s="112">
        <f>VLOOKUP($E$3,'Housing Generation'!$A$3:$CK$90,60,FALSE)</f>
        <v>0</v>
      </c>
      <c r="F127" s="112">
        <f>VLOOKUP($E$3,'Housing Generation'!$A$3:$CK$90,61,FALSE)</f>
        <v>0</v>
      </c>
      <c r="G127" s="112">
        <f>VLOOKUP($E$3,'Housing Generation'!$A$3:$CK$90,62,FALSE)</f>
        <v>0</v>
      </c>
      <c r="H127" s="112">
        <f>VLOOKUP($E$3,'Housing Generation'!$A$3:$CK$90,63,FALSE)</f>
        <v>0</v>
      </c>
      <c r="I127" s="112">
        <f>VLOOKUP($E$3,'Housing Generation'!$A$3:$CK$90,64,FALSE)</f>
        <v>0</v>
      </c>
      <c r="J127" s="111">
        <f t="shared" si="21"/>
        <v>0</v>
      </c>
    </row>
    <row r="128" spans="2:10" ht="15" hidden="1" customHeight="1">
      <c r="B128" s="114">
        <v>2026</v>
      </c>
      <c r="C128" s="240" t="s">
        <v>97</v>
      </c>
      <c r="D128" s="112">
        <f>VLOOKUP($E$3,'Housing Generation'!$A$3:$CK$90,67,FALSE)</f>
        <v>0</v>
      </c>
      <c r="E128" s="112">
        <f>VLOOKUP($E$3,'Housing Generation'!$A$3:$CK$90,68,FALSE)</f>
        <v>0</v>
      </c>
      <c r="F128" s="112">
        <f>VLOOKUP($E$3,'Housing Generation'!$A$3:$CK$90,69,FALSE)</f>
        <v>0</v>
      </c>
      <c r="G128" s="112">
        <f>VLOOKUP($E$3,'Housing Generation'!$A$3:$CK$90,70,FALSE)</f>
        <v>0</v>
      </c>
      <c r="H128" s="112">
        <f>VLOOKUP($E$3,'Housing Generation'!$A$3:$CK$90,71,FALSE)</f>
        <v>0</v>
      </c>
      <c r="I128" s="112">
        <f>VLOOKUP($E$3,'Housing Generation'!$A$3:$CK$90,72,FALSE)</f>
        <v>0</v>
      </c>
      <c r="J128" s="111">
        <f t="shared" si="21"/>
        <v>0</v>
      </c>
    </row>
    <row r="129" spans="2:10" ht="15" hidden="1" customHeight="1">
      <c r="B129" s="114">
        <v>2027</v>
      </c>
      <c r="C129" s="240" t="s">
        <v>97</v>
      </c>
      <c r="D129" s="112">
        <f>VLOOKUP($E$3,'Housing Generation'!$A$3:$CK$90,75,FALSE)</f>
        <v>0</v>
      </c>
      <c r="E129" s="112">
        <f>VLOOKUP($E$3,'Housing Generation'!$A$3:$CK$90,76,FALSE)</f>
        <v>0</v>
      </c>
      <c r="F129" s="112">
        <f>VLOOKUP($E$3,'Housing Generation'!$A$3:$CK$90,77,FALSE)</f>
        <v>0</v>
      </c>
      <c r="G129" s="112">
        <f>VLOOKUP($E$3,'Housing Generation'!$A$3:$CK$90,78,FALSE)</f>
        <v>0</v>
      </c>
      <c r="H129" s="112">
        <f>VLOOKUP($E$3,'Housing Generation'!$A$3:$CK$90,79,FALSE)</f>
        <v>0</v>
      </c>
      <c r="I129" s="112">
        <f>VLOOKUP($E$3,'Housing Generation'!$A$3:$CK$90,80,FALSE)</f>
        <v>0</v>
      </c>
      <c r="J129" s="111">
        <f t="shared" si="21"/>
        <v>0</v>
      </c>
    </row>
    <row r="130" spans="2:10" ht="15" customHeight="1">
      <c r="B130" s="114">
        <v>2028</v>
      </c>
      <c r="C130" s="289" t="s">
        <v>97</v>
      </c>
      <c r="D130" s="112">
        <f>VLOOKUP($E$3,'Housing Generation'!$A$3:$CK$90,83,FALSE)</f>
        <v>0</v>
      </c>
      <c r="E130" s="112">
        <f>VLOOKUP($E$3,'Housing Generation'!$A$3:$CK$90,84,FALSE)</f>
        <v>0</v>
      </c>
      <c r="F130" s="112">
        <f>VLOOKUP($E$3,'Housing Generation'!$A$3:$CK$90,85,FALSE)</f>
        <v>0</v>
      </c>
      <c r="G130" s="112">
        <f>VLOOKUP($E$3,'Housing Generation'!$A$3:$CK$90,86,FALSE)</f>
        <v>0</v>
      </c>
      <c r="H130" s="112">
        <f>VLOOKUP($E$3,'Housing Generation'!$A$3:$CK$90,87,FALSE)</f>
        <v>0</v>
      </c>
      <c r="I130" s="112">
        <f>VLOOKUP($E$3,'Housing Generation'!$A$3:$CK$90,88,FALSE)</f>
        <v>0</v>
      </c>
      <c r="J130" s="111">
        <f t="shared" si="21"/>
        <v>0</v>
      </c>
    </row>
    <row r="131" spans="2:10" ht="15" customHeight="1">
      <c r="B131" s="114">
        <v>2029</v>
      </c>
      <c r="C131" s="289" t="s">
        <v>97</v>
      </c>
      <c r="D131" s="112">
        <f>VLOOKUP($E$3,'Housing Generation'!$A$3:$DQ$90,91,FALSE)</f>
        <v>0</v>
      </c>
      <c r="E131" s="112">
        <f>VLOOKUP($E$3,'Housing Generation'!$A$3:$DQ$90,92,FALSE)</f>
        <v>0</v>
      </c>
      <c r="F131" s="112">
        <f>VLOOKUP($E$3,'Housing Generation'!$A$3:$DQ$90,93,FALSE)</f>
        <v>0</v>
      </c>
      <c r="G131" s="112">
        <f>VLOOKUP($E$3,'Housing Generation'!$A$3:$DQ$90,94,FALSE)</f>
        <v>0</v>
      </c>
      <c r="H131" s="112">
        <f>VLOOKUP($E$3,'Housing Generation'!$A$3:$DQ$90,95,FALSE)</f>
        <v>0</v>
      </c>
      <c r="I131" s="112">
        <f>VLOOKUP($E$3,'Housing Generation'!$A$3:$DQ$90,96,FALSE)</f>
        <v>0</v>
      </c>
      <c r="J131" s="111">
        <f t="shared" si="21"/>
        <v>0</v>
      </c>
    </row>
    <row r="132" spans="2:10" ht="15" customHeight="1">
      <c r="B132" s="114">
        <v>2030</v>
      </c>
      <c r="C132" s="289" t="s">
        <v>97</v>
      </c>
      <c r="D132" s="112">
        <f>VLOOKUP($E$3,'Housing Generation'!$A$3:$DQ$90,99,FALSE)</f>
        <v>0</v>
      </c>
      <c r="E132" s="112">
        <f>VLOOKUP($E$3,'Housing Generation'!$A$3:$DQ$90,100,FALSE)</f>
        <v>0</v>
      </c>
      <c r="F132" s="112">
        <f>VLOOKUP($E$3,'Housing Generation'!$A$3:$DQ$90,101,FALSE)</f>
        <v>0</v>
      </c>
      <c r="G132" s="112">
        <f>VLOOKUP($E$3,'Housing Generation'!$A$3:$DQ$90,102,FALSE)</f>
        <v>0</v>
      </c>
      <c r="H132" s="112">
        <f>VLOOKUP($E$3,'Housing Generation'!$A$3:$DQ$90,103,FALSE)</f>
        <v>0</v>
      </c>
      <c r="I132" s="112">
        <f>VLOOKUP($E$3,'Housing Generation'!$A$3:$DQ$90,104,FALSE)</f>
        <v>0</v>
      </c>
      <c r="J132" s="111">
        <f t="shared" si="21"/>
        <v>0</v>
      </c>
    </row>
    <row r="133" spans="2:10" ht="15" customHeight="1">
      <c r="B133" s="114">
        <v>2031</v>
      </c>
      <c r="C133" s="289" t="s">
        <v>97</v>
      </c>
      <c r="D133" s="112">
        <f>VLOOKUP($E$3,'Housing Generation'!$A$3:$DQ$90,107,FALSE)</f>
        <v>0</v>
      </c>
      <c r="E133" s="112">
        <f>VLOOKUP($E$3,'Housing Generation'!$A$3:$DQ$90,108,FALSE)</f>
        <v>0</v>
      </c>
      <c r="F133" s="112">
        <f>VLOOKUP($E$3,'Housing Generation'!$A$3:$DQ$90,109,FALSE)</f>
        <v>0</v>
      </c>
      <c r="G133" s="112">
        <f>VLOOKUP($E$3,'Housing Generation'!$A$3:$DQ$90,110,FALSE)</f>
        <v>0</v>
      </c>
      <c r="H133" s="112">
        <f>VLOOKUP($E$3,'Housing Generation'!$A$3:$DQ$90,111,FALSE)</f>
        <v>0</v>
      </c>
      <c r="I133" s="112">
        <f>VLOOKUP($E$3,'Housing Generation'!$A$3:$DQ$90,112,FALSE)</f>
        <v>0</v>
      </c>
      <c r="J133" s="111">
        <f t="shared" si="21"/>
        <v>0</v>
      </c>
    </row>
    <row r="134" spans="2:10" ht="15" customHeight="1">
      <c r="B134" s="114">
        <v>2032</v>
      </c>
      <c r="C134" s="289" t="s">
        <v>97</v>
      </c>
      <c r="D134" s="112">
        <f>VLOOKUP($E$3,'Housing Generation'!$A$3:$DQ$90,115,FALSE)</f>
        <v>0</v>
      </c>
      <c r="E134" s="112">
        <f>VLOOKUP($E$3,'Housing Generation'!$A$3:$DQ$90,116,FALSE)</f>
        <v>0</v>
      </c>
      <c r="F134" s="112">
        <f>VLOOKUP($E$3,'Housing Generation'!$A$3:$DQ$90,117,FALSE)</f>
        <v>0</v>
      </c>
      <c r="G134" s="112">
        <f>VLOOKUP($E$3,'Housing Generation'!$A$3:$DQ$90,118,FALSE)</f>
        <v>0</v>
      </c>
      <c r="H134" s="112">
        <f>VLOOKUP($E$3,'Housing Generation'!$A$3:$DQ$90,119,FALSE)</f>
        <v>0</v>
      </c>
      <c r="I134" s="112">
        <f>VLOOKUP($E$3,'Housing Generation'!$A$3:$DQ$90,120,FALSE)</f>
        <v>0</v>
      </c>
      <c r="J134" s="111">
        <f t="shared" si="21"/>
        <v>0</v>
      </c>
    </row>
    <row r="135" spans="2:10" ht="15" hidden="1"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Nether Currie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25</v>
      </c>
      <c r="D139" s="112">
        <f t="shared" ref="D139:I152" si="23">D121+D103</f>
        <v>23</v>
      </c>
      <c r="E139" s="112">
        <f t="shared" si="23"/>
        <v>24</v>
      </c>
      <c r="F139" s="112">
        <f t="shared" si="23"/>
        <v>24</v>
      </c>
      <c r="G139" s="112">
        <f t="shared" si="23"/>
        <v>19</v>
      </c>
      <c r="H139" s="112">
        <f t="shared" si="23"/>
        <v>29</v>
      </c>
      <c r="I139" s="112">
        <f t="shared" si="23"/>
        <v>19</v>
      </c>
      <c r="J139" s="111">
        <f t="shared" ref="J139:J147" si="24">SUM(C139:I139)</f>
        <v>163</v>
      </c>
    </row>
    <row r="140" spans="2:10" ht="15" customHeight="1">
      <c r="B140" s="114">
        <v>2020</v>
      </c>
      <c r="C140" s="113">
        <f t="shared" si="22"/>
        <v>24.736842105263158</v>
      </c>
      <c r="D140" s="112">
        <f t="shared" si="23"/>
        <v>25</v>
      </c>
      <c r="E140" s="112">
        <f t="shared" si="23"/>
        <v>22</v>
      </c>
      <c r="F140" s="112">
        <f t="shared" si="23"/>
        <v>25</v>
      </c>
      <c r="G140" s="112">
        <f t="shared" si="23"/>
        <v>24</v>
      </c>
      <c r="H140" s="112">
        <f t="shared" si="23"/>
        <v>19</v>
      </c>
      <c r="I140" s="112">
        <f t="shared" si="23"/>
        <v>28</v>
      </c>
      <c r="J140" s="111">
        <f t="shared" si="24"/>
        <v>167.73684210526315</v>
      </c>
    </row>
    <row r="141" spans="2:10" ht="15" customHeight="1">
      <c r="B141" s="114">
        <v>2021</v>
      </c>
      <c r="C141" s="113">
        <f t="shared" si="22"/>
        <v>24.736842105263158</v>
      </c>
      <c r="D141" s="112">
        <f t="shared" si="23"/>
        <v>25</v>
      </c>
      <c r="E141" s="112">
        <f t="shared" si="23"/>
        <v>24</v>
      </c>
      <c r="F141" s="112">
        <f t="shared" si="23"/>
        <v>23</v>
      </c>
      <c r="G141" s="112">
        <f t="shared" si="23"/>
        <v>25</v>
      </c>
      <c r="H141" s="112">
        <f t="shared" si="23"/>
        <v>24</v>
      </c>
      <c r="I141" s="112">
        <f t="shared" si="23"/>
        <v>18</v>
      </c>
      <c r="J141" s="111">
        <f t="shared" si="24"/>
        <v>163.73684210526315</v>
      </c>
    </row>
    <row r="142" spans="2:10" ht="15" customHeight="1">
      <c r="B142" s="114">
        <v>2022</v>
      </c>
      <c r="C142" s="113">
        <f t="shared" si="22"/>
        <v>25</v>
      </c>
      <c r="D142" s="112">
        <f t="shared" si="23"/>
        <v>25</v>
      </c>
      <c r="E142" s="112">
        <f t="shared" si="23"/>
        <v>24</v>
      </c>
      <c r="F142" s="112">
        <f t="shared" si="23"/>
        <v>25</v>
      </c>
      <c r="G142" s="112">
        <f t="shared" si="23"/>
        <v>23</v>
      </c>
      <c r="H142" s="112">
        <f t="shared" si="23"/>
        <v>25</v>
      </c>
      <c r="I142" s="112">
        <f t="shared" si="23"/>
        <v>23</v>
      </c>
      <c r="J142" s="111">
        <f t="shared" si="24"/>
        <v>170</v>
      </c>
    </row>
    <row r="143" spans="2:10" ht="15" customHeight="1">
      <c r="B143" s="114">
        <v>2023</v>
      </c>
      <c r="C143" s="113">
        <f t="shared" si="22"/>
        <v>25</v>
      </c>
      <c r="D143" s="112">
        <f t="shared" si="23"/>
        <v>25</v>
      </c>
      <c r="E143" s="112">
        <f t="shared" si="23"/>
        <v>24</v>
      </c>
      <c r="F143" s="112">
        <f t="shared" si="23"/>
        <v>25</v>
      </c>
      <c r="G143" s="112">
        <f t="shared" si="23"/>
        <v>25</v>
      </c>
      <c r="H143" s="112">
        <f t="shared" si="23"/>
        <v>23</v>
      </c>
      <c r="I143" s="112">
        <f t="shared" si="23"/>
        <v>24</v>
      </c>
      <c r="J143" s="111">
        <f t="shared" si="24"/>
        <v>171</v>
      </c>
    </row>
    <row r="144" spans="2:10" ht="15" customHeight="1">
      <c r="B144" s="114">
        <v>2024</v>
      </c>
      <c r="C144" s="113">
        <f t="shared" si="22"/>
        <v>25</v>
      </c>
      <c r="D144" s="112">
        <f t="shared" si="23"/>
        <v>25</v>
      </c>
      <c r="E144" s="112">
        <f t="shared" si="23"/>
        <v>24</v>
      </c>
      <c r="F144" s="112">
        <f t="shared" si="23"/>
        <v>25</v>
      </c>
      <c r="G144" s="112">
        <f t="shared" si="23"/>
        <v>25</v>
      </c>
      <c r="H144" s="112">
        <f t="shared" si="23"/>
        <v>25</v>
      </c>
      <c r="I144" s="112">
        <f t="shared" si="23"/>
        <v>22</v>
      </c>
      <c r="J144" s="111">
        <f t="shared" si="24"/>
        <v>171</v>
      </c>
    </row>
    <row r="145" spans="2:16" ht="15" customHeight="1">
      <c r="B145" s="114">
        <v>2025</v>
      </c>
      <c r="C145" s="113">
        <f t="shared" si="22"/>
        <v>25</v>
      </c>
      <c r="D145" s="112">
        <f t="shared" si="23"/>
        <v>25</v>
      </c>
      <c r="E145" s="112">
        <f t="shared" si="23"/>
        <v>24</v>
      </c>
      <c r="F145" s="112">
        <f t="shared" si="23"/>
        <v>25</v>
      </c>
      <c r="G145" s="112">
        <f t="shared" si="23"/>
        <v>25</v>
      </c>
      <c r="H145" s="112">
        <f t="shared" si="23"/>
        <v>25</v>
      </c>
      <c r="I145" s="112">
        <f t="shared" si="23"/>
        <v>24</v>
      </c>
      <c r="J145" s="111">
        <f t="shared" si="24"/>
        <v>173</v>
      </c>
    </row>
    <row r="146" spans="2:16" ht="15" customHeight="1">
      <c r="B146" s="114">
        <v>2026</v>
      </c>
      <c r="C146" s="113">
        <f t="shared" si="22"/>
        <v>25</v>
      </c>
      <c r="D146" s="112">
        <f t="shared" si="23"/>
        <v>25</v>
      </c>
      <c r="E146" s="112">
        <f t="shared" si="23"/>
        <v>24</v>
      </c>
      <c r="F146" s="112">
        <f t="shared" si="23"/>
        <v>25</v>
      </c>
      <c r="G146" s="112">
        <f t="shared" si="23"/>
        <v>25</v>
      </c>
      <c r="H146" s="112">
        <f t="shared" si="23"/>
        <v>25</v>
      </c>
      <c r="I146" s="112">
        <f t="shared" si="23"/>
        <v>24</v>
      </c>
      <c r="J146" s="111">
        <f t="shared" si="24"/>
        <v>173</v>
      </c>
    </row>
    <row r="147" spans="2:16" ht="15" customHeight="1">
      <c r="B147" s="114">
        <v>2027</v>
      </c>
      <c r="C147" s="113">
        <f t="shared" si="22"/>
        <v>25</v>
      </c>
      <c r="D147" s="112">
        <f t="shared" si="23"/>
        <v>25</v>
      </c>
      <c r="E147" s="112">
        <f t="shared" si="23"/>
        <v>24</v>
      </c>
      <c r="F147" s="112">
        <f t="shared" si="23"/>
        <v>25</v>
      </c>
      <c r="G147" s="112">
        <f t="shared" si="23"/>
        <v>25</v>
      </c>
      <c r="H147" s="112">
        <f t="shared" si="23"/>
        <v>25</v>
      </c>
      <c r="I147" s="112">
        <f t="shared" si="23"/>
        <v>24</v>
      </c>
      <c r="J147" s="111">
        <f t="shared" si="24"/>
        <v>173</v>
      </c>
    </row>
    <row r="148" spans="2:16" ht="15" customHeight="1">
      <c r="B148" s="114">
        <v>2028</v>
      </c>
      <c r="C148" s="113">
        <f t="shared" si="22"/>
        <v>25</v>
      </c>
      <c r="D148" s="112">
        <f t="shared" si="23"/>
        <v>25</v>
      </c>
      <c r="E148" s="112">
        <f t="shared" si="23"/>
        <v>24</v>
      </c>
      <c r="F148" s="112">
        <f t="shared" si="23"/>
        <v>25</v>
      </c>
      <c r="G148" s="112">
        <f t="shared" si="23"/>
        <v>25</v>
      </c>
      <c r="H148" s="112">
        <f t="shared" si="23"/>
        <v>25</v>
      </c>
      <c r="I148" s="112">
        <f t="shared" si="23"/>
        <v>24</v>
      </c>
      <c r="J148" s="111">
        <f t="shared" ref="J148:J152" si="25">SUM(C148:I148)</f>
        <v>173</v>
      </c>
    </row>
    <row r="149" spans="2:16" ht="15" customHeight="1">
      <c r="B149" s="114">
        <v>2029</v>
      </c>
      <c r="C149" s="113">
        <f t="shared" si="22"/>
        <v>25</v>
      </c>
      <c r="D149" s="112">
        <f t="shared" si="23"/>
        <v>25</v>
      </c>
      <c r="E149" s="112">
        <f t="shared" si="23"/>
        <v>24</v>
      </c>
      <c r="F149" s="112">
        <f t="shared" si="23"/>
        <v>25</v>
      </c>
      <c r="G149" s="112">
        <f t="shared" si="23"/>
        <v>25</v>
      </c>
      <c r="H149" s="112">
        <f t="shared" si="23"/>
        <v>25</v>
      </c>
      <c r="I149" s="112">
        <f t="shared" si="23"/>
        <v>24</v>
      </c>
      <c r="J149" s="111">
        <f t="shared" si="25"/>
        <v>173</v>
      </c>
    </row>
    <row r="150" spans="2:16" ht="15" customHeight="1">
      <c r="B150" s="114">
        <v>2030</v>
      </c>
      <c r="C150" s="113">
        <f t="shared" si="22"/>
        <v>25</v>
      </c>
      <c r="D150" s="112">
        <f t="shared" si="23"/>
        <v>25</v>
      </c>
      <c r="E150" s="112">
        <f t="shared" si="23"/>
        <v>24</v>
      </c>
      <c r="F150" s="112">
        <f t="shared" si="23"/>
        <v>25</v>
      </c>
      <c r="G150" s="112">
        <f t="shared" si="23"/>
        <v>25</v>
      </c>
      <c r="H150" s="112">
        <f t="shared" si="23"/>
        <v>25</v>
      </c>
      <c r="I150" s="112">
        <f t="shared" si="23"/>
        <v>24</v>
      </c>
      <c r="J150" s="111">
        <f t="shared" si="25"/>
        <v>173</v>
      </c>
    </row>
    <row r="151" spans="2:16" ht="15" customHeight="1">
      <c r="B151" s="114">
        <v>2031</v>
      </c>
      <c r="C151" s="113">
        <f t="shared" si="22"/>
        <v>25</v>
      </c>
      <c r="D151" s="112">
        <f t="shared" si="23"/>
        <v>25</v>
      </c>
      <c r="E151" s="112">
        <f t="shared" si="23"/>
        <v>24</v>
      </c>
      <c r="F151" s="112">
        <f t="shared" si="23"/>
        <v>25</v>
      </c>
      <c r="G151" s="112">
        <f t="shared" si="23"/>
        <v>25</v>
      </c>
      <c r="H151" s="112">
        <f t="shared" si="23"/>
        <v>25</v>
      </c>
      <c r="I151" s="112">
        <f t="shared" si="23"/>
        <v>24</v>
      </c>
      <c r="J151" s="111">
        <f t="shared" si="25"/>
        <v>173</v>
      </c>
    </row>
    <row r="152" spans="2:16" ht="15" customHeight="1">
      <c r="B152" s="114">
        <v>2032</v>
      </c>
      <c r="C152" s="113">
        <f t="shared" si="22"/>
        <v>25</v>
      </c>
      <c r="D152" s="112">
        <f t="shared" si="23"/>
        <v>25</v>
      </c>
      <c r="E152" s="112">
        <f t="shared" si="23"/>
        <v>24</v>
      </c>
      <c r="F152" s="112">
        <f t="shared" si="23"/>
        <v>25</v>
      </c>
      <c r="G152" s="112">
        <f t="shared" si="23"/>
        <v>25</v>
      </c>
      <c r="H152" s="112">
        <f t="shared" si="23"/>
        <v>25</v>
      </c>
      <c r="I152" s="112">
        <f t="shared" si="23"/>
        <v>24</v>
      </c>
      <c r="J152" s="111">
        <f t="shared" si="25"/>
        <v>173</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163</v>
      </c>
      <c r="D159" s="108">
        <f>J140</f>
        <v>167.73684210526315</v>
      </c>
      <c r="E159" s="108">
        <f>J141</f>
        <v>163.73684210526315</v>
      </c>
      <c r="F159" s="108">
        <f>J142</f>
        <v>170</v>
      </c>
      <c r="G159" s="108">
        <f>J143</f>
        <v>171</v>
      </c>
      <c r="H159" s="108">
        <f>J144</f>
        <v>171</v>
      </c>
      <c r="I159" s="108">
        <f>J145</f>
        <v>173</v>
      </c>
      <c r="J159" s="108">
        <f>J146</f>
        <v>173</v>
      </c>
      <c r="K159" s="108">
        <f>J147</f>
        <v>173</v>
      </c>
      <c r="L159" s="108">
        <f>J148</f>
        <v>173</v>
      </c>
      <c r="M159" s="108">
        <f>J149</f>
        <v>173</v>
      </c>
      <c r="N159" s="108">
        <f>J150</f>
        <v>173</v>
      </c>
      <c r="O159" s="108">
        <f>J151</f>
        <v>173</v>
      </c>
      <c r="P159" s="108">
        <f>J152</f>
        <v>173</v>
      </c>
    </row>
    <row r="160" spans="2:16" ht="15" customHeight="1">
      <c r="B160" s="107" t="s">
        <v>152</v>
      </c>
      <c r="C160" s="106">
        <f>VLOOKUP(C159,Capacity!$A$1:$C$645,2,TRUE)</f>
        <v>7</v>
      </c>
      <c r="D160" s="106">
        <f>VLOOKUP(D159,Capacity!$A$1:$C$645,2,TRUE)</f>
        <v>7</v>
      </c>
      <c r="E160" s="106">
        <f>VLOOKUP(E159,Capacity!$A$1:$C$645,2,TRUE)</f>
        <v>7</v>
      </c>
      <c r="F160" s="106">
        <f>VLOOKUP(F159,Capacity!$A$1:$C$645,2,TRUE)</f>
        <v>7</v>
      </c>
      <c r="G160" s="106">
        <f>VLOOKUP(G159,Capacity!$A$1:$C$645,2,TRUE)</f>
        <v>7</v>
      </c>
      <c r="H160" s="106">
        <f>VLOOKUP(H159,Capacity!$A$1:$C$645,2,TRUE)</f>
        <v>7</v>
      </c>
      <c r="I160" s="106">
        <f>VLOOKUP(I159,Capacity!$A$1:$C$645,2,TRUE)</f>
        <v>7</v>
      </c>
      <c r="J160" s="106">
        <f>VLOOKUP(J159,Capacity!$A$1:$C$645,2,TRUE)</f>
        <v>7</v>
      </c>
      <c r="K160" s="106">
        <f>VLOOKUP(K159,Capacity!$A$1:$C$645,2,TRUE)</f>
        <v>7</v>
      </c>
      <c r="L160" s="106">
        <f>VLOOKUP(L159,Capacity!$A$1:$C$645,2,TRUE)</f>
        <v>7</v>
      </c>
      <c r="M160" s="106">
        <f>VLOOKUP(M159,Capacity!$A$1:$C$645,2,TRUE)</f>
        <v>7</v>
      </c>
      <c r="N160" s="106">
        <f>VLOOKUP(N159,Capacity!$A$1:$C$645,2,TRUE)</f>
        <v>7</v>
      </c>
      <c r="O160" s="106">
        <f>VLOOKUP(O159,Capacity!$A$1:$C$645,2,TRUE)</f>
        <v>7</v>
      </c>
      <c r="P160" s="106">
        <f>VLOOKUP(P159,Capacity!$A$1:$C$645,2,TRUE)</f>
        <v>7</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10</v>
      </c>
      <c r="D169" s="97">
        <f>VLOOKUP($E$3,'Catchment Births'!$A$1:$U$90,11,FALSE)</f>
        <v>14</v>
      </c>
      <c r="E169" s="97">
        <f>VLOOKUP($E$3,'Catchment Births'!$A$1:$U$90,12,FALSE)</f>
        <v>10</v>
      </c>
      <c r="F169" s="97">
        <f>VLOOKUP($E$3,'Catchment Births'!$A$1:$U$90,13,FALSE)</f>
        <v>5</v>
      </c>
      <c r="G169" s="97">
        <f>VLOOKUP($E$3,'Catchment Births'!$A$1:$U$90,14,FALSE)</f>
        <v>16</v>
      </c>
      <c r="H169" s="97">
        <f>VLOOKUP($E$3,'Catchment Births'!$A$1:$U$90,15,FALSE)</f>
        <v>9</v>
      </c>
      <c r="I169" s="97">
        <f>VLOOKUP($E$3,'Catchment Births'!$A$1:$U$90,16,FALSE)</f>
        <v>8</v>
      </c>
      <c r="J169" s="97">
        <f>VLOOKUP($E$3,'Catchment Births'!$A$1:$U$90,17,FALSE)</f>
        <v>9</v>
      </c>
      <c r="K169" s="97">
        <f>VLOOKUP($E$3,'Catchment Births'!$A$1:$U$90,18,FALSE)</f>
        <v>8</v>
      </c>
      <c r="L169" s="97">
        <f>VLOOKUP($E$3,'Catchment Births'!$A$1:$U$90,19,FALSE)</f>
        <v>9</v>
      </c>
      <c r="M169" s="97">
        <f>VLOOKUP($E$3,'Catchment Births'!$A$1:$U$90,20,FALSE)</f>
        <v>11</v>
      </c>
      <c r="N169" s="97">
        <f>VLOOKUP($E$3,'Catchment Births'!$A$1:$U$90,21,FALSE)</f>
        <v>9</v>
      </c>
    </row>
    <row r="170" spans="2:14" ht="58.5" customHeight="1">
      <c r="B170" s="103" t="str">
        <f>"P1 "&amp;A35&amp;" Catchment Population (Actual)"</f>
        <v>P1 ND Catchment Population (Actual)</v>
      </c>
      <c r="C170" s="102" t="e">
        <v>#REF!</v>
      </c>
      <c r="D170" s="102">
        <v>16</v>
      </c>
      <c r="E170" s="102">
        <v>19</v>
      </c>
      <c r="F170" s="102">
        <v>9</v>
      </c>
      <c r="G170" s="102">
        <v>16</v>
      </c>
      <c r="H170" s="102">
        <v>19</v>
      </c>
      <c r="I170" s="102">
        <v>6</v>
      </c>
      <c r="J170" s="308">
        <f>VLOOKUP(E3,'Catchment Projections'!A1:BU92,42,FALSE)</f>
        <v>17</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6</v>
      </c>
      <c r="J172" s="96" t="e">
        <f>#REF!</f>
        <v>#REF!</v>
      </c>
      <c r="K172" s="96">
        <f>D51</f>
        <v>18</v>
      </c>
      <c r="L172" s="96">
        <f>E51</f>
        <v>15</v>
      </c>
      <c r="M172" s="96">
        <f>F51</f>
        <v>15</v>
      </c>
      <c r="N172" s="96">
        <f>G51</f>
        <v>21</v>
      </c>
    </row>
    <row r="173" spans="2:14" ht="12.75">
      <c r="B173" s="62"/>
      <c r="C173" s="62"/>
      <c r="D173" s="62"/>
      <c r="E173" s="62"/>
      <c r="F173" s="62"/>
      <c r="G173" s="62"/>
      <c r="H173" s="62"/>
      <c r="I173" s="62"/>
      <c r="J173" s="62"/>
      <c r="K173" s="62"/>
    </row>
    <row r="174" spans="2:14" ht="15" customHeight="1">
      <c r="B174" s="64" t="str">
        <f>"Table 5: "&amp;E3&amp;" Roll by Stage, 2002-2018"</f>
        <v>Table 5: Nether Currie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26</v>
      </c>
      <c r="D177" s="93">
        <v>25</v>
      </c>
      <c r="E177" s="93">
        <v>21</v>
      </c>
      <c r="F177" s="93">
        <v>26</v>
      </c>
      <c r="G177" s="93">
        <v>35</v>
      </c>
      <c r="H177" s="93">
        <v>30</v>
      </c>
      <c r="I177" s="93">
        <v>30</v>
      </c>
      <c r="J177" s="92">
        <v>193</v>
      </c>
      <c r="K177" s="62"/>
    </row>
    <row r="178" spans="2:11" ht="15" customHeight="1">
      <c r="B178" s="94">
        <v>2003</v>
      </c>
      <c r="C178" s="93">
        <v>28</v>
      </c>
      <c r="D178" s="93">
        <v>25</v>
      </c>
      <c r="E178" s="93">
        <v>25</v>
      </c>
      <c r="F178" s="93">
        <v>21</v>
      </c>
      <c r="G178" s="93">
        <v>26</v>
      </c>
      <c r="H178" s="93">
        <v>36</v>
      </c>
      <c r="I178" s="93">
        <v>30</v>
      </c>
      <c r="J178" s="92">
        <v>191</v>
      </c>
      <c r="K178" s="62"/>
    </row>
    <row r="179" spans="2:11" customFormat="1" ht="15" customHeight="1">
      <c r="B179" s="94">
        <v>2004</v>
      </c>
      <c r="C179" s="95">
        <v>27</v>
      </c>
      <c r="D179" s="95">
        <v>27</v>
      </c>
      <c r="E179" s="95">
        <v>27</v>
      </c>
      <c r="F179" s="95">
        <v>25</v>
      </c>
      <c r="G179" s="95">
        <v>21</v>
      </c>
      <c r="H179" s="95">
        <v>27</v>
      </c>
      <c r="I179" s="95">
        <v>37</v>
      </c>
      <c r="J179" s="92">
        <v>191</v>
      </c>
      <c r="K179" s="62"/>
    </row>
    <row r="180" spans="2:11" customFormat="1" ht="15" customHeight="1">
      <c r="B180" s="94">
        <v>2005</v>
      </c>
      <c r="C180" s="93">
        <v>18</v>
      </c>
      <c r="D180" s="93">
        <v>27</v>
      </c>
      <c r="E180" s="93">
        <v>27</v>
      </c>
      <c r="F180" s="93">
        <v>29</v>
      </c>
      <c r="G180" s="93">
        <v>24</v>
      </c>
      <c r="H180" s="93">
        <v>22</v>
      </c>
      <c r="I180" s="93">
        <v>28</v>
      </c>
      <c r="J180" s="92">
        <v>175</v>
      </c>
      <c r="K180" s="62"/>
    </row>
    <row r="181" spans="2:11" customFormat="1" ht="15" customHeight="1">
      <c r="B181" s="94">
        <v>2006</v>
      </c>
      <c r="C181" s="93">
        <v>17</v>
      </c>
      <c r="D181" s="93">
        <v>18</v>
      </c>
      <c r="E181" s="93">
        <v>29</v>
      </c>
      <c r="F181" s="93">
        <v>27</v>
      </c>
      <c r="G181" s="93">
        <v>27</v>
      </c>
      <c r="H181" s="93">
        <v>27</v>
      </c>
      <c r="I181" s="93">
        <v>21</v>
      </c>
      <c r="J181" s="92">
        <v>166</v>
      </c>
      <c r="K181" s="62"/>
    </row>
    <row r="182" spans="2:11" customFormat="1" ht="15" customHeight="1">
      <c r="B182" s="94">
        <v>2007</v>
      </c>
      <c r="C182" s="93">
        <v>31</v>
      </c>
      <c r="D182" s="93">
        <v>17</v>
      </c>
      <c r="E182" s="93">
        <v>18</v>
      </c>
      <c r="F182" s="93">
        <v>28</v>
      </c>
      <c r="G182" s="93">
        <v>26</v>
      </c>
      <c r="H182" s="93">
        <v>28</v>
      </c>
      <c r="I182" s="93">
        <v>27</v>
      </c>
      <c r="J182" s="92">
        <v>175</v>
      </c>
      <c r="K182" s="62"/>
    </row>
    <row r="183" spans="2:11" customFormat="1" ht="15" customHeight="1">
      <c r="B183" s="94">
        <v>2008</v>
      </c>
      <c r="C183" s="93">
        <v>18</v>
      </c>
      <c r="D183" s="93">
        <v>32</v>
      </c>
      <c r="E183" s="93">
        <v>15</v>
      </c>
      <c r="F183" s="93">
        <v>20</v>
      </c>
      <c r="G183" s="93">
        <v>28</v>
      </c>
      <c r="H183" s="93">
        <v>23</v>
      </c>
      <c r="I183" s="93">
        <v>27</v>
      </c>
      <c r="J183" s="92">
        <v>163</v>
      </c>
      <c r="K183" s="62"/>
    </row>
    <row r="184" spans="2:11" customFormat="1" ht="15" customHeight="1">
      <c r="B184" s="94">
        <v>2009</v>
      </c>
      <c r="C184" s="93">
        <v>15</v>
      </c>
      <c r="D184" s="93">
        <v>19</v>
      </c>
      <c r="E184" s="93">
        <v>32</v>
      </c>
      <c r="F184" s="93">
        <v>16</v>
      </c>
      <c r="G184" s="93">
        <v>22</v>
      </c>
      <c r="H184" s="93">
        <v>29</v>
      </c>
      <c r="I184" s="93">
        <v>24</v>
      </c>
      <c r="J184" s="94">
        <v>157</v>
      </c>
      <c r="K184" s="62"/>
    </row>
    <row r="185" spans="2:11" customFormat="1" ht="15" customHeight="1">
      <c r="B185" s="94">
        <v>2010</v>
      </c>
      <c r="C185" s="93">
        <v>30</v>
      </c>
      <c r="D185" s="93">
        <v>15</v>
      </c>
      <c r="E185" s="93">
        <v>19</v>
      </c>
      <c r="F185" s="93">
        <v>32</v>
      </c>
      <c r="G185" s="93">
        <v>16</v>
      </c>
      <c r="H185" s="93">
        <v>22</v>
      </c>
      <c r="I185" s="93">
        <v>28</v>
      </c>
      <c r="J185" s="92">
        <v>162</v>
      </c>
      <c r="K185" s="62"/>
    </row>
    <row r="186" spans="2:11" customFormat="1" ht="15" customHeight="1">
      <c r="B186" s="94">
        <v>2011</v>
      </c>
      <c r="C186" s="93">
        <v>29</v>
      </c>
      <c r="D186" s="93">
        <v>30</v>
      </c>
      <c r="E186" s="93">
        <v>16</v>
      </c>
      <c r="F186" s="93">
        <v>18</v>
      </c>
      <c r="G186" s="93">
        <v>31</v>
      </c>
      <c r="H186" s="93">
        <v>16</v>
      </c>
      <c r="I186" s="93">
        <v>19</v>
      </c>
      <c r="J186" s="92">
        <v>159</v>
      </c>
      <c r="K186" s="62"/>
    </row>
    <row r="187" spans="2:11" customFormat="1" ht="15" customHeight="1">
      <c r="B187" s="94">
        <v>2012</v>
      </c>
      <c r="C187" s="93">
        <v>15</v>
      </c>
      <c r="D187" s="93">
        <v>28</v>
      </c>
      <c r="E187" s="93">
        <v>28</v>
      </c>
      <c r="F187" s="93">
        <v>14</v>
      </c>
      <c r="G187" s="93">
        <v>18</v>
      </c>
      <c r="H187" s="93">
        <v>30</v>
      </c>
      <c r="I187" s="93">
        <v>15</v>
      </c>
      <c r="J187" s="92">
        <v>148</v>
      </c>
      <c r="K187" s="62"/>
    </row>
    <row r="188" spans="2:11" customFormat="1" ht="15" customHeight="1">
      <c r="B188" s="94">
        <v>2013</v>
      </c>
      <c r="C188" s="93">
        <v>25</v>
      </c>
      <c r="D188" s="93">
        <v>16</v>
      </c>
      <c r="E188" s="93">
        <v>27</v>
      </c>
      <c r="F188" s="93">
        <v>28</v>
      </c>
      <c r="G188" s="93">
        <v>14</v>
      </c>
      <c r="H188" s="93">
        <v>19</v>
      </c>
      <c r="I188" s="93">
        <v>30</v>
      </c>
      <c r="J188" s="94">
        <v>159</v>
      </c>
      <c r="K188" s="62"/>
    </row>
    <row r="189" spans="2:11" customFormat="1" ht="15" customHeight="1">
      <c r="B189" s="94">
        <v>2014</v>
      </c>
      <c r="C189" s="93">
        <v>28</v>
      </c>
      <c r="D189" s="93">
        <v>20</v>
      </c>
      <c r="E189" s="93">
        <v>16</v>
      </c>
      <c r="F189" s="93">
        <v>27</v>
      </c>
      <c r="G189" s="93">
        <v>29</v>
      </c>
      <c r="H189" s="93">
        <v>15</v>
      </c>
      <c r="I189" s="93">
        <v>14</v>
      </c>
      <c r="J189" s="92">
        <v>149</v>
      </c>
      <c r="K189" s="65"/>
    </row>
    <row r="190" spans="2:11" customFormat="1" ht="15" customHeight="1">
      <c r="B190" s="94">
        <v>2015</v>
      </c>
      <c r="C190" s="93">
        <v>20</v>
      </c>
      <c r="D190" s="93">
        <v>29</v>
      </c>
      <c r="E190" s="93">
        <v>19</v>
      </c>
      <c r="F190" s="93">
        <v>17</v>
      </c>
      <c r="G190" s="93">
        <v>27</v>
      </c>
      <c r="H190" s="93">
        <v>29</v>
      </c>
      <c r="I190" s="93">
        <v>9</v>
      </c>
      <c r="J190" s="92">
        <v>150</v>
      </c>
      <c r="K190" s="65"/>
    </row>
    <row r="191" spans="2:11" customFormat="1" ht="15" customHeight="1">
      <c r="B191" s="94">
        <v>2016</v>
      </c>
      <c r="C191" s="93">
        <v>24</v>
      </c>
      <c r="D191" s="93">
        <v>20</v>
      </c>
      <c r="E191" s="93">
        <v>27</v>
      </c>
      <c r="F191" s="93">
        <v>20</v>
      </c>
      <c r="G191" s="93">
        <v>17</v>
      </c>
      <c r="H191" s="93">
        <v>27</v>
      </c>
      <c r="I191" s="93">
        <v>28</v>
      </c>
      <c r="J191" s="92">
        <v>163</v>
      </c>
      <c r="K191" s="65"/>
    </row>
    <row r="192" spans="2:11" ht="15" customHeight="1">
      <c r="B192" s="94">
        <v>2017</v>
      </c>
      <c r="C192" s="93">
        <f>VLOOKUP($E$3,Rolls!A1:FA90,42,FALSE)</f>
        <v>24</v>
      </c>
      <c r="D192" s="93">
        <f>VLOOKUP($E$3,Rolls!A1:FA90,43,FALSE)</f>
        <v>24</v>
      </c>
      <c r="E192" s="93">
        <f>VLOOKUP($E$3,Rolls!A1:FA90,44,FALSE)</f>
        <v>19</v>
      </c>
      <c r="F192" s="93">
        <f>VLOOKUP($E$3,Rolls!A1:FA90,45,FALSE)</f>
        <v>28</v>
      </c>
      <c r="G192" s="93">
        <f>VLOOKUP($E$3,Rolls!A1:FA90,46,FALSE)</f>
        <v>20</v>
      </c>
      <c r="H192" s="93">
        <f>VLOOKUP($E$3,Rolls!A1:FA90,47,FALSE)</f>
        <v>15</v>
      </c>
      <c r="I192" s="93">
        <f>VLOOKUP($E$3,Rolls!A1:FA90,48,FALSE)</f>
        <v>26</v>
      </c>
      <c r="J192" s="92">
        <f>VLOOKUP($E$3,Rolls!A1:FA90,49,FALSE)</f>
        <v>156</v>
      </c>
      <c r="K192" s="65"/>
    </row>
    <row r="193" spans="2:11" ht="15" customHeight="1">
      <c r="B193" s="94">
        <v>2018</v>
      </c>
      <c r="C193" s="93">
        <f>VLOOKUP($E$3,Rolls!A1:FA90,50,FALSE)</f>
        <v>23</v>
      </c>
      <c r="D193" s="93">
        <f>VLOOKUP($E$3,Rolls!A1:FA90,51,FALSE)</f>
        <v>25</v>
      </c>
      <c r="E193" s="93">
        <f>VLOOKUP($E$3,Rolls!A1:FA90,52,FALSE)</f>
        <v>23</v>
      </c>
      <c r="F193" s="93">
        <f>VLOOKUP($E$3,Rolls!A1:FA90,53,FALSE)</f>
        <v>19</v>
      </c>
      <c r="G193" s="93">
        <f>VLOOKUP($E$3,Rolls!A1:FA90,54,FALSE)</f>
        <v>29</v>
      </c>
      <c r="H193" s="93">
        <f>VLOOKUP($E$3,Rolls!A1:FA90,55,FALSE)</f>
        <v>20</v>
      </c>
      <c r="I193" s="93">
        <f>VLOOKUP($E$3,Rolls!A1:FA90,56,FALSE)</f>
        <v>17</v>
      </c>
      <c r="J193" s="92">
        <f>VLOOKUP($E$3,Rolls!A1:FA90,57,FALSE)</f>
        <v>156</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51</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Newcraighall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210 Pupils (7 classes)</v>
      </c>
      <c r="G12" s="16"/>
      <c r="H12" s="16"/>
    </row>
    <row r="13" spans="2:10" ht="15" customHeight="1">
      <c r="C13" s="16"/>
      <c r="D13" s="16"/>
      <c r="E13" s="16"/>
      <c r="F13" s="16"/>
      <c r="G13" s="16"/>
      <c r="H13" s="16"/>
    </row>
    <row r="14" spans="2:10" ht="15" customHeight="1">
      <c r="B14" s="15" t="str">
        <f>"Figure 1: "&amp;E3&amp;" Roll, 2002-2015"</f>
        <v>Figure 1: Newcraighall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Newcraighall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7</v>
      </c>
      <c r="E49" s="108">
        <f>VLOOKUP($E$3,'Catchment Projections'!$A$1:$BU$90,46,FALSE)</f>
        <v>17</v>
      </c>
      <c r="F49" s="108">
        <f>VLOOKUP($E$3,'Catchment Projections'!$A$1:$BU$90,47,FALSE)</f>
        <v>12</v>
      </c>
      <c r="G49" s="108">
        <f>VLOOKUP($E$3,'Catchment Projections'!$A$1:$BU$90,48,FALSE)</f>
        <v>17</v>
      </c>
      <c r="H49" s="133">
        <f>VLOOKUP($E$3,'Catchment Projections'!$A$1:$BU$90,49,FALSE)</f>
        <v>15</v>
      </c>
      <c r="I49" s="133">
        <f>VLOOKUP($E$3,'Catchment Projections'!$A$1:$BU$90,50,FALSE)</f>
        <v>16</v>
      </c>
      <c r="J49" s="133">
        <f>VLOOKUP($E$3,'Catchment Projections'!$A$1:$BU$90,51,FALSE)</f>
        <v>16</v>
      </c>
      <c r="K49" s="133">
        <f>VLOOKUP($E$3,'Catchment Projections'!$A$1:$BU$90,52,FALSE)</f>
        <v>16</v>
      </c>
      <c r="L49" s="133">
        <f>VLOOKUP($E$3,'Catchment Projections'!$A$1:$BU$90,53,FALSE)</f>
        <v>16</v>
      </c>
      <c r="M49" s="133">
        <f>VLOOKUP($E$3,'Catchment Projections'!$A$1:$BU$90,54,FALSE)</f>
        <v>16</v>
      </c>
      <c r="N49" s="133">
        <f>VLOOKUP($E$3,'Catchment Projections'!$A$1:$BU$90,55,FALSE)</f>
        <v>16</v>
      </c>
      <c r="O49" s="133">
        <f>VLOOKUP($E$3,'Catchment Projections'!$A$1:$BU$90,56,FALSE)</f>
        <v>16</v>
      </c>
      <c r="P49" s="133">
        <f>VLOOKUP($E$3,'Catchment Projections'!$A$1:$BU$90,57,FALSE)</f>
        <v>16</v>
      </c>
      <c r="Q49" s="133">
        <f>VLOOKUP($E$3,'Catchment Projections'!$A$1:$BU$90,58,FALSE)</f>
        <v>16</v>
      </c>
    </row>
    <row r="50" spans="2:17" ht="15" customHeight="1" thickBot="1">
      <c r="B50" s="410" t="s">
        <v>141</v>
      </c>
      <c r="C50" s="411"/>
      <c r="D50" s="286">
        <f>VLOOKUP(E3,'Housing Generation'!$A$3:$DQ$90,10,FALSE)</f>
        <v>4</v>
      </c>
      <c r="E50" s="286">
        <f>VLOOKUP(E3,'Housing Generation'!$A$3:$DQ$90,18,FALSE)</f>
        <v>7</v>
      </c>
      <c r="F50" s="286">
        <f>VLOOKUP(E3,'Housing Generation'!$A$3:$DQ$90,26,FALSE)</f>
        <v>9</v>
      </c>
      <c r="G50" s="243">
        <f>VLOOKUP(E3,'Housing Generation'!$A$3:$DQ$90,34,FALSE)</f>
        <v>11</v>
      </c>
      <c r="H50" s="133">
        <f>VLOOKUP(E3,'Housing Generation'!$A$3:$DQ$90,42,FALSE)</f>
        <v>16</v>
      </c>
      <c r="I50" s="133">
        <f>VLOOKUP(E3,'Housing Generation'!$A$3:$DQ$90,50,FALSE)</f>
        <v>21</v>
      </c>
      <c r="J50" s="133">
        <f>VLOOKUP(E3,'Housing Generation'!$A$3:$CK$90,58,FALSE)</f>
        <v>25</v>
      </c>
      <c r="K50" s="133">
        <f>VLOOKUP(E3,'Housing Generation'!$A$3:$CK$90,66,FALSE)</f>
        <v>30</v>
      </c>
      <c r="L50" s="133">
        <f>VLOOKUP(E3,'Housing Generation'!$A$3:$DQ$90,74,FALSE)</f>
        <v>34</v>
      </c>
      <c r="M50" s="133">
        <f>VLOOKUP(E3,'Housing Generation'!$A$3:$DQ$90,82,FALSE)</f>
        <v>39</v>
      </c>
      <c r="N50" s="133">
        <f>VLOOKUP(E3,'Housing Generation'!$A$3:$DQ$90,90,FALSE)</f>
        <v>42</v>
      </c>
      <c r="O50" s="133">
        <f>VLOOKUP(E3,'Housing Generation'!$A$3:$DQ$90,98,FALSE)</f>
        <v>45</v>
      </c>
      <c r="P50" s="133">
        <f>VLOOKUP(E3,'Housing Generation'!$A$3:$DQ$90,106,FALSE)</f>
        <v>49</v>
      </c>
      <c r="Q50" s="133">
        <f>VLOOKUP(E3,'Housing Generation'!$A$3:$DQ$90,114,FALSE)</f>
        <v>52</v>
      </c>
    </row>
    <row r="51" spans="2:17" ht="15" customHeight="1" thickTop="1">
      <c r="B51" s="421" t="s">
        <v>130</v>
      </c>
      <c r="C51" s="422"/>
      <c r="D51" s="47">
        <f t="shared" ref="D51:Q51" si="0">SUM(D49:D50)</f>
        <v>11</v>
      </c>
      <c r="E51" s="47">
        <f t="shared" si="0"/>
        <v>24</v>
      </c>
      <c r="F51" s="80">
        <f t="shared" si="0"/>
        <v>21</v>
      </c>
      <c r="G51" s="244">
        <f t="shared" si="0"/>
        <v>28</v>
      </c>
      <c r="H51" s="71">
        <f t="shared" si="0"/>
        <v>31</v>
      </c>
      <c r="I51" s="71">
        <f t="shared" si="0"/>
        <v>37</v>
      </c>
      <c r="J51" s="71">
        <f t="shared" si="0"/>
        <v>41</v>
      </c>
      <c r="K51" s="71">
        <f t="shared" si="0"/>
        <v>46</v>
      </c>
      <c r="L51" s="71">
        <f t="shared" si="0"/>
        <v>50</v>
      </c>
      <c r="M51" s="71">
        <f t="shared" si="0"/>
        <v>55</v>
      </c>
      <c r="N51" s="71">
        <f t="shared" si="0"/>
        <v>58</v>
      </c>
      <c r="O51" s="71">
        <f t="shared" si="0"/>
        <v>61</v>
      </c>
      <c r="P51" s="71">
        <f t="shared" si="0"/>
        <v>65</v>
      </c>
      <c r="Q51" s="71">
        <f t="shared" si="0"/>
        <v>68</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15</v>
      </c>
      <c r="D60" s="358">
        <f>VLOOKUP($E$3,'Catchment Projections'!$A$1:$BZ$90,74,FALSE)</f>
        <v>13</v>
      </c>
      <c r="E60" s="303">
        <f>D60/C60</f>
        <v>0.8666666666666667</v>
      </c>
      <c r="G60" s="132">
        <v>2014</v>
      </c>
      <c r="H60" s="395">
        <f>VLOOKUP($G$60,$B$177:$C$215, 2, FALSE)</f>
        <v>27</v>
      </c>
      <c r="I60" s="120">
        <f>H60-D60</f>
        <v>14</v>
      </c>
      <c r="J60" s="121">
        <f>I60/H60</f>
        <v>0.51851851851851849</v>
      </c>
    </row>
    <row r="61" spans="2:17" ht="15" customHeight="1">
      <c r="B61" s="132">
        <v>2015</v>
      </c>
      <c r="C61" s="359">
        <f>VLOOKUP($E$3,'Catchment Projections'!$A$1:$BZ$90,41,FALSE)</f>
        <v>13</v>
      </c>
      <c r="D61" s="358">
        <f>VLOOKUP($E$3,'Catchment Projections'!$A$1:$BZ$90,75,FALSE)</f>
        <v>10</v>
      </c>
      <c r="E61" s="303">
        <f>D61/C61</f>
        <v>0.76923076923076927</v>
      </c>
      <c r="G61" s="132">
        <v>2015</v>
      </c>
      <c r="H61" s="395">
        <f>VLOOKUP($G$61,$B$177:$C$215, 2, FALSE)</f>
        <v>24</v>
      </c>
      <c r="I61" s="120">
        <f>H61-D61</f>
        <v>14</v>
      </c>
      <c r="J61" s="121">
        <f>I61/H61</f>
        <v>0.58333333333333337</v>
      </c>
    </row>
    <row r="62" spans="2:17" ht="15" customHeight="1">
      <c r="B62" s="131">
        <v>2016</v>
      </c>
      <c r="C62" s="359">
        <f>VLOOKUP($E$3,'Catchment Projections'!$A$1:$BZ$90,42,FALSE)</f>
        <v>8</v>
      </c>
      <c r="D62" s="358">
        <f>VLOOKUP($E$3,'Catchment Projections'!$A$1:$BZ$90,76,FALSE)</f>
        <v>7</v>
      </c>
      <c r="E62" s="57">
        <f>D62/C62</f>
        <v>0.875</v>
      </c>
      <c r="G62" s="131">
        <v>2016</v>
      </c>
      <c r="H62" s="395">
        <f>VLOOKUP($G$62,$B$177:$C$215, 2, FALSE)</f>
        <v>24</v>
      </c>
      <c r="I62" s="120">
        <f>H62-D62</f>
        <v>17</v>
      </c>
      <c r="J62" s="121">
        <f>I62/H62</f>
        <v>0.70833333333333337</v>
      </c>
    </row>
    <row r="63" spans="2:17" ht="15" customHeight="1">
      <c r="B63" s="114">
        <v>2017</v>
      </c>
      <c r="C63" s="359">
        <f>VLOOKUP($E$3,'Catchment Projections'!$A$1:$BZ$90,43,FALSE)</f>
        <v>15</v>
      </c>
      <c r="D63" s="358">
        <f>VLOOKUP($E$3,'Catchment Projections'!$A$1:$BZ$90,77,FALSE)</f>
        <v>15</v>
      </c>
      <c r="E63" s="304">
        <f>D63/C63</f>
        <v>1</v>
      </c>
      <c r="G63" s="114">
        <v>2017</v>
      </c>
      <c r="H63" s="395">
        <f>VLOOKUP($G$63,$B$177:$C$215, 2, FALSE)</f>
        <v>25</v>
      </c>
      <c r="I63" s="120">
        <f>H63-D63</f>
        <v>10</v>
      </c>
      <c r="J63" s="121">
        <f>I63/H63</f>
        <v>0.4</v>
      </c>
    </row>
    <row r="64" spans="2:17" ht="15" customHeight="1">
      <c r="B64" s="114">
        <v>2018</v>
      </c>
      <c r="C64" s="359">
        <f>VLOOKUP($E$3,'Catchment Projections'!$A$1:$BZ$90,44,FALSE)</f>
        <v>14</v>
      </c>
      <c r="D64" s="358">
        <f>VLOOKUP($E$3,'Catchment Projections'!$A$1:$BZ$90,78,FALSE)</f>
        <v>11</v>
      </c>
      <c r="E64" s="305">
        <f>D64/C64</f>
        <v>0.7857142857142857</v>
      </c>
      <c r="G64" s="114">
        <v>2018</v>
      </c>
      <c r="H64" s="395">
        <f>VLOOKUP($G$64,$B$177:$C$215, 2, FALSE)</f>
        <v>22</v>
      </c>
      <c r="I64" s="120">
        <f>H64-D64</f>
        <v>11</v>
      </c>
      <c r="J64" s="121">
        <f>I64/H64</f>
        <v>0.5</v>
      </c>
    </row>
    <row r="65" spans="2:10" ht="15" customHeight="1">
      <c r="B65" s="412" t="s">
        <v>136</v>
      </c>
      <c r="C65" s="413"/>
      <c r="D65" s="414"/>
      <c r="E65" s="137">
        <f>IF((AVERAGE(E62:E64))="#DIV/0!","n/a",(AVERAGE(E62:E64)))</f>
        <v>0.88690476190476186</v>
      </c>
      <c r="G65" s="415" t="s">
        <v>137</v>
      </c>
      <c r="H65" s="416"/>
      <c r="I65" s="138">
        <f>MEDIAN(I60:I64)</f>
        <v>14</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11</v>
      </c>
      <c r="D70" s="408"/>
      <c r="E70" s="122">
        <f>E65</f>
        <v>0.88690476190476186</v>
      </c>
      <c r="F70" s="120">
        <f t="shared" ref="F70:F83" si="1">C70*$E$65</f>
        <v>9.7559523809523796</v>
      </c>
      <c r="G70" s="118">
        <f>IF(F70&lt;26,25,IF(F70&gt;135,140,IF(F70&gt;130,135,IF(F70&gt;125,130,IF(F70&gt;120,125,IF(F70&gt;115,120,IF(F70&gt;110,115,IF(F70&gt;105,110,IF(F70&gt;100,105,IF(F70&gt;99,100,IF(F70&gt;90,99,IF(F70&gt;75,90,IF(F70&gt;72,75,IF(F70&gt;66,72,IF(F70&gt;60,66,IF(F70&gt;50,60,IF(F70&gt;30,50,IF(F70&gt;25,30,0))))))))))))))))))</f>
        <v>25</v>
      </c>
      <c r="H70" s="119">
        <f t="shared" ref="H70:H83" si="2">G70-F70</f>
        <v>15.24404761904762</v>
      </c>
      <c r="I70" s="118" t="str">
        <f>IF(I$65&lt;H70, "NO", "YES")</f>
        <v>NO</v>
      </c>
      <c r="J70" s="117">
        <f t="shared" ref="J70:J83" si="3">IF(I70="YES",G70,(MIN((SUM(F70,$I$65)),G70)))</f>
        <v>23.75595238095238</v>
      </c>
    </row>
    <row r="71" spans="2:10" ht="15" customHeight="1">
      <c r="B71" s="114">
        <v>2020</v>
      </c>
      <c r="C71" s="433">
        <f>E51</f>
        <v>24</v>
      </c>
      <c r="D71" s="408"/>
      <c r="E71" s="121">
        <f>E65</f>
        <v>0.88690476190476186</v>
      </c>
      <c r="F71" s="120">
        <f t="shared" si="1"/>
        <v>21.285714285714285</v>
      </c>
      <c r="G71" s="118">
        <f t="shared" ref="G71:G83" si="4">IF(F71&lt;26,25,IF(F71&gt;135,140,IF(F71&gt;130,135,IF(F71&gt;125,130,IF(F71&gt;120,125,IF(F71&gt;115,120,IF(F71&gt;110,115,IF(F71&gt;105,110,IF(F71&gt;100,105,IF(F71&gt;99,100,IF(F71&gt;90,99,IF(F71&gt;75,90,IF(F71&gt;72,75,IF(F71&gt;66,72,IF(F71&gt;60,66,IF(F71&gt;50,60,IF(F71&gt;30,50,IF(F71&gt;25,30,0))))))))))))))))))</f>
        <v>25</v>
      </c>
      <c r="H71" s="119">
        <f t="shared" si="2"/>
        <v>3.7142857142857153</v>
      </c>
      <c r="I71" s="118" t="str">
        <f t="shared" ref="I71:I83" si="5">IF(I$65&lt;H71, "NO", "YES")</f>
        <v>YES</v>
      </c>
      <c r="J71" s="117">
        <f t="shared" si="3"/>
        <v>25</v>
      </c>
    </row>
    <row r="72" spans="2:10" ht="15" customHeight="1">
      <c r="B72" s="114">
        <v>2021</v>
      </c>
      <c r="C72" s="430">
        <f>F51</f>
        <v>21</v>
      </c>
      <c r="D72" s="431"/>
      <c r="E72" s="121">
        <f>E65</f>
        <v>0.88690476190476186</v>
      </c>
      <c r="F72" s="120">
        <f t="shared" si="1"/>
        <v>18.625</v>
      </c>
      <c r="G72" s="118">
        <f t="shared" si="4"/>
        <v>25</v>
      </c>
      <c r="H72" s="119">
        <f t="shared" si="2"/>
        <v>6.375</v>
      </c>
      <c r="I72" s="118" t="str">
        <f t="shared" si="5"/>
        <v>YES</v>
      </c>
      <c r="J72" s="117">
        <f t="shared" si="3"/>
        <v>25</v>
      </c>
    </row>
    <row r="73" spans="2:10" ht="15" customHeight="1">
      <c r="B73" s="114">
        <v>2022</v>
      </c>
      <c r="C73" s="430">
        <f>G51</f>
        <v>28</v>
      </c>
      <c r="D73" s="431"/>
      <c r="E73" s="121">
        <f>E65</f>
        <v>0.88690476190476186</v>
      </c>
      <c r="F73" s="120">
        <f t="shared" si="1"/>
        <v>24.833333333333332</v>
      </c>
      <c r="G73" s="118">
        <f t="shared" si="4"/>
        <v>25</v>
      </c>
      <c r="H73" s="119">
        <f t="shared" si="2"/>
        <v>0.16666666666666785</v>
      </c>
      <c r="I73" s="118" t="str">
        <f t="shared" si="5"/>
        <v>YES</v>
      </c>
      <c r="J73" s="117">
        <f t="shared" si="3"/>
        <v>25</v>
      </c>
    </row>
    <row r="74" spans="2:10" ht="15" customHeight="1">
      <c r="B74" s="114">
        <v>2023</v>
      </c>
      <c r="C74" s="430">
        <f>H51</f>
        <v>31</v>
      </c>
      <c r="D74" s="431"/>
      <c r="E74" s="121">
        <f>E65</f>
        <v>0.88690476190476186</v>
      </c>
      <c r="F74" s="120">
        <f t="shared" si="1"/>
        <v>27.494047619047617</v>
      </c>
      <c r="G74" s="118">
        <f t="shared" si="4"/>
        <v>30</v>
      </c>
      <c r="H74" s="119">
        <f t="shared" si="2"/>
        <v>2.5059523809523832</v>
      </c>
      <c r="I74" s="118" t="str">
        <f t="shared" si="5"/>
        <v>YES</v>
      </c>
      <c r="J74" s="117">
        <f t="shared" si="3"/>
        <v>30</v>
      </c>
    </row>
    <row r="75" spans="2:10" ht="15" customHeight="1">
      <c r="B75" s="114">
        <v>2024</v>
      </c>
      <c r="C75" s="430">
        <f>I51</f>
        <v>37</v>
      </c>
      <c r="D75" s="431"/>
      <c r="E75" s="121">
        <f>E65</f>
        <v>0.88690476190476186</v>
      </c>
      <c r="F75" s="120">
        <f t="shared" si="1"/>
        <v>32.81547619047619</v>
      </c>
      <c r="G75" s="118">
        <f t="shared" si="4"/>
        <v>50</v>
      </c>
      <c r="H75" s="119">
        <f t="shared" si="2"/>
        <v>17.18452380952381</v>
      </c>
      <c r="I75" s="118" t="str">
        <f t="shared" si="5"/>
        <v>NO</v>
      </c>
      <c r="J75" s="117">
        <f t="shared" si="3"/>
        <v>46.81547619047619</v>
      </c>
    </row>
    <row r="76" spans="2:10" ht="15" customHeight="1">
      <c r="B76" s="114">
        <v>2025</v>
      </c>
      <c r="C76" s="430">
        <f>J51</f>
        <v>41</v>
      </c>
      <c r="D76" s="431"/>
      <c r="E76" s="121">
        <f>E65</f>
        <v>0.88690476190476186</v>
      </c>
      <c r="F76" s="120">
        <f t="shared" si="1"/>
        <v>36.363095238095234</v>
      </c>
      <c r="G76" s="118">
        <f t="shared" si="4"/>
        <v>50</v>
      </c>
      <c r="H76" s="119">
        <f t="shared" si="2"/>
        <v>13.636904761904766</v>
      </c>
      <c r="I76" s="118" t="str">
        <f t="shared" si="5"/>
        <v>YES</v>
      </c>
      <c r="J76" s="117">
        <f t="shared" si="3"/>
        <v>50</v>
      </c>
    </row>
    <row r="77" spans="2:10" ht="15" customHeight="1">
      <c r="B77" s="114">
        <v>2026</v>
      </c>
      <c r="C77" s="430">
        <f>K51</f>
        <v>46</v>
      </c>
      <c r="D77" s="431"/>
      <c r="E77" s="121">
        <f>E65</f>
        <v>0.88690476190476186</v>
      </c>
      <c r="F77" s="120">
        <f t="shared" si="1"/>
        <v>40.797619047619044</v>
      </c>
      <c r="G77" s="118">
        <f t="shared" si="4"/>
        <v>50</v>
      </c>
      <c r="H77" s="119">
        <f t="shared" si="2"/>
        <v>9.2023809523809561</v>
      </c>
      <c r="I77" s="118" t="str">
        <f t="shared" si="5"/>
        <v>YES</v>
      </c>
      <c r="J77" s="117">
        <f t="shared" si="3"/>
        <v>50</v>
      </c>
    </row>
    <row r="78" spans="2:10" ht="15" customHeight="1">
      <c r="B78" s="114">
        <v>2027</v>
      </c>
      <c r="C78" s="430">
        <f>L51</f>
        <v>50</v>
      </c>
      <c r="D78" s="431"/>
      <c r="E78" s="121">
        <f>E65</f>
        <v>0.88690476190476186</v>
      </c>
      <c r="F78" s="120">
        <f t="shared" si="1"/>
        <v>44.345238095238095</v>
      </c>
      <c r="G78" s="118">
        <f t="shared" si="4"/>
        <v>50</v>
      </c>
      <c r="H78" s="119">
        <f t="shared" si="2"/>
        <v>5.6547619047619051</v>
      </c>
      <c r="I78" s="118" t="str">
        <f t="shared" si="5"/>
        <v>YES</v>
      </c>
      <c r="J78" s="117">
        <f t="shared" si="3"/>
        <v>50</v>
      </c>
    </row>
    <row r="79" spans="2:10" ht="15" customHeight="1">
      <c r="B79" s="114">
        <v>2028</v>
      </c>
      <c r="C79" s="430">
        <f>M51</f>
        <v>55</v>
      </c>
      <c r="D79" s="431"/>
      <c r="E79" s="121">
        <f t="shared" ref="E79:E83" si="6">$E$65</f>
        <v>0.88690476190476186</v>
      </c>
      <c r="F79" s="120">
        <f t="shared" si="1"/>
        <v>48.779761904761905</v>
      </c>
      <c r="G79" s="118">
        <f t="shared" si="4"/>
        <v>50</v>
      </c>
      <c r="H79" s="119">
        <f t="shared" si="2"/>
        <v>1.2202380952380949</v>
      </c>
      <c r="I79" s="118" t="str">
        <f t="shared" si="5"/>
        <v>YES</v>
      </c>
      <c r="J79" s="117">
        <f t="shared" si="3"/>
        <v>50</v>
      </c>
    </row>
    <row r="80" spans="2:10" ht="15" customHeight="1">
      <c r="B80" s="114">
        <v>2029</v>
      </c>
      <c r="C80" s="430">
        <f>N51</f>
        <v>58</v>
      </c>
      <c r="D80" s="431"/>
      <c r="E80" s="121">
        <f t="shared" si="6"/>
        <v>0.88690476190476186</v>
      </c>
      <c r="F80" s="120">
        <f t="shared" si="1"/>
        <v>51.44047619047619</v>
      </c>
      <c r="G80" s="118">
        <f t="shared" si="4"/>
        <v>60</v>
      </c>
      <c r="H80" s="119">
        <f t="shared" si="2"/>
        <v>8.5595238095238102</v>
      </c>
      <c r="I80" s="118" t="str">
        <f t="shared" si="5"/>
        <v>YES</v>
      </c>
      <c r="J80" s="117">
        <f t="shared" si="3"/>
        <v>60</v>
      </c>
    </row>
    <row r="81" spans="2:10" ht="15" customHeight="1">
      <c r="B81" s="114">
        <v>2030</v>
      </c>
      <c r="C81" s="430">
        <f>O51</f>
        <v>61</v>
      </c>
      <c r="D81" s="431"/>
      <c r="E81" s="121">
        <f t="shared" si="6"/>
        <v>0.88690476190476186</v>
      </c>
      <c r="F81" s="120">
        <f t="shared" si="1"/>
        <v>54.101190476190474</v>
      </c>
      <c r="G81" s="118">
        <f t="shared" si="4"/>
        <v>60</v>
      </c>
      <c r="H81" s="119">
        <f t="shared" si="2"/>
        <v>5.8988095238095255</v>
      </c>
      <c r="I81" s="118" t="str">
        <f t="shared" si="5"/>
        <v>YES</v>
      </c>
      <c r="J81" s="117">
        <f t="shared" si="3"/>
        <v>60</v>
      </c>
    </row>
    <row r="82" spans="2:10" ht="15" customHeight="1">
      <c r="B82" s="114">
        <v>2031</v>
      </c>
      <c r="C82" s="430">
        <f>P51</f>
        <v>65</v>
      </c>
      <c r="D82" s="431"/>
      <c r="E82" s="121">
        <f t="shared" si="6"/>
        <v>0.88690476190476186</v>
      </c>
      <c r="F82" s="120">
        <f t="shared" si="1"/>
        <v>57.648809523809518</v>
      </c>
      <c r="G82" s="118">
        <f t="shared" si="4"/>
        <v>60</v>
      </c>
      <c r="H82" s="119">
        <f t="shared" si="2"/>
        <v>2.3511904761904816</v>
      </c>
      <c r="I82" s="118" t="str">
        <f t="shared" si="5"/>
        <v>YES</v>
      </c>
      <c r="J82" s="117">
        <f t="shared" si="3"/>
        <v>60</v>
      </c>
    </row>
    <row r="83" spans="2:10" ht="15" customHeight="1">
      <c r="B83" s="114">
        <v>2032</v>
      </c>
      <c r="C83" s="430">
        <f>Q51</f>
        <v>68</v>
      </c>
      <c r="D83" s="431"/>
      <c r="E83" s="121">
        <f t="shared" si="6"/>
        <v>0.88690476190476186</v>
      </c>
      <c r="F83" s="120">
        <f t="shared" si="1"/>
        <v>60.30952380952381</v>
      </c>
      <c r="G83" s="118">
        <f t="shared" si="4"/>
        <v>66</v>
      </c>
      <c r="H83" s="119">
        <f t="shared" si="2"/>
        <v>5.6904761904761898</v>
      </c>
      <c r="I83" s="118" t="str">
        <f t="shared" si="5"/>
        <v>YES</v>
      </c>
      <c r="J83" s="117">
        <f t="shared" si="3"/>
        <v>66</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Newcraighall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13</v>
      </c>
      <c r="D91" s="112">
        <f t="shared" ref="D91:J91" si="7">D188</f>
        <v>25</v>
      </c>
      <c r="E91" s="112">
        <f t="shared" si="7"/>
        <v>12</v>
      </c>
      <c r="F91" s="112">
        <f t="shared" si="7"/>
        <v>14</v>
      </c>
      <c r="G91" s="112">
        <f t="shared" si="7"/>
        <v>9</v>
      </c>
      <c r="H91" s="112">
        <f t="shared" si="7"/>
        <v>14</v>
      </c>
      <c r="I91" s="112">
        <f t="shared" si="7"/>
        <v>22</v>
      </c>
      <c r="J91" s="213">
        <f t="shared" si="7"/>
        <v>109</v>
      </c>
    </row>
    <row r="92" spans="2:10" ht="15" customHeight="1">
      <c r="B92" s="114">
        <v>2014</v>
      </c>
      <c r="C92" s="112">
        <f>C189</f>
        <v>27</v>
      </c>
      <c r="D92" s="112">
        <f t="shared" ref="D92:J92" si="8">D189</f>
        <v>14</v>
      </c>
      <c r="E92" s="112">
        <f t="shared" si="8"/>
        <v>26</v>
      </c>
      <c r="F92" s="112">
        <f t="shared" si="8"/>
        <v>10</v>
      </c>
      <c r="G92" s="112">
        <f t="shared" si="8"/>
        <v>13</v>
      </c>
      <c r="H92" s="112">
        <f t="shared" si="8"/>
        <v>7</v>
      </c>
      <c r="I92" s="112">
        <f t="shared" si="8"/>
        <v>13</v>
      </c>
      <c r="J92" s="213">
        <f t="shared" si="8"/>
        <v>110</v>
      </c>
    </row>
    <row r="93" spans="2:10" ht="15" customHeight="1">
      <c r="B93" s="114">
        <v>2015</v>
      </c>
      <c r="C93" s="112">
        <f>C190</f>
        <v>24</v>
      </c>
      <c r="D93" s="112">
        <f t="shared" ref="D93:J93" si="9">D190</f>
        <v>24</v>
      </c>
      <c r="E93" s="112">
        <f t="shared" si="9"/>
        <v>16</v>
      </c>
      <c r="F93" s="112">
        <f t="shared" si="9"/>
        <v>25</v>
      </c>
      <c r="G93" s="112">
        <f t="shared" si="9"/>
        <v>10</v>
      </c>
      <c r="H93" s="112">
        <f t="shared" si="9"/>
        <v>12</v>
      </c>
      <c r="I93" s="112">
        <f t="shared" si="9"/>
        <v>5</v>
      </c>
      <c r="J93" s="213">
        <f t="shared" si="9"/>
        <v>116</v>
      </c>
    </row>
    <row r="94" spans="2:10" ht="15" customHeight="1">
      <c r="B94" s="114">
        <v>2016</v>
      </c>
      <c r="C94" s="112">
        <f>C191</f>
        <v>24</v>
      </c>
      <c r="D94" s="112">
        <f t="shared" ref="D94:J94" si="10">D191</f>
        <v>24</v>
      </c>
      <c r="E94" s="112">
        <f t="shared" si="10"/>
        <v>24</v>
      </c>
      <c r="F94" s="112">
        <f t="shared" si="10"/>
        <v>17</v>
      </c>
      <c r="G94" s="112">
        <f t="shared" si="10"/>
        <v>24</v>
      </c>
      <c r="H94" s="112">
        <f t="shared" si="10"/>
        <v>11</v>
      </c>
      <c r="I94" s="112">
        <f t="shared" si="10"/>
        <v>13</v>
      </c>
      <c r="J94" s="213">
        <f t="shared" si="10"/>
        <v>137</v>
      </c>
    </row>
    <row r="95" spans="2:10" ht="15" customHeight="1">
      <c r="B95" s="114">
        <v>2017</v>
      </c>
      <c r="C95" s="112">
        <f>C192</f>
        <v>25</v>
      </c>
      <c r="D95" s="112">
        <f t="shared" ref="D95:J95" si="11">D192</f>
        <v>26</v>
      </c>
      <c r="E95" s="112">
        <f t="shared" si="11"/>
        <v>24</v>
      </c>
      <c r="F95" s="112">
        <f t="shared" si="11"/>
        <v>26</v>
      </c>
      <c r="G95" s="112">
        <f t="shared" si="11"/>
        <v>17</v>
      </c>
      <c r="H95" s="112">
        <f t="shared" si="11"/>
        <v>23</v>
      </c>
      <c r="I95" s="112">
        <f t="shared" si="11"/>
        <v>10</v>
      </c>
      <c r="J95" s="213">
        <f t="shared" si="11"/>
        <v>151</v>
      </c>
    </row>
    <row r="96" spans="2:10" ht="15" customHeight="1">
      <c r="B96" s="307">
        <v>2018</v>
      </c>
      <c r="C96" s="112">
        <f t="shared" ref="C96:J96" si="12">C193</f>
        <v>22</v>
      </c>
      <c r="D96" s="112">
        <f t="shared" si="12"/>
        <v>28</v>
      </c>
      <c r="E96" s="112">
        <f t="shared" si="12"/>
        <v>26</v>
      </c>
      <c r="F96" s="112">
        <f t="shared" si="12"/>
        <v>27</v>
      </c>
      <c r="G96" s="112">
        <f t="shared" si="12"/>
        <v>28</v>
      </c>
      <c r="H96" s="112">
        <f t="shared" si="12"/>
        <v>19</v>
      </c>
      <c r="I96" s="112">
        <f t="shared" si="12"/>
        <v>23</v>
      </c>
      <c r="J96" s="213">
        <f t="shared" si="12"/>
        <v>173</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-7.6923076923076927E-2</v>
      </c>
      <c r="E98" s="210">
        <f t="shared" ref="E98:I98" si="13">MEDIAN(((D91-E92)/D91),((D92-E93)/D92),((D93-E94)/D93),((D94-E95)/D94),((D95-E96)/D95))</f>
        <v>0</v>
      </c>
      <c r="F98" s="210">
        <f t="shared" si="13"/>
        <v>-6.25E-2</v>
      </c>
      <c r="G98" s="210">
        <f t="shared" si="13"/>
        <v>0</v>
      </c>
      <c r="H98" s="210">
        <f t="shared" si="13"/>
        <v>4.1666666666666664E-2</v>
      </c>
      <c r="I98" s="210">
        <f t="shared" si="13"/>
        <v>7.1428571428571425E-2</v>
      </c>
    </row>
    <row r="99" spans="2:10" ht="18.75">
      <c r="B99" s="59"/>
      <c r="C99" s="60"/>
      <c r="D99" s="61"/>
      <c r="E99" s="61"/>
      <c r="F99" s="61"/>
      <c r="G99" s="61"/>
      <c r="H99" s="61"/>
      <c r="I99" s="61"/>
      <c r="J99" s="58"/>
    </row>
    <row r="100" spans="2:10">
      <c r="B100" s="15" t="str">
        <f>"Table 4B: "&amp;E3&amp;" Projected Roll by Stage (incorporating Projected P1 and Drop-Off Rates), 2019-2032"</f>
        <v>Table 4B: Newcraighall Primary School Projected Roll by Stage (incorporating Projected P1 and Drop-Off Rates), 2019-2032</v>
      </c>
      <c r="F100" s="14"/>
      <c r="G100" s="14"/>
    </row>
    <row r="101" spans="2:10" ht="12.75">
      <c r="F101" s="14"/>
      <c r="G101" s="14"/>
    </row>
    <row r="102" spans="2:10">
      <c r="B102" s="115"/>
      <c r="C102" s="109" t="s">
        <v>1</v>
      </c>
      <c r="D102" s="109" t="s">
        <v>2</v>
      </c>
      <c r="E102" s="109" t="s">
        <v>3</v>
      </c>
      <c r="F102" s="109" t="s">
        <v>4</v>
      </c>
      <c r="G102" s="109" t="s">
        <v>5</v>
      </c>
      <c r="H102" s="109" t="s">
        <v>6</v>
      </c>
      <c r="I102" s="109" t="s">
        <v>7</v>
      </c>
      <c r="J102" s="109" t="s">
        <v>8</v>
      </c>
    </row>
    <row r="103" spans="2:10">
      <c r="B103" s="114">
        <v>2019</v>
      </c>
      <c r="C103" s="113">
        <f t="shared" ref="C103:C116" si="14">J70</f>
        <v>23.75595238095238</v>
      </c>
      <c r="D103" s="324">
        <f>ROUND((C96)-(C96*$D$98),0)</f>
        <v>24</v>
      </c>
      <c r="E103" s="324">
        <f>ROUND((D96)-(D96*$E$98),0)</f>
        <v>28</v>
      </c>
      <c r="F103" s="324">
        <f>ROUND((E96)-(E96*$F$98),0)</f>
        <v>28</v>
      </c>
      <c r="G103" s="324">
        <f>ROUND((F96)-(F96*$G$98),0)</f>
        <v>27</v>
      </c>
      <c r="H103" s="324">
        <f>ROUND((G96)-(G96*$H$98),0)</f>
        <v>27</v>
      </c>
      <c r="I103" s="324">
        <f>ROUND((H96)-(H96*$I$98),0)</f>
        <v>18</v>
      </c>
      <c r="J103" s="111">
        <f t="shared" ref="J103:J116" si="15">SUM(C103:I103)</f>
        <v>175.75595238095238</v>
      </c>
    </row>
    <row r="104" spans="2:10">
      <c r="B104" s="114">
        <v>2020</v>
      </c>
      <c r="C104" s="113">
        <f t="shared" si="14"/>
        <v>25</v>
      </c>
      <c r="D104" s="324">
        <f>ROUND((C103-E50)-(C103*$D$98),0)</f>
        <v>19</v>
      </c>
      <c r="E104" s="112">
        <f t="shared" ref="E104:E116" si="16">ROUND((D103)-(D103*$E$98),0)</f>
        <v>24</v>
      </c>
      <c r="F104" s="112">
        <f t="shared" ref="F104:F116" si="17">ROUND((E103)-(E103*$F$98),0)</f>
        <v>30</v>
      </c>
      <c r="G104" s="112">
        <f t="shared" ref="G104:G116" si="18">ROUND((F103)-(F103*$G$98),0)</f>
        <v>28</v>
      </c>
      <c r="H104" s="112">
        <f t="shared" ref="H104:H116" si="19">ROUND((G103)-(G103*$H$98),0)</f>
        <v>26</v>
      </c>
      <c r="I104" s="112">
        <f t="shared" ref="I104:I116" si="20">ROUND((H103)-(H103*$I$98),0)</f>
        <v>25</v>
      </c>
      <c r="J104" s="111">
        <f t="shared" si="15"/>
        <v>177</v>
      </c>
    </row>
    <row r="105" spans="2:10">
      <c r="B105" s="114">
        <v>2021</v>
      </c>
      <c r="C105" s="113">
        <f t="shared" si="14"/>
        <v>25</v>
      </c>
      <c r="D105" s="324">
        <f>ROUND((C104-F50)-(C104*$D$98),0)</f>
        <v>18</v>
      </c>
      <c r="E105" s="112">
        <f t="shared" si="16"/>
        <v>19</v>
      </c>
      <c r="F105" s="112">
        <f t="shared" si="17"/>
        <v>26</v>
      </c>
      <c r="G105" s="112">
        <f t="shared" si="18"/>
        <v>30</v>
      </c>
      <c r="H105" s="112">
        <f t="shared" si="19"/>
        <v>27</v>
      </c>
      <c r="I105" s="112">
        <f t="shared" si="20"/>
        <v>24</v>
      </c>
      <c r="J105" s="111">
        <f t="shared" si="15"/>
        <v>169</v>
      </c>
    </row>
    <row r="106" spans="2:10">
      <c r="B106" s="114">
        <v>2022</v>
      </c>
      <c r="C106" s="113">
        <f t="shared" si="14"/>
        <v>25</v>
      </c>
      <c r="D106" s="324">
        <f>ROUND((C105-G50)-(C105*$D$98),0)</f>
        <v>16</v>
      </c>
      <c r="E106" s="112">
        <f t="shared" si="16"/>
        <v>18</v>
      </c>
      <c r="F106" s="112">
        <f t="shared" si="17"/>
        <v>20</v>
      </c>
      <c r="G106" s="112">
        <f t="shared" si="18"/>
        <v>26</v>
      </c>
      <c r="H106" s="112">
        <f t="shared" si="19"/>
        <v>29</v>
      </c>
      <c r="I106" s="112">
        <f t="shared" si="20"/>
        <v>25</v>
      </c>
      <c r="J106" s="111">
        <f t="shared" si="15"/>
        <v>159</v>
      </c>
    </row>
    <row r="107" spans="2:10">
      <c r="B107" s="114">
        <v>2023</v>
      </c>
      <c r="C107" s="113">
        <f t="shared" si="14"/>
        <v>30</v>
      </c>
      <c r="D107" s="324">
        <f>ROUND((C106-H50)-(C106*$D$98),0)</f>
        <v>11</v>
      </c>
      <c r="E107" s="112">
        <f t="shared" si="16"/>
        <v>16</v>
      </c>
      <c r="F107" s="112">
        <f t="shared" si="17"/>
        <v>19</v>
      </c>
      <c r="G107" s="112">
        <f t="shared" si="18"/>
        <v>20</v>
      </c>
      <c r="H107" s="112">
        <f t="shared" si="19"/>
        <v>25</v>
      </c>
      <c r="I107" s="112">
        <f t="shared" si="20"/>
        <v>27</v>
      </c>
      <c r="J107" s="111">
        <f t="shared" si="15"/>
        <v>148</v>
      </c>
    </row>
    <row r="108" spans="2:10">
      <c r="B108" s="114">
        <v>2024</v>
      </c>
      <c r="C108" s="113">
        <f t="shared" si="14"/>
        <v>46.81547619047619</v>
      </c>
      <c r="D108" s="324">
        <f>ROUND((C107-I50)-(C107*$D$98),0)</f>
        <v>11</v>
      </c>
      <c r="E108" s="112">
        <f t="shared" si="16"/>
        <v>11</v>
      </c>
      <c r="F108" s="112">
        <f t="shared" si="17"/>
        <v>17</v>
      </c>
      <c r="G108" s="112">
        <f t="shared" si="18"/>
        <v>19</v>
      </c>
      <c r="H108" s="112">
        <f t="shared" si="19"/>
        <v>19</v>
      </c>
      <c r="I108" s="112">
        <f t="shared" si="20"/>
        <v>23</v>
      </c>
      <c r="J108" s="111">
        <f t="shared" si="15"/>
        <v>146.8154761904762</v>
      </c>
    </row>
    <row r="109" spans="2:10">
      <c r="B109" s="114">
        <v>2025</v>
      </c>
      <c r="C109" s="113">
        <f t="shared" si="14"/>
        <v>50</v>
      </c>
      <c r="D109" s="324">
        <f>ROUND((C108-J50)-(C108*$D$98),0)</f>
        <v>25</v>
      </c>
      <c r="E109" s="112">
        <f t="shared" si="16"/>
        <v>11</v>
      </c>
      <c r="F109" s="112">
        <f t="shared" si="17"/>
        <v>12</v>
      </c>
      <c r="G109" s="112">
        <f t="shared" si="18"/>
        <v>17</v>
      </c>
      <c r="H109" s="112">
        <f t="shared" si="19"/>
        <v>18</v>
      </c>
      <c r="I109" s="112">
        <f t="shared" si="20"/>
        <v>18</v>
      </c>
      <c r="J109" s="111">
        <f t="shared" si="15"/>
        <v>151</v>
      </c>
    </row>
    <row r="110" spans="2:10">
      <c r="B110" s="114">
        <v>2026</v>
      </c>
      <c r="C110" s="113">
        <f t="shared" si="14"/>
        <v>50</v>
      </c>
      <c r="D110" s="324">
        <f>ROUND((C109-K50)-(C109*$D$98),0)</f>
        <v>24</v>
      </c>
      <c r="E110" s="112">
        <f t="shared" si="16"/>
        <v>25</v>
      </c>
      <c r="F110" s="112">
        <f t="shared" si="17"/>
        <v>12</v>
      </c>
      <c r="G110" s="112">
        <f t="shared" si="18"/>
        <v>12</v>
      </c>
      <c r="H110" s="112">
        <f t="shared" si="19"/>
        <v>16</v>
      </c>
      <c r="I110" s="112">
        <f t="shared" si="20"/>
        <v>17</v>
      </c>
      <c r="J110" s="111">
        <f t="shared" si="15"/>
        <v>156</v>
      </c>
    </row>
    <row r="111" spans="2:10">
      <c r="B111" s="114">
        <v>2027</v>
      </c>
      <c r="C111" s="113">
        <f t="shared" si="14"/>
        <v>50</v>
      </c>
      <c r="D111" s="324">
        <f>ROUND((C110-L50)-(C110*$D$98),0)</f>
        <v>20</v>
      </c>
      <c r="E111" s="112">
        <f t="shared" si="16"/>
        <v>24</v>
      </c>
      <c r="F111" s="112">
        <f t="shared" si="17"/>
        <v>27</v>
      </c>
      <c r="G111" s="112">
        <f t="shared" si="18"/>
        <v>12</v>
      </c>
      <c r="H111" s="112">
        <f t="shared" si="19"/>
        <v>12</v>
      </c>
      <c r="I111" s="112">
        <f t="shared" si="20"/>
        <v>15</v>
      </c>
      <c r="J111" s="111">
        <f t="shared" si="15"/>
        <v>160</v>
      </c>
    </row>
    <row r="112" spans="2:10">
      <c r="B112" s="114">
        <v>2028</v>
      </c>
      <c r="C112" s="113">
        <f t="shared" si="14"/>
        <v>50</v>
      </c>
      <c r="D112" s="324">
        <f>ROUND((C111-M50)-(C111*$D$98),0)</f>
        <v>15</v>
      </c>
      <c r="E112" s="112">
        <f t="shared" si="16"/>
        <v>20</v>
      </c>
      <c r="F112" s="112">
        <f t="shared" si="17"/>
        <v>26</v>
      </c>
      <c r="G112" s="112">
        <f t="shared" si="18"/>
        <v>27</v>
      </c>
      <c r="H112" s="112">
        <f t="shared" si="19"/>
        <v>12</v>
      </c>
      <c r="I112" s="112">
        <f t="shared" si="20"/>
        <v>11</v>
      </c>
      <c r="J112" s="111">
        <f t="shared" si="15"/>
        <v>161</v>
      </c>
    </row>
    <row r="113" spans="2:10" ht="15" customHeight="1">
      <c r="B113" s="114">
        <v>2029</v>
      </c>
      <c r="C113" s="113">
        <f t="shared" si="14"/>
        <v>60</v>
      </c>
      <c r="D113" s="324">
        <f>ROUND((C112-N50)-(C112*$D$98),0)</f>
        <v>12</v>
      </c>
      <c r="E113" s="112">
        <f t="shared" si="16"/>
        <v>15</v>
      </c>
      <c r="F113" s="112">
        <f t="shared" si="17"/>
        <v>21</v>
      </c>
      <c r="G113" s="112">
        <f t="shared" si="18"/>
        <v>26</v>
      </c>
      <c r="H113" s="112">
        <f t="shared" si="19"/>
        <v>26</v>
      </c>
      <c r="I113" s="112">
        <f t="shared" si="20"/>
        <v>11</v>
      </c>
      <c r="J113" s="111">
        <f t="shared" si="15"/>
        <v>171</v>
      </c>
    </row>
    <row r="114" spans="2:10" ht="15" customHeight="1">
      <c r="B114" s="114">
        <v>2030</v>
      </c>
      <c r="C114" s="113">
        <f t="shared" si="14"/>
        <v>60</v>
      </c>
      <c r="D114" s="324">
        <f>ROUND((C113-O50)-(C113*$D$98),0)</f>
        <v>20</v>
      </c>
      <c r="E114" s="112">
        <f t="shared" si="16"/>
        <v>12</v>
      </c>
      <c r="F114" s="112">
        <f t="shared" si="17"/>
        <v>16</v>
      </c>
      <c r="G114" s="112">
        <f t="shared" si="18"/>
        <v>21</v>
      </c>
      <c r="H114" s="112">
        <f t="shared" si="19"/>
        <v>25</v>
      </c>
      <c r="I114" s="112">
        <f t="shared" si="20"/>
        <v>24</v>
      </c>
      <c r="J114" s="111">
        <f t="shared" si="15"/>
        <v>178</v>
      </c>
    </row>
    <row r="115" spans="2:10" ht="15" customHeight="1">
      <c r="B115" s="114">
        <v>2031</v>
      </c>
      <c r="C115" s="113">
        <f t="shared" si="14"/>
        <v>60</v>
      </c>
      <c r="D115" s="324">
        <f>ROUND((C114-P50)-(C114*$D$98),0)</f>
        <v>16</v>
      </c>
      <c r="E115" s="112">
        <f t="shared" si="16"/>
        <v>20</v>
      </c>
      <c r="F115" s="112">
        <f t="shared" si="17"/>
        <v>13</v>
      </c>
      <c r="G115" s="112">
        <f t="shared" si="18"/>
        <v>16</v>
      </c>
      <c r="H115" s="112">
        <f t="shared" si="19"/>
        <v>20</v>
      </c>
      <c r="I115" s="112">
        <f t="shared" si="20"/>
        <v>23</v>
      </c>
      <c r="J115" s="111">
        <f t="shared" si="15"/>
        <v>168</v>
      </c>
    </row>
    <row r="116" spans="2:10" ht="15" customHeight="1">
      <c r="B116" s="114">
        <v>2032</v>
      </c>
      <c r="C116" s="113">
        <f t="shared" si="14"/>
        <v>66</v>
      </c>
      <c r="D116" s="324">
        <f>ROUND((C115-Q50)-(C115*$D$98),0)</f>
        <v>13</v>
      </c>
      <c r="E116" s="112">
        <f t="shared" si="16"/>
        <v>16</v>
      </c>
      <c r="F116" s="112">
        <f t="shared" si="17"/>
        <v>21</v>
      </c>
      <c r="G116" s="112">
        <f t="shared" si="18"/>
        <v>13</v>
      </c>
      <c r="H116" s="112">
        <f t="shared" si="19"/>
        <v>15</v>
      </c>
      <c r="I116" s="112">
        <f t="shared" si="20"/>
        <v>19</v>
      </c>
      <c r="J116" s="111">
        <f t="shared" si="15"/>
        <v>163</v>
      </c>
    </row>
    <row r="117" spans="2:10" ht="15" hidden="1" customHeight="1">
      <c r="F117" s="14"/>
      <c r="G117" s="14"/>
    </row>
    <row r="118" spans="2:10" ht="15" hidden="1" customHeight="1">
      <c r="B118" s="15" t="str">
        <f>"Table 4C: "&amp;E3&amp;" Projected Pupil Generation from Housing Development, 2019-2032"</f>
        <v>Table 4C: Newcraighall Primary School Projected Pupil Generation from Housing Development, 2019-2032</v>
      </c>
      <c r="F118" s="14"/>
      <c r="G118" s="14"/>
    </row>
    <row r="119" spans="2:10" ht="15" hidden="1" customHeight="1">
      <c r="F119" s="14"/>
      <c r="G119" s="14"/>
    </row>
    <row r="120" spans="2:10" ht="15" hidden="1" customHeight="1">
      <c r="B120" s="115"/>
      <c r="C120" s="109" t="s">
        <v>1</v>
      </c>
      <c r="D120" s="109" t="s">
        <v>2</v>
      </c>
      <c r="E120" s="109" t="s">
        <v>3</v>
      </c>
      <c r="F120" s="109" t="s">
        <v>4</v>
      </c>
      <c r="G120" s="109" t="s">
        <v>5</v>
      </c>
      <c r="H120" s="109" t="s">
        <v>6</v>
      </c>
      <c r="I120" s="109" t="s">
        <v>7</v>
      </c>
      <c r="J120" s="109" t="s">
        <v>8</v>
      </c>
    </row>
    <row r="121" spans="2:10" ht="15" hidden="1" customHeight="1">
      <c r="B121" s="114">
        <v>2019</v>
      </c>
      <c r="C121" s="116" t="s">
        <v>97</v>
      </c>
      <c r="D121" s="112">
        <f>VLOOKUP($E$3,'Housing Generation'!$A$3:$BE$90,11,FALSE)</f>
        <v>3</v>
      </c>
      <c r="E121" s="112">
        <f>VLOOKUP($E$3,'Housing Generation'!$A$3:$BE$90,12,FALSE)</f>
        <v>3</v>
      </c>
      <c r="F121" s="112">
        <f>VLOOKUP($E$3,'Housing Generation'!$A$3:$BE$90,13,FALSE)</f>
        <v>3</v>
      </c>
      <c r="G121" s="112">
        <f>VLOOKUP($E$3,'Housing Generation'!$A$3:$BE$90,14,FALSE)</f>
        <v>3</v>
      </c>
      <c r="H121" s="112">
        <f>VLOOKUP($E$3,'Housing Generation'!$A$3:$BE$90,15,FALSE)</f>
        <v>3</v>
      </c>
      <c r="I121" s="112">
        <f>VLOOKUP($E$3,'Housing Generation'!$A$3:$BE$90,16,FALSE)</f>
        <v>3</v>
      </c>
      <c r="J121" s="111">
        <f t="shared" ref="J121:J134" si="21">SUM(D121:I121)</f>
        <v>18</v>
      </c>
    </row>
    <row r="122" spans="2:10" ht="15" hidden="1" customHeight="1">
      <c r="B122" s="114">
        <v>2020</v>
      </c>
      <c r="C122" s="116" t="s">
        <v>97</v>
      </c>
      <c r="D122" s="112">
        <f>VLOOKUP($E$3,'Housing Generation'!$A$3:$BE$90,19,FALSE)</f>
        <v>6</v>
      </c>
      <c r="E122" s="112">
        <f>VLOOKUP($E$3,'Housing Generation'!$A$3:$BE$90,20,FALSE)</f>
        <v>6</v>
      </c>
      <c r="F122" s="112">
        <f>VLOOKUP($E$3,'Housing Generation'!$A$3:$BE$90,21,FALSE)</f>
        <v>6</v>
      </c>
      <c r="G122" s="112">
        <f>VLOOKUP($E$3,'Housing Generation'!$A$3:$BE$90,22,FALSE)</f>
        <v>6</v>
      </c>
      <c r="H122" s="112">
        <f>VLOOKUP($E$3,'Housing Generation'!$A$3:$BE$90,23,FALSE)</f>
        <v>6</v>
      </c>
      <c r="I122" s="112">
        <f>VLOOKUP($E$3,'Housing Generation'!$A$3:$BE$90,24,FALSE)</f>
        <v>6</v>
      </c>
      <c r="J122" s="111">
        <f t="shared" si="21"/>
        <v>36</v>
      </c>
    </row>
    <row r="123" spans="2:10" ht="15" hidden="1" customHeight="1">
      <c r="B123" s="114">
        <v>2021</v>
      </c>
      <c r="C123" s="116" t="s">
        <v>97</v>
      </c>
      <c r="D123" s="112">
        <f>VLOOKUP($E$3,'Housing Generation'!$A$3:$BE$90,27,FALSE)</f>
        <v>9</v>
      </c>
      <c r="E123" s="112">
        <f>VLOOKUP($E$3,'Housing Generation'!$A$3:$BE$90,28,FALSE)</f>
        <v>8</v>
      </c>
      <c r="F123" s="112">
        <f>VLOOKUP($E$3,'Housing Generation'!$A$3:$BE$90,29,FALSE)</f>
        <v>8</v>
      </c>
      <c r="G123" s="112">
        <f>VLOOKUP($E$3,'Housing Generation'!$A$3:$BE$90,30,FALSE)</f>
        <v>8</v>
      </c>
      <c r="H123" s="112">
        <f>VLOOKUP($E$3,'Housing Generation'!$A$3:$BE$90,31,FALSE)</f>
        <v>8</v>
      </c>
      <c r="I123" s="112">
        <f>VLOOKUP($E$3,'Housing Generation'!$A$3:$BE$90,32,FALSE)</f>
        <v>8</v>
      </c>
      <c r="J123" s="111">
        <f t="shared" si="21"/>
        <v>49</v>
      </c>
    </row>
    <row r="124" spans="2:10" ht="15" hidden="1" customHeight="1">
      <c r="B124" s="114">
        <v>2022</v>
      </c>
      <c r="C124" s="116" t="s">
        <v>97</v>
      </c>
      <c r="D124" s="112">
        <f>VLOOKUP($E$3,'Housing Generation'!$A$3:$BE$90,35,FALSE)</f>
        <v>11</v>
      </c>
      <c r="E124" s="112">
        <f>VLOOKUP($E$3,'Housing Generation'!$A$3:$BE$90,36,FALSE)</f>
        <v>11</v>
      </c>
      <c r="F124" s="112">
        <f>VLOOKUP($E$3,'Housing Generation'!$A$3:$BE$90,37,FALSE)</f>
        <v>11</v>
      </c>
      <c r="G124" s="112">
        <f>VLOOKUP($E$3,'Housing Generation'!$A$3:$BE$90,38,FALSE)</f>
        <v>11</v>
      </c>
      <c r="H124" s="112">
        <f>VLOOKUP($E$3,'Housing Generation'!$A$3:$BE$90,39,FALSE)</f>
        <v>10</v>
      </c>
      <c r="I124" s="112">
        <f>VLOOKUP($E$3,'Housing Generation'!$A$3:$BE$90,40,FALSE)</f>
        <v>10</v>
      </c>
      <c r="J124" s="111">
        <f t="shared" si="21"/>
        <v>64</v>
      </c>
    </row>
    <row r="125" spans="2:10" ht="15" hidden="1" customHeight="1">
      <c r="B125" s="114">
        <v>2023</v>
      </c>
      <c r="C125" s="116" t="s">
        <v>97</v>
      </c>
      <c r="D125" s="112">
        <f>VLOOKUP($E$3,'Housing Generation'!$A$3:$BE$90,43,FALSE)</f>
        <v>16</v>
      </c>
      <c r="E125" s="112">
        <f>VLOOKUP($E$3,'Housing Generation'!$A$3:$BE$90,44,FALSE)</f>
        <v>16</v>
      </c>
      <c r="F125" s="112">
        <f>VLOOKUP($E$3,'Housing Generation'!$A$3:$BE$90,45,FALSE)</f>
        <v>16</v>
      </c>
      <c r="G125" s="112">
        <f>VLOOKUP($E$3,'Housing Generation'!$A$3:$BE$90,46,FALSE)</f>
        <v>15</v>
      </c>
      <c r="H125" s="112">
        <f>VLOOKUP($E$3,'Housing Generation'!$A$3:$BE$90,47,FALSE)</f>
        <v>15</v>
      </c>
      <c r="I125" s="112">
        <f>VLOOKUP($E$3,'Housing Generation'!$A$3:$BE$90,48,FALSE)</f>
        <v>15</v>
      </c>
      <c r="J125" s="111">
        <f t="shared" si="21"/>
        <v>93</v>
      </c>
    </row>
    <row r="126" spans="2:10" ht="15" hidden="1" customHeight="1">
      <c r="B126" s="114">
        <v>2024</v>
      </c>
      <c r="C126" s="116" t="s">
        <v>97</v>
      </c>
      <c r="D126" s="112">
        <f>VLOOKUP($E$3,'Housing Generation'!$A$3:$BE$90,51,FALSE)</f>
        <v>21</v>
      </c>
      <c r="E126" s="112">
        <f>VLOOKUP($E$3,'Housing Generation'!$A$3:$BE$90,52,FALSE)</f>
        <v>21</v>
      </c>
      <c r="F126" s="112">
        <f>VLOOKUP($E$3,'Housing Generation'!$A$3:$BE$90,53,FALSE)</f>
        <v>20</v>
      </c>
      <c r="G126" s="112">
        <f>VLOOKUP($E$3,'Housing Generation'!$A$3:$BE$90,54,FALSE)</f>
        <v>20</v>
      </c>
      <c r="H126" s="112">
        <f>VLOOKUP($E$3,'Housing Generation'!$A$3:$BE$90,55,FALSE)</f>
        <v>20</v>
      </c>
      <c r="I126" s="112">
        <f>VLOOKUP($E$3,'Housing Generation'!$A$3:$BE$90,56,FALSE)</f>
        <v>20</v>
      </c>
      <c r="J126" s="111">
        <f t="shared" si="21"/>
        <v>122</v>
      </c>
    </row>
    <row r="127" spans="2:10" ht="15" hidden="1" customHeight="1">
      <c r="B127" s="114">
        <v>2025</v>
      </c>
      <c r="C127" s="240" t="s">
        <v>97</v>
      </c>
      <c r="D127" s="112">
        <f>VLOOKUP($E$3,'Housing Generation'!$A$3:$CK$90,59,FALSE)</f>
        <v>25</v>
      </c>
      <c r="E127" s="112">
        <f>VLOOKUP($E$3,'Housing Generation'!$A$3:$CK$90,60,FALSE)</f>
        <v>25</v>
      </c>
      <c r="F127" s="112">
        <f>VLOOKUP($E$3,'Housing Generation'!$A$3:$CK$90,61,FALSE)</f>
        <v>25</v>
      </c>
      <c r="G127" s="112">
        <f>VLOOKUP($E$3,'Housing Generation'!$A$3:$CK$90,62,FALSE)</f>
        <v>24</v>
      </c>
      <c r="H127" s="112">
        <f>VLOOKUP($E$3,'Housing Generation'!$A$3:$CK$90,63,FALSE)</f>
        <v>24</v>
      </c>
      <c r="I127" s="112">
        <f>VLOOKUP($E$3,'Housing Generation'!$A$3:$CK$90,64,FALSE)</f>
        <v>24</v>
      </c>
      <c r="J127" s="111">
        <f t="shared" si="21"/>
        <v>147</v>
      </c>
    </row>
    <row r="128" spans="2:10" ht="15" hidden="1" customHeight="1">
      <c r="B128" s="114">
        <v>2026</v>
      </c>
      <c r="C128" s="240" t="s">
        <v>97</v>
      </c>
      <c r="D128" s="112">
        <f>VLOOKUP($E$3,'Housing Generation'!$A$3:$CK$90,67,FALSE)</f>
        <v>30</v>
      </c>
      <c r="E128" s="112">
        <f>VLOOKUP($E$3,'Housing Generation'!$A$3:$CK$90,68,FALSE)</f>
        <v>29</v>
      </c>
      <c r="F128" s="112">
        <f>VLOOKUP($E$3,'Housing Generation'!$A$3:$CK$90,69,FALSE)</f>
        <v>29</v>
      </c>
      <c r="G128" s="112">
        <f>VLOOKUP($E$3,'Housing Generation'!$A$3:$CK$90,70,FALSE)</f>
        <v>29</v>
      </c>
      <c r="H128" s="112">
        <f>VLOOKUP($E$3,'Housing Generation'!$A$3:$CK$90,71,FALSE)</f>
        <v>29</v>
      </c>
      <c r="I128" s="112">
        <f>VLOOKUP($E$3,'Housing Generation'!$A$3:$CK$90,72,FALSE)</f>
        <v>29</v>
      </c>
      <c r="J128" s="111">
        <f t="shared" si="21"/>
        <v>175</v>
      </c>
    </row>
    <row r="129" spans="2:10" ht="15" hidden="1" customHeight="1">
      <c r="B129" s="114">
        <v>2027</v>
      </c>
      <c r="C129" s="240" t="s">
        <v>97</v>
      </c>
      <c r="D129" s="112">
        <f>VLOOKUP($E$3,'Housing Generation'!$A$3:$CK$90,75,FALSE)</f>
        <v>34</v>
      </c>
      <c r="E129" s="112">
        <f>VLOOKUP($E$3,'Housing Generation'!$A$3:$CK$90,76,FALSE)</f>
        <v>34</v>
      </c>
      <c r="F129" s="112">
        <f>VLOOKUP($E$3,'Housing Generation'!$A$3:$CK$90,77,FALSE)</f>
        <v>34</v>
      </c>
      <c r="G129" s="112">
        <f>VLOOKUP($E$3,'Housing Generation'!$A$3:$CK$90,78,FALSE)</f>
        <v>34</v>
      </c>
      <c r="H129" s="112">
        <f>VLOOKUP($E$3,'Housing Generation'!$A$3:$CK$90,79,FALSE)</f>
        <v>34</v>
      </c>
      <c r="I129" s="112">
        <f>VLOOKUP($E$3,'Housing Generation'!$A$3:$CK$90,80,FALSE)</f>
        <v>34</v>
      </c>
      <c r="J129" s="111">
        <f t="shared" si="21"/>
        <v>204</v>
      </c>
    </row>
    <row r="130" spans="2:10" ht="15" customHeight="1">
      <c r="B130" s="114">
        <v>2028</v>
      </c>
      <c r="C130" s="289" t="s">
        <v>97</v>
      </c>
      <c r="D130" s="112">
        <f>VLOOKUP($E$3,'Housing Generation'!$A$3:$CK$90,83,FALSE)</f>
        <v>39</v>
      </c>
      <c r="E130" s="112">
        <f>VLOOKUP($E$3,'Housing Generation'!$A$3:$CK$90,84,FALSE)</f>
        <v>39</v>
      </c>
      <c r="F130" s="112">
        <f>VLOOKUP($E$3,'Housing Generation'!$A$3:$CK$90,85,FALSE)</f>
        <v>39</v>
      </c>
      <c r="G130" s="112">
        <f>VLOOKUP($E$3,'Housing Generation'!$A$3:$CK$90,86,FALSE)</f>
        <v>39</v>
      </c>
      <c r="H130" s="112">
        <f>VLOOKUP($E$3,'Housing Generation'!$A$3:$CK$90,87,FALSE)</f>
        <v>38</v>
      </c>
      <c r="I130" s="112">
        <f>VLOOKUP($E$3,'Housing Generation'!$A$3:$CK$90,88,FALSE)</f>
        <v>38</v>
      </c>
      <c r="J130" s="111">
        <f t="shared" si="21"/>
        <v>232</v>
      </c>
    </row>
    <row r="131" spans="2:10" ht="15" customHeight="1">
      <c r="B131" s="114">
        <v>2029</v>
      </c>
      <c r="C131" s="289" t="s">
        <v>97</v>
      </c>
      <c r="D131" s="112">
        <f>VLOOKUP($E$3,'Housing Generation'!$A$3:$DQ$90,91,FALSE)</f>
        <v>42</v>
      </c>
      <c r="E131" s="112">
        <f>VLOOKUP($E$3,'Housing Generation'!$A$3:$DQ$90,92,FALSE)</f>
        <v>42</v>
      </c>
      <c r="F131" s="112">
        <f>VLOOKUP($E$3,'Housing Generation'!$A$3:$DQ$90,93,FALSE)</f>
        <v>42</v>
      </c>
      <c r="G131" s="112">
        <f>VLOOKUP($E$3,'Housing Generation'!$A$3:$DQ$90,94,FALSE)</f>
        <v>42</v>
      </c>
      <c r="H131" s="112">
        <f>VLOOKUP($E$3,'Housing Generation'!$A$3:$DQ$90,95,FALSE)</f>
        <v>42</v>
      </c>
      <c r="I131" s="112">
        <f>VLOOKUP($E$3,'Housing Generation'!$A$3:$DQ$90,96,FALSE)</f>
        <v>41</v>
      </c>
      <c r="J131" s="111">
        <f t="shared" si="21"/>
        <v>251</v>
      </c>
    </row>
    <row r="132" spans="2:10" ht="15" customHeight="1">
      <c r="B132" s="114">
        <v>2030</v>
      </c>
      <c r="C132" s="289" t="s">
        <v>97</v>
      </c>
      <c r="D132" s="112">
        <f>VLOOKUP($E$3,'Housing Generation'!$A$3:$DQ$90,99,FALSE)</f>
        <v>45</v>
      </c>
      <c r="E132" s="112">
        <f>VLOOKUP($E$3,'Housing Generation'!$A$3:$DQ$90,100,FALSE)</f>
        <v>45</v>
      </c>
      <c r="F132" s="112">
        <f>VLOOKUP($E$3,'Housing Generation'!$A$3:$DQ$90,101,FALSE)</f>
        <v>45</v>
      </c>
      <c r="G132" s="112">
        <f>VLOOKUP($E$3,'Housing Generation'!$A$3:$DQ$90,102,FALSE)</f>
        <v>45</v>
      </c>
      <c r="H132" s="112">
        <f>VLOOKUP($E$3,'Housing Generation'!$A$3:$DQ$90,103,FALSE)</f>
        <v>45</v>
      </c>
      <c r="I132" s="112">
        <f>VLOOKUP($E$3,'Housing Generation'!$A$3:$DQ$90,104,FALSE)</f>
        <v>45</v>
      </c>
      <c r="J132" s="111">
        <f t="shared" si="21"/>
        <v>270</v>
      </c>
    </row>
    <row r="133" spans="2:10" ht="15" customHeight="1">
      <c r="B133" s="114">
        <v>2031</v>
      </c>
      <c r="C133" s="289" t="s">
        <v>97</v>
      </c>
      <c r="D133" s="112">
        <f>VLOOKUP($E$3,'Housing Generation'!$A$3:$DQ$90,107,FALSE)</f>
        <v>48</v>
      </c>
      <c r="E133" s="112">
        <f>VLOOKUP($E$3,'Housing Generation'!$A$3:$DQ$90,108,FALSE)</f>
        <v>48</v>
      </c>
      <c r="F133" s="112">
        <f>VLOOKUP($E$3,'Housing Generation'!$A$3:$DQ$90,109,FALSE)</f>
        <v>48</v>
      </c>
      <c r="G133" s="112">
        <f>VLOOKUP($E$3,'Housing Generation'!$A$3:$DQ$90,110,FALSE)</f>
        <v>48</v>
      </c>
      <c r="H133" s="112">
        <f>VLOOKUP($E$3,'Housing Generation'!$A$3:$DQ$90,111,FALSE)</f>
        <v>48</v>
      </c>
      <c r="I133" s="112">
        <f>VLOOKUP($E$3,'Housing Generation'!$A$3:$DQ$90,112,FALSE)</f>
        <v>48</v>
      </c>
      <c r="J133" s="111">
        <f t="shared" si="21"/>
        <v>288</v>
      </c>
    </row>
    <row r="134" spans="2:10" ht="15" customHeight="1">
      <c r="B134" s="114">
        <v>2032</v>
      </c>
      <c r="C134" s="289" t="s">
        <v>97</v>
      </c>
      <c r="D134" s="112">
        <f>VLOOKUP($E$3,'Housing Generation'!$A$3:$DQ$90,115,FALSE)</f>
        <v>52</v>
      </c>
      <c r="E134" s="112">
        <f>VLOOKUP($E$3,'Housing Generation'!$A$3:$DQ$90,116,FALSE)</f>
        <v>51</v>
      </c>
      <c r="F134" s="112">
        <f>VLOOKUP($E$3,'Housing Generation'!$A$3:$DQ$90,117,FALSE)</f>
        <v>51</v>
      </c>
      <c r="G134" s="112">
        <f>VLOOKUP($E$3,'Housing Generation'!$A$3:$DQ$90,118,FALSE)</f>
        <v>51</v>
      </c>
      <c r="H134" s="112">
        <f>VLOOKUP($E$3,'Housing Generation'!$A$3:$DQ$90,119,FALSE)</f>
        <v>51</v>
      </c>
      <c r="I134" s="112">
        <f>VLOOKUP($E$3,'Housing Generation'!$A$3:$DQ$90,120,FALSE)</f>
        <v>51</v>
      </c>
      <c r="J134" s="111">
        <f t="shared" si="21"/>
        <v>307</v>
      </c>
    </row>
    <row r="135" spans="2:10" ht="15" hidden="1"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Newcraighall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23.75595238095238</v>
      </c>
      <c r="D139" s="112">
        <f t="shared" ref="D139:I152" si="23">D121+D103</f>
        <v>27</v>
      </c>
      <c r="E139" s="112">
        <f t="shared" si="23"/>
        <v>31</v>
      </c>
      <c r="F139" s="112">
        <f t="shared" si="23"/>
        <v>31</v>
      </c>
      <c r="G139" s="112">
        <f t="shared" si="23"/>
        <v>30</v>
      </c>
      <c r="H139" s="112">
        <f t="shared" si="23"/>
        <v>30</v>
      </c>
      <c r="I139" s="112">
        <f t="shared" si="23"/>
        <v>21</v>
      </c>
      <c r="J139" s="111">
        <f t="shared" ref="J139:J147" si="24">SUM(C139:I139)</f>
        <v>193.75595238095238</v>
      </c>
    </row>
    <row r="140" spans="2:10" ht="15" customHeight="1">
      <c r="B140" s="114">
        <v>2020</v>
      </c>
      <c r="C140" s="113">
        <f t="shared" si="22"/>
        <v>25</v>
      </c>
      <c r="D140" s="112">
        <f t="shared" si="23"/>
        <v>25</v>
      </c>
      <c r="E140" s="112">
        <f t="shared" si="23"/>
        <v>30</v>
      </c>
      <c r="F140" s="112">
        <f t="shared" si="23"/>
        <v>36</v>
      </c>
      <c r="G140" s="112">
        <f t="shared" si="23"/>
        <v>34</v>
      </c>
      <c r="H140" s="112">
        <f t="shared" si="23"/>
        <v>32</v>
      </c>
      <c r="I140" s="112">
        <f t="shared" si="23"/>
        <v>31</v>
      </c>
      <c r="J140" s="111">
        <f t="shared" si="24"/>
        <v>213</v>
      </c>
    </row>
    <row r="141" spans="2:10" ht="15" customHeight="1">
      <c r="B141" s="114">
        <v>2021</v>
      </c>
      <c r="C141" s="113">
        <f t="shared" si="22"/>
        <v>25</v>
      </c>
      <c r="D141" s="112">
        <f t="shared" si="23"/>
        <v>27</v>
      </c>
      <c r="E141" s="112">
        <f t="shared" si="23"/>
        <v>27</v>
      </c>
      <c r="F141" s="112">
        <f t="shared" si="23"/>
        <v>34</v>
      </c>
      <c r="G141" s="112">
        <f t="shared" si="23"/>
        <v>38</v>
      </c>
      <c r="H141" s="112">
        <f t="shared" si="23"/>
        <v>35</v>
      </c>
      <c r="I141" s="112">
        <f t="shared" si="23"/>
        <v>32</v>
      </c>
      <c r="J141" s="111">
        <f t="shared" si="24"/>
        <v>218</v>
      </c>
    </row>
    <row r="142" spans="2:10" ht="15" customHeight="1">
      <c r="B142" s="114">
        <v>2022</v>
      </c>
      <c r="C142" s="113">
        <f t="shared" si="22"/>
        <v>25</v>
      </c>
      <c r="D142" s="112">
        <f t="shared" si="23"/>
        <v>27</v>
      </c>
      <c r="E142" s="112">
        <f t="shared" si="23"/>
        <v>29</v>
      </c>
      <c r="F142" s="112">
        <f t="shared" si="23"/>
        <v>31</v>
      </c>
      <c r="G142" s="112">
        <f t="shared" si="23"/>
        <v>37</v>
      </c>
      <c r="H142" s="112">
        <f t="shared" si="23"/>
        <v>39</v>
      </c>
      <c r="I142" s="112">
        <f t="shared" si="23"/>
        <v>35</v>
      </c>
      <c r="J142" s="111">
        <f t="shared" si="24"/>
        <v>223</v>
      </c>
    </row>
    <row r="143" spans="2:10" ht="15" customHeight="1">
      <c r="B143" s="114">
        <v>2023</v>
      </c>
      <c r="C143" s="113">
        <f t="shared" si="22"/>
        <v>30</v>
      </c>
      <c r="D143" s="112">
        <f t="shared" si="23"/>
        <v>27</v>
      </c>
      <c r="E143" s="112">
        <f t="shared" si="23"/>
        <v>32</v>
      </c>
      <c r="F143" s="112">
        <f t="shared" si="23"/>
        <v>35</v>
      </c>
      <c r="G143" s="112">
        <f t="shared" si="23"/>
        <v>35</v>
      </c>
      <c r="H143" s="112">
        <f t="shared" si="23"/>
        <v>40</v>
      </c>
      <c r="I143" s="112">
        <f t="shared" si="23"/>
        <v>42</v>
      </c>
      <c r="J143" s="111">
        <f t="shared" si="24"/>
        <v>241</v>
      </c>
    </row>
    <row r="144" spans="2:10" ht="15" customHeight="1">
      <c r="B144" s="114">
        <v>2024</v>
      </c>
      <c r="C144" s="113">
        <f t="shared" si="22"/>
        <v>46.81547619047619</v>
      </c>
      <c r="D144" s="112">
        <f t="shared" si="23"/>
        <v>32</v>
      </c>
      <c r="E144" s="112">
        <f t="shared" si="23"/>
        <v>32</v>
      </c>
      <c r="F144" s="112">
        <f t="shared" si="23"/>
        <v>37</v>
      </c>
      <c r="G144" s="112">
        <f t="shared" si="23"/>
        <v>39</v>
      </c>
      <c r="H144" s="112">
        <f t="shared" si="23"/>
        <v>39</v>
      </c>
      <c r="I144" s="112">
        <f t="shared" si="23"/>
        <v>43</v>
      </c>
      <c r="J144" s="111">
        <f t="shared" si="24"/>
        <v>268.8154761904762</v>
      </c>
    </row>
    <row r="145" spans="2:16" ht="15" customHeight="1">
      <c r="B145" s="114">
        <v>2025</v>
      </c>
      <c r="C145" s="113">
        <f t="shared" si="22"/>
        <v>50</v>
      </c>
      <c r="D145" s="112">
        <f t="shared" si="23"/>
        <v>50</v>
      </c>
      <c r="E145" s="112">
        <f t="shared" si="23"/>
        <v>36</v>
      </c>
      <c r="F145" s="112">
        <f t="shared" si="23"/>
        <v>37</v>
      </c>
      <c r="G145" s="112">
        <f t="shared" si="23"/>
        <v>41</v>
      </c>
      <c r="H145" s="112">
        <f t="shared" si="23"/>
        <v>42</v>
      </c>
      <c r="I145" s="112">
        <f t="shared" si="23"/>
        <v>42</v>
      </c>
      <c r="J145" s="111">
        <f t="shared" si="24"/>
        <v>298</v>
      </c>
    </row>
    <row r="146" spans="2:16" ht="15" customHeight="1">
      <c r="B146" s="114">
        <v>2026</v>
      </c>
      <c r="C146" s="113">
        <f t="shared" si="22"/>
        <v>50</v>
      </c>
      <c r="D146" s="112">
        <f t="shared" si="23"/>
        <v>54</v>
      </c>
      <c r="E146" s="112">
        <f t="shared" si="23"/>
        <v>54</v>
      </c>
      <c r="F146" s="112">
        <f t="shared" si="23"/>
        <v>41</v>
      </c>
      <c r="G146" s="112">
        <f t="shared" si="23"/>
        <v>41</v>
      </c>
      <c r="H146" s="112">
        <f t="shared" si="23"/>
        <v>45</v>
      </c>
      <c r="I146" s="112">
        <f t="shared" si="23"/>
        <v>46</v>
      </c>
      <c r="J146" s="111">
        <f t="shared" si="24"/>
        <v>331</v>
      </c>
    </row>
    <row r="147" spans="2:16" ht="15" customHeight="1">
      <c r="B147" s="114">
        <v>2027</v>
      </c>
      <c r="C147" s="113">
        <f t="shared" si="22"/>
        <v>50</v>
      </c>
      <c r="D147" s="112">
        <f t="shared" si="23"/>
        <v>54</v>
      </c>
      <c r="E147" s="112">
        <f t="shared" si="23"/>
        <v>58</v>
      </c>
      <c r="F147" s="112">
        <f t="shared" si="23"/>
        <v>61</v>
      </c>
      <c r="G147" s="112">
        <f t="shared" si="23"/>
        <v>46</v>
      </c>
      <c r="H147" s="112">
        <f t="shared" si="23"/>
        <v>46</v>
      </c>
      <c r="I147" s="112">
        <f t="shared" si="23"/>
        <v>49</v>
      </c>
      <c r="J147" s="111">
        <f t="shared" si="24"/>
        <v>364</v>
      </c>
    </row>
    <row r="148" spans="2:16" ht="15" customHeight="1">
      <c r="B148" s="114">
        <v>2028</v>
      </c>
      <c r="C148" s="113">
        <f t="shared" si="22"/>
        <v>50</v>
      </c>
      <c r="D148" s="112">
        <f t="shared" si="23"/>
        <v>54</v>
      </c>
      <c r="E148" s="112">
        <f t="shared" si="23"/>
        <v>59</v>
      </c>
      <c r="F148" s="112">
        <f t="shared" si="23"/>
        <v>65</v>
      </c>
      <c r="G148" s="112">
        <f t="shared" si="23"/>
        <v>66</v>
      </c>
      <c r="H148" s="112">
        <f t="shared" si="23"/>
        <v>50</v>
      </c>
      <c r="I148" s="112">
        <f t="shared" si="23"/>
        <v>49</v>
      </c>
      <c r="J148" s="111">
        <f t="shared" ref="J148:J152" si="25">SUM(C148:I148)</f>
        <v>393</v>
      </c>
    </row>
    <row r="149" spans="2:16" ht="15" customHeight="1">
      <c r="B149" s="114">
        <v>2029</v>
      </c>
      <c r="C149" s="113">
        <f t="shared" si="22"/>
        <v>60</v>
      </c>
      <c r="D149" s="112">
        <f t="shared" si="23"/>
        <v>54</v>
      </c>
      <c r="E149" s="112">
        <f t="shared" si="23"/>
        <v>57</v>
      </c>
      <c r="F149" s="112">
        <f t="shared" si="23"/>
        <v>63</v>
      </c>
      <c r="G149" s="112">
        <f t="shared" si="23"/>
        <v>68</v>
      </c>
      <c r="H149" s="112">
        <f t="shared" si="23"/>
        <v>68</v>
      </c>
      <c r="I149" s="112">
        <f t="shared" si="23"/>
        <v>52</v>
      </c>
      <c r="J149" s="111">
        <f t="shared" si="25"/>
        <v>422</v>
      </c>
    </row>
    <row r="150" spans="2:16" ht="15" customHeight="1">
      <c r="B150" s="114">
        <v>2030</v>
      </c>
      <c r="C150" s="113">
        <f t="shared" si="22"/>
        <v>60</v>
      </c>
      <c r="D150" s="112">
        <f t="shared" si="23"/>
        <v>65</v>
      </c>
      <c r="E150" s="112">
        <f t="shared" si="23"/>
        <v>57</v>
      </c>
      <c r="F150" s="112">
        <f t="shared" si="23"/>
        <v>61</v>
      </c>
      <c r="G150" s="112">
        <f t="shared" si="23"/>
        <v>66</v>
      </c>
      <c r="H150" s="112">
        <f t="shared" si="23"/>
        <v>70</v>
      </c>
      <c r="I150" s="112">
        <f t="shared" si="23"/>
        <v>69</v>
      </c>
      <c r="J150" s="111">
        <f t="shared" si="25"/>
        <v>448</v>
      </c>
    </row>
    <row r="151" spans="2:16" ht="15" customHeight="1">
      <c r="B151" s="114">
        <v>2031</v>
      </c>
      <c r="C151" s="113">
        <f t="shared" si="22"/>
        <v>60</v>
      </c>
      <c r="D151" s="112">
        <f t="shared" si="23"/>
        <v>64</v>
      </c>
      <c r="E151" s="112">
        <f t="shared" si="23"/>
        <v>68</v>
      </c>
      <c r="F151" s="112">
        <f t="shared" si="23"/>
        <v>61</v>
      </c>
      <c r="G151" s="112">
        <f t="shared" si="23"/>
        <v>64</v>
      </c>
      <c r="H151" s="112">
        <f t="shared" si="23"/>
        <v>68</v>
      </c>
      <c r="I151" s="112">
        <f t="shared" si="23"/>
        <v>71</v>
      </c>
      <c r="J151" s="111">
        <f t="shared" si="25"/>
        <v>456</v>
      </c>
    </row>
    <row r="152" spans="2:16" ht="15" customHeight="1">
      <c r="B152" s="114">
        <v>2032</v>
      </c>
      <c r="C152" s="113">
        <f t="shared" si="22"/>
        <v>66</v>
      </c>
      <c r="D152" s="112">
        <f t="shared" si="23"/>
        <v>65</v>
      </c>
      <c r="E152" s="112">
        <f t="shared" si="23"/>
        <v>67</v>
      </c>
      <c r="F152" s="112">
        <f t="shared" si="23"/>
        <v>72</v>
      </c>
      <c r="G152" s="112">
        <f t="shared" si="23"/>
        <v>64</v>
      </c>
      <c r="H152" s="112">
        <f t="shared" si="23"/>
        <v>66</v>
      </c>
      <c r="I152" s="112">
        <f t="shared" si="23"/>
        <v>70</v>
      </c>
      <c r="J152" s="111">
        <f t="shared" si="25"/>
        <v>470</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193.75595238095238</v>
      </c>
      <c r="D159" s="108">
        <f>J140</f>
        <v>213</v>
      </c>
      <c r="E159" s="108">
        <f>J141</f>
        <v>218</v>
      </c>
      <c r="F159" s="108">
        <f>J142</f>
        <v>223</v>
      </c>
      <c r="G159" s="108">
        <f>J143</f>
        <v>241</v>
      </c>
      <c r="H159" s="108">
        <f>J144</f>
        <v>268.8154761904762</v>
      </c>
      <c r="I159" s="108">
        <f>J145</f>
        <v>298</v>
      </c>
      <c r="J159" s="108">
        <f>J146</f>
        <v>331</v>
      </c>
      <c r="K159" s="108">
        <f>J147</f>
        <v>364</v>
      </c>
      <c r="L159" s="108">
        <f>J148</f>
        <v>393</v>
      </c>
      <c r="M159" s="108">
        <f>J149</f>
        <v>422</v>
      </c>
      <c r="N159" s="108">
        <f>J150</f>
        <v>448</v>
      </c>
      <c r="O159" s="108">
        <f>J151</f>
        <v>456</v>
      </c>
      <c r="P159" s="108">
        <f>J152</f>
        <v>470</v>
      </c>
    </row>
    <row r="160" spans="2:16" ht="15" customHeight="1">
      <c r="B160" s="107" t="s">
        <v>152</v>
      </c>
      <c r="C160" s="106">
        <f>VLOOKUP(C159,Capacity!$A$1:$C$645,2,TRUE)</f>
        <v>7</v>
      </c>
      <c r="D160" s="106">
        <f>VLOOKUP(D159,Capacity!$A$1:$C$645,2,TRUE)</f>
        <v>8</v>
      </c>
      <c r="E160" s="106">
        <f>VLOOKUP(E159,Capacity!$A$1:$C$645,2,TRUE)</f>
        <v>9</v>
      </c>
      <c r="F160" s="106">
        <f>VLOOKUP(F159,Capacity!$A$1:$C$645,2,TRUE)</f>
        <v>9</v>
      </c>
      <c r="G160" s="106">
        <f>VLOOKUP(G159,Capacity!$A$1:$C$645,2,TRUE)</f>
        <v>10</v>
      </c>
      <c r="H160" s="106">
        <f>VLOOKUP(H159,Capacity!$A$1:$C$645,2,TRUE)</f>
        <v>11</v>
      </c>
      <c r="I160" s="106">
        <f>VLOOKUP(I159,Capacity!$A$1:$C$645,2,TRUE)</f>
        <v>12</v>
      </c>
      <c r="J160" s="106">
        <f>VLOOKUP(J159,Capacity!$A$1:$C$645,2,TRUE)</f>
        <v>14</v>
      </c>
      <c r="K160" s="106">
        <f>VLOOKUP(K159,Capacity!$A$1:$C$645,2,TRUE)</f>
        <v>14</v>
      </c>
      <c r="L160" s="106">
        <f>VLOOKUP(L159,Capacity!$A$1:$C$645,2,TRUE)</f>
        <v>14</v>
      </c>
      <c r="M160" s="106">
        <f>VLOOKUP(M159,Capacity!$A$1:$C$645,2,TRUE)</f>
        <v>15</v>
      </c>
      <c r="N160" s="106">
        <f>VLOOKUP(N159,Capacity!$A$1:$C$645,2,TRUE)</f>
        <v>16</v>
      </c>
      <c r="O160" s="106">
        <f>VLOOKUP(O159,Capacity!$A$1:$C$645,2,TRUE)</f>
        <v>16</v>
      </c>
      <c r="P160" s="106">
        <f>VLOOKUP(P159,Capacity!$A$1:$C$645,2,TRUE)</f>
        <v>17</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13</v>
      </c>
      <c r="D169" s="97">
        <f>VLOOKUP($E$3,'Catchment Births'!$A$1:$U$90,11,FALSE)</f>
        <v>13</v>
      </c>
      <c r="E169" s="97">
        <f>VLOOKUP($E$3,'Catchment Births'!$A$1:$U$90,12,FALSE)</f>
        <v>17</v>
      </c>
      <c r="F169" s="97">
        <f>VLOOKUP($E$3,'Catchment Births'!$A$1:$U$90,13,FALSE)</f>
        <v>15</v>
      </c>
      <c r="G169" s="97">
        <f>VLOOKUP($E$3,'Catchment Births'!$A$1:$U$90,14,FALSE)</f>
        <v>7</v>
      </c>
      <c r="H169" s="97">
        <f>VLOOKUP($E$3,'Catchment Births'!$A$1:$U$90,15,FALSE)</f>
        <v>20</v>
      </c>
      <c r="I169" s="97">
        <f>VLOOKUP($E$3,'Catchment Births'!$A$1:$U$90,16,FALSE)</f>
        <v>19</v>
      </c>
      <c r="J169" s="97">
        <f>VLOOKUP($E$3,'Catchment Births'!$A$1:$U$90,17,FALSE)</f>
        <v>14</v>
      </c>
      <c r="K169" s="97">
        <f>VLOOKUP($E$3,'Catchment Births'!$A$1:$U$90,18,FALSE)</f>
        <v>14</v>
      </c>
      <c r="L169" s="97">
        <f>VLOOKUP($E$3,'Catchment Births'!$A$1:$U$90,19,FALSE)</f>
        <v>14</v>
      </c>
      <c r="M169" s="97">
        <f>VLOOKUP($E$3,'Catchment Births'!$A$1:$U$90,20,FALSE)</f>
        <v>9</v>
      </c>
      <c r="N169" s="97">
        <f>VLOOKUP($E$3,'Catchment Births'!$A$1:$U$90,21,FALSE)</f>
        <v>20</v>
      </c>
    </row>
    <row r="170" spans="2:14" ht="58.5" customHeight="1">
      <c r="B170" s="103" t="str">
        <f>"P1 "&amp;A35&amp;" Catchment Population (Actual)"</f>
        <v>P1 ND Catchment Population (Actual)</v>
      </c>
      <c r="C170" s="102" t="e">
        <v>#REF!</v>
      </c>
      <c r="D170" s="102">
        <v>8</v>
      </c>
      <c r="E170" s="102">
        <v>9</v>
      </c>
      <c r="F170" s="102">
        <v>13</v>
      </c>
      <c r="G170" s="102">
        <v>4</v>
      </c>
      <c r="H170" s="102">
        <v>15</v>
      </c>
      <c r="I170" s="102">
        <v>13</v>
      </c>
      <c r="J170" s="308">
        <f>VLOOKUP(E3,'Catchment Projections'!A1:BU92,42,FALSE)</f>
        <v>8</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13</v>
      </c>
      <c r="J172" s="96" t="e">
        <f>#REF!</f>
        <v>#REF!</v>
      </c>
      <c r="K172" s="96">
        <f>D51</f>
        <v>11</v>
      </c>
      <c r="L172" s="96">
        <f>E51</f>
        <v>24</v>
      </c>
      <c r="M172" s="96">
        <f>F51</f>
        <v>21</v>
      </c>
      <c r="N172" s="96">
        <f>G51</f>
        <v>28</v>
      </c>
    </row>
    <row r="173" spans="2:14" ht="12.75">
      <c r="B173" s="62"/>
      <c r="C173" s="62"/>
      <c r="D173" s="62"/>
      <c r="E173" s="62"/>
      <c r="F173" s="62"/>
      <c r="G173" s="62"/>
      <c r="H173" s="62"/>
      <c r="I173" s="62"/>
      <c r="J173" s="62"/>
      <c r="K173" s="62"/>
    </row>
    <row r="174" spans="2:14" ht="15" customHeight="1">
      <c r="B174" s="64" t="str">
        <f>"Table 5: "&amp;E3&amp;" Roll by Stage, 2002-2018"</f>
        <v>Table 5: Newcraighall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16</v>
      </c>
      <c r="D177" s="93">
        <v>20</v>
      </c>
      <c r="E177" s="93">
        <v>20</v>
      </c>
      <c r="F177" s="93">
        <v>24</v>
      </c>
      <c r="G177" s="93">
        <v>19</v>
      </c>
      <c r="H177" s="93">
        <v>17</v>
      </c>
      <c r="I177" s="93">
        <v>20</v>
      </c>
      <c r="J177" s="92">
        <v>136</v>
      </c>
      <c r="K177" s="62"/>
    </row>
    <row r="178" spans="2:11" ht="15" customHeight="1">
      <c r="B178" s="94">
        <v>2003</v>
      </c>
      <c r="C178" s="93">
        <v>19</v>
      </c>
      <c r="D178" s="93">
        <v>17</v>
      </c>
      <c r="E178" s="93">
        <v>19</v>
      </c>
      <c r="F178" s="93">
        <v>19</v>
      </c>
      <c r="G178" s="93">
        <v>21</v>
      </c>
      <c r="H178" s="93">
        <v>18</v>
      </c>
      <c r="I178" s="93">
        <v>15</v>
      </c>
      <c r="J178" s="92">
        <v>128</v>
      </c>
      <c r="K178" s="62"/>
    </row>
    <row r="179" spans="2:11" customFormat="1" ht="15" customHeight="1">
      <c r="B179" s="94">
        <v>2004</v>
      </c>
      <c r="C179" s="95">
        <v>17</v>
      </c>
      <c r="D179" s="95">
        <v>17</v>
      </c>
      <c r="E179" s="95">
        <v>17</v>
      </c>
      <c r="F179" s="95">
        <v>18</v>
      </c>
      <c r="G179" s="95">
        <v>19</v>
      </c>
      <c r="H179" s="95">
        <v>20</v>
      </c>
      <c r="I179" s="95">
        <v>17</v>
      </c>
      <c r="J179" s="92">
        <v>125</v>
      </c>
      <c r="K179" s="62"/>
    </row>
    <row r="180" spans="2:11" customFormat="1" ht="15" customHeight="1">
      <c r="B180" s="94">
        <v>2005</v>
      </c>
      <c r="C180" s="93">
        <v>22</v>
      </c>
      <c r="D180" s="93">
        <v>17</v>
      </c>
      <c r="E180" s="93">
        <v>17</v>
      </c>
      <c r="F180" s="93">
        <v>16</v>
      </c>
      <c r="G180" s="93">
        <v>17</v>
      </c>
      <c r="H180" s="93">
        <v>18</v>
      </c>
      <c r="I180" s="93">
        <v>20</v>
      </c>
      <c r="J180" s="92">
        <v>127</v>
      </c>
      <c r="K180" s="62"/>
    </row>
    <row r="181" spans="2:11" customFormat="1" ht="15" customHeight="1">
      <c r="B181" s="94">
        <v>2006</v>
      </c>
      <c r="C181" s="93">
        <v>10</v>
      </c>
      <c r="D181" s="93">
        <v>20</v>
      </c>
      <c r="E181" s="93">
        <v>17</v>
      </c>
      <c r="F181" s="93">
        <v>13</v>
      </c>
      <c r="G181" s="93">
        <v>13</v>
      </c>
      <c r="H181" s="93">
        <v>13</v>
      </c>
      <c r="I181" s="93">
        <v>16</v>
      </c>
      <c r="J181" s="92">
        <v>102</v>
      </c>
      <c r="K181" s="62"/>
    </row>
    <row r="182" spans="2:11" customFormat="1" ht="15" customHeight="1">
      <c r="B182" s="94">
        <v>2007</v>
      </c>
      <c r="C182" s="93">
        <v>20</v>
      </c>
      <c r="D182" s="93">
        <v>10</v>
      </c>
      <c r="E182" s="93">
        <v>23</v>
      </c>
      <c r="F182" s="93">
        <v>15</v>
      </c>
      <c r="G182" s="93">
        <v>14</v>
      </c>
      <c r="H182" s="93">
        <v>12</v>
      </c>
      <c r="I182" s="93">
        <v>13</v>
      </c>
      <c r="J182" s="92">
        <v>107</v>
      </c>
      <c r="K182" s="62"/>
    </row>
    <row r="183" spans="2:11" customFormat="1" ht="15" customHeight="1">
      <c r="B183" s="94">
        <v>2008</v>
      </c>
      <c r="C183" s="93">
        <v>14</v>
      </c>
      <c r="D183" s="93">
        <v>22</v>
      </c>
      <c r="E183" s="93">
        <v>9</v>
      </c>
      <c r="F183" s="93">
        <v>26</v>
      </c>
      <c r="G183" s="93">
        <v>19</v>
      </c>
      <c r="H183" s="93">
        <v>16</v>
      </c>
      <c r="I183" s="93">
        <v>13</v>
      </c>
      <c r="J183" s="92">
        <v>119</v>
      </c>
      <c r="K183" s="62"/>
    </row>
    <row r="184" spans="2:11" customFormat="1" ht="15" customHeight="1">
      <c r="B184" s="94">
        <v>2009</v>
      </c>
      <c r="C184" s="93">
        <v>15</v>
      </c>
      <c r="D184" s="93">
        <v>13</v>
      </c>
      <c r="E184" s="93">
        <v>22</v>
      </c>
      <c r="F184" s="93">
        <v>10</v>
      </c>
      <c r="G184" s="93">
        <v>26</v>
      </c>
      <c r="H184" s="93">
        <v>20</v>
      </c>
      <c r="I184" s="93">
        <v>16</v>
      </c>
      <c r="J184" s="94">
        <v>122</v>
      </c>
      <c r="K184" s="62"/>
    </row>
    <row r="185" spans="2:11" customFormat="1" ht="15" customHeight="1">
      <c r="B185" s="94">
        <v>2010</v>
      </c>
      <c r="C185" s="93">
        <v>17</v>
      </c>
      <c r="D185" s="93">
        <v>13</v>
      </c>
      <c r="E185" s="93">
        <v>13</v>
      </c>
      <c r="F185" s="93">
        <v>23</v>
      </c>
      <c r="G185" s="93">
        <v>11</v>
      </c>
      <c r="H185" s="93">
        <v>24</v>
      </c>
      <c r="I185" s="93">
        <v>23</v>
      </c>
      <c r="J185" s="92">
        <v>124</v>
      </c>
      <c r="K185" s="62"/>
    </row>
    <row r="186" spans="2:11" customFormat="1" ht="15" customHeight="1">
      <c r="B186" s="94">
        <v>2011</v>
      </c>
      <c r="C186" s="93">
        <v>13</v>
      </c>
      <c r="D186" s="93">
        <v>16</v>
      </c>
      <c r="E186" s="93">
        <v>13</v>
      </c>
      <c r="F186" s="93">
        <v>13</v>
      </c>
      <c r="G186" s="93">
        <v>22</v>
      </c>
      <c r="H186" s="93">
        <v>12</v>
      </c>
      <c r="I186" s="93">
        <v>24</v>
      </c>
      <c r="J186" s="92">
        <v>113</v>
      </c>
      <c r="K186" s="62"/>
    </row>
    <row r="187" spans="2:11" customFormat="1" ht="15" customHeight="1">
      <c r="B187" s="94">
        <v>2012</v>
      </c>
      <c r="C187" s="93">
        <v>25</v>
      </c>
      <c r="D187" s="93">
        <v>14</v>
      </c>
      <c r="E187" s="93">
        <v>18</v>
      </c>
      <c r="F187" s="93">
        <v>11</v>
      </c>
      <c r="G187" s="93">
        <v>16</v>
      </c>
      <c r="H187" s="93">
        <v>23</v>
      </c>
      <c r="I187" s="93">
        <v>10</v>
      </c>
      <c r="J187" s="92">
        <v>117</v>
      </c>
      <c r="K187" s="62"/>
    </row>
    <row r="188" spans="2:11" customFormat="1" ht="15" customHeight="1">
      <c r="B188" s="94">
        <v>2013</v>
      </c>
      <c r="C188" s="93">
        <v>13</v>
      </c>
      <c r="D188" s="93">
        <v>25</v>
      </c>
      <c r="E188" s="93">
        <v>12</v>
      </c>
      <c r="F188" s="93">
        <v>14</v>
      </c>
      <c r="G188" s="93">
        <v>9</v>
      </c>
      <c r="H188" s="93">
        <v>14</v>
      </c>
      <c r="I188" s="93">
        <v>22</v>
      </c>
      <c r="J188" s="94">
        <v>109</v>
      </c>
      <c r="K188" s="62"/>
    </row>
    <row r="189" spans="2:11" customFormat="1" ht="15" customHeight="1">
      <c r="B189" s="94">
        <v>2014</v>
      </c>
      <c r="C189" s="93">
        <v>27</v>
      </c>
      <c r="D189" s="93">
        <v>14</v>
      </c>
      <c r="E189" s="93">
        <v>26</v>
      </c>
      <c r="F189" s="93">
        <v>10</v>
      </c>
      <c r="G189" s="93">
        <v>13</v>
      </c>
      <c r="H189" s="93">
        <v>7</v>
      </c>
      <c r="I189" s="93">
        <v>13</v>
      </c>
      <c r="J189" s="92">
        <v>110</v>
      </c>
      <c r="K189" s="65"/>
    </row>
    <row r="190" spans="2:11" customFormat="1" ht="15" customHeight="1">
      <c r="B190" s="94">
        <v>2015</v>
      </c>
      <c r="C190" s="93">
        <v>24</v>
      </c>
      <c r="D190" s="93">
        <v>24</v>
      </c>
      <c r="E190" s="93">
        <v>16</v>
      </c>
      <c r="F190" s="93">
        <v>25</v>
      </c>
      <c r="G190" s="93">
        <v>10</v>
      </c>
      <c r="H190" s="93">
        <v>12</v>
      </c>
      <c r="I190" s="93">
        <v>5</v>
      </c>
      <c r="J190" s="92">
        <v>116</v>
      </c>
      <c r="K190" s="65"/>
    </row>
    <row r="191" spans="2:11" customFormat="1" ht="15" customHeight="1">
      <c r="B191" s="94">
        <v>2016</v>
      </c>
      <c r="C191" s="93">
        <v>24</v>
      </c>
      <c r="D191" s="93">
        <v>24</v>
      </c>
      <c r="E191" s="93">
        <v>24</v>
      </c>
      <c r="F191" s="93">
        <v>17</v>
      </c>
      <c r="G191" s="93">
        <v>24</v>
      </c>
      <c r="H191" s="93">
        <v>11</v>
      </c>
      <c r="I191" s="93">
        <v>13</v>
      </c>
      <c r="J191" s="92">
        <v>137</v>
      </c>
      <c r="K191" s="65"/>
    </row>
    <row r="192" spans="2:11" ht="15" customHeight="1">
      <c r="B192" s="94">
        <v>2017</v>
      </c>
      <c r="C192" s="93">
        <f>VLOOKUP($E$3,Rolls!A1:FA90,42,FALSE)</f>
        <v>25</v>
      </c>
      <c r="D192" s="93">
        <f>VLOOKUP($E$3,Rolls!A1:FA90,43,FALSE)</f>
        <v>26</v>
      </c>
      <c r="E192" s="93">
        <f>VLOOKUP($E$3,Rolls!A1:FA90,44,FALSE)</f>
        <v>24</v>
      </c>
      <c r="F192" s="93">
        <f>VLOOKUP($E$3,Rolls!A1:FA90,45,FALSE)</f>
        <v>26</v>
      </c>
      <c r="G192" s="93">
        <f>VLOOKUP($E$3,Rolls!A1:FA90,46,FALSE)</f>
        <v>17</v>
      </c>
      <c r="H192" s="93">
        <f>VLOOKUP($E$3,Rolls!A1:FA90,47,FALSE)</f>
        <v>23</v>
      </c>
      <c r="I192" s="93">
        <f>VLOOKUP($E$3,Rolls!A1:FA90,48,FALSE)</f>
        <v>10</v>
      </c>
      <c r="J192" s="92">
        <f>VLOOKUP($E$3,Rolls!A1:FA90,49,FALSE)</f>
        <v>151</v>
      </c>
      <c r="K192" s="65"/>
    </row>
    <row r="193" spans="2:11" ht="15" customHeight="1">
      <c r="B193" s="94">
        <v>2018</v>
      </c>
      <c r="C193" s="93">
        <f>VLOOKUP($E$3,Rolls!A1:FA90,50,FALSE)</f>
        <v>22</v>
      </c>
      <c r="D193" s="93">
        <f>VLOOKUP($E$3,Rolls!A1:FA90,51,FALSE)</f>
        <v>28</v>
      </c>
      <c r="E193" s="93">
        <f>VLOOKUP($E$3,Rolls!A1:FA90,52,FALSE)</f>
        <v>26</v>
      </c>
      <c r="F193" s="93">
        <f>VLOOKUP($E$3,Rolls!A1:FA90,53,FALSE)</f>
        <v>27</v>
      </c>
      <c r="G193" s="93">
        <f>VLOOKUP($E$3,Rolls!A1:FA90,54,FALSE)</f>
        <v>28</v>
      </c>
      <c r="H193" s="93">
        <f>VLOOKUP($E$3,Rolls!A1:FA90,55,FALSE)</f>
        <v>19</v>
      </c>
      <c r="I193" s="93">
        <f>VLOOKUP($E$3,Rolls!A1:FA90,56,FALSE)</f>
        <v>23</v>
      </c>
      <c r="J193" s="92">
        <f>VLOOKUP($E$3,Rolls!A1:FA90,57,FALSE)</f>
        <v>173</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52</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Niddrie Mill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434 Pupils (15 classes)</v>
      </c>
      <c r="G12" s="16"/>
      <c r="H12" s="16"/>
    </row>
    <row r="13" spans="2:10" ht="15" customHeight="1">
      <c r="C13" s="16"/>
      <c r="D13" s="16"/>
      <c r="E13" s="16"/>
      <c r="F13" s="16"/>
      <c r="G13" s="16"/>
      <c r="H13" s="16"/>
    </row>
    <row r="14" spans="2:10" ht="15" customHeight="1">
      <c r="B14" s="15" t="str">
        <f>"Figure 1: "&amp;E3&amp;" Roll, 2002-2015"</f>
        <v>Figure 1: Niddrie Mill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Niddrie Mill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67</v>
      </c>
      <c r="E49" s="108">
        <f>VLOOKUP($E$3,'Catchment Projections'!$A$1:$BU$90,46,FALSE)</f>
        <v>60</v>
      </c>
      <c r="F49" s="108">
        <f>VLOOKUP($E$3,'Catchment Projections'!$A$1:$BU$90,47,FALSE)</f>
        <v>62</v>
      </c>
      <c r="G49" s="108">
        <f>VLOOKUP($E$3,'Catchment Projections'!$A$1:$BU$90,48,FALSE)</f>
        <v>77</v>
      </c>
      <c r="H49" s="133">
        <f>VLOOKUP($E$3,'Catchment Projections'!$A$1:$BU$90,49,FALSE)</f>
        <v>67</v>
      </c>
      <c r="I49" s="133">
        <f>VLOOKUP($E$3,'Catchment Projections'!$A$1:$BU$90,50,FALSE)</f>
        <v>68</v>
      </c>
      <c r="J49" s="133">
        <f>VLOOKUP($E$3,'Catchment Projections'!$A$1:$BU$90,51,FALSE)</f>
        <v>69</v>
      </c>
      <c r="K49" s="133">
        <f>VLOOKUP($E$3,'Catchment Projections'!$A$1:$BU$90,52,FALSE)</f>
        <v>70</v>
      </c>
      <c r="L49" s="133">
        <f>VLOOKUP($E$3,'Catchment Projections'!$A$1:$BU$90,53,FALSE)</f>
        <v>70</v>
      </c>
      <c r="M49" s="133">
        <f>VLOOKUP($E$3,'Catchment Projections'!$A$1:$BU$90,54,FALSE)</f>
        <v>70</v>
      </c>
      <c r="N49" s="133">
        <f>VLOOKUP($E$3,'Catchment Projections'!$A$1:$BU$90,55,FALSE)</f>
        <v>70</v>
      </c>
      <c r="O49" s="133">
        <f>VLOOKUP($E$3,'Catchment Projections'!$A$1:$BU$90,56,FALSE)</f>
        <v>71</v>
      </c>
      <c r="P49" s="133">
        <f>VLOOKUP($E$3,'Catchment Projections'!$A$1:$BU$90,57,FALSE)</f>
        <v>71</v>
      </c>
      <c r="Q49" s="133">
        <f>VLOOKUP($E$3,'Catchment Projections'!$A$1:$BU$90,58,FALSE)</f>
        <v>71</v>
      </c>
    </row>
    <row r="50" spans="2:17" ht="15" customHeight="1" thickBot="1">
      <c r="B50" s="410" t="s">
        <v>141</v>
      </c>
      <c r="C50" s="411"/>
      <c r="D50" s="286">
        <f>VLOOKUP(E3,'Housing Generation'!$A$3:$DQ$90,10,FALSE)</f>
        <v>4</v>
      </c>
      <c r="E50" s="286">
        <f>VLOOKUP(E3,'Housing Generation'!$A$3:$DQ$90,18,FALSE)</f>
        <v>7</v>
      </c>
      <c r="F50" s="286">
        <f>VLOOKUP(E3,'Housing Generation'!$A$3:$DQ$90,26,FALSE)</f>
        <v>8</v>
      </c>
      <c r="G50" s="243">
        <f>VLOOKUP(E3,'Housing Generation'!$A$3:$DQ$90,34,FALSE)</f>
        <v>9</v>
      </c>
      <c r="H50" s="133">
        <f>VLOOKUP(E3,'Housing Generation'!$A$3:$DQ$90,42,FALSE)</f>
        <v>9</v>
      </c>
      <c r="I50" s="133">
        <f>VLOOKUP(E3,'Housing Generation'!$A$3:$DQ$90,50,FALSE)</f>
        <v>9</v>
      </c>
      <c r="J50" s="133">
        <f>VLOOKUP(E3,'Housing Generation'!$A$3:$CK$90,58,FALSE)</f>
        <v>9</v>
      </c>
      <c r="K50" s="133">
        <f>VLOOKUP(E3,'Housing Generation'!$A$3:$CK$90,66,FALSE)</f>
        <v>9</v>
      </c>
      <c r="L50" s="133">
        <f>VLOOKUP(E3,'Housing Generation'!$A$3:$DQ$90,74,FALSE)</f>
        <v>9</v>
      </c>
      <c r="M50" s="133">
        <f>VLOOKUP(E3,'Housing Generation'!$A$3:$DQ$90,82,FALSE)</f>
        <v>9</v>
      </c>
      <c r="N50" s="133">
        <f>VLOOKUP(E3,'Housing Generation'!$A$3:$DQ$90,90,FALSE)</f>
        <v>9</v>
      </c>
      <c r="O50" s="133">
        <f>VLOOKUP(E3,'Housing Generation'!$A$3:$DQ$90,98,FALSE)</f>
        <v>9</v>
      </c>
      <c r="P50" s="133">
        <f>VLOOKUP(E3,'Housing Generation'!$A$3:$DQ$90,106,FALSE)</f>
        <v>9</v>
      </c>
      <c r="Q50" s="133">
        <f>VLOOKUP(E3,'Housing Generation'!$A$3:$DQ$90,114,FALSE)</f>
        <v>9</v>
      </c>
    </row>
    <row r="51" spans="2:17" ht="15" customHeight="1" thickTop="1">
      <c r="B51" s="421" t="s">
        <v>130</v>
      </c>
      <c r="C51" s="422"/>
      <c r="D51" s="47">
        <f t="shared" ref="D51:Q51" si="0">SUM(D49:D50)</f>
        <v>71</v>
      </c>
      <c r="E51" s="47">
        <f t="shared" si="0"/>
        <v>67</v>
      </c>
      <c r="F51" s="80">
        <f t="shared" si="0"/>
        <v>70</v>
      </c>
      <c r="G51" s="244">
        <f t="shared" si="0"/>
        <v>86</v>
      </c>
      <c r="H51" s="71">
        <f t="shared" si="0"/>
        <v>76</v>
      </c>
      <c r="I51" s="71">
        <f t="shared" si="0"/>
        <v>77</v>
      </c>
      <c r="J51" s="71">
        <f t="shared" si="0"/>
        <v>78</v>
      </c>
      <c r="K51" s="71">
        <f t="shared" si="0"/>
        <v>79</v>
      </c>
      <c r="L51" s="71">
        <f t="shared" si="0"/>
        <v>79</v>
      </c>
      <c r="M51" s="71">
        <f t="shared" si="0"/>
        <v>79</v>
      </c>
      <c r="N51" s="71">
        <f t="shared" si="0"/>
        <v>79</v>
      </c>
      <c r="O51" s="71">
        <f t="shared" si="0"/>
        <v>80</v>
      </c>
      <c r="P51" s="71">
        <f t="shared" si="0"/>
        <v>80</v>
      </c>
      <c r="Q51" s="71">
        <f t="shared" si="0"/>
        <v>80</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72</v>
      </c>
      <c r="D60" s="358">
        <f>VLOOKUP($E$3,'Catchment Projections'!$A$1:$BZ$90,74,FALSE)</f>
        <v>40</v>
      </c>
      <c r="E60" s="303">
        <f>D60/C60</f>
        <v>0.55555555555555558</v>
      </c>
      <c r="G60" s="132">
        <v>2014</v>
      </c>
      <c r="H60" s="395">
        <f>VLOOKUP($G$60,$B$177:$C$215, 2, FALSE)</f>
        <v>53</v>
      </c>
      <c r="I60" s="120">
        <f>H60-D60</f>
        <v>13</v>
      </c>
      <c r="J60" s="121">
        <f>I60/H60</f>
        <v>0.24528301886792453</v>
      </c>
    </row>
    <row r="61" spans="2:17" ht="15" customHeight="1">
      <c r="B61" s="132">
        <v>2015</v>
      </c>
      <c r="C61" s="359">
        <f>VLOOKUP($E$3,'Catchment Projections'!$A$1:$BZ$90,41,FALSE)</f>
        <v>62</v>
      </c>
      <c r="D61" s="358">
        <f>VLOOKUP($E$3,'Catchment Projections'!$A$1:$BZ$90,75,FALSE)</f>
        <v>30</v>
      </c>
      <c r="E61" s="303">
        <f>D61/C61</f>
        <v>0.4838709677419355</v>
      </c>
      <c r="G61" s="132">
        <v>2015</v>
      </c>
      <c r="H61" s="395">
        <f>VLOOKUP($G$61,$B$177:$C$215, 2, FALSE)</f>
        <v>42</v>
      </c>
      <c r="I61" s="120">
        <f>H61-D61</f>
        <v>12</v>
      </c>
      <c r="J61" s="121">
        <f>I61/H61</f>
        <v>0.2857142857142857</v>
      </c>
    </row>
    <row r="62" spans="2:17" ht="15" customHeight="1">
      <c r="B62" s="131">
        <v>2016</v>
      </c>
      <c r="C62" s="359">
        <f>VLOOKUP($E$3,'Catchment Projections'!$A$1:$BZ$90,42,FALSE)</f>
        <v>68</v>
      </c>
      <c r="D62" s="358">
        <f>VLOOKUP($E$3,'Catchment Projections'!$A$1:$BZ$90,76,FALSE)</f>
        <v>42</v>
      </c>
      <c r="E62" s="57">
        <f>D62/C62</f>
        <v>0.61764705882352944</v>
      </c>
      <c r="G62" s="131">
        <v>2016</v>
      </c>
      <c r="H62" s="395">
        <f>VLOOKUP($G$62,$B$177:$C$215, 2, FALSE)</f>
        <v>52</v>
      </c>
      <c r="I62" s="120">
        <f>H62-D62</f>
        <v>10</v>
      </c>
      <c r="J62" s="121">
        <f>I62/H62</f>
        <v>0.19230769230769232</v>
      </c>
    </row>
    <row r="63" spans="2:17" ht="15" customHeight="1">
      <c r="B63" s="114">
        <v>2017</v>
      </c>
      <c r="C63" s="359">
        <f>VLOOKUP($E$3,'Catchment Projections'!$A$1:$BZ$90,43,FALSE)</f>
        <v>63</v>
      </c>
      <c r="D63" s="358">
        <f>VLOOKUP($E$3,'Catchment Projections'!$A$1:$BZ$90,77,FALSE)</f>
        <v>33</v>
      </c>
      <c r="E63" s="304">
        <f>D63/C63</f>
        <v>0.52380952380952384</v>
      </c>
      <c r="G63" s="114">
        <v>2017</v>
      </c>
      <c r="H63" s="395">
        <f>VLOOKUP($G$63,$B$177:$C$215, 2, FALSE)</f>
        <v>38</v>
      </c>
      <c r="I63" s="120">
        <f>H63-D63</f>
        <v>5</v>
      </c>
      <c r="J63" s="121">
        <f>I63/H63</f>
        <v>0.13157894736842105</v>
      </c>
    </row>
    <row r="64" spans="2:17" ht="15" customHeight="1">
      <c r="B64" s="114">
        <v>2018</v>
      </c>
      <c r="C64" s="359">
        <f>VLOOKUP($E$3,'Catchment Projections'!$A$1:$BZ$90,44,FALSE)</f>
        <v>64</v>
      </c>
      <c r="D64" s="358">
        <f>VLOOKUP($E$3,'Catchment Projections'!$A$1:$BZ$90,78,FALSE)</f>
        <v>38</v>
      </c>
      <c r="E64" s="305">
        <f>D64/C64</f>
        <v>0.59375</v>
      </c>
      <c r="G64" s="114">
        <v>2018</v>
      </c>
      <c r="H64" s="395">
        <f>VLOOKUP($G$64,$B$177:$C$215, 2, FALSE)</f>
        <v>50</v>
      </c>
      <c r="I64" s="120">
        <f>H64-D64</f>
        <v>12</v>
      </c>
      <c r="J64" s="121">
        <f>I64/H64</f>
        <v>0.24</v>
      </c>
    </row>
    <row r="65" spans="2:10" ht="15" customHeight="1">
      <c r="B65" s="412" t="s">
        <v>136</v>
      </c>
      <c r="C65" s="413"/>
      <c r="D65" s="414"/>
      <c r="E65" s="137">
        <f>IF((AVERAGE(E62:E64))="#DIV/0!","n/a",(AVERAGE(E62:E64)))</f>
        <v>0.57840219421101768</v>
      </c>
      <c r="G65" s="415" t="s">
        <v>137</v>
      </c>
      <c r="H65" s="416"/>
      <c r="I65" s="138">
        <f>MEDIAN(I60:I64)</f>
        <v>12</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71</v>
      </c>
      <c r="D70" s="408"/>
      <c r="E70" s="122">
        <f>E65</f>
        <v>0.57840219421101768</v>
      </c>
      <c r="F70" s="120">
        <f t="shared" ref="F70:F83" si="1">C70*$E$65</f>
        <v>41.066555788982257</v>
      </c>
      <c r="G70" s="118">
        <f>IF(F70&lt;26,25,IF(F70&gt;135,140,IF(F70&gt;130,135,IF(F70&gt;125,130,IF(F70&gt;120,125,IF(F70&gt;115,120,IF(F70&gt;110,115,IF(F70&gt;105,110,IF(F70&gt;100,105,IF(F70&gt;99,100,IF(F70&gt;90,99,IF(F70&gt;75,90,IF(F70&gt;72,75,IF(F70&gt;66,72,IF(F70&gt;60,66,IF(F70&gt;50,60,IF(F70&gt;30,50,IF(F70&gt;25,30,0))))))))))))))))))</f>
        <v>50</v>
      </c>
      <c r="H70" s="119">
        <f t="shared" ref="H70:H83" si="2">G70-F70</f>
        <v>8.9334442110177434</v>
      </c>
      <c r="I70" s="118" t="str">
        <f>IF(I$65&lt;H70, "NO", "YES")</f>
        <v>YES</v>
      </c>
      <c r="J70" s="117">
        <f t="shared" ref="J70:J83" si="3">IF(I70="YES",G70,(MIN((SUM(F70,$I$65)),G70)))</f>
        <v>50</v>
      </c>
    </row>
    <row r="71" spans="2:10" ht="15" customHeight="1">
      <c r="B71" s="114">
        <v>2020</v>
      </c>
      <c r="C71" s="433">
        <f>E51</f>
        <v>67</v>
      </c>
      <c r="D71" s="408"/>
      <c r="E71" s="121">
        <f>E65</f>
        <v>0.57840219421101768</v>
      </c>
      <c r="F71" s="120">
        <f t="shared" si="1"/>
        <v>38.752947012138186</v>
      </c>
      <c r="G71" s="118">
        <f t="shared" ref="G71:G83" si="4">IF(F71&lt;26,25,IF(F71&gt;135,140,IF(F71&gt;130,135,IF(F71&gt;125,130,IF(F71&gt;120,125,IF(F71&gt;115,120,IF(F71&gt;110,115,IF(F71&gt;105,110,IF(F71&gt;100,105,IF(F71&gt;99,100,IF(F71&gt;90,99,IF(F71&gt;75,90,IF(F71&gt;72,75,IF(F71&gt;66,72,IF(F71&gt;60,66,IF(F71&gt;50,60,IF(F71&gt;30,50,IF(F71&gt;25,30,0))))))))))))))))))</f>
        <v>50</v>
      </c>
      <c r="H71" s="119">
        <f t="shared" si="2"/>
        <v>11.247052987861814</v>
      </c>
      <c r="I71" s="118" t="str">
        <f t="shared" ref="I71:I83" si="5">IF(I$65&lt;H71, "NO", "YES")</f>
        <v>YES</v>
      </c>
      <c r="J71" s="117">
        <f t="shared" si="3"/>
        <v>50</v>
      </c>
    </row>
    <row r="72" spans="2:10" ht="15" customHeight="1">
      <c r="B72" s="114">
        <v>2021</v>
      </c>
      <c r="C72" s="430">
        <f>F51</f>
        <v>70</v>
      </c>
      <c r="D72" s="431"/>
      <c r="E72" s="121">
        <f>E65</f>
        <v>0.57840219421101768</v>
      </c>
      <c r="F72" s="120">
        <f t="shared" si="1"/>
        <v>40.488153594771241</v>
      </c>
      <c r="G72" s="118">
        <f t="shared" si="4"/>
        <v>50</v>
      </c>
      <c r="H72" s="119">
        <f t="shared" si="2"/>
        <v>9.5118464052287592</v>
      </c>
      <c r="I72" s="118" t="str">
        <f t="shared" si="5"/>
        <v>YES</v>
      </c>
      <c r="J72" s="117">
        <f t="shared" si="3"/>
        <v>50</v>
      </c>
    </row>
    <row r="73" spans="2:10" ht="15" customHeight="1">
      <c r="B73" s="114">
        <v>2022</v>
      </c>
      <c r="C73" s="430">
        <f>G51</f>
        <v>86</v>
      </c>
      <c r="D73" s="431"/>
      <c r="E73" s="121">
        <f>E65</f>
        <v>0.57840219421101768</v>
      </c>
      <c r="F73" s="120">
        <f t="shared" si="1"/>
        <v>49.742588702147522</v>
      </c>
      <c r="G73" s="118">
        <f t="shared" si="4"/>
        <v>50</v>
      </c>
      <c r="H73" s="119">
        <f t="shared" si="2"/>
        <v>0.25741129785247807</v>
      </c>
      <c r="I73" s="118" t="str">
        <f t="shared" si="5"/>
        <v>YES</v>
      </c>
      <c r="J73" s="117">
        <f t="shared" si="3"/>
        <v>50</v>
      </c>
    </row>
    <row r="74" spans="2:10" ht="15" customHeight="1">
      <c r="B74" s="114">
        <v>2023</v>
      </c>
      <c r="C74" s="430">
        <f>H51</f>
        <v>76</v>
      </c>
      <c r="D74" s="431"/>
      <c r="E74" s="121">
        <f>E65</f>
        <v>0.57840219421101768</v>
      </c>
      <c r="F74" s="120">
        <f t="shared" si="1"/>
        <v>43.958566760037343</v>
      </c>
      <c r="G74" s="118">
        <f t="shared" si="4"/>
        <v>50</v>
      </c>
      <c r="H74" s="119">
        <f t="shared" si="2"/>
        <v>6.0414332399626574</v>
      </c>
      <c r="I74" s="118" t="str">
        <f t="shared" si="5"/>
        <v>YES</v>
      </c>
      <c r="J74" s="117">
        <f t="shared" si="3"/>
        <v>50</v>
      </c>
    </row>
    <row r="75" spans="2:10" ht="15" customHeight="1">
      <c r="B75" s="114">
        <v>2024</v>
      </c>
      <c r="C75" s="430">
        <f>I51</f>
        <v>77</v>
      </c>
      <c r="D75" s="431"/>
      <c r="E75" s="121">
        <f>E65</f>
        <v>0.57840219421101768</v>
      </c>
      <c r="F75" s="120">
        <f t="shared" si="1"/>
        <v>44.536968954248358</v>
      </c>
      <c r="G75" s="118">
        <f t="shared" si="4"/>
        <v>50</v>
      </c>
      <c r="H75" s="119">
        <f t="shared" si="2"/>
        <v>5.4630310457516416</v>
      </c>
      <c r="I75" s="118" t="str">
        <f t="shared" si="5"/>
        <v>YES</v>
      </c>
      <c r="J75" s="117">
        <f t="shared" si="3"/>
        <v>50</v>
      </c>
    </row>
    <row r="76" spans="2:10" ht="15" customHeight="1">
      <c r="B76" s="114">
        <v>2025</v>
      </c>
      <c r="C76" s="430">
        <f>J51</f>
        <v>78</v>
      </c>
      <c r="D76" s="431"/>
      <c r="E76" s="121">
        <f>E65</f>
        <v>0.57840219421101768</v>
      </c>
      <c r="F76" s="120">
        <f t="shared" si="1"/>
        <v>45.115371148459381</v>
      </c>
      <c r="G76" s="118">
        <f t="shared" si="4"/>
        <v>50</v>
      </c>
      <c r="H76" s="119">
        <f t="shared" si="2"/>
        <v>4.8846288515406187</v>
      </c>
      <c r="I76" s="118" t="str">
        <f t="shared" si="5"/>
        <v>YES</v>
      </c>
      <c r="J76" s="117">
        <f t="shared" si="3"/>
        <v>50</v>
      </c>
    </row>
    <row r="77" spans="2:10" ht="15" customHeight="1">
      <c r="B77" s="114">
        <v>2026</v>
      </c>
      <c r="C77" s="430">
        <f>K51</f>
        <v>79</v>
      </c>
      <c r="D77" s="431"/>
      <c r="E77" s="121">
        <f>E65</f>
        <v>0.57840219421101768</v>
      </c>
      <c r="F77" s="120">
        <f t="shared" si="1"/>
        <v>45.693773342670397</v>
      </c>
      <c r="G77" s="118">
        <f t="shared" si="4"/>
        <v>50</v>
      </c>
      <c r="H77" s="119">
        <f t="shared" si="2"/>
        <v>4.3062266573296029</v>
      </c>
      <c r="I77" s="118" t="str">
        <f t="shared" si="5"/>
        <v>YES</v>
      </c>
      <c r="J77" s="117">
        <f t="shared" si="3"/>
        <v>50</v>
      </c>
    </row>
    <row r="78" spans="2:10" ht="15" customHeight="1">
      <c r="B78" s="114">
        <v>2027</v>
      </c>
      <c r="C78" s="430">
        <f>L51</f>
        <v>79</v>
      </c>
      <c r="D78" s="431"/>
      <c r="E78" s="121">
        <f>E65</f>
        <v>0.57840219421101768</v>
      </c>
      <c r="F78" s="120">
        <f t="shared" si="1"/>
        <v>45.693773342670397</v>
      </c>
      <c r="G78" s="118">
        <f t="shared" si="4"/>
        <v>50</v>
      </c>
      <c r="H78" s="119">
        <f t="shared" si="2"/>
        <v>4.3062266573296029</v>
      </c>
      <c r="I78" s="118" t="str">
        <f t="shared" si="5"/>
        <v>YES</v>
      </c>
      <c r="J78" s="117">
        <f t="shared" si="3"/>
        <v>50</v>
      </c>
    </row>
    <row r="79" spans="2:10" ht="15" customHeight="1">
      <c r="B79" s="114">
        <v>2028</v>
      </c>
      <c r="C79" s="430">
        <f>M51</f>
        <v>79</v>
      </c>
      <c r="D79" s="431"/>
      <c r="E79" s="121">
        <f t="shared" ref="E79:E83" si="6">$E$65</f>
        <v>0.57840219421101768</v>
      </c>
      <c r="F79" s="120">
        <f t="shared" si="1"/>
        <v>45.693773342670397</v>
      </c>
      <c r="G79" s="118">
        <f t="shared" si="4"/>
        <v>50</v>
      </c>
      <c r="H79" s="119">
        <f t="shared" si="2"/>
        <v>4.3062266573296029</v>
      </c>
      <c r="I79" s="118" t="str">
        <f t="shared" si="5"/>
        <v>YES</v>
      </c>
      <c r="J79" s="117">
        <f t="shared" si="3"/>
        <v>50</v>
      </c>
    </row>
    <row r="80" spans="2:10" ht="15" customHeight="1">
      <c r="B80" s="114">
        <v>2029</v>
      </c>
      <c r="C80" s="430">
        <f>N51</f>
        <v>79</v>
      </c>
      <c r="D80" s="431"/>
      <c r="E80" s="121">
        <f t="shared" si="6"/>
        <v>0.57840219421101768</v>
      </c>
      <c r="F80" s="120">
        <f t="shared" si="1"/>
        <v>45.693773342670397</v>
      </c>
      <c r="G80" s="118">
        <f t="shared" si="4"/>
        <v>50</v>
      </c>
      <c r="H80" s="119">
        <f t="shared" si="2"/>
        <v>4.3062266573296029</v>
      </c>
      <c r="I80" s="118" t="str">
        <f t="shared" si="5"/>
        <v>YES</v>
      </c>
      <c r="J80" s="117">
        <f t="shared" si="3"/>
        <v>50</v>
      </c>
    </row>
    <row r="81" spans="2:10" ht="15" customHeight="1">
      <c r="B81" s="114">
        <v>2030</v>
      </c>
      <c r="C81" s="430">
        <f>O51</f>
        <v>80</v>
      </c>
      <c r="D81" s="431"/>
      <c r="E81" s="121">
        <f t="shared" si="6"/>
        <v>0.57840219421101768</v>
      </c>
      <c r="F81" s="120">
        <f t="shared" si="1"/>
        <v>46.272175536881413</v>
      </c>
      <c r="G81" s="118">
        <f t="shared" si="4"/>
        <v>50</v>
      </c>
      <c r="H81" s="119">
        <f t="shared" si="2"/>
        <v>3.7278244631185871</v>
      </c>
      <c r="I81" s="118" t="str">
        <f t="shared" si="5"/>
        <v>YES</v>
      </c>
      <c r="J81" s="117">
        <f t="shared" si="3"/>
        <v>50</v>
      </c>
    </row>
    <row r="82" spans="2:10" ht="15" customHeight="1">
      <c r="B82" s="114">
        <v>2031</v>
      </c>
      <c r="C82" s="430">
        <f>P51</f>
        <v>80</v>
      </c>
      <c r="D82" s="431"/>
      <c r="E82" s="121">
        <f t="shared" si="6"/>
        <v>0.57840219421101768</v>
      </c>
      <c r="F82" s="120">
        <f t="shared" si="1"/>
        <v>46.272175536881413</v>
      </c>
      <c r="G82" s="118">
        <f t="shared" si="4"/>
        <v>50</v>
      </c>
      <c r="H82" s="119">
        <f t="shared" si="2"/>
        <v>3.7278244631185871</v>
      </c>
      <c r="I82" s="118" t="str">
        <f t="shared" si="5"/>
        <v>YES</v>
      </c>
      <c r="J82" s="117">
        <f t="shared" si="3"/>
        <v>50</v>
      </c>
    </row>
    <row r="83" spans="2:10" ht="15" customHeight="1">
      <c r="B83" s="114">
        <v>2032</v>
      </c>
      <c r="C83" s="430">
        <f>Q51</f>
        <v>80</v>
      </c>
      <c r="D83" s="431"/>
      <c r="E83" s="121">
        <f t="shared" si="6"/>
        <v>0.57840219421101768</v>
      </c>
      <c r="F83" s="120">
        <f t="shared" si="1"/>
        <v>46.272175536881413</v>
      </c>
      <c r="G83" s="118">
        <f t="shared" si="4"/>
        <v>50</v>
      </c>
      <c r="H83" s="119">
        <f t="shared" si="2"/>
        <v>3.7278244631185871</v>
      </c>
      <c r="I83" s="118" t="str">
        <f t="shared" si="5"/>
        <v>YES</v>
      </c>
      <c r="J83" s="117">
        <f t="shared" si="3"/>
        <v>50</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Niddrie Mill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44</v>
      </c>
      <c r="D91" s="112">
        <f t="shared" ref="D91:J91" si="7">D188</f>
        <v>39</v>
      </c>
      <c r="E91" s="112">
        <f t="shared" si="7"/>
        <v>47</v>
      </c>
      <c r="F91" s="112">
        <f t="shared" si="7"/>
        <v>39</v>
      </c>
      <c r="G91" s="112">
        <f t="shared" si="7"/>
        <v>38</v>
      </c>
      <c r="H91" s="112">
        <f t="shared" si="7"/>
        <v>34</v>
      </c>
      <c r="I91" s="112">
        <f t="shared" si="7"/>
        <v>29</v>
      </c>
      <c r="J91" s="213">
        <f t="shared" si="7"/>
        <v>270</v>
      </c>
    </row>
    <row r="92" spans="2:10" ht="15" customHeight="1">
      <c r="B92" s="114">
        <v>2014</v>
      </c>
      <c r="C92" s="112">
        <f>C189</f>
        <v>53</v>
      </c>
      <c r="D92" s="112">
        <f t="shared" ref="D92:J92" si="8">D189</f>
        <v>43</v>
      </c>
      <c r="E92" s="112">
        <f t="shared" si="8"/>
        <v>40</v>
      </c>
      <c r="F92" s="112">
        <f t="shared" si="8"/>
        <v>45</v>
      </c>
      <c r="G92" s="112">
        <f t="shared" si="8"/>
        <v>36</v>
      </c>
      <c r="H92" s="112">
        <f t="shared" si="8"/>
        <v>37</v>
      </c>
      <c r="I92" s="112">
        <f t="shared" si="8"/>
        <v>30</v>
      </c>
      <c r="J92" s="213">
        <f t="shared" si="8"/>
        <v>284</v>
      </c>
    </row>
    <row r="93" spans="2:10" ht="15" customHeight="1">
      <c r="B93" s="114">
        <v>2015</v>
      </c>
      <c r="C93" s="112">
        <f>C190</f>
        <v>42</v>
      </c>
      <c r="D93" s="112">
        <f t="shared" ref="D93:J93" si="9">D190</f>
        <v>50</v>
      </c>
      <c r="E93" s="112">
        <f t="shared" si="9"/>
        <v>45</v>
      </c>
      <c r="F93" s="112">
        <f t="shared" si="9"/>
        <v>39</v>
      </c>
      <c r="G93" s="112">
        <f t="shared" si="9"/>
        <v>42</v>
      </c>
      <c r="H93" s="112">
        <f t="shared" si="9"/>
        <v>32</v>
      </c>
      <c r="I93" s="112">
        <f t="shared" si="9"/>
        <v>34</v>
      </c>
      <c r="J93" s="213">
        <f t="shared" si="9"/>
        <v>284</v>
      </c>
    </row>
    <row r="94" spans="2:10" ht="15" customHeight="1">
      <c r="B94" s="114">
        <v>2016</v>
      </c>
      <c r="C94" s="112">
        <f>C191</f>
        <v>52</v>
      </c>
      <c r="D94" s="112">
        <f t="shared" ref="D94:J94" si="10">D191</f>
        <v>44</v>
      </c>
      <c r="E94" s="112">
        <f t="shared" si="10"/>
        <v>45</v>
      </c>
      <c r="F94" s="112">
        <f t="shared" si="10"/>
        <v>40</v>
      </c>
      <c r="G94" s="112">
        <f t="shared" si="10"/>
        <v>41</v>
      </c>
      <c r="H94" s="112">
        <f t="shared" si="10"/>
        <v>39</v>
      </c>
      <c r="I94" s="112">
        <f t="shared" si="10"/>
        <v>26</v>
      </c>
      <c r="J94" s="213">
        <f t="shared" si="10"/>
        <v>287</v>
      </c>
    </row>
    <row r="95" spans="2:10" ht="15" customHeight="1">
      <c r="B95" s="114">
        <v>2017</v>
      </c>
      <c r="C95" s="112">
        <f>C192</f>
        <v>38</v>
      </c>
      <c r="D95" s="112">
        <f t="shared" ref="D95:J95" si="11">D192</f>
        <v>46</v>
      </c>
      <c r="E95" s="112">
        <f t="shared" si="11"/>
        <v>42</v>
      </c>
      <c r="F95" s="112">
        <f t="shared" si="11"/>
        <v>48</v>
      </c>
      <c r="G95" s="112">
        <f t="shared" si="11"/>
        <v>39</v>
      </c>
      <c r="H95" s="112">
        <f t="shared" si="11"/>
        <v>39</v>
      </c>
      <c r="I95" s="112">
        <f t="shared" si="11"/>
        <v>39</v>
      </c>
      <c r="J95" s="213">
        <f t="shared" si="11"/>
        <v>291</v>
      </c>
    </row>
    <row r="96" spans="2:10" ht="15" customHeight="1">
      <c r="B96" s="307">
        <v>2018</v>
      </c>
      <c r="C96" s="112">
        <f t="shared" ref="C96:J96" si="12">C193</f>
        <v>50</v>
      </c>
      <c r="D96" s="112">
        <f t="shared" si="12"/>
        <v>42</v>
      </c>
      <c r="E96" s="112">
        <f t="shared" si="12"/>
        <v>39</v>
      </c>
      <c r="F96" s="112">
        <f t="shared" si="12"/>
        <v>40</v>
      </c>
      <c r="G96" s="112">
        <f t="shared" si="12"/>
        <v>45</v>
      </c>
      <c r="H96" s="112">
        <f t="shared" si="12"/>
        <v>38</v>
      </c>
      <c r="I96" s="112">
        <f t="shared" si="12"/>
        <v>41</v>
      </c>
      <c r="J96" s="213">
        <f t="shared" si="12"/>
        <v>295</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2.2727272727272728E-2</v>
      </c>
      <c r="E98" s="210">
        <f t="shared" ref="E98:I98" si="13">MEDIAN(((D91-E92)/D91),((D92-E93)/D92),((D93-E94)/D93),((D94-E95)/D94),((D95-E96)/D95))</f>
        <v>4.5454545454545456E-2</v>
      </c>
      <c r="F98" s="210">
        <f t="shared" si="13"/>
        <v>4.2553191489361701E-2</v>
      </c>
      <c r="G98" s="210">
        <f t="shared" si="13"/>
        <v>6.25E-2</v>
      </c>
      <c r="H98" s="210">
        <f t="shared" si="13"/>
        <v>4.878048780487805E-2</v>
      </c>
      <c r="I98" s="210">
        <f t="shared" si="13"/>
        <v>8.1081081081081086E-2</v>
      </c>
    </row>
    <row r="99" spans="2:10" ht="18.75">
      <c r="B99" s="59"/>
      <c r="C99" s="60"/>
      <c r="D99" s="61"/>
      <c r="E99" s="61"/>
      <c r="F99" s="61"/>
      <c r="G99" s="61"/>
      <c r="H99" s="61"/>
      <c r="I99" s="61"/>
      <c r="J99" s="58"/>
    </row>
    <row r="100" spans="2:10">
      <c r="B100" s="15" t="str">
        <f>"Table 4B: "&amp;E3&amp;" Projected Roll by Stage (incorporating Projected P1 and Drop-Off Rates), 2019-2032"</f>
        <v>Table 4B: Niddrie Mill Primary School Projected Roll by Stage (incorporating Projected P1 and Drop-Off Rates), 2019-2032</v>
      </c>
      <c r="F100" s="14"/>
      <c r="G100" s="14"/>
    </row>
    <row r="101" spans="2:10" ht="12.75">
      <c r="F101" s="14"/>
      <c r="G101" s="14"/>
    </row>
    <row r="102" spans="2:10">
      <c r="B102" s="115"/>
      <c r="C102" s="109" t="s">
        <v>1</v>
      </c>
      <c r="D102" s="109" t="s">
        <v>2</v>
      </c>
      <c r="E102" s="109" t="s">
        <v>3</v>
      </c>
      <c r="F102" s="109" t="s">
        <v>4</v>
      </c>
      <c r="G102" s="109" t="s">
        <v>5</v>
      </c>
      <c r="H102" s="109" t="s">
        <v>6</v>
      </c>
      <c r="I102" s="109" t="s">
        <v>7</v>
      </c>
      <c r="J102" s="109" t="s">
        <v>8</v>
      </c>
    </row>
    <row r="103" spans="2:10">
      <c r="B103" s="114">
        <v>2019</v>
      </c>
      <c r="C103" s="113">
        <f t="shared" ref="C103:C116" si="14">J70</f>
        <v>50</v>
      </c>
      <c r="D103" s="324">
        <f>ROUND((C96)-(C96*$D$98),0)</f>
        <v>49</v>
      </c>
      <c r="E103" s="324">
        <f>ROUND((D96)-(D96*$E$98),0)</f>
        <v>40</v>
      </c>
      <c r="F103" s="324">
        <f>ROUND((E96)-(E96*$F$98),0)</f>
        <v>37</v>
      </c>
      <c r="G103" s="324">
        <f>ROUND((F96)-(F96*$G$98),0)</f>
        <v>38</v>
      </c>
      <c r="H103" s="324">
        <f>ROUND((G96)-(G96*$H$98),0)</f>
        <v>43</v>
      </c>
      <c r="I103" s="324">
        <f>ROUND((H96)-(H96*$I$98),0)</f>
        <v>35</v>
      </c>
      <c r="J103" s="111">
        <f t="shared" ref="J103:J116" si="15">SUM(C103:I103)</f>
        <v>292</v>
      </c>
    </row>
    <row r="104" spans="2:10">
      <c r="B104" s="114">
        <v>2020</v>
      </c>
      <c r="C104" s="113">
        <f t="shared" si="14"/>
        <v>50</v>
      </c>
      <c r="D104" s="324">
        <f>ROUND((C103-E50)-(C103*$D$98),0)</f>
        <v>42</v>
      </c>
      <c r="E104" s="112">
        <f t="shared" ref="E104:E116" si="16">ROUND((D103)-(D103*$E$98),0)</f>
        <v>47</v>
      </c>
      <c r="F104" s="112">
        <f t="shared" ref="F104:F116" si="17">ROUND((E103)-(E103*$F$98),0)</f>
        <v>38</v>
      </c>
      <c r="G104" s="112">
        <f t="shared" ref="G104:G116" si="18">ROUND((F103)-(F103*$G$98),0)</f>
        <v>35</v>
      </c>
      <c r="H104" s="112">
        <f t="shared" ref="H104:H116" si="19">ROUND((G103)-(G103*$H$98),0)</f>
        <v>36</v>
      </c>
      <c r="I104" s="112">
        <f t="shared" ref="I104:I116" si="20">ROUND((H103)-(H103*$I$98),0)</f>
        <v>40</v>
      </c>
      <c r="J104" s="111">
        <f t="shared" si="15"/>
        <v>288</v>
      </c>
    </row>
    <row r="105" spans="2:10">
      <c r="B105" s="114">
        <v>2021</v>
      </c>
      <c r="C105" s="113">
        <f t="shared" si="14"/>
        <v>50</v>
      </c>
      <c r="D105" s="324">
        <f>ROUND((C104-F50)-(C104*$D$98),0)</f>
        <v>41</v>
      </c>
      <c r="E105" s="112">
        <f t="shared" si="16"/>
        <v>40</v>
      </c>
      <c r="F105" s="112">
        <f t="shared" si="17"/>
        <v>45</v>
      </c>
      <c r="G105" s="112">
        <f t="shared" si="18"/>
        <v>36</v>
      </c>
      <c r="H105" s="112">
        <f t="shared" si="19"/>
        <v>33</v>
      </c>
      <c r="I105" s="112">
        <f t="shared" si="20"/>
        <v>33</v>
      </c>
      <c r="J105" s="111">
        <f t="shared" si="15"/>
        <v>278</v>
      </c>
    </row>
    <row r="106" spans="2:10">
      <c r="B106" s="114">
        <v>2022</v>
      </c>
      <c r="C106" s="113">
        <f t="shared" si="14"/>
        <v>50</v>
      </c>
      <c r="D106" s="324">
        <f>ROUND((C105-G50)-(C105*$D$98),0)</f>
        <v>40</v>
      </c>
      <c r="E106" s="112">
        <f t="shared" si="16"/>
        <v>39</v>
      </c>
      <c r="F106" s="112">
        <f t="shared" si="17"/>
        <v>38</v>
      </c>
      <c r="G106" s="112">
        <f t="shared" si="18"/>
        <v>42</v>
      </c>
      <c r="H106" s="112">
        <f t="shared" si="19"/>
        <v>34</v>
      </c>
      <c r="I106" s="112">
        <f t="shared" si="20"/>
        <v>30</v>
      </c>
      <c r="J106" s="111">
        <f t="shared" si="15"/>
        <v>273</v>
      </c>
    </row>
    <row r="107" spans="2:10">
      <c r="B107" s="114">
        <v>2023</v>
      </c>
      <c r="C107" s="113">
        <f t="shared" si="14"/>
        <v>50</v>
      </c>
      <c r="D107" s="324">
        <f>ROUND((C106-H50)-(C106*$D$98),0)</f>
        <v>40</v>
      </c>
      <c r="E107" s="112">
        <f t="shared" si="16"/>
        <v>38</v>
      </c>
      <c r="F107" s="112">
        <f t="shared" si="17"/>
        <v>37</v>
      </c>
      <c r="G107" s="112">
        <f t="shared" si="18"/>
        <v>36</v>
      </c>
      <c r="H107" s="112">
        <f t="shared" si="19"/>
        <v>40</v>
      </c>
      <c r="I107" s="112">
        <f t="shared" si="20"/>
        <v>31</v>
      </c>
      <c r="J107" s="111">
        <f t="shared" si="15"/>
        <v>272</v>
      </c>
    </row>
    <row r="108" spans="2:10">
      <c r="B108" s="114">
        <v>2024</v>
      </c>
      <c r="C108" s="113">
        <f t="shared" si="14"/>
        <v>50</v>
      </c>
      <c r="D108" s="324">
        <f>ROUND((C107-I50)-(C107*$D$98),0)</f>
        <v>40</v>
      </c>
      <c r="E108" s="112">
        <f t="shared" si="16"/>
        <v>38</v>
      </c>
      <c r="F108" s="112">
        <f t="shared" si="17"/>
        <v>36</v>
      </c>
      <c r="G108" s="112">
        <f t="shared" si="18"/>
        <v>35</v>
      </c>
      <c r="H108" s="112">
        <f t="shared" si="19"/>
        <v>34</v>
      </c>
      <c r="I108" s="112">
        <f t="shared" si="20"/>
        <v>37</v>
      </c>
      <c r="J108" s="111">
        <f t="shared" si="15"/>
        <v>270</v>
      </c>
    </row>
    <row r="109" spans="2:10">
      <c r="B109" s="114">
        <v>2025</v>
      </c>
      <c r="C109" s="113">
        <f t="shared" si="14"/>
        <v>50</v>
      </c>
      <c r="D109" s="324">
        <f>ROUND((C108-J50)-(C108*$D$98),0)</f>
        <v>40</v>
      </c>
      <c r="E109" s="112">
        <f t="shared" si="16"/>
        <v>38</v>
      </c>
      <c r="F109" s="112">
        <f t="shared" si="17"/>
        <v>36</v>
      </c>
      <c r="G109" s="112">
        <f t="shared" si="18"/>
        <v>34</v>
      </c>
      <c r="H109" s="112">
        <f t="shared" si="19"/>
        <v>33</v>
      </c>
      <c r="I109" s="112">
        <f t="shared" si="20"/>
        <v>31</v>
      </c>
      <c r="J109" s="111">
        <f t="shared" si="15"/>
        <v>262</v>
      </c>
    </row>
    <row r="110" spans="2:10">
      <c r="B110" s="114">
        <v>2026</v>
      </c>
      <c r="C110" s="113">
        <f t="shared" si="14"/>
        <v>50</v>
      </c>
      <c r="D110" s="324">
        <f>ROUND((C109-K50)-(C109*$D$98),0)</f>
        <v>40</v>
      </c>
      <c r="E110" s="112">
        <f t="shared" si="16"/>
        <v>38</v>
      </c>
      <c r="F110" s="112">
        <f t="shared" si="17"/>
        <v>36</v>
      </c>
      <c r="G110" s="112">
        <f t="shared" si="18"/>
        <v>34</v>
      </c>
      <c r="H110" s="112">
        <f t="shared" si="19"/>
        <v>32</v>
      </c>
      <c r="I110" s="112">
        <f t="shared" si="20"/>
        <v>30</v>
      </c>
      <c r="J110" s="111">
        <f t="shared" si="15"/>
        <v>260</v>
      </c>
    </row>
    <row r="111" spans="2:10">
      <c r="B111" s="114">
        <v>2027</v>
      </c>
      <c r="C111" s="113">
        <f t="shared" si="14"/>
        <v>50</v>
      </c>
      <c r="D111" s="324">
        <f>ROUND((C110-L50)-(C110*$D$98),0)</f>
        <v>40</v>
      </c>
      <c r="E111" s="112">
        <f t="shared" si="16"/>
        <v>38</v>
      </c>
      <c r="F111" s="112">
        <f t="shared" si="17"/>
        <v>36</v>
      </c>
      <c r="G111" s="112">
        <f t="shared" si="18"/>
        <v>34</v>
      </c>
      <c r="H111" s="112">
        <f t="shared" si="19"/>
        <v>32</v>
      </c>
      <c r="I111" s="112">
        <f t="shared" si="20"/>
        <v>29</v>
      </c>
      <c r="J111" s="111">
        <f t="shared" si="15"/>
        <v>259</v>
      </c>
    </row>
    <row r="112" spans="2:10">
      <c r="B112" s="114">
        <v>2028</v>
      </c>
      <c r="C112" s="113">
        <f t="shared" si="14"/>
        <v>50</v>
      </c>
      <c r="D112" s="324">
        <f>ROUND((C111-M50)-(C111*$D$98),0)</f>
        <v>40</v>
      </c>
      <c r="E112" s="112">
        <f t="shared" si="16"/>
        <v>38</v>
      </c>
      <c r="F112" s="112">
        <f t="shared" si="17"/>
        <v>36</v>
      </c>
      <c r="G112" s="112">
        <f t="shared" si="18"/>
        <v>34</v>
      </c>
      <c r="H112" s="112">
        <f t="shared" si="19"/>
        <v>32</v>
      </c>
      <c r="I112" s="112">
        <f t="shared" si="20"/>
        <v>29</v>
      </c>
      <c r="J112" s="111">
        <f t="shared" si="15"/>
        <v>259</v>
      </c>
    </row>
    <row r="113" spans="2:10" ht="15" customHeight="1">
      <c r="B113" s="114">
        <v>2029</v>
      </c>
      <c r="C113" s="113">
        <f t="shared" si="14"/>
        <v>50</v>
      </c>
      <c r="D113" s="324">
        <f>ROUND((C112-N50)-(C112*$D$98),0)</f>
        <v>40</v>
      </c>
      <c r="E113" s="112">
        <f t="shared" si="16"/>
        <v>38</v>
      </c>
      <c r="F113" s="112">
        <f t="shared" si="17"/>
        <v>36</v>
      </c>
      <c r="G113" s="112">
        <f t="shared" si="18"/>
        <v>34</v>
      </c>
      <c r="H113" s="112">
        <f t="shared" si="19"/>
        <v>32</v>
      </c>
      <c r="I113" s="112">
        <f t="shared" si="20"/>
        <v>29</v>
      </c>
      <c r="J113" s="111">
        <f t="shared" si="15"/>
        <v>259</v>
      </c>
    </row>
    <row r="114" spans="2:10" ht="15" customHeight="1">
      <c r="B114" s="114">
        <v>2030</v>
      </c>
      <c r="C114" s="113">
        <f t="shared" si="14"/>
        <v>50</v>
      </c>
      <c r="D114" s="324">
        <f>ROUND((C113-O50)-(C113*$D$98),0)</f>
        <v>40</v>
      </c>
      <c r="E114" s="112">
        <f t="shared" si="16"/>
        <v>38</v>
      </c>
      <c r="F114" s="112">
        <f t="shared" si="17"/>
        <v>36</v>
      </c>
      <c r="G114" s="112">
        <f t="shared" si="18"/>
        <v>34</v>
      </c>
      <c r="H114" s="112">
        <f t="shared" si="19"/>
        <v>32</v>
      </c>
      <c r="I114" s="112">
        <f t="shared" si="20"/>
        <v>29</v>
      </c>
      <c r="J114" s="111">
        <f t="shared" si="15"/>
        <v>259</v>
      </c>
    </row>
    <row r="115" spans="2:10" ht="15" customHeight="1">
      <c r="B115" s="114">
        <v>2031</v>
      </c>
      <c r="C115" s="113">
        <f t="shared" si="14"/>
        <v>50</v>
      </c>
      <c r="D115" s="324">
        <f>ROUND((C114-P50)-(C114*$D$98),0)</f>
        <v>40</v>
      </c>
      <c r="E115" s="112">
        <f t="shared" si="16"/>
        <v>38</v>
      </c>
      <c r="F115" s="112">
        <f t="shared" si="17"/>
        <v>36</v>
      </c>
      <c r="G115" s="112">
        <f t="shared" si="18"/>
        <v>34</v>
      </c>
      <c r="H115" s="112">
        <f t="shared" si="19"/>
        <v>32</v>
      </c>
      <c r="I115" s="112">
        <f t="shared" si="20"/>
        <v>29</v>
      </c>
      <c r="J115" s="111">
        <f t="shared" si="15"/>
        <v>259</v>
      </c>
    </row>
    <row r="116" spans="2:10" ht="15" customHeight="1">
      <c r="B116" s="114">
        <v>2032</v>
      </c>
      <c r="C116" s="113">
        <f t="shared" si="14"/>
        <v>50</v>
      </c>
      <c r="D116" s="324">
        <f>ROUND((C115-Q50)-(C115*$D$98),0)</f>
        <v>40</v>
      </c>
      <c r="E116" s="112">
        <f t="shared" si="16"/>
        <v>38</v>
      </c>
      <c r="F116" s="112">
        <f t="shared" si="17"/>
        <v>36</v>
      </c>
      <c r="G116" s="112">
        <f t="shared" si="18"/>
        <v>34</v>
      </c>
      <c r="H116" s="112">
        <f t="shared" si="19"/>
        <v>32</v>
      </c>
      <c r="I116" s="112">
        <f t="shared" si="20"/>
        <v>29</v>
      </c>
      <c r="J116" s="111">
        <f t="shared" si="15"/>
        <v>259</v>
      </c>
    </row>
    <row r="117" spans="2:10" ht="15" hidden="1" customHeight="1">
      <c r="F117" s="14"/>
      <c r="G117" s="14"/>
    </row>
    <row r="118" spans="2:10" ht="15" hidden="1" customHeight="1">
      <c r="B118" s="15" t="str">
        <f>"Table 4C: "&amp;E3&amp;" Projected Pupil Generation from Housing Development, 2019-2032"</f>
        <v>Table 4C: Niddrie Mill Primary School Projected Pupil Generation from Housing Development, 2019-2032</v>
      </c>
      <c r="F118" s="14"/>
      <c r="G118" s="14"/>
    </row>
    <row r="119" spans="2:10" ht="15" hidden="1" customHeight="1">
      <c r="F119" s="14"/>
      <c r="G119" s="14"/>
    </row>
    <row r="120" spans="2:10" ht="15" hidden="1" customHeight="1">
      <c r="B120" s="115"/>
      <c r="C120" s="109" t="s">
        <v>1</v>
      </c>
      <c r="D120" s="109" t="s">
        <v>2</v>
      </c>
      <c r="E120" s="109" t="s">
        <v>3</v>
      </c>
      <c r="F120" s="109" t="s">
        <v>4</v>
      </c>
      <c r="G120" s="109" t="s">
        <v>5</v>
      </c>
      <c r="H120" s="109" t="s">
        <v>6</v>
      </c>
      <c r="I120" s="109" t="s">
        <v>7</v>
      </c>
      <c r="J120" s="109" t="s">
        <v>8</v>
      </c>
    </row>
    <row r="121" spans="2:10" ht="15" hidden="1" customHeight="1">
      <c r="B121" s="114">
        <v>2019</v>
      </c>
      <c r="C121" s="116" t="s">
        <v>97</v>
      </c>
      <c r="D121" s="112">
        <f>VLOOKUP($E$3,'Housing Generation'!$A$3:$BE$90,11,FALSE)</f>
        <v>3</v>
      </c>
      <c r="E121" s="112">
        <f>VLOOKUP($E$3,'Housing Generation'!$A$3:$BE$90,12,FALSE)</f>
        <v>3</v>
      </c>
      <c r="F121" s="112">
        <f>VLOOKUP($E$3,'Housing Generation'!$A$3:$BE$90,13,FALSE)</f>
        <v>3</v>
      </c>
      <c r="G121" s="112">
        <f>VLOOKUP($E$3,'Housing Generation'!$A$3:$BE$90,14,FALSE)</f>
        <v>3</v>
      </c>
      <c r="H121" s="112">
        <f>VLOOKUP($E$3,'Housing Generation'!$A$3:$BE$90,15,FALSE)</f>
        <v>3</v>
      </c>
      <c r="I121" s="112">
        <f>VLOOKUP($E$3,'Housing Generation'!$A$3:$BE$90,16,FALSE)</f>
        <v>3</v>
      </c>
      <c r="J121" s="111">
        <f t="shared" ref="J121:J134" si="21">SUM(D121:I121)</f>
        <v>18</v>
      </c>
    </row>
    <row r="122" spans="2:10" ht="15" hidden="1" customHeight="1">
      <c r="B122" s="114">
        <v>2020</v>
      </c>
      <c r="C122" s="116" t="s">
        <v>97</v>
      </c>
      <c r="D122" s="112">
        <f>VLOOKUP($E$3,'Housing Generation'!$A$3:$BE$90,19,FALSE)</f>
        <v>7</v>
      </c>
      <c r="E122" s="112">
        <f>VLOOKUP($E$3,'Housing Generation'!$A$3:$BE$90,20,FALSE)</f>
        <v>7</v>
      </c>
      <c r="F122" s="112">
        <f>VLOOKUP($E$3,'Housing Generation'!$A$3:$BE$90,21,FALSE)</f>
        <v>6</v>
      </c>
      <c r="G122" s="112">
        <f>VLOOKUP($E$3,'Housing Generation'!$A$3:$BE$90,22,FALSE)</f>
        <v>6</v>
      </c>
      <c r="H122" s="112">
        <f>VLOOKUP($E$3,'Housing Generation'!$A$3:$BE$90,23,FALSE)</f>
        <v>6</v>
      </c>
      <c r="I122" s="112">
        <f>VLOOKUP($E$3,'Housing Generation'!$A$3:$BE$90,24,FALSE)</f>
        <v>6</v>
      </c>
      <c r="J122" s="111">
        <f t="shared" si="21"/>
        <v>38</v>
      </c>
    </row>
    <row r="123" spans="2:10" ht="15" hidden="1" customHeight="1">
      <c r="B123" s="114">
        <v>2021</v>
      </c>
      <c r="C123" s="116" t="s">
        <v>97</v>
      </c>
      <c r="D123" s="112">
        <f>VLOOKUP($E$3,'Housing Generation'!$A$3:$BE$90,27,FALSE)</f>
        <v>8</v>
      </c>
      <c r="E123" s="112">
        <f>VLOOKUP($E$3,'Housing Generation'!$A$3:$BE$90,28,FALSE)</f>
        <v>8</v>
      </c>
      <c r="F123" s="112">
        <f>VLOOKUP($E$3,'Housing Generation'!$A$3:$BE$90,29,FALSE)</f>
        <v>8</v>
      </c>
      <c r="G123" s="112">
        <f>VLOOKUP($E$3,'Housing Generation'!$A$3:$BE$90,30,FALSE)</f>
        <v>7</v>
      </c>
      <c r="H123" s="112">
        <f>VLOOKUP($E$3,'Housing Generation'!$A$3:$BE$90,31,FALSE)</f>
        <v>7</v>
      </c>
      <c r="I123" s="112">
        <f>VLOOKUP($E$3,'Housing Generation'!$A$3:$BE$90,32,FALSE)</f>
        <v>7</v>
      </c>
      <c r="J123" s="111">
        <f t="shared" si="21"/>
        <v>45</v>
      </c>
    </row>
    <row r="124" spans="2:10" ht="15" hidden="1" customHeight="1">
      <c r="B124" s="114">
        <v>2022</v>
      </c>
      <c r="C124" s="116" t="s">
        <v>97</v>
      </c>
      <c r="D124" s="112">
        <f>VLOOKUP($E$3,'Housing Generation'!$A$3:$BE$90,35,FALSE)</f>
        <v>8</v>
      </c>
      <c r="E124" s="112">
        <f>VLOOKUP($E$3,'Housing Generation'!$A$3:$BE$90,36,FALSE)</f>
        <v>8</v>
      </c>
      <c r="F124" s="112">
        <f>VLOOKUP($E$3,'Housing Generation'!$A$3:$BE$90,37,FALSE)</f>
        <v>8</v>
      </c>
      <c r="G124" s="112">
        <f>VLOOKUP($E$3,'Housing Generation'!$A$3:$BE$90,38,FALSE)</f>
        <v>8</v>
      </c>
      <c r="H124" s="112">
        <f>VLOOKUP($E$3,'Housing Generation'!$A$3:$BE$90,39,FALSE)</f>
        <v>8</v>
      </c>
      <c r="I124" s="112">
        <f>VLOOKUP($E$3,'Housing Generation'!$A$3:$BE$90,40,FALSE)</f>
        <v>8</v>
      </c>
      <c r="J124" s="111">
        <f t="shared" si="21"/>
        <v>48</v>
      </c>
    </row>
    <row r="125" spans="2:10" ht="15" hidden="1" customHeight="1">
      <c r="B125" s="114">
        <v>2023</v>
      </c>
      <c r="C125" s="116" t="s">
        <v>97</v>
      </c>
      <c r="D125" s="112">
        <f>VLOOKUP($E$3,'Housing Generation'!$A$3:$BE$90,43,FALSE)</f>
        <v>8</v>
      </c>
      <c r="E125" s="112">
        <f>VLOOKUP($E$3,'Housing Generation'!$A$3:$BE$90,44,FALSE)</f>
        <v>8</v>
      </c>
      <c r="F125" s="112">
        <f>VLOOKUP($E$3,'Housing Generation'!$A$3:$BE$90,45,FALSE)</f>
        <v>8</v>
      </c>
      <c r="G125" s="112">
        <f>VLOOKUP($E$3,'Housing Generation'!$A$3:$BE$90,46,FALSE)</f>
        <v>8</v>
      </c>
      <c r="H125" s="112">
        <f>VLOOKUP($E$3,'Housing Generation'!$A$3:$BE$90,47,FALSE)</f>
        <v>8</v>
      </c>
      <c r="I125" s="112">
        <f>VLOOKUP($E$3,'Housing Generation'!$A$3:$BE$90,48,FALSE)</f>
        <v>8</v>
      </c>
      <c r="J125" s="111">
        <f t="shared" si="21"/>
        <v>48</v>
      </c>
    </row>
    <row r="126" spans="2:10" ht="15" hidden="1" customHeight="1">
      <c r="B126" s="114">
        <v>2024</v>
      </c>
      <c r="C126" s="116" t="s">
        <v>97</v>
      </c>
      <c r="D126" s="112">
        <f>VLOOKUP($E$3,'Housing Generation'!$A$3:$BE$90,51,FALSE)</f>
        <v>8</v>
      </c>
      <c r="E126" s="112">
        <f>VLOOKUP($E$3,'Housing Generation'!$A$3:$BE$90,52,FALSE)</f>
        <v>8</v>
      </c>
      <c r="F126" s="112">
        <f>VLOOKUP($E$3,'Housing Generation'!$A$3:$BE$90,53,FALSE)</f>
        <v>8</v>
      </c>
      <c r="G126" s="112">
        <f>VLOOKUP($E$3,'Housing Generation'!$A$3:$BE$90,54,FALSE)</f>
        <v>8</v>
      </c>
      <c r="H126" s="112">
        <f>VLOOKUP($E$3,'Housing Generation'!$A$3:$BE$90,55,FALSE)</f>
        <v>8</v>
      </c>
      <c r="I126" s="112">
        <f>VLOOKUP($E$3,'Housing Generation'!$A$3:$BE$90,56,FALSE)</f>
        <v>8</v>
      </c>
      <c r="J126" s="111">
        <f t="shared" si="21"/>
        <v>48</v>
      </c>
    </row>
    <row r="127" spans="2:10" ht="15" hidden="1" customHeight="1">
      <c r="B127" s="114">
        <v>2025</v>
      </c>
      <c r="C127" s="240" t="s">
        <v>97</v>
      </c>
      <c r="D127" s="112">
        <f>VLOOKUP($E$3,'Housing Generation'!$A$3:$CK$90,59,FALSE)</f>
        <v>8</v>
      </c>
      <c r="E127" s="112">
        <f>VLOOKUP($E$3,'Housing Generation'!$A$3:$CK$90,60,FALSE)</f>
        <v>8</v>
      </c>
      <c r="F127" s="112">
        <f>VLOOKUP($E$3,'Housing Generation'!$A$3:$CK$90,61,FALSE)</f>
        <v>8</v>
      </c>
      <c r="G127" s="112">
        <f>VLOOKUP($E$3,'Housing Generation'!$A$3:$CK$90,62,FALSE)</f>
        <v>8</v>
      </c>
      <c r="H127" s="112">
        <f>VLOOKUP($E$3,'Housing Generation'!$A$3:$CK$90,63,FALSE)</f>
        <v>8</v>
      </c>
      <c r="I127" s="112">
        <f>VLOOKUP($E$3,'Housing Generation'!$A$3:$CK$90,64,FALSE)</f>
        <v>8</v>
      </c>
      <c r="J127" s="111">
        <f t="shared" si="21"/>
        <v>48</v>
      </c>
    </row>
    <row r="128" spans="2:10" ht="15" hidden="1" customHeight="1">
      <c r="B128" s="114">
        <v>2026</v>
      </c>
      <c r="C128" s="240" t="s">
        <v>97</v>
      </c>
      <c r="D128" s="112">
        <f>VLOOKUP($E$3,'Housing Generation'!$A$3:$CK$90,67,FALSE)</f>
        <v>8</v>
      </c>
      <c r="E128" s="112">
        <f>VLOOKUP($E$3,'Housing Generation'!$A$3:$CK$90,68,FALSE)</f>
        <v>8</v>
      </c>
      <c r="F128" s="112">
        <f>VLOOKUP($E$3,'Housing Generation'!$A$3:$CK$90,69,FALSE)</f>
        <v>8</v>
      </c>
      <c r="G128" s="112">
        <f>VLOOKUP($E$3,'Housing Generation'!$A$3:$CK$90,70,FALSE)</f>
        <v>8</v>
      </c>
      <c r="H128" s="112">
        <f>VLOOKUP($E$3,'Housing Generation'!$A$3:$CK$90,71,FALSE)</f>
        <v>8</v>
      </c>
      <c r="I128" s="112">
        <f>VLOOKUP($E$3,'Housing Generation'!$A$3:$CK$90,72,FALSE)</f>
        <v>8</v>
      </c>
      <c r="J128" s="111">
        <f t="shared" si="21"/>
        <v>48</v>
      </c>
    </row>
    <row r="129" spans="2:10" ht="15" hidden="1" customHeight="1">
      <c r="B129" s="114">
        <v>2027</v>
      </c>
      <c r="C129" s="240" t="s">
        <v>97</v>
      </c>
      <c r="D129" s="112">
        <f>VLOOKUP($E$3,'Housing Generation'!$A$3:$CK$90,75,FALSE)</f>
        <v>8</v>
      </c>
      <c r="E129" s="112">
        <f>VLOOKUP($E$3,'Housing Generation'!$A$3:$CK$90,76,FALSE)</f>
        <v>8</v>
      </c>
      <c r="F129" s="112">
        <f>VLOOKUP($E$3,'Housing Generation'!$A$3:$CK$90,77,FALSE)</f>
        <v>8</v>
      </c>
      <c r="G129" s="112">
        <f>VLOOKUP($E$3,'Housing Generation'!$A$3:$CK$90,78,FALSE)</f>
        <v>8</v>
      </c>
      <c r="H129" s="112">
        <f>VLOOKUP($E$3,'Housing Generation'!$A$3:$CK$90,79,FALSE)</f>
        <v>8</v>
      </c>
      <c r="I129" s="112">
        <f>VLOOKUP($E$3,'Housing Generation'!$A$3:$CK$90,80,FALSE)</f>
        <v>8</v>
      </c>
      <c r="J129" s="111">
        <f t="shared" si="21"/>
        <v>48</v>
      </c>
    </row>
    <row r="130" spans="2:10" ht="15" customHeight="1">
      <c r="B130" s="114">
        <v>2028</v>
      </c>
      <c r="C130" s="289" t="s">
        <v>97</v>
      </c>
      <c r="D130" s="112">
        <f>VLOOKUP($E$3,'Housing Generation'!$A$3:$CK$90,83,FALSE)</f>
        <v>8</v>
      </c>
      <c r="E130" s="112">
        <f>VLOOKUP($E$3,'Housing Generation'!$A$3:$CK$90,84,FALSE)</f>
        <v>8</v>
      </c>
      <c r="F130" s="112">
        <f>VLOOKUP($E$3,'Housing Generation'!$A$3:$CK$90,85,FALSE)</f>
        <v>8</v>
      </c>
      <c r="G130" s="112">
        <f>VLOOKUP($E$3,'Housing Generation'!$A$3:$CK$90,86,FALSE)</f>
        <v>8</v>
      </c>
      <c r="H130" s="112">
        <f>VLOOKUP($E$3,'Housing Generation'!$A$3:$CK$90,87,FALSE)</f>
        <v>8</v>
      </c>
      <c r="I130" s="112">
        <f>VLOOKUP($E$3,'Housing Generation'!$A$3:$CK$90,88,FALSE)</f>
        <v>8</v>
      </c>
      <c r="J130" s="111">
        <f t="shared" si="21"/>
        <v>48</v>
      </c>
    </row>
    <row r="131" spans="2:10" ht="15" customHeight="1">
      <c r="B131" s="114">
        <v>2029</v>
      </c>
      <c r="C131" s="289" t="s">
        <v>97</v>
      </c>
      <c r="D131" s="112">
        <f>VLOOKUP($E$3,'Housing Generation'!$A$3:$DQ$90,91,FALSE)</f>
        <v>8</v>
      </c>
      <c r="E131" s="112">
        <f>VLOOKUP($E$3,'Housing Generation'!$A$3:$DQ$90,92,FALSE)</f>
        <v>8</v>
      </c>
      <c r="F131" s="112">
        <f>VLOOKUP($E$3,'Housing Generation'!$A$3:$DQ$90,93,FALSE)</f>
        <v>8</v>
      </c>
      <c r="G131" s="112">
        <f>VLOOKUP($E$3,'Housing Generation'!$A$3:$DQ$90,94,FALSE)</f>
        <v>8</v>
      </c>
      <c r="H131" s="112">
        <f>VLOOKUP($E$3,'Housing Generation'!$A$3:$DQ$90,95,FALSE)</f>
        <v>8</v>
      </c>
      <c r="I131" s="112">
        <f>VLOOKUP($E$3,'Housing Generation'!$A$3:$DQ$90,96,FALSE)</f>
        <v>8</v>
      </c>
      <c r="J131" s="111">
        <f t="shared" si="21"/>
        <v>48</v>
      </c>
    </row>
    <row r="132" spans="2:10" ht="15" customHeight="1">
      <c r="B132" s="114">
        <v>2030</v>
      </c>
      <c r="C132" s="289" t="s">
        <v>97</v>
      </c>
      <c r="D132" s="112">
        <f>VLOOKUP($E$3,'Housing Generation'!$A$3:$DQ$90,99,FALSE)</f>
        <v>8</v>
      </c>
      <c r="E132" s="112">
        <f>VLOOKUP($E$3,'Housing Generation'!$A$3:$DQ$90,100,FALSE)</f>
        <v>8</v>
      </c>
      <c r="F132" s="112">
        <f>VLOOKUP($E$3,'Housing Generation'!$A$3:$DQ$90,101,FALSE)</f>
        <v>8</v>
      </c>
      <c r="G132" s="112">
        <f>VLOOKUP($E$3,'Housing Generation'!$A$3:$DQ$90,102,FALSE)</f>
        <v>8</v>
      </c>
      <c r="H132" s="112">
        <f>VLOOKUP($E$3,'Housing Generation'!$A$3:$DQ$90,103,FALSE)</f>
        <v>8</v>
      </c>
      <c r="I132" s="112">
        <f>VLOOKUP($E$3,'Housing Generation'!$A$3:$DQ$90,104,FALSE)</f>
        <v>8</v>
      </c>
      <c r="J132" s="111">
        <f t="shared" si="21"/>
        <v>48</v>
      </c>
    </row>
    <row r="133" spans="2:10" ht="15" customHeight="1">
      <c r="B133" s="114">
        <v>2031</v>
      </c>
      <c r="C133" s="289" t="s">
        <v>97</v>
      </c>
      <c r="D133" s="112">
        <f>VLOOKUP($E$3,'Housing Generation'!$A$3:$DQ$90,107,FALSE)</f>
        <v>8</v>
      </c>
      <c r="E133" s="112">
        <f>VLOOKUP($E$3,'Housing Generation'!$A$3:$DQ$90,108,FALSE)</f>
        <v>8</v>
      </c>
      <c r="F133" s="112">
        <f>VLOOKUP($E$3,'Housing Generation'!$A$3:$DQ$90,109,FALSE)</f>
        <v>8</v>
      </c>
      <c r="G133" s="112">
        <f>VLOOKUP($E$3,'Housing Generation'!$A$3:$DQ$90,110,FALSE)</f>
        <v>8</v>
      </c>
      <c r="H133" s="112">
        <f>VLOOKUP($E$3,'Housing Generation'!$A$3:$DQ$90,111,FALSE)</f>
        <v>8</v>
      </c>
      <c r="I133" s="112">
        <f>VLOOKUP($E$3,'Housing Generation'!$A$3:$DQ$90,112,FALSE)</f>
        <v>8</v>
      </c>
      <c r="J133" s="111">
        <f t="shared" si="21"/>
        <v>48</v>
      </c>
    </row>
    <row r="134" spans="2:10" ht="15" customHeight="1">
      <c r="B134" s="114">
        <v>2032</v>
      </c>
      <c r="C134" s="289" t="s">
        <v>97</v>
      </c>
      <c r="D134" s="112">
        <f>VLOOKUP($E$3,'Housing Generation'!$A$3:$DQ$90,115,FALSE)</f>
        <v>8</v>
      </c>
      <c r="E134" s="112">
        <f>VLOOKUP($E$3,'Housing Generation'!$A$3:$DQ$90,116,FALSE)</f>
        <v>8</v>
      </c>
      <c r="F134" s="112">
        <f>VLOOKUP($E$3,'Housing Generation'!$A$3:$DQ$90,117,FALSE)</f>
        <v>8</v>
      </c>
      <c r="G134" s="112">
        <f>VLOOKUP($E$3,'Housing Generation'!$A$3:$DQ$90,118,FALSE)</f>
        <v>8</v>
      </c>
      <c r="H134" s="112">
        <f>VLOOKUP($E$3,'Housing Generation'!$A$3:$DQ$90,119,FALSE)</f>
        <v>8</v>
      </c>
      <c r="I134" s="112">
        <f>VLOOKUP($E$3,'Housing Generation'!$A$3:$DQ$90,120,FALSE)</f>
        <v>8</v>
      </c>
      <c r="J134" s="111">
        <f t="shared" si="21"/>
        <v>48</v>
      </c>
    </row>
    <row r="135" spans="2:10" ht="15" hidden="1"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Niddrie Mill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50</v>
      </c>
      <c r="D139" s="112">
        <f t="shared" ref="D139:I152" si="23">D121+D103</f>
        <v>52</v>
      </c>
      <c r="E139" s="112">
        <f t="shared" si="23"/>
        <v>43</v>
      </c>
      <c r="F139" s="112">
        <f t="shared" si="23"/>
        <v>40</v>
      </c>
      <c r="G139" s="112">
        <f t="shared" si="23"/>
        <v>41</v>
      </c>
      <c r="H139" s="112">
        <f t="shared" si="23"/>
        <v>46</v>
      </c>
      <c r="I139" s="112">
        <f t="shared" si="23"/>
        <v>38</v>
      </c>
      <c r="J139" s="111">
        <f t="shared" ref="J139:J147" si="24">SUM(C139:I139)</f>
        <v>310</v>
      </c>
    </row>
    <row r="140" spans="2:10" ht="15" customHeight="1">
      <c r="B140" s="114">
        <v>2020</v>
      </c>
      <c r="C140" s="113">
        <f t="shared" si="22"/>
        <v>50</v>
      </c>
      <c r="D140" s="112">
        <f t="shared" si="23"/>
        <v>49</v>
      </c>
      <c r="E140" s="112">
        <f t="shared" si="23"/>
        <v>54</v>
      </c>
      <c r="F140" s="112">
        <f t="shared" si="23"/>
        <v>44</v>
      </c>
      <c r="G140" s="112">
        <f t="shared" si="23"/>
        <v>41</v>
      </c>
      <c r="H140" s="112">
        <f t="shared" si="23"/>
        <v>42</v>
      </c>
      <c r="I140" s="112">
        <f t="shared" si="23"/>
        <v>46</v>
      </c>
      <c r="J140" s="111">
        <f t="shared" si="24"/>
        <v>326</v>
      </c>
    </row>
    <row r="141" spans="2:10" ht="15" customHeight="1">
      <c r="B141" s="114">
        <v>2021</v>
      </c>
      <c r="C141" s="113">
        <f t="shared" si="22"/>
        <v>50</v>
      </c>
      <c r="D141" s="112">
        <f t="shared" si="23"/>
        <v>49</v>
      </c>
      <c r="E141" s="112">
        <f t="shared" si="23"/>
        <v>48</v>
      </c>
      <c r="F141" s="112">
        <f t="shared" si="23"/>
        <v>53</v>
      </c>
      <c r="G141" s="112">
        <f t="shared" si="23"/>
        <v>43</v>
      </c>
      <c r="H141" s="112">
        <f t="shared" si="23"/>
        <v>40</v>
      </c>
      <c r="I141" s="112">
        <f t="shared" si="23"/>
        <v>40</v>
      </c>
      <c r="J141" s="111">
        <f t="shared" si="24"/>
        <v>323</v>
      </c>
    </row>
    <row r="142" spans="2:10" ht="15" customHeight="1">
      <c r="B142" s="114">
        <v>2022</v>
      </c>
      <c r="C142" s="113">
        <f t="shared" si="22"/>
        <v>50</v>
      </c>
      <c r="D142" s="112">
        <f t="shared" si="23"/>
        <v>48</v>
      </c>
      <c r="E142" s="112">
        <f t="shared" si="23"/>
        <v>47</v>
      </c>
      <c r="F142" s="112">
        <f t="shared" si="23"/>
        <v>46</v>
      </c>
      <c r="G142" s="112">
        <f t="shared" si="23"/>
        <v>50</v>
      </c>
      <c r="H142" s="112">
        <f t="shared" si="23"/>
        <v>42</v>
      </c>
      <c r="I142" s="112">
        <f t="shared" si="23"/>
        <v>38</v>
      </c>
      <c r="J142" s="111">
        <f t="shared" si="24"/>
        <v>321</v>
      </c>
    </row>
    <row r="143" spans="2:10" ht="15" customHeight="1">
      <c r="B143" s="114">
        <v>2023</v>
      </c>
      <c r="C143" s="113">
        <f t="shared" si="22"/>
        <v>50</v>
      </c>
      <c r="D143" s="112">
        <f t="shared" si="23"/>
        <v>48</v>
      </c>
      <c r="E143" s="112">
        <f t="shared" si="23"/>
        <v>46</v>
      </c>
      <c r="F143" s="112">
        <f t="shared" si="23"/>
        <v>45</v>
      </c>
      <c r="G143" s="112">
        <f t="shared" si="23"/>
        <v>44</v>
      </c>
      <c r="H143" s="112">
        <f t="shared" si="23"/>
        <v>48</v>
      </c>
      <c r="I143" s="112">
        <f t="shared" si="23"/>
        <v>39</v>
      </c>
      <c r="J143" s="111">
        <f t="shared" si="24"/>
        <v>320</v>
      </c>
    </row>
    <row r="144" spans="2:10" ht="15" customHeight="1">
      <c r="B144" s="114">
        <v>2024</v>
      </c>
      <c r="C144" s="113">
        <f t="shared" si="22"/>
        <v>50</v>
      </c>
      <c r="D144" s="112">
        <f t="shared" si="23"/>
        <v>48</v>
      </c>
      <c r="E144" s="112">
        <f t="shared" si="23"/>
        <v>46</v>
      </c>
      <c r="F144" s="112">
        <f t="shared" si="23"/>
        <v>44</v>
      </c>
      <c r="G144" s="112">
        <f t="shared" si="23"/>
        <v>43</v>
      </c>
      <c r="H144" s="112">
        <f t="shared" si="23"/>
        <v>42</v>
      </c>
      <c r="I144" s="112">
        <f t="shared" si="23"/>
        <v>45</v>
      </c>
      <c r="J144" s="111">
        <f t="shared" si="24"/>
        <v>318</v>
      </c>
    </row>
    <row r="145" spans="2:16" ht="15" customHeight="1">
      <c r="B145" s="114">
        <v>2025</v>
      </c>
      <c r="C145" s="113">
        <f t="shared" si="22"/>
        <v>50</v>
      </c>
      <c r="D145" s="112">
        <f t="shared" si="23"/>
        <v>48</v>
      </c>
      <c r="E145" s="112">
        <f t="shared" si="23"/>
        <v>46</v>
      </c>
      <c r="F145" s="112">
        <f t="shared" si="23"/>
        <v>44</v>
      </c>
      <c r="G145" s="112">
        <f t="shared" si="23"/>
        <v>42</v>
      </c>
      <c r="H145" s="112">
        <f t="shared" si="23"/>
        <v>41</v>
      </c>
      <c r="I145" s="112">
        <f t="shared" si="23"/>
        <v>39</v>
      </c>
      <c r="J145" s="111">
        <f t="shared" si="24"/>
        <v>310</v>
      </c>
    </row>
    <row r="146" spans="2:16" ht="15" customHeight="1">
      <c r="B146" s="114">
        <v>2026</v>
      </c>
      <c r="C146" s="113">
        <f t="shared" si="22"/>
        <v>50</v>
      </c>
      <c r="D146" s="112">
        <f t="shared" si="23"/>
        <v>48</v>
      </c>
      <c r="E146" s="112">
        <f t="shared" si="23"/>
        <v>46</v>
      </c>
      <c r="F146" s="112">
        <f t="shared" si="23"/>
        <v>44</v>
      </c>
      <c r="G146" s="112">
        <f t="shared" si="23"/>
        <v>42</v>
      </c>
      <c r="H146" s="112">
        <f t="shared" si="23"/>
        <v>40</v>
      </c>
      <c r="I146" s="112">
        <f t="shared" si="23"/>
        <v>38</v>
      </c>
      <c r="J146" s="111">
        <f t="shared" si="24"/>
        <v>308</v>
      </c>
    </row>
    <row r="147" spans="2:16" ht="15" customHeight="1">
      <c r="B147" s="114">
        <v>2027</v>
      </c>
      <c r="C147" s="113">
        <f t="shared" si="22"/>
        <v>50</v>
      </c>
      <c r="D147" s="112">
        <f t="shared" si="23"/>
        <v>48</v>
      </c>
      <c r="E147" s="112">
        <f t="shared" si="23"/>
        <v>46</v>
      </c>
      <c r="F147" s="112">
        <f t="shared" si="23"/>
        <v>44</v>
      </c>
      <c r="G147" s="112">
        <f t="shared" si="23"/>
        <v>42</v>
      </c>
      <c r="H147" s="112">
        <f t="shared" si="23"/>
        <v>40</v>
      </c>
      <c r="I147" s="112">
        <f t="shared" si="23"/>
        <v>37</v>
      </c>
      <c r="J147" s="111">
        <f t="shared" si="24"/>
        <v>307</v>
      </c>
    </row>
    <row r="148" spans="2:16" ht="15" customHeight="1">
      <c r="B148" s="114">
        <v>2028</v>
      </c>
      <c r="C148" s="113">
        <f t="shared" si="22"/>
        <v>50</v>
      </c>
      <c r="D148" s="112">
        <f t="shared" si="23"/>
        <v>48</v>
      </c>
      <c r="E148" s="112">
        <f t="shared" si="23"/>
        <v>46</v>
      </c>
      <c r="F148" s="112">
        <f t="shared" si="23"/>
        <v>44</v>
      </c>
      <c r="G148" s="112">
        <f t="shared" si="23"/>
        <v>42</v>
      </c>
      <c r="H148" s="112">
        <f t="shared" si="23"/>
        <v>40</v>
      </c>
      <c r="I148" s="112">
        <f t="shared" si="23"/>
        <v>37</v>
      </c>
      <c r="J148" s="111">
        <f t="shared" ref="J148:J152" si="25">SUM(C148:I148)</f>
        <v>307</v>
      </c>
    </row>
    <row r="149" spans="2:16" ht="15" customHeight="1">
      <c r="B149" s="114">
        <v>2029</v>
      </c>
      <c r="C149" s="113">
        <f t="shared" si="22"/>
        <v>50</v>
      </c>
      <c r="D149" s="112">
        <f t="shared" si="23"/>
        <v>48</v>
      </c>
      <c r="E149" s="112">
        <f t="shared" si="23"/>
        <v>46</v>
      </c>
      <c r="F149" s="112">
        <f t="shared" si="23"/>
        <v>44</v>
      </c>
      <c r="G149" s="112">
        <f t="shared" si="23"/>
        <v>42</v>
      </c>
      <c r="H149" s="112">
        <f t="shared" si="23"/>
        <v>40</v>
      </c>
      <c r="I149" s="112">
        <f t="shared" si="23"/>
        <v>37</v>
      </c>
      <c r="J149" s="111">
        <f t="shared" si="25"/>
        <v>307</v>
      </c>
    </row>
    <row r="150" spans="2:16" ht="15" customHeight="1">
      <c r="B150" s="114">
        <v>2030</v>
      </c>
      <c r="C150" s="113">
        <f t="shared" si="22"/>
        <v>50</v>
      </c>
      <c r="D150" s="112">
        <f t="shared" si="23"/>
        <v>48</v>
      </c>
      <c r="E150" s="112">
        <f t="shared" si="23"/>
        <v>46</v>
      </c>
      <c r="F150" s="112">
        <f t="shared" si="23"/>
        <v>44</v>
      </c>
      <c r="G150" s="112">
        <f t="shared" si="23"/>
        <v>42</v>
      </c>
      <c r="H150" s="112">
        <f t="shared" si="23"/>
        <v>40</v>
      </c>
      <c r="I150" s="112">
        <f t="shared" si="23"/>
        <v>37</v>
      </c>
      <c r="J150" s="111">
        <f t="shared" si="25"/>
        <v>307</v>
      </c>
    </row>
    <row r="151" spans="2:16" ht="15" customHeight="1">
      <c r="B151" s="114">
        <v>2031</v>
      </c>
      <c r="C151" s="113">
        <f t="shared" si="22"/>
        <v>50</v>
      </c>
      <c r="D151" s="112">
        <f t="shared" si="23"/>
        <v>48</v>
      </c>
      <c r="E151" s="112">
        <f t="shared" si="23"/>
        <v>46</v>
      </c>
      <c r="F151" s="112">
        <f t="shared" si="23"/>
        <v>44</v>
      </c>
      <c r="G151" s="112">
        <f t="shared" si="23"/>
        <v>42</v>
      </c>
      <c r="H151" s="112">
        <f t="shared" si="23"/>
        <v>40</v>
      </c>
      <c r="I151" s="112">
        <f t="shared" si="23"/>
        <v>37</v>
      </c>
      <c r="J151" s="111">
        <f t="shared" si="25"/>
        <v>307</v>
      </c>
    </row>
    <row r="152" spans="2:16" ht="15" customHeight="1">
      <c r="B152" s="114">
        <v>2032</v>
      </c>
      <c r="C152" s="113">
        <f t="shared" si="22"/>
        <v>50</v>
      </c>
      <c r="D152" s="112">
        <f t="shared" si="23"/>
        <v>48</v>
      </c>
      <c r="E152" s="112">
        <f t="shared" si="23"/>
        <v>46</v>
      </c>
      <c r="F152" s="112">
        <f t="shared" si="23"/>
        <v>44</v>
      </c>
      <c r="G152" s="112">
        <f t="shared" si="23"/>
        <v>42</v>
      </c>
      <c r="H152" s="112">
        <f t="shared" si="23"/>
        <v>40</v>
      </c>
      <c r="I152" s="112">
        <f t="shared" si="23"/>
        <v>37</v>
      </c>
      <c r="J152" s="111">
        <f t="shared" si="25"/>
        <v>307</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310</v>
      </c>
      <c r="D159" s="108">
        <f>J140</f>
        <v>326</v>
      </c>
      <c r="E159" s="108">
        <f>J141</f>
        <v>323</v>
      </c>
      <c r="F159" s="108">
        <f>J142</f>
        <v>321</v>
      </c>
      <c r="G159" s="108">
        <f>J143</f>
        <v>320</v>
      </c>
      <c r="H159" s="108">
        <f>J144</f>
        <v>318</v>
      </c>
      <c r="I159" s="108">
        <f>J145</f>
        <v>310</v>
      </c>
      <c r="J159" s="108">
        <f>J146</f>
        <v>308</v>
      </c>
      <c r="K159" s="108">
        <f>J147</f>
        <v>307</v>
      </c>
      <c r="L159" s="108">
        <f>J148</f>
        <v>307</v>
      </c>
      <c r="M159" s="108">
        <f>J149</f>
        <v>307</v>
      </c>
      <c r="N159" s="108">
        <f>J150</f>
        <v>307</v>
      </c>
      <c r="O159" s="108">
        <f>J151</f>
        <v>307</v>
      </c>
      <c r="P159" s="108">
        <f>J152</f>
        <v>307</v>
      </c>
    </row>
    <row r="160" spans="2:16" ht="15" customHeight="1">
      <c r="B160" s="107" t="s">
        <v>152</v>
      </c>
      <c r="C160" s="106">
        <f>VLOOKUP(C159,Capacity!$A$1:$C$645,2,TRUE)</f>
        <v>12</v>
      </c>
      <c r="D160" s="106">
        <f>VLOOKUP(D159,Capacity!$A$1:$C$645,2,TRUE)</f>
        <v>13</v>
      </c>
      <c r="E160" s="106">
        <f>VLOOKUP(E159,Capacity!$A$1:$C$645,2,TRUE)</f>
        <v>13</v>
      </c>
      <c r="F160" s="106">
        <f>VLOOKUP(F159,Capacity!$A$1:$C$645,2,TRUE)</f>
        <v>13</v>
      </c>
      <c r="G160" s="106">
        <f>VLOOKUP(G159,Capacity!$A$1:$C$645,2,TRUE)</f>
        <v>13</v>
      </c>
      <c r="H160" s="106">
        <f>VLOOKUP(H159,Capacity!$A$1:$C$645,2,TRUE)</f>
        <v>13</v>
      </c>
      <c r="I160" s="106">
        <f>VLOOKUP(I159,Capacity!$A$1:$C$645,2,TRUE)</f>
        <v>12</v>
      </c>
      <c r="J160" s="106">
        <f>VLOOKUP(J159,Capacity!$A$1:$C$645,2,TRUE)</f>
        <v>12</v>
      </c>
      <c r="K160" s="106">
        <f>VLOOKUP(K159,Capacity!$A$1:$C$645,2,TRUE)</f>
        <v>12</v>
      </c>
      <c r="L160" s="106">
        <f>VLOOKUP(L159,Capacity!$A$1:$C$645,2,TRUE)</f>
        <v>12</v>
      </c>
      <c r="M160" s="106">
        <f>VLOOKUP(M159,Capacity!$A$1:$C$645,2,TRUE)</f>
        <v>12</v>
      </c>
      <c r="N160" s="106">
        <f>VLOOKUP(N159,Capacity!$A$1:$C$645,2,TRUE)</f>
        <v>12</v>
      </c>
      <c r="O160" s="106">
        <f>VLOOKUP(O159,Capacity!$A$1:$C$645,2,TRUE)</f>
        <v>12</v>
      </c>
      <c r="P160" s="106">
        <f>VLOOKUP(P159,Capacity!$A$1:$C$645,2,TRUE)</f>
        <v>12</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71</v>
      </c>
      <c r="D169" s="97">
        <f>VLOOKUP($E$3,'Catchment Births'!$A$1:$U$90,11,FALSE)</f>
        <v>105</v>
      </c>
      <c r="E169" s="97">
        <f>VLOOKUP($E$3,'Catchment Births'!$A$1:$U$90,12,FALSE)</f>
        <v>88</v>
      </c>
      <c r="F169" s="97">
        <f>VLOOKUP($E$3,'Catchment Births'!$A$1:$U$90,13,FALSE)</f>
        <v>95</v>
      </c>
      <c r="G169" s="97">
        <f>VLOOKUP($E$3,'Catchment Births'!$A$1:$U$90,14,FALSE)</f>
        <v>94</v>
      </c>
      <c r="H169" s="97">
        <f>VLOOKUP($E$3,'Catchment Births'!$A$1:$U$90,15,FALSE)</f>
        <v>112</v>
      </c>
      <c r="I169" s="97">
        <f>VLOOKUP($E$3,'Catchment Births'!$A$1:$U$90,16,FALSE)</f>
        <v>99</v>
      </c>
      <c r="J169" s="97">
        <f>VLOOKUP($E$3,'Catchment Births'!$A$1:$U$90,17,FALSE)</f>
        <v>102</v>
      </c>
      <c r="K169" s="97">
        <f>VLOOKUP($E$3,'Catchment Births'!$A$1:$U$90,18,FALSE)</f>
        <v>104</v>
      </c>
      <c r="L169" s="97">
        <f>VLOOKUP($E$3,'Catchment Births'!$A$1:$U$90,19,FALSE)</f>
        <v>126</v>
      </c>
      <c r="M169" s="97">
        <f>VLOOKUP($E$3,'Catchment Births'!$A$1:$U$90,20,FALSE)</f>
        <v>114</v>
      </c>
      <c r="N169" s="97">
        <f>VLOOKUP($E$3,'Catchment Births'!$A$1:$U$90,21,FALSE)</f>
        <v>103</v>
      </c>
    </row>
    <row r="170" spans="2:14" ht="58.5" customHeight="1">
      <c r="B170" s="103" t="str">
        <f>"P1 "&amp;A35&amp;" Catchment Population (Actual)"</f>
        <v>P1 ND Catchment Population (Actual)</v>
      </c>
      <c r="C170" s="102" t="e">
        <v>#REF!</v>
      </c>
      <c r="D170" s="102">
        <v>65</v>
      </c>
      <c r="E170" s="102">
        <v>61</v>
      </c>
      <c r="F170" s="102">
        <v>78</v>
      </c>
      <c r="G170" s="102">
        <v>67</v>
      </c>
      <c r="H170" s="102">
        <v>72</v>
      </c>
      <c r="I170" s="102">
        <v>62</v>
      </c>
      <c r="J170" s="308">
        <f>VLOOKUP(E3,'Catchment Projections'!A1:BU92,42,FALSE)</f>
        <v>68</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62</v>
      </c>
      <c r="J172" s="96" t="e">
        <f>#REF!</f>
        <v>#REF!</v>
      </c>
      <c r="K172" s="96">
        <f>D51</f>
        <v>71</v>
      </c>
      <c r="L172" s="96">
        <f>E51</f>
        <v>67</v>
      </c>
      <c r="M172" s="96">
        <f>F51</f>
        <v>70</v>
      </c>
      <c r="N172" s="96">
        <f>G51</f>
        <v>86</v>
      </c>
    </row>
    <row r="173" spans="2:14" ht="12.75">
      <c r="B173" s="62"/>
      <c r="C173" s="62"/>
      <c r="D173" s="62"/>
      <c r="E173" s="62"/>
      <c r="F173" s="62"/>
      <c r="G173" s="62"/>
      <c r="H173" s="62"/>
      <c r="I173" s="62"/>
      <c r="J173" s="62"/>
      <c r="K173" s="62"/>
    </row>
    <row r="174" spans="2:14" ht="15" customHeight="1">
      <c r="B174" s="64" t="str">
        <f>"Table 5: "&amp;E3&amp;" Roll by Stage, 2002-2018"</f>
        <v>Table 5: Niddrie Mill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34</v>
      </c>
      <c r="D177" s="93">
        <v>27</v>
      </c>
      <c r="E177" s="93">
        <v>34</v>
      </c>
      <c r="F177" s="93">
        <v>32</v>
      </c>
      <c r="G177" s="93">
        <v>29</v>
      </c>
      <c r="H177" s="93">
        <v>33</v>
      </c>
      <c r="I177" s="93">
        <v>35</v>
      </c>
      <c r="J177" s="92">
        <v>224</v>
      </c>
      <c r="K177" s="62"/>
    </row>
    <row r="178" spans="2:11" ht="15" customHeight="1">
      <c r="B178" s="94">
        <v>2003</v>
      </c>
      <c r="C178" s="93">
        <v>26</v>
      </c>
      <c r="D178" s="93">
        <v>32</v>
      </c>
      <c r="E178" s="93">
        <v>29</v>
      </c>
      <c r="F178" s="93">
        <v>35</v>
      </c>
      <c r="G178" s="93">
        <v>36</v>
      </c>
      <c r="H178" s="93">
        <v>30</v>
      </c>
      <c r="I178" s="93">
        <v>34</v>
      </c>
      <c r="J178" s="92">
        <v>222</v>
      </c>
      <c r="K178" s="62"/>
    </row>
    <row r="179" spans="2:11" customFormat="1" ht="15" customHeight="1">
      <c r="B179" s="94">
        <v>2004</v>
      </c>
      <c r="C179" s="95">
        <v>46</v>
      </c>
      <c r="D179" s="95">
        <v>24</v>
      </c>
      <c r="E179" s="95">
        <v>35</v>
      </c>
      <c r="F179" s="95">
        <v>27</v>
      </c>
      <c r="G179" s="95">
        <v>42</v>
      </c>
      <c r="H179" s="95">
        <v>34</v>
      </c>
      <c r="I179" s="95">
        <v>29</v>
      </c>
      <c r="J179" s="92">
        <v>237</v>
      </c>
      <c r="K179" s="62"/>
    </row>
    <row r="180" spans="2:11" customFormat="1" ht="15" customHeight="1">
      <c r="B180" s="94">
        <v>2005</v>
      </c>
      <c r="C180" s="93">
        <v>48</v>
      </c>
      <c r="D180" s="93">
        <v>47</v>
      </c>
      <c r="E180" s="93">
        <v>25</v>
      </c>
      <c r="F180" s="93">
        <v>35</v>
      </c>
      <c r="G180" s="93">
        <v>28</v>
      </c>
      <c r="H180" s="93">
        <v>41</v>
      </c>
      <c r="I180" s="93">
        <v>39</v>
      </c>
      <c r="J180" s="92">
        <v>263</v>
      </c>
      <c r="K180" s="62"/>
    </row>
    <row r="181" spans="2:11" customFormat="1" ht="15" customHeight="1">
      <c r="B181" s="94">
        <v>2006</v>
      </c>
      <c r="C181" s="93">
        <v>41</v>
      </c>
      <c r="D181" s="93">
        <v>43</v>
      </c>
      <c r="E181" s="93">
        <v>44</v>
      </c>
      <c r="F181" s="93">
        <v>24</v>
      </c>
      <c r="G181" s="93">
        <v>35</v>
      </c>
      <c r="H181" s="93">
        <v>24</v>
      </c>
      <c r="I181" s="93">
        <v>42</v>
      </c>
      <c r="J181" s="92">
        <v>253</v>
      </c>
      <c r="K181" s="62"/>
    </row>
    <row r="182" spans="2:11" customFormat="1" ht="15" customHeight="1">
      <c r="B182" s="94">
        <v>2007</v>
      </c>
      <c r="C182" s="93">
        <v>22</v>
      </c>
      <c r="D182" s="93">
        <v>42</v>
      </c>
      <c r="E182" s="93">
        <v>40</v>
      </c>
      <c r="F182" s="93">
        <v>40</v>
      </c>
      <c r="G182" s="93">
        <v>23</v>
      </c>
      <c r="H182" s="93">
        <v>35</v>
      </c>
      <c r="I182" s="93">
        <v>22</v>
      </c>
      <c r="J182" s="92">
        <v>224</v>
      </c>
      <c r="K182" s="62"/>
    </row>
    <row r="183" spans="2:11" customFormat="1" ht="15" customHeight="1">
      <c r="B183" s="94">
        <v>2008</v>
      </c>
      <c r="C183" s="93">
        <v>37</v>
      </c>
      <c r="D183" s="93">
        <v>23</v>
      </c>
      <c r="E183" s="93">
        <v>43</v>
      </c>
      <c r="F183" s="93">
        <v>40</v>
      </c>
      <c r="G183" s="93">
        <v>42</v>
      </c>
      <c r="H183" s="93">
        <v>20</v>
      </c>
      <c r="I183" s="93">
        <v>35</v>
      </c>
      <c r="J183" s="92">
        <v>240</v>
      </c>
      <c r="K183" s="62"/>
    </row>
    <row r="184" spans="2:11" customFormat="1" ht="15" customHeight="1">
      <c r="B184" s="94">
        <v>2009</v>
      </c>
      <c r="C184" s="93">
        <v>35</v>
      </c>
      <c r="D184" s="93">
        <v>34</v>
      </c>
      <c r="E184" s="93">
        <v>29</v>
      </c>
      <c r="F184" s="93">
        <v>42</v>
      </c>
      <c r="G184" s="93">
        <v>40</v>
      </c>
      <c r="H184" s="93">
        <v>39</v>
      </c>
      <c r="I184" s="93">
        <v>27</v>
      </c>
      <c r="J184" s="94">
        <v>246</v>
      </c>
      <c r="K184" s="62"/>
    </row>
    <row r="185" spans="2:11" customFormat="1" ht="15" customHeight="1">
      <c r="B185" s="94">
        <v>2010</v>
      </c>
      <c r="C185" s="93">
        <v>43</v>
      </c>
      <c r="D185" s="93">
        <v>35</v>
      </c>
      <c r="E185" s="93">
        <v>35</v>
      </c>
      <c r="F185" s="93">
        <v>31</v>
      </c>
      <c r="G185" s="93">
        <v>38</v>
      </c>
      <c r="H185" s="93">
        <v>37</v>
      </c>
      <c r="I185" s="93">
        <v>38</v>
      </c>
      <c r="J185" s="92">
        <v>257</v>
      </c>
      <c r="K185" s="62"/>
    </row>
    <row r="186" spans="2:11" customFormat="1" ht="15" customHeight="1">
      <c r="B186" s="94">
        <v>2011</v>
      </c>
      <c r="C186" s="93">
        <v>53</v>
      </c>
      <c r="D186" s="93">
        <v>43</v>
      </c>
      <c r="E186" s="93">
        <v>39</v>
      </c>
      <c r="F186" s="93">
        <v>35</v>
      </c>
      <c r="G186" s="93">
        <v>30</v>
      </c>
      <c r="H186" s="93">
        <v>38</v>
      </c>
      <c r="I186" s="93">
        <v>35</v>
      </c>
      <c r="J186" s="92">
        <v>273</v>
      </c>
      <c r="K186" s="62"/>
    </row>
    <row r="187" spans="2:11" customFormat="1" ht="15" customHeight="1">
      <c r="B187" s="94">
        <v>2012</v>
      </c>
      <c r="C187" s="93">
        <v>44</v>
      </c>
      <c r="D187" s="93">
        <v>50</v>
      </c>
      <c r="E187" s="93">
        <v>39</v>
      </c>
      <c r="F187" s="93">
        <v>38</v>
      </c>
      <c r="G187" s="93">
        <v>34</v>
      </c>
      <c r="H187" s="93">
        <v>29</v>
      </c>
      <c r="I187" s="93">
        <v>36</v>
      </c>
      <c r="J187" s="92">
        <v>270</v>
      </c>
      <c r="K187" s="62"/>
    </row>
    <row r="188" spans="2:11" customFormat="1" ht="15" customHeight="1">
      <c r="B188" s="94">
        <v>2013</v>
      </c>
      <c r="C188" s="93">
        <v>44</v>
      </c>
      <c r="D188" s="93">
        <v>39</v>
      </c>
      <c r="E188" s="93">
        <v>47</v>
      </c>
      <c r="F188" s="93">
        <v>39</v>
      </c>
      <c r="G188" s="93">
        <v>38</v>
      </c>
      <c r="H188" s="93">
        <v>34</v>
      </c>
      <c r="I188" s="93">
        <v>29</v>
      </c>
      <c r="J188" s="94">
        <v>270</v>
      </c>
      <c r="K188" s="62"/>
    </row>
    <row r="189" spans="2:11" customFormat="1" ht="15" customHeight="1">
      <c r="B189" s="94">
        <v>2014</v>
      </c>
      <c r="C189" s="93">
        <v>53</v>
      </c>
      <c r="D189" s="93">
        <v>43</v>
      </c>
      <c r="E189" s="93">
        <v>40</v>
      </c>
      <c r="F189" s="93">
        <v>45</v>
      </c>
      <c r="G189" s="93">
        <v>36</v>
      </c>
      <c r="H189" s="93">
        <v>37</v>
      </c>
      <c r="I189" s="93">
        <v>30</v>
      </c>
      <c r="J189" s="92">
        <v>284</v>
      </c>
      <c r="K189" s="65"/>
    </row>
    <row r="190" spans="2:11" customFormat="1" ht="15" customHeight="1">
      <c r="B190" s="94">
        <v>2015</v>
      </c>
      <c r="C190" s="93">
        <v>42</v>
      </c>
      <c r="D190" s="93">
        <v>50</v>
      </c>
      <c r="E190" s="93">
        <v>45</v>
      </c>
      <c r="F190" s="93">
        <v>39</v>
      </c>
      <c r="G190" s="93">
        <v>42</v>
      </c>
      <c r="H190" s="93">
        <v>32</v>
      </c>
      <c r="I190" s="93">
        <v>34</v>
      </c>
      <c r="J190" s="92">
        <v>284</v>
      </c>
      <c r="K190" s="65"/>
    </row>
    <row r="191" spans="2:11" customFormat="1" ht="15" customHeight="1">
      <c r="B191" s="94">
        <v>2016</v>
      </c>
      <c r="C191" s="93">
        <v>52</v>
      </c>
      <c r="D191" s="93">
        <v>44</v>
      </c>
      <c r="E191" s="93">
        <v>45</v>
      </c>
      <c r="F191" s="93">
        <v>40</v>
      </c>
      <c r="G191" s="93">
        <v>41</v>
      </c>
      <c r="H191" s="93">
        <v>39</v>
      </c>
      <c r="I191" s="93">
        <v>26</v>
      </c>
      <c r="J191" s="92">
        <v>287</v>
      </c>
      <c r="K191" s="65"/>
    </row>
    <row r="192" spans="2:11" ht="15" customHeight="1">
      <c r="B192" s="94">
        <v>2017</v>
      </c>
      <c r="C192" s="93">
        <f>VLOOKUP($E$3,Rolls!A1:FA90,42,FALSE)</f>
        <v>38</v>
      </c>
      <c r="D192" s="93">
        <f>VLOOKUP($E$3,Rolls!A1:FA90,43,FALSE)</f>
        <v>46</v>
      </c>
      <c r="E192" s="93">
        <f>VLOOKUP($E$3,Rolls!A1:FA90,44,FALSE)</f>
        <v>42</v>
      </c>
      <c r="F192" s="93">
        <f>VLOOKUP($E$3,Rolls!A1:FA90,45,FALSE)</f>
        <v>48</v>
      </c>
      <c r="G192" s="93">
        <f>VLOOKUP($E$3,Rolls!A1:FA90,46,FALSE)</f>
        <v>39</v>
      </c>
      <c r="H192" s="93">
        <f>VLOOKUP($E$3,Rolls!A1:FA90,47,FALSE)</f>
        <v>39</v>
      </c>
      <c r="I192" s="93">
        <f>VLOOKUP($E$3,Rolls!A1:FA90,48,FALSE)</f>
        <v>39</v>
      </c>
      <c r="J192" s="92">
        <f>VLOOKUP($E$3,Rolls!A1:FA90,49,FALSE)</f>
        <v>291</v>
      </c>
      <c r="K192" s="65"/>
    </row>
    <row r="193" spans="2:11" ht="15" customHeight="1">
      <c r="B193" s="94">
        <v>2018</v>
      </c>
      <c r="C193" s="93">
        <f>VLOOKUP($E$3,Rolls!A1:FA90,50,FALSE)</f>
        <v>50</v>
      </c>
      <c r="D193" s="93">
        <f>VLOOKUP($E$3,Rolls!A1:FA90,51,FALSE)</f>
        <v>42</v>
      </c>
      <c r="E193" s="93">
        <f>VLOOKUP($E$3,Rolls!A1:FA90,52,FALSE)</f>
        <v>39</v>
      </c>
      <c r="F193" s="93">
        <f>VLOOKUP($E$3,Rolls!A1:FA90,53,FALSE)</f>
        <v>40</v>
      </c>
      <c r="G193" s="93">
        <f>VLOOKUP($E$3,Rolls!A1:FA90,54,FALSE)</f>
        <v>45</v>
      </c>
      <c r="H193" s="93">
        <f>VLOOKUP($E$3,Rolls!A1:FA90,55,FALSE)</f>
        <v>38</v>
      </c>
      <c r="I193" s="93">
        <f>VLOOKUP($E$3,Rolls!A1:FA90,56,FALSE)</f>
        <v>41</v>
      </c>
      <c r="J193" s="92">
        <f>VLOOKUP($E$3,Rolls!A1:FA90,57,FALSE)</f>
        <v>295</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53</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Oxgangs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434 Pupils (15 classes)</v>
      </c>
      <c r="G12" s="16"/>
      <c r="H12" s="16"/>
    </row>
    <row r="13" spans="2:10" ht="15" customHeight="1">
      <c r="C13" s="16"/>
      <c r="D13" s="16"/>
      <c r="E13" s="16"/>
      <c r="F13" s="16"/>
      <c r="G13" s="16"/>
      <c r="H13" s="16"/>
    </row>
    <row r="14" spans="2:10" ht="15" customHeight="1">
      <c r="B14" s="15" t="str">
        <f>"Figure 1: "&amp;E3&amp;" Roll, 2002-2015"</f>
        <v>Figure 1: Oxgangs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Oxgangs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57</v>
      </c>
      <c r="E49" s="108">
        <f>VLOOKUP($E$3,'Catchment Projections'!$A$1:$BU$90,46,FALSE)</f>
        <v>57</v>
      </c>
      <c r="F49" s="108">
        <f>VLOOKUP($E$3,'Catchment Projections'!$A$1:$BU$90,47,FALSE)</f>
        <v>63</v>
      </c>
      <c r="G49" s="108">
        <f>VLOOKUP($E$3,'Catchment Projections'!$A$1:$BU$90,48,FALSE)</f>
        <v>51</v>
      </c>
      <c r="H49" s="133">
        <f>VLOOKUP($E$3,'Catchment Projections'!$A$1:$BU$90,49,FALSE)</f>
        <v>57</v>
      </c>
      <c r="I49" s="133">
        <f>VLOOKUP($E$3,'Catchment Projections'!$A$1:$BU$90,50,FALSE)</f>
        <v>58</v>
      </c>
      <c r="J49" s="133">
        <f>VLOOKUP($E$3,'Catchment Projections'!$A$1:$BU$90,51,FALSE)</f>
        <v>59</v>
      </c>
      <c r="K49" s="133">
        <f>VLOOKUP($E$3,'Catchment Projections'!$A$1:$BU$90,52,FALSE)</f>
        <v>59</v>
      </c>
      <c r="L49" s="133">
        <f>VLOOKUP($E$3,'Catchment Projections'!$A$1:$BU$90,53,FALSE)</f>
        <v>60</v>
      </c>
      <c r="M49" s="133">
        <f>VLOOKUP($E$3,'Catchment Projections'!$A$1:$BU$90,54,FALSE)</f>
        <v>60</v>
      </c>
      <c r="N49" s="133">
        <f>VLOOKUP($E$3,'Catchment Projections'!$A$1:$BU$90,55,FALSE)</f>
        <v>60</v>
      </c>
      <c r="O49" s="133">
        <f>VLOOKUP($E$3,'Catchment Projections'!$A$1:$BU$90,56,FALSE)</f>
        <v>61</v>
      </c>
      <c r="P49" s="133">
        <f>VLOOKUP($E$3,'Catchment Projections'!$A$1:$BU$90,57,FALSE)</f>
        <v>61</v>
      </c>
      <c r="Q49" s="133">
        <f>VLOOKUP($E$3,'Catchment Projections'!$A$1:$BU$90,58,FALSE)</f>
        <v>61</v>
      </c>
    </row>
    <row r="50" spans="2:17" ht="15" customHeight="1" thickBot="1">
      <c r="B50" s="410" t="s">
        <v>141</v>
      </c>
      <c r="C50" s="411"/>
      <c r="D50" s="286">
        <f>VLOOKUP(E3,'Housing Generation'!$A$3:$DQ$90,10,FALSE)</f>
        <v>0</v>
      </c>
      <c r="E50" s="286">
        <f>VLOOKUP(E3,'Housing Generation'!$A$3:$DQ$90,18,FALSE)</f>
        <v>1</v>
      </c>
      <c r="F50" s="286">
        <f>VLOOKUP(E3,'Housing Generation'!$A$3:$DQ$90,26,FALSE)</f>
        <v>1</v>
      </c>
      <c r="G50" s="243">
        <f>VLOOKUP(E3,'Housing Generation'!$A$3:$DQ$90,34,FALSE)</f>
        <v>1</v>
      </c>
      <c r="H50" s="133">
        <f>VLOOKUP(E3,'Housing Generation'!$A$3:$DQ$90,42,FALSE)</f>
        <v>1</v>
      </c>
      <c r="I50" s="133">
        <f>VLOOKUP(E3,'Housing Generation'!$A$3:$DQ$90,50,FALSE)</f>
        <v>1</v>
      </c>
      <c r="J50" s="133">
        <f>VLOOKUP(E3,'Housing Generation'!$A$3:$CK$90,58,FALSE)</f>
        <v>1</v>
      </c>
      <c r="K50" s="133">
        <f>VLOOKUP(E3,'Housing Generation'!$A$3:$CK$90,66,FALSE)</f>
        <v>1</v>
      </c>
      <c r="L50" s="133">
        <f>VLOOKUP(E3,'Housing Generation'!$A$3:$DQ$90,74,FALSE)</f>
        <v>1</v>
      </c>
      <c r="M50" s="133">
        <f>VLOOKUP(E3,'Housing Generation'!$A$3:$DQ$90,82,FALSE)</f>
        <v>1</v>
      </c>
      <c r="N50" s="133">
        <f>VLOOKUP(E3,'Housing Generation'!$A$3:$DQ$90,90,FALSE)</f>
        <v>1</v>
      </c>
      <c r="O50" s="133">
        <f>VLOOKUP(E3,'Housing Generation'!$A$3:$DQ$90,98,FALSE)</f>
        <v>1</v>
      </c>
      <c r="P50" s="133">
        <f>VLOOKUP(E3,'Housing Generation'!$A$3:$DQ$90,106,FALSE)</f>
        <v>1</v>
      </c>
      <c r="Q50" s="133">
        <f>VLOOKUP(E3,'Housing Generation'!$A$3:$DQ$90,114,FALSE)</f>
        <v>1</v>
      </c>
    </row>
    <row r="51" spans="2:17" ht="15" customHeight="1" thickTop="1">
      <c r="B51" s="421" t="s">
        <v>130</v>
      </c>
      <c r="C51" s="422"/>
      <c r="D51" s="47">
        <f t="shared" ref="D51:Q51" si="0">SUM(D49:D50)</f>
        <v>57</v>
      </c>
      <c r="E51" s="47">
        <f t="shared" si="0"/>
        <v>58</v>
      </c>
      <c r="F51" s="80">
        <f t="shared" si="0"/>
        <v>64</v>
      </c>
      <c r="G51" s="244">
        <f t="shared" si="0"/>
        <v>52</v>
      </c>
      <c r="H51" s="71">
        <f t="shared" si="0"/>
        <v>58</v>
      </c>
      <c r="I51" s="71">
        <f t="shared" si="0"/>
        <v>59</v>
      </c>
      <c r="J51" s="71">
        <f t="shared" si="0"/>
        <v>60</v>
      </c>
      <c r="K51" s="71">
        <f t="shared" si="0"/>
        <v>60</v>
      </c>
      <c r="L51" s="71">
        <f t="shared" si="0"/>
        <v>61</v>
      </c>
      <c r="M51" s="71">
        <f t="shared" si="0"/>
        <v>61</v>
      </c>
      <c r="N51" s="71">
        <f t="shared" si="0"/>
        <v>61</v>
      </c>
      <c r="O51" s="71">
        <f t="shared" si="0"/>
        <v>62</v>
      </c>
      <c r="P51" s="71">
        <f t="shared" si="0"/>
        <v>62</v>
      </c>
      <c r="Q51" s="71">
        <f t="shared" si="0"/>
        <v>62</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64</v>
      </c>
      <c r="D60" s="358">
        <f>VLOOKUP($E$3,'Catchment Projections'!$A$1:$BZ$90,74,FALSE)</f>
        <v>50</v>
      </c>
      <c r="E60" s="303">
        <f>D60/C60</f>
        <v>0.78125</v>
      </c>
      <c r="G60" s="132">
        <v>2014</v>
      </c>
      <c r="H60" s="395">
        <f>VLOOKUP($G$60,$B$177:$C$215, 2, FALSE)</f>
        <v>56</v>
      </c>
      <c r="I60" s="120">
        <f>H60-D60</f>
        <v>6</v>
      </c>
      <c r="J60" s="121">
        <f>I60/H60</f>
        <v>0.10714285714285714</v>
      </c>
    </row>
    <row r="61" spans="2:17" ht="15" customHeight="1">
      <c r="B61" s="132">
        <v>2015</v>
      </c>
      <c r="C61" s="359">
        <f>VLOOKUP($E$3,'Catchment Projections'!$A$1:$BZ$90,41,FALSE)</f>
        <v>65</v>
      </c>
      <c r="D61" s="358">
        <f>VLOOKUP($E$3,'Catchment Projections'!$A$1:$BZ$90,75,FALSE)</f>
        <v>55</v>
      </c>
      <c r="E61" s="303">
        <f>D61/C61</f>
        <v>0.84615384615384615</v>
      </c>
      <c r="G61" s="132">
        <v>2015</v>
      </c>
      <c r="H61" s="395">
        <f>VLOOKUP($G$61,$B$177:$C$215, 2, FALSE)</f>
        <v>60</v>
      </c>
      <c r="I61" s="120">
        <f>H61-D61</f>
        <v>5</v>
      </c>
      <c r="J61" s="121">
        <f>I61/H61</f>
        <v>8.3333333333333329E-2</v>
      </c>
    </row>
    <row r="62" spans="2:17" ht="15" customHeight="1">
      <c r="B62" s="131">
        <v>2016</v>
      </c>
      <c r="C62" s="359">
        <f>VLOOKUP($E$3,'Catchment Projections'!$A$1:$BZ$90,42,FALSE)</f>
        <v>59</v>
      </c>
      <c r="D62" s="358">
        <f>VLOOKUP($E$3,'Catchment Projections'!$A$1:$BZ$90,76,FALSE)</f>
        <v>53</v>
      </c>
      <c r="E62" s="57">
        <f>D62/C62</f>
        <v>0.89830508474576276</v>
      </c>
      <c r="G62" s="131">
        <v>2016</v>
      </c>
      <c r="H62" s="395">
        <f>VLOOKUP($G$62,$B$177:$C$215, 2, FALSE)</f>
        <v>57</v>
      </c>
      <c r="I62" s="120">
        <f>H62-D62</f>
        <v>4</v>
      </c>
      <c r="J62" s="121">
        <f>I62/H62</f>
        <v>7.0175438596491224E-2</v>
      </c>
    </row>
    <row r="63" spans="2:17" ht="15" customHeight="1">
      <c r="B63" s="114">
        <v>2017</v>
      </c>
      <c r="C63" s="359">
        <f>VLOOKUP($E$3,'Catchment Projections'!$A$1:$BZ$90,43,FALSE)</f>
        <v>60</v>
      </c>
      <c r="D63" s="358">
        <f>VLOOKUP($E$3,'Catchment Projections'!$A$1:$BZ$90,77,FALSE)</f>
        <v>50</v>
      </c>
      <c r="E63" s="304">
        <f>D63/C63</f>
        <v>0.83333333333333337</v>
      </c>
      <c r="G63" s="114">
        <v>2017</v>
      </c>
      <c r="H63" s="395">
        <f>VLOOKUP($G$63,$B$177:$C$215, 2, FALSE)</f>
        <v>57</v>
      </c>
      <c r="I63" s="120">
        <f>H63-D63</f>
        <v>7</v>
      </c>
      <c r="J63" s="121">
        <f>I63/H63</f>
        <v>0.12280701754385964</v>
      </c>
    </row>
    <row r="64" spans="2:17" ht="15" customHeight="1">
      <c r="B64" s="114">
        <v>2018</v>
      </c>
      <c r="C64" s="359">
        <f>VLOOKUP($E$3,'Catchment Projections'!$A$1:$BZ$90,44,FALSE)</f>
        <v>56</v>
      </c>
      <c r="D64" s="358">
        <f>VLOOKUP($E$3,'Catchment Projections'!$A$1:$BZ$90,78,FALSE)</f>
        <v>48</v>
      </c>
      <c r="E64" s="305">
        <f>D64/C64</f>
        <v>0.8571428571428571</v>
      </c>
      <c r="G64" s="114">
        <v>2018</v>
      </c>
      <c r="H64" s="395">
        <f>VLOOKUP($G$64,$B$177:$C$215, 2, FALSE)</f>
        <v>57</v>
      </c>
      <c r="I64" s="120">
        <f>H64-D64</f>
        <v>9</v>
      </c>
      <c r="J64" s="121">
        <f>I64/H64</f>
        <v>0.15789473684210525</v>
      </c>
    </row>
    <row r="65" spans="2:10" ht="15" customHeight="1">
      <c r="B65" s="412" t="s">
        <v>136</v>
      </c>
      <c r="C65" s="413"/>
      <c r="D65" s="414"/>
      <c r="E65" s="137">
        <f>IF((AVERAGE(E62:E64))="#DIV/0!","n/a",(AVERAGE(E62:E64)))</f>
        <v>0.86292709174065108</v>
      </c>
      <c r="G65" s="415" t="s">
        <v>137</v>
      </c>
      <c r="H65" s="416"/>
      <c r="I65" s="138">
        <f>MEDIAN(I60:I64)</f>
        <v>6</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57</v>
      </c>
      <c r="D70" s="408"/>
      <c r="E70" s="122">
        <f>E65</f>
        <v>0.86292709174065108</v>
      </c>
      <c r="F70" s="120">
        <f t="shared" ref="F70:F83" si="1">C70*$E$65</f>
        <v>49.186844229217108</v>
      </c>
      <c r="G70" s="118">
        <f>IF(F70&lt;26,25,IF(F70&gt;135,140,IF(F70&gt;130,135,IF(F70&gt;125,130,IF(F70&gt;120,125,IF(F70&gt;115,120,IF(F70&gt;110,115,IF(F70&gt;105,110,IF(F70&gt;100,105,IF(F70&gt;99,100,IF(F70&gt;90,99,IF(F70&gt;75,90,IF(F70&gt;72,75,IF(F70&gt;66,72,IF(F70&gt;60,66,IF(F70&gt;50,60,IF(F70&gt;30,50,IF(F70&gt;25,30,0))))))))))))))))))</f>
        <v>50</v>
      </c>
      <c r="H70" s="119">
        <f t="shared" ref="H70:H83" si="2">G70-F70</f>
        <v>0.81315577078289181</v>
      </c>
      <c r="I70" s="118" t="str">
        <f>IF(I$65&lt;H70, "NO", "YES")</f>
        <v>YES</v>
      </c>
      <c r="J70" s="117">
        <f t="shared" ref="J70:J83" si="3">IF(I70="YES",G70,(MIN((SUM(F70,$I$65)),G70)))</f>
        <v>50</v>
      </c>
    </row>
    <row r="71" spans="2:10" ht="15" customHeight="1">
      <c r="B71" s="114">
        <v>2020</v>
      </c>
      <c r="C71" s="433">
        <f>E51</f>
        <v>58</v>
      </c>
      <c r="D71" s="408"/>
      <c r="E71" s="121">
        <f>E65</f>
        <v>0.86292709174065108</v>
      </c>
      <c r="F71" s="120">
        <f t="shared" si="1"/>
        <v>50.04977132095776</v>
      </c>
      <c r="G71" s="118">
        <f t="shared" ref="G71:G83" si="4">IF(F71&lt;26,25,IF(F71&gt;135,140,IF(F71&gt;130,135,IF(F71&gt;125,130,IF(F71&gt;120,125,IF(F71&gt;115,120,IF(F71&gt;110,115,IF(F71&gt;105,110,IF(F71&gt;100,105,IF(F71&gt;99,100,IF(F71&gt;90,99,IF(F71&gt;75,90,IF(F71&gt;72,75,IF(F71&gt;66,72,IF(F71&gt;60,66,IF(F71&gt;50,60,IF(F71&gt;30,50,IF(F71&gt;25,30,0))))))))))))))))))</f>
        <v>60</v>
      </c>
      <c r="H71" s="119">
        <f t="shared" si="2"/>
        <v>9.9502286790422403</v>
      </c>
      <c r="I71" s="118" t="str">
        <f t="shared" ref="I71:I83" si="5">IF(I$65&lt;H71, "NO", "YES")</f>
        <v>NO</v>
      </c>
      <c r="J71" s="117">
        <f t="shared" si="3"/>
        <v>56.04977132095776</v>
      </c>
    </row>
    <row r="72" spans="2:10" ht="15" customHeight="1">
      <c r="B72" s="114">
        <v>2021</v>
      </c>
      <c r="C72" s="430">
        <f>F51</f>
        <v>64</v>
      </c>
      <c r="D72" s="431"/>
      <c r="E72" s="121">
        <f>E65</f>
        <v>0.86292709174065108</v>
      </c>
      <c r="F72" s="120">
        <f t="shared" si="1"/>
        <v>55.227333871401669</v>
      </c>
      <c r="G72" s="118">
        <f t="shared" si="4"/>
        <v>60</v>
      </c>
      <c r="H72" s="119">
        <f t="shared" si="2"/>
        <v>4.7726661285983312</v>
      </c>
      <c r="I72" s="118" t="str">
        <f t="shared" si="5"/>
        <v>YES</v>
      </c>
      <c r="J72" s="117">
        <f t="shared" si="3"/>
        <v>60</v>
      </c>
    </row>
    <row r="73" spans="2:10" ht="15" customHeight="1">
      <c r="B73" s="114">
        <v>2022</v>
      </c>
      <c r="C73" s="430">
        <f>G51</f>
        <v>52</v>
      </c>
      <c r="D73" s="431"/>
      <c r="E73" s="121">
        <f>E65</f>
        <v>0.86292709174065108</v>
      </c>
      <c r="F73" s="120">
        <f t="shared" si="1"/>
        <v>44.872208770513858</v>
      </c>
      <c r="G73" s="118">
        <f t="shared" si="4"/>
        <v>50</v>
      </c>
      <c r="H73" s="119">
        <f t="shared" si="2"/>
        <v>5.1277912294861423</v>
      </c>
      <c r="I73" s="118" t="str">
        <f t="shared" si="5"/>
        <v>YES</v>
      </c>
      <c r="J73" s="117">
        <f t="shared" si="3"/>
        <v>50</v>
      </c>
    </row>
    <row r="74" spans="2:10" ht="15" customHeight="1">
      <c r="B74" s="114">
        <v>2023</v>
      </c>
      <c r="C74" s="430">
        <f>H51</f>
        <v>58</v>
      </c>
      <c r="D74" s="431"/>
      <c r="E74" s="121">
        <f>E65</f>
        <v>0.86292709174065108</v>
      </c>
      <c r="F74" s="120">
        <f t="shared" si="1"/>
        <v>50.04977132095776</v>
      </c>
      <c r="G74" s="118">
        <f t="shared" si="4"/>
        <v>60</v>
      </c>
      <c r="H74" s="119">
        <f t="shared" si="2"/>
        <v>9.9502286790422403</v>
      </c>
      <c r="I74" s="118" t="str">
        <f t="shared" si="5"/>
        <v>NO</v>
      </c>
      <c r="J74" s="117">
        <f t="shared" si="3"/>
        <v>56.04977132095776</v>
      </c>
    </row>
    <row r="75" spans="2:10" ht="15" customHeight="1">
      <c r="B75" s="114">
        <v>2024</v>
      </c>
      <c r="C75" s="430">
        <f>I51</f>
        <v>59</v>
      </c>
      <c r="D75" s="431"/>
      <c r="E75" s="121">
        <f>E65</f>
        <v>0.86292709174065108</v>
      </c>
      <c r="F75" s="120">
        <f t="shared" si="1"/>
        <v>50.912698412698411</v>
      </c>
      <c r="G75" s="118">
        <f t="shared" si="4"/>
        <v>60</v>
      </c>
      <c r="H75" s="119">
        <f t="shared" si="2"/>
        <v>9.0873015873015888</v>
      </c>
      <c r="I75" s="118" t="str">
        <f t="shared" si="5"/>
        <v>NO</v>
      </c>
      <c r="J75" s="117">
        <f t="shared" si="3"/>
        <v>56.912698412698411</v>
      </c>
    </row>
    <row r="76" spans="2:10" ht="15" customHeight="1">
      <c r="B76" s="114">
        <v>2025</v>
      </c>
      <c r="C76" s="430">
        <f>J51</f>
        <v>60</v>
      </c>
      <c r="D76" s="431"/>
      <c r="E76" s="121">
        <f>E65</f>
        <v>0.86292709174065108</v>
      </c>
      <c r="F76" s="120">
        <f t="shared" si="1"/>
        <v>51.775625504439063</v>
      </c>
      <c r="G76" s="118">
        <f t="shared" si="4"/>
        <v>60</v>
      </c>
      <c r="H76" s="119">
        <f t="shared" si="2"/>
        <v>8.2243744955609372</v>
      </c>
      <c r="I76" s="118" t="str">
        <f t="shared" si="5"/>
        <v>NO</v>
      </c>
      <c r="J76" s="117">
        <f t="shared" si="3"/>
        <v>57.775625504439063</v>
      </c>
    </row>
    <row r="77" spans="2:10" ht="15" customHeight="1">
      <c r="B77" s="114">
        <v>2026</v>
      </c>
      <c r="C77" s="430">
        <f>K51</f>
        <v>60</v>
      </c>
      <c r="D77" s="431"/>
      <c r="E77" s="121">
        <f>E65</f>
        <v>0.86292709174065108</v>
      </c>
      <c r="F77" s="120">
        <f t="shared" si="1"/>
        <v>51.775625504439063</v>
      </c>
      <c r="G77" s="118">
        <f t="shared" si="4"/>
        <v>60</v>
      </c>
      <c r="H77" s="119">
        <f t="shared" si="2"/>
        <v>8.2243744955609372</v>
      </c>
      <c r="I77" s="118" t="str">
        <f t="shared" si="5"/>
        <v>NO</v>
      </c>
      <c r="J77" s="117">
        <f t="shared" si="3"/>
        <v>57.775625504439063</v>
      </c>
    </row>
    <row r="78" spans="2:10" ht="15" customHeight="1">
      <c r="B78" s="114">
        <v>2027</v>
      </c>
      <c r="C78" s="430">
        <f>L51</f>
        <v>61</v>
      </c>
      <c r="D78" s="431"/>
      <c r="E78" s="121">
        <f>E65</f>
        <v>0.86292709174065108</v>
      </c>
      <c r="F78" s="120">
        <f t="shared" si="1"/>
        <v>52.638552596179714</v>
      </c>
      <c r="G78" s="118">
        <f t="shared" si="4"/>
        <v>60</v>
      </c>
      <c r="H78" s="119">
        <f t="shared" si="2"/>
        <v>7.3614474038202857</v>
      </c>
      <c r="I78" s="118" t="str">
        <f t="shared" si="5"/>
        <v>NO</v>
      </c>
      <c r="J78" s="117">
        <f t="shared" si="3"/>
        <v>58.638552596179714</v>
      </c>
    </row>
    <row r="79" spans="2:10" ht="15" customHeight="1">
      <c r="B79" s="114">
        <v>2028</v>
      </c>
      <c r="C79" s="430">
        <f>M51</f>
        <v>61</v>
      </c>
      <c r="D79" s="431"/>
      <c r="E79" s="121">
        <f t="shared" ref="E79:E83" si="6">$E$65</f>
        <v>0.86292709174065108</v>
      </c>
      <c r="F79" s="120">
        <f t="shared" si="1"/>
        <v>52.638552596179714</v>
      </c>
      <c r="G79" s="118">
        <f t="shared" si="4"/>
        <v>60</v>
      </c>
      <c r="H79" s="119">
        <f t="shared" si="2"/>
        <v>7.3614474038202857</v>
      </c>
      <c r="I79" s="118" t="str">
        <f t="shared" si="5"/>
        <v>NO</v>
      </c>
      <c r="J79" s="117">
        <f t="shared" si="3"/>
        <v>58.638552596179714</v>
      </c>
    </row>
    <row r="80" spans="2:10" ht="15" customHeight="1">
      <c r="B80" s="114">
        <v>2029</v>
      </c>
      <c r="C80" s="430">
        <f>N51</f>
        <v>61</v>
      </c>
      <c r="D80" s="431"/>
      <c r="E80" s="121">
        <f t="shared" si="6"/>
        <v>0.86292709174065108</v>
      </c>
      <c r="F80" s="120">
        <f t="shared" si="1"/>
        <v>52.638552596179714</v>
      </c>
      <c r="G80" s="118">
        <f t="shared" si="4"/>
        <v>60</v>
      </c>
      <c r="H80" s="119">
        <f t="shared" si="2"/>
        <v>7.3614474038202857</v>
      </c>
      <c r="I80" s="118" t="str">
        <f t="shared" si="5"/>
        <v>NO</v>
      </c>
      <c r="J80" s="117">
        <f t="shared" si="3"/>
        <v>58.638552596179714</v>
      </c>
    </row>
    <row r="81" spans="2:10" ht="15" customHeight="1">
      <c r="B81" s="114">
        <v>2030</v>
      </c>
      <c r="C81" s="430">
        <f>O51</f>
        <v>62</v>
      </c>
      <c r="D81" s="431"/>
      <c r="E81" s="121">
        <f t="shared" si="6"/>
        <v>0.86292709174065108</v>
      </c>
      <c r="F81" s="120">
        <f t="shared" si="1"/>
        <v>53.501479687920366</v>
      </c>
      <c r="G81" s="118">
        <f t="shared" si="4"/>
        <v>60</v>
      </c>
      <c r="H81" s="119">
        <f t="shared" si="2"/>
        <v>6.4985203120796342</v>
      </c>
      <c r="I81" s="118" t="str">
        <f t="shared" si="5"/>
        <v>NO</v>
      </c>
      <c r="J81" s="117">
        <f t="shared" si="3"/>
        <v>59.501479687920366</v>
      </c>
    </row>
    <row r="82" spans="2:10" ht="15" customHeight="1">
      <c r="B82" s="114">
        <v>2031</v>
      </c>
      <c r="C82" s="430">
        <f>P51</f>
        <v>62</v>
      </c>
      <c r="D82" s="431"/>
      <c r="E82" s="121">
        <f t="shared" si="6"/>
        <v>0.86292709174065108</v>
      </c>
      <c r="F82" s="120">
        <f t="shared" si="1"/>
        <v>53.501479687920366</v>
      </c>
      <c r="G82" s="118">
        <f t="shared" si="4"/>
        <v>60</v>
      </c>
      <c r="H82" s="119">
        <f t="shared" si="2"/>
        <v>6.4985203120796342</v>
      </c>
      <c r="I82" s="118" t="str">
        <f t="shared" si="5"/>
        <v>NO</v>
      </c>
      <c r="J82" s="117">
        <f t="shared" si="3"/>
        <v>59.501479687920366</v>
      </c>
    </row>
    <row r="83" spans="2:10" ht="15" customHeight="1">
      <c r="B83" s="114">
        <v>2032</v>
      </c>
      <c r="C83" s="430">
        <f>Q51</f>
        <v>62</v>
      </c>
      <c r="D83" s="431"/>
      <c r="E83" s="121">
        <f t="shared" si="6"/>
        <v>0.86292709174065108</v>
      </c>
      <c r="F83" s="120">
        <f t="shared" si="1"/>
        <v>53.501479687920366</v>
      </c>
      <c r="G83" s="118">
        <f t="shared" si="4"/>
        <v>60</v>
      </c>
      <c r="H83" s="119">
        <f t="shared" si="2"/>
        <v>6.4985203120796342</v>
      </c>
      <c r="I83" s="118" t="str">
        <f t="shared" si="5"/>
        <v>NO</v>
      </c>
      <c r="J83" s="117">
        <f t="shared" si="3"/>
        <v>59.501479687920366</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Oxgangs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66</v>
      </c>
      <c r="D91" s="112">
        <f t="shared" ref="D91:J91" si="7">D188</f>
        <v>63</v>
      </c>
      <c r="E91" s="112">
        <f t="shared" si="7"/>
        <v>67</v>
      </c>
      <c r="F91" s="112">
        <f t="shared" si="7"/>
        <v>45</v>
      </c>
      <c r="G91" s="112">
        <f t="shared" si="7"/>
        <v>53</v>
      </c>
      <c r="H91" s="112">
        <f t="shared" si="7"/>
        <v>52</v>
      </c>
      <c r="I91" s="112">
        <f t="shared" si="7"/>
        <v>41</v>
      </c>
      <c r="J91" s="213">
        <f t="shared" si="7"/>
        <v>387</v>
      </c>
    </row>
    <row r="92" spans="2:10" ht="15" customHeight="1">
      <c r="B92" s="114">
        <v>2014</v>
      </c>
      <c r="C92" s="112">
        <f>C189</f>
        <v>56</v>
      </c>
      <c r="D92" s="112">
        <f t="shared" ref="D92:J92" si="8">D189</f>
        <v>62</v>
      </c>
      <c r="E92" s="112">
        <f t="shared" si="8"/>
        <v>65</v>
      </c>
      <c r="F92" s="112">
        <f t="shared" si="8"/>
        <v>66</v>
      </c>
      <c r="G92" s="112">
        <f t="shared" si="8"/>
        <v>43</v>
      </c>
      <c r="H92" s="112">
        <f t="shared" si="8"/>
        <v>51</v>
      </c>
      <c r="I92" s="112">
        <f t="shared" si="8"/>
        <v>48</v>
      </c>
      <c r="J92" s="213">
        <f t="shared" si="8"/>
        <v>391</v>
      </c>
    </row>
    <row r="93" spans="2:10" ht="15" customHeight="1">
      <c r="B93" s="114">
        <v>2015</v>
      </c>
      <c r="C93" s="112">
        <f>C190</f>
        <v>60</v>
      </c>
      <c r="D93" s="112">
        <f t="shared" ref="D93:J93" si="9">D190</f>
        <v>59</v>
      </c>
      <c r="E93" s="112">
        <f t="shared" si="9"/>
        <v>62</v>
      </c>
      <c r="F93" s="112">
        <f t="shared" si="9"/>
        <v>67</v>
      </c>
      <c r="G93" s="112">
        <f t="shared" si="9"/>
        <v>66</v>
      </c>
      <c r="H93" s="112">
        <f t="shared" si="9"/>
        <v>45</v>
      </c>
      <c r="I93" s="112">
        <f t="shared" si="9"/>
        <v>51</v>
      </c>
      <c r="J93" s="213">
        <f t="shared" si="9"/>
        <v>410</v>
      </c>
    </row>
    <row r="94" spans="2:10" ht="15" customHeight="1">
      <c r="B94" s="114">
        <v>2016</v>
      </c>
      <c r="C94" s="112">
        <f>C191</f>
        <v>57</v>
      </c>
      <c r="D94" s="112">
        <f t="shared" ref="D94:J94" si="10">D191</f>
        <v>60</v>
      </c>
      <c r="E94" s="112">
        <f t="shared" si="10"/>
        <v>58</v>
      </c>
      <c r="F94" s="112">
        <f t="shared" si="10"/>
        <v>63</v>
      </c>
      <c r="G94" s="112">
        <f t="shared" si="10"/>
        <v>64</v>
      </c>
      <c r="H94" s="112">
        <f t="shared" si="10"/>
        <v>64</v>
      </c>
      <c r="I94" s="112">
        <f t="shared" si="10"/>
        <v>47</v>
      </c>
      <c r="J94" s="213">
        <f t="shared" si="10"/>
        <v>413</v>
      </c>
    </row>
    <row r="95" spans="2:10" ht="15" customHeight="1">
      <c r="B95" s="114">
        <v>2017</v>
      </c>
      <c r="C95" s="112">
        <f>C192</f>
        <v>57</v>
      </c>
      <c r="D95" s="112">
        <f t="shared" ref="D95:J95" si="11">D192</f>
        <v>55</v>
      </c>
      <c r="E95" s="112">
        <f t="shared" si="11"/>
        <v>57</v>
      </c>
      <c r="F95" s="112">
        <f t="shared" si="11"/>
        <v>56</v>
      </c>
      <c r="G95" s="112">
        <f t="shared" si="11"/>
        <v>56</v>
      </c>
      <c r="H95" s="112">
        <f t="shared" si="11"/>
        <v>67</v>
      </c>
      <c r="I95" s="112">
        <f t="shared" si="11"/>
        <v>60</v>
      </c>
      <c r="J95" s="213">
        <f t="shared" si="11"/>
        <v>408</v>
      </c>
    </row>
    <row r="96" spans="2:10" ht="15" customHeight="1">
      <c r="B96" s="307">
        <v>2018</v>
      </c>
      <c r="C96" s="112">
        <f t="shared" ref="C96:J96" si="12">C193</f>
        <v>57</v>
      </c>
      <c r="D96" s="112">
        <f t="shared" si="12"/>
        <v>55</v>
      </c>
      <c r="E96" s="112">
        <f t="shared" si="12"/>
        <v>51</v>
      </c>
      <c r="F96" s="112">
        <f t="shared" si="12"/>
        <v>52</v>
      </c>
      <c r="G96" s="112">
        <f t="shared" si="12"/>
        <v>52</v>
      </c>
      <c r="H96" s="112">
        <f t="shared" si="12"/>
        <v>51</v>
      </c>
      <c r="I96" s="112">
        <f t="shared" si="12"/>
        <v>64</v>
      </c>
      <c r="J96" s="213">
        <f t="shared" si="12"/>
        <v>382</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3.5087719298245612E-2</v>
      </c>
      <c r="E98" s="210">
        <f t="shared" ref="E98:I98" si="13">MEDIAN(((D91-E92)/D91),((D92-E93)/D92),((D93-E94)/D93),((D94-E95)/D94),((D95-E96)/D95))</f>
        <v>1.6949152542372881E-2</v>
      </c>
      <c r="F98" s="210">
        <f t="shared" si="13"/>
        <v>1.4925373134328358E-2</v>
      </c>
      <c r="G98" s="210">
        <f t="shared" si="13"/>
        <v>4.4776119402985072E-2</v>
      </c>
      <c r="H98" s="210">
        <f t="shared" si="13"/>
        <v>3.0303030303030304E-2</v>
      </c>
      <c r="I98" s="210">
        <f t="shared" si="13"/>
        <v>4.4776119402985072E-2</v>
      </c>
    </row>
    <row r="99" spans="2:10" ht="15" customHeight="1">
      <c r="B99" s="59"/>
      <c r="C99" s="60"/>
      <c r="D99" s="61"/>
      <c r="E99" s="61"/>
      <c r="F99" s="61"/>
      <c r="G99" s="61"/>
      <c r="H99" s="61"/>
      <c r="I99" s="61"/>
      <c r="J99" s="58"/>
    </row>
    <row r="100" spans="2:10" ht="15" customHeight="1">
      <c r="B100" s="15" t="str">
        <f>"Table 4B: "&amp;E3&amp;" Projected Roll by Stage (incorporating Projected P1 and Drop-Off Rates), 2019-2032"</f>
        <v>Table 4B: Oxgangs Primary School Projected Roll by Stage (incorporating Projected P1 and Drop-Off Rates), 2019-2032</v>
      </c>
      <c r="F100" s="14"/>
      <c r="G100" s="14"/>
    </row>
    <row r="101" spans="2:10" ht="15" customHeight="1">
      <c r="F101" s="14"/>
      <c r="G101" s="14"/>
    </row>
    <row r="102" spans="2:10" ht="15" customHeight="1">
      <c r="B102" s="115"/>
      <c r="C102" s="109" t="s">
        <v>1</v>
      </c>
      <c r="D102" s="109" t="s">
        <v>2</v>
      </c>
      <c r="E102" s="109" t="s">
        <v>3</v>
      </c>
      <c r="F102" s="109" t="s">
        <v>4</v>
      </c>
      <c r="G102" s="109" t="s">
        <v>5</v>
      </c>
      <c r="H102" s="109" t="s">
        <v>6</v>
      </c>
      <c r="I102" s="109" t="s">
        <v>7</v>
      </c>
      <c r="J102" s="109" t="s">
        <v>8</v>
      </c>
    </row>
    <row r="103" spans="2:10" ht="15" customHeight="1">
      <c r="B103" s="114">
        <v>2019</v>
      </c>
      <c r="C103" s="113">
        <f t="shared" ref="C103:C116" si="14">J70</f>
        <v>50</v>
      </c>
      <c r="D103" s="324">
        <f>ROUND((C96)-(C96*$D$98),0)</f>
        <v>55</v>
      </c>
      <c r="E103" s="324">
        <f>ROUND((D96)-(D96*$E$98),0)</f>
        <v>54</v>
      </c>
      <c r="F103" s="324">
        <f>ROUND((E96)-(E96*$F$98),0)</f>
        <v>50</v>
      </c>
      <c r="G103" s="324">
        <f>ROUND((F96)-(F96*$G$98),0)</f>
        <v>50</v>
      </c>
      <c r="H103" s="324">
        <f>ROUND((G96)-(G96*$H$98),0)</f>
        <v>50</v>
      </c>
      <c r="I103" s="324">
        <f>ROUND((H96)-(H96*$I$98),0)</f>
        <v>49</v>
      </c>
      <c r="J103" s="111">
        <f t="shared" ref="J103:J116" si="15">SUM(C103:I103)</f>
        <v>358</v>
      </c>
    </row>
    <row r="104" spans="2:10" ht="15" customHeight="1">
      <c r="B104" s="114">
        <v>2020</v>
      </c>
      <c r="C104" s="113">
        <f t="shared" si="14"/>
        <v>56.04977132095776</v>
      </c>
      <c r="D104" s="324">
        <f>ROUND((C103-E50)-(C103*$D$98),0)</f>
        <v>47</v>
      </c>
      <c r="E104" s="112">
        <f t="shared" ref="E104:E116" si="16">ROUND((D103)-(D103*$E$98),0)</f>
        <v>54</v>
      </c>
      <c r="F104" s="112">
        <f t="shared" ref="F104:F116" si="17">ROUND((E103)-(E103*$F$98),0)</f>
        <v>53</v>
      </c>
      <c r="G104" s="112">
        <f t="shared" ref="G104:G116" si="18">ROUND((F103)-(F103*$G$98),0)</f>
        <v>48</v>
      </c>
      <c r="H104" s="112">
        <f t="shared" ref="H104:H116" si="19">ROUND((G103)-(G103*$H$98),0)</f>
        <v>48</v>
      </c>
      <c r="I104" s="112">
        <f t="shared" ref="I104:I116" si="20">ROUND((H103)-(H103*$I$98),0)</f>
        <v>48</v>
      </c>
      <c r="J104" s="111">
        <f t="shared" si="15"/>
        <v>354.04977132095775</v>
      </c>
    </row>
    <row r="105" spans="2:10" ht="15" customHeight="1">
      <c r="B105" s="114">
        <v>2021</v>
      </c>
      <c r="C105" s="113">
        <f t="shared" si="14"/>
        <v>60</v>
      </c>
      <c r="D105" s="324">
        <f>ROUND((C104-F50)-(C104*$D$98),0)</f>
        <v>53</v>
      </c>
      <c r="E105" s="112">
        <f t="shared" si="16"/>
        <v>46</v>
      </c>
      <c r="F105" s="112">
        <f t="shared" si="17"/>
        <v>53</v>
      </c>
      <c r="G105" s="112">
        <f t="shared" si="18"/>
        <v>51</v>
      </c>
      <c r="H105" s="112">
        <f t="shared" si="19"/>
        <v>47</v>
      </c>
      <c r="I105" s="112">
        <f t="shared" si="20"/>
        <v>46</v>
      </c>
      <c r="J105" s="111">
        <f t="shared" si="15"/>
        <v>356</v>
      </c>
    </row>
    <row r="106" spans="2:10" ht="15" customHeight="1">
      <c r="B106" s="114">
        <v>2022</v>
      </c>
      <c r="C106" s="113">
        <f t="shared" si="14"/>
        <v>50</v>
      </c>
      <c r="D106" s="324">
        <f>ROUND((C105-G50)-(C105*$D$98),0)</f>
        <v>57</v>
      </c>
      <c r="E106" s="112">
        <f t="shared" si="16"/>
        <v>52</v>
      </c>
      <c r="F106" s="112">
        <f t="shared" si="17"/>
        <v>45</v>
      </c>
      <c r="G106" s="112">
        <f t="shared" si="18"/>
        <v>51</v>
      </c>
      <c r="H106" s="112">
        <f t="shared" si="19"/>
        <v>49</v>
      </c>
      <c r="I106" s="112">
        <f t="shared" si="20"/>
        <v>45</v>
      </c>
      <c r="J106" s="111">
        <f t="shared" si="15"/>
        <v>349</v>
      </c>
    </row>
    <row r="107" spans="2:10" ht="15" customHeight="1">
      <c r="B107" s="114">
        <v>2023</v>
      </c>
      <c r="C107" s="113">
        <f t="shared" si="14"/>
        <v>56.04977132095776</v>
      </c>
      <c r="D107" s="324">
        <f>ROUND((C106-H50)-(C106*$D$98),0)</f>
        <v>47</v>
      </c>
      <c r="E107" s="112">
        <f t="shared" si="16"/>
        <v>56</v>
      </c>
      <c r="F107" s="112">
        <f t="shared" si="17"/>
        <v>51</v>
      </c>
      <c r="G107" s="112">
        <f t="shared" si="18"/>
        <v>43</v>
      </c>
      <c r="H107" s="112">
        <f t="shared" si="19"/>
        <v>49</v>
      </c>
      <c r="I107" s="112">
        <f t="shared" si="20"/>
        <v>47</v>
      </c>
      <c r="J107" s="111">
        <f t="shared" si="15"/>
        <v>349.04977132095775</v>
      </c>
    </row>
    <row r="108" spans="2:10" ht="15" customHeight="1">
      <c r="B108" s="114">
        <v>2024</v>
      </c>
      <c r="C108" s="113">
        <f t="shared" si="14"/>
        <v>56.912698412698411</v>
      </c>
      <c r="D108" s="324">
        <f>ROUND((C107-I50)-(C107*$D$98),0)</f>
        <v>53</v>
      </c>
      <c r="E108" s="112">
        <f t="shared" si="16"/>
        <v>46</v>
      </c>
      <c r="F108" s="112">
        <f t="shared" si="17"/>
        <v>55</v>
      </c>
      <c r="G108" s="112">
        <f t="shared" si="18"/>
        <v>49</v>
      </c>
      <c r="H108" s="112">
        <f t="shared" si="19"/>
        <v>42</v>
      </c>
      <c r="I108" s="112">
        <f t="shared" si="20"/>
        <v>47</v>
      </c>
      <c r="J108" s="111">
        <f t="shared" si="15"/>
        <v>348.91269841269843</v>
      </c>
    </row>
    <row r="109" spans="2:10" ht="15" customHeight="1">
      <c r="B109" s="114">
        <v>2025</v>
      </c>
      <c r="C109" s="113">
        <f t="shared" si="14"/>
        <v>57.775625504439063</v>
      </c>
      <c r="D109" s="324">
        <f>ROUND((C108-J50)-(C108*$D$98),0)</f>
        <v>54</v>
      </c>
      <c r="E109" s="112">
        <f t="shared" si="16"/>
        <v>52</v>
      </c>
      <c r="F109" s="112">
        <f t="shared" si="17"/>
        <v>45</v>
      </c>
      <c r="G109" s="112">
        <f t="shared" si="18"/>
        <v>53</v>
      </c>
      <c r="H109" s="112">
        <f t="shared" si="19"/>
        <v>48</v>
      </c>
      <c r="I109" s="112">
        <f t="shared" si="20"/>
        <v>40</v>
      </c>
      <c r="J109" s="111">
        <f t="shared" si="15"/>
        <v>349.77562550443906</v>
      </c>
    </row>
    <row r="110" spans="2:10" ht="15" customHeight="1">
      <c r="B110" s="114">
        <v>2026</v>
      </c>
      <c r="C110" s="113">
        <f t="shared" si="14"/>
        <v>57.775625504439063</v>
      </c>
      <c r="D110" s="324">
        <f>ROUND((C109-K50)-(C109*$D$98),0)</f>
        <v>55</v>
      </c>
      <c r="E110" s="112">
        <f t="shared" si="16"/>
        <v>53</v>
      </c>
      <c r="F110" s="112">
        <f t="shared" si="17"/>
        <v>51</v>
      </c>
      <c r="G110" s="112">
        <f t="shared" si="18"/>
        <v>43</v>
      </c>
      <c r="H110" s="112">
        <f t="shared" si="19"/>
        <v>51</v>
      </c>
      <c r="I110" s="112">
        <f t="shared" si="20"/>
        <v>46</v>
      </c>
      <c r="J110" s="111">
        <f t="shared" si="15"/>
        <v>356.77562550443906</v>
      </c>
    </row>
    <row r="111" spans="2:10" ht="15" customHeight="1">
      <c r="B111" s="114">
        <v>2027</v>
      </c>
      <c r="C111" s="113">
        <f t="shared" si="14"/>
        <v>58.638552596179714</v>
      </c>
      <c r="D111" s="324">
        <f>ROUND((C110-L50)-(C110*$D$98),0)</f>
        <v>55</v>
      </c>
      <c r="E111" s="112">
        <f t="shared" si="16"/>
        <v>54</v>
      </c>
      <c r="F111" s="112">
        <f t="shared" si="17"/>
        <v>52</v>
      </c>
      <c r="G111" s="112">
        <f t="shared" si="18"/>
        <v>49</v>
      </c>
      <c r="H111" s="112">
        <f t="shared" si="19"/>
        <v>42</v>
      </c>
      <c r="I111" s="112">
        <f t="shared" si="20"/>
        <v>49</v>
      </c>
      <c r="J111" s="111">
        <f t="shared" si="15"/>
        <v>359.63855259617969</v>
      </c>
    </row>
    <row r="112" spans="2:10" ht="15" customHeight="1">
      <c r="B112" s="114">
        <v>2028</v>
      </c>
      <c r="C112" s="113">
        <f t="shared" si="14"/>
        <v>58.638552596179714</v>
      </c>
      <c r="D112" s="324">
        <f>ROUND((C111-M50)-(C111*$D$98),0)</f>
        <v>56</v>
      </c>
      <c r="E112" s="112">
        <f t="shared" si="16"/>
        <v>54</v>
      </c>
      <c r="F112" s="112">
        <f t="shared" si="17"/>
        <v>53</v>
      </c>
      <c r="G112" s="112">
        <f t="shared" si="18"/>
        <v>50</v>
      </c>
      <c r="H112" s="112">
        <f t="shared" si="19"/>
        <v>48</v>
      </c>
      <c r="I112" s="112">
        <f t="shared" si="20"/>
        <v>40</v>
      </c>
      <c r="J112" s="111">
        <f t="shared" si="15"/>
        <v>359.63855259617969</v>
      </c>
    </row>
    <row r="113" spans="2:10" ht="15" customHeight="1">
      <c r="B113" s="114">
        <v>2029</v>
      </c>
      <c r="C113" s="113">
        <f t="shared" si="14"/>
        <v>58.638552596179714</v>
      </c>
      <c r="D113" s="324">
        <f>ROUND((C112-N50)-(C112*$D$98),0)</f>
        <v>56</v>
      </c>
      <c r="E113" s="112">
        <f t="shared" si="16"/>
        <v>55</v>
      </c>
      <c r="F113" s="112">
        <f t="shared" si="17"/>
        <v>53</v>
      </c>
      <c r="G113" s="112">
        <f t="shared" si="18"/>
        <v>51</v>
      </c>
      <c r="H113" s="112">
        <f t="shared" si="19"/>
        <v>48</v>
      </c>
      <c r="I113" s="112">
        <f t="shared" si="20"/>
        <v>46</v>
      </c>
      <c r="J113" s="111">
        <f t="shared" si="15"/>
        <v>367.63855259617969</v>
      </c>
    </row>
    <row r="114" spans="2:10" ht="15" customHeight="1">
      <c r="B114" s="114">
        <v>2030</v>
      </c>
      <c r="C114" s="113">
        <f t="shared" si="14"/>
        <v>59.501479687920366</v>
      </c>
      <c r="D114" s="324">
        <f>ROUND((C113-O50)-(C113*$D$98),0)</f>
        <v>56</v>
      </c>
      <c r="E114" s="112">
        <f t="shared" si="16"/>
        <v>55</v>
      </c>
      <c r="F114" s="112">
        <f t="shared" si="17"/>
        <v>54</v>
      </c>
      <c r="G114" s="112">
        <f t="shared" si="18"/>
        <v>51</v>
      </c>
      <c r="H114" s="112">
        <f t="shared" si="19"/>
        <v>49</v>
      </c>
      <c r="I114" s="112">
        <f t="shared" si="20"/>
        <v>46</v>
      </c>
      <c r="J114" s="111">
        <f t="shared" si="15"/>
        <v>370.50147968792038</v>
      </c>
    </row>
    <row r="115" spans="2:10" ht="15" customHeight="1">
      <c r="B115" s="114">
        <v>2031</v>
      </c>
      <c r="C115" s="113">
        <f t="shared" si="14"/>
        <v>59.501479687920366</v>
      </c>
      <c r="D115" s="324">
        <f>ROUND((C114-P50)-(C114*$D$98),0)</f>
        <v>56</v>
      </c>
      <c r="E115" s="112">
        <f t="shared" si="16"/>
        <v>55</v>
      </c>
      <c r="F115" s="112">
        <f t="shared" si="17"/>
        <v>54</v>
      </c>
      <c r="G115" s="112">
        <f t="shared" si="18"/>
        <v>52</v>
      </c>
      <c r="H115" s="112">
        <f t="shared" si="19"/>
        <v>49</v>
      </c>
      <c r="I115" s="112">
        <f t="shared" si="20"/>
        <v>47</v>
      </c>
      <c r="J115" s="111">
        <f t="shared" si="15"/>
        <v>372.50147968792038</v>
      </c>
    </row>
    <row r="116" spans="2:10" ht="15" customHeight="1">
      <c r="B116" s="114">
        <v>2032</v>
      </c>
      <c r="C116" s="113">
        <f t="shared" si="14"/>
        <v>59.501479687920366</v>
      </c>
      <c r="D116" s="324">
        <f>ROUND((C115-Q50)-(C115*$D$98),0)</f>
        <v>56</v>
      </c>
      <c r="E116" s="112">
        <f t="shared" si="16"/>
        <v>55</v>
      </c>
      <c r="F116" s="112">
        <f t="shared" si="17"/>
        <v>54</v>
      </c>
      <c r="G116" s="112">
        <f t="shared" si="18"/>
        <v>52</v>
      </c>
      <c r="H116" s="112">
        <f t="shared" si="19"/>
        <v>50</v>
      </c>
      <c r="I116" s="112">
        <f t="shared" si="20"/>
        <v>47</v>
      </c>
      <c r="J116" s="111">
        <f t="shared" si="15"/>
        <v>373.50147968792038</v>
      </c>
    </row>
    <row r="117" spans="2:10" ht="15" customHeight="1">
      <c r="F117" s="14"/>
      <c r="G117" s="14"/>
    </row>
    <row r="118" spans="2:10" ht="15" customHeight="1">
      <c r="B118" s="15" t="str">
        <f>"Table 4C: "&amp;E3&amp;" Projected Pupil Generation from Housing Development, 2019-2032"</f>
        <v>Table 4C: Oxgangs Primary School Projected Pupil Generation from Housing Development, 2019-2032</v>
      </c>
      <c r="F118" s="14"/>
      <c r="G118" s="14"/>
    </row>
    <row r="119" spans="2:10" ht="15" customHeight="1">
      <c r="F119" s="14"/>
      <c r="G119" s="14"/>
    </row>
    <row r="120" spans="2:10" ht="15" customHeight="1">
      <c r="B120" s="115"/>
      <c r="C120" s="109" t="s">
        <v>1</v>
      </c>
      <c r="D120" s="109" t="s">
        <v>2</v>
      </c>
      <c r="E120" s="109" t="s">
        <v>3</v>
      </c>
      <c r="F120" s="109" t="s">
        <v>4</v>
      </c>
      <c r="G120" s="109" t="s">
        <v>5</v>
      </c>
      <c r="H120" s="109" t="s">
        <v>6</v>
      </c>
      <c r="I120" s="109" t="s">
        <v>7</v>
      </c>
      <c r="J120" s="109" t="s">
        <v>8</v>
      </c>
    </row>
    <row r="121" spans="2:10" ht="15" customHeight="1">
      <c r="B121" s="114">
        <v>2019</v>
      </c>
      <c r="C121" s="116" t="s">
        <v>97</v>
      </c>
      <c r="D121" s="112">
        <f>VLOOKUP($E$3,'Housing Generation'!$A$3:$BE$90,11,FALSE)</f>
        <v>0</v>
      </c>
      <c r="E121" s="112">
        <f>VLOOKUP($E$3,'Housing Generation'!$A$3:$BE$90,12,FALSE)</f>
        <v>0</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0</v>
      </c>
    </row>
    <row r="122" spans="2:10" ht="15" customHeight="1">
      <c r="B122" s="114">
        <v>2020</v>
      </c>
      <c r="C122" s="116" t="s">
        <v>97</v>
      </c>
      <c r="D122" s="112">
        <f>VLOOKUP($E$3,'Housing Generation'!$A$3:$BE$90,19,FALSE)</f>
        <v>1</v>
      </c>
      <c r="E122" s="112">
        <f>VLOOKUP($E$3,'Housing Generation'!$A$3:$BE$90,20,FALSE)</f>
        <v>0</v>
      </c>
      <c r="F122" s="112">
        <f>VLOOKUP($E$3,'Housing Generation'!$A$3:$BE$90,21,FALSE)</f>
        <v>0</v>
      </c>
      <c r="G122" s="112">
        <f>VLOOKUP($E$3,'Housing Generation'!$A$3:$BE$90,22,FALSE)</f>
        <v>0</v>
      </c>
      <c r="H122" s="112">
        <f>VLOOKUP($E$3,'Housing Generation'!$A$3:$BE$90,23,FALSE)</f>
        <v>0</v>
      </c>
      <c r="I122" s="112">
        <f>VLOOKUP($E$3,'Housing Generation'!$A$3:$BE$90,24,FALSE)</f>
        <v>0</v>
      </c>
      <c r="J122" s="111">
        <f t="shared" si="21"/>
        <v>1</v>
      </c>
    </row>
    <row r="123" spans="2:10" ht="15" customHeight="1">
      <c r="B123" s="114">
        <v>2021</v>
      </c>
      <c r="C123" s="116" t="s">
        <v>97</v>
      </c>
      <c r="D123" s="112">
        <f>VLOOKUP($E$3,'Housing Generation'!$A$3:$BE$90,27,FALSE)</f>
        <v>1</v>
      </c>
      <c r="E123" s="112">
        <f>VLOOKUP($E$3,'Housing Generation'!$A$3:$BE$90,28,FALSE)</f>
        <v>0</v>
      </c>
      <c r="F123" s="112">
        <f>VLOOKUP($E$3,'Housing Generation'!$A$3:$BE$90,29,FALSE)</f>
        <v>0</v>
      </c>
      <c r="G123" s="112">
        <f>VLOOKUP($E$3,'Housing Generation'!$A$3:$BE$90,30,FALSE)</f>
        <v>0</v>
      </c>
      <c r="H123" s="112">
        <f>VLOOKUP($E$3,'Housing Generation'!$A$3:$BE$90,31,FALSE)</f>
        <v>0</v>
      </c>
      <c r="I123" s="112">
        <f>VLOOKUP($E$3,'Housing Generation'!$A$3:$BE$90,32,FALSE)</f>
        <v>0</v>
      </c>
      <c r="J123" s="111">
        <f t="shared" si="21"/>
        <v>1</v>
      </c>
    </row>
    <row r="124" spans="2:10" ht="15" customHeight="1">
      <c r="B124" s="114">
        <v>2022</v>
      </c>
      <c r="C124" s="116" t="s">
        <v>97</v>
      </c>
      <c r="D124" s="112">
        <f>VLOOKUP($E$3,'Housing Generation'!$A$3:$BE$90,35,FALSE)</f>
        <v>1</v>
      </c>
      <c r="E124" s="112">
        <f>VLOOKUP($E$3,'Housing Generation'!$A$3:$BE$90,36,FALSE)</f>
        <v>0</v>
      </c>
      <c r="F124" s="112">
        <f>VLOOKUP($E$3,'Housing Generation'!$A$3:$BE$90,37,FALSE)</f>
        <v>0</v>
      </c>
      <c r="G124" s="112">
        <f>VLOOKUP($E$3,'Housing Generation'!$A$3:$BE$90,38,FALSE)</f>
        <v>0</v>
      </c>
      <c r="H124" s="112">
        <f>VLOOKUP($E$3,'Housing Generation'!$A$3:$BE$90,39,FALSE)</f>
        <v>0</v>
      </c>
      <c r="I124" s="112">
        <f>VLOOKUP($E$3,'Housing Generation'!$A$3:$BE$90,40,FALSE)</f>
        <v>0</v>
      </c>
      <c r="J124" s="111">
        <f t="shared" si="21"/>
        <v>1</v>
      </c>
    </row>
    <row r="125" spans="2:10" ht="15" customHeight="1">
      <c r="B125" s="114">
        <v>2023</v>
      </c>
      <c r="C125" s="116" t="s">
        <v>97</v>
      </c>
      <c r="D125" s="112">
        <f>VLOOKUP($E$3,'Housing Generation'!$A$3:$BE$90,43,FALSE)</f>
        <v>1</v>
      </c>
      <c r="E125" s="112">
        <f>VLOOKUP($E$3,'Housing Generation'!$A$3:$BE$90,44,FALSE)</f>
        <v>0</v>
      </c>
      <c r="F125" s="112">
        <f>VLOOKUP($E$3,'Housing Generation'!$A$3:$BE$90,45,FALSE)</f>
        <v>0</v>
      </c>
      <c r="G125" s="112">
        <f>VLOOKUP($E$3,'Housing Generation'!$A$3:$BE$90,46,FALSE)</f>
        <v>0</v>
      </c>
      <c r="H125" s="112">
        <f>VLOOKUP($E$3,'Housing Generation'!$A$3:$BE$90,47,FALSE)</f>
        <v>0</v>
      </c>
      <c r="I125" s="112">
        <f>VLOOKUP($E$3,'Housing Generation'!$A$3:$BE$90,48,FALSE)</f>
        <v>0</v>
      </c>
      <c r="J125" s="111">
        <f t="shared" si="21"/>
        <v>1</v>
      </c>
    </row>
    <row r="126" spans="2:10" ht="15" customHeight="1">
      <c r="B126" s="114">
        <v>2024</v>
      </c>
      <c r="C126" s="116" t="s">
        <v>97</v>
      </c>
      <c r="D126" s="112">
        <f>VLOOKUP($E$3,'Housing Generation'!$A$3:$BE$90,51,FALSE)</f>
        <v>1</v>
      </c>
      <c r="E126" s="112">
        <f>VLOOKUP($E$3,'Housing Generation'!$A$3:$BE$90,52,FALSE)</f>
        <v>0</v>
      </c>
      <c r="F126" s="112">
        <f>VLOOKUP($E$3,'Housing Generation'!$A$3:$BE$90,53,FALSE)</f>
        <v>0</v>
      </c>
      <c r="G126" s="112">
        <f>VLOOKUP($E$3,'Housing Generation'!$A$3:$BE$90,54,FALSE)</f>
        <v>0</v>
      </c>
      <c r="H126" s="112">
        <f>VLOOKUP($E$3,'Housing Generation'!$A$3:$BE$90,55,FALSE)</f>
        <v>0</v>
      </c>
      <c r="I126" s="112">
        <f>VLOOKUP($E$3,'Housing Generation'!$A$3:$BE$90,56,FALSE)</f>
        <v>0</v>
      </c>
      <c r="J126" s="111">
        <f t="shared" si="21"/>
        <v>1</v>
      </c>
    </row>
    <row r="127" spans="2:10" ht="15" customHeight="1">
      <c r="B127" s="114">
        <v>2025</v>
      </c>
      <c r="C127" s="240" t="s">
        <v>97</v>
      </c>
      <c r="D127" s="112">
        <f>VLOOKUP($E$3,'Housing Generation'!$A$3:$CK$90,59,FALSE)</f>
        <v>1</v>
      </c>
      <c r="E127" s="112">
        <f>VLOOKUP($E$3,'Housing Generation'!$A$3:$CK$90,60,FALSE)</f>
        <v>0</v>
      </c>
      <c r="F127" s="112">
        <f>VLOOKUP($E$3,'Housing Generation'!$A$3:$CK$90,61,FALSE)</f>
        <v>0</v>
      </c>
      <c r="G127" s="112">
        <f>VLOOKUP($E$3,'Housing Generation'!$A$3:$CK$90,62,FALSE)</f>
        <v>0</v>
      </c>
      <c r="H127" s="112">
        <f>VLOOKUP($E$3,'Housing Generation'!$A$3:$CK$90,63,FALSE)</f>
        <v>0</v>
      </c>
      <c r="I127" s="112">
        <f>VLOOKUP($E$3,'Housing Generation'!$A$3:$CK$90,64,FALSE)</f>
        <v>0</v>
      </c>
      <c r="J127" s="111">
        <f t="shared" si="21"/>
        <v>1</v>
      </c>
    </row>
    <row r="128" spans="2:10" ht="15" customHeight="1">
      <c r="B128" s="114">
        <v>2026</v>
      </c>
      <c r="C128" s="240" t="s">
        <v>97</v>
      </c>
      <c r="D128" s="112">
        <f>VLOOKUP($E$3,'Housing Generation'!$A$3:$CK$90,67,FALSE)</f>
        <v>1</v>
      </c>
      <c r="E128" s="112">
        <f>VLOOKUP($E$3,'Housing Generation'!$A$3:$CK$90,68,FALSE)</f>
        <v>0</v>
      </c>
      <c r="F128" s="112">
        <f>VLOOKUP($E$3,'Housing Generation'!$A$3:$CK$90,69,FALSE)</f>
        <v>0</v>
      </c>
      <c r="G128" s="112">
        <f>VLOOKUP($E$3,'Housing Generation'!$A$3:$CK$90,70,FALSE)</f>
        <v>0</v>
      </c>
      <c r="H128" s="112">
        <f>VLOOKUP($E$3,'Housing Generation'!$A$3:$CK$90,71,FALSE)</f>
        <v>0</v>
      </c>
      <c r="I128" s="112">
        <f>VLOOKUP($E$3,'Housing Generation'!$A$3:$CK$90,72,FALSE)</f>
        <v>0</v>
      </c>
      <c r="J128" s="111">
        <f t="shared" si="21"/>
        <v>1</v>
      </c>
    </row>
    <row r="129" spans="2:10" ht="15" customHeight="1">
      <c r="B129" s="114">
        <v>2027</v>
      </c>
      <c r="C129" s="240" t="s">
        <v>97</v>
      </c>
      <c r="D129" s="112">
        <f>VLOOKUP($E$3,'Housing Generation'!$A$3:$CK$90,75,FALSE)</f>
        <v>1</v>
      </c>
      <c r="E129" s="112">
        <f>VLOOKUP($E$3,'Housing Generation'!$A$3:$CK$90,76,FALSE)</f>
        <v>1</v>
      </c>
      <c r="F129" s="112">
        <f>VLOOKUP($E$3,'Housing Generation'!$A$3:$CK$90,77,FALSE)</f>
        <v>0</v>
      </c>
      <c r="G129" s="112">
        <f>VLOOKUP($E$3,'Housing Generation'!$A$3:$CK$90,78,FALSE)</f>
        <v>0</v>
      </c>
      <c r="H129" s="112">
        <f>VLOOKUP($E$3,'Housing Generation'!$A$3:$CK$90,79,FALSE)</f>
        <v>0</v>
      </c>
      <c r="I129" s="112">
        <f>VLOOKUP($E$3,'Housing Generation'!$A$3:$CK$90,80,FALSE)</f>
        <v>0</v>
      </c>
      <c r="J129" s="111">
        <f t="shared" si="21"/>
        <v>2</v>
      </c>
    </row>
    <row r="130" spans="2:10" ht="15" customHeight="1">
      <c r="B130" s="114">
        <v>2028</v>
      </c>
      <c r="C130" s="289" t="s">
        <v>97</v>
      </c>
      <c r="D130" s="112">
        <f>VLOOKUP($E$3,'Housing Generation'!$A$3:$CK$90,83,FALSE)</f>
        <v>1</v>
      </c>
      <c r="E130" s="112">
        <f>VLOOKUP($E$3,'Housing Generation'!$A$3:$CK$90,84,FALSE)</f>
        <v>1</v>
      </c>
      <c r="F130" s="112">
        <f>VLOOKUP($E$3,'Housing Generation'!$A$3:$CK$90,85,FALSE)</f>
        <v>0</v>
      </c>
      <c r="G130" s="112">
        <f>VLOOKUP($E$3,'Housing Generation'!$A$3:$CK$90,86,FALSE)</f>
        <v>0</v>
      </c>
      <c r="H130" s="112">
        <f>VLOOKUP($E$3,'Housing Generation'!$A$3:$CK$90,87,FALSE)</f>
        <v>0</v>
      </c>
      <c r="I130" s="112">
        <f>VLOOKUP($E$3,'Housing Generation'!$A$3:$CK$90,88,FALSE)</f>
        <v>0</v>
      </c>
      <c r="J130" s="111">
        <f t="shared" si="21"/>
        <v>2</v>
      </c>
    </row>
    <row r="131" spans="2:10" ht="15" customHeight="1">
      <c r="B131" s="114">
        <v>2029</v>
      </c>
      <c r="C131" s="289" t="s">
        <v>97</v>
      </c>
      <c r="D131" s="112">
        <f>VLOOKUP($E$3,'Housing Generation'!$A$3:$DQ$90,91,FALSE)</f>
        <v>1</v>
      </c>
      <c r="E131" s="112">
        <f>VLOOKUP($E$3,'Housing Generation'!$A$3:$DQ$90,92,FALSE)</f>
        <v>1</v>
      </c>
      <c r="F131" s="112">
        <f>VLOOKUP($E$3,'Housing Generation'!$A$3:$DQ$90,93,FALSE)</f>
        <v>0</v>
      </c>
      <c r="G131" s="112">
        <f>VLOOKUP($E$3,'Housing Generation'!$A$3:$DQ$90,94,FALSE)</f>
        <v>0</v>
      </c>
      <c r="H131" s="112">
        <f>VLOOKUP($E$3,'Housing Generation'!$A$3:$DQ$90,95,FALSE)</f>
        <v>0</v>
      </c>
      <c r="I131" s="112">
        <f>VLOOKUP($E$3,'Housing Generation'!$A$3:$DQ$90,96,FALSE)</f>
        <v>0</v>
      </c>
      <c r="J131" s="111">
        <f t="shared" si="21"/>
        <v>2</v>
      </c>
    </row>
    <row r="132" spans="2:10" ht="15" customHeight="1">
      <c r="B132" s="114">
        <v>2030</v>
      </c>
      <c r="C132" s="289" t="s">
        <v>97</v>
      </c>
      <c r="D132" s="112">
        <f>VLOOKUP($E$3,'Housing Generation'!$A$3:$DQ$90,99,FALSE)</f>
        <v>1</v>
      </c>
      <c r="E132" s="112">
        <f>VLOOKUP($E$3,'Housing Generation'!$A$3:$DQ$90,100,FALSE)</f>
        <v>1</v>
      </c>
      <c r="F132" s="112">
        <f>VLOOKUP($E$3,'Housing Generation'!$A$3:$DQ$90,101,FALSE)</f>
        <v>0</v>
      </c>
      <c r="G132" s="112">
        <f>VLOOKUP($E$3,'Housing Generation'!$A$3:$DQ$90,102,FALSE)</f>
        <v>0</v>
      </c>
      <c r="H132" s="112">
        <f>VLOOKUP($E$3,'Housing Generation'!$A$3:$DQ$90,103,FALSE)</f>
        <v>0</v>
      </c>
      <c r="I132" s="112">
        <f>VLOOKUP($E$3,'Housing Generation'!$A$3:$DQ$90,104,FALSE)</f>
        <v>0</v>
      </c>
      <c r="J132" s="111">
        <f t="shared" si="21"/>
        <v>2</v>
      </c>
    </row>
    <row r="133" spans="2:10" ht="15" customHeight="1">
      <c r="B133" s="114">
        <v>2031</v>
      </c>
      <c r="C133" s="289" t="s">
        <v>97</v>
      </c>
      <c r="D133" s="112">
        <f>VLOOKUP($E$3,'Housing Generation'!$A$3:$DQ$90,107,FALSE)</f>
        <v>1</v>
      </c>
      <c r="E133" s="112">
        <f>VLOOKUP($E$3,'Housing Generation'!$A$3:$DQ$90,108,FALSE)</f>
        <v>1</v>
      </c>
      <c r="F133" s="112">
        <f>VLOOKUP($E$3,'Housing Generation'!$A$3:$DQ$90,109,FALSE)</f>
        <v>0</v>
      </c>
      <c r="G133" s="112">
        <f>VLOOKUP($E$3,'Housing Generation'!$A$3:$DQ$90,110,FALSE)</f>
        <v>0</v>
      </c>
      <c r="H133" s="112">
        <f>VLOOKUP($E$3,'Housing Generation'!$A$3:$DQ$90,111,FALSE)</f>
        <v>0</v>
      </c>
      <c r="I133" s="112">
        <f>VLOOKUP($E$3,'Housing Generation'!$A$3:$DQ$90,112,FALSE)</f>
        <v>0</v>
      </c>
      <c r="J133" s="111">
        <f t="shared" si="21"/>
        <v>2</v>
      </c>
    </row>
    <row r="134" spans="2:10" ht="15" customHeight="1">
      <c r="B134" s="114">
        <v>2032</v>
      </c>
      <c r="C134" s="289" t="s">
        <v>97</v>
      </c>
      <c r="D134" s="112">
        <f>VLOOKUP($E$3,'Housing Generation'!$A$3:$DQ$90,115,FALSE)</f>
        <v>1</v>
      </c>
      <c r="E134" s="112">
        <f>VLOOKUP($E$3,'Housing Generation'!$A$3:$DQ$90,116,FALSE)</f>
        <v>1</v>
      </c>
      <c r="F134" s="112">
        <f>VLOOKUP($E$3,'Housing Generation'!$A$3:$DQ$90,117,FALSE)</f>
        <v>0</v>
      </c>
      <c r="G134" s="112">
        <f>VLOOKUP($E$3,'Housing Generation'!$A$3:$DQ$90,118,FALSE)</f>
        <v>0</v>
      </c>
      <c r="H134" s="112">
        <f>VLOOKUP($E$3,'Housing Generation'!$A$3:$DQ$90,119,FALSE)</f>
        <v>0</v>
      </c>
      <c r="I134" s="112">
        <f>VLOOKUP($E$3,'Housing Generation'!$A$3:$DQ$90,120,FALSE)</f>
        <v>0</v>
      </c>
      <c r="J134" s="111">
        <f t="shared" si="21"/>
        <v>2</v>
      </c>
    </row>
    <row r="135" spans="2:10" ht="15"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Oxgangs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50</v>
      </c>
      <c r="D139" s="112">
        <f t="shared" ref="D139:I152" si="23">D121+D103</f>
        <v>55</v>
      </c>
      <c r="E139" s="112">
        <f t="shared" si="23"/>
        <v>54</v>
      </c>
      <c r="F139" s="112">
        <f t="shared" si="23"/>
        <v>50</v>
      </c>
      <c r="G139" s="112">
        <f t="shared" si="23"/>
        <v>50</v>
      </c>
      <c r="H139" s="112">
        <f t="shared" si="23"/>
        <v>50</v>
      </c>
      <c r="I139" s="112">
        <f t="shared" si="23"/>
        <v>49</v>
      </c>
      <c r="J139" s="111">
        <f t="shared" ref="J139:J147" si="24">SUM(C139:I139)</f>
        <v>358</v>
      </c>
    </row>
    <row r="140" spans="2:10" ht="15" customHeight="1">
      <c r="B140" s="114">
        <v>2020</v>
      </c>
      <c r="C140" s="113">
        <f t="shared" si="22"/>
        <v>56.04977132095776</v>
      </c>
      <c r="D140" s="112">
        <f t="shared" si="23"/>
        <v>48</v>
      </c>
      <c r="E140" s="112">
        <f t="shared" si="23"/>
        <v>54</v>
      </c>
      <c r="F140" s="112">
        <f t="shared" si="23"/>
        <v>53</v>
      </c>
      <c r="G140" s="112">
        <f t="shared" si="23"/>
        <v>48</v>
      </c>
      <c r="H140" s="112">
        <f t="shared" si="23"/>
        <v>48</v>
      </c>
      <c r="I140" s="112">
        <f t="shared" si="23"/>
        <v>48</v>
      </c>
      <c r="J140" s="111">
        <f t="shared" si="24"/>
        <v>355.04977132095775</v>
      </c>
    </row>
    <row r="141" spans="2:10" ht="15" customHeight="1">
      <c r="B141" s="114">
        <v>2021</v>
      </c>
      <c r="C141" s="113">
        <f t="shared" si="22"/>
        <v>60</v>
      </c>
      <c r="D141" s="112">
        <f t="shared" si="23"/>
        <v>54</v>
      </c>
      <c r="E141" s="112">
        <f t="shared" si="23"/>
        <v>46</v>
      </c>
      <c r="F141" s="112">
        <f t="shared" si="23"/>
        <v>53</v>
      </c>
      <c r="G141" s="112">
        <f t="shared" si="23"/>
        <v>51</v>
      </c>
      <c r="H141" s="112">
        <f t="shared" si="23"/>
        <v>47</v>
      </c>
      <c r="I141" s="112">
        <f t="shared" si="23"/>
        <v>46</v>
      </c>
      <c r="J141" s="111">
        <f t="shared" si="24"/>
        <v>357</v>
      </c>
    </row>
    <row r="142" spans="2:10" ht="15" customHeight="1">
      <c r="B142" s="114">
        <v>2022</v>
      </c>
      <c r="C142" s="113">
        <f t="shared" si="22"/>
        <v>50</v>
      </c>
      <c r="D142" s="112">
        <f t="shared" si="23"/>
        <v>58</v>
      </c>
      <c r="E142" s="112">
        <f t="shared" si="23"/>
        <v>52</v>
      </c>
      <c r="F142" s="112">
        <f t="shared" si="23"/>
        <v>45</v>
      </c>
      <c r="G142" s="112">
        <f t="shared" si="23"/>
        <v>51</v>
      </c>
      <c r="H142" s="112">
        <f t="shared" si="23"/>
        <v>49</v>
      </c>
      <c r="I142" s="112">
        <f t="shared" si="23"/>
        <v>45</v>
      </c>
      <c r="J142" s="111">
        <f t="shared" si="24"/>
        <v>350</v>
      </c>
    </row>
    <row r="143" spans="2:10" ht="15" customHeight="1">
      <c r="B143" s="114">
        <v>2023</v>
      </c>
      <c r="C143" s="113">
        <f t="shared" si="22"/>
        <v>56.04977132095776</v>
      </c>
      <c r="D143" s="112">
        <f t="shared" si="23"/>
        <v>48</v>
      </c>
      <c r="E143" s="112">
        <f t="shared" si="23"/>
        <v>56</v>
      </c>
      <c r="F143" s="112">
        <f t="shared" si="23"/>
        <v>51</v>
      </c>
      <c r="G143" s="112">
        <f t="shared" si="23"/>
        <v>43</v>
      </c>
      <c r="H143" s="112">
        <f t="shared" si="23"/>
        <v>49</v>
      </c>
      <c r="I143" s="112">
        <f t="shared" si="23"/>
        <v>47</v>
      </c>
      <c r="J143" s="111">
        <f t="shared" si="24"/>
        <v>350.04977132095775</v>
      </c>
    </row>
    <row r="144" spans="2:10" ht="15" customHeight="1">
      <c r="B144" s="114">
        <v>2024</v>
      </c>
      <c r="C144" s="113">
        <f t="shared" si="22"/>
        <v>56.912698412698411</v>
      </c>
      <c r="D144" s="112">
        <f t="shared" si="23"/>
        <v>54</v>
      </c>
      <c r="E144" s="112">
        <f t="shared" si="23"/>
        <v>46</v>
      </c>
      <c r="F144" s="112">
        <f t="shared" si="23"/>
        <v>55</v>
      </c>
      <c r="G144" s="112">
        <f t="shared" si="23"/>
        <v>49</v>
      </c>
      <c r="H144" s="112">
        <f t="shared" si="23"/>
        <v>42</v>
      </c>
      <c r="I144" s="112">
        <f t="shared" si="23"/>
        <v>47</v>
      </c>
      <c r="J144" s="111">
        <f t="shared" si="24"/>
        <v>349.91269841269843</v>
      </c>
    </row>
    <row r="145" spans="2:16" ht="15" customHeight="1">
      <c r="B145" s="114">
        <v>2025</v>
      </c>
      <c r="C145" s="113">
        <f t="shared" si="22"/>
        <v>57.775625504439063</v>
      </c>
      <c r="D145" s="112">
        <f t="shared" si="23"/>
        <v>55</v>
      </c>
      <c r="E145" s="112">
        <f t="shared" si="23"/>
        <v>52</v>
      </c>
      <c r="F145" s="112">
        <f t="shared" si="23"/>
        <v>45</v>
      </c>
      <c r="G145" s="112">
        <f t="shared" si="23"/>
        <v>53</v>
      </c>
      <c r="H145" s="112">
        <f t="shared" si="23"/>
        <v>48</v>
      </c>
      <c r="I145" s="112">
        <f t="shared" si="23"/>
        <v>40</v>
      </c>
      <c r="J145" s="111">
        <f t="shared" si="24"/>
        <v>350.77562550443906</v>
      </c>
    </row>
    <row r="146" spans="2:16" ht="15" customHeight="1">
      <c r="B146" s="114">
        <v>2026</v>
      </c>
      <c r="C146" s="113">
        <f t="shared" si="22"/>
        <v>57.775625504439063</v>
      </c>
      <c r="D146" s="112">
        <f t="shared" si="23"/>
        <v>56</v>
      </c>
      <c r="E146" s="112">
        <f t="shared" si="23"/>
        <v>53</v>
      </c>
      <c r="F146" s="112">
        <f t="shared" si="23"/>
        <v>51</v>
      </c>
      <c r="G146" s="112">
        <f t="shared" si="23"/>
        <v>43</v>
      </c>
      <c r="H146" s="112">
        <f t="shared" si="23"/>
        <v>51</v>
      </c>
      <c r="I146" s="112">
        <f t="shared" si="23"/>
        <v>46</v>
      </c>
      <c r="J146" s="111">
        <f t="shared" si="24"/>
        <v>357.77562550443906</v>
      </c>
    </row>
    <row r="147" spans="2:16" ht="15" customHeight="1">
      <c r="B147" s="114">
        <v>2027</v>
      </c>
      <c r="C147" s="113">
        <f t="shared" si="22"/>
        <v>58.638552596179714</v>
      </c>
      <c r="D147" s="112">
        <f t="shared" si="23"/>
        <v>56</v>
      </c>
      <c r="E147" s="112">
        <f t="shared" si="23"/>
        <v>55</v>
      </c>
      <c r="F147" s="112">
        <f t="shared" si="23"/>
        <v>52</v>
      </c>
      <c r="G147" s="112">
        <f t="shared" si="23"/>
        <v>49</v>
      </c>
      <c r="H147" s="112">
        <f t="shared" si="23"/>
        <v>42</v>
      </c>
      <c r="I147" s="112">
        <f t="shared" si="23"/>
        <v>49</v>
      </c>
      <c r="J147" s="111">
        <f t="shared" si="24"/>
        <v>361.63855259617969</v>
      </c>
    </row>
    <row r="148" spans="2:16" ht="15" customHeight="1">
      <c r="B148" s="114">
        <v>2028</v>
      </c>
      <c r="C148" s="113">
        <f t="shared" si="22"/>
        <v>58.638552596179714</v>
      </c>
      <c r="D148" s="112">
        <f t="shared" si="23"/>
        <v>57</v>
      </c>
      <c r="E148" s="112">
        <f t="shared" si="23"/>
        <v>55</v>
      </c>
      <c r="F148" s="112">
        <f t="shared" si="23"/>
        <v>53</v>
      </c>
      <c r="G148" s="112">
        <f t="shared" si="23"/>
        <v>50</v>
      </c>
      <c r="H148" s="112">
        <f t="shared" si="23"/>
        <v>48</v>
      </c>
      <c r="I148" s="112">
        <f t="shared" si="23"/>
        <v>40</v>
      </c>
      <c r="J148" s="111">
        <f t="shared" ref="J148:J152" si="25">SUM(C148:I148)</f>
        <v>361.63855259617969</v>
      </c>
    </row>
    <row r="149" spans="2:16" ht="15" customHeight="1">
      <c r="B149" s="114">
        <v>2029</v>
      </c>
      <c r="C149" s="113">
        <f t="shared" si="22"/>
        <v>58.638552596179714</v>
      </c>
      <c r="D149" s="112">
        <f t="shared" si="23"/>
        <v>57</v>
      </c>
      <c r="E149" s="112">
        <f t="shared" si="23"/>
        <v>56</v>
      </c>
      <c r="F149" s="112">
        <f t="shared" si="23"/>
        <v>53</v>
      </c>
      <c r="G149" s="112">
        <f t="shared" si="23"/>
        <v>51</v>
      </c>
      <c r="H149" s="112">
        <f t="shared" si="23"/>
        <v>48</v>
      </c>
      <c r="I149" s="112">
        <f t="shared" si="23"/>
        <v>46</v>
      </c>
      <c r="J149" s="111">
        <f t="shared" si="25"/>
        <v>369.63855259617969</v>
      </c>
    </row>
    <row r="150" spans="2:16" ht="15" customHeight="1">
      <c r="B150" s="114">
        <v>2030</v>
      </c>
      <c r="C150" s="113">
        <f t="shared" si="22"/>
        <v>59.501479687920366</v>
      </c>
      <c r="D150" s="112">
        <f t="shared" si="23"/>
        <v>57</v>
      </c>
      <c r="E150" s="112">
        <f t="shared" si="23"/>
        <v>56</v>
      </c>
      <c r="F150" s="112">
        <f t="shared" si="23"/>
        <v>54</v>
      </c>
      <c r="G150" s="112">
        <f t="shared" si="23"/>
        <v>51</v>
      </c>
      <c r="H150" s="112">
        <f t="shared" si="23"/>
        <v>49</v>
      </c>
      <c r="I150" s="112">
        <f t="shared" si="23"/>
        <v>46</v>
      </c>
      <c r="J150" s="111">
        <f t="shared" si="25"/>
        <v>372.50147968792038</v>
      </c>
    </row>
    <row r="151" spans="2:16" ht="15" customHeight="1">
      <c r="B151" s="114">
        <v>2031</v>
      </c>
      <c r="C151" s="113">
        <f t="shared" si="22"/>
        <v>59.501479687920366</v>
      </c>
      <c r="D151" s="112">
        <f t="shared" si="23"/>
        <v>57</v>
      </c>
      <c r="E151" s="112">
        <f t="shared" si="23"/>
        <v>56</v>
      </c>
      <c r="F151" s="112">
        <f t="shared" si="23"/>
        <v>54</v>
      </c>
      <c r="G151" s="112">
        <f t="shared" si="23"/>
        <v>52</v>
      </c>
      <c r="H151" s="112">
        <f t="shared" si="23"/>
        <v>49</v>
      </c>
      <c r="I151" s="112">
        <f t="shared" si="23"/>
        <v>47</v>
      </c>
      <c r="J151" s="111">
        <f t="shared" si="25"/>
        <v>374.50147968792038</v>
      </c>
    </row>
    <row r="152" spans="2:16" ht="15" customHeight="1">
      <c r="B152" s="114">
        <v>2032</v>
      </c>
      <c r="C152" s="113">
        <f t="shared" si="22"/>
        <v>59.501479687920366</v>
      </c>
      <c r="D152" s="112">
        <f t="shared" si="23"/>
        <v>57</v>
      </c>
      <c r="E152" s="112">
        <f t="shared" si="23"/>
        <v>56</v>
      </c>
      <c r="F152" s="112">
        <f t="shared" si="23"/>
        <v>54</v>
      </c>
      <c r="G152" s="112">
        <f t="shared" si="23"/>
        <v>52</v>
      </c>
      <c r="H152" s="112">
        <f t="shared" si="23"/>
        <v>50</v>
      </c>
      <c r="I152" s="112">
        <f t="shared" si="23"/>
        <v>47</v>
      </c>
      <c r="J152" s="111">
        <f t="shared" si="25"/>
        <v>375.50147968792038</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358</v>
      </c>
      <c r="D159" s="108">
        <f>J140</f>
        <v>355.04977132095775</v>
      </c>
      <c r="E159" s="108">
        <f>J141</f>
        <v>357</v>
      </c>
      <c r="F159" s="108">
        <f>J142</f>
        <v>350</v>
      </c>
      <c r="G159" s="108">
        <f>J143</f>
        <v>350.04977132095775</v>
      </c>
      <c r="H159" s="108">
        <f>J144</f>
        <v>349.91269841269843</v>
      </c>
      <c r="I159" s="108">
        <f>J145</f>
        <v>350.77562550443906</v>
      </c>
      <c r="J159" s="108">
        <f>J146</f>
        <v>357.77562550443906</v>
      </c>
      <c r="K159" s="108">
        <f>J147</f>
        <v>361.63855259617969</v>
      </c>
      <c r="L159" s="108">
        <f>J148</f>
        <v>361.63855259617969</v>
      </c>
      <c r="M159" s="108">
        <f>J149</f>
        <v>369.63855259617969</v>
      </c>
      <c r="N159" s="108">
        <f>J150</f>
        <v>372.50147968792038</v>
      </c>
      <c r="O159" s="108">
        <f>J151</f>
        <v>374.50147968792038</v>
      </c>
      <c r="P159" s="108">
        <f>J152</f>
        <v>375.50147968792038</v>
      </c>
    </row>
    <row r="160" spans="2:16" ht="15" customHeight="1">
      <c r="B160" s="107" t="s">
        <v>152</v>
      </c>
      <c r="C160" s="106">
        <f>VLOOKUP(C159,Capacity!$A$1:$C$645,2,TRUE)</f>
        <v>14</v>
      </c>
      <c r="D160" s="106">
        <f>VLOOKUP(D159,Capacity!$A$1:$C$645,2,TRUE)</f>
        <v>14</v>
      </c>
      <c r="E160" s="106">
        <f>VLOOKUP(E159,Capacity!$A$1:$C$645,2,TRUE)</f>
        <v>14</v>
      </c>
      <c r="F160" s="106">
        <f>VLOOKUP(F159,Capacity!$A$1:$C$645,2,TRUE)</f>
        <v>14</v>
      </c>
      <c r="G160" s="106">
        <f>VLOOKUP(G159,Capacity!$A$1:$C$645,2,TRUE)</f>
        <v>14</v>
      </c>
      <c r="H160" s="106">
        <f>VLOOKUP(H159,Capacity!$A$1:$C$645,2,TRUE)</f>
        <v>14</v>
      </c>
      <c r="I160" s="106">
        <f>VLOOKUP(I159,Capacity!$A$1:$C$645,2,TRUE)</f>
        <v>14</v>
      </c>
      <c r="J160" s="106">
        <f>VLOOKUP(J159,Capacity!$A$1:$C$645,2,TRUE)</f>
        <v>14</v>
      </c>
      <c r="K160" s="106">
        <f>VLOOKUP(K159,Capacity!$A$1:$C$645,2,TRUE)</f>
        <v>14</v>
      </c>
      <c r="L160" s="106">
        <f>VLOOKUP(L159,Capacity!$A$1:$C$645,2,TRUE)</f>
        <v>14</v>
      </c>
      <c r="M160" s="106">
        <f>VLOOKUP(M159,Capacity!$A$1:$C$645,2,TRUE)</f>
        <v>14</v>
      </c>
      <c r="N160" s="106">
        <f>VLOOKUP(N159,Capacity!$A$1:$C$645,2,TRUE)</f>
        <v>14</v>
      </c>
      <c r="O160" s="106">
        <f>VLOOKUP(O159,Capacity!$A$1:$C$645,2,TRUE)</f>
        <v>14</v>
      </c>
      <c r="P160" s="106">
        <f>VLOOKUP(P159,Capacity!$A$1:$C$645,2,TRUE)</f>
        <v>14</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83</v>
      </c>
      <c r="D169" s="97">
        <f>VLOOKUP($E$3,'Catchment Births'!$A$1:$U$90,11,FALSE)</f>
        <v>79</v>
      </c>
      <c r="E169" s="97">
        <f>VLOOKUP($E$3,'Catchment Births'!$A$1:$U$90,12,FALSE)</f>
        <v>96</v>
      </c>
      <c r="F169" s="97">
        <f>VLOOKUP($E$3,'Catchment Births'!$A$1:$U$90,13,FALSE)</f>
        <v>87</v>
      </c>
      <c r="G169" s="97">
        <f>VLOOKUP($E$3,'Catchment Births'!$A$1:$U$90,14,FALSE)</f>
        <v>101</v>
      </c>
      <c r="H169" s="97">
        <f>VLOOKUP($E$3,'Catchment Births'!$A$1:$U$90,15,FALSE)</f>
        <v>91</v>
      </c>
      <c r="I169" s="97">
        <f>VLOOKUP($E$3,'Catchment Births'!$A$1:$U$90,16,FALSE)</f>
        <v>107</v>
      </c>
      <c r="J169" s="97">
        <f>VLOOKUP($E$3,'Catchment Births'!$A$1:$U$90,17,FALSE)</f>
        <v>89</v>
      </c>
      <c r="K169" s="97">
        <f>VLOOKUP($E$3,'Catchment Births'!$A$1:$U$90,18,FALSE)</f>
        <v>104</v>
      </c>
      <c r="L169" s="97">
        <f>VLOOKUP($E$3,'Catchment Births'!$A$1:$U$90,19,FALSE)</f>
        <v>76</v>
      </c>
      <c r="M169" s="97">
        <f>VLOOKUP($E$3,'Catchment Births'!$A$1:$U$90,20,FALSE)</f>
        <v>86</v>
      </c>
      <c r="N169" s="97">
        <f>VLOOKUP($E$3,'Catchment Births'!$A$1:$U$90,21,FALSE)</f>
        <v>85</v>
      </c>
    </row>
    <row r="170" spans="2:14" ht="58.5" customHeight="1">
      <c r="B170" s="103" t="str">
        <f>"P1 "&amp;A35&amp;" Catchment Population (Actual)"</f>
        <v>P1 ND Catchment Population (Actual)</v>
      </c>
      <c r="C170" s="102" t="e">
        <v>#REF!</v>
      </c>
      <c r="D170" s="102">
        <v>46</v>
      </c>
      <c r="E170" s="102">
        <v>62</v>
      </c>
      <c r="F170" s="102">
        <v>67</v>
      </c>
      <c r="G170" s="102">
        <v>56</v>
      </c>
      <c r="H170" s="102">
        <v>64</v>
      </c>
      <c r="I170" s="102">
        <v>65</v>
      </c>
      <c r="J170" s="308">
        <f>VLOOKUP(E3,'Catchment Projections'!A1:BU92,42,FALSE)</f>
        <v>59</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65</v>
      </c>
      <c r="J172" s="96" t="e">
        <f>#REF!</f>
        <v>#REF!</v>
      </c>
      <c r="K172" s="96">
        <f>D51</f>
        <v>57</v>
      </c>
      <c r="L172" s="96">
        <f>E51</f>
        <v>58</v>
      </c>
      <c r="M172" s="96">
        <f>F51</f>
        <v>64</v>
      </c>
      <c r="N172" s="96">
        <f>G51</f>
        <v>52</v>
      </c>
    </row>
    <row r="173" spans="2:14" ht="12.75">
      <c r="B173" s="62"/>
      <c r="C173" s="62"/>
      <c r="D173" s="62"/>
      <c r="E173" s="62"/>
      <c r="F173" s="62"/>
      <c r="G173" s="62"/>
      <c r="H173" s="62"/>
      <c r="I173" s="62"/>
      <c r="J173" s="62"/>
      <c r="K173" s="62"/>
    </row>
    <row r="174" spans="2:14" ht="15" customHeight="1">
      <c r="B174" s="64" t="str">
        <f>"Table 5: "&amp;E3&amp;" Roll by Stage, 2002-2018"</f>
        <v>Table 5: Oxgangs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49</v>
      </c>
      <c r="D177" s="93">
        <v>45</v>
      </c>
      <c r="E177" s="93">
        <v>55</v>
      </c>
      <c r="F177" s="93">
        <v>37</v>
      </c>
      <c r="G177" s="93">
        <v>64</v>
      </c>
      <c r="H177" s="93">
        <v>47</v>
      </c>
      <c r="I177" s="93">
        <v>54</v>
      </c>
      <c r="J177" s="92">
        <v>351</v>
      </c>
      <c r="K177" s="62"/>
    </row>
    <row r="178" spans="2:11" ht="15" customHeight="1">
      <c r="B178" s="94">
        <v>2003</v>
      </c>
      <c r="C178" s="93">
        <v>44</v>
      </c>
      <c r="D178" s="93">
        <v>46</v>
      </c>
      <c r="E178" s="93">
        <v>48</v>
      </c>
      <c r="F178" s="93">
        <v>54</v>
      </c>
      <c r="G178" s="93">
        <v>36</v>
      </c>
      <c r="H178" s="93">
        <v>60</v>
      </c>
      <c r="I178" s="93">
        <v>45</v>
      </c>
      <c r="J178" s="92">
        <v>333</v>
      </c>
      <c r="K178" s="62"/>
    </row>
    <row r="179" spans="2:11" customFormat="1" ht="15" customHeight="1">
      <c r="B179" s="94">
        <v>2004</v>
      </c>
      <c r="C179" s="95">
        <v>41</v>
      </c>
      <c r="D179" s="95">
        <v>42</v>
      </c>
      <c r="E179" s="95">
        <v>42</v>
      </c>
      <c r="F179" s="95">
        <v>46</v>
      </c>
      <c r="G179" s="95">
        <v>53</v>
      </c>
      <c r="H179" s="95">
        <v>34</v>
      </c>
      <c r="I179" s="95">
        <v>58</v>
      </c>
      <c r="J179" s="92">
        <v>316</v>
      </c>
      <c r="K179" s="62"/>
    </row>
    <row r="180" spans="2:11" customFormat="1" ht="15" customHeight="1">
      <c r="B180" s="94">
        <v>2005</v>
      </c>
      <c r="C180" s="93">
        <v>45</v>
      </c>
      <c r="D180" s="93">
        <v>39</v>
      </c>
      <c r="E180" s="93">
        <v>43</v>
      </c>
      <c r="F180" s="93">
        <v>42</v>
      </c>
      <c r="G180" s="93">
        <v>46</v>
      </c>
      <c r="H180" s="93">
        <v>56</v>
      </c>
      <c r="I180" s="93">
        <v>39</v>
      </c>
      <c r="J180" s="92">
        <v>310</v>
      </c>
      <c r="K180" s="62"/>
    </row>
    <row r="181" spans="2:11" customFormat="1" ht="15" customHeight="1">
      <c r="B181" s="94">
        <v>2006</v>
      </c>
      <c r="C181" s="93">
        <v>44</v>
      </c>
      <c r="D181" s="93">
        <v>45</v>
      </c>
      <c r="E181" s="93">
        <v>39</v>
      </c>
      <c r="F181" s="93">
        <v>43</v>
      </c>
      <c r="G181" s="93">
        <v>44</v>
      </c>
      <c r="H181" s="93">
        <v>46</v>
      </c>
      <c r="I181" s="93">
        <v>57</v>
      </c>
      <c r="J181" s="92">
        <v>318</v>
      </c>
      <c r="K181" s="62"/>
    </row>
    <row r="182" spans="2:11" customFormat="1" ht="15" customHeight="1">
      <c r="B182" s="94">
        <v>2007</v>
      </c>
      <c r="C182" s="93">
        <v>42</v>
      </c>
      <c r="D182" s="93">
        <v>44</v>
      </c>
      <c r="E182" s="93">
        <v>44</v>
      </c>
      <c r="F182" s="93">
        <v>38</v>
      </c>
      <c r="G182" s="93">
        <v>44</v>
      </c>
      <c r="H182" s="93">
        <v>45</v>
      </c>
      <c r="I182" s="93">
        <v>50</v>
      </c>
      <c r="J182" s="92">
        <v>307</v>
      </c>
      <c r="K182" s="62"/>
    </row>
    <row r="183" spans="2:11" customFormat="1" ht="15" customHeight="1">
      <c r="B183" s="94">
        <v>2008</v>
      </c>
      <c r="C183" s="93">
        <v>49</v>
      </c>
      <c r="D183" s="93">
        <v>41</v>
      </c>
      <c r="E183" s="93">
        <v>46</v>
      </c>
      <c r="F183" s="93">
        <v>42</v>
      </c>
      <c r="G183" s="93">
        <v>42</v>
      </c>
      <c r="H183" s="93">
        <v>41</v>
      </c>
      <c r="I183" s="93">
        <v>43</v>
      </c>
      <c r="J183" s="92">
        <v>304</v>
      </c>
      <c r="K183" s="62"/>
    </row>
    <row r="184" spans="2:11" customFormat="1" ht="15" customHeight="1">
      <c r="B184" s="94">
        <v>2009</v>
      </c>
      <c r="C184" s="93">
        <v>52</v>
      </c>
      <c r="D184" s="93">
        <v>48</v>
      </c>
      <c r="E184" s="93">
        <v>44</v>
      </c>
      <c r="F184" s="93">
        <v>44</v>
      </c>
      <c r="G184" s="93">
        <v>40</v>
      </c>
      <c r="H184" s="93">
        <v>43</v>
      </c>
      <c r="I184" s="93">
        <v>43</v>
      </c>
      <c r="J184" s="94">
        <v>314</v>
      </c>
      <c r="K184" s="62"/>
    </row>
    <row r="185" spans="2:11" customFormat="1" ht="15" customHeight="1">
      <c r="B185" s="94">
        <v>2010</v>
      </c>
      <c r="C185" s="93">
        <v>49</v>
      </c>
      <c r="D185" s="93">
        <v>57</v>
      </c>
      <c r="E185" s="93">
        <v>49</v>
      </c>
      <c r="F185" s="93">
        <v>42</v>
      </c>
      <c r="G185" s="93">
        <v>42</v>
      </c>
      <c r="H185" s="93">
        <v>40</v>
      </c>
      <c r="I185" s="93">
        <v>45</v>
      </c>
      <c r="J185" s="92">
        <v>324</v>
      </c>
      <c r="K185" s="62"/>
    </row>
    <row r="186" spans="2:11" customFormat="1" ht="15" customHeight="1">
      <c r="B186" s="94">
        <v>2011</v>
      </c>
      <c r="C186" s="93">
        <v>66</v>
      </c>
      <c r="D186" s="93">
        <v>45</v>
      </c>
      <c r="E186" s="93">
        <v>54</v>
      </c>
      <c r="F186" s="93">
        <v>50</v>
      </c>
      <c r="G186" s="93">
        <v>44</v>
      </c>
      <c r="H186" s="93">
        <v>45</v>
      </c>
      <c r="I186" s="93">
        <v>40</v>
      </c>
      <c r="J186" s="92">
        <v>344</v>
      </c>
      <c r="K186" s="62"/>
    </row>
    <row r="187" spans="2:11" customFormat="1" ht="15" customHeight="1">
      <c r="B187" s="94">
        <v>2012</v>
      </c>
      <c r="C187" s="93">
        <v>68</v>
      </c>
      <c r="D187" s="93">
        <v>62</v>
      </c>
      <c r="E187" s="93">
        <v>46</v>
      </c>
      <c r="F187" s="93">
        <v>51</v>
      </c>
      <c r="G187" s="93">
        <v>48</v>
      </c>
      <c r="H187" s="93">
        <v>44</v>
      </c>
      <c r="I187" s="93">
        <v>43</v>
      </c>
      <c r="J187" s="92">
        <v>362</v>
      </c>
      <c r="K187" s="62"/>
    </row>
    <row r="188" spans="2:11" customFormat="1" ht="15" customHeight="1">
      <c r="B188" s="94">
        <v>2013</v>
      </c>
      <c r="C188" s="93">
        <v>66</v>
      </c>
      <c r="D188" s="93">
        <v>63</v>
      </c>
      <c r="E188" s="93">
        <v>67</v>
      </c>
      <c r="F188" s="93">
        <v>45</v>
      </c>
      <c r="G188" s="93">
        <v>53</v>
      </c>
      <c r="H188" s="93">
        <v>52</v>
      </c>
      <c r="I188" s="93">
        <v>41</v>
      </c>
      <c r="J188" s="94">
        <v>387</v>
      </c>
      <c r="K188" s="62"/>
    </row>
    <row r="189" spans="2:11" customFormat="1" ht="15" customHeight="1">
      <c r="B189" s="94">
        <v>2014</v>
      </c>
      <c r="C189" s="93">
        <v>56</v>
      </c>
      <c r="D189" s="93">
        <v>62</v>
      </c>
      <c r="E189" s="93">
        <v>65</v>
      </c>
      <c r="F189" s="93">
        <v>66</v>
      </c>
      <c r="G189" s="93">
        <v>43</v>
      </c>
      <c r="H189" s="93">
        <v>51</v>
      </c>
      <c r="I189" s="93">
        <v>48</v>
      </c>
      <c r="J189" s="92">
        <v>391</v>
      </c>
      <c r="K189" s="65"/>
    </row>
    <row r="190" spans="2:11" customFormat="1" ht="15" customHeight="1">
      <c r="B190" s="94">
        <v>2015</v>
      </c>
      <c r="C190" s="93">
        <v>60</v>
      </c>
      <c r="D190" s="93">
        <v>59</v>
      </c>
      <c r="E190" s="93">
        <v>62</v>
      </c>
      <c r="F190" s="93">
        <v>67</v>
      </c>
      <c r="G190" s="93">
        <v>66</v>
      </c>
      <c r="H190" s="93">
        <v>45</v>
      </c>
      <c r="I190" s="93">
        <v>51</v>
      </c>
      <c r="J190" s="92">
        <v>410</v>
      </c>
      <c r="K190" s="65"/>
    </row>
    <row r="191" spans="2:11" customFormat="1" ht="15" customHeight="1">
      <c r="B191" s="94">
        <v>2016</v>
      </c>
      <c r="C191" s="93">
        <v>57</v>
      </c>
      <c r="D191" s="93">
        <v>60</v>
      </c>
      <c r="E191" s="93">
        <v>58</v>
      </c>
      <c r="F191" s="93">
        <v>63</v>
      </c>
      <c r="G191" s="93">
        <v>64</v>
      </c>
      <c r="H191" s="93">
        <v>64</v>
      </c>
      <c r="I191" s="93">
        <v>47</v>
      </c>
      <c r="J191" s="92">
        <v>413</v>
      </c>
      <c r="K191" s="65"/>
    </row>
    <row r="192" spans="2:11" ht="15" customHeight="1">
      <c r="B192" s="94">
        <v>2017</v>
      </c>
      <c r="C192" s="93">
        <f>VLOOKUP($E$3,Rolls!A1:FA90,42,FALSE)</f>
        <v>57</v>
      </c>
      <c r="D192" s="93">
        <f>VLOOKUP($E$3,Rolls!A1:FA90,43,FALSE)</f>
        <v>55</v>
      </c>
      <c r="E192" s="93">
        <f>VLOOKUP($E$3,Rolls!A1:FA90,44,FALSE)</f>
        <v>57</v>
      </c>
      <c r="F192" s="93">
        <f>VLOOKUP($E$3,Rolls!A1:FA90,45,FALSE)</f>
        <v>56</v>
      </c>
      <c r="G192" s="93">
        <f>VLOOKUP($E$3,Rolls!A1:FA90,46,FALSE)</f>
        <v>56</v>
      </c>
      <c r="H192" s="93">
        <f>VLOOKUP($E$3,Rolls!A1:FA90,47,FALSE)</f>
        <v>67</v>
      </c>
      <c r="I192" s="93">
        <f>VLOOKUP($E$3,Rolls!A1:FA90,48,FALSE)</f>
        <v>60</v>
      </c>
      <c r="J192" s="92">
        <f>VLOOKUP($E$3,Rolls!A1:FA90,49,FALSE)</f>
        <v>408</v>
      </c>
      <c r="K192" s="65"/>
    </row>
    <row r="193" spans="2:11" ht="15" customHeight="1">
      <c r="B193" s="94">
        <v>2018</v>
      </c>
      <c r="C193" s="93">
        <f>VLOOKUP($E$3,Rolls!A1:FA90,50,FALSE)</f>
        <v>57</v>
      </c>
      <c r="D193" s="93">
        <f>VLOOKUP($E$3,Rolls!A1:FA90,51,FALSE)</f>
        <v>55</v>
      </c>
      <c r="E193" s="93">
        <f>VLOOKUP($E$3,Rolls!A1:FA90,52,FALSE)</f>
        <v>51</v>
      </c>
      <c r="F193" s="93">
        <f>VLOOKUP($E$3,Rolls!A1:FA90,53,FALSE)</f>
        <v>52</v>
      </c>
      <c r="G193" s="93">
        <f>VLOOKUP($E$3,Rolls!A1:FA90,54,FALSE)</f>
        <v>52</v>
      </c>
      <c r="H193" s="93">
        <f>VLOOKUP($E$3,Rolls!A1:FA90,55,FALSE)</f>
        <v>51</v>
      </c>
      <c r="I193" s="93">
        <f>VLOOKUP($E$3,Rolls!A1:FA90,56,FALSE)</f>
        <v>64</v>
      </c>
      <c r="J193" s="92">
        <f>VLOOKUP($E$3,Rolls!A1:FA90,57,FALSE)</f>
        <v>382</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54</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Parsons Green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420 Pupils (14 classes)</v>
      </c>
      <c r="G12" s="16"/>
      <c r="H12" s="16"/>
    </row>
    <row r="13" spans="2:10" ht="15" customHeight="1">
      <c r="C13" s="16"/>
      <c r="D13" s="16"/>
      <c r="E13" s="16"/>
      <c r="F13" s="16"/>
      <c r="G13" s="16"/>
      <c r="H13" s="16"/>
    </row>
    <row r="14" spans="2:10" ht="15" customHeight="1">
      <c r="B14" s="15" t="str">
        <f>"Figure 1: "&amp;E3&amp;" Roll, 2002-2015"</f>
        <v>Figure 1: Parsons Green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Parsons Green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45</v>
      </c>
      <c r="E49" s="108">
        <f>VLOOKUP($E$3,'Catchment Projections'!$A$1:$BU$90,46,FALSE)</f>
        <v>27</v>
      </c>
      <c r="F49" s="108">
        <f>VLOOKUP($E$3,'Catchment Projections'!$A$1:$BU$90,47,FALSE)</f>
        <v>42</v>
      </c>
      <c r="G49" s="108">
        <f>VLOOKUP($E$3,'Catchment Projections'!$A$1:$BU$90,48,FALSE)</f>
        <v>41</v>
      </c>
      <c r="H49" s="133">
        <f>VLOOKUP($E$3,'Catchment Projections'!$A$1:$BU$90,49,FALSE)</f>
        <v>37</v>
      </c>
      <c r="I49" s="133">
        <f>VLOOKUP($E$3,'Catchment Projections'!$A$1:$BU$90,50,FALSE)</f>
        <v>38</v>
      </c>
      <c r="J49" s="133">
        <f>VLOOKUP($E$3,'Catchment Projections'!$A$1:$BU$90,51,FALSE)</f>
        <v>38</v>
      </c>
      <c r="K49" s="133">
        <f>VLOOKUP($E$3,'Catchment Projections'!$A$1:$BU$90,52,FALSE)</f>
        <v>39</v>
      </c>
      <c r="L49" s="133">
        <f>VLOOKUP($E$3,'Catchment Projections'!$A$1:$BU$90,53,FALSE)</f>
        <v>39</v>
      </c>
      <c r="M49" s="133">
        <f>VLOOKUP($E$3,'Catchment Projections'!$A$1:$BU$90,54,FALSE)</f>
        <v>39</v>
      </c>
      <c r="N49" s="133">
        <f>VLOOKUP($E$3,'Catchment Projections'!$A$1:$BU$90,55,FALSE)</f>
        <v>39</v>
      </c>
      <c r="O49" s="133">
        <f>VLOOKUP($E$3,'Catchment Projections'!$A$1:$BU$90,56,FALSE)</f>
        <v>40</v>
      </c>
      <c r="P49" s="133">
        <f>VLOOKUP($E$3,'Catchment Projections'!$A$1:$BU$90,57,FALSE)</f>
        <v>40</v>
      </c>
      <c r="Q49" s="133">
        <f>VLOOKUP($E$3,'Catchment Projections'!$A$1:$BU$90,58,FALSE)</f>
        <v>40</v>
      </c>
    </row>
    <row r="50" spans="2:17" ht="15" customHeight="1" thickBot="1">
      <c r="B50" s="410" t="s">
        <v>141</v>
      </c>
      <c r="C50" s="411"/>
      <c r="D50" s="286">
        <f>VLOOKUP(E3,'Housing Generation'!$A$3:$DQ$90,10,FALSE)</f>
        <v>0</v>
      </c>
      <c r="E50" s="286">
        <f>VLOOKUP(E3,'Housing Generation'!$A$3:$DQ$90,18,FALSE)</f>
        <v>0</v>
      </c>
      <c r="F50" s="286">
        <f>VLOOKUP(E3,'Housing Generation'!$A$3:$DQ$90,26,FALSE)</f>
        <v>0</v>
      </c>
      <c r="G50" s="243">
        <f>VLOOKUP(E3,'Housing Generation'!$A$3:$DQ$90,34,FALSE)</f>
        <v>0</v>
      </c>
      <c r="H50" s="133">
        <f>VLOOKUP(E3,'Housing Generation'!$A$3:$DQ$90,42,FALSE)</f>
        <v>0</v>
      </c>
      <c r="I50" s="133">
        <f>VLOOKUP(E3,'Housing Generation'!$A$3:$DQ$90,50,FALSE)</f>
        <v>0</v>
      </c>
      <c r="J50" s="133">
        <f>VLOOKUP(E3,'Housing Generation'!$A$3:$CK$90,58,FALSE)</f>
        <v>0</v>
      </c>
      <c r="K50" s="133">
        <f>VLOOKUP(E3,'Housing Generation'!$A$3:$CK$90,66,FALSE)</f>
        <v>0</v>
      </c>
      <c r="L50" s="133">
        <f>VLOOKUP(E3,'Housing Generation'!$A$3:$DQ$90,74,FALSE)</f>
        <v>0</v>
      </c>
      <c r="M50" s="133">
        <f>VLOOKUP(E3,'Housing Generation'!$A$3:$DQ$90,82,FALSE)</f>
        <v>0</v>
      </c>
      <c r="N50" s="133">
        <f>VLOOKUP(E3,'Housing Generation'!$A$3:$DQ$90,90,FALSE)</f>
        <v>0</v>
      </c>
      <c r="O50" s="133">
        <f>VLOOKUP(E3,'Housing Generation'!$A$3:$DQ$90,98,FALSE)</f>
        <v>0</v>
      </c>
      <c r="P50" s="133">
        <f>VLOOKUP(E3,'Housing Generation'!$A$3:$DQ$90,106,FALSE)</f>
        <v>0</v>
      </c>
      <c r="Q50" s="133">
        <f>VLOOKUP(E3,'Housing Generation'!$A$3:$DQ$90,114,FALSE)</f>
        <v>0</v>
      </c>
    </row>
    <row r="51" spans="2:17" ht="15" customHeight="1" thickTop="1">
      <c r="B51" s="421" t="s">
        <v>130</v>
      </c>
      <c r="C51" s="422"/>
      <c r="D51" s="47">
        <f t="shared" ref="D51:Q51" si="0">SUM(D49:D50)</f>
        <v>45</v>
      </c>
      <c r="E51" s="47">
        <f t="shared" si="0"/>
        <v>27</v>
      </c>
      <c r="F51" s="80">
        <f t="shared" si="0"/>
        <v>42</v>
      </c>
      <c r="G51" s="244">
        <f t="shared" si="0"/>
        <v>41</v>
      </c>
      <c r="H51" s="71">
        <f t="shared" si="0"/>
        <v>37</v>
      </c>
      <c r="I51" s="71">
        <f t="shared" si="0"/>
        <v>38</v>
      </c>
      <c r="J51" s="71">
        <f t="shared" si="0"/>
        <v>38</v>
      </c>
      <c r="K51" s="71">
        <f t="shared" si="0"/>
        <v>39</v>
      </c>
      <c r="L51" s="71">
        <f t="shared" si="0"/>
        <v>39</v>
      </c>
      <c r="M51" s="71">
        <f t="shared" si="0"/>
        <v>39</v>
      </c>
      <c r="N51" s="71">
        <f t="shared" si="0"/>
        <v>39</v>
      </c>
      <c r="O51" s="71">
        <f t="shared" si="0"/>
        <v>40</v>
      </c>
      <c r="P51" s="71">
        <f t="shared" si="0"/>
        <v>40</v>
      </c>
      <c r="Q51" s="71">
        <f t="shared" si="0"/>
        <v>40</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49</v>
      </c>
      <c r="D60" s="358">
        <f>VLOOKUP($E$3,'Catchment Projections'!$A$1:$BZ$90,74,FALSE)</f>
        <v>45</v>
      </c>
      <c r="E60" s="303">
        <f>D60/C60</f>
        <v>0.91836734693877553</v>
      </c>
      <c r="G60" s="132">
        <v>2014</v>
      </c>
      <c r="H60" s="395">
        <f>VLOOKUP($G$60,$B$177:$C$215, 2, FALSE)</f>
        <v>54</v>
      </c>
      <c r="I60" s="120">
        <f>H60-D60</f>
        <v>9</v>
      </c>
      <c r="J60" s="121">
        <f>I60/H60</f>
        <v>0.16666666666666666</v>
      </c>
    </row>
    <row r="61" spans="2:17" ht="15" customHeight="1">
      <c r="B61" s="132">
        <v>2015</v>
      </c>
      <c r="C61" s="359">
        <f>VLOOKUP($E$3,'Catchment Projections'!$A$1:$BZ$90,41,FALSE)</f>
        <v>57</v>
      </c>
      <c r="D61" s="358">
        <f>VLOOKUP($E$3,'Catchment Projections'!$A$1:$BZ$90,75,FALSE)</f>
        <v>54</v>
      </c>
      <c r="E61" s="303">
        <f>D61/C61</f>
        <v>0.94736842105263153</v>
      </c>
      <c r="G61" s="132">
        <v>2015</v>
      </c>
      <c r="H61" s="395">
        <f>VLOOKUP($G$61,$B$177:$C$215, 2, FALSE)</f>
        <v>58</v>
      </c>
      <c r="I61" s="120">
        <f>H61-D61</f>
        <v>4</v>
      </c>
      <c r="J61" s="121">
        <f>I61/H61</f>
        <v>6.8965517241379309E-2</v>
      </c>
    </row>
    <row r="62" spans="2:17" ht="15" customHeight="1">
      <c r="B62" s="131">
        <v>2016</v>
      </c>
      <c r="C62" s="359">
        <f>VLOOKUP($E$3,'Catchment Projections'!$A$1:$BZ$90,42,FALSE)</f>
        <v>47</v>
      </c>
      <c r="D62" s="358">
        <f>VLOOKUP($E$3,'Catchment Projections'!$A$1:$BZ$90,76,FALSE)</f>
        <v>40</v>
      </c>
      <c r="E62" s="57">
        <f>D62/C62</f>
        <v>0.85106382978723405</v>
      </c>
      <c r="G62" s="131">
        <v>2016</v>
      </c>
      <c r="H62" s="395">
        <f>VLOOKUP($G$62,$B$177:$C$215, 2, FALSE)</f>
        <v>50</v>
      </c>
      <c r="I62" s="120">
        <f>H62-D62</f>
        <v>10</v>
      </c>
      <c r="J62" s="121">
        <f>I62/H62</f>
        <v>0.2</v>
      </c>
    </row>
    <row r="63" spans="2:17" ht="15" customHeight="1">
      <c r="B63" s="114">
        <v>2017</v>
      </c>
      <c r="C63" s="359">
        <f>VLOOKUP($E$3,'Catchment Projections'!$A$1:$BZ$90,43,FALSE)</f>
        <v>47</v>
      </c>
      <c r="D63" s="358">
        <f>VLOOKUP($E$3,'Catchment Projections'!$A$1:$BZ$90,77,FALSE)</f>
        <v>43</v>
      </c>
      <c r="E63" s="304">
        <f>D63/C63</f>
        <v>0.91489361702127658</v>
      </c>
      <c r="G63" s="114">
        <v>2017</v>
      </c>
      <c r="H63" s="395">
        <f>VLOOKUP($G$63,$B$177:$C$215, 2, FALSE)</f>
        <v>47</v>
      </c>
      <c r="I63" s="120">
        <f>H63-D63</f>
        <v>4</v>
      </c>
      <c r="J63" s="121">
        <f>I63/H63</f>
        <v>8.5106382978723402E-2</v>
      </c>
    </row>
    <row r="64" spans="2:17" ht="15" customHeight="1">
      <c r="B64" s="114">
        <v>2018</v>
      </c>
      <c r="C64" s="359">
        <f>VLOOKUP($E$3,'Catchment Projections'!$A$1:$BZ$90,44,FALSE)</f>
        <v>38</v>
      </c>
      <c r="D64" s="358">
        <f>VLOOKUP($E$3,'Catchment Projections'!$A$1:$BZ$90,78,FALSE)</f>
        <v>35</v>
      </c>
      <c r="E64" s="305">
        <f>D64/C64</f>
        <v>0.92105263157894735</v>
      </c>
      <c r="G64" s="114">
        <v>2018</v>
      </c>
      <c r="H64" s="395">
        <f>VLOOKUP($G$64,$B$177:$C$215, 2, FALSE)</f>
        <v>43</v>
      </c>
      <c r="I64" s="120">
        <f>H64-D64</f>
        <v>8</v>
      </c>
      <c r="J64" s="121">
        <f>I64/H64</f>
        <v>0.18604651162790697</v>
      </c>
    </row>
    <row r="65" spans="2:10" ht="15" customHeight="1">
      <c r="B65" s="412" t="s">
        <v>136</v>
      </c>
      <c r="C65" s="413"/>
      <c r="D65" s="414"/>
      <c r="E65" s="137">
        <f>IF((AVERAGE(E62:E64))="#DIV/0!","n/a",(AVERAGE(E62:E64)))</f>
        <v>0.8956700261291527</v>
      </c>
      <c r="G65" s="415" t="s">
        <v>137</v>
      </c>
      <c r="H65" s="416"/>
      <c r="I65" s="138">
        <f>MEDIAN(I60:I64)</f>
        <v>8</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45</v>
      </c>
      <c r="D70" s="408"/>
      <c r="E70" s="122">
        <f>E65</f>
        <v>0.8956700261291527</v>
      </c>
      <c r="F70" s="120">
        <f t="shared" ref="F70:F83" si="1">C70*$E$65</f>
        <v>40.305151175811872</v>
      </c>
      <c r="G70" s="118">
        <f>IF(F70&lt;26,25,IF(F70&gt;135,140,IF(F70&gt;130,135,IF(F70&gt;125,130,IF(F70&gt;120,125,IF(F70&gt;115,120,IF(F70&gt;110,115,IF(F70&gt;105,110,IF(F70&gt;100,105,IF(F70&gt;99,100,IF(F70&gt;90,99,IF(F70&gt;75,90,IF(F70&gt;72,75,IF(F70&gt;66,72,IF(F70&gt;60,66,IF(F70&gt;50,60,IF(F70&gt;30,50,IF(F70&gt;25,30,0))))))))))))))))))</f>
        <v>50</v>
      </c>
      <c r="H70" s="119">
        <f t="shared" ref="H70:H83" si="2">G70-F70</f>
        <v>9.6948488241881279</v>
      </c>
      <c r="I70" s="118" t="str">
        <f>IF(I$65&lt;H70, "NO", "YES")</f>
        <v>NO</v>
      </c>
      <c r="J70" s="117">
        <f t="shared" ref="J70:J83" si="3">IF(I70="YES",G70,(MIN((SUM(F70,$I$65)),G70)))</f>
        <v>48.305151175811872</v>
      </c>
    </row>
    <row r="71" spans="2:10" ht="15" customHeight="1">
      <c r="B71" s="114">
        <v>2020</v>
      </c>
      <c r="C71" s="433">
        <f>E51</f>
        <v>27</v>
      </c>
      <c r="D71" s="408"/>
      <c r="E71" s="121">
        <f>E65</f>
        <v>0.8956700261291527</v>
      </c>
      <c r="F71" s="120">
        <f t="shared" si="1"/>
        <v>24.183090705487121</v>
      </c>
      <c r="G71" s="118">
        <f t="shared" ref="G71:G83" si="4">IF(F71&lt;26,25,IF(F71&gt;135,140,IF(F71&gt;130,135,IF(F71&gt;125,130,IF(F71&gt;120,125,IF(F71&gt;115,120,IF(F71&gt;110,115,IF(F71&gt;105,110,IF(F71&gt;100,105,IF(F71&gt;99,100,IF(F71&gt;90,99,IF(F71&gt;75,90,IF(F71&gt;72,75,IF(F71&gt;66,72,IF(F71&gt;60,66,IF(F71&gt;50,60,IF(F71&gt;30,50,IF(F71&gt;25,30,0))))))))))))))))))</f>
        <v>25</v>
      </c>
      <c r="H71" s="119">
        <f t="shared" si="2"/>
        <v>0.81690929451287886</v>
      </c>
      <c r="I71" s="118" t="str">
        <f t="shared" ref="I71:I83" si="5">IF(I$65&lt;H71, "NO", "YES")</f>
        <v>YES</v>
      </c>
      <c r="J71" s="117">
        <f t="shared" si="3"/>
        <v>25</v>
      </c>
    </row>
    <row r="72" spans="2:10" ht="15" customHeight="1">
      <c r="B72" s="114">
        <v>2021</v>
      </c>
      <c r="C72" s="430">
        <f>F51</f>
        <v>42</v>
      </c>
      <c r="D72" s="431"/>
      <c r="E72" s="121">
        <f>E65</f>
        <v>0.8956700261291527</v>
      </c>
      <c r="F72" s="120">
        <f t="shared" si="1"/>
        <v>37.618141097424413</v>
      </c>
      <c r="G72" s="118">
        <f t="shared" si="4"/>
        <v>50</v>
      </c>
      <c r="H72" s="119">
        <f t="shared" si="2"/>
        <v>12.381858902575587</v>
      </c>
      <c r="I72" s="118" t="str">
        <f t="shared" si="5"/>
        <v>NO</v>
      </c>
      <c r="J72" s="117">
        <f t="shared" si="3"/>
        <v>45.618141097424413</v>
      </c>
    </row>
    <row r="73" spans="2:10" ht="15" customHeight="1">
      <c r="B73" s="114">
        <v>2022</v>
      </c>
      <c r="C73" s="430">
        <f>G51</f>
        <v>41</v>
      </c>
      <c r="D73" s="431"/>
      <c r="E73" s="121">
        <f>E65</f>
        <v>0.8956700261291527</v>
      </c>
      <c r="F73" s="120">
        <f t="shared" si="1"/>
        <v>36.72247107129526</v>
      </c>
      <c r="G73" s="118">
        <f t="shared" si="4"/>
        <v>50</v>
      </c>
      <c r="H73" s="119">
        <f t="shared" si="2"/>
        <v>13.27752892870474</v>
      </c>
      <c r="I73" s="118" t="str">
        <f t="shared" si="5"/>
        <v>NO</v>
      </c>
      <c r="J73" s="117">
        <f t="shared" si="3"/>
        <v>44.72247107129526</v>
      </c>
    </row>
    <row r="74" spans="2:10" ht="15" customHeight="1">
      <c r="B74" s="114">
        <v>2023</v>
      </c>
      <c r="C74" s="430">
        <f>H51</f>
        <v>37</v>
      </c>
      <c r="D74" s="431"/>
      <c r="E74" s="121">
        <f>E65</f>
        <v>0.8956700261291527</v>
      </c>
      <c r="F74" s="120">
        <f t="shared" si="1"/>
        <v>33.139790966778648</v>
      </c>
      <c r="G74" s="118">
        <f t="shared" si="4"/>
        <v>50</v>
      </c>
      <c r="H74" s="119">
        <f t="shared" si="2"/>
        <v>16.860209033221352</v>
      </c>
      <c r="I74" s="118" t="str">
        <f t="shared" si="5"/>
        <v>NO</v>
      </c>
      <c r="J74" s="117">
        <f t="shared" si="3"/>
        <v>41.139790966778648</v>
      </c>
    </row>
    <row r="75" spans="2:10" ht="15" customHeight="1">
      <c r="B75" s="114">
        <v>2024</v>
      </c>
      <c r="C75" s="430">
        <f>I51</f>
        <v>38</v>
      </c>
      <c r="D75" s="431"/>
      <c r="E75" s="121">
        <f>E65</f>
        <v>0.8956700261291527</v>
      </c>
      <c r="F75" s="120">
        <f t="shared" si="1"/>
        <v>34.035460992907801</v>
      </c>
      <c r="G75" s="118">
        <f t="shared" si="4"/>
        <v>50</v>
      </c>
      <c r="H75" s="119">
        <f t="shared" si="2"/>
        <v>15.964539007092199</v>
      </c>
      <c r="I75" s="118" t="str">
        <f t="shared" si="5"/>
        <v>NO</v>
      </c>
      <c r="J75" s="117">
        <f t="shared" si="3"/>
        <v>42.035460992907801</v>
      </c>
    </row>
    <row r="76" spans="2:10" ht="15" customHeight="1">
      <c r="B76" s="114">
        <v>2025</v>
      </c>
      <c r="C76" s="430">
        <f>J51</f>
        <v>38</v>
      </c>
      <c r="D76" s="431"/>
      <c r="E76" s="121">
        <f>E65</f>
        <v>0.8956700261291527</v>
      </c>
      <c r="F76" s="120">
        <f t="shared" si="1"/>
        <v>34.035460992907801</v>
      </c>
      <c r="G76" s="118">
        <f t="shared" si="4"/>
        <v>50</v>
      </c>
      <c r="H76" s="119">
        <f t="shared" si="2"/>
        <v>15.964539007092199</v>
      </c>
      <c r="I76" s="118" t="str">
        <f t="shared" si="5"/>
        <v>NO</v>
      </c>
      <c r="J76" s="117">
        <f t="shared" si="3"/>
        <v>42.035460992907801</v>
      </c>
    </row>
    <row r="77" spans="2:10" ht="15" customHeight="1">
      <c r="B77" s="114">
        <v>2026</v>
      </c>
      <c r="C77" s="430">
        <f>K51</f>
        <v>39</v>
      </c>
      <c r="D77" s="431"/>
      <c r="E77" s="121">
        <f>E65</f>
        <v>0.8956700261291527</v>
      </c>
      <c r="F77" s="120">
        <f t="shared" si="1"/>
        <v>34.931131019036954</v>
      </c>
      <c r="G77" s="118">
        <f t="shared" si="4"/>
        <v>50</v>
      </c>
      <c r="H77" s="119">
        <f t="shared" si="2"/>
        <v>15.068868980963046</v>
      </c>
      <c r="I77" s="118" t="str">
        <f t="shared" si="5"/>
        <v>NO</v>
      </c>
      <c r="J77" s="117">
        <f t="shared" si="3"/>
        <v>42.931131019036954</v>
      </c>
    </row>
    <row r="78" spans="2:10" ht="15" customHeight="1">
      <c r="B78" s="114">
        <v>2027</v>
      </c>
      <c r="C78" s="430">
        <f>L51</f>
        <v>39</v>
      </c>
      <c r="D78" s="431"/>
      <c r="E78" s="121">
        <f>E65</f>
        <v>0.8956700261291527</v>
      </c>
      <c r="F78" s="120">
        <f t="shared" si="1"/>
        <v>34.931131019036954</v>
      </c>
      <c r="G78" s="118">
        <f t="shared" si="4"/>
        <v>50</v>
      </c>
      <c r="H78" s="119">
        <f t="shared" si="2"/>
        <v>15.068868980963046</v>
      </c>
      <c r="I78" s="118" t="str">
        <f t="shared" si="5"/>
        <v>NO</v>
      </c>
      <c r="J78" s="117">
        <f t="shared" si="3"/>
        <v>42.931131019036954</v>
      </c>
    </row>
    <row r="79" spans="2:10" ht="15" customHeight="1">
      <c r="B79" s="114">
        <v>2028</v>
      </c>
      <c r="C79" s="430">
        <f>M51</f>
        <v>39</v>
      </c>
      <c r="D79" s="431"/>
      <c r="E79" s="121">
        <f t="shared" ref="E79:E83" si="6">$E$65</f>
        <v>0.8956700261291527</v>
      </c>
      <c r="F79" s="120">
        <f t="shared" si="1"/>
        <v>34.931131019036954</v>
      </c>
      <c r="G79" s="118">
        <f t="shared" si="4"/>
        <v>50</v>
      </c>
      <c r="H79" s="119">
        <f t="shared" si="2"/>
        <v>15.068868980963046</v>
      </c>
      <c r="I79" s="118" t="str">
        <f t="shared" si="5"/>
        <v>NO</v>
      </c>
      <c r="J79" s="117">
        <f t="shared" si="3"/>
        <v>42.931131019036954</v>
      </c>
    </row>
    <row r="80" spans="2:10" ht="15" customHeight="1">
      <c r="B80" s="114">
        <v>2029</v>
      </c>
      <c r="C80" s="430">
        <f>N51</f>
        <v>39</v>
      </c>
      <c r="D80" s="431"/>
      <c r="E80" s="121">
        <f t="shared" si="6"/>
        <v>0.8956700261291527</v>
      </c>
      <c r="F80" s="120">
        <f t="shared" si="1"/>
        <v>34.931131019036954</v>
      </c>
      <c r="G80" s="118">
        <f t="shared" si="4"/>
        <v>50</v>
      </c>
      <c r="H80" s="119">
        <f t="shared" si="2"/>
        <v>15.068868980963046</v>
      </c>
      <c r="I80" s="118" t="str">
        <f t="shared" si="5"/>
        <v>NO</v>
      </c>
      <c r="J80" s="117">
        <f t="shared" si="3"/>
        <v>42.931131019036954</v>
      </c>
    </row>
    <row r="81" spans="2:10" ht="15" customHeight="1">
      <c r="B81" s="114">
        <v>2030</v>
      </c>
      <c r="C81" s="430">
        <f>O51</f>
        <v>40</v>
      </c>
      <c r="D81" s="431"/>
      <c r="E81" s="121">
        <f t="shared" si="6"/>
        <v>0.8956700261291527</v>
      </c>
      <c r="F81" s="120">
        <f t="shared" si="1"/>
        <v>35.826801045166107</v>
      </c>
      <c r="G81" s="118">
        <f t="shared" si="4"/>
        <v>50</v>
      </c>
      <c r="H81" s="119">
        <f t="shared" si="2"/>
        <v>14.173198954833893</v>
      </c>
      <c r="I81" s="118" t="str">
        <f t="shared" si="5"/>
        <v>NO</v>
      </c>
      <c r="J81" s="117">
        <f t="shared" si="3"/>
        <v>43.826801045166107</v>
      </c>
    </row>
    <row r="82" spans="2:10" ht="15" customHeight="1">
      <c r="B82" s="114">
        <v>2031</v>
      </c>
      <c r="C82" s="430">
        <f>P51</f>
        <v>40</v>
      </c>
      <c r="D82" s="431"/>
      <c r="E82" s="121">
        <f t="shared" si="6"/>
        <v>0.8956700261291527</v>
      </c>
      <c r="F82" s="120">
        <f t="shared" si="1"/>
        <v>35.826801045166107</v>
      </c>
      <c r="G82" s="118">
        <f t="shared" si="4"/>
        <v>50</v>
      </c>
      <c r="H82" s="119">
        <f t="shared" si="2"/>
        <v>14.173198954833893</v>
      </c>
      <c r="I82" s="118" t="str">
        <f t="shared" si="5"/>
        <v>NO</v>
      </c>
      <c r="J82" s="117">
        <f t="shared" si="3"/>
        <v>43.826801045166107</v>
      </c>
    </row>
    <row r="83" spans="2:10" ht="15" customHeight="1">
      <c r="B83" s="114">
        <v>2032</v>
      </c>
      <c r="C83" s="430">
        <f>Q51</f>
        <v>40</v>
      </c>
      <c r="D83" s="431"/>
      <c r="E83" s="121">
        <f t="shared" si="6"/>
        <v>0.8956700261291527</v>
      </c>
      <c r="F83" s="120">
        <f t="shared" si="1"/>
        <v>35.826801045166107</v>
      </c>
      <c r="G83" s="118">
        <f t="shared" si="4"/>
        <v>50</v>
      </c>
      <c r="H83" s="119">
        <f t="shared" si="2"/>
        <v>14.173198954833893</v>
      </c>
      <c r="I83" s="118" t="str">
        <f t="shared" si="5"/>
        <v>NO</v>
      </c>
      <c r="J83" s="117">
        <f t="shared" si="3"/>
        <v>43.826801045166107</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Parsons Green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50</v>
      </c>
      <c r="D91" s="112">
        <f t="shared" ref="D91:J91" si="7">D188</f>
        <v>63</v>
      </c>
      <c r="E91" s="112">
        <f t="shared" si="7"/>
        <v>40</v>
      </c>
      <c r="F91" s="112">
        <f t="shared" si="7"/>
        <v>30</v>
      </c>
      <c r="G91" s="112">
        <f t="shared" si="7"/>
        <v>44</v>
      </c>
      <c r="H91" s="112">
        <f t="shared" si="7"/>
        <v>32</v>
      </c>
      <c r="I91" s="112">
        <f t="shared" si="7"/>
        <v>33</v>
      </c>
      <c r="J91" s="213">
        <f t="shared" si="7"/>
        <v>292</v>
      </c>
    </row>
    <row r="92" spans="2:10" ht="15" customHeight="1">
      <c r="B92" s="114">
        <v>2014</v>
      </c>
      <c r="C92" s="112">
        <f>C189</f>
        <v>54</v>
      </c>
      <c r="D92" s="112">
        <f t="shared" ref="D92:J92" si="8">D189</f>
        <v>48</v>
      </c>
      <c r="E92" s="112">
        <f t="shared" si="8"/>
        <v>60</v>
      </c>
      <c r="F92" s="112">
        <f t="shared" si="8"/>
        <v>43</v>
      </c>
      <c r="G92" s="112">
        <f t="shared" si="8"/>
        <v>29</v>
      </c>
      <c r="H92" s="112">
        <f t="shared" si="8"/>
        <v>44</v>
      </c>
      <c r="I92" s="112">
        <f t="shared" si="8"/>
        <v>33</v>
      </c>
      <c r="J92" s="213">
        <f t="shared" si="8"/>
        <v>311</v>
      </c>
    </row>
    <row r="93" spans="2:10" ht="15" customHeight="1">
      <c r="B93" s="114">
        <v>2015</v>
      </c>
      <c r="C93" s="112">
        <f>C190</f>
        <v>58</v>
      </c>
      <c r="D93" s="112">
        <f t="shared" ref="D93:J93" si="9">D190</f>
        <v>55</v>
      </c>
      <c r="E93" s="112">
        <f t="shared" si="9"/>
        <v>50</v>
      </c>
      <c r="F93" s="112">
        <f t="shared" si="9"/>
        <v>63</v>
      </c>
      <c r="G93" s="112">
        <f t="shared" si="9"/>
        <v>40</v>
      </c>
      <c r="H93" s="112">
        <f t="shared" si="9"/>
        <v>29</v>
      </c>
      <c r="I93" s="112">
        <f t="shared" si="9"/>
        <v>43</v>
      </c>
      <c r="J93" s="213">
        <f t="shared" si="9"/>
        <v>338</v>
      </c>
    </row>
    <row r="94" spans="2:10" ht="15" customHeight="1">
      <c r="B94" s="114">
        <v>2016</v>
      </c>
      <c r="C94" s="112">
        <f>C191</f>
        <v>50</v>
      </c>
      <c r="D94" s="112">
        <f t="shared" ref="D94:J94" si="10">D191</f>
        <v>57</v>
      </c>
      <c r="E94" s="112">
        <f t="shared" si="10"/>
        <v>54</v>
      </c>
      <c r="F94" s="112">
        <f t="shared" si="10"/>
        <v>52</v>
      </c>
      <c r="G94" s="112">
        <f t="shared" si="10"/>
        <v>61</v>
      </c>
      <c r="H94" s="112">
        <f t="shared" si="10"/>
        <v>38</v>
      </c>
      <c r="I94" s="112">
        <f t="shared" si="10"/>
        <v>28</v>
      </c>
      <c r="J94" s="213">
        <f t="shared" si="10"/>
        <v>340</v>
      </c>
    </row>
    <row r="95" spans="2:10" ht="15" customHeight="1">
      <c r="B95" s="114">
        <v>2017</v>
      </c>
      <c r="C95" s="112">
        <f>C192</f>
        <v>47</v>
      </c>
      <c r="D95" s="112">
        <f t="shared" ref="D95:J95" si="11">D192</f>
        <v>51</v>
      </c>
      <c r="E95" s="112">
        <f t="shared" si="11"/>
        <v>54</v>
      </c>
      <c r="F95" s="112">
        <f t="shared" si="11"/>
        <v>53</v>
      </c>
      <c r="G95" s="112">
        <f t="shared" si="11"/>
        <v>49</v>
      </c>
      <c r="H95" s="112">
        <f t="shared" si="11"/>
        <v>63</v>
      </c>
      <c r="I95" s="112">
        <f t="shared" si="11"/>
        <v>39</v>
      </c>
      <c r="J95" s="213">
        <f t="shared" si="11"/>
        <v>356</v>
      </c>
    </row>
    <row r="96" spans="2:10" ht="15" customHeight="1">
      <c r="B96" s="307">
        <v>2018</v>
      </c>
      <c r="C96" s="112">
        <f t="shared" ref="C96:J96" si="12">C193</f>
        <v>43</v>
      </c>
      <c r="D96" s="112">
        <f t="shared" si="12"/>
        <v>48</v>
      </c>
      <c r="E96" s="112">
        <f t="shared" si="12"/>
        <v>51</v>
      </c>
      <c r="F96" s="112">
        <f t="shared" si="12"/>
        <v>52</v>
      </c>
      <c r="G96" s="112">
        <f t="shared" si="12"/>
        <v>52</v>
      </c>
      <c r="H96" s="112">
        <f t="shared" si="12"/>
        <v>45</v>
      </c>
      <c r="I96" s="112">
        <f t="shared" si="12"/>
        <v>61</v>
      </c>
      <c r="J96" s="213">
        <f t="shared" si="12"/>
        <v>352</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-1.8518518518518517E-2</v>
      </c>
      <c r="E98" s="210">
        <f t="shared" ref="E98:I98" si="13">MEDIAN(((D91-E92)/D91),((D92-E93)/D92),((D93-E94)/D93),((D94-E95)/D94),((D95-E96)/D95))</f>
        <v>1.8181818181818181E-2</v>
      </c>
      <c r="F98" s="210">
        <f t="shared" si="13"/>
        <v>-0.04</v>
      </c>
      <c r="G98" s="210">
        <f t="shared" si="13"/>
        <v>3.3333333333333333E-2</v>
      </c>
      <c r="H98" s="210">
        <f t="shared" si="13"/>
        <v>0</v>
      </c>
      <c r="I98" s="210">
        <f t="shared" si="13"/>
        <v>2.2727272727272728E-2</v>
      </c>
    </row>
    <row r="99" spans="2:10" ht="18.75">
      <c r="B99" s="59"/>
      <c r="C99" s="60"/>
      <c r="D99" s="61"/>
      <c r="E99" s="61"/>
      <c r="F99" s="61"/>
      <c r="G99" s="61"/>
      <c r="H99" s="61"/>
      <c r="I99" s="61"/>
      <c r="J99" s="58"/>
    </row>
    <row r="100" spans="2:10">
      <c r="B100" s="15" t="str">
        <f>"Table 4B: "&amp;E3&amp;" Projected Roll by Stage (incorporating Projected P1 and Drop-Off Rates), 2019-2032"</f>
        <v>Table 4B: Parsons Green Primary School Projected Roll by Stage (incorporating Projected P1 and Drop-Off Rates), 2019-2032</v>
      </c>
      <c r="F100" s="14"/>
      <c r="G100" s="14"/>
    </row>
    <row r="101" spans="2:10" ht="12.75">
      <c r="F101" s="14"/>
      <c r="G101" s="14"/>
    </row>
    <row r="102" spans="2:10">
      <c r="B102" s="115"/>
      <c r="C102" s="109" t="s">
        <v>1</v>
      </c>
      <c r="D102" s="109" t="s">
        <v>2</v>
      </c>
      <c r="E102" s="109" t="s">
        <v>3</v>
      </c>
      <c r="F102" s="109" t="s">
        <v>4</v>
      </c>
      <c r="G102" s="109" t="s">
        <v>5</v>
      </c>
      <c r="H102" s="109" t="s">
        <v>6</v>
      </c>
      <c r="I102" s="109" t="s">
        <v>7</v>
      </c>
      <c r="J102" s="109" t="s">
        <v>8</v>
      </c>
    </row>
    <row r="103" spans="2:10">
      <c r="B103" s="114">
        <v>2019</v>
      </c>
      <c r="C103" s="113">
        <f t="shared" ref="C103:C116" si="14">J70</f>
        <v>48.305151175811872</v>
      </c>
      <c r="D103" s="324">
        <f>ROUND((C96)-(C96*$D$98),0)</f>
        <v>44</v>
      </c>
      <c r="E103" s="324">
        <f>ROUND((D96)-(D96*$E$98),0)</f>
        <v>47</v>
      </c>
      <c r="F103" s="324">
        <f>ROUND((E96)-(E96*$F$98),0)</f>
        <v>53</v>
      </c>
      <c r="G103" s="324">
        <f>ROUND((F96)-(F96*$G$98),0)</f>
        <v>50</v>
      </c>
      <c r="H103" s="324">
        <f>ROUND((G96)-(G96*$H$98),0)</f>
        <v>52</v>
      </c>
      <c r="I103" s="324">
        <f>ROUND((H96)-(H96*$I$98),0)</f>
        <v>44</v>
      </c>
      <c r="J103" s="111">
        <f t="shared" ref="J103:J116" si="15">SUM(C103:I103)</f>
        <v>338.30515117581189</v>
      </c>
    </row>
    <row r="104" spans="2:10">
      <c r="B104" s="114">
        <v>2020</v>
      </c>
      <c r="C104" s="113">
        <f t="shared" si="14"/>
        <v>25</v>
      </c>
      <c r="D104" s="324">
        <f>ROUND((C103-E50)-(C103*$D$98),0)</f>
        <v>49</v>
      </c>
      <c r="E104" s="112">
        <f t="shared" ref="E104:E116" si="16">ROUND((D103)-(D103*$E$98),0)</f>
        <v>43</v>
      </c>
      <c r="F104" s="112">
        <f t="shared" ref="F104:F116" si="17">ROUND((E103)-(E103*$F$98),0)</f>
        <v>49</v>
      </c>
      <c r="G104" s="112">
        <f t="shared" ref="G104:G116" si="18">ROUND((F103)-(F103*$G$98),0)</f>
        <v>51</v>
      </c>
      <c r="H104" s="112">
        <f t="shared" ref="H104:H116" si="19">ROUND((G103)-(G103*$H$98),0)</f>
        <v>50</v>
      </c>
      <c r="I104" s="112">
        <f t="shared" ref="I104:I116" si="20">ROUND((H103)-(H103*$I$98),0)</f>
        <v>51</v>
      </c>
      <c r="J104" s="111">
        <f t="shared" si="15"/>
        <v>318</v>
      </c>
    </row>
    <row r="105" spans="2:10">
      <c r="B105" s="114">
        <v>2021</v>
      </c>
      <c r="C105" s="113">
        <f t="shared" si="14"/>
        <v>45.618141097424413</v>
      </c>
      <c r="D105" s="324">
        <f>ROUND((C104-F50)-(C104*$D$98),0)</f>
        <v>25</v>
      </c>
      <c r="E105" s="112">
        <f t="shared" si="16"/>
        <v>48</v>
      </c>
      <c r="F105" s="112">
        <f t="shared" si="17"/>
        <v>45</v>
      </c>
      <c r="G105" s="112">
        <f t="shared" si="18"/>
        <v>47</v>
      </c>
      <c r="H105" s="112">
        <f t="shared" si="19"/>
        <v>51</v>
      </c>
      <c r="I105" s="112">
        <f t="shared" si="20"/>
        <v>49</v>
      </c>
      <c r="J105" s="111">
        <f t="shared" si="15"/>
        <v>310.61814109742443</v>
      </c>
    </row>
    <row r="106" spans="2:10">
      <c r="B106" s="114">
        <v>2022</v>
      </c>
      <c r="C106" s="113">
        <f t="shared" si="14"/>
        <v>44.72247107129526</v>
      </c>
      <c r="D106" s="324">
        <f>ROUND((C105-G50)-(C105*$D$98),0)</f>
        <v>46</v>
      </c>
      <c r="E106" s="112">
        <f t="shared" si="16"/>
        <v>25</v>
      </c>
      <c r="F106" s="112">
        <f t="shared" si="17"/>
        <v>50</v>
      </c>
      <c r="G106" s="112">
        <f t="shared" si="18"/>
        <v>44</v>
      </c>
      <c r="H106" s="112">
        <f t="shared" si="19"/>
        <v>47</v>
      </c>
      <c r="I106" s="112">
        <f t="shared" si="20"/>
        <v>50</v>
      </c>
      <c r="J106" s="111">
        <f t="shared" si="15"/>
        <v>306.72247107129527</v>
      </c>
    </row>
    <row r="107" spans="2:10">
      <c r="B107" s="114">
        <v>2023</v>
      </c>
      <c r="C107" s="113">
        <f t="shared" si="14"/>
        <v>41.139790966778648</v>
      </c>
      <c r="D107" s="324">
        <f>ROUND((C106-H50)-(C106*$D$98),0)</f>
        <v>46</v>
      </c>
      <c r="E107" s="112">
        <f t="shared" si="16"/>
        <v>45</v>
      </c>
      <c r="F107" s="112">
        <f t="shared" si="17"/>
        <v>26</v>
      </c>
      <c r="G107" s="112">
        <f t="shared" si="18"/>
        <v>48</v>
      </c>
      <c r="H107" s="112">
        <f t="shared" si="19"/>
        <v>44</v>
      </c>
      <c r="I107" s="112">
        <f t="shared" si="20"/>
        <v>46</v>
      </c>
      <c r="J107" s="111">
        <f t="shared" si="15"/>
        <v>296.13979096677866</v>
      </c>
    </row>
    <row r="108" spans="2:10">
      <c r="B108" s="114">
        <v>2024</v>
      </c>
      <c r="C108" s="113">
        <f t="shared" si="14"/>
        <v>42.035460992907801</v>
      </c>
      <c r="D108" s="324">
        <f>ROUND((C107-I50)-(C107*$D$98),0)</f>
        <v>42</v>
      </c>
      <c r="E108" s="112">
        <f t="shared" si="16"/>
        <v>45</v>
      </c>
      <c r="F108" s="112">
        <f t="shared" si="17"/>
        <v>47</v>
      </c>
      <c r="G108" s="112">
        <f t="shared" si="18"/>
        <v>25</v>
      </c>
      <c r="H108" s="112">
        <f t="shared" si="19"/>
        <v>48</v>
      </c>
      <c r="I108" s="112">
        <f t="shared" si="20"/>
        <v>43</v>
      </c>
      <c r="J108" s="111">
        <f t="shared" si="15"/>
        <v>292.03546099290782</v>
      </c>
    </row>
    <row r="109" spans="2:10">
      <c r="B109" s="114">
        <v>2025</v>
      </c>
      <c r="C109" s="113">
        <f t="shared" si="14"/>
        <v>42.035460992907801</v>
      </c>
      <c r="D109" s="324">
        <f>ROUND((C108-J50)-(C108*$D$98),0)</f>
        <v>43</v>
      </c>
      <c r="E109" s="112">
        <f t="shared" si="16"/>
        <v>41</v>
      </c>
      <c r="F109" s="112">
        <f t="shared" si="17"/>
        <v>47</v>
      </c>
      <c r="G109" s="112">
        <f t="shared" si="18"/>
        <v>45</v>
      </c>
      <c r="H109" s="112">
        <f t="shared" si="19"/>
        <v>25</v>
      </c>
      <c r="I109" s="112">
        <f t="shared" si="20"/>
        <v>47</v>
      </c>
      <c r="J109" s="111">
        <f t="shared" si="15"/>
        <v>290.03546099290782</v>
      </c>
    </row>
    <row r="110" spans="2:10">
      <c r="B110" s="114">
        <v>2026</v>
      </c>
      <c r="C110" s="113">
        <f t="shared" si="14"/>
        <v>42.931131019036954</v>
      </c>
      <c r="D110" s="324">
        <f>ROUND((C109-K50)-(C109*$D$98),0)</f>
        <v>43</v>
      </c>
      <c r="E110" s="112">
        <f t="shared" si="16"/>
        <v>42</v>
      </c>
      <c r="F110" s="112">
        <f t="shared" si="17"/>
        <v>43</v>
      </c>
      <c r="G110" s="112">
        <f t="shared" si="18"/>
        <v>45</v>
      </c>
      <c r="H110" s="112">
        <f t="shared" si="19"/>
        <v>45</v>
      </c>
      <c r="I110" s="112">
        <f t="shared" si="20"/>
        <v>24</v>
      </c>
      <c r="J110" s="111">
        <f t="shared" si="15"/>
        <v>284.93113101903697</v>
      </c>
    </row>
    <row r="111" spans="2:10">
      <c r="B111" s="114">
        <v>2027</v>
      </c>
      <c r="C111" s="113">
        <f t="shared" si="14"/>
        <v>42.931131019036954</v>
      </c>
      <c r="D111" s="324">
        <f>ROUND((C110-L50)-(C110*$D$98),0)</f>
        <v>44</v>
      </c>
      <c r="E111" s="112">
        <f t="shared" si="16"/>
        <v>42</v>
      </c>
      <c r="F111" s="112">
        <f t="shared" si="17"/>
        <v>44</v>
      </c>
      <c r="G111" s="112">
        <f t="shared" si="18"/>
        <v>42</v>
      </c>
      <c r="H111" s="112">
        <f t="shared" si="19"/>
        <v>45</v>
      </c>
      <c r="I111" s="112">
        <f t="shared" si="20"/>
        <v>44</v>
      </c>
      <c r="J111" s="111">
        <f t="shared" si="15"/>
        <v>303.93113101903697</v>
      </c>
    </row>
    <row r="112" spans="2:10">
      <c r="B112" s="114">
        <v>2028</v>
      </c>
      <c r="C112" s="113">
        <f t="shared" si="14"/>
        <v>42.931131019036954</v>
      </c>
      <c r="D112" s="324">
        <f>ROUND((C111-M50)-(C111*$D$98),0)</f>
        <v>44</v>
      </c>
      <c r="E112" s="112">
        <f t="shared" si="16"/>
        <v>43</v>
      </c>
      <c r="F112" s="112">
        <f t="shared" si="17"/>
        <v>44</v>
      </c>
      <c r="G112" s="112">
        <f t="shared" si="18"/>
        <v>43</v>
      </c>
      <c r="H112" s="112">
        <f t="shared" si="19"/>
        <v>42</v>
      </c>
      <c r="I112" s="112">
        <f t="shared" si="20"/>
        <v>44</v>
      </c>
      <c r="J112" s="111">
        <f t="shared" si="15"/>
        <v>302.93113101903697</v>
      </c>
    </row>
    <row r="113" spans="2:10" ht="15" customHeight="1">
      <c r="B113" s="114">
        <v>2029</v>
      </c>
      <c r="C113" s="113">
        <f t="shared" si="14"/>
        <v>42.931131019036954</v>
      </c>
      <c r="D113" s="324">
        <f>ROUND((C112-N50)-(C112*$D$98),0)</f>
        <v>44</v>
      </c>
      <c r="E113" s="112">
        <f t="shared" si="16"/>
        <v>43</v>
      </c>
      <c r="F113" s="112">
        <f t="shared" si="17"/>
        <v>45</v>
      </c>
      <c r="G113" s="112">
        <f t="shared" si="18"/>
        <v>43</v>
      </c>
      <c r="H113" s="112">
        <f t="shared" si="19"/>
        <v>43</v>
      </c>
      <c r="I113" s="112">
        <f t="shared" si="20"/>
        <v>41</v>
      </c>
      <c r="J113" s="111">
        <f t="shared" si="15"/>
        <v>301.93113101903697</v>
      </c>
    </row>
    <row r="114" spans="2:10" ht="15" customHeight="1">
      <c r="B114" s="114">
        <v>2030</v>
      </c>
      <c r="C114" s="113">
        <f t="shared" si="14"/>
        <v>43.826801045166107</v>
      </c>
      <c r="D114" s="324">
        <f>ROUND((C113-O50)-(C113*$D$98),0)</f>
        <v>44</v>
      </c>
      <c r="E114" s="112">
        <f t="shared" si="16"/>
        <v>43</v>
      </c>
      <c r="F114" s="112">
        <f t="shared" si="17"/>
        <v>45</v>
      </c>
      <c r="G114" s="112">
        <f t="shared" si="18"/>
        <v>44</v>
      </c>
      <c r="H114" s="112">
        <f t="shared" si="19"/>
        <v>43</v>
      </c>
      <c r="I114" s="112">
        <f t="shared" si="20"/>
        <v>42</v>
      </c>
      <c r="J114" s="111">
        <f t="shared" si="15"/>
        <v>304.82680104516612</v>
      </c>
    </row>
    <row r="115" spans="2:10" ht="15" customHeight="1">
      <c r="B115" s="114">
        <v>2031</v>
      </c>
      <c r="C115" s="113">
        <f t="shared" si="14"/>
        <v>43.826801045166107</v>
      </c>
      <c r="D115" s="324">
        <f>ROUND((C114-P50)-(C114*$D$98),0)</f>
        <v>45</v>
      </c>
      <c r="E115" s="112">
        <f t="shared" si="16"/>
        <v>43</v>
      </c>
      <c r="F115" s="112">
        <f t="shared" si="17"/>
        <v>45</v>
      </c>
      <c r="G115" s="112">
        <f t="shared" si="18"/>
        <v>44</v>
      </c>
      <c r="H115" s="112">
        <f t="shared" si="19"/>
        <v>44</v>
      </c>
      <c r="I115" s="112">
        <f t="shared" si="20"/>
        <v>42</v>
      </c>
      <c r="J115" s="111">
        <f t="shared" si="15"/>
        <v>306.82680104516612</v>
      </c>
    </row>
    <row r="116" spans="2:10" ht="15" customHeight="1">
      <c r="B116" s="114">
        <v>2032</v>
      </c>
      <c r="C116" s="113">
        <f t="shared" si="14"/>
        <v>43.826801045166107</v>
      </c>
      <c r="D116" s="324">
        <f>ROUND((C115-Q50)-(C115*$D$98),0)</f>
        <v>45</v>
      </c>
      <c r="E116" s="112">
        <f t="shared" si="16"/>
        <v>44</v>
      </c>
      <c r="F116" s="112">
        <f t="shared" si="17"/>
        <v>45</v>
      </c>
      <c r="G116" s="112">
        <f t="shared" si="18"/>
        <v>44</v>
      </c>
      <c r="H116" s="112">
        <f t="shared" si="19"/>
        <v>44</v>
      </c>
      <c r="I116" s="112">
        <f t="shared" si="20"/>
        <v>43</v>
      </c>
      <c r="J116" s="111">
        <f t="shared" si="15"/>
        <v>308.82680104516612</v>
      </c>
    </row>
    <row r="117" spans="2:10" ht="15" hidden="1" customHeight="1">
      <c r="F117" s="14"/>
      <c r="G117" s="14"/>
    </row>
    <row r="118" spans="2:10" ht="15" hidden="1" customHeight="1">
      <c r="B118" s="15" t="str">
        <f>"Table 4C: "&amp;E3&amp;" Projected Pupil Generation from Housing Development, 2019-2032"</f>
        <v>Table 4C: Parsons Green Primary School Projected Pupil Generation from Housing Development, 2019-2032</v>
      </c>
      <c r="F118" s="14"/>
      <c r="G118" s="14"/>
    </row>
    <row r="119" spans="2:10" ht="15" hidden="1" customHeight="1">
      <c r="F119" s="14"/>
      <c r="G119" s="14"/>
    </row>
    <row r="120" spans="2:10" ht="15" hidden="1" customHeight="1">
      <c r="B120" s="115"/>
      <c r="C120" s="109" t="s">
        <v>1</v>
      </c>
      <c r="D120" s="109" t="s">
        <v>2</v>
      </c>
      <c r="E120" s="109" t="s">
        <v>3</v>
      </c>
      <c r="F120" s="109" t="s">
        <v>4</v>
      </c>
      <c r="G120" s="109" t="s">
        <v>5</v>
      </c>
      <c r="H120" s="109" t="s">
        <v>6</v>
      </c>
      <c r="I120" s="109" t="s">
        <v>7</v>
      </c>
      <c r="J120" s="109" t="s">
        <v>8</v>
      </c>
    </row>
    <row r="121" spans="2:10" ht="15" hidden="1" customHeight="1">
      <c r="B121" s="114">
        <v>2019</v>
      </c>
      <c r="C121" s="116" t="s">
        <v>97</v>
      </c>
      <c r="D121" s="112">
        <f>VLOOKUP($E$3,'Housing Generation'!$A$3:$BE$90,11,FALSE)</f>
        <v>0</v>
      </c>
      <c r="E121" s="112">
        <f>VLOOKUP($E$3,'Housing Generation'!$A$3:$BE$90,12,FALSE)</f>
        <v>0</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0</v>
      </c>
    </row>
    <row r="122" spans="2:10" ht="15" hidden="1" customHeight="1">
      <c r="B122" s="114">
        <v>2020</v>
      </c>
      <c r="C122" s="116" t="s">
        <v>97</v>
      </c>
      <c r="D122" s="112">
        <f>VLOOKUP($E$3,'Housing Generation'!$A$3:$BE$90,19,FALSE)</f>
        <v>0</v>
      </c>
      <c r="E122" s="112">
        <f>VLOOKUP($E$3,'Housing Generation'!$A$3:$BE$90,20,FALSE)</f>
        <v>0</v>
      </c>
      <c r="F122" s="112">
        <f>VLOOKUP($E$3,'Housing Generation'!$A$3:$BE$90,21,FALSE)</f>
        <v>0</v>
      </c>
      <c r="G122" s="112">
        <f>VLOOKUP($E$3,'Housing Generation'!$A$3:$BE$90,22,FALSE)</f>
        <v>0</v>
      </c>
      <c r="H122" s="112">
        <f>VLOOKUP($E$3,'Housing Generation'!$A$3:$BE$90,23,FALSE)</f>
        <v>0</v>
      </c>
      <c r="I122" s="112">
        <f>VLOOKUP($E$3,'Housing Generation'!$A$3:$BE$90,24,FALSE)</f>
        <v>0</v>
      </c>
      <c r="J122" s="111">
        <f t="shared" si="21"/>
        <v>0</v>
      </c>
    </row>
    <row r="123" spans="2:10" ht="15" hidden="1" customHeight="1">
      <c r="B123" s="114">
        <v>2021</v>
      </c>
      <c r="C123" s="116" t="s">
        <v>97</v>
      </c>
      <c r="D123" s="112">
        <f>VLOOKUP($E$3,'Housing Generation'!$A$3:$BE$90,27,FALSE)</f>
        <v>0</v>
      </c>
      <c r="E123" s="112">
        <f>VLOOKUP($E$3,'Housing Generation'!$A$3:$BE$90,28,FALSE)</f>
        <v>0</v>
      </c>
      <c r="F123" s="112">
        <f>VLOOKUP($E$3,'Housing Generation'!$A$3:$BE$90,29,FALSE)</f>
        <v>0</v>
      </c>
      <c r="G123" s="112">
        <f>VLOOKUP($E$3,'Housing Generation'!$A$3:$BE$90,30,FALSE)</f>
        <v>0</v>
      </c>
      <c r="H123" s="112">
        <f>VLOOKUP($E$3,'Housing Generation'!$A$3:$BE$90,31,FALSE)</f>
        <v>0</v>
      </c>
      <c r="I123" s="112">
        <f>VLOOKUP($E$3,'Housing Generation'!$A$3:$BE$90,32,FALSE)</f>
        <v>0</v>
      </c>
      <c r="J123" s="111">
        <f t="shared" si="21"/>
        <v>0</v>
      </c>
    </row>
    <row r="124" spans="2:10" ht="15" hidden="1" customHeight="1">
      <c r="B124" s="114">
        <v>2022</v>
      </c>
      <c r="C124" s="116" t="s">
        <v>97</v>
      </c>
      <c r="D124" s="112">
        <f>VLOOKUP($E$3,'Housing Generation'!$A$3:$BE$90,35,FALSE)</f>
        <v>0</v>
      </c>
      <c r="E124" s="112">
        <f>VLOOKUP($E$3,'Housing Generation'!$A$3:$BE$90,36,FALSE)</f>
        <v>0</v>
      </c>
      <c r="F124" s="112">
        <f>VLOOKUP($E$3,'Housing Generation'!$A$3:$BE$90,37,FALSE)</f>
        <v>0</v>
      </c>
      <c r="G124" s="112">
        <f>VLOOKUP($E$3,'Housing Generation'!$A$3:$BE$90,38,FALSE)</f>
        <v>0</v>
      </c>
      <c r="H124" s="112">
        <f>VLOOKUP($E$3,'Housing Generation'!$A$3:$BE$90,39,FALSE)</f>
        <v>0</v>
      </c>
      <c r="I124" s="112">
        <f>VLOOKUP($E$3,'Housing Generation'!$A$3:$BE$90,40,FALSE)</f>
        <v>0</v>
      </c>
      <c r="J124" s="111">
        <f t="shared" si="21"/>
        <v>0</v>
      </c>
    </row>
    <row r="125" spans="2:10" ht="15" hidden="1" customHeight="1">
      <c r="B125" s="114">
        <v>2023</v>
      </c>
      <c r="C125" s="116" t="s">
        <v>97</v>
      </c>
      <c r="D125" s="112">
        <f>VLOOKUP($E$3,'Housing Generation'!$A$3:$BE$90,43,FALSE)</f>
        <v>0</v>
      </c>
      <c r="E125" s="112">
        <f>VLOOKUP($E$3,'Housing Generation'!$A$3:$BE$90,44,FALSE)</f>
        <v>0</v>
      </c>
      <c r="F125" s="112">
        <f>VLOOKUP($E$3,'Housing Generation'!$A$3:$BE$90,45,FALSE)</f>
        <v>0</v>
      </c>
      <c r="G125" s="112">
        <f>VLOOKUP($E$3,'Housing Generation'!$A$3:$BE$90,46,FALSE)</f>
        <v>0</v>
      </c>
      <c r="H125" s="112">
        <f>VLOOKUP($E$3,'Housing Generation'!$A$3:$BE$90,47,FALSE)</f>
        <v>0</v>
      </c>
      <c r="I125" s="112">
        <f>VLOOKUP($E$3,'Housing Generation'!$A$3:$BE$90,48,FALSE)</f>
        <v>0</v>
      </c>
      <c r="J125" s="111">
        <f t="shared" si="21"/>
        <v>0</v>
      </c>
    </row>
    <row r="126" spans="2:10" ht="15" hidden="1" customHeight="1">
      <c r="B126" s="114">
        <v>2024</v>
      </c>
      <c r="C126" s="116" t="s">
        <v>97</v>
      </c>
      <c r="D126" s="112">
        <f>VLOOKUP($E$3,'Housing Generation'!$A$3:$BE$90,51,FALSE)</f>
        <v>0</v>
      </c>
      <c r="E126" s="112">
        <f>VLOOKUP($E$3,'Housing Generation'!$A$3:$BE$90,52,FALSE)</f>
        <v>0</v>
      </c>
      <c r="F126" s="112">
        <f>VLOOKUP($E$3,'Housing Generation'!$A$3:$BE$90,53,FALSE)</f>
        <v>0</v>
      </c>
      <c r="G126" s="112">
        <f>VLOOKUP($E$3,'Housing Generation'!$A$3:$BE$90,54,FALSE)</f>
        <v>0</v>
      </c>
      <c r="H126" s="112">
        <f>VLOOKUP($E$3,'Housing Generation'!$A$3:$BE$90,55,FALSE)</f>
        <v>0</v>
      </c>
      <c r="I126" s="112">
        <f>VLOOKUP($E$3,'Housing Generation'!$A$3:$BE$90,56,FALSE)</f>
        <v>0</v>
      </c>
      <c r="J126" s="111">
        <f t="shared" si="21"/>
        <v>0</v>
      </c>
    </row>
    <row r="127" spans="2:10" ht="15" hidden="1" customHeight="1">
      <c r="B127" s="114">
        <v>2025</v>
      </c>
      <c r="C127" s="240" t="s">
        <v>97</v>
      </c>
      <c r="D127" s="112">
        <f>VLOOKUP($E$3,'Housing Generation'!$A$3:$CK$90,59,FALSE)</f>
        <v>0</v>
      </c>
      <c r="E127" s="112">
        <f>VLOOKUP($E$3,'Housing Generation'!$A$3:$CK$90,60,FALSE)</f>
        <v>0</v>
      </c>
      <c r="F127" s="112">
        <f>VLOOKUP($E$3,'Housing Generation'!$A$3:$CK$90,61,FALSE)</f>
        <v>0</v>
      </c>
      <c r="G127" s="112">
        <f>VLOOKUP($E$3,'Housing Generation'!$A$3:$CK$90,62,FALSE)</f>
        <v>0</v>
      </c>
      <c r="H127" s="112">
        <f>VLOOKUP($E$3,'Housing Generation'!$A$3:$CK$90,63,FALSE)</f>
        <v>0</v>
      </c>
      <c r="I127" s="112">
        <f>VLOOKUP($E$3,'Housing Generation'!$A$3:$CK$90,64,FALSE)</f>
        <v>0</v>
      </c>
      <c r="J127" s="111">
        <f t="shared" si="21"/>
        <v>0</v>
      </c>
    </row>
    <row r="128" spans="2:10" ht="15" hidden="1" customHeight="1">
      <c r="B128" s="114">
        <v>2026</v>
      </c>
      <c r="C128" s="240" t="s">
        <v>97</v>
      </c>
      <c r="D128" s="112">
        <f>VLOOKUP($E$3,'Housing Generation'!$A$3:$CK$90,67,FALSE)</f>
        <v>0</v>
      </c>
      <c r="E128" s="112">
        <f>VLOOKUP($E$3,'Housing Generation'!$A$3:$CK$90,68,FALSE)</f>
        <v>0</v>
      </c>
      <c r="F128" s="112">
        <f>VLOOKUP($E$3,'Housing Generation'!$A$3:$CK$90,69,FALSE)</f>
        <v>0</v>
      </c>
      <c r="G128" s="112">
        <f>VLOOKUP($E$3,'Housing Generation'!$A$3:$CK$90,70,FALSE)</f>
        <v>0</v>
      </c>
      <c r="H128" s="112">
        <f>VLOOKUP($E$3,'Housing Generation'!$A$3:$CK$90,71,FALSE)</f>
        <v>0</v>
      </c>
      <c r="I128" s="112">
        <f>VLOOKUP($E$3,'Housing Generation'!$A$3:$CK$90,72,FALSE)</f>
        <v>0</v>
      </c>
      <c r="J128" s="111">
        <f t="shared" si="21"/>
        <v>0</v>
      </c>
    </row>
    <row r="129" spans="2:10" ht="15" hidden="1" customHeight="1">
      <c r="B129" s="114">
        <v>2027</v>
      </c>
      <c r="C129" s="240" t="s">
        <v>97</v>
      </c>
      <c r="D129" s="112">
        <f>VLOOKUP($E$3,'Housing Generation'!$A$3:$CK$90,75,FALSE)</f>
        <v>0</v>
      </c>
      <c r="E129" s="112">
        <f>VLOOKUP($E$3,'Housing Generation'!$A$3:$CK$90,76,FALSE)</f>
        <v>0</v>
      </c>
      <c r="F129" s="112">
        <f>VLOOKUP($E$3,'Housing Generation'!$A$3:$CK$90,77,FALSE)</f>
        <v>0</v>
      </c>
      <c r="G129" s="112">
        <f>VLOOKUP($E$3,'Housing Generation'!$A$3:$CK$90,78,FALSE)</f>
        <v>0</v>
      </c>
      <c r="H129" s="112">
        <f>VLOOKUP($E$3,'Housing Generation'!$A$3:$CK$90,79,FALSE)</f>
        <v>0</v>
      </c>
      <c r="I129" s="112">
        <f>VLOOKUP($E$3,'Housing Generation'!$A$3:$CK$90,80,FALSE)</f>
        <v>0</v>
      </c>
      <c r="J129" s="111">
        <f t="shared" si="21"/>
        <v>0</v>
      </c>
    </row>
    <row r="130" spans="2:10" ht="15" customHeight="1">
      <c r="B130" s="114">
        <v>2028</v>
      </c>
      <c r="C130" s="289" t="s">
        <v>97</v>
      </c>
      <c r="D130" s="112">
        <f>VLOOKUP($E$3,'Housing Generation'!$A$3:$CK$90,83,FALSE)</f>
        <v>0</v>
      </c>
      <c r="E130" s="112">
        <f>VLOOKUP($E$3,'Housing Generation'!$A$3:$CK$90,84,FALSE)</f>
        <v>0</v>
      </c>
      <c r="F130" s="112">
        <f>VLOOKUP($E$3,'Housing Generation'!$A$3:$CK$90,85,FALSE)</f>
        <v>0</v>
      </c>
      <c r="G130" s="112">
        <f>VLOOKUP($E$3,'Housing Generation'!$A$3:$CK$90,86,FALSE)</f>
        <v>0</v>
      </c>
      <c r="H130" s="112">
        <f>VLOOKUP($E$3,'Housing Generation'!$A$3:$CK$90,87,FALSE)</f>
        <v>0</v>
      </c>
      <c r="I130" s="112">
        <f>VLOOKUP($E$3,'Housing Generation'!$A$3:$CK$90,88,FALSE)</f>
        <v>0</v>
      </c>
      <c r="J130" s="111">
        <f t="shared" si="21"/>
        <v>0</v>
      </c>
    </row>
    <row r="131" spans="2:10" ht="15" customHeight="1">
      <c r="B131" s="114">
        <v>2029</v>
      </c>
      <c r="C131" s="289" t="s">
        <v>97</v>
      </c>
      <c r="D131" s="112">
        <f>VLOOKUP($E$3,'Housing Generation'!$A$3:$DQ$90,91,FALSE)</f>
        <v>0</v>
      </c>
      <c r="E131" s="112">
        <f>VLOOKUP($E$3,'Housing Generation'!$A$3:$DQ$90,92,FALSE)</f>
        <v>0</v>
      </c>
      <c r="F131" s="112">
        <f>VLOOKUP($E$3,'Housing Generation'!$A$3:$DQ$90,93,FALSE)</f>
        <v>0</v>
      </c>
      <c r="G131" s="112">
        <f>VLOOKUP($E$3,'Housing Generation'!$A$3:$DQ$90,94,FALSE)</f>
        <v>0</v>
      </c>
      <c r="H131" s="112">
        <f>VLOOKUP($E$3,'Housing Generation'!$A$3:$DQ$90,95,FALSE)</f>
        <v>0</v>
      </c>
      <c r="I131" s="112">
        <f>VLOOKUP($E$3,'Housing Generation'!$A$3:$DQ$90,96,FALSE)</f>
        <v>0</v>
      </c>
      <c r="J131" s="111">
        <f t="shared" si="21"/>
        <v>0</v>
      </c>
    </row>
    <row r="132" spans="2:10" ht="15" customHeight="1">
      <c r="B132" s="114">
        <v>2030</v>
      </c>
      <c r="C132" s="289" t="s">
        <v>97</v>
      </c>
      <c r="D132" s="112">
        <f>VLOOKUP($E$3,'Housing Generation'!$A$3:$DQ$90,99,FALSE)</f>
        <v>0</v>
      </c>
      <c r="E132" s="112">
        <f>VLOOKUP($E$3,'Housing Generation'!$A$3:$DQ$90,100,FALSE)</f>
        <v>0</v>
      </c>
      <c r="F132" s="112">
        <f>VLOOKUP($E$3,'Housing Generation'!$A$3:$DQ$90,101,FALSE)</f>
        <v>0</v>
      </c>
      <c r="G132" s="112">
        <f>VLOOKUP($E$3,'Housing Generation'!$A$3:$DQ$90,102,FALSE)</f>
        <v>0</v>
      </c>
      <c r="H132" s="112">
        <f>VLOOKUP($E$3,'Housing Generation'!$A$3:$DQ$90,103,FALSE)</f>
        <v>0</v>
      </c>
      <c r="I132" s="112">
        <f>VLOOKUP($E$3,'Housing Generation'!$A$3:$DQ$90,104,FALSE)</f>
        <v>0</v>
      </c>
      <c r="J132" s="111">
        <f t="shared" si="21"/>
        <v>0</v>
      </c>
    </row>
    <row r="133" spans="2:10" ht="15" customHeight="1">
      <c r="B133" s="114">
        <v>2031</v>
      </c>
      <c r="C133" s="289" t="s">
        <v>97</v>
      </c>
      <c r="D133" s="112">
        <f>VLOOKUP($E$3,'Housing Generation'!$A$3:$DQ$90,107,FALSE)</f>
        <v>0</v>
      </c>
      <c r="E133" s="112">
        <f>VLOOKUP($E$3,'Housing Generation'!$A$3:$DQ$90,108,FALSE)</f>
        <v>0</v>
      </c>
      <c r="F133" s="112">
        <f>VLOOKUP($E$3,'Housing Generation'!$A$3:$DQ$90,109,FALSE)</f>
        <v>0</v>
      </c>
      <c r="G133" s="112">
        <f>VLOOKUP($E$3,'Housing Generation'!$A$3:$DQ$90,110,FALSE)</f>
        <v>0</v>
      </c>
      <c r="H133" s="112">
        <f>VLOOKUP($E$3,'Housing Generation'!$A$3:$DQ$90,111,FALSE)</f>
        <v>0</v>
      </c>
      <c r="I133" s="112">
        <f>VLOOKUP($E$3,'Housing Generation'!$A$3:$DQ$90,112,FALSE)</f>
        <v>0</v>
      </c>
      <c r="J133" s="111">
        <f t="shared" si="21"/>
        <v>0</v>
      </c>
    </row>
    <row r="134" spans="2:10" ht="15" customHeight="1">
      <c r="B134" s="114">
        <v>2032</v>
      </c>
      <c r="C134" s="289" t="s">
        <v>97</v>
      </c>
      <c r="D134" s="112">
        <f>VLOOKUP($E$3,'Housing Generation'!$A$3:$DQ$90,115,FALSE)</f>
        <v>0</v>
      </c>
      <c r="E134" s="112">
        <f>VLOOKUP($E$3,'Housing Generation'!$A$3:$DQ$90,116,FALSE)</f>
        <v>0</v>
      </c>
      <c r="F134" s="112">
        <f>VLOOKUP($E$3,'Housing Generation'!$A$3:$DQ$90,117,FALSE)</f>
        <v>0</v>
      </c>
      <c r="G134" s="112">
        <f>VLOOKUP($E$3,'Housing Generation'!$A$3:$DQ$90,118,FALSE)</f>
        <v>0</v>
      </c>
      <c r="H134" s="112">
        <f>VLOOKUP($E$3,'Housing Generation'!$A$3:$DQ$90,119,FALSE)</f>
        <v>0</v>
      </c>
      <c r="I134" s="112">
        <f>VLOOKUP($E$3,'Housing Generation'!$A$3:$DQ$90,120,FALSE)</f>
        <v>0</v>
      </c>
      <c r="J134" s="111">
        <f t="shared" si="21"/>
        <v>0</v>
      </c>
    </row>
    <row r="135" spans="2:10" ht="15" hidden="1"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Parsons Green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48.305151175811872</v>
      </c>
      <c r="D139" s="112">
        <f t="shared" ref="D139:I152" si="23">D121+D103</f>
        <v>44</v>
      </c>
      <c r="E139" s="112">
        <f t="shared" si="23"/>
        <v>47</v>
      </c>
      <c r="F139" s="112">
        <f t="shared" si="23"/>
        <v>53</v>
      </c>
      <c r="G139" s="112">
        <f t="shared" si="23"/>
        <v>50</v>
      </c>
      <c r="H139" s="112">
        <f t="shared" si="23"/>
        <v>52</v>
      </c>
      <c r="I139" s="112">
        <f t="shared" si="23"/>
        <v>44</v>
      </c>
      <c r="J139" s="111">
        <f t="shared" ref="J139:J147" si="24">SUM(C139:I139)</f>
        <v>338.30515117581189</v>
      </c>
    </row>
    <row r="140" spans="2:10" ht="15" customHeight="1">
      <c r="B140" s="114">
        <v>2020</v>
      </c>
      <c r="C140" s="113">
        <f t="shared" si="22"/>
        <v>25</v>
      </c>
      <c r="D140" s="112">
        <f t="shared" si="23"/>
        <v>49</v>
      </c>
      <c r="E140" s="112">
        <f t="shared" si="23"/>
        <v>43</v>
      </c>
      <c r="F140" s="112">
        <f t="shared" si="23"/>
        <v>49</v>
      </c>
      <c r="G140" s="112">
        <f t="shared" si="23"/>
        <v>51</v>
      </c>
      <c r="H140" s="112">
        <f t="shared" si="23"/>
        <v>50</v>
      </c>
      <c r="I140" s="112">
        <f t="shared" si="23"/>
        <v>51</v>
      </c>
      <c r="J140" s="111">
        <f t="shared" si="24"/>
        <v>318</v>
      </c>
    </row>
    <row r="141" spans="2:10" ht="15" customHeight="1">
      <c r="B141" s="114">
        <v>2021</v>
      </c>
      <c r="C141" s="113">
        <f t="shared" si="22"/>
        <v>45.618141097424413</v>
      </c>
      <c r="D141" s="112">
        <f t="shared" si="23"/>
        <v>25</v>
      </c>
      <c r="E141" s="112">
        <f t="shared" si="23"/>
        <v>48</v>
      </c>
      <c r="F141" s="112">
        <f t="shared" si="23"/>
        <v>45</v>
      </c>
      <c r="G141" s="112">
        <f t="shared" si="23"/>
        <v>47</v>
      </c>
      <c r="H141" s="112">
        <f t="shared" si="23"/>
        <v>51</v>
      </c>
      <c r="I141" s="112">
        <f t="shared" si="23"/>
        <v>49</v>
      </c>
      <c r="J141" s="111">
        <f t="shared" si="24"/>
        <v>310.61814109742443</v>
      </c>
    </row>
    <row r="142" spans="2:10" ht="15" customHeight="1">
      <c r="B142" s="114">
        <v>2022</v>
      </c>
      <c r="C142" s="113">
        <f t="shared" si="22"/>
        <v>44.72247107129526</v>
      </c>
      <c r="D142" s="112">
        <f t="shared" si="23"/>
        <v>46</v>
      </c>
      <c r="E142" s="112">
        <f t="shared" si="23"/>
        <v>25</v>
      </c>
      <c r="F142" s="112">
        <f t="shared" si="23"/>
        <v>50</v>
      </c>
      <c r="G142" s="112">
        <f t="shared" si="23"/>
        <v>44</v>
      </c>
      <c r="H142" s="112">
        <f t="shared" si="23"/>
        <v>47</v>
      </c>
      <c r="I142" s="112">
        <f t="shared" si="23"/>
        <v>50</v>
      </c>
      <c r="J142" s="111">
        <f t="shared" si="24"/>
        <v>306.72247107129527</v>
      </c>
    </row>
    <row r="143" spans="2:10" ht="15" customHeight="1">
      <c r="B143" s="114">
        <v>2023</v>
      </c>
      <c r="C143" s="113">
        <f t="shared" si="22"/>
        <v>41.139790966778648</v>
      </c>
      <c r="D143" s="112">
        <f t="shared" si="23"/>
        <v>46</v>
      </c>
      <c r="E143" s="112">
        <f t="shared" si="23"/>
        <v>45</v>
      </c>
      <c r="F143" s="112">
        <f t="shared" si="23"/>
        <v>26</v>
      </c>
      <c r="G143" s="112">
        <f t="shared" si="23"/>
        <v>48</v>
      </c>
      <c r="H143" s="112">
        <f t="shared" si="23"/>
        <v>44</v>
      </c>
      <c r="I143" s="112">
        <f t="shared" si="23"/>
        <v>46</v>
      </c>
      <c r="J143" s="111">
        <f t="shared" si="24"/>
        <v>296.13979096677866</v>
      </c>
    </row>
    <row r="144" spans="2:10" ht="15" customHeight="1">
      <c r="B144" s="114">
        <v>2024</v>
      </c>
      <c r="C144" s="113">
        <f t="shared" si="22"/>
        <v>42.035460992907801</v>
      </c>
      <c r="D144" s="112">
        <f t="shared" si="23"/>
        <v>42</v>
      </c>
      <c r="E144" s="112">
        <f t="shared" si="23"/>
        <v>45</v>
      </c>
      <c r="F144" s="112">
        <f t="shared" si="23"/>
        <v>47</v>
      </c>
      <c r="G144" s="112">
        <f t="shared" si="23"/>
        <v>25</v>
      </c>
      <c r="H144" s="112">
        <f t="shared" si="23"/>
        <v>48</v>
      </c>
      <c r="I144" s="112">
        <f t="shared" si="23"/>
        <v>43</v>
      </c>
      <c r="J144" s="111">
        <f t="shared" si="24"/>
        <v>292.03546099290782</v>
      </c>
    </row>
    <row r="145" spans="2:16" ht="15" customHeight="1">
      <c r="B145" s="114">
        <v>2025</v>
      </c>
      <c r="C145" s="113">
        <f t="shared" si="22"/>
        <v>42.035460992907801</v>
      </c>
      <c r="D145" s="112">
        <f t="shared" si="23"/>
        <v>43</v>
      </c>
      <c r="E145" s="112">
        <f t="shared" si="23"/>
        <v>41</v>
      </c>
      <c r="F145" s="112">
        <f t="shared" si="23"/>
        <v>47</v>
      </c>
      <c r="G145" s="112">
        <f t="shared" si="23"/>
        <v>45</v>
      </c>
      <c r="H145" s="112">
        <f t="shared" si="23"/>
        <v>25</v>
      </c>
      <c r="I145" s="112">
        <f t="shared" si="23"/>
        <v>47</v>
      </c>
      <c r="J145" s="111">
        <f t="shared" si="24"/>
        <v>290.03546099290782</v>
      </c>
    </row>
    <row r="146" spans="2:16" ht="15" customHeight="1">
      <c r="B146" s="114">
        <v>2026</v>
      </c>
      <c r="C146" s="113">
        <f t="shared" si="22"/>
        <v>42.931131019036954</v>
      </c>
      <c r="D146" s="112">
        <f t="shared" si="23"/>
        <v>43</v>
      </c>
      <c r="E146" s="112">
        <f t="shared" si="23"/>
        <v>42</v>
      </c>
      <c r="F146" s="112">
        <f t="shared" si="23"/>
        <v>43</v>
      </c>
      <c r="G146" s="112">
        <f t="shared" si="23"/>
        <v>45</v>
      </c>
      <c r="H146" s="112">
        <f t="shared" si="23"/>
        <v>45</v>
      </c>
      <c r="I146" s="112">
        <f t="shared" si="23"/>
        <v>24</v>
      </c>
      <c r="J146" s="111">
        <f t="shared" si="24"/>
        <v>284.93113101903697</v>
      </c>
    </row>
    <row r="147" spans="2:16" ht="15" customHeight="1">
      <c r="B147" s="114">
        <v>2027</v>
      </c>
      <c r="C147" s="113">
        <f t="shared" si="22"/>
        <v>42.931131019036954</v>
      </c>
      <c r="D147" s="112">
        <f t="shared" si="23"/>
        <v>44</v>
      </c>
      <c r="E147" s="112">
        <f t="shared" si="23"/>
        <v>42</v>
      </c>
      <c r="F147" s="112">
        <f t="shared" si="23"/>
        <v>44</v>
      </c>
      <c r="G147" s="112">
        <f t="shared" si="23"/>
        <v>42</v>
      </c>
      <c r="H147" s="112">
        <f t="shared" si="23"/>
        <v>45</v>
      </c>
      <c r="I147" s="112">
        <f t="shared" si="23"/>
        <v>44</v>
      </c>
      <c r="J147" s="111">
        <f t="shared" si="24"/>
        <v>303.93113101903697</v>
      </c>
    </row>
    <row r="148" spans="2:16" ht="15" customHeight="1">
      <c r="B148" s="114">
        <v>2028</v>
      </c>
      <c r="C148" s="113">
        <f t="shared" si="22"/>
        <v>42.931131019036954</v>
      </c>
      <c r="D148" s="112">
        <f t="shared" si="23"/>
        <v>44</v>
      </c>
      <c r="E148" s="112">
        <f t="shared" si="23"/>
        <v>43</v>
      </c>
      <c r="F148" s="112">
        <f t="shared" si="23"/>
        <v>44</v>
      </c>
      <c r="G148" s="112">
        <f t="shared" si="23"/>
        <v>43</v>
      </c>
      <c r="H148" s="112">
        <f t="shared" si="23"/>
        <v>42</v>
      </c>
      <c r="I148" s="112">
        <f t="shared" si="23"/>
        <v>44</v>
      </c>
      <c r="J148" s="111">
        <f t="shared" ref="J148:J152" si="25">SUM(C148:I148)</f>
        <v>302.93113101903697</v>
      </c>
    </row>
    <row r="149" spans="2:16" ht="15" customHeight="1">
      <c r="B149" s="114">
        <v>2029</v>
      </c>
      <c r="C149" s="113">
        <f t="shared" si="22"/>
        <v>42.931131019036954</v>
      </c>
      <c r="D149" s="112">
        <f t="shared" si="23"/>
        <v>44</v>
      </c>
      <c r="E149" s="112">
        <f t="shared" si="23"/>
        <v>43</v>
      </c>
      <c r="F149" s="112">
        <f t="shared" si="23"/>
        <v>45</v>
      </c>
      <c r="G149" s="112">
        <f t="shared" si="23"/>
        <v>43</v>
      </c>
      <c r="H149" s="112">
        <f t="shared" si="23"/>
        <v>43</v>
      </c>
      <c r="I149" s="112">
        <f t="shared" si="23"/>
        <v>41</v>
      </c>
      <c r="J149" s="111">
        <f t="shared" si="25"/>
        <v>301.93113101903697</v>
      </c>
    </row>
    <row r="150" spans="2:16" ht="15" customHeight="1">
      <c r="B150" s="114">
        <v>2030</v>
      </c>
      <c r="C150" s="113">
        <f t="shared" si="22"/>
        <v>43.826801045166107</v>
      </c>
      <c r="D150" s="112">
        <f t="shared" si="23"/>
        <v>44</v>
      </c>
      <c r="E150" s="112">
        <f t="shared" si="23"/>
        <v>43</v>
      </c>
      <c r="F150" s="112">
        <f t="shared" si="23"/>
        <v>45</v>
      </c>
      <c r="G150" s="112">
        <f t="shared" si="23"/>
        <v>44</v>
      </c>
      <c r="H150" s="112">
        <f t="shared" si="23"/>
        <v>43</v>
      </c>
      <c r="I150" s="112">
        <f t="shared" si="23"/>
        <v>42</v>
      </c>
      <c r="J150" s="111">
        <f t="shared" si="25"/>
        <v>304.82680104516612</v>
      </c>
    </row>
    <row r="151" spans="2:16" ht="15" customHeight="1">
      <c r="B151" s="114">
        <v>2031</v>
      </c>
      <c r="C151" s="113">
        <f t="shared" si="22"/>
        <v>43.826801045166107</v>
      </c>
      <c r="D151" s="112">
        <f t="shared" si="23"/>
        <v>45</v>
      </c>
      <c r="E151" s="112">
        <f t="shared" si="23"/>
        <v>43</v>
      </c>
      <c r="F151" s="112">
        <f t="shared" si="23"/>
        <v>45</v>
      </c>
      <c r="G151" s="112">
        <f t="shared" si="23"/>
        <v>44</v>
      </c>
      <c r="H151" s="112">
        <f t="shared" si="23"/>
        <v>44</v>
      </c>
      <c r="I151" s="112">
        <f t="shared" si="23"/>
        <v>42</v>
      </c>
      <c r="J151" s="111">
        <f t="shared" si="25"/>
        <v>306.82680104516612</v>
      </c>
    </row>
    <row r="152" spans="2:16" ht="15" customHeight="1">
      <c r="B152" s="114">
        <v>2032</v>
      </c>
      <c r="C152" s="113">
        <f t="shared" si="22"/>
        <v>43.826801045166107</v>
      </c>
      <c r="D152" s="112">
        <f t="shared" si="23"/>
        <v>45</v>
      </c>
      <c r="E152" s="112">
        <f t="shared" si="23"/>
        <v>44</v>
      </c>
      <c r="F152" s="112">
        <f t="shared" si="23"/>
        <v>45</v>
      </c>
      <c r="G152" s="112">
        <f t="shared" si="23"/>
        <v>44</v>
      </c>
      <c r="H152" s="112">
        <f t="shared" si="23"/>
        <v>44</v>
      </c>
      <c r="I152" s="112">
        <f t="shared" si="23"/>
        <v>43</v>
      </c>
      <c r="J152" s="111">
        <f t="shared" si="25"/>
        <v>308.82680104516612</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338.30515117581189</v>
      </c>
      <c r="D159" s="108">
        <f>J140</f>
        <v>318</v>
      </c>
      <c r="E159" s="108">
        <f>J141</f>
        <v>310.61814109742443</v>
      </c>
      <c r="F159" s="108">
        <f>J142</f>
        <v>306.72247107129527</v>
      </c>
      <c r="G159" s="108">
        <f>J143</f>
        <v>296.13979096677866</v>
      </c>
      <c r="H159" s="108">
        <f>J144</f>
        <v>292.03546099290782</v>
      </c>
      <c r="I159" s="108">
        <f>J145</f>
        <v>290.03546099290782</v>
      </c>
      <c r="J159" s="108">
        <f>J146</f>
        <v>284.93113101903697</v>
      </c>
      <c r="K159" s="108">
        <f>J147</f>
        <v>303.93113101903697</v>
      </c>
      <c r="L159" s="108">
        <f>J148</f>
        <v>302.93113101903697</v>
      </c>
      <c r="M159" s="108">
        <f>J149</f>
        <v>301.93113101903697</v>
      </c>
      <c r="N159" s="108">
        <f>J150</f>
        <v>304.82680104516612</v>
      </c>
      <c r="O159" s="108">
        <f>J151</f>
        <v>306.82680104516612</v>
      </c>
      <c r="P159" s="108">
        <f>J152</f>
        <v>308.82680104516612</v>
      </c>
    </row>
    <row r="160" spans="2:16" ht="15" customHeight="1">
      <c r="B160" s="107" t="s">
        <v>152</v>
      </c>
      <c r="C160" s="106">
        <f>VLOOKUP(C159,Capacity!$A$1:$C$645,2,TRUE)</f>
        <v>14</v>
      </c>
      <c r="D160" s="106">
        <f>VLOOKUP(D159,Capacity!$A$1:$C$645,2,TRUE)</f>
        <v>13</v>
      </c>
      <c r="E160" s="106">
        <f>VLOOKUP(E159,Capacity!$A$1:$C$645,2,TRUE)</f>
        <v>12</v>
      </c>
      <c r="F160" s="106">
        <f>VLOOKUP(F159,Capacity!$A$1:$C$645,2,TRUE)</f>
        <v>12</v>
      </c>
      <c r="G160" s="106">
        <f>VLOOKUP(G159,Capacity!$A$1:$C$645,2,TRUE)</f>
        <v>12</v>
      </c>
      <c r="H160" s="106">
        <f>VLOOKUP(H159,Capacity!$A$1:$C$645,2,TRUE)</f>
        <v>11</v>
      </c>
      <c r="I160" s="106">
        <f>VLOOKUP(I159,Capacity!$A$1:$C$645,2,TRUE)</f>
        <v>11</v>
      </c>
      <c r="J160" s="106">
        <f>VLOOKUP(J159,Capacity!$A$1:$C$645,2,TRUE)</f>
        <v>11</v>
      </c>
      <c r="K160" s="106">
        <f>VLOOKUP(K159,Capacity!$A$1:$C$645,2,TRUE)</f>
        <v>12</v>
      </c>
      <c r="L160" s="106">
        <f>VLOOKUP(L159,Capacity!$A$1:$C$645,2,TRUE)</f>
        <v>12</v>
      </c>
      <c r="M160" s="106">
        <f>VLOOKUP(M159,Capacity!$A$1:$C$645,2,TRUE)</f>
        <v>12</v>
      </c>
      <c r="N160" s="106">
        <f>VLOOKUP(N159,Capacity!$A$1:$C$645,2,TRUE)</f>
        <v>12</v>
      </c>
      <c r="O160" s="106">
        <f>VLOOKUP(O159,Capacity!$A$1:$C$645,2,TRUE)</f>
        <v>12</v>
      </c>
      <c r="P160" s="106">
        <f>VLOOKUP(P159,Capacity!$A$1:$C$645,2,TRUE)</f>
        <v>12</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57</v>
      </c>
      <c r="D169" s="97">
        <f>VLOOKUP($E$3,'Catchment Births'!$A$1:$U$90,11,FALSE)</f>
        <v>53</v>
      </c>
      <c r="E169" s="97">
        <f>VLOOKUP($E$3,'Catchment Births'!$A$1:$U$90,12,FALSE)</f>
        <v>54</v>
      </c>
      <c r="F169" s="97">
        <f>VLOOKUP($E$3,'Catchment Births'!$A$1:$U$90,13,FALSE)</f>
        <v>64</v>
      </c>
      <c r="G169" s="97">
        <f>VLOOKUP($E$3,'Catchment Births'!$A$1:$U$90,14,FALSE)</f>
        <v>59</v>
      </c>
      <c r="H169" s="97">
        <f>VLOOKUP($E$3,'Catchment Births'!$A$1:$U$90,15,FALSE)</f>
        <v>62</v>
      </c>
      <c r="I169" s="97">
        <f>VLOOKUP($E$3,'Catchment Births'!$A$1:$U$90,16,FALSE)</f>
        <v>83</v>
      </c>
      <c r="J169" s="97">
        <f>VLOOKUP($E$3,'Catchment Births'!$A$1:$U$90,17,FALSE)</f>
        <v>52</v>
      </c>
      <c r="K169" s="97">
        <f>VLOOKUP($E$3,'Catchment Births'!$A$1:$U$90,18,FALSE)</f>
        <v>64</v>
      </c>
      <c r="L169" s="97">
        <f>VLOOKUP($E$3,'Catchment Births'!$A$1:$U$90,19,FALSE)</f>
        <v>72</v>
      </c>
      <c r="M169" s="97">
        <f>VLOOKUP($E$3,'Catchment Births'!$A$1:$U$90,20,FALSE)</f>
        <v>62</v>
      </c>
      <c r="N169" s="97">
        <f>VLOOKUP($E$3,'Catchment Births'!$A$1:$U$90,21,FALSE)</f>
        <v>38</v>
      </c>
    </row>
    <row r="170" spans="2:14" ht="58.5" customHeight="1">
      <c r="B170" s="103" t="str">
        <f>"P1 "&amp;A35&amp;" Catchment Population (Actual)"</f>
        <v>P1 ND Catchment Population (Actual)</v>
      </c>
      <c r="C170" s="102" t="e">
        <v>#REF!</v>
      </c>
      <c r="D170" s="102">
        <v>29</v>
      </c>
      <c r="E170" s="102">
        <v>36</v>
      </c>
      <c r="F170" s="102">
        <v>54</v>
      </c>
      <c r="G170" s="102">
        <v>39</v>
      </c>
      <c r="H170" s="102">
        <v>49</v>
      </c>
      <c r="I170" s="102">
        <v>57</v>
      </c>
      <c r="J170" s="308">
        <f>VLOOKUP(E3,'Catchment Projections'!A1:BU92,42,FALSE)</f>
        <v>47</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57</v>
      </c>
      <c r="J172" s="96" t="e">
        <f>#REF!</f>
        <v>#REF!</v>
      </c>
      <c r="K172" s="96">
        <f>D51</f>
        <v>45</v>
      </c>
      <c r="L172" s="96">
        <f>E51</f>
        <v>27</v>
      </c>
      <c r="M172" s="96">
        <f>F51</f>
        <v>42</v>
      </c>
      <c r="N172" s="96">
        <f>G51</f>
        <v>41</v>
      </c>
    </row>
    <row r="173" spans="2:14" ht="12.75">
      <c r="B173" s="62"/>
      <c r="C173" s="62"/>
      <c r="D173" s="62"/>
      <c r="E173" s="62"/>
      <c r="F173" s="62"/>
      <c r="G173" s="62"/>
      <c r="H173" s="62"/>
      <c r="I173" s="62"/>
      <c r="J173" s="62"/>
      <c r="K173" s="62"/>
    </row>
    <row r="174" spans="2:14" ht="15" customHeight="1">
      <c r="B174" s="64" t="str">
        <f>"Table 5: "&amp;E3&amp;" Roll by Stage, 2002-2018"</f>
        <v>Table 5: Parsons Green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53</v>
      </c>
      <c r="D177" s="93">
        <v>36</v>
      </c>
      <c r="E177" s="93">
        <v>59</v>
      </c>
      <c r="F177" s="93">
        <v>49</v>
      </c>
      <c r="G177" s="93">
        <v>59</v>
      </c>
      <c r="H177" s="93">
        <v>51</v>
      </c>
      <c r="I177" s="93">
        <v>57</v>
      </c>
      <c r="J177" s="92">
        <v>364</v>
      </c>
      <c r="K177" s="62"/>
    </row>
    <row r="178" spans="2:11" ht="15" customHeight="1">
      <c r="B178" s="94">
        <v>2003</v>
      </c>
      <c r="C178" s="93">
        <v>39</v>
      </c>
      <c r="D178" s="93">
        <v>48</v>
      </c>
      <c r="E178" s="93">
        <v>40</v>
      </c>
      <c r="F178" s="93">
        <v>57</v>
      </c>
      <c r="G178" s="93">
        <v>51</v>
      </c>
      <c r="H178" s="93">
        <v>53</v>
      </c>
      <c r="I178" s="93">
        <v>49</v>
      </c>
      <c r="J178" s="92">
        <v>337</v>
      </c>
      <c r="K178" s="62"/>
    </row>
    <row r="179" spans="2:11" customFormat="1" ht="15" customHeight="1">
      <c r="B179" s="94">
        <v>2004</v>
      </c>
      <c r="C179" s="95">
        <v>45</v>
      </c>
      <c r="D179" s="95">
        <v>44</v>
      </c>
      <c r="E179" s="95">
        <v>46</v>
      </c>
      <c r="F179" s="95">
        <v>39</v>
      </c>
      <c r="G179" s="95">
        <v>58</v>
      </c>
      <c r="H179" s="95">
        <v>51</v>
      </c>
      <c r="I179" s="95">
        <v>53</v>
      </c>
      <c r="J179" s="92">
        <v>336</v>
      </c>
      <c r="K179" s="62"/>
    </row>
    <row r="180" spans="2:11" customFormat="1" ht="15" customHeight="1">
      <c r="B180" s="94">
        <v>2005</v>
      </c>
      <c r="C180" s="93">
        <v>43</v>
      </c>
      <c r="D180" s="93">
        <v>48</v>
      </c>
      <c r="E180" s="93">
        <v>43</v>
      </c>
      <c r="F180" s="93">
        <v>45</v>
      </c>
      <c r="G180" s="93">
        <v>39</v>
      </c>
      <c r="H180" s="93">
        <v>52</v>
      </c>
      <c r="I180" s="93">
        <v>50</v>
      </c>
      <c r="J180" s="92">
        <v>320</v>
      </c>
      <c r="K180" s="62"/>
    </row>
    <row r="181" spans="2:11" customFormat="1" ht="15" customHeight="1">
      <c r="B181" s="94">
        <v>2006</v>
      </c>
      <c r="C181" s="93">
        <v>42</v>
      </c>
      <c r="D181" s="93">
        <v>45</v>
      </c>
      <c r="E181" s="93">
        <v>51</v>
      </c>
      <c r="F181" s="93">
        <v>43</v>
      </c>
      <c r="G181" s="93">
        <v>47</v>
      </c>
      <c r="H181" s="93">
        <v>39</v>
      </c>
      <c r="I181" s="93">
        <v>51</v>
      </c>
      <c r="J181" s="92">
        <v>318</v>
      </c>
      <c r="K181" s="62"/>
    </row>
    <row r="182" spans="2:11" customFormat="1" ht="15" customHeight="1">
      <c r="B182" s="94">
        <v>2007</v>
      </c>
      <c r="C182" s="93">
        <v>37</v>
      </c>
      <c r="D182" s="93">
        <v>42</v>
      </c>
      <c r="E182" s="93">
        <v>41</v>
      </c>
      <c r="F182" s="93">
        <v>50</v>
      </c>
      <c r="G182" s="93">
        <v>41</v>
      </c>
      <c r="H182" s="93">
        <v>46</v>
      </c>
      <c r="I182" s="93">
        <v>38</v>
      </c>
      <c r="J182" s="92">
        <v>295</v>
      </c>
      <c r="K182" s="62"/>
    </row>
    <row r="183" spans="2:11" customFormat="1" ht="15" customHeight="1">
      <c r="B183" s="94">
        <v>2008</v>
      </c>
      <c r="C183" s="93">
        <v>41</v>
      </c>
      <c r="D183" s="93">
        <v>37</v>
      </c>
      <c r="E183" s="93">
        <v>39</v>
      </c>
      <c r="F183" s="93">
        <v>40</v>
      </c>
      <c r="G183" s="93">
        <v>47</v>
      </c>
      <c r="H183" s="93">
        <v>44</v>
      </c>
      <c r="I183" s="93">
        <v>43</v>
      </c>
      <c r="J183" s="92">
        <v>291</v>
      </c>
      <c r="K183" s="62"/>
    </row>
    <row r="184" spans="2:11" customFormat="1" ht="15" customHeight="1">
      <c r="B184" s="94">
        <v>2009</v>
      </c>
      <c r="C184" s="93">
        <v>50</v>
      </c>
      <c r="D184" s="93">
        <v>39</v>
      </c>
      <c r="E184" s="93">
        <v>37</v>
      </c>
      <c r="F184" s="93">
        <v>38</v>
      </c>
      <c r="G184" s="93">
        <v>38</v>
      </c>
      <c r="H184" s="93">
        <v>43</v>
      </c>
      <c r="I184" s="93">
        <v>44</v>
      </c>
      <c r="J184" s="94">
        <v>289</v>
      </c>
      <c r="K184" s="62"/>
    </row>
    <row r="185" spans="2:11" customFormat="1" ht="15" customHeight="1">
      <c r="B185" s="94">
        <v>2010</v>
      </c>
      <c r="C185" s="93">
        <v>34</v>
      </c>
      <c r="D185" s="93">
        <v>46</v>
      </c>
      <c r="E185" s="93">
        <v>37</v>
      </c>
      <c r="F185" s="93">
        <v>37</v>
      </c>
      <c r="G185" s="93">
        <v>38</v>
      </c>
      <c r="H185" s="93">
        <v>36</v>
      </c>
      <c r="I185" s="93">
        <v>46</v>
      </c>
      <c r="J185" s="92">
        <v>274</v>
      </c>
      <c r="K185" s="62"/>
    </row>
    <row r="186" spans="2:11" customFormat="1" ht="15" customHeight="1">
      <c r="B186" s="94">
        <v>2011</v>
      </c>
      <c r="C186" s="93">
        <v>39</v>
      </c>
      <c r="D186" s="93">
        <v>31</v>
      </c>
      <c r="E186" s="93">
        <v>46</v>
      </c>
      <c r="F186" s="93">
        <v>41</v>
      </c>
      <c r="G186" s="93">
        <v>36</v>
      </c>
      <c r="H186" s="93">
        <v>36</v>
      </c>
      <c r="I186" s="93">
        <v>33</v>
      </c>
      <c r="J186" s="92">
        <v>262</v>
      </c>
      <c r="K186" s="62"/>
    </row>
    <row r="187" spans="2:11" customFormat="1" ht="15" customHeight="1">
      <c r="B187" s="94">
        <v>2012</v>
      </c>
      <c r="C187" s="93">
        <v>58</v>
      </c>
      <c r="D187" s="93">
        <v>38</v>
      </c>
      <c r="E187" s="93">
        <v>30</v>
      </c>
      <c r="F187" s="93">
        <v>46</v>
      </c>
      <c r="G187" s="93">
        <v>36</v>
      </c>
      <c r="H187" s="93">
        <v>34</v>
      </c>
      <c r="I187" s="93">
        <v>38</v>
      </c>
      <c r="J187" s="92">
        <v>280</v>
      </c>
      <c r="K187" s="62"/>
    </row>
    <row r="188" spans="2:11" customFormat="1" ht="15" customHeight="1">
      <c r="B188" s="94">
        <v>2013</v>
      </c>
      <c r="C188" s="93">
        <v>50</v>
      </c>
      <c r="D188" s="93">
        <v>63</v>
      </c>
      <c r="E188" s="93">
        <v>40</v>
      </c>
      <c r="F188" s="93">
        <v>30</v>
      </c>
      <c r="G188" s="93">
        <v>44</v>
      </c>
      <c r="H188" s="93">
        <v>32</v>
      </c>
      <c r="I188" s="93">
        <v>33</v>
      </c>
      <c r="J188" s="94">
        <v>292</v>
      </c>
      <c r="K188" s="62"/>
    </row>
    <row r="189" spans="2:11" customFormat="1" ht="15" customHeight="1">
      <c r="B189" s="94">
        <v>2014</v>
      </c>
      <c r="C189" s="93">
        <v>54</v>
      </c>
      <c r="D189" s="93">
        <v>48</v>
      </c>
      <c r="E189" s="93">
        <v>60</v>
      </c>
      <c r="F189" s="93">
        <v>43</v>
      </c>
      <c r="G189" s="93">
        <v>29</v>
      </c>
      <c r="H189" s="93">
        <v>44</v>
      </c>
      <c r="I189" s="93">
        <v>33</v>
      </c>
      <c r="J189" s="92">
        <v>311</v>
      </c>
      <c r="K189" s="65"/>
    </row>
    <row r="190" spans="2:11" customFormat="1" ht="15" customHeight="1">
      <c r="B190" s="94">
        <v>2015</v>
      </c>
      <c r="C190" s="93">
        <v>58</v>
      </c>
      <c r="D190" s="93">
        <v>55</v>
      </c>
      <c r="E190" s="93">
        <v>50</v>
      </c>
      <c r="F190" s="93">
        <v>63</v>
      </c>
      <c r="G190" s="93">
        <v>40</v>
      </c>
      <c r="H190" s="93">
        <v>29</v>
      </c>
      <c r="I190" s="93">
        <v>43</v>
      </c>
      <c r="J190" s="92">
        <v>338</v>
      </c>
      <c r="K190" s="65"/>
    </row>
    <row r="191" spans="2:11" customFormat="1" ht="15" customHeight="1">
      <c r="B191" s="94">
        <v>2016</v>
      </c>
      <c r="C191" s="93">
        <v>50</v>
      </c>
      <c r="D191" s="93">
        <v>57</v>
      </c>
      <c r="E191" s="93">
        <v>54</v>
      </c>
      <c r="F191" s="93">
        <v>52</v>
      </c>
      <c r="G191" s="93">
        <v>61</v>
      </c>
      <c r="H191" s="93">
        <v>38</v>
      </c>
      <c r="I191" s="93">
        <v>28</v>
      </c>
      <c r="J191" s="92">
        <v>340</v>
      </c>
      <c r="K191" s="65"/>
    </row>
    <row r="192" spans="2:11" ht="15" customHeight="1">
      <c r="B192" s="94">
        <v>2017</v>
      </c>
      <c r="C192" s="93">
        <f>VLOOKUP($E$3,Rolls!A1:FA90,42,FALSE)</f>
        <v>47</v>
      </c>
      <c r="D192" s="93">
        <f>VLOOKUP($E$3,Rolls!A1:FA90,43,FALSE)</f>
        <v>51</v>
      </c>
      <c r="E192" s="93">
        <f>VLOOKUP($E$3,Rolls!A1:FA90,44,FALSE)</f>
        <v>54</v>
      </c>
      <c r="F192" s="93">
        <f>VLOOKUP($E$3,Rolls!A1:FA90,45,FALSE)</f>
        <v>53</v>
      </c>
      <c r="G192" s="93">
        <f>VLOOKUP($E$3,Rolls!A1:FA90,46,FALSE)</f>
        <v>49</v>
      </c>
      <c r="H192" s="93">
        <f>VLOOKUP($E$3,Rolls!A1:FA90,47,FALSE)</f>
        <v>63</v>
      </c>
      <c r="I192" s="93">
        <f>VLOOKUP($E$3,Rolls!A1:FA90,48,FALSE)</f>
        <v>39</v>
      </c>
      <c r="J192" s="92">
        <f>VLOOKUP($E$3,Rolls!A1:FA90,49,FALSE)</f>
        <v>356</v>
      </c>
      <c r="K192" s="65"/>
    </row>
    <row r="193" spans="2:11" ht="15" customHeight="1">
      <c r="B193" s="94">
        <v>2018</v>
      </c>
      <c r="C193" s="93">
        <f>VLOOKUP($E$3,Rolls!A1:FA90,50,FALSE)</f>
        <v>43</v>
      </c>
      <c r="D193" s="93">
        <f>VLOOKUP($E$3,Rolls!A1:FA90,51,FALSE)</f>
        <v>48</v>
      </c>
      <c r="E193" s="93">
        <f>VLOOKUP($E$3,Rolls!A1:FA90,52,FALSE)</f>
        <v>51</v>
      </c>
      <c r="F193" s="93">
        <f>VLOOKUP($E$3,Rolls!A1:FA90,53,FALSE)</f>
        <v>52</v>
      </c>
      <c r="G193" s="93">
        <f>VLOOKUP($E$3,Rolls!A1:FA90,54,FALSE)</f>
        <v>52</v>
      </c>
      <c r="H193" s="93">
        <f>VLOOKUP($E$3,Rolls!A1:FA90,55,FALSE)</f>
        <v>45</v>
      </c>
      <c r="I193" s="93">
        <f>VLOOKUP($E$3,Rolls!A1:FA90,56,FALSE)</f>
        <v>61</v>
      </c>
      <c r="J193" s="92">
        <f>VLOOKUP($E$3,Rolls!A1:FA90,57,FALSE)</f>
        <v>352</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80</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Pentland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504 Pupils (18 classes)</v>
      </c>
      <c r="G12" s="16"/>
      <c r="H12" s="16"/>
    </row>
    <row r="13" spans="2:10" ht="15" customHeight="1">
      <c r="C13" s="16"/>
      <c r="D13" s="16"/>
      <c r="E13" s="16"/>
      <c r="F13" s="16"/>
      <c r="G13" s="16"/>
      <c r="H13" s="16"/>
    </row>
    <row r="14" spans="2:10" ht="15" customHeight="1">
      <c r="B14" s="15" t="str">
        <f>"Figure 1: "&amp;E3&amp;" Roll, 2002-2015"</f>
        <v>Figure 1: Pentland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Pentland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67</v>
      </c>
      <c r="E49" s="108">
        <f>VLOOKUP($E$3,'Catchment Projections'!$A$1:$BU$90,46,FALSE)</f>
        <v>75</v>
      </c>
      <c r="F49" s="108">
        <f>VLOOKUP($E$3,'Catchment Projections'!$A$1:$BU$90,47,FALSE)</f>
        <v>77</v>
      </c>
      <c r="G49" s="108">
        <f>VLOOKUP($E$3,'Catchment Projections'!$A$1:$BU$90,48,FALSE)</f>
        <v>64</v>
      </c>
      <c r="H49" s="133">
        <f>VLOOKUP($E$3,'Catchment Projections'!$A$1:$BU$90,49,FALSE)</f>
        <v>73</v>
      </c>
      <c r="I49" s="133">
        <f>VLOOKUP($E$3,'Catchment Projections'!$A$1:$BU$90,50,FALSE)</f>
        <v>75</v>
      </c>
      <c r="J49" s="133">
        <f>VLOOKUP($E$3,'Catchment Projections'!$A$1:$BU$90,51,FALSE)</f>
        <v>75</v>
      </c>
      <c r="K49" s="133">
        <f>VLOOKUP($E$3,'Catchment Projections'!$A$1:$BU$90,52,FALSE)</f>
        <v>76</v>
      </c>
      <c r="L49" s="133">
        <f>VLOOKUP($E$3,'Catchment Projections'!$A$1:$BU$90,53,FALSE)</f>
        <v>76</v>
      </c>
      <c r="M49" s="133">
        <f>VLOOKUP($E$3,'Catchment Projections'!$A$1:$BU$90,54,FALSE)</f>
        <v>77</v>
      </c>
      <c r="N49" s="133">
        <f>VLOOKUP($E$3,'Catchment Projections'!$A$1:$BU$90,55,FALSE)</f>
        <v>77</v>
      </c>
      <c r="O49" s="133">
        <f>VLOOKUP($E$3,'Catchment Projections'!$A$1:$BU$90,56,FALSE)</f>
        <v>77</v>
      </c>
      <c r="P49" s="133">
        <f>VLOOKUP($E$3,'Catchment Projections'!$A$1:$BU$90,57,FALSE)</f>
        <v>77</v>
      </c>
      <c r="Q49" s="133">
        <f>VLOOKUP($E$3,'Catchment Projections'!$A$1:$BU$90,58,FALSE)</f>
        <v>77</v>
      </c>
    </row>
    <row r="50" spans="2:17" ht="15" customHeight="1" thickBot="1">
      <c r="B50" s="410" t="s">
        <v>141</v>
      </c>
      <c r="C50" s="411"/>
      <c r="D50" s="286">
        <f>VLOOKUP(E3,'Housing Generation'!$A$3:$DQ$90,10,FALSE)</f>
        <v>0</v>
      </c>
      <c r="E50" s="286">
        <f>VLOOKUP(E3,'Housing Generation'!$A$3:$DQ$90,18,FALSE)</f>
        <v>0</v>
      </c>
      <c r="F50" s="286">
        <f>VLOOKUP(E3,'Housing Generation'!$A$3:$DQ$90,26,FALSE)</f>
        <v>0</v>
      </c>
      <c r="G50" s="243">
        <f>VLOOKUP(E3,'Housing Generation'!$A$3:$DQ$90,34,FALSE)</f>
        <v>0</v>
      </c>
      <c r="H50" s="133">
        <f>VLOOKUP(E3,'Housing Generation'!$A$3:$DQ$90,42,FALSE)</f>
        <v>0</v>
      </c>
      <c r="I50" s="133">
        <f>VLOOKUP(E3,'Housing Generation'!$A$3:$DQ$90,50,FALSE)</f>
        <v>1</v>
      </c>
      <c r="J50" s="133">
        <f>VLOOKUP(E3,'Housing Generation'!$A$3:$CK$90,58,FALSE)</f>
        <v>1</v>
      </c>
      <c r="K50" s="133">
        <f>VLOOKUP(E3,'Housing Generation'!$A$3:$CK$90,66,FALSE)</f>
        <v>1</v>
      </c>
      <c r="L50" s="133">
        <f>VLOOKUP(E3,'Housing Generation'!$A$3:$DQ$90,74,FALSE)</f>
        <v>1</v>
      </c>
      <c r="M50" s="133">
        <f>VLOOKUP(E3,'Housing Generation'!$A$3:$DQ$90,82,FALSE)</f>
        <v>1</v>
      </c>
      <c r="N50" s="133">
        <f>VLOOKUP(E3,'Housing Generation'!$A$3:$DQ$90,90,FALSE)</f>
        <v>1</v>
      </c>
      <c r="O50" s="133">
        <f>VLOOKUP(E3,'Housing Generation'!$A$3:$DQ$90,98,FALSE)</f>
        <v>1</v>
      </c>
      <c r="P50" s="133">
        <f>VLOOKUP(E3,'Housing Generation'!$A$3:$DQ$90,106,FALSE)</f>
        <v>1</v>
      </c>
      <c r="Q50" s="133">
        <f>VLOOKUP(E3,'Housing Generation'!$A$3:$DQ$90,114,FALSE)</f>
        <v>1</v>
      </c>
    </row>
    <row r="51" spans="2:17" ht="15" customHeight="1" thickTop="1">
      <c r="B51" s="421" t="s">
        <v>130</v>
      </c>
      <c r="C51" s="422"/>
      <c r="D51" s="47">
        <f t="shared" ref="D51:Q51" si="0">SUM(D49:D50)</f>
        <v>67</v>
      </c>
      <c r="E51" s="47">
        <f t="shared" si="0"/>
        <v>75</v>
      </c>
      <c r="F51" s="80">
        <f t="shared" si="0"/>
        <v>77</v>
      </c>
      <c r="G51" s="244">
        <f t="shared" si="0"/>
        <v>64</v>
      </c>
      <c r="H51" s="71">
        <f t="shared" si="0"/>
        <v>73</v>
      </c>
      <c r="I51" s="71">
        <f t="shared" si="0"/>
        <v>76</v>
      </c>
      <c r="J51" s="71">
        <f t="shared" si="0"/>
        <v>76</v>
      </c>
      <c r="K51" s="71">
        <f t="shared" si="0"/>
        <v>77</v>
      </c>
      <c r="L51" s="71">
        <f t="shared" si="0"/>
        <v>77</v>
      </c>
      <c r="M51" s="71">
        <f t="shared" si="0"/>
        <v>78</v>
      </c>
      <c r="N51" s="71">
        <f t="shared" si="0"/>
        <v>78</v>
      </c>
      <c r="O51" s="71">
        <f t="shared" si="0"/>
        <v>78</v>
      </c>
      <c r="P51" s="71">
        <f t="shared" si="0"/>
        <v>78</v>
      </c>
      <c r="Q51" s="71">
        <f t="shared" si="0"/>
        <v>78</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75</v>
      </c>
      <c r="D60" s="358">
        <f>VLOOKUP($E$3,'Catchment Projections'!$A$1:$BZ$90,74,FALSE)</f>
        <v>64</v>
      </c>
      <c r="E60" s="303">
        <f>D60/C60</f>
        <v>0.85333333333333339</v>
      </c>
      <c r="G60" s="132">
        <v>2014</v>
      </c>
      <c r="H60" s="395">
        <f>VLOOKUP($G$60,$B$177:$C$215, 2, FALSE)</f>
        <v>66</v>
      </c>
      <c r="I60" s="120">
        <f>H60-D60</f>
        <v>2</v>
      </c>
      <c r="J60" s="121">
        <f>I60/H60</f>
        <v>3.0303030303030304E-2</v>
      </c>
    </row>
    <row r="61" spans="2:17" ht="15" customHeight="1">
      <c r="B61" s="132">
        <v>2015</v>
      </c>
      <c r="C61" s="359">
        <f>VLOOKUP($E$3,'Catchment Projections'!$A$1:$BZ$90,41,FALSE)</f>
        <v>74</v>
      </c>
      <c r="D61" s="358">
        <f>VLOOKUP($E$3,'Catchment Projections'!$A$1:$BZ$90,75,FALSE)</f>
        <v>66</v>
      </c>
      <c r="E61" s="303">
        <f>D61/C61</f>
        <v>0.89189189189189189</v>
      </c>
      <c r="G61" s="132">
        <v>2015</v>
      </c>
      <c r="H61" s="395">
        <f>VLOOKUP($G$61,$B$177:$C$215, 2, FALSE)</f>
        <v>72</v>
      </c>
      <c r="I61" s="120">
        <f>H61-D61</f>
        <v>6</v>
      </c>
      <c r="J61" s="121">
        <f>I61/H61</f>
        <v>8.3333333333333329E-2</v>
      </c>
    </row>
    <row r="62" spans="2:17" ht="15" customHeight="1">
      <c r="B62" s="131">
        <v>2016</v>
      </c>
      <c r="C62" s="359">
        <f>VLOOKUP($E$3,'Catchment Projections'!$A$1:$BZ$90,42,FALSE)</f>
        <v>66</v>
      </c>
      <c r="D62" s="358">
        <f>VLOOKUP($E$3,'Catchment Projections'!$A$1:$BZ$90,76,FALSE)</f>
        <v>58</v>
      </c>
      <c r="E62" s="57">
        <f>D62/C62</f>
        <v>0.87878787878787878</v>
      </c>
      <c r="G62" s="131">
        <v>2016</v>
      </c>
      <c r="H62" s="395">
        <f>VLOOKUP($G$62,$B$177:$C$215, 2, FALSE)</f>
        <v>63</v>
      </c>
      <c r="I62" s="120">
        <f>H62-D62</f>
        <v>5</v>
      </c>
      <c r="J62" s="121">
        <f>I62/H62</f>
        <v>7.9365079365079361E-2</v>
      </c>
    </row>
    <row r="63" spans="2:17" ht="15" customHeight="1">
      <c r="B63" s="114">
        <v>2017</v>
      </c>
      <c r="C63" s="359">
        <f>VLOOKUP($E$3,'Catchment Projections'!$A$1:$BZ$90,43,FALSE)</f>
        <v>67</v>
      </c>
      <c r="D63" s="358">
        <f>VLOOKUP($E$3,'Catchment Projections'!$A$1:$BZ$90,77,FALSE)</f>
        <v>63</v>
      </c>
      <c r="E63" s="304">
        <f>D63/C63</f>
        <v>0.94029850746268662</v>
      </c>
      <c r="G63" s="114">
        <v>2017</v>
      </c>
      <c r="H63" s="395">
        <f>VLOOKUP($G$63,$B$177:$C$215, 2, FALSE)</f>
        <v>71</v>
      </c>
      <c r="I63" s="120">
        <f>H63-D63</f>
        <v>8</v>
      </c>
      <c r="J63" s="121">
        <f>I63/H63</f>
        <v>0.11267605633802817</v>
      </c>
    </row>
    <row r="64" spans="2:17" ht="15" customHeight="1">
      <c r="B64" s="114">
        <v>2018</v>
      </c>
      <c r="C64" s="359">
        <f>VLOOKUP($E$3,'Catchment Projections'!$A$1:$BZ$90,44,FALSE)</f>
        <v>65</v>
      </c>
      <c r="D64" s="358">
        <f>VLOOKUP($E$3,'Catchment Projections'!$A$1:$BZ$90,78,FALSE)</f>
        <v>59</v>
      </c>
      <c r="E64" s="305">
        <f>D64/C64</f>
        <v>0.90769230769230769</v>
      </c>
      <c r="G64" s="114">
        <v>2018</v>
      </c>
      <c r="H64" s="395">
        <f>VLOOKUP($G$64,$B$177:$C$215, 2, FALSE)</f>
        <v>67</v>
      </c>
      <c r="I64" s="120">
        <f>H64-D64</f>
        <v>8</v>
      </c>
      <c r="J64" s="121">
        <f>I64/H64</f>
        <v>0.11940298507462686</v>
      </c>
    </row>
    <row r="65" spans="2:10" ht="15" customHeight="1">
      <c r="B65" s="412" t="s">
        <v>136</v>
      </c>
      <c r="C65" s="413"/>
      <c r="D65" s="414"/>
      <c r="E65" s="137">
        <f>IF((AVERAGE(E62:E64))="#DIV/0!","n/a",(AVERAGE(E62:E64)))</f>
        <v>0.90892623131429096</v>
      </c>
      <c r="G65" s="415" t="s">
        <v>137</v>
      </c>
      <c r="H65" s="416"/>
      <c r="I65" s="138">
        <f>MEDIAN(I60:I64)</f>
        <v>6</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67</v>
      </c>
      <c r="D70" s="408"/>
      <c r="E70" s="122">
        <f>E65</f>
        <v>0.90892623131429096</v>
      </c>
      <c r="F70" s="120">
        <f t="shared" ref="F70:F83" si="1">C70*$E$65</f>
        <v>60.898057498057497</v>
      </c>
      <c r="G70" s="118">
        <f>IF(F70&lt;26,25,IF(F70&gt;135,140,IF(F70&gt;130,135,IF(F70&gt;125,130,IF(F70&gt;120,125,IF(F70&gt;115,120,IF(F70&gt;110,115,IF(F70&gt;105,110,IF(F70&gt;100,105,IF(F70&gt;99,100,IF(F70&gt;90,99,IF(F70&gt;75,90,IF(F70&gt;72,75,IF(F70&gt;66,72,IF(F70&gt;60,66,IF(F70&gt;50,60,IF(F70&gt;30,50,IF(F70&gt;25,30,0))))))))))))))))))</f>
        <v>66</v>
      </c>
      <c r="H70" s="119">
        <f t="shared" ref="H70:H83" si="2">G70-F70</f>
        <v>5.1019425019425029</v>
      </c>
      <c r="I70" s="118" t="str">
        <f>IF(I$65&lt;H70, "NO", "YES")</f>
        <v>YES</v>
      </c>
      <c r="J70" s="117">
        <f t="shared" ref="J70:J83" si="3">IF(I70="YES",G70,(MIN((SUM(F70,$I$65)),G70)))</f>
        <v>66</v>
      </c>
    </row>
    <row r="71" spans="2:10" ht="15" customHeight="1">
      <c r="B71" s="114">
        <v>2020</v>
      </c>
      <c r="C71" s="433">
        <f>E51</f>
        <v>75</v>
      </c>
      <c r="D71" s="408"/>
      <c r="E71" s="121">
        <f>E65</f>
        <v>0.90892623131429096</v>
      </c>
      <c r="F71" s="120">
        <f t="shared" si="1"/>
        <v>68.169467348571828</v>
      </c>
      <c r="G71" s="118">
        <f t="shared" ref="G71:G83" si="4">IF(F71&lt;26,25,IF(F71&gt;135,140,IF(F71&gt;130,135,IF(F71&gt;125,130,IF(F71&gt;120,125,IF(F71&gt;115,120,IF(F71&gt;110,115,IF(F71&gt;105,110,IF(F71&gt;100,105,IF(F71&gt;99,100,IF(F71&gt;90,99,IF(F71&gt;75,90,IF(F71&gt;72,75,IF(F71&gt;66,72,IF(F71&gt;60,66,IF(F71&gt;50,60,IF(F71&gt;30,50,IF(F71&gt;25,30,0))))))))))))))))))</f>
        <v>72</v>
      </c>
      <c r="H71" s="119">
        <f t="shared" si="2"/>
        <v>3.8305326514281717</v>
      </c>
      <c r="I71" s="118" t="str">
        <f t="shared" ref="I71:I83" si="5">IF(I$65&lt;H71, "NO", "YES")</f>
        <v>YES</v>
      </c>
      <c r="J71" s="117">
        <f t="shared" si="3"/>
        <v>72</v>
      </c>
    </row>
    <row r="72" spans="2:10" ht="15" customHeight="1">
      <c r="B72" s="114">
        <v>2021</v>
      </c>
      <c r="C72" s="430">
        <f>F51</f>
        <v>77</v>
      </c>
      <c r="D72" s="431"/>
      <c r="E72" s="121">
        <f>E65</f>
        <v>0.90892623131429096</v>
      </c>
      <c r="F72" s="120">
        <f t="shared" si="1"/>
        <v>69.987319811200408</v>
      </c>
      <c r="G72" s="118">
        <f t="shared" si="4"/>
        <v>72</v>
      </c>
      <c r="H72" s="119">
        <f t="shared" si="2"/>
        <v>2.0126801887995924</v>
      </c>
      <c r="I72" s="118" t="str">
        <f t="shared" si="5"/>
        <v>YES</v>
      </c>
      <c r="J72" s="117">
        <f t="shared" si="3"/>
        <v>72</v>
      </c>
    </row>
    <row r="73" spans="2:10" ht="15" customHeight="1">
      <c r="B73" s="114">
        <v>2022</v>
      </c>
      <c r="C73" s="430">
        <f>G51</f>
        <v>64</v>
      </c>
      <c r="D73" s="431"/>
      <c r="E73" s="121">
        <f>E65</f>
        <v>0.90892623131429096</v>
      </c>
      <c r="F73" s="120">
        <f t="shared" si="1"/>
        <v>58.171278804114621</v>
      </c>
      <c r="G73" s="118">
        <f t="shared" si="4"/>
        <v>60</v>
      </c>
      <c r="H73" s="119">
        <f t="shared" si="2"/>
        <v>1.8287211958853788</v>
      </c>
      <c r="I73" s="118" t="str">
        <f t="shared" si="5"/>
        <v>YES</v>
      </c>
      <c r="J73" s="117">
        <f t="shared" si="3"/>
        <v>60</v>
      </c>
    </row>
    <row r="74" spans="2:10" ht="15" customHeight="1">
      <c r="B74" s="114">
        <v>2023</v>
      </c>
      <c r="C74" s="430">
        <f>H51</f>
        <v>73</v>
      </c>
      <c r="D74" s="431"/>
      <c r="E74" s="121">
        <f>E65</f>
        <v>0.90892623131429096</v>
      </c>
      <c r="F74" s="120">
        <f t="shared" si="1"/>
        <v>66.351614885943235</v>
      </c>
      <c r="G74" s="118">
        <f t="shared" si="4"/>
        <v>72</v>
      </c>
      <c r="H74" s="119">
        <f t="shared" si="2"/>
        <v>5.6483851140567651</v>
      </c>
      <c r="I74" s="118" t="str">
        <f t="shared" si="5"/>
        <v>YES</v>
      </c>
      <c r="J74" s="117">
        <f t="shared" si="3"/>
        <v>72</v>
      </c>
    </row>
    <row r="75" spans="2:10" ht="15" customHeight="1">
      <c r="B75" s="114">
        <v>2024</v>
      </c>
      <c r="C75" s="430">
        <f>I51</f>
        <v>76</v>
      </c>
      <c r="D75" s="431"/>
      <c r="E75" s="121">
        <f>E65</f>
        <v>0.90892623131429096</v>
      </c>
      <c r="F75" s="120">
        <f t="shared" si="1"/>
        <v>69.078393579886111</v>
      </c>
      <c r="G75" s="118">
        <f t="shared" si="4"/>
        <v>72</v>
      </c>
      <c r="H75" s="119">
        <f t="shared" si="2"/>
        <v>2.9216064201138892</v>
      </c>
      <c r="I75" s="118" t="str">
        <f t="shared" si="5"/>
        <v>YES</v>
      </c>
      <c r="J75" s="117">
        <f t="shared" si="3"/>
        <v>72</v>
      </c>
    </row>
    <row r="76" spans="2:10" ht="15" customHeight="1">
      <c r="B76" s="114">
        <v>2025</v>
      </c>
      <c r="C76" s="430">
        <f>J51</f>
        <v>76</v>
      </c>
      <c r="D76" s="431"/>
      <c r="E76" s="121">
        <f>E65</f>
        <v>0.90892623131429096</v>
      </c>
      <c r="F76" s="120">
        <f t="shared" si="1"/>
        <v>69.078393579886111</v>
      </c>
      <c r="G76" s="118">
        <f t="shared" si="4"/>
        <v>72</v>
      </c>
      <c r="H76" s="119">
        <f t="shared" si="2"/>
        <v>2.9216064201138892</v>
      </c>
      <c r="I76" s="118" t="str">
        <f t="shared" si="5"/>
        <v>YES</v>
      </c>
      <c r="J76" s="117">
        <f t="shared" si="3"/>
        <v>72</v>
      </c>
    </row>
    <row r="77" spans="2:10" ht="15" customHeight="1">
      <c r="B77" s="114">
        <v>2026</v>
      </c>
      <c r="C77" s="430">
        <f>K51</f>
        <v>77</v>
      </c>
      <c r="D77" s="431"/>
      <c r="E77" s="121">
        <f>E65</f>
        <v>0.90892623131429096</v>
      </c>
      <c r="F77" s="120">
        <f t="shared" si="1"/>
        <v>69.987319811200408</v>
      </c>
      <c r="G77" s="118">
        <f t="shared" si="4"/>
        <v>72</v>
      </c>
      <c r="H77" s="119">
        <f t="shared" si="2"/>
        <v>2.0126801887995924</v>
      </c>
      <c r="I77" s="118" t="str">
        <f t="shared" si="5"/>
        <v>YES</v>
      </c>
      <c r="J77" s="117">
        <f t="shared" si="3"/>
        <v>72</v>
      </c>
    </row>
    <row r="78" spans="2:10" ht="15" customHeight="1">
      <c r="B78" s="114">
        <v>2027</v>
      </c>
      <c r="C78" s="430">
        <f>L51</f>
        <v>77</v>
      </c>
      <c r="D78" s="431"/>
      <c r="E78" s="121">
        <f>E65</f>
        <v>0.90892623131429096</v>
      </c>
      <c r="F78" s="120">
        <f t="shared" si="1"/>
        <v>69.987319811200408</v>
      </c>
      <c r="G78" s="118">
        <f t="shared" si="4"/>
        <v>72</v>
      </c>
      <c r="H78" s="119">
        <f t="shared" si="2"/>
        <v>2.0126801887995924</v>
      </c>
      <c r="I78" s="118" t="str">
        <f t="shared" si="5"/>
        <v>YES</v>
      </c>
      <c r="J78" s="117">
        <f t="shared" si="3"/>
        <v>72</v>
      </c>
    </row>
    <row r="79" spans="2:10" ht="15" customHeight="1">
      <c r="B79" s="114">
        <v>2028</v>
      </c>
      <c r="C79" s="430">
        <f>M51</f>
        <v>78</v>
      </c>
      <c r="D79" s="431"/>
      <c r="E79" s="121">
        <f t="shared" ref="E79:E83" si="6">$E$65</f>
        <v>0.90892623131429096</v>
      </c>
      <c r="F79" s="120">
        <f t="shared" si="1"/>
        <v>70.89624604251469</v>
      </c>
      <c r="G79" s="118">
        <f t="shared" si="4"/>
        <v>72</v>
      </c>
      <c r="H79" s="119">
        <f t="shared" si="2"/>
        <v>1.1037539574853099</v>
      </c>
      <c r="I79" s="118" t="str">
        <f t="shared" si="5"/>
        <v>YES</v>
      </c>
      <c r="J79" s="117">
        <f t="shared" si="3"/>
        <v>72</v>
      </c>
    </row>
    <row r="80" spans="2:10" ht="15" customHeight="1">
      <c r="B80" s="114">
        <v>2029</v>
      </c>
      <c r="C80" s="430">
        <f>N51</f>
        <v>78</v>
      </c>
      <c r="D80" s="431"/>
      <c r="E80" s="121">
        <f t="shared" si="6"/>
        <v>0.90892623131429096</v>
      </c>
      <c r="F80" s="120">
        <f t="shared" si="1"/>
        <v>70.89624604251469</v>
      </c>
      <c r="G80" s="118">
        <f t="shared" si="4"/>
        <v>72</v>
      </c>
      <c r="H80" s="119">
        <f t="shared" si="2"/>
        <v>1.1037539574853099</v>
      </c>
      <c r="I80" s="118" t="str">
        <f t="shared" si="5"/>
        <v>YES</v>
      </c>
      <c r="J80" s="117">
        <f t="shared" si="3"/>
        <v>72</v>
      </c>
    </row>
    <row r="81" spans="2:10" ht="15" customHeight="1">
      <c r="B81" s="114">
        <v>2030</v>
      </c>
      <c r="C81" s="430">
        <f>O51</f>
        <v>78</v>
      </c>
      <c r="D81" s="431"/>
      <c r="E81" s="121">
        <f t="shared" si="6"/>
        <v>0.90892623131429096</v>
      </c>
      <c r="F81" s="120">
        <f t="shared" si="1"/>
        <v>70.89624604251469</v>
      </c>
      <c r="G81" s="118">
        <f t="shared" si="4"/>
        <v>72</v>
      </c>
      <c r="H81" s="119">
        <f t="shared" si="2"/>
        <v>1.1037539574853099</v>
      </c>
      <c r="I81" s="118" t="str">
        <f t="shared" si="5"/>
        <v>YES</v>
      </c>
      <c r="J81" s="117">
        <f t="shared" si="3"/>
        <v>72</v>
      </c>
    </row>
    <row r="82" spans="2:10" ht="15" customHeight="1">
      <c r="B82" s="114">
        <v>2031</v>
      </c>
      <c r="C82" s="430">
        <f>P51</f>
        <v>78</v>
      </c>
      <c r="D82" s="431"/>
      <c r="E82" s="121">
        <f t="shared" si="6"/>
        <v>0.90892623131429096</v>
      </c>
      <c r="F82" s="120">
        <f t="shared" si="1"/>
        <v>70.89624604251469</v>
      </c>
      <c r="G82" s="118">
        <f t="shared" si="4"/>
        <v>72</v>
      </c>
      <c r="H82" s="119">
        <f t="shared" si="2"/>
        <v>1.1037539574853099</v>
      </c>
      <c r="I82" s="118" t="str">
        <f t="shared" si="5"/>
        <v>YES</v>
      </c>
      <c r="J82" s="117">
        <f t="shared" si="3"/>
        <v>72</v>
      </c>
    </row>
    <row r="83" spans="2:10" ht="15" customHeight="1">
      <c r="B83" s="114">
        <v>2032</v>
      </c>
      <c r="C83" s="430">
        <f>Q51</f>
        <v>78</v>
      </c>
      <c r="D83" s="431"/>
      <c r="E83" s="121">
        <f t="shared" si="6"/>
        <v>0.90892623131429096</v>
      </c>
      <c r="F83" s="120">
        <f t="shared" si="1"/>
        <v>70.89624604251469</v>
      </c>
      <c r="G83" s="118">
        <f t="shared" si="4"/>
        <v>72</v>
      </c>
      <c r="H83" s="119">
        <f t="shared" si="2"/>
        <v>1.1037539574853099</v>
      </c>
      <c r="I83" s="118" t="str">
        <f t="shared" si="5"/>
        <v>YES</v>
      </c>
      <c r="J83" s="117">
        <f t="shared" si="3"/>
        <v>72</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Pentland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65</v>
      </c>
      <c r="D91" s="112">
        <f t="shared" ref="D91:J91" si="7">D188</f>
        <v>74</v>
      </c>
      <c r="E91" s="112">
        <f t="shared" si="7"/>
        <v>69</v>
      </c>
      <c r="F91" s="112">
        <f t="shared" si="7"/>
        <v>55</v>
      </c>
      <c r="G91" s="112">
        <f t="shared" si="7"/>
        <v>52</v>
      </c>
      <c r="H91" s="112">
        <f t="shared" si="7"/>
        <v>42</v>
      </c>
      <c r="I91" s="112">
        <f t="shared" si="7"/>
        <v>48</v>
      </c>
      <c r="J91" s="213">
        <f t="shared" si="7"/>
        <v>405</v>
      </c>
    </row>
    <row r="92" spans="2:10" ht="15" customHeight="1">
      <c r="B92" s="114">
        <v>2014</v>
      </c>
      <c r="C92" s="112">
        <f>C189</f>
        <v>66</v>
      </c>
      <c r="D92" s="112">
        <f t="shared" ref="D92:J92" si="8">D189</f>
        <v>66</v>
      </c>
      <c r="E92" s="112">
        <f t="shared" si="8"/>
        <v>73</v>
      </c>
      <c r="F92" s="112">
        <f t="shared" si="8"/>
        <v>66</v>
      </c>
      <c r="G92" s="112">
        <f t="shared" si="8"/>
        <v>53</v>
      </c>
      <c r="H92" s="112">
        <f t="shared" si="8"/>
        <v>53</v>
      </c>
      <c r="I92" s="112">
        <f t="shared" si="8"/>
        <v>41</v>
      </c>
      <c r="J92" s="213">
        <f t="shared" si="8"/>
        <v>418</v>
      </c>
    </row>
    <row r="93" spans="2:10" ht="15" customHeight="1">
      <c r="B93" s="114">
        <v>2015</v>
      </c>
      <c r="C93" s="112">
        <f>C190</f>
        <v>72</v>
      </c>
      <c r="D93" s="112">
        <f t="shared" ref="D93:J93" si="9">D190</f>
        <v>66</v>
      </c>
      <c r="E93" s="112">
        <f t="shared" si="9"/>
        <v>64</v>
      </c>
      <c r="F93" s="112">
        <f t="shared" si="9"/>
        <v>73</v>
      </c>
      <c r="G93" s="112">
        <f t="shared" si="9"/>
        <v>64</v>
      </c>
      <c r="H93" s="112">
        <f t="shared" si="9"/>
        <v>51</v>
      </c>
      <c r="I93" s="112">
        <f t="shared" si="9"/>
        <v>47</v>
      </c>
      <c r="J93" s="213">
        <f t="shared" si="9"/>
        <v>437</v>
      </c>
    </row>
    <row r="94" spans="2:10" ht="15" customHeight="1">
      <c r="B94" s="114">
        <v>2016</v>
      </c>
      <c r="C94" s="112">
        <f>C191</f>
        <v>63</v>
      </c>
      <c r="D94" s="112">
        <f t="shared" ref="D94:J94" si="10">D191</f>
        <v>70</v>
      </c>
      <c r="E94" s="112">
        <f t="shared" si="10"/>
        <v>65</v>
      </c>
      <c r="F94" s="112">
        <f t="shared" si="10"/>
        <v>61</v>
      </c>
      <c r="G94" s="112">
        <f t="shared" si="10"/>
        <v>76</v>
      </c>
      <c r="H94" s="112">
        <f t="shared" si="10"/>
        <v>65</v>
      </c>
      <c r="I94" s="112">
        <f t="shared" si="10"/>
        <v>52</v>
      </c>
      <c r="J94" s="213">
        <f t="shared" si="10"/>
        <v>452</v>
      </c>
    </row>
    <row r="95" spans="2:10" ht="15" customHeight="1">
      <c r="B95" s="114">
        <v>2017</v>
      </c>
      <c r="C95" s="112">
        <f>C192</f>
        <v>71</v>
      </c>
      <c r="D95" s="112">
        <f t="shared" ref="D95:J95" si="11">D192</f>
        <v>63</v>
      </c>
      <c r="E95" s="112">
        <f t="shared" si="11"/>
        <v>66</v>
      </c>
      <c r="F95" s="112">
        <f t="shared" si="11"/>
        <v>66</v>
      </c>
      <c r="G95" s="112">
        <f t="shared" si="11"/>
        <v>61</v>
      </c>
      <c r="H95" s="112">
        <f t="shared" si="11"/>
        <v>71</v>
      </c>
      <c r="I95" s="112">
        <f t="shared" si="11"/>
        <v>64</v>
      </c>
      <c r="J95" s="213">
        <f t="shared" si="11"/>
        <v>462</v>
      </c>
    </row>
    <row r="96" spans="2:10" ht="15" customHeight="1">
      <c r="B96" s="307">
        <v>2018</v>
      </c>
      <c r="C96" s="112">
        <f t="shared" ref="C96:J96" si="12">C193</f>
        <v>67</v>
      </c>
      <c r="D96" s="112">
        <f t="shared" si="12"/>
        <v>73</v>
      </c>
      <c r="E96" s="112">
        <f t="shared" si="12"/>
        <v>63</v>
      </c>
      <c r="F96" s="112">
        <f t="shared" si="12"/>
        <v>64</v>
      </c>
      <c r="G96" s="112">
        <f t="shared" si="12"/>
        <v>65</v>
      </c>
      <c r="H96" s="112">
        <f t="shared" si="12"/>
        <v>60</v>
      </c>
      <c r="I96" s="112">
        <f t="shared" si="12"/>
        <v>72</v>
      </c>
      <c r="J96" s="213">
        <f t="shared" si="12"/>
        <v>464</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0</v>
      </c>
      <c r="E98" s="210">
        <f t="shared" ref="E98:I98" si="13">MEDIAN(((D91-E92)/D91),((D92-E93)/D92),((D93-E94)/D93),((D94-E95)/D94),((D95-E96)/D95))</f>
        <v>1.5151515151515152E-2</v>
      </c>
      <c r="F98" s="210">
        <f t="shared" si="13"/>
        <v>3.0303030303030304E-2</v>
      </c>
      <c r="G98" s="210">
        <f t="shared" si="13"/>
        <v>1.5151515151515152E-2</v>
      </c>
      <c r="H98" s="210">
        <f t="shared" si="13"/>
        <v>1.6393442622950821E-2</v>
      </c>
      <c r="I98" s="210">
        <f t="shared" si="13"/>
        <v>1.5384615384615385E-2</v>
      </c>
    </row>
    <row r="99" spans="2:10" ht="18.75">
      <c r="B99" s="59"/>
      <c r="C99" s="60"/>
      <c r="D99" s="61"/>
      <c r="E99" s="61"/>
      <c r="F99" s="61"/>
      <c r="G99" s="61"/>
      <c r="H99" s="61"/>
      <c r="I99" s="61"/>
      <c r="J99" s="58"/>
    </row>
    <row r="100" spans="2:10">
      <c r="B100" s="15" t="str">
        <f>"Table 4B: "&amp;E3&amp;" Projected Roll by Stage (incorporating Projected P1 and Drop-Off Rates), 2019-2032"</f>
        <v>Table 4B: Pentland Primary School Projected Roll by Stage (incorporating Projected P1 and Drop-Off Rates), 2019-2032</v>
      </c>
      <c r="F100" s="14"/>
      <c r="G100" s="14"/>
    </row>
    <row r="101" spans="2:10" ht="12.75">
      <c r="F101" s="14"/>
      <c r="G101" s="14"/>
    </row>
    <row r="102" spans="2:10">
      <c r="B102" s="115"/>
      <c r="C102" s="109" t="s">
        <v>1</v>
      </c>
      <c r="D102" s="109" t="s">
        <v>2</v>
      </c>
      <c r="E102" s="109" t="s">
        <v>3</v>
      </c>
      <c r="F102" s="109" t="s">
        <v>4</v>
      </c>
      <c r="G102" s="109" t="s">
        <v>5</v>
      </c>
      <c r="H102" s="109" t="s">
        <v>6</v>
      </c>
      <c r="I102" s="109" t="s">
        <v>7</v>
      </c>
      <c r="J102" s="109" t="s">
        <v>8</v>
      </c>
    </row>
    <row r="103" spans="2:10">
      <c r="B103" s="114">
        <v>2019</v>
      </c>
      <c r="C103" s="113">
        <f t="shared" ref="C103:C116" si="14">J70</f>
        <v>66</v>
      </c>
      <c r="D103" s="324">
        <f>ROUND((C96)-(C96*$D$98),0)</f>
        <v>67</v>
      </c>
      <c r="E103" s="324">
        <f>ROUND((D96)-(D96*$E$98),0)</f>
        <v>72</v>
      </c>
      <c r="F103" s="324">
        <f>ROUND((E96)-(E96*$F$98),0)</f>
        <v>61</v>
      </c>
      <c r="G103" s="324">
        <f>ROUND((F96)-(F96*$G$98),0)</f>
        <v>63</v>
      </c>
      <c r="H103" s="324">
        <f>ROUND((G96)-(G96*$H$98),0)</f>
        <v>64</v>
      </c>
      <c r="I103" s="324">
        <f>ROUND((H96)-(H96*$I$98),0)</f>
        <v>59</v>
      </c>
      <c r="J103" s="111">
        <f t="shared" ref="J103:J116" si="15">SUM(C103:I103)</f>
        <v>452</v>
      </c>
    </row>
    <row r="104" spans="2:10">
      <c r="B104" s="114">
        <v>2020</v>
      </c>
      <c r="C104" s="113">
        <f t="shared" si="14"/>
        <v>72</v>
      </c>
      <c r="D104" s="324">
        <f>ROUND((C103-E50)-(C103*$D$98),0)</f>
        <v>66</v>
      </c>
      <c r="E104" s="112">
        <f t="shared" ref="E104:E116" si="16">ROUND((D103)-(D103*$E$98),0)</f>
        <v>66</v>
      </c>
      <c r="F104" s="112">
        <f t="shared" ref="F104:F116" si="17">ROUND((E103)-(E103*$F$98),0)</f>
        <v>70</v>
      </c>
      <c r="G104" s="112">
        <f t="shared" ref="G104:G116" si="18">ROUND((F103)-(F103*$G$98),0)</f>
        <v>60</v>
      </c>
      <c r="H104" s="112">
        <f t="shared" ref="H104:H116" si="19">ROUND((G103)-(G103*$H$98),0)</f>
        <v>62</v>
      </c>
      <c r="I104" s="112">
        <f t="shared" ref="I104:I116" si="20">ROUND((H103)-(H103*$I$98),0)</f>
        <v>63</v>
      </c>
      <c r="J104" s="111">
        <f t="shared" si="15"/>
        <v>459</v>
      </c>
    </row>
    <row r="105" spans="2:10">
      <c r="B105" s="114">
        <v>2021</v>
      </c>
      <c r="C105" s="113">
        <f t="shared" si="14"/>
        <v>72</v>
      </c>
      <c r="D105" s="324">
        <f>ROUND((C104-F50)-(C104*$D$98),0)</f>
        <v>72</v>
      </c>
      <c r="E105" s="112">
        <f t="shared" si="16"/>
        <v>65</v>
      </c>
      <c r="F105" s="112">
        <f t="shared" si="17"/>
        <v>64</v>
      </c>
      <c r="G105" s="112">
        <f t="shared" si="18"/>
        <v>69</v>
      </c>
      <c r="H105" s="112">
        <f t="shared" si="19"/>
        <v>59</v>
      </c>
      <c r="I105" s="112">
        <f t="shared" si="20"/>
        <v>61</v>
      </c>
      <c r="J105" s="111">
        <f t="shared" si="15"/>
        <v>462</v>
      </c>
    </row>
    <row r="106" spans="2:10">
      <c r="B106" s="114">
        <v>2022</v>
      </c>
      <c r="C106" s="113">
        <f t="shared" si="14"/>
        <v>60</v>
      </c>
      <c r="D106" s="324">
        <f>ROUND((C105-G50)-(C105*$D$98),0)</f>
        <v>72</v>
      </c>
      <c r="E106" s="112">
        <f t="shared" si="16"/>
        <v>71</v>
      </c>
      <c r="F106" s="112">
        <f t="shared" si="17"/>
        <v>63</v>
      </c>
      <c r="G106" s="112">
        <f t="shared" si="18"/>
        <v>63</v>
      </c>
      <c r="H106" s="112">
        <f t="shared" si="19"/>
        <v>68</v>
      </c>
      <c r="I106" s="112">
        <f t="shared" si="20"/>
        <v>58</v>
      </c>
      <c r="J106" s="111">
        <f t="shared" si="15"/>
        <v>455</v>
      </c>
    </row>
    <row r="107" spans="2:10">
      <c r="B107" s="114">
        <v>2023</v>
      </c>
      <c r="C107" s="113">
        <f t="shared" si="14"/>
        <v>72</v>
      </c>
      <c r="D107" s="324">
        <f>ROUND((C106-H50)-(C106*$D$98),0)</f>
        <v>60</v>
      </c>
      <c r="E107" s="112">
        <f t="shared" si="16"/>
        <v>71</v>
      </c>
      <c r="F107" s="112">
        <f t="shared" si="17"/>
        <v>69</v>
      </c>
      <c r="G107" s="112">
        <f t="shared" si="18"/>
        <v>62</v>
      </c>
      <c r="H107" s="112">
        <f t="shared" si="19"/>
        <v>62</v>
      </c>
      <c r="I107" s="112">
        <f t="shared" si="20"/>
        <v>67</v>
      </c>
      <c r="J107" s="111">
        <f t="shared" si="15"/>
        <v>463</v>
      </c>
    </row>
    <row r="108" spans="2:10">
      <c r="B108" s="114">
        <v>2024</v>
      </c>
      <c r="C108" s="113">
        <f t="shared" si="14"/>
        <v>72</v>
      </c>
      <c r="D108" s="324">
        <f>ROUND((C107-I50)-(C107*$D$98),0)</f>
        <v>71</v>
      </c>
      <c r="E108" s="112">
        <f t="shared" si="16"/>
        <v>59</v>
      </c>
      <c r="F108" s="112">
        <f t="shared" si="17"/>
        <v>69</v>
      </c>
      <c r="G108" s="112">
        <f t="shared" si="18"/>
        <v>68</v>
      </c>
      <c r="H108" s="112">
        <f t="shared" si="19"/>
        <v>61</v>
      </c>
      <c r="I108" s="112">
        <f t="shared" si="20"/>
        <v>61</v>
      </c>
      <c r="J108" s="111">
        <f t="shared" si="15"/>
        <v>461</v>
      </c>
    </row>
    <row r="109" spans="2:10">
      <c r="B109" s="114">
        <v>2025</v>
      </c>
      <c r="C109" s="113">
        <f t="shared" si="14"/>
        <v>72</v>
      </c>
      <c r="D109" s="324">
        <f>ROUND((C108-J50)-(C108*$D$98),0)</f>
        <v>71</v>
      </c>
      <c r="E109" s="112">
        <f t="shared" si="16"/>
        <v>70</v>
      </c>
      <c r="F109" s="112">
        <f t="shared" si="17"/>
        <v>57</v>
      </c>
      <c r="G109" s="112">
        <f t="shared" si="18"/>
        <v>68</v>
      </c>
      <c r="H109" s="112">
        <f t="shared" si="19"/>
        <v>67</v>
      </c>
      <c r="I109" s="112">
        <f t="shared" si="20"/>
        <v>60</v>
      </c>
      <c r="J109" s="111">
        <f t="shared" si="15"/>
        <v>465</v>
      </c>
    </row>
    <row r="110" spans="2:10">
      <c r="B110" s="114">
        <v>2026</v>
      </c>
      <c r="C110" s="113">
        <f t="shared" si="14"/>
        <v>72</v>
      </c>
      <c r="D110" s="324">
        <f>ROUND((C109-K50)-(C109*$D$98),0)</f>
        <v>71</v>
      </c>
      <c r="E110" s="112">
        <f t="shared" si="16"/>
        <v>70</v>
      </c>
      <c r="F110" s="112">
        <f t="shared" si="17"/>
        <v>68</v>
      </c>
      <c r="G110" s="112">
        <f t="shared" si="18"/>
        <v>56</v>
      </c>
      <c r="H110" s="112">
        <f t="shared" si="19"/>
        <v>67</v>
      </c>
      <c r="I110" s="112">
        <f t="shared" si="20"/>
        <v>66</v>
      </c>
      <c r="J110" s="111">
        <f t="shared" si="15"/>
        <v>470</v>
      </c>
    </row>
    <row r="111" spans="2:10">
      <c r="B111" s="114">
        <v>2027</v>
      </c>
      <c r="C111" s="113">
        <f t="shared" si="14"/>
        <v>72</v>
      </c>
      <c r="D111" s="324">
        <f>ROUND((C110-L50)-(C110*$D$98),0)</f>
        <v>71</v>
      </c>
      <c r="E111" s="112">
        <f t="shared" si="16"/>
        <v>70</v>
      </c>
      <c r="F111" s="112">
        <f t="shared" si="17"/>
        <v>68</v>
      </c>
      <c r="G111" s="112">
        <f t="shared" si="18"/>
        <v>67</v>
      </c>
      <c r="H111" s="112">
        <f t="shared" si="19"/>
        <v>55</v>
      </c>
      <c r="I111" s="112">
        <f t="shared" si="20"/>
        <v>66</v>
      </c>
      <c r="J111" s="111">
        <f t="shared" si="15"/>
        <v>469</v>
      </c>
    </row>
    <row r="112" spans="2:10">
      <c r="B112" s="114">
        <v>2028</v>
      </c>
      <c r="C112" s="113">
        <f t="shared" si="14"/>
        <v>72</v>
      </c>
      <c r="D112" s="324">
        <f>ROUND((C111-M50)-(C111*$D$98),0)</f>
        <v>71</v>
      </c>
      <c r="E112" s="112">
        <f t="shared" si="16"/>
        <v>70</v>
      </c>
      <c r="F112" s="112">
        <f t="shared" si="17"/>
        <v>68</v>
      </c>
      <c r="G112" s="112">
        <f t="shared" si="18"/>
        <v>67</v>
      </c>
      <c r="H112" s="112">
        <f t="shared" si="19"/>
        <v>66</v>
      </c>
      <c r="I112" s="112">
        <f t="shared" si="20"/>
        <v>54</v>
      </c>
      <c r="J112" s="111">
        <f t="shared" si="15"/>
        <v>468</v>
      </c>
    </row>
    <row r="113" spans="2:10" ht="15" customHeight="1">
      <c r="B113" s="114">
        <v>2029</v>
      </c>
      <c r="C113" s="113">
        <f t="shared" si="14"/>
        <v>72</v>
      </c>
      <c r="D113" s="324">
        <f>ROUND((C112-N50)-(C112*$D$98),0)</f>
        <v>71</v>
      </c>
      <c r="E113" s="112">
        <f t="shared" si="16"/>
        <v>70</v>
      </c>
      <c r="F113" s="112">
        <f t="shared" si="17"/>
        <v>68</v>
      </c>
      <c r="G113" s="112">
        <f t="shared" si="18"/>
        <v>67</v>
      </c>
      <c r="H113" s="112">
        <f t="shared" si="19"/>
        <v>66</v>
      </c>
      <c r="I113" s="112">
        <f t="shared" si="20"/>
        <v>65</v>
      </c>
      <c r="J113" s="111">
        <f t="shared" si="15"/>
        <v>479</v>
      </c>
    </row>
    <row r="114" spans="2:10" ht="15" customHeight="1">
      <c r="B114" s="114">
        <v>2030</v>
      </c>
      <c r="C114" s="113">
        <f t="shared" si="14"/>
        <v>72</v>
      </c>
      <c r="D114" s="324">
        <f>ROUND((C113-O50)-(C113*$D$98),0)</f>
        <v>71</v>
      </c>
      <c r="E114" s="112">
        <f t="shared" si="16"/>
        <v>70</v>
      </c>
      <c r="F114" s="112">
        <f t="shared" si="17"/>
        <v>68</v>
      </c>
      <c r="G114" s="112">
        <f t="shared" si="18"/>
        <v>67</v>
      </c>
      <c r="H114" s="112">
        <f t="shared" si="19"/>
        <v>66</v>
      </c>
      <c r="I114" s="112">
        <f t="shared" si="20"/>
        <v>65</v>
      </c>
      <c r="J114" s="111">
        <f t="shared" si="15"/>
        <v>479</v>
      </c>
    </row>
    <row r="115" spans="2:10" ht="15" customHeight="1">
      <c r="B115" s="114">
        <v>2031</v>
      </c>
      <c r="C115" s="113">
        <f t="shared" si="14"/>
        <v>72</v>
      </c>
      <c r="D115" s="324">
        <f>ROUND((C114-P50)-(C114*$D$98),0)</f>
        <v>71</v>
      </c>
      <c r="E115" s="112">
        <f t="shared" si="16"/>
        <v>70</v>
      </c>
      <c r="F115" s="112">
        <f t="shared" si="17"/>
        <v>68</v>
      </c>
      <c r="G115" s="112">
        <f t="shared" si="18"/>
        <v>67</v>
      </c>
      <c r="H115" s="112">
        <f t="shared" si="19"/>
        <v>66</v>
      </c>
      <c r="I115" s="112">
        <f t="shared" si="20"/>
        <v>65</v>
      </c>
      <c r="J115" s="111">
        <f t="shared" si="15"/>
        <v>479</v>
      </c>
    </row>
    <row r="116" spans="2:10" ht="15" customHeight="1">
      <c r="B116" s="114">
        <v>2032</v>
      </c>
      <c r="C116" s="113">
        <f t="shared" si="14"/>
        <v>72</v>
      </c>
      <c r="D116" s="324">
        <f>ROUND((C115-Q50)-(C115*$D$98),0)</f>
        <v>71</v>
      </c>
      <c r="E116" s="112">
        <f t="shared" si="16"/>
        <v>70</v>
      </c>
      <c r="F116" s="112">
        <f t="shared" si="17"/>
        <v>68</v>
      </c>
      <c r="G116" s="112">
        <f t="shared" si="18"/>
        <v>67</v>
      </c>
      <c r="H116" s="112">
        <f t="shared" si="19"/>
        <v>66</v>
      </c>
      <c r="I116" s="112">
        <f t="shared" si="20"/>
        <v>65</v>
      </c>
      <c r="J116" s="111">
        <f t="shared" si="15"/>
        <v>479</v>
      </c>
    </row>
    <row r="117" spans="2:10" ht="15" hidden="1" customHeight="1">
      <c r="F117" s="14"/>
      <c r="G117" s="14"/>
    </row>
    <row r="118" spans="2:10" ht="15" hidden="1" customHeight="1">
      <c r="B118" s="15" t="str">
        <f>"Table 4C: "&amp;E3&amp;" Projected Pupil Generation from Housing Development, 2019-2032"</f>
        <v>Table 4C: Pentland Primary School Projected Pupil Generation from Housing Development, 2019-2032</v>
      </c>
      <c r="F118" s="14"/>
      <c r="G118" s="14"/>
    </row>
    <row r="119" spans="2:10" ht="15" hidden="1" customHeight="1">
      <c r="F119" s="14"/>
      <c r="G119" s="14"/>
    </row>
    <row r="120" spans="2:10" ht="15" hidden="1" customHeight="1">
      <c r="B120" s="115"/>
      <c r="C120" s="109" t="s">
        <v>1</v>
      </c>
      <c r="D120" s="109" t="s">
        <v>2</v>
      </c>
      <c r="E120" s="109" t="s">
        <v>3</v>
      </c>
      <c r="F120" s="109" t="s">
        <v>4</v>
      </c>
      <c r="G120" s="109" t="s">
        <v>5</v>
      </c>
      <c r="H120" s="109" t="s">
        <v>6</v>
      </c>
      <c r="I120" s="109" t="s">
        <v>7</v>
      </c>
      <c r="J120" s="109" t="s">
        <v>8</v>
      </c>
    </row>
    <row r="121" spans="2:10" ht="15" hidden="1" customHeight="1">
      <c r="B121" s="114">
        <v>2019</v>
      </c>
      <c r="C121" s="116" t="s">
        <v>97</v>
      </c>
      <c r="D121" s="112">
        <f>VLOOKUP($E$3,'Housing Generation'!$A$3:$BE$90,11,FALSE)</f>
        <v>0</v>
      </c>
      <c r="E121" s="112">
        <f>VLOOKUP($E$3,'Housing Generation'!$A$3:$BE$90,12,FALSE)</f>
        <v>0</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0</v>
      </c>
    </row>
    <row r="122" spans="2:10" ht="15" hidden="1" customHeight="1">
      <c r="B122" s="114">
        <v>2020</v>
      </c>
      <c r="C122" s="116" t="s">
        <v>97</v>
      </c>
      <c r="D122" s="112">
        <f>VLOOKUP($E$3,'Housing Generation'!$A$3:$BE$90,19,FALSE)</f>
        <v>0</v>
      </c>
      <c r="E122" s="112">
        <f>VLOOKUP($E$3,'Housing Generation'!$A$3:$BE$90,20,FALSE)</f>
        <v>0</v>
      </c>
      <c r="F122" s="112">
        <f>VLOOKUP($E$3,'Housing Generation'!$A$3:$BE$90,21,FALSE)</f>
        <v>0</v>
      </c>
      <c r="G122" s="112">
        <f>VLOOKUP($E$3,'Housing Generation'!$A$3:$BE$90,22,FALSE)</f>
        <v>0</v>
      </c>
      <c r="H122" s="112">
        <f>VLOOKUP($E$3,'Housing Generation'!$A$3:$BE$90,23,FALSE)</f>
        <v>0</v>
      </c>
      <c r="I122" s="112">
        <f>VLOOKUP($E$3,'Housing Generation'!$A$3:$BE$90,24,FALSE)</f>
        <v>0</v>
      </c>
      <c r="J122" s="111">
        <f t="shared" si="21"/>
        <v>0</v>
      </c>
    </row>
    <row r="123" spans="2:10" ht="15" hidden="1" customHeight="1">
      <c r="B123" s="114">
        <v>2021</v>
      </c>
      <c r="C123" s="116" t="s">
        <v>97</v>
      </c>
      <c r="D123" s="112">
        <f>VLOOKUP($E$3,'Housing Generation'!$A$3:$BE$90,27,FALSE)</f>
        <v>0</v>
      </c>
      <c r="E123" s="112">
        <f>VLOOKUP($E$3,'Housing Generation'!$A$3:$BE$90,28,FALSE)</f>
        <v>0</v>
      </c>
      <c r="F123" s="112">
        <f>VLOOKUP($E$3,'Housing Generation'!$A$3:$BE$90,29,FALSE)</f>
        <v>0</v>
      </c>
      <c r="G123" s="112">
        <f>VLOOKUP($E$3,'Housing Generation'!$A$3:$BE$90,30,FALSE)</f>
        <v>0</v>
      </c>
      <c r="H123" s="112">
        <f>VLOOKUP($E$3,'Housing Generation'!$A$3:$BE$90,31,FALSE)</f>
        <v>0</v>
      </c>
      <c r="I123" s="112">
        <f>VLOOKUP($E$3,'Housing Generation'!$A$3:$BE$90,32,FALSE)</f>
        <v>0</v>
      </c>
      <c r="J123" s="111">
        <f t="shared" si="21"/>
        <v>0</v>
      </c>
    </row>
    <row r="124" spans="2:10" ht="15" hidden="1" customHeight="1">
      <c r="B124" s="114">
        <v>2022</v>
      </c>
      <c r="C124" s="116" t="s">
        <v>97</v>
      </c>
      <c r="D124" s="112">
        <f>VLOOKUP($E$3,'Housing Generation'!$A$3:$BE$90,35,FALSE)</f>
        <v>0</v>
      </c>
      <c r="E124" s="112">
        <f>VLOOKUP($E$3,'Housing Generation'!$A$3:$BE$90,36,FALSE)</f>
        <v>0</v>
      </c>
      <c r="F124" s="112">
        <f>VLOOKUP($E$3,'Housing Generation'!$A$3:$BE$90,37,FALSE)</f>
        <v>0</v>
      </c>
      <c r="G124" s="112">
        <f>VLOOKUP($E$3,'Housing Generation'!$A$3:$BE$90,38,FALSE)</f>
        <v>0</v>
      </c>
      <c r="H124" s="112">
        <f>VLOOKUP($E$3,'Housing Generation'!$A$3:$BE$90,39,FALSE)</f>
        <v>0</v>
      </c>
      <c r="I124" s="112">
        <f>VLOOKUP($E$3,'Housing Generation'!$A$3:$BE$90,40,FALSE)</f>
        <v>0</v>
      </c>
      <c r="J124" s="111">
        <f t="shared" si="21"/>
        <v>0</v>
      </c>
    </row>
    <row r="125" spans="2:10" ht="15" hidden="1" customHeight="1">
      <c r="B125" s="114">
        <v>2023</v>
      </c>
      <c r="C125" s="116" t="s">
        <v>97</v>
      </c>
      <c r="D125" s="112">
        <f>VLOOKUP($E$3,'Housing Generation'!$A$3:$BE$90,43,FALSE)</f>
        <v>0</v>
      </c>
      <c r="E125" s="112">
        <f>VLOOKUP($E$3,'Housing Generation'!$A$3:$BE$90,44,FALSE)</f>
        <v>0</v>
      </c>
      <c r="F125" s="112">
        <f>VLOOKUP($E$3,'Housing Generation'!$A$3:$BE$90,45,FALSE)</f>
        <v>0</v>
      </c>
      <c r="G125" s="112">
        <f>VLOOKUP($E$3,'Housing Generation'!$A$3:$BE$90,46,FALSE)</f>
        <v>0</v>
      </c>
      <c r="H125" s="112">
        <f>VLOOKUP($E$3,'Housing Generation'!$A$3:$BE$90,47,FALSE)</f>
        <v>0</v>
      </c>
      <c r="I125" s="112">
        <f>VLOOKUP($E$3,'Housing Generation'!$A$3:$BE$90,48,FALSE)</f>
        <v>0</v>
      </c>
      <c r="J125" s="111">
        <f t="shared" si="21"/>
        <v>0</v>
      </c>
    </row>
    <row r="126" spans="2:10" ht="15" hidden="1" customHeight="1">
      <c r="B126" s="114">
        <v>2024</v>
      </c>
      <c r="C126" s="116" t="s">
        <v>97</v>
      </c>
      <c r="D126" s="112">
        <f>VLOOKUP($E$3,'Housing Generation'!$A$3:$BE$90,51,FALSE)</f>
        <v>1</v>
      </c>
      <c r="E126" s="112">
        <f>VLOOKUP($E$3,'Housing Generation'!$A$3:$BE$90,52,FALSE)</f>
        <v>1</v>
      </c>
      <c r="F126" s="112">
        <f>VLOOKUP($E$3,'Housing Generation'!$A$3:$BE$90,53,FALSE)</f>
        <v>0</v>
      </c>
      <c r="G126" s="112">
        <f>VLOOKUP($E$3,'Housing Generation'!$A$3:$BE$90,54,FALSE)</f>
        <v>0</v>
      </c>
      <c r="H126" s="112">
        <f>VLOOKUP($E$3,'Housing Generation'!$A$3:$BE$90,55,FALSE)</f>
        <v>0</v>
      </c>
      <c r="I126" s="112">
        <f>VLOOKUP($E$3,'Housing Generation'!$A$3:$BE$90,56,FALSE)</f>
        <v>0</v>
      </c>
      <c r="J126" s="111">
        <f t="shared" si="21"/>
        <v>2</v>
      </c>
    </row>
    <row r="127" spans="2:10" ht="15" hidden="1" customHeight="1">
      <c r="B127" s="114">
        <v>2025</v>
      </c>
      <c r="C127" s="240" t="s">
        <v>97</v>
      </c>
      <c r="D127" s="112">
        <f>VLOOKUP($E$3,'Housing Generation'!$A$3:$CK$90,59,FALSE)</f>
        <v>1</v>
      </c>
      <c r="E127" s="112">
        <f>VLOOKUP($E$3,'Housing Generation'!$A$3:$CK$90,60,FALSE)</f>
        <v>1</v>
      </c>
      <c r="F127" s="112">
        <f>VLOOKUP($E$3,'Housing Generation'!$A$3:$CK$90,61,FALSE)</f>
        <v>1</v>
      </c>
      <c r="G127" s="112">
        <f>VLOOKUP($E$3,'Housing Generation'!$A$3:$CK$90,62,FALSE)</f>
        <v>1</v>
      </c>
      <c r="H127" s="112">
        <f>VLOOKUP($E$3,'Housing Generation'!$A$3:$CK$90,63,FALSE)</f>
        <v>1</v>
      </c>
      <c r="I127" s="112">
        <f>VLOOKUP($E$3,'Housing Generation'!$A$3:$CK$90,64,FALSE)</f>
        <v>0</v>
      </c>
      <c r="J127" s="111">
        <f t="shared" si="21"/>
        <v>5</v>
      </c>
    </row>
    <row r="128" spans="2:10" ht="15" hidden="1" customHeight="1">
      <c r="B128" s="114">
        <v>2026</v>
      </c>
      <c r="C128" s="240" t="s">
        <v>97</v>
      </c>
      <c r="D128" s="112">
        <f>VLOOKUP($E$3,'Housing Generation'!$A$3:$CK$90,67,FALSE)</f>
        <v>1</v>
      </c>
      <c r="E128" s="112">
        <f>VLOOKUP($E$3,'Housing Generation'!$A$3:$CK$90,68,FALSE)</f>
        <v>1</v>
      </c>
      <c r="F128" s="112">
        <f>VLOOKUP($E$3,'Housing Generation'!$A$3:$CK$90,69,FALSE)</f>
        <v>1</v>
      </c>
      <c r="G128" s="112">
        <f>VLOOKUP($E$3,'Housing Generation'!$A$3:$CK$90,70,FALSE)</f>
        <v>1</v>
      </c>
      <c r="H128" s="112">
        <f>VLOOKUP($E$3,'Housing Generation'!$A$3:$CK$90,71,FALSE)</f>
        <v>1</v>
      </c>
      <c r="I128" s="112">
        <f>VLOOKUP($E$3,'Housing Generation'!$A$3:$CK$90,72,FALSE)</f>
        <v>0</v>
      </c>
      <c r="J128" s="111">
        <f t="shared" si="21"/>
        <v>5</v>
      </c>
    </row>
    <row r="129" spans="2:10" ht="15" hidden="1" customHeight="1">
      <c r="B129" s="114">
        <v>2027</v>
      </c>
      <c r="C129" s="240" t="s">
        <v>97</v>
      </c>
      <c r="D129" s="112">
        <f>VLOOKUP($E$3,'Housing Generation'!$A$3:$CK$90,75,FALSE)</f>
        <v>1</v>
      </c>
      <c r="E129" s="112">
        <f>VLOOKUP($E$3,'Housing Generation'!$A$3:$CK$90,76,FALSE)</f>
        <v>1</v>
      </c>
      <c r="F129" s="112">
        <f>VLOOKUP($E$3,'Housing Generation'!$A$3:$CK$90,77,FALSE)</f>
        <v>1</v>
      </c>
      <c r="G129" s="112">
        <f>VLOOKUP($E$3,'Housing Generation'!$A$3:$CK$90,78,FALSE)</f>
        <v>1</v>
      </c>
      <c r="H129" s="112">
        <f>VLOOKUP($E$3,'Housing Generation'!$A$3:$CK$90,79,FALSE)</f>
        <v>1</v>
      </c>
      <c r="I129" s="112">
        <f>VLOOKUP($E$3,'Housing Generation'!$A$3:$CK$90,80,FALSE)</f>
        <v>0</v>
      </c>
      <c r="J129" s="111">
        <f t="shared" si="21"/>
        <v>5</v>
      </c>
    </row>
    <row r="130" spans="2:10" ht="15" customHeight="1">
      <c r="B130" s="114">
        <v>2028</v>
      </c>
      <c r="C130" s="289" t="s">
        <v>97</v>
      </c>
      <c r="D130" s="112">
        <f>VLOOKUP($E$3,'Housing Generation'!$A$3:$CK$90,83,FALSE)</f>
        <v>1</v>
      </c>
      <c r="E130" s="112">
        <f>VLOOKUP($E$3,'Housing Generation'!$A$3:$CK$90,84,FALSE)</f>
        <v>1</v>
      </c>
      <c r="F130" s="112">
        <f>VLOOKUP($E$3,'Housing Generation'!$A$3:$CK$90,85,FALSE)</f>
        <v>1</v>
      </c>
      <c r="G130" s="112">
        <f>VLOOKUP($E$3,'Housing Generation'!$A$3:$CK$90,86,FALSE)</f>
        <v>1</v>
      </c>
      <c r="H130" s="112">
        <f>VLOOKUP($E$3,'Housing Generation'!$A$3:$CK$90,87,FALSE)</f>
        <v>1</v>
      </c>
      <c r="I130" s="112">
        <f>VLOOKUP($E$3,'Housing Generation'!$A$3:$CK$90,88,FALSE)</f>
        <v>0</v>
      </c>
      <c r="J130" s="111">
        <f t="shared" si="21"/>
        <v>5</v>
      </c>
    </row>
    <row r="131" spans="2:10" ht="15" customHeight="1">
      <c r="B131" s="114">
        <v>2029</v>
      </c>
      <c r="C131" s="289" t="s">
        <v>97</v>
      </c>
      <c r="D131" s="112">
        <f>VLOOKUP($E$3,'Housing Generation'!$A$3:$DQ$90,91,FALSE)</f>
        <v>1</v>
      </c>
      <c r="E131" s="112">
        <f>VLOOKUP($E$3,'Housing Generation'!$A$3:$DQ$90,92,FALSE)</f>
        <v>1</v>
      </c>
      <c r="F131" s="112">
        <f>VLOOKUP($E$3,'Housing Generation'!$A$3:$DQ$90,93,FALSE)</f>
        <v>1</v>
      </c>
      <c r="G131" s="112">
        <f>VLOOKUP($E$3,'Housing Generation'!$A$3:$DQ$90,94,FALSE)</f>
        <v>1</v>
      </c>
      <c r="H131" s="112">
        <f>VLOOKUP($E$3,'Housing Generation'!$A$3:$DQ$90,95,FALSE)</f>
        <v>1</v>
      </c>
      <c r="I131" s="112">
        <f>VLOOKUP($E$3,'Housing Generation'!$A$3:$DQ$90,96,FALSE)</f>
        <v>0</v>
      </c>
      <c r="J131" s="111">
        <f t="shared" si="21"/>
        <v>5</v>
      </c>
    </row>
    <row r="132" spans="2:10" ht="15" customHeight="1">
      <c r="B132" s="114">
        <v>2030</v>
      </c>
      <c r="C132" s="289" t="s">
        <v>97</v>
      </c>
      <c r="D132" s="112">
        <f>VLOOKUP($E$3,'Housing Generation'!$A$3:$DQ$90,99,FALSE)</f>
        <v>1</v>
      </c>
      <c r="E132" s="112">
        <f>VLOOKUP($E$3,'Housing Generation'!$A$3:$DQ$90,100,FALSE)</f>
        <v>1</v>
      </c>
      <c r="F132" s="112">
        <f>VLOOKUP($E$3,'Housing Generation'!$A$3:$DQ$90,101,FALSE)</f>
        <v>1</v>
      </c>
      <c r="G132" s="112">
        <f>VLOOKUP($E$3,'Housing Generation'!$A$3:$DQ$90,102,FALSE)</f>
        <v>1</v>
      </c>
      <c r="H132" s="112">
        <f>VLOOKUP($E$3,'Housing Generation'!$A$3:$DQ$90,103,FALSE)</f>
        <v>1</v>
      </c>
      <c r="I132" s="112">
        <f>VLOOKUP($E$3,'Housing Generation'!$A$3:$DQ$90,104,FALSE)</f>
        <v>0</v>
      </c>
      <c r="J132" s="111">
        <f t="shared" si="21"/>
        <v>5</v>
      </c>
    </row>
    <row r="133" spans="2:10" ht="15" customHeight="1">
      <c r="B133" s="114">
        <v>2031</v>
      </c>
      <c r="C133" s="289" t="s">
        <v>97</v>
      </c>
      <c r="D133" s="112">
        <f>VLOOKUP($E$3,'Housing Generation'!$A$3:$DQ$90,107,FALSE)</f>
        <v>1</v>
      </c>
      <c r="E133" s="112">
        <f>VLOOKUP($E$3,'Housing Generation'!$A$3:$DQ$90,108,FALSE)</f>
        <v>1</v>
      </c>
      <c r="F133" s="112">
        <f>VLOOKUP($E$3,'Housing Generation'!$A$3:$DQ$90,109,FALSE)</f>
        <v>1</v>
      </c>
      <c r="G133" s="112">
        <f>VLOOKUP($E$3,'Housing Generation'!$A$3:$DQ$90,110,FALSE)</f>
        <v>1</v>
      </c>
      <c r="H133" s="112">
        <f>VLOOKUP($E$3,'Housing Generation'!$A$3:$DQ$90,111,FALSE)</f>
        <v>1</v>
      </c>
      <c r="I133" s="112">
        <f>VLOOKUP($E$3,'Housing Generation'!$A$3:$DQ$90,112,FALSE)</f>
        <v>0</v>
      </c>
      <c r="J133" s="111">
        <f t="shared" si="21"/>
        <v>5</v>
      </c>
    </row>
    <row r="134" spans="2:10" ht="15" customHeight="1">
      <c r="B134" s="114">
        <v>2032</v>
      </c>
      <c r="C134" s="289" t="s">
        <v>97</v>
      </c>
      <c r="D134" s="112">
        <f>VLOOKUP($E$3,'Housing Generation'!$A$3:$DQ$90,115,FALSE)</f>
        <v>1</v>
      </c>
      <c r="E134" s="112">
        <f>VLOOKUP($E$3,'Housing Generation'!$A$3:$DQ$90,116,FALSE)</f>
        <v>1</v>
      </c>
      <c r="F134" s="112">
        <f>VLOOKUP($E$3,'Housing Generation'!$A$3:$DQ$90,117,FALSE)</f>
        <v>1</v>
      </c>
      <c r="G134" s="112">
        <f>VLOOKUP($E$3,'Housing Generation'!$A$3:$DQ$90,118,FALSE)</f>
        <v>1</v>
      </c>
      <c r="H134" s="112">
        <f>VLOOKUP($E$3,'Housing Generation'!$A$3:$DQ$90,119,FALSE)</f>
        <v>1</v>
      </c>
      <c r="I134" s="112">
        <f>VLOOKUP($E$3,'Housing Generation'!$A$3:$DQ$90,120,FALSE)</f>
        <v>0</v>
      </c>
      <c r="J134" s="111">
        <f t="shared" si="21"/>
        <v>5</v>
      </c>
    </row>
    <row r="135" spans="2:10" ht="15" hidden="1"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Pentland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66</v>
      </c>
      <c r="D139" s="112">
        <f t="shared" ref="D139:I152" si="23">D121+D103</f>
        <v>67</v>
      </c>
      <c r="E139" s="112">
        <f t="shared" si="23"/>
        <v>72</v>
      </c>
      <c r="F139" s="112">
        <f t="shared" si="23"/>
        <v>61</v>
      </c>
      <c r="G139" s="112">
        <f t="shared" si="23"/>
        <v>63</v>
      </c>
      <c r="H139" s="112">
        <f t="shared" si="23"/>
        <v>64</v>
      </c>
      <c r="I139" s="112">
        <f t="shared" si="23"/>
        <v>59</v>
      </c>
      <c r="J139" s="111">
        <f t="shared" ref="J139:J147" si="24">SUM(C139:I139)</f>
        <v>452</v>
      </c>
    </row>
    <row r="140" spans="2:10" ht="15" customHeight="1">
      <c r="B140" s="114">
        <v>2020</v>
      </c>
      <c r="C140" s="113">
        <f t="shared" si="22"/>
        <v>72</v>
      </c>
      <c r="D140" s="112">
        <f t="shared" si="23"/>
        <v>66</v>
      </c>
      <c r="E140" s="112">
        <f t="shared" si="23"/>
        <v>66</v>
      </c>
      <c r="F140" s="112">
        <f t="shared" si="23"/>
        <v>70</v>
      </c>
      <c r="G140" s="112">
        <f t="shared" si="23"/>
        <v>60</v>
      </c>
      <c r="H140" s="112">
        <f t="shared" si="23"/>
        <v>62</v>
      </c>
      <c r="I140" s="112">
        <f t="shared" si="23"/>
        <v>63</v>
      </c>
      <c r="J140" s="111">
        <f t="shared" si="24"/>
        <v>459</v>
      </c>
    </row>
    <row r="141" spans="2:10" ht="15" customHeight="1">
      <c r="B141" s="114">
        <v>2021</v>
      </c>
      <c r="C141" s="113">
        <f t="shared" si="22"/>
        <v>72</v>
      </c>
      <c r="D141" s="112">
        <f t="shared" si="23"/>
        <v>72</v>
      </c>
      <c r="E141" s="112">
        <f t="shared" si="23"/>
        <v>65</v>
      </c>
      <c r="F141" s="112">
        <f t="shared" si="23"/>
        <v>64</v>
      </c>
      <c r="G141" s="112">
        <f t="shared" si="23"/>
        <v>69</v>
      </c>
      <c r="H141" s="112">
        <f t="shared" si="23"/>
        <v>59</v>
      </c>
      <c r="I141" s="112">
        <f t="shared" si="23"/>
        <v>61</v>
      </c>
      <c r="J141" s="111">
        <f t="shared" si="24"/>
        <v>462</v>
      </c>
    </row>
    <row r="142" spans="2:10" ht="15" customHeight="1">
      <c r="B142" s="114">
        <v>2022</v>
      </c>
      <c r="C142" s="113">
        <f t="shared" si="22"/>
        <v>60</v>
      </c>
      <c r="D142" s="112">
        <f t="shared" si="23"/>
        <v>72</v>
      </c>
      <c r="E142" s="112">
        <f t="shared" si="23"/>
        <v>71</v>
      </c>
      <c r="F142" s="112">
        <f t="shared" si="23"/>
        <v>63</v>
      </c>
      <c r="G142" s="112">
        <f t="shared" si="23"/>
        <v>63</v>
      </c>
      <c r="H142" s="112">
        <f t="shared" si="23"/>
        <v>68</v>
      </c>
      <c r="I142" s="112">
        <f t="shared" si="23"/>
        <v>58</v>
      </c>
      <c r="J142" s="111">
        <f t="shared" si="24"/>
        <v>455</v>
      </c>
    </row>
    <row r="143" spans="2:10" ht="15" customHeight="1">
      <c r="B143" s="114">
        <v>2023</v>
      </c>
      <c r="C143" s="113">
        <f t="shared" si="22"/>
        <v>72</v>
      </c>
      <c r="D143" s="112">
        <f t="shared" si="23"/>
        <v>60</v>
      </c>
      <c r="E143" s="112">
        <f t="shared" si="23"/>
        <v>71</v>
      </c>
      <c r="F143" s="112">
        <f t="shared" si="23"/>
        <v>69</v>
      </c>
      <c r="G143" s="112">
        <f t="shared" si="23"/>
        <v>62</v>
      </c>
      <c r="H143" s="112">
        <f t="shared" si="23"/>
        <v>62</v>
      </c>
      <c r="I143" s="112">
        <f t="shared" si="23"/>
        <v>67</v>
      </c>
      <c r="J143" s="111">
        <f t="shared" si="24"/>
        <v>463</v>
      </c>
    </row>
    <row r="144" spans="2:10" ht="15" customHeight="1">
      <c r="B144" s="114">
        <v>2024</v>
      </c>
      <c r="C144" s="113">
        <f t="shared" si="22"/>
        <v>72</v>
      </c>
      <c r="D144" s="112">
        <f t="shared" si="23"/>
        <v>72</v>
      </c>
      <c r="E144" s="112">
        <f t="shared" si="23"/>
        <v>60</v>
      </c>
      <c r="F144" s="112">
        <f t="shared" si="23"/>
        <v>69</v>
      </c>
      <c r="G144" s="112">
        <f t="shared" si="23"/>
        <v>68</v>
      </c>
      <c r="H144" s="112">
        <f t="shared" si="23"/>
        <v>61</v>
      </c>
      <c r="I144" s="112">
        <f t="shared" si="23"/>
        <v>61</v>
      </c>
      <c r="J144" s="111">
        <f t="shared" si="24"/>
        <v>463</v>
      </c>
    </row>
    <row r="145" spans="2:16" ht="15" customHeight="1">
      <c r="B145" s="114">
        <v>2025</v>
      </c>
      <c r="C145" s="113">
        <f t="shared" si="22"/>
        <v>72</v>
      </c>
      <c r="D145" s="112">
        <f t="shared" si="23"/>
        <v>72</v>
      </c>
      <c r="E145" s="112">
        <f t="shared" si="23"/>
        <v>71</v>
      </c>
      <c r="F145" s="112">
        <f t="shared" si="23"/>
        <v>58</v>
      </c>
      <c r="G145" s="112">
        <f t="shared" si="23"/>
        <v>69</v>
      </c>
      <c r="H145" s="112">
        <f t="shared" si="23"/>
        <v>68</v>
      </c>
      <c r="I145" s="112">
        <f t="shared" si="23"/>
        <v>60</v>
      </c>
      <c r="J145" s="111">
        <f t="shared" si="24"/>
        <v>470</v>
      </c>
    </row>
    <row r="146" spans="2:16" ht="15" customHeight="1">
      <c r="B146" s="114">
        <v>2026</v>
      </c>
      <c r="C146" s="113">
        <f t="shared" si="22"/>
        <v>72</v>
      </c>
      <c r="D146" s="112">
        <f t="shared" si="23"/>
        <v>72</v>
      </c>
      <c r="E146" s="112">
        <f t="shared" si="23"/>
        <v>71</v>
      </c>
      <c r="F146" s="112">
        <f t="shared" si="23"/>
        <v>69</v>
      </c>
      <c r="G146" s="112">
        <f t="shared" si="23"/>
        <v>57</v>
      </c>
      <c r="H146" s="112">
        <f t="shared" si="23"/>
        <v>68</v>
      </c>
      <c r="I146" s="112">
        <f t="shared" si="23"/>
        <v>66</v>
      </c>
      <c r="J146" s="111">
        <f t="shared" si="24"/>
        <v>475</v>
      </c>
    </row>
    <row r="147" spans="2:16" ht="15" customHeight="1">
      <c r="B147" s="114">
        <v>2027</v>
      </c>
      <c r="C147" s="113">
        <f t="shared" si="22"/>
        <v>72</v>
      </c>
      <c r="D147" s="112">
        <f t="shared" si="23"/>
        <v>72</v>
      </c>
      <c r="E147" s="112">
        <f t="shared" si="23"/>
        <v>71</v>
      </c>
      <c r="F147" s="112">
        <f t="shared" si="23"/>
        <v>69</v>
      </c>
      <c r="G147" s="112">
        <f t="shared" si="23"/>
        <v>68</v>
      </c>
      <c r="H147" s="112">
        <f t="shared" si="23"/>
        <v>56</v>
      </c>
      <c r="I147" s="112">
        <f t="shared" si="23"/>
        <v>66</v>
      </c>
      <c r="J147" s="111">
        <f t="shared" si="24"/>
        <v>474</v>
      </c>
    </row>
    <row r="148" spans="2:16" ht="15" customHeight="1">
      <c r="B148" s="114">
        <v>2028</v>
      </c>
      <c r="C148" s="113">
        <f t="shared" si="22"/>
        <v>72</v>
      </c>
      <c r="D148" s="112">
        <f t="shared" si="23"/>
        <v>72</v>
      </c>
      <c r="E148" s="112">
        <f t="shared" si="23"/>
        <v>71</v>
      </c>
      <c r="F148" s="112">
        <f t="shared" si="23"/>
        <v>69</v>
      </c>
      <c r="G148" s="112">
        <f t="shared" si="23"/>
        <v>68</v>
      </c>
      <c r="H148" s="112">
        <f t="shared" si="23"/>
        <v>67</v>
      </c>
      <c r="I148" s="112">
        <f t="shared" si="23"/>
        <v>54</v>
      </c>
      <c r="J148" s="111">
        <f t="shared" ref="J148:J152" si="25">SUM(C148:I148)</f>
        <v>473</v>
      </c>
    </row>
    <row r="149" spans="2:16" ht="15" customHeight="1">
      <c r="B149" s="114">
        <v>2029</v>
      </c>
      <c r="C149" s="113">
        <f t="shared" si="22"/>
        <v>72</v>
      </c>
      <c r="D149" s="112">
        <f t="shared" si="23"/>
        <v>72</v>
      </c>
      <c r="E149" s="112">
        <f t="shared" si="23"/>
        <v>71</v>
      </c>
      <c r="F149" s="112">
        <f t="shared" si="23"/>
        <v>69</v>
      </c>
      <c r="G149" s="112">
        <f t="shared" si="23"/>
        <v>68</v>
      </c>
      <c r="H149" s="112">
        <f t="shared" si="23"/>
        <v>67</v>
      </c>
      <c r="I149" s="112">
        <f t="shared" si="23"/>
        <v>65</v>
      </c>
      <c r="J149" s="111">
        <f t="shared" si="25"/>
        <v>484</v>
      </c>
    </row>
    <row r="150" spans="2:16" ht="15" customHeight="1">
      <c r="B150" s="114">
        <v>2030</v>
      </c>
      <c r="C150" s="113">
        <f t="shared" si="22"/>
        <v>72</v>
      </c>
      <c r="D150" s="112">
        <f t="shared" si="23"/>
        <v>72</v>
      </c>
      <c r="E150" s="112">
        <f t="shared" si="23"/>
        <v>71</v>
      </c>
      <c r="F150" s="112">
        <f t="shared" si="23"/>
        <v>69</v>
      </c>
      <c r="G150" s="112">
        <f t="shared" si="23"/>
        <v>68</v>
      </c>
      <c r="H150" s="112">
        <f t="shared" si="23"/>
        <v>67</v>
      </c>
      <c r="I150" s="112">
        <f t="shared" si="23"/>
        <v>65</v>
      </c>
      <c r="J150" s="111">
        <f t="shared" si="25"/>
        <v>484</v>
      </c>
    </row>
    <row r="151" spans="2:16" ht="15" customHeight="1">
      <c r="B151" s="114">
        <v>2031</v>
      </c>
      <c r="C151" s="113">
        <f t="shared" si="22"/>
        <v>72</v>
      </c>
      <c r="D151" s="112">
        <f t="shared" si="23"/>
        <v>72</v>
      </c>
      <c r="E151" s="112">
        <f t="shared" si="23"/>
        <v>71</v>
      </c>
      <c r="F151" s="112">
        <f t="shared" si="23"/>
        <v>69</v>
      </c>
      <c r="G151" s="112">
        <f t="shared" si="23"/>
        <v>68</v>
      </c>
      <c r="H151" s="112">
        <f t="shared" si="23"/>
        <v>67</v>
      </c>
      <c r="I151" s="112">
        <f t="shared" si="23"/>
        <v>65</v>
      </c>
      <c r="J151" s="111">
        <f t="shared" si="25"/>
        <v>484</v>
      </c>
    </row>
    <row r="152" spans="2:16" ht="15" customHeight="1">
      <c r="B152" s="114">
        <v>2032</v>
      </c>
      <c r="C152" s="113">
        <f t="shared" si="22"/>
        <v>72</v>
      </c>
      <c r="D152" s="112">
        <f t="shared" si="23"/>
        <v>72</v>
      </c>
      <c r="E152" s="112">
        <f t="shared" si="23"/>
        <v>71</v>
      </c>
      <c r="F152" s="112">
        <f t="shared" si="23"/>
        <v>69</v>
      </c>
      <c r="G152" s="112">
        <f t="shared" si="23"/>
        <v>68</v>
      </c>
      <c r="H152" s="112">
        <f t="shared" si="23"/>
        <v>67</v>
      </c>
      <c r="I152" s="112">
        <f t="shared" si="23"/>
        <v>65</v>
      </c>
      <c r="J152" s="111">
        <f t="shared" si="25"/>
        <v>484</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452</v>
      </c>
      <c r="D159" s="108">
        <f>J140</f>
        <v>459</v>
      </c>
      <c r="E159" s="108">
        <f>J141</f>
        <v>462</v>
      </c>
      <c r="F159" s="108">
        <f>J142</f>
        <v>455</v>
      </c>
      <c r="G159" s="108">
        <f>J143</f>
        <v>463</v>
      </c>
      <c r="H159" s="108">
        <f>J144</f>
        <v>463</v>
      </c>
      <c r="I159" s="108">
        <f>J145</f>
        <v>470</v>
      </c>
      <c r="J159" s="108">
        <f>J146</f>
        <v>475</v>
      </c>
      <c r="K159" s="108">
        <f>J147</f>
        <v>474</v>
      </c>
      <c r="L159" s="108">
        <f>J148</f>
        <v>473</v>
      </c>
      <c r="M159" s="108">
        <f>J149</f>
        <v>484</v>
      </c>
      <c r="N159" s="108">
        <f>J150</f>
        <v>484</v>
      </c>
      <c r="O159" s="108">
        <f>J151</f>
        <v>484</v>
      </c>
      <c r="P159" s="108">
        <f>J152</f>
        <v>484</v>
      </c>
    </row>
    <row r="160" spans="2:16" ht="15" customHeight="1">
      <c r="B160" s="107" t="s">
        <v>152</v>
      </c>
      <c r="C160" s="106">
        <f>VLOOKUP(C159,Capacity!$A$1:$C$645,2,TRUE)</f>
        <v>16</v>
      </c>
      <c r="D160" s="106">
        <f>VLOOKUP(D159,Capacity!$A$1:$C$645,2,TRUE)</f>
        <v>16</v>
      </c>
      <c r="E160" s="106">
        <f>VLOOKUP(E159,Capacity!$A$1:$C$645,2,TRUE)</f>
        <v>16</v>
      </c>
      <c r="F160" s="106">
        <f>VLOOKUP(F159,Capacity!$A$1:$C$645,2,TRUE)</f>
        <v>16</v>
      </c>
      <c r="G160" s="106">
        <f>VLOOKUP(G159,Capacity!$A$1:$C$645,2,TRUE)</f>
        <v>17</v>
      </c>
      <c r="H160" s="106">
        <f>VLOOKUP(H159,Capacity!$A$1:$C$645,2,TRUE)</f>
        <v>17</v>
      </c>
      <c r="I160" s="106">
        <f>VLOOKUP(I159,Capacity!$A$1:$C$645,2,TRUE)</f>
        <v>17</v>
      </c>
      <c r="J160" s="106">
        <f>VLOOKUP(J159,Capacity!$A$1:$C$645,2,TRUE)</f>
        <v>17</v>
      </c>
      <c r="K160" s="106">
        <f>VLOOKUP(K159,Capacity!$A$1:$C$645,2,TRUE)</f>
        <v>17</v>
      </c>
      <c r="L160" s="106">
        <f>VLOOKUP(L159,Capacity!$A$1:$C$645,2,TRUE)</f>
        <v>17</v>
      </c>
      <c r="M160" s="106">
        <f>VLOOKUP(M159,Capacity!$A$1:$C$645,2,TRUE)</f>
        <v>18</v>
      </c>
      <c r="N160" s="106">
        <f>VLOOKUP(N159,Capacity!$A$1:$C$645,2,TRUE)</f>
        <v>18</v>
      </c>
      <c r="O160" s="106">
        <f>VLOOKUP(O159,Capacity!$A$1:$C$645,2,TRUE)</f>
        <v>18</v>
      </c>
      <c r="P160" s="106">
        <f>VLOOKUP(P159,Capacity!$A$1:$C$645,2,TRUE)</f>
        <v>18</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64</v>
      </c>
      <c r="D169" s="97">
        <f>VLOOKUP($E$3,'Catchment Births'!$A$1:$U$90,11,FALSE)</f>
        <v>73</v>
      </c>
      <c r="E169" s="97">
        <f>VLOOKUP($E$3,'Catchment Births'!$A$1:$U$90,12,FALSE)</f>
        <v>79</v>
      </c>
      <c r="F169" s="97">
        <f>VLOOKUP($E$3,'Catchment Births'!$A$1:$U$90,13,FALSE)</f>
        <v>93</v>
      </c>
      <c r="G169" s="97">
        <f>VLOOKUP($E$3,'Catchment Births'!$A$1:$U$90,14,FALSE)</f>
        <v>85</v>
      </c>
      <c r="H169" s="97">
        <f>VLOOKUP($E$3,'Catchment Births'!$A$1:$U$90,15,FALSE)</f>
        <v>83</v>
      </c>
      <c r="I169" s="97">
        <f>VLOOKUP($E$3,'Catchment Births'!$A$1:$U$90,16,FALSE)</f>
        <v>92</v>
      </c>
      <c r="J169" s="97">
        <f>VLOOKUP($E$3,'Catchment Births'!$A$1:$U$90,17,FALSE)</f>
        <v>78</v>
      </c>
      <c r="K169" s="97">
        <f>VLOOKUP($E$3,'Catchment Births'!$A$1:$U$90,18,FALSE)</f>
        <v>83</v>
      </c>
      <c r="L169" s="97">
        <f>VLOOKUP($E$3,'Catchment Births'!$A$1:$U$90,19,FALSE)</f>
        <v>64</v>
      </c>
      <c r="M169" s="97">
        <f>VLOOKUP($E$3,'Catchment Births'!$A$1:$U$90,20,FALSE)</f>
        <v>77</v>
      </c>
      <c r="N169" s="97">
        <f>VLOOKUP($E$3,'Catchment Births'!$A$1:$U$90,21,FALSE)</f>
        <v>87</v>
      </c>
    </row>
    <row r="170" spans="2:14" ht="58.5" customHeight="1">
      <c r="B170" s="103" t="str">
        <f>"P1 "&amp;A35&amp;" Catchment Population (Actual)"</f>
        <v>P1 ND Catchment Population (Actual)</v>
      </c>
      <c r="C170" s="102" t="e">
        <v>#REF!</v>
      </c>
      <c r="D170" s="102">
        <v>54</v>
      </c>
      <c r="E170" s="102">
        <v>75</v>
      </c>
      <c r="F170" s="102">
        <v>88</v>
      </c>
      <c r="G170" s="102">
        <v>68</v>
      </c>
      <c r="H170" s="102">
        <v>75</v>
      </c>
      <c r="I170" s="102">
        <v>74</v>
      </c>
      <c r="J170" s="308">
        <f>VLOOKUP(E3,'Catchment Projections'!A1:BU92,42,FALSE)</f>
        <v>66</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74</v>
      </c>
      <c r="J172" s="96" t="e">
        <f>#REF!</f>
        <v>#REF!</v>
      </c>
      <c r="K172" s="96">
        <f>D51</f>
        <v>67</v>
      </c>
      <c r="L172" s="96">
        <f>E51</f>
        <v>75</v>
      </c>
      <c r="M172" s="96">
        <f>F51</f>
        <v>77</v>
      </c>
      <c r="N172" s="96">
        <f>G51</f>
        <v>64</v>
      </c>
    </row>
    <row r="173" spans="2:14" ht="12.75">
      <c r="B173" s="62"/>
      <c r="C173" s="62"/>
      <c r="D173" s="62"/>
      <c r="E173" s="62"/>
      <c r="F173" s="62"/>
      <c r="G173" s="62"/>
      <c r="H173" s="62"/>
      <c r="I173" s="62"/>
      <c r="J173" s="62"/>
      <c r="K173" s="62"/>
    </row>
    <row r="174" spans="2:14" ht="15" customHeight="1">
      <c r="B174" s="64" t="str">
        <f>"Table 5: "&amp;E3&amp;" Roll by Stage, 2002-2018"</f>
        <v>Table 5: Pentland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0</v>
      </c>
      <c r="D177" s="93">
        <v>0</v>
      </c>
      <c r="E177" s="93">
        <v>0</v>
      </c>
      <c r="F177" s="93">
        <v>0</v>
      </c>
      <c r="G177" s="93">
        <v>0</v>
      </c>
      <c r="H177" s="93">
        <v>0</v>
      </c>
      <c r="I177" s="93">
        <v>0</v>
      </c>
      <c r="J177" s="92">
        <v>0</v>
      </c>
      <c r="K177" s="62"/>
    </row>
    <row r="178" spans="2:11" ht="15" customHeight="1">
      <c r="B178" s="94">
        <v>2003</v>
      </c>
      <c r="C178" s="93">
        <v>0</v>
      </c>
      <c r="D178" s="93">
        <v>0</v>
      </c>
      <c r="E178" s="93">
        <v>0</v>
      </c>
      <c r="F178" s="93">
        <v>0</v>
      </c>
      <c r="G178" s="93">
        <v>0</v>
      </c>
      <c r="H178" s="93">
        <v>0</v>
      </c>
      <c r="I178" s="93">
        <v>0</v>
      </c>
      <c r="J178" s="92">
        <v>0</v>
      </c>
      <c r="K178" s="62"/>
    </row>
    <row r="179" spans="2:11" customFormat="1" ht="15" customHeight="1">
      <c r="B179" s="94">
        <v>2004</v>
      </c>
      <c r="C179" s="95">
        <v>0</v>
      </c>
      <c r="D179" s="95">
        <v>0</v>
      </c>
      <c r="E179" s="95">
        <v>0</v>
      </c>
      <c r="F179" s="95">
        <v>0</v>
      </c>
      <c r="G179" s="95">
        <v>0</v>
      </c>
      <c r="H179" s="95">
        <v>0</v>
      </c>
      <c r="I179" s="95">
        <v>0</v>
      </c>
      <c r="J179" s="92">
        <v>0</v>
      </c>
      <c r="K179" s="62"/>
    </row>
    <row r="180" spans="2:11" customFormat="1" ht="15" customHeight="1">
      <c r="B180" s="94">
        <v>2005</v>
      </c>
      <c r="C180" s="93">
        <v>48</v>
      </c>
      <c r="D180" s="93">
        <v>47</v>
      </c>
      <c r="E180" s="93">
        <v>47</v>
      </c>
      <c r="F180" s="93">
        <v>49</v>
      </c>
      <c r="G180" s="93">
        <v>48</v>
      </c>
      <c r="H180" s="93">
        <v>55</v>
      </c>
      <c r="I180" s="93">
        <v>51</v>
      </c>
      <c r="J180" s="92">
        <v>345</v>
      </c>
      <c r="K180" s="62"/>
    </row>
    <row r="181" spans="2:11" customFormat="1" ht="15" customHeight="1">
      <c r="B181" s="94">
        <v>2006</v>
      </c>
      <c r="C181" s="93">
        <v>50</v>
      </c>
      <c r="D181" s="93">
        <v>48</v>
      </c>
      <c r="E181" s="93">
        <v>46</v>
      </c>
      <c r="F181" s="93">
        <v>46</v>
      </c>
      <c r="G181" s="93">
        <v>46</v>
      </c>
      <c r="H181" s="93">
        <v>48</v>
      </c>
      <c r="I181" s="93">
        <v>47</v>
      </c>
      <c r="J181" s="92">
        <v>331</v>
      </c>
      <c r="K181" s="62"/>
    </row>
    <row r="182" spans="2:11" customFormat="1" ht="15" customHeight="1">
      <c r="B182" s="94">
        <v>2007</v>
      </c>
      <c r="C182" s="93">
        <v>47</v>
      </c>
      <c r="D182" s="93">
        <v>45</v>
      </c>
      <c r="E182" s="93">
        <v>48</v>
      </c>
      <c r="F182" s="93">
        <v>50</v>
      </c>
      <c r="G182" s="93">
        <v>45</v>
      </c>
      <c r="H182" s="93">
        <v>46</v>
      </c>
      <c r="I182" s="93">
        <v>45</v>
      </c>
      <c r="J182" s="92">
        <v>326</v>
      </c>
      <c r="K182" s="62"/>
    </row>
    <row r="183" spans="2:11" customFormat="1" ht="15" customHeight="1">
      <c r="B183" s="94">
        <v>2008</v>
      </c>
      <c r="C183" s="93">
        <v>56</v>
      </c>
      <c r="D183" s="93">
        <v>46</v>
      </c>
      <c r="E183" s="93">
        <v>46</v>
      </c>
      <c r="F183" s="93">
        <v>44</v>
      </c>
      <c r="G183" s="93">
        <v>46</v>
      </c>
      <c r="H183" s="93">
        <v>42</v>
      </c>
      <c r="I183" s="93">
        <v>46</v>
      </c>
      <c r="J183" s="92">
        <v>326</v>
      </c>
      <c r="K183" s="62"/>
    </row>
    <row r="184" spans="2:11" customFormat="1" ht="15" customHeight="1">
      <c r="B184" s="94">
        <v>2009</v>
      </c>
      <c r="C184" s="93">
        <v>59</v>
      </c>
      <c r="D184" s="93">
        <v>51</v>
      </c>
      <c r="E184" s="93">
        <v>48</v>
      </c>
      <c r="F184" s="93">
        <v>46</v>
      </c>
      <c r="G184" s="93">
        <v>44</v>
      </c>
      <c r="H184" s="93">
        <v>44</v>
      </c>
      <c r="I184" s="93">
        <v>42</v>
      </c>
      <c r="J184" s="94">
        <v>334</v>
      </c>
      <c r="K184" s="62"/>
    </row>
    <row r="185" spans="2:11" customFormat="1" ht="15" customHeight="1">
      <c r="B185" s="94">
        <v>2010</v>
      </c>
      <c r="C185" s="93">
        <v>58</v>
      </c>
      <c r="D185" s="93">
        <v>58</v>
      </c>
      <c r="E185" s="93">
        <v>46</v>
      </c>
      <c r="F185" s="93">
        <v>46</v>
      </c>
      <c r="G185" s="93">
        <v>45</v>
      </c>
      <c r="H185" s="93">
        <v>43</v>
      </c>
      <c r="I185" s="93">
        <v>43</v>
      </c>
      <c r="J185" s="92">
        <v>339</v>
      </c>
      <c r="K185" s="62"/>
    </row>
    <row r="186" spans="2:11" customFormat="1" ht="15" customHeight="1">
      <c r="B186" s="94">
        <v>2011</v>
      </c>
      <c r="C186" s="93">
        <v>71</v>
      </c>
      <c r="D186" s="93">
        <v>58</v>
      </c>
      <c r="E186" s="93">
        <v>55</v>
      </c>
      <c r="F186" s="93">
        <v>44</v>
      </c>
      <c r="G186" s="93">
        <v>51</v>
      </c>
      <c r="H186" s="93">
        <v>44</v>
      </c>
      <c r="I186" s="93">
        <v>45</v>
      </c>
      <c r="J186" s="92">
        <v>368</v>
      </c>
      <c r="K186" s="62"/>
    </row>
    <row r="187" spans="2:11" customFormat="1" ht="15" customHeight="1">
      <c r="B187" s="94">
        <v>2012</v>
      </c>
      <c r="C187" s="93">
        <v>73</v>
      </c>
      <c r="D187" s="93">
        <v>68</v>
      </c>
      <c r="E187" s="93">
        <v>55</v>
      </c>
      <c r="F187" s="93">
        <v>52</v>
      </c>
      <c r="G187" s="93">
        <v>41</v>
      </c>
      <c r="H187" s="93">
        <v>47</v>
      </c>
      <c r="I187" s="93">
        <v>42</v>
      </c>
      <c r="J187" s="92">
        <v>378</v>
      </c>
      <c r="K187" s="62"/>
    </row>
    <row r="188" spans="2:11" customFormat="1" ht="15" customHeight="1">
      <c r="B188" s="94">
        <v>2013</v>
      </c>
      <c r="C188" s="93">
        <v>65</v>
      </c>
      <c r="D188" s="93">
        <v>74</v>
      </c>
      <c r="E188" s="93">
        <v>69</v>
      </c>
      <c r="F188" s="93">
        <v>55</v>
      </c>
      <c r="G188" s="93">
        <v>52</v>
      </c>
      <c r="H188" s="93">
        <v>42</v>
      </c>
      <c r="I188" s="93">
        <v>48</v>
      </c>
      <c r="J188" s="94">
        <v>405</v>
      </c>
      <c r="K188" s="62"/>
    </row>
    <row r="189" spans="2:11" customFormat="1" ht="15" customHeight="1">
      <c r="B189" s="94">
        <v>2014</v>
      </c>
      <c r="C189" s="93">
        <v>66</v>
      </c>
      <c r="D189" s="93">
        <v>66</v>
      </c>
      <c r="E189" s="93">
        <v>73</v>
      </c>
      <c r="F189" s="93">
        <v>66</v>
      </c>
      <c r="G189" s="93">
        <v>53</v>
      </c>
      <c r="H189" s="93">
        <v>53</v>
      </c>
      <c r="I189" s="93">
        <v>41</v>
      </c>
      <c r="J189" s="92">
        <v>418</v>
      </c>
      <c r="K189" s="65"/>
    </row>
    <row r="190" spans="2:11" customFormat="1" ht="15" customHeight="1">
      <c r="B190" s="94">
        <v>2015</v>
      </c>
      <c r="C190" s="93">
        <v>72</v>
      </c>
      <c r="D190" s="93">
        <v>66</v>
      </c>
      <c r="E190" s="93">
        <v>64</v>
      </c>
      <c r="F190" s="93">
        <v>73</v>
      </c>
      <c r="G190" s="93">
        <v>64</v>
      </c>
      <c r="H190" s="93">
        <v>51</v>
      </c>
      <c r="I190" s="93">
        <v>47</v>
      </c>
      <c r="J190" s="92">
        <v>437</v>
      </c>
      <c r="K190" s="65"/>
    </row>
    <row r="191" spans="2:11" customFormat="1" ht="15" customHeight="1">
      <c r="B191" s="94">
        <v>2016</v>
      </c>
      <c r="C191" s="93">
        <v>63</v>
      </c>
      <c r="D191" s="93">
        <v>70</v>
      </c>
      <c r="E191" s="93">
        <v>65</v>
      </c>
      <c r="F191" s="93">
        <v>61</v>
      </c>
      <c r="G191" s="93">
        <v>76</v>
      </c>
      <c r="H191" s="93">
        <v>65</v>
      </c>
      <c r="I191" s="93">
        <v>52</v>
      </c>
      <c r="J191" s="92">
        <v>452</v>
      </c>
      <c r="K191" s="65"/>
    </row>
    <row r="192" spans="2:11" ht="15" customHeight="1">
      <c r="B192" s="94">
        <v>2017</v>
      </c>
      <c r="C192" s="93">
        <f>VLOOKUP($E$3,Rolls!A1:FA90,42,FALSE)</f>
        <v>71</v>
      </c>
      <c r="D192" s="93">
        <f>VLOOKUP($E$3,Rolls!A1:FA90,43,FALSE)</f>
        <v>63</v>
      </c>
      <c r="E192" s="93">
        <f>VLOOKUP($E$3,Rolls!A1:FA90,44,FALSE)</f>
        <v>66</v>
      </c>
      <c r="F192" s="93">
        <f>VLOOKUP($E$3,Rolls!A1:FA90,45,FALSE)</f>
        <v>66</v>
      </c>
      <c r="G192" s="93">
        <f>VLOOKUP($E$3,Rolls!A1:FA90,46,FALSE)</f>
        <v>61</v>
      </c>
      <c r="H192" s="93">
        <f>VLOOKUP($E$3,Rolls!A1:FA90,47,FALSE)</f>
        <v>71</v>
      </c>
      <c r="I192" s="93">
        <f>VLOOKUP($E$3,Rolls!A1:FA90,48,FALSE)</f>
        <v>64</v>
      </c>
      <c r="J192" s="92">
        <f>VLOOKUP($E$3,Rolls!A1:FA90,49,FALSE)</f>
        <v>462</v>
      </c>
      <c r="K192" s="65"/>
    </row>
    <row r="193" spans="2:11" ht="15" customHeight="1">
      <c r="B193" s="94">
        <v>2018</v>
      </c>
      <c r="C193" s="93">
        <f>VLOOKUP($E$3,Rolls!A1:FA90,50,FALSE)</f>
        <v>67</v>
      </c>
      <c r="D193" s="93">
        <f>VLOOKUP($E$3,Rolls!A1:FA90,51,FALSE)</f>
        <v>73</v>
      </c>
      <c r="E193" s="93">
        <f>VLOOKUP($E$3,Rolls!A1:FA90,52,FALSE)</f>
        <v>63</v>
      </c>
      <c r="F193" s="93">
        <f>VLOOKUP($E$3,Rolls!A1:FA90,53,FALSE)</f>
        <v>64</v>
      </c>
      <c r="G193" s="93">
        <f>VLOOKUP($E$3,Rolls!A1:FA90,54,FALSE)</f>
        <v>65</v>
      </c>
      <c r="H193" s="93">
        <f>VLOOKUP($E$3,Rolls!A1:FA90,55,FALSE)</f>
        <v>60</v>
      </c>
      <c r="I193" s="93">
        <f>VLOOKUP($E$3,Rolls!A1:FA90,56,FALSE)</f>
        <v>72</v>
      </c>
      <c r="J193" s="92">
        <f>VLOOKUP($E$3,Rolls!A1:FA90,57,FALSE)</f>
        <v>464</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55</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Pirniehall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329 Pupils (13 classes)</v>
      </c>
      <c r="G12" s="16"/>
      <c r="H12" s="16"/>
    </row>
    <row r="13" spans="2:10" ht="15" customHeight="1">
      <c r="C13" s="16"/>
      <c r="D13" s="16"/>
      <c r="E13" s="16"/>
      <c r="F13" s="16"/>
      <c r="G13" s="16"/>
      <c r="H13" s="16"/>
    </row>
    <row r="14" spans="2:10" ht="15" customHeight="1">
      <c r="B14" s="15" t="str">
        <f>"Figure 1: "&amp;E3&amp;" Roll, 2002-2015"</f>
        <v>Figure 1: Pirniehall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Pirniehall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202"/>
      <c r="E47" s="202"/>
      <c r="F47" s="202"/>
      <c r="G47" s="202"/>
      <c r="H47" s="202"/>
      <c r="I47" s="203"/>
      <c r="J47" s="203"/>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32</v>
      </c>
      <c r="E49" s="108">
        <f>VLOOKUP($E$3,'Catchment Projections'!$A$1:$BU$90,46,FALSE)</f>
        <v>45</v>
      </c>
      <c r="F49" s="108">
        <f>VLOOKUP($E$3,'Catchment Projections'!$A$1:$BU$90,47,FALSE)</f>
        <v>35</v>
      </c>
      <c r="G49" s="108">
        <f>VLOOKUP($E$3,'Catchment Projections'!$A$1:$BU$90,48,FALSE)</f>
        <v>43</v>
      </c>
      <c r="H49" s="133">
        <f>VLOOKUP($E$3,'Catchment Projections'!$A$1:$BU$90,49,FALSE)</f>
        <v>41</v>
      </c>
      <c r="I49" s="133">
        <f>VLOOKUP($E$3,'Catchment Projections'!$A$1:$BU$90,50,FALSE)</f>
        <v>42</v>
      </c>
      <c r="J49" s="133">
        <f>VLOOKUP($E$3,'Catchment Projections'!$A$1:$BU$90,51,FALSE)</f>
        <v>43</v>
      </c>
      <c r="K49" s="133">
        <f>VLOOKUP($E$3,'Catchment Projections'!$A$1:$BU$90,52,FALSE)</f>
        <v>43</v>
      </c>
      <c r="L49" s="133">
        <f>VLOOKUP($E$3,'Catchment Projections'!$A$1:$BU$90,53,FALSE)</f>
        <v>43</v>
      </c>
      <c r="M49" s="133">
        <f>VLOOKUP($E$3,'Catchment Projections'!$A$1:$BU$90,54,FALSE)</f>
        <v>43</v>
      </c>
      <c r="N49" s="133">
        <f>VLOOKUP($E$3,'Catchment Projections'!$A$1:$BU$90,55,FALSE)</f>
        <v>43</v>
      </c>
      <c r="O49" s="133">
        <f>VLOOKUP($E$3,'Catchment Projections'!$A$1:$BU$90,56,FALSE)</f>
        <v>43</v>
      </c>
      <c r="P49" s="133">
        <f>VLOOKUP($E$3,'Catchment Projections'!$A$1:$BU$90,57,FALSE)</f>
        <v>43</v>
      </c>
      <c r="Q49" s="133">
        <f>VLOOKUP($E$3,'Catchment Projections'!$A$1:$BU$90,58,FALSE)</f>
        <v>43</v>
      </c>
    </row>
    <row r="50" spans="2:17" ht="15" customHeight="1" thickBot="1">
      <c r="B50" s="410" t="s">
        <v>141</v>
      </c>
      <c r="C50" s="411"/>
      <c r="D50" s="286">
        <f>VLOOKUP(E3,'Housing Generation'!$A$3:$DQ$90,10,FALSE)</f>
        <v>0</v>
      </c>
      <c r="E50" s="286">
        <f>VLOOKUP(E3,'Housing Generation'!$A$3:$DQ$90,18,FALSE)</f>
        <v>0</v>
      </c>
      <c r="F50" s="286">
        <f>VLOOKUP(E3,'Housing Generation'!$A$3:$DQ$90,26,FALSE)</f>
        <v>0</v>
      </c>
      <c r="G50" s="243">
        <f>VLOOKUP(E3,'Housing Generation'!$A$3:$DQ$90,34,FALSE)</f>
        <v>1</v>
      </c>
      <c r="H50" s="133">
        <f>VLOOKUP(E3,'Housing Generation'!$A$3:$DQ$90,42,FALSE)</f>
        <v>2</v>
      </c>
      <c r="I50" s="133">
        <f>VLOOKUP(E3,'Housing Generation'!$A$3:$DQ$90,50,FALSE)</f>
        <v>5</v>
      </c>
      <c r="J50" s="133">
        <f>VLOOKUP(E3,'Housing Generation'!$A$3:$CK$90,58,FALSE)</f>
        <v>9</v>
      </c>
      <c r="K50" s="133">
        <f>VLOOKUP(E3,'Housing Generation'!$A$3:$CK$90,66,FALSE)</f>
        <v>12</v>
      </c>
      <c r="L50" s="133">
        <f>VLOOKUP(E3,'Housing Generation'!$A$3:$DQ$90,74,FALSE)</f>
        <v>15</v>
      </c>
      <c r="M50" s="133">
        <f>VLOOKUP(E3,'Housing Generation'!$A$3:$DQ$90,82,FALSE)</f>
        <v>18</v>
      </c>
      <c r="N50" s="133">
        <f>VLOOKUP(E3,'Housing Generation'!$A$3:$DQ$90,90,FALSE)</f>
        <v>19</v>
      </c>
      <c r="O50" s="133">
        <f>VLOOKUP(E3,'Housing Generation'!$A$3:$DQ$90,98,FALSE)</f>
        <v>20</v>
      </c>
      <c r="P50" s="133">
        <f>VLOOKUP(E3,'Housing Generation'!$A$3:$DQ$90,106,FALSE)</f>
        <v>21</v>
      </c>
      <c r="Q50" s="133">
        <f>VLOOKUP(E3,'Housing Generation'!$A$3:$DQ$90,114,FALSE)</f>
        <v>22</v>
      </c>
    </row>
    <row r="51" spans="2:17" ht="15" customHeight="1" thickTop="1">
      <c r="B51" s="421" t="s">
        <v>130</v>
      </c>
      <c r="C51" s="422"/>
      <c r="D51" s="47">
        <f t="shared" ref="D51:Q51" si="0">SUM(D49:D50)</f>
        <v>32</v>
      </c>
      <c r="E51" s="47">
        <f t="shared" si="0"/>
        <v>45</v>
      </c>
      <c r="F51" s="80">
        <f t="shared" si="0"/>
        <v>35</v>
      </c>
      <c r="G51" s="244">
        <f t="shared" si="0"/>
        <v>44</v>
      </c>
      <c r="H51" s="71">
        <f t="shared" si="0"/>
        <v>43</v>
      </c>
      <c r="I51" s="71">
        <f t="shared" si="0"/>
        <v>47</v>
      </c>
      <c r="J51" s="71">
        <f t="shared" si="0"/>
        <v>52</v>
      </c>
      <c r="K51" s="71">
        <f t="shared" si="0"/>
        <v>55</v>
      </c>
      <c r="L51" s="71">
        <f t="shared" si="0"/>
        <v>58</v>
      </c>
      <c r="M51" s="71">
        <f t="shared" si="0"/>
        <v>61</v>
      </c>
      <c r="N51" s="71">
        <f t="shared" si="0"/>
        <v>62</v>
      </c>
      <c r="O51" s="71">
        <f t="shared" si="0"/>
        <v>63</v>
      </c>
      <c r="P51" s="71">
        <f t="shared" si="0"/>
        <v>64</v>
      </c>
      <c r="Q51" s="71">
        <f t="shared" si="0"/>
        <v>65</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28</v>
      </c>
      <c r="D60" s="358">
        <f>VLOOKUP($E$3,'Catchment Projections'!$A$1:$BZ$90,74,FALSE)</f>
        <v>16</v>
      </c>
      <c r="E60" s="303">
        <f>D60/C60</f>
        <v>0.5714285714285714</v>
      </c>
      <c r="G60" s="132">
        <v>2014</v>
      </c>
      <c r="H60" s="395">
        <f>VLOOKUP($G$60,$B$177:$C$215, 2, FALSE)</f>
        <v>37</v>
      </c>
      <c r="I60" s="120">
        <f>H60-D60</f>
        <v>21</v>
      </c>
      <c r="J60" s="121">
        <f>I60/H60</f>
        <v>0.56756756756756754</v>
      </c>
    </row>
    <row r="61" spans="2:17" ht="15" customHeight="1">
      <c r="B61" s="132">
        <v>2015</v>
      </c>
      <c r="C61" s="359">
        <f>VLOOKUP($E$3,'Catchment Projections'!$A$1:$BZ$90,41,FALSE)</f>
        <v>26</v>
      </c>
      <c r="D61" s="358">
        <f>VLOOKUP($E$3,'Catchment Projections'!$A$1:$BZ$90,75,FALSE)</f>
        <v>20</v>
      </c>
      <c r="E61" s="303">
        <f>D61/C61</f>
        <v>0.76923076923076927</v>
      </c>
      <c r="G61" s="132">
        <v>2015</v>
      </c>
      <c r="H61" s="395">
        <f>VLOOKUP($G$61,$B$177:$C$215, 2, FALSE)</f>
        <v>43</v>
      </c>
      <c r="I61" s="120">
        <f>H61-D61</f>
        <v>23</v>
      </c>
      <c r="J61" s="121">
        <f>I61/H61</f>
        <v>0.53488372093023251</v>
      </c>
    </row>
    <row r="62" spans="2:17" ht="15" customHeight="1">
      <c r="B62" s="131">
        <v>2016</v>
      </c>
      <c r="C62" s="359">
        <f>VLOOKUP($E$3,'Catchment Projections'!$A$1:$BZ$90,42,FALSE)</f>
        <v>42</v>
      </c>
      <c r="D62" s="358">
        <f>VLOOKUP($E$3,'Catchment Projections'!$A$1:$BZ$90,76,FALSE)</f>
        <v>30</v>
      </c>
      <c r="E62" s="57">
        <f>D62/C62</f>
        <v>0.7142857142857143</v>
      </c>
      <c r="G62" s="131">
        <v>2016</v>
      </c>
      <c r="H62" s="395">
        <f>VLOOKUP($G$62,$B$177:$C$215, 2, FALSE)</f>
        <v>51</v>
      </c>
      <c r="I62" s="120">
        <f>H62-D62</f>
        <v>21</v>
      </c>
      <c r="J62" s="121">
        <f>I62/H62</f>
        <v>0.41176470588235292</v>
      </c>
    </row>
    <row r="63" spans="2:17" ht="15" customHeight="1">
      <c r="B63" s="114">
        <v>2017</v>
      </c>
      <c r="C63" s="359">
        <f>VLOOKUP($E$3,'Catchment Projections'!$A$1:$BZ$90,43,FALSE)</f>
        <v>31</v>
      </c>
      <c r="D63" s="358">
        <f>VLOOKUP($E$3,'Catchment Projections'!$A$1:$BZ$90,77,FALSE)</f>
        <v>23</v>
      </c>
      <c r="E63" s="304">
        <f>D63/C63</f>
        <v>0.74193548387096775</v>
      </c>
      <c r="G63" s="114">
        <v>2017</v>
      </c>
      <c r="H63" s="395">
        <f>VLOOKUP($G$63,$B$177:$C$215, 2, FALSE)</f>
        <v>41</v>
      </c>
      <c r="I63" s="120">
        <f>H63-D63</f>
        <v>18</v>
      </c>
      <c r="J63" s="121">
        <f>I63/H63</f>
        <v>0.43902439024390244</v>
      </c>
    </row>
    <row r="64" spans="2:17" ht="15" customHeight="1">
      <c r="B64" s="114">
        <v>2018</v>
      </c>
      <c r="C64" s="359">
        <f>VLOOKUP($E$3,'Catchment Projections'!$A$1:$BZ$90,44,FALSE)</f>
        <v>48</v>
      </c>
      <c r="D64" s="358">
        <f>VLOOKUP($E$3,'Catchment Projections'!$A$1:$BZ$90,78,FALSE)</f>
        <v>34</v>
      </c>
      <c r="E64" s="305">
        <f>D64/C64</f>
        <v>0.70833333333333337</v>
      </c>
      <c r="G64" s="114">
        <v>2018</v>
      </c>
      <c r="H64" s="395">
        <f>VLOOKUP($G$64,$B$177:$C$215, 2, FALSE)</f>
        <v>56</v>
      </c>
      <c r="I64" s="120">
        <f>H64-D64</f>
        <v>22</v>
      </c>
      <c r="J64" s="121">
        <f>I64/H64</f>
        <v>0.39285714285714285</v>
      </c>
    </row>
    <row r="65" spans="2:10" ht="15" customHeight="1">
      <c r="B65" s="412" t="s">
        <v>136</v>
      </c>
      <c r="C65" s="413"/>
      <c r="D65" s="414"/>
      <c r="E65" s="137">
        <f>IF((AVERAGE(E62:E64))="#DIV/0!","n/a",(AVERAGE(E62:E64)))</f>
        <v>0.72151817716333844</v>
      </c>
      <c r="G65" s="415" t="s">
        <v>137</v>
      </c>
      <c r="H65" s="416"/>
      <c r="I65" s="138">
        <f>MEDIAN(I60:I64)</f>
        <v>21</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32</v>
      </c>
      <c r="D70" s="408"/>
      <c r="E70" s="122">
        <f>E65</f>
        <v>0.72151817716333844</v>
      </c>
      <c r="F70" s="120">
        <f t="shared" ref="F70:F83" si="1">C70*$E$65</f>
        <v>23.08858166922683</v>
      </c>
      <c r="G70" s="118">
        <f>IF(F70&lt;26,25,IF(F70&gt;135,140,IF(F70&gt;130,135,IF(F70&gt;125,130,IF(F70&gt;120,125,IF(F70&gt;115,120,IF(F70&gt;110,115,IF(F70&gt;105,110,IF(F70&gt;100,105,IF(F70&gt;99,100,IF(F70&gt;90,99,IF(F70&gt;75,90,IF(F70&gt;72,75,IF(F70&gt;66,72,IF(F70&gt;60,66,IF(F70&gt;50,60,IF(F70&gt;30,50,IF(F70&gt;25,30,0))))))))))))))))))</f>
        <v>25</v>
      </c>
      <c r="H70" s="119">
        <f t="shared" ref="H70:H83" si="2">G70-F70</f>
        <v>1.91141833077317</v>
      </c>
      <c r="I70" s="118" t="str">
        <f>IF(I$65&lt;H70, "NO", "YES")</f>
        <v>YES</v>
      </c>
      <c r="J70" s="117">
        <f t="shared" ref="J70:J83" si="3">IF(I70="YES",G70,(MIN((SUM(F70,$I$65)),G70)))</f>
        <v>25</v>
      </c>
    </row>
    <row r="71" spans="2:10" ht="15" customHeight="1">
      <c r="B71" s="114">
        <v>2020</v>
      </c>
      <c r="C71" s="433">
        <f>E51</f>
        <v>45</v>
      </c>
      <c r="D71" s="408"/>
      <c r="E71" s="121">
        <f>E65</f>
        <v>0.72151817716333844</v>
      </c>
      <c r="F71" s="120">
        <f t="shared" si="1"/>
        <v>32.468317972350228</v>
      </c>
      <c r="G71" s="118">
        <f t="shared" ref="G71:G83" si="4">IF(F71&lt;26,25,IF(F71&gt;135,140,IF(F71&gt;130,135,IF(F71&gt;125,130,IF(F71&gt;120,125,IF(F71&gt;115,120,IF(F71&gt;110,115,IF(F71&gt;105,110,IF(F71&gt;100,105,IF(F71&gt;99,100,IF(F71&gt;90,99,IF(F71&gt;75,90,IF(F71&gt;72,75,IF(F71&gt;66,72,IF(F71&gt;60,66,IF(F71&gt;50,60,IF(F71&gt;30,50,IF(F71&gt;25,30,0))))))))))))))))))</f>
        <v>50</v>
      </c>
      <c r="H71" s="119">
        <f t="shared" si="2"/>
        <v>17.531682027649772</v>
      </c>
      <c r="I71" s="118" t="str">
        <f t="shared" ref="I71:I83" si="5">IF(I$65&lt;H71, "NO", "YES")</f>
        <v>YES</v>
      </c>
      <c r="J71" s="117">
        <f t="shared" si="3"/>
        <v>50</v>
      </c>
    </row>
    <row r="72" spans="2:10" ht="15" customHeight="1">
      <c r="B72" s="114">
        <v>2021</v>
      </c>
      <c r="C72" s="430">
        <f>F51</f>
        <v>35</v>
      </c>
      <c r="D72" s="431"/>
      <c r="E72" s="121">
        <f>E65</f>
        <v>0.72151817716333844</v>
      </c>
      <c r="F72" s="120">
        <f t="shared" si="1"/>
        <v>25.253136200716845</v>
      </c>
      <c r="G72" s="118">
        <f t="shared" si="4"/>
        <v>25</v>
      </c>
      <c r="H72" s="119">
        <f t="shared" si="2"/>
        <v>-0.25313620071684539</v>
      </c>
      <c r="I72" s="118" t="str">
        <f t="shared" si="5"/>
        <v>YES</v>
      </c>
      <c r="J72" s="117">
        <f t="shared" si="3"/>
        <v>25</v>
      </c>
    </row>
    <row r="73" spans="2:10" ht="15" customHeight="1">
      <c r="B73" s="114">
        <v>2022</v>
      </c>
      <c r="C73" s="430">
        <f>G51</f>
        <v>44</v>
      </c>
      <c r="D73" s="431"/>
      <c r="E73" s="121">
        <f>E65</f>
        <v>0.72151817716333844</v>
      </c>
      <c r="F73" s="120">
        <f t="shared" si="1"/>
        <v>31.746799795186892</v>
      </c>
      <c r="G73" s="118">
        <f t="shared" si="4"/>
        <v>50</v>
      </c>
      <c r="H73" s="119">
        <f t="shared" si="2"/>
        <v>18.253200204813108</v>
      </c>
      <c r="I73" s="118" t="str">
        <f t="shared" si="5"/>
        <v>YES</v>
      </c>
      <c r="J73" s="117">
        <f t="shared" si="3"/>
        <v>50</v>
      </c>
    </row>
    <row r="74" spans="2:10" ht="15" customHeight="1">
      <c r="B74" s="114">
        <v>2023</v>
      </c>
      <c r="C74" s="430">
        <f>H51</f>
        <v>43</v>
      </c>
      <c r="D74" s="431"/>
      <c r="E74" s="121">
        <f>E65</f>
        <v>0.72151817716333844</v>
      </c>
      <c r="F74" s="120">
        <f t="shared" si="1"/>
        <v>31.025281618023552</v>
      </c>
      <c r="G74" s="118">
        <f t="shared" si="4"/>
        <v>50</v>
      </c>
      <c r="H74" s="119">
        <f t="shared" si="2"/>
        <v>18.974718381976448</v>
      </c>
      <c r="I74" s="118" t="str">
        <f t="shared" si="5"/>
        <v>YES</v>
      </c>
      <c r="J74" s="117">
        <f t="shared" si="3"/>
        <v>50</v>
      </c>
    </row>
    <row r="75" spans="2:10" ht="15" customHeight="1">
      <c r="B75" s="114">
        <v>2024</v>
      </c>
      <c r="C75" s="430">
        <f>I51</f>
        <v>47</v>
      </c>
      <c r="D75" s="431"/>
      <c r="E75" s="121">
        <f>E65</f>
        <v>0.72151817716333844</v>
      </c>
      <c r="F75" s="120">
        <f t="shared" si="1"/>
        <v>33.911354326676907</v>
      </c>
      <c r="G75" s="118">
        <f t="shared" si="4"/>
        <v>50</v>
      </c>
      <c r="H75" s="119">
        <f t="shared" si="2"/>
        <v>16.088645673323093</v>
      </c>
      <c r="I75" s="118" t="str">
        <f t="shared" si="5"/>
        <v>YES</v>
      </c>
      <c r="J75" s="117">
        <f t="shared" si="3"/>
        <v>50</v>
      </c>
    </row>
    <row r="76" spans="2:10" ht="15" customHeight="1">
      <c r="B76" s="114">
        <v>2025</v>
      </c>
      <c r="C76" s="430">
        <f>J51</f>
        <v>52</v>
      </c>
      <c r="D76" s="431"/>
      <c r="E76" s="121">
        <f>E65</f>
        <v>0.72151817716333844</v>
      </c>
      <c r="F76" s="120">
        <f t="shared" si="1"/>
        <v>37.518945212493598</v>
      </c>
      <c r="G76" s="118">
        <f t="shared" si="4"/>
        <v>50</v>
      </c>
      <c r="H76" s="119">
        <f t="shared" si="2"/>
        <v>12.481054787506402</v>
      </c>
      <c r="I76" s="118" t="str">
        <f t="shared" si="5"/>
        <v>YES</v>
      </c>
      <c r="J76" s="117">
        <f t="shared" si="3"/>
        <v>50</v>
      </c>
    </row>
    <row r="77" spans="2:10" ht="15" customHeight="1">
      <c r="B77" s="114">
        <v>2026</v>
      </c>
      <c r="C77" s="430">
        <f>K51</f>
        <v>55</v>
      </c>
      <c r="D77" s="431"/>
      <c r="E77" s="121">
        <f>E65</f>
        <v>0.72151817716333844</v>
      </c>
      <c r="F77" s="120">
        <f t="shared" si="1"/>
        <v>39.683499743983617</v>
      </c>
      <c r="G77" s="118">
        <f t="shared" si="4"/>
        <v>50</v>
      </c>
      <c r="H77" s="119">
        <f t="shared" si="2"/>
        <v>10.316500256016383</v>
      </c>
      <c r="I77" s="118" t="str">
        <f t="shared" si="5"/>
        <v>YES</v>
      </c>
      <c r="J77" s="117">
        <f t="shared" si="3"/>
        <v>50</v>
      </c>
    </row>
    <row r="78" spans="2:10" ht="15" customHeight="1">
      <c r="B78" s="114">
        <v>2027</v>
      </c>
      <c r="C78" s="430">
        <f>L51</f>
        <v>58</v>
      </c>
      <c r="D78" s="431"/>
      <c r="E78" s="121">
        <f>E65</f>
        <v>0.72151817716333844</v>
      </c>
      <c r="F78" s="120">
        <f t="shared" si="1"/>
        <v>41.848054275473629</v>
      </c>
      <c r="G78" s="118">
        <f t="shared" si="4"/>
        <v>50</v>
      </c>
      <c r="H78" s="119">
        <f t="shared" si="2"/>
        <v>8.1519457245263709</v>
      </c>
      <c r="I78" s="118" t="str">
        <f t="shared" si="5"/>
        <v>YES</v>
      </c>
      <c r="J78" s="117">
        <f t="shared" si="3"/>
        <v>50</v>
      </c>
    </row>
    <row r="79" spans="2:10" ht="15" customHeight="1">
      <c r="B79" s="114">
        <v>2028</v>
      </c>
      <c r="C79" s="430">
        <f>M51</f>
        <v>61</v>
      </c>
      <c r="D79" s="431"/>
      <c r="E79" s="121">
        <f t="shared" ref="E79:E83" si="6">$E$65</f>
        <v>0.72151817716333844</v>
      </c>
      <c r="F79" s="120">
        <f t="shared" si="1"/>
        <v>44.012608806963648</v>
      </c>
      <c r="G79" s="118">
        <f t="shared" si="4"/>
        <v>50</v>
      </c>
      <c r="H79" s="119">
        <f t="shared" si="2"/>
        <v>5.9873911930363519</v>
      </c>
      <c r="I79" s="118" t="str">
        <f t="shared" si="5"/>
        <v>YES</v>
      </c>
      <c r="J79" s="117">
        <f t="shared" si="3"/>
        <v>50</v>
      </c>
    </row>
    <row r="80" spans="2:10" ht="15" customHeight="1">
      <c r="B80" s="114">
        <v>2029</v>
      </c>
      <c r="C80" s="430">
        <f>N51</f>
        <v>62</v>
      </c>
      <c r="D80" s="431"/>
      <c r="E80" s="121">
        <f t="shared" si="6"/>
        <v>0.72151817716333844</v>
      </c>
      <c r="F80" s="120">
        <f t="shared" si="1"/>
        <v>44.734126984126981</v>
      </c>
      <c r="G80" s="118">
        <f t="shared" si="4"/>
        <v>50</v>
      </c>
      <c r="H80" s="119">
        <f t="shared" si="2"/>
        <v>5.2658730158730194</v>
      </c>
      <c r="I80" s="118" t="str">
        <f t="shared" si="5"/>
        <v>YES</v>
      </c>
      <c r="J80" s="117">
        <f t="shared" si="3"/>
        <v>50</v>
      </c>
    </row>
    <row r="81" spans="2:10" ht="15" customHeight="1">
      <c r="B81" s="114">
        <v>2030</v>
      </c>
      <c r="C81" s="430">
        <f>O51</f>
        <v>63</v>
      </c>
      <c r="D81" s="431"/>
      <c r="E81" s="121">
        <f t="shared" si="6"/>
        <v>0.72151817716333844</v>
      </c>
      <c r="F81" s="120">
        <f t="shared" si="1"/>
        <v>45.45564516129032</v>
      </c>
      <c r="G81" s="118">
        <f t="shared" si="4"/>
        <v>50</v>
      </c>
      <c r="H81" s="119">
        <f t="shared" si="2"/>
        <v>4.5443548387096797</v>
      </c>
      <c r="I81" s="118" t="str">
        <f t="shared" si="5"/>
        <v>YES</v>
      </c>
      <c r="J81" s="117">
        <f t="shared" si="3"/>
        <v>50</v>
      </c>
    </row>
    <row r="82" spans="2:10" ht="15" customHeight="1">
      <c r="B82" s="114">
        <v>2031</v>
      </c>
      <c r="C82" s="430">
        <f>P51</f>
        <v>64</v>
      </c>
      <c r="D82" s="431"/>
      <c r="E82" s="121">
        <f t="shared" si="6"/>
        <v>0.72151817716333844</v>
      </c>
      <c r="F82" s="120">
        <f t="shared" si="1"/>
        <v>46.17716333845366</v>
      </c>
      <c r="G82" s="118">
        <f t="shared" si="4"/>
        <v>50</v>
      </c>
      <c r="H82" s="119">
        <f t="shared" si="2"/>
        <v>3.8228366615463401</v>
      </c>
      <c r="I82" s="118" t="str">
        <f t="shared" si="5"/>
        <v>YES</v>
      </c>
      <c r="J82" s="117">
        <f t="shared" si="3"/>
        <v>50</v>
      </c>
    </row>
    <row r="83" spans="2:10" ht="15" customHeight="1">
      <c r="B83" s="114">
        <v>2032</v>
      </c>
      <c r="C83" s="430">
        <f>Q51</f>
        <v>65</v>
      </c>
      <c r="D83" s="431"/>
      <c r="E83" s="121">
        <f t="shared" si="6"/>
        <v>0.72151817716333844</v>
      </c>
      <c r="F83" s="120">
        <f t="shared" si="1"/>
        <v>46.898681515617</v>
      </c>
      <c r="G83" s="118">
        <f t="shared" si="4"/>
        <v>50</v>
      </c>
      <c r="H83" s="119">
        <f t="shared" si="2"/>
        <v>3.1013184843830004</v>
      </c>
      <c r="I83" s="118" t="str">
        <f t="shared" si="5"/>
        <v>YES</v>
      </c>
      <c r="J83" s="117">
        <f t="shared" si="3"/>
        <v>50</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Pirniehall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46</v>
      </c>
      <c r="D91" s="112">
        <f t="shared" ref="D91:J91" si="7">D188</f>
        <v>54</v>
      </c>
      <c r="E91" s="112">
        <f t="shared" si="7"/>
        <v>35</v>
      </c>
      <c r="F91" s="112">
        <f t="shared" si="7"/>
        <v>29</v>
      </c>
      <c r="G91" s="112">
        <f t="shared" si="7"/>
        <v>33</v>
      </c>
      <c r="H91" s="112">
        <f t="shared" si="7"/>
        <v>29</v>
      </c>
      <c r="I91" s="112">
        <f t="shared" si="7"/>
        <v>41</v>
      </c>
      <c r="J91" s="213">
        <f t="shared" si="7"/>
        <v>267</v>
      </c>
    </row>
    <row r="92" spans="2:10" ht="15" customHeight="1">
      <c r="B92" s="114">
        <v>2014</v>
      </c>
      <c r="C92" s="112">
        <f>C189</f>
        <v>37</v>
      </c>
      <c r="D92" s="112">
        <f t="shared" ref="D92:J92" si="8">D189</f>
        <v>56</v>
      </c>
      <c r="E92" s="112">
        <f t="shared" si="8"/>
        <v>51</v>
      </c>
      <c r="F92" s="112">
        <f t="shared" si="8"/>
        <v>38</v>
      </c>
      <c r="G92" s="112">
        <f t="shared" si="8"/>
        <v>33</v>
      </c>
      <c r="H92" s="112">
        <f t="shared" si="8"/>
        <v>35</v>
      </c>
      <c r="I92" s="112">
        <f t="shared" si="8"/>
        <v>30</v>
      </c>
      <c r="J92" s="213">
        <f t="shared" si="8"/>
        <v>280</v>
      </c>
    </row>
    <row r="93" spans="2:10" ht="15" customHeight="1">
      <c r="B93" s="114">
        <v>2015</v>
      </c>
      <c r="C93" s="112">
        <f>C190</f>
        <v>43</v>
      </c>
      <c r="D93" s="112">
        <f t="shared" ref="D93:J93" si="9">D190</f>
        <v>42</v>
      </c>
      <c r="E93" s="112">
        <f t="shared" si="9"/>
        <v>51</v>
      </c>
      <c r="F93" s="112">
        <f t="shared" si="9"/>
        <v>49</v>
      </c>
      <c r="G93" s="112">
        <f t="shared" si="9"/>
        <v>34</v>
      </c>
      <c r="H93" s="112">
        <f t="shared" si="9"/>
        <v>33</v>
      </c>
      <c r="I93" s="112">
        <f t="shared" si="9"/>
        <v>37</v>
      </c>
      <c r="J93" s="213">
        <f t="shared" si="9"/>
        <v>289</v>
      </c>
    </row>
    <row r="94" spans="2:10" ht="15" customHeight="1">
      <c r="B94" s="114">
        <v>2016</v>
      </c>
      <c r="C94" s="112">
        <f>C191</f>
        <v>51</v>
      </c>
      <c r="D94" s="112">
        <f t="shared" ref="D94:J94" si="10">D191</f>
        <v>44</v>
      </c>
      <c r="E94" s="112">
        <f t="shared" si="10"/>
        <v>42</v>
      </c>
      <c r="F94" s="112">
        <f t="shared" si="10"/>
        <v>48</v>
      </c>
      <c r="G94" s="112">
        <f t="shared" si="10"/>
        <v>47</v>
      </c>
      <c r="H94" s="112">
        <f t="shared" si="10"/>
        <v>30</v>
      </c>
      <c r="I94" s="112">
        <f t="shared" si="10"/>
        <v>31</v>
      </c>
      <c r="J94" s="213">
        <f t="shared" si="10"/>
        <v>293</v>
      </c>
    </row>
    <row r="95" spans="2:10" ht="15" customHeight="1">
      <c r="B95" s="114">
        <v>2017</v>
      </c>
      <c r="C95" s="112">
        <f>C192</f>
        <v>41</v>
      </c>
      <c r="D95" s="112">
        <f t="shared" ref="D95:J95" si="11">D192</f>
        <v>39</v>
      </c>
      <c r="E95" s="112">
        <f t="shared" si="11"/>
        <v>35</v>
      </c>
      <c r="F95" s="112">
        <f t="shared" si="11"/>
        <v>30</v>
      </c>
      <c r="G95" s="112">
        <f t="shared" si="11"/>
        <v>43</v>
      </c>
      <c r="H95" s="112">
        <f t="shared" si="11"/>
        <v>41</v>
      </c>
      <c r="I95" s="112">
        <f t="shared" si="11"/>
        <v>31</v>
      </c>
      <c r="J95" s="213">
        <f t="shared" si="11"/>
        <v>260</v>
      </c>
    </row>
    <row r="96" spans="2:10" ht="15" customHeight="1">
      <c r="B96" s="307">
        <v>2018</v>
      </c>
      <c r="C96" s="112">
        <f t="shared" ref="C96:J96" si="12">C193</f>
        <v>56</v>
      </c>
      <c r="D96" s="112">
        <f t="shared" si="12"/>
        <v>41</v>
      </c>
      <c r="E96" s="112">
        <f t="shared" si="12"/>
        <v>36</v>
      </c>
      <c r="F96" s="112">
        <f t="shared" si="12"/>
        <v>36</v>
      </c>
      <c r="G96" s="112">
        <f t="shared" si="12"/>
        <v>29</v>
      </c>
      <c r="H96" s="112">
        <f t="shared" si="12"/>
        <v>38</v>
      </c>
      <c r="I96" s="112">
        <f t="shared" si="12"/>
        <v>43</v>
      </c>
      <c r="J96" s="213">
        <f t="shared" si="12"/>
        <v>279</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-2.3255813953488372E-2</v>
      </c>
      <c r="E98" s="210">
        <f t="shared" ref="E98:I98" si="13">MEDIAN(((D91-E92)/D91),((D92-E93)/D92),((D93-E94)/D93),((D94-E95)/D94),((D95-E96)/D95))</f>
        <v>7.6923076923076927E-2</v>
      </c>
      <c r="F98" s="210">
        <f t="shared" si="13"/>
        <v>3.9215686274509803E-2</v>
      </c>
      <c r="G98" s="210">
        <f t="shared" si="13"/>
        <v>4.0816326530612242E-2</v>
      </c>
      <c r="H98" s="210">
        <f t="shared" si="13"/>
        <v>0.11627906976744186</v>
      </c>
      <c r="I98" s="210">
        <f t="shared" si="13"/>
        <v>-3.4482758620689655E-2</v>
      </c>
    </row>
    <row r="99" spans="2:10" ht="18.75">
      <c r="B99" s="59"/>
      <c r="C99" s="60"/>
      <c r="D99" s="61"/>
      <c r="E99" s="61"/>
      <c r="F99" s="61"/>
      <c r="G99" s="61"/>
      <c r="H99" s="61"/>
      <c r="I99" s="61"/>
      <c r="J99" s="58"/>
    </row>
    <row r="100" spans="2:10">
      <c r="B100" s="15" t="str">
        <f>"Table 4B: "&amp;E3&amp;" Projected Roll by Stage (incorporating Projected P1 and Drop-Off Rates), 2019-2032"</f>
        <v>Table 4B: Pirniehall Primary School Projected Roll by Stage (incorporating Projected P1 and Drop-Off Rates), 2019-2032</v>
      </c>
      <c r="F100" s="14"/>
      <c r="G100" s="14"/>
    </row>
    <row r="101" spans="2:10" ht="12.75">
      <c r="F101" s="14"/>
      <c r="G101" s="14"/>
    </row>
    <row r="102" spans="2:10">
      <c r="B102" s="115"/>
      <c r="C102" s="109" t="s">
        <v>1</v>
      </c>
      <c r="D102" s="109" t="s">
        <v>2</v>
      </c>
      <c r="E102" s="109" t="s">
        <v>3</v>
      </c>
      <c r="F102" s="109" t="s">
        <v>4</v>
      </c>
      <c r="G102" s="109" t="s">
        <v>5</v>
      </c>
      <c r="H102" s="109" t="s">
        <v>6</v>
      </c>
      <c r="I102" s="109" t="s">
        <v>7</v>
      </c>
      <c r="J102" s="109" t="s">
        <v>8</v>
      </c>
    </row>
    <row r="103" spans="2:10">
      <c r="B103" s="114">
        <v>2019</v>
      </c>
      <c r="C103" s="113">
        <f t="shared" ref="C103:C116" si="14">J70</f>
        <v>25</v>
      </c>
      <c r="D103" s="324">
        <f>ROUND((C96)-(C96*$D$98),0)</f>
        <v>57</v>
      </c>
      <c r="E103" s="324">
        <f>ROUND((D96)-(D96*$E$98),0)</f>
        <v>38</v>
      </c>
      <c r="F103" s="324">
        <f>ROUND((E96)-(E96*$F$98),0)</f>
        <v>35</v>
      </c>
      <c r="G103" s="324">
        <f>ROUND((F96)-(F96*$G$98),0)</f>
        <v>35</v>
      </c>
      <c r="H103" s="324">
        <f>ROUND((G96)-(G96*$H$98),0)</f>
        <v>26</v>
      </c>
      <c r="I103" s="324">
        <f>ROUND((H96)-(H96*$I$98),0)</f>
        <v>39</v>
      </c>
      <c r="J103" s="111">
        <f t="shared" ref="J103:J116" si="15">SUM(C103:I103)</f>
        <v>255</v>
      </c>
    </row>
    <row r="104" spans="2:10">
      <c r="B104" s="114">
        <v>2020</v>
      </c>
      <c r="C104" s="113">
        <f t="shared" si="14"/>
        <v>50</v>
      </c>
      <c r="D104" s="324">
        <f>ROUND((C103-E50)-(C103*$D$98),0)</f>
        <v>26</v>
      </c>
      <c r="E104" s="112">
        <f t="shared" ref="E104:E116" si="16">ROUND((D103)-(D103*$E$98),0)</f>
        <v>53</v>
      </c>
      <c r="F104" s="112">
        <f t="shared" ref="F104:F116" si="17">ROUND((E103)-(E103*$F$98),0)</f>
        <v>37</v>
      </c>
      <c r="G104" s="112">
        <f t="shared" ref="G104:G116" si="18">ROUND((F103)-(F103*$G$98),0)</f>
        <v>34</v>
      </c>
      <c r="H104" s="112">
        <f t="shared" ref="H104:H116" si="19">ROUND((G103)-(G103*$H$98),0)</f>
        <v>31</v>
      </c>
      <c r="I104" s="112">
        <f t="shared" ref="I104:I116" si="20">ROUND((H103)-(H103*$I$98),0)</f>
        <v>27</v>
      </c>
      <c r="J104" s="111">
        <f t="shared" si="15"/>
        <v>258</v>
      </c>
    </row>
    <row r="105" spans="2:10">
      <c r="B105" s="114">
        <v>2021</v>
      </c>
      <c r="C105" s="113">
        <f t="shared" si="14"/>
        <v>25</v>
      </c>
      <c r="D105" s="324">
        <f>ROUND((C104-F50)-(C104*$D$98),0)</f>
        <v>51</v>
      </c>
      <c r="E105" s="112">
        <f t="shared" si="16"/>
        <v>24</v>
      </c>
      <c r="F105" s="112">
        <f t="shared" si="17"/>
        <v>51</v>
      </c>
      <c r="G105" s="112">
        <f t="shared" si="18"/>
        <v>35</v>
      </c>
      <c r="H105" s="112">
        <f t="shared" si="19"/>
        <v>30</v>
      </c>
      <c r="I105" s="112">
        <f t="shared" si="20"/>
        <v>32</v>
      </c>
      <c r="J105" s="111">
        <f t="shared" si="15"/>
        <v>248</v>
      </c>
    </row>
    <row r="106" spans="2:10">
      <c r="B106" s="114">
        <v>2022</v>
      </c>
      <c r="C106" s="113">
        <f t="shared" si="14"/>
        <v>50</v>
      </c>
      <c r="D106" s="324">
        <f>ROUND((C105-G50)-(C105*$D$98),0)</f>
        <v>25</v>
      </c>
      <c r="E106" s="112">
        <f t="shared" si="16"/>
        <v>47</v>
      </c>
      <c r="F106" s="112">
        <f t="shared" si="17"/>
        <v>23</v>
      </c>
      <c r="G106" s="112">
        <f t="shared" si="18"/>
        <v>49</v>
      </c>
      <c r="H106" s="112">
        <f t="shared" si="19"/>
        <v>31</v>
      </c>
      <c r="I106" s="112">
        <f t="shared" si="20"/>
        <v>31</v>
      </c>
      <c r="J106" s="111">
        <f t="shared" si="15"/>
        <v>256</v>
      </c>
    </row>
    <row r="107" spans="2:10">
      <c r="B107" s="114">
        <v>2023</v>
      </c>
      <c r="C107" s="113">
        <f t="shared" si="14"/>
        <v>50</v>
      </c>
      <c r="D107" s="324">
        <f>ROUND((C106-H50)-(C106*$D$98),0)</f>
        <v>49</v>
      </c>
      <c r="E107" s="112">
        <f t="shared" si="16"/>
        <v>23</v>
      </c>
      <c r="F107" s="112">
        <f t="shared" si="17"/>
        <v>45</v>
      </c>
      <c r="G107" s="112">
        <f t="shared" si="18"/>
        <v>22</v>
      </c>
      <c r="H107" s="112">
        <f t="shared" si="19"/>
        <v>43</v>
      </c>
      <c r="I107" s="112">
        <f t="shared" si="20"/>
        <v>32</v>
      </c>
      <c r="J107" s="111">
        <f t="shared" si="15"/>
        <v>264</v>
      </c>
    </row>
    <row r="108" spans="2:10">
      <c r="B108" s="114">
        <v>2024</v>
      </c>
      <c r="C108" s="113">
        <f t="shared" si="14"/>
        <v>50</v>
      </c>
      <c r="D108" s="324">
        <f>ROUND((C107-I50)-(C107*$D$98),0)</f>
        <v>46</v>
      </c>
      <c r="E108" s="112">
        <f t="shared" si="16"/>
        <v>45</v>
      </c>
      <c r="F108" s="112">
        <f t="shared" si="17"/>
        <v>22</v>
      </c>
      <c r="G108" s="112">
        <f t="shared" si="18"/>
        <v>43</v>
      </c>
      <c r="H108" s="112">
        <f t="shared" si="19"/>
        <v>19</v>
      </c>
      <c r="I108" s="112">
        <f t="shared" si="20"/>
        <v>44</v>
      </c>
      <c r="J108" s="111">
        <f t="shared" si="15"/>
        <v>269</v>
      </c>
    </row>
    <row r="109" spans="2:10">
      <c r="B109" s="114">
        <v>2025</v>
      </c>
      <c r="C109" s="113">
        <f t="shared" si="14"/>
        <v>50</v>
      </c>
      <c r="D109" s="324">
        <f>ROUND((C108-J50)-(C108*$D$98),0)</f>
        <v>42</v>
      </c>
      <c r="E109" s="112">
        <f t="shared" si="16"/>
        <v>42</v>
      </c>
      <c r="F109" s="112">
        <f t="shared" si="17"/>
        <v>43</v>
      </c>
      <c r="G109" s="112">
        <f t="shared" si="18"/>
        <v>21</v>
      </c>
      <c r="H109" s="112">
        <f t="shared" si="19"/>
        <v>38</v>
      </c>
      <c r="I109" s="112">
        <f t="shared" si="20"/>
        <v>20</v>
      </c>
      <c r="J109" s="111">
        <f t="shared" si="15"/>
        <v>256</v>
      </c>
    </row>
    <row r="110" spans="2:10">
      <c r="B110" s="114">
        <v>2026</v>
      </c>
      <c r="C110" s="113">
        <f t="shared" si="14"/>
        <v>50</v>
      </c>
      <c r="D110" s="324">
        <f>ROUND((C109-K50)-(C109*$D$98),0)</f>
        <v>39</v>
      </c>
      <c r="E110" s="112">
        <f t="shared" si="16"/>
        <v>39</v>
      </c>
      <c r="F110" s="112">
        <f t="shared" si="17"/>
        <v>40</v>
      </c>
      <c r="G110" s="112">
        <f t="shared" si="18"/>
        <v>41</v>
      </c>
      <c r="H110" s="112">
        <f t="shared" si="19"/>
        <v>19</v>
      </c>
      <c r="I110" s="112">
        <f t="shared" si="20"/>
        <v>39</v>
      </c>
      <c r="J110" s="111">
        <f t="shared" si="15"/>
        <v>267</v>
      </c>
    </row>
    <row r="111" spans="2:10">
      <c r="B111" s="114">
        <v>2027</v>
      </c>
      <c r="C111" s="113">
        <f t="shared" si="14"/>
        <v>50</v>
      </c>
      <c r="D111" s="324">
        <f>ROUND((C110-L50)-(C110*$D$98),0)</f>
        <v>36</v>
      </c>
      <c r="E111" s="112">
        <f t="shared" si="16"/>
        <v>36</v>
      </c>
      <c r="F111" s="112">
        <f t="shared" si="17"/>
        <v>37</v>
      </c>
      <c r="G111" s="112">
        <f t="shared" si="18"/>
        <v>38</v>
      </c>
      <c r="H111" s="112">
        <f t="shared" si="19"/>
        <v>36</v>
      </c>
      <c r="I111" s="112">
        <f t="shared" si="20"/>
        <v>20</v>
      </c>
      <c r="J111" s="111">
        <f t="shared" si="15"/>
        <v>253</v>
      </c>
    </row>
    <row r="112" spans="2:10">
      <c r="B112" s="114">
        <v>2028</v>
      </c>
      <c r="C112" s="113">
        <f t="shared" si="14"/>
        <v>50</v>
      </c>
      <c r="D112" s="324">
        <f>ROUND((C111-M50)-(C111*$D$98),0)</f>
        <v>33</v>
      </c>
      <c r="E112" s="112">
        <f t="shared" si="16"/>
        <v>33</v>
      </c>
      <c r="F112" s="112">
        <f t="shared" si="17"/>
        <v>35</v>
      </c>
      <c r="G112" s="112">
        <f t="shared" si="18"/>
        <v>35</v>
      </c>
      <c r="H112" s="112">
        <f t="shared" si="19"/>
        <v>34</v>
      </c>
      <c r="I112" s="112">
        <f t="shared" si="20"/>
        <v>37</v>
      </c>
      <c r="J112" s="111">
        <f t="shared" si="15"/>
        <v>257</v>
      </c>
    </row>
    <row r="113" spans="2:10" ht="15" customHeight="1">
      <c r="B113" s="114">
        <v>2029</v>
      </c>
      <c r="C113" s="113">
        <f t="shared" si="14"/>
        <v>50</v>
      </c>
      <c r="D113" s="324">
        <f>ROUND((C112-N50)-(C112*$D$98),0)</f>
        <v>32</v>
      </c>
      <c r="E113" s="112">
        <f t="shared" si="16"/>
        <v>30</v>
      </c>
      <c r="F113" s="112">
        <f t="shared" si="17"/>
        <v>32</v>
      </c>
      <c r="G113" s="112">
        <f t="shared" si="18"/>
        <v>34</v>
      </c>
      <c r="H113" s="112">
        <f t="shared" si="19"/>
        <v>31</v>
      </c>
      <c r="I113" s="112">
        <f t="shared" si="20"/>
        <v>35</v>
      </c>
      <c r="J113" s="111">
        <f t="shared" si="15"/>
        <v>244</v>
      </c>
    </row>
    <row r="114" spans="2:10" ht="15" customHeight="1">
      <c r="B114" s="114">
        <v>2030</v>
      </c>
      <c r="C114" s="113">
        <f t="shared" si="14"/>
        <v>50</v>
      </c>
      <c r="D114" s="324">
        <f>ROUND((C113-O50)-(C113*$D$98),0)</f>
        <v>31</v>
      </c>
      <c r="E114" s="112">
        <f t="shared" si="16"/>
        <v>30</v>
      </c>
      <c r="F114" s="112">
        <f t="shared" si="17"/>
        <v>29</v>
      </c>
      <c r="G114" s="112">
        <f t="shared" si="18"/>
        <v>31</v>
      </c>
      <c r="H114" s="112">
        <f t="shared" si="19"/>
        <v>30</v>
      </c>
      <c r="I114" s="112">
        <f t="shared" si="20"/>
        <v>32</v>
      </c>
      <c r="J114" s="111">
        <f t="shared" si="15"/>
        <v>233</v>
      </c>
    </row>
    <row r="115" spans="2:10" ht="15" customHeight="1">
      <c r="B115" s="114">
        <v>2031</v>
      </c>
      <c r="C115" s="113">
        <f t="shared" si="14"/>
        <v>50</v>
      </c>
      <c r="D115" s="324">
        <f>ROUND((C114-P50)-(C114*$D$98),0)</f>
        <v>30</v>
      </c>
      <c r="E115" s="112">
        <f t="shared" si="16"/>
        <v>29</v>
      </c>
      <c r="F115" s="112">
        <f t="shared" si="17"/>
        <v>29</v>
      </c>
      <c r="G115" s="112">
        <f t="shared" si="18"/>
        <v>28</v>
      </c>
      <c r="H115" s="112">
        <f t="shared" si="19"/>
        <v>27</v>
      </c>
      <c r="I115" s="112">
        <f t="shared" si="20"/>
        <v>31</v>
      </c>
      <c r="J115" s="111">
        <f t="shared" si="15"/>
        <v>224</v>
      </c>
    </row>
    <row r="116" spans="2:10" ht="15" customHeight="1">
      <c r="B116" s="114">
        <v>2032</v>
      </c>
      <c r="C116" s="113">
        <f t="shared" si="14"/>
        <v>50</v>
      </c>
      <c r="D116" s="324">
        <f>ROUND((C115-Q50)-(C115*$D$98),0)</f>
        <v>29</v>
      </c>
      <c r="E116" s="112">
        <f t="shared" si="16"/>
        <v>28</v>
      </c>
      <c r="F116" s="112">
        <f t="shared" si="17"/>
        <v>28</v>
      </c>
      <c r="G116" s="112">
        <f t="shared" si="18"/>
        <v>28</v>
      </c>
      <c r="H116" s="112">
        <f t="shared" si="19"/>
        <v>25</v>
      </c>
      <c r="I116" s="112">
        <f t="shared" si="20"/>
        <v>28</v>
      </c>
      <c r="J116" s="111">
        <f t="shared" si="15"/>
        <v>216</v>
      </c>
    </row>
    <row r="117" spans="2:10" ht="15" hidden="1" customHeight="1">
      <c r="F117" s="14"/>
      <c r="G117" s="14"/>
    </row>
    <row r="118" spans="2:10" ht="15" hidden="1" customHeight="1">
      <c r="B118" s="15" t="str">
        <f>"Table 4C: "&amp;E3&amp;" Projected Pupil Generation from Housing Development, 2019-2032"</f>
        <v>Table 4C: Pirniehall Primary School Projected Pupil Generation from Housing Development, 2019-2032</v>
      </c>
      <c r="F118" s="14"/>
      <c r="G118" s="14"/>
    </row>
    <row r="119" spans="2:10" ht="15" hidden="1" customHeight="1">
      <c r="F119" s="14"/>
      <c r="G119" s="14"/>
    </row>
    <row r="120" spans="2:10" ht="15" hidden="1" customHeight="1">
      <c r="B120" s="115"/>
      <c r="C120" s="109" t="s">
        <v>1</v>
      </c>
      <c r="D120" s="109" t="s">
        <v>2</v>
      </c>
      <c r="E120" s="109" t="s">
        <v>3</v>
      </c>
      <c r="F120" s="109" t="s">
        <v>4</v>
      </c>
      <c r="G120" s="109" t="s">
        <v>5</v>
      </c>
      <c r="H120" s="109" t="s">
        <v>6</v>
      </c>
      <c r="I120" s="109" t="s">
        <v>7</v>
      </c>
      <c r="J120" s="109" t="s">
        <v>8</v>
      </c>
    </row>
    <row r="121" spans="2:10" ht="15" hidden="1" customHeight="1">
      <c r="B121" s="114">
        <v>2019</v>
      </c>
      <c r="C121" s="116" t="s">
        <v>97</v>
      </c>
      <c r="D121" s="112">
        <f>VLOOKUP($E$3,'Housing Generation'!$A$3:$BE$90,11,FALSE)</f>
        <v>0</v>
      </c>
      <c r="E121" s="112">
        <f>VLOOKUP($E$3,'Housing Generation'!$A$3:$BE$90,12,FALSE)</f>
        <v>0</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0</v>
      </c>
    </row>
    <row r="122" spans="2:10" ht="15" hidden="1" customHeight="1">
      <c r="B122" s="114">
        <v>2020</v>
      </c>
      <c r="C122" s="116" t="s">
        <v>97</v>
      </c>
      <c r="D122" s="112">
        <f>VLOOKUP($E$3,'Housing Generation'!$A$3:$BE$90,19,FALSE)</f>
        <v>0</v>
      </c>
      <c r="E122" s="112">
        <f>VLOOKUP($E$3,'Housing Generation'!$A$3:$BE$90,20,FALSE)</f>
        <v>0</v>
      </c>
      <c r="F122" s="112">
        <f>VLOOKUP($E$3,'Housing Generation'!$A$3:$BE$90,21,FALSE)</f>
        <v>0</v>
      </c>
      <c r="G122" s="112">
        <f>VLOOKUP($E$3,'Housing Generation'!$A$3:$BE$90,22,FALSE)</f>
        <v>0</v>
      </c>
      <c r="H122" s="112">
        <f>VLOOKUP($E$3,'Housing Generation'!$A$3:$BE$90,23,FALSE)</f>
        <v>0</v>
      </c>
      <c r="I122" s="112">
        <f>VLOOKUP($E$3,'Housing Generation'!$A$3:$BE$90,24,FALSE)</f>
        <v>0</v>
      </c>
      <c r="J122" s="111">
        <f t="shared" si="21"/>
        <v>0</v>
      </c>
    </row>
    <row r="123" spans="2:10" ht="15" hidden="1" customHeight="1">
      <c r="B123" s="114">
        <v>2021</v>
      </c>
      <c r="C123" s="116" t="s">
        <v>97</v>
      </c>
      <c r="D123" s="112">
        <f>VLOOKUP($E$3,'Housing Generation'!$A$3:$BE$90,27,FALSE)</f>
        <v>0</v>
      </c>
      <c r="E123" s="112">
        <f>VLOOKUP($E$3,'Housing Generation'!$A$3:$BE$90,28,FALSE)</f>
        <v>0</v>
      </c>
      <c r="F123" s="112">
        <f>VLOOKUP($E$3,'Housing Generation'!$A$3:$BE$90,29,FALSE)</f>
        <v>0</v>
      </c>
      <c r="G123" s="112">
        <f>VLOOKUP($E$3,'Housing Generation'!$A$3:$BE$90,30,FALSE)</f>
        <v>0</v>
      </c>
      <c r="H123" s="112">
        <f>VLOOKUP($E$3,'Housing Generation'!$A$3:$BE$90,31,FALSE)</f>
        <v>0</v>
      </c>
      <c r="I123" s="112">
        <f>VLOOKUP($E$3,'Housing Generation'!$A$3:$BE$90,32,FALSE)</f>
        <v>0</v>
      </c>
      <c r="J123" s="111">
        <f t="shared" si="21"/>
        <v>0</v>
      </c>
    </row>
    <row r="124" spans="2:10" ht="15" hidden="1" customHeight="1">
      <c r="B124" s="114">
        <v>2022</v>
      </c>
      <c r="C124" s="116" t="s">
        <v>97</v>
      </c>
      <c r="D124" s="112">
        <f>VLOOKUP($E$3,'Housing Generation'!$A$3:$BE$90,35,FALSE)</f>
        <v>1</v>
      </c>
      <c r="E124" s="112">
        <f>VLOOKUP($E$3,'Housing Generation'!$A$3:$BE$90,36,FALSE)</f>
        <v>1</v>
      </c>
      <c r="F124" s="112">
        <f>VLOOKUP($E$3,'Housing Generation'!$A$3:$BE$90,37,FALSE)</f>
        <v>1</v>
      </c>
      <c r="G124" s="112">
        <f>VLOOKUP($E$3,'Housing Generation'!$A$3:$BE$90,38,FALSE)</f>
        <v>1</v>
      </c>
      <c r="H124" s="112">
        <f>VLOOKUP($E$3,'Housing Generation'!$A$3:$BE$90,39,FALSE)</f>
        <v>0</v>
      </c>
      <c r="I124" s="112">
        <f>VLOOKUP($E$3,'Housing Generation'!$A$3:$BE$90,40,FALSE)</f>
        <v>0</v>
      </c>
      <c r="J124" s="111">
        <f t="shared" si="21"/>
        <v>4</v>
      </c>
    </row>
    <row r="125" spans="2:10" ht="15" hidden="1" customHeight="1">
      <c r="B125" s="114">
        <v>2023</v>
      </c>
      <c r="C125" s="116" t="s">
        <v>97</v>
      </c>
      <c r="D125" s="112">
        <f>VLOOKUP($E$3,'Housing Generation'!$A$3:$BE$90,43,FALSE)</f>
        <v>2</v>
      </c>
      <c r="E125" s="112">
        <f>VLOOKUP($E$3,'Housing Generation'!$A$3:$BE$90,44,FALSE)</f>
        <v>2</v>
      </c>
      <c r="F125" s="112">
        <f>VLOOKUP($E$3,'Housing Generation'!$A$3:$BE$90,45,FALSE)</f>
        <v>1</v>
      </c>
      <c r="G125" s="112">
        <f>VLOOKUP($E$3,'Housing Generation'!$A$3:$BE$90,46,FALSE)</f>
        <v>1</v>
      </c>
      <c r="H125" s="112">
        <f>VLOOKUP($E$3,'Housing Generation'!$A$3:$BE$90,47,FALSE)</f>
        <v>1</v>
      </c>
      <c r="I125" s="112">
        <f>VLOOKUP($E$3,'Housing Generation'!$A$3:$BE$90,48,FALSE)</f>
        <v>1</v>
      </c>
      <c r="J125" s="111">
        <f t="shared" si="21"/>
        <v>8</v>
      </c>
    </row>
    <row r="126" spans="2:10" ht="15" hidden="1" customHeight="1">
      <c r="B126" s="114">
        <v>2024</v>
      </c>
      <c r="C126" s="116" t="s">
        <v>97</v>
      </c>
      <c r="D126" s="112">
        <f>VLOOKUP($E$3,'Housing Generation'!$A$3:$BE$90,51,FALSE)</f>
        <v>5</v>
      </c>
      <c r="E126" s="112">
        <f>VLOOKUP($E$3,'Housing Generation'!$A$3:$BE$90,52,FALSE)</f>
        <v>5</v>
      </c>
      <c r="F126" s="112">
        <f>VLOOKUP($E$3,'Housing Generation'!$A$3:$BE$90,53,FALSE)</f>
        <v>5</v>
      </c>
      <c r="G126" s="112">
        <f>VLOOKUP($E$3,'Housing Generation'!$A$3:$BE$90,54,FALSE)</f>
        <v>5</v>
      </c>
      <c r="H126" s="112">
        <f>VLOOKUP($E$3,'Housing Generation'!$A$3:$BE$90,55,FALSE)</f>
        <v>4</v>
      </c>
      <c r="I126" s="112">
        <f>VLOOKUP($E$3,'Housing Generation'!$A$3:$BE$90,56,FALSE)</f>
        <v>4</v>
      </c>
      <c r="J126" s="111">
        <f t="shared" si="21"/>
        <v>28</v>
      </c>
    </row>
    <row r="127" spans="2:10" ht="15" hidden="1" customHeight="1">
      <c r="B127" s="114">
        <v>2025</v>
      </c>
      <c r="C127" s="240" t="s">
        <v>97</v>
      </c>
      <c r="D127" s="112">
        <f>VLOOKUP($E$3,'Housing Generation'!$A$3:$CK$90,59,FALSE)</f>
        <v>8</v>
      </c>
      <c r="E127" s="112">
        <f>VLOOKUP($E$3,'Housing Generation'!$A$3:$CK$90,60,FALSE)</f>
        <v>8</v>
      </c>
      <c r="F127" s="112">
        <f>VLOOKUP($E$3,'Housing Generation'!$A$3:$CK$90,61,FALSE)</f>
        <v>8</v>
      </c>
      <c r="G127" s="112">
        <f>VLOOKUP($E$3,'Housing Generation'!$A$3:$CK$90,62,FALSE)</f>
        <v>8</v>
      </c>
      <c r="H127" s="112">
        <f>VLOOKUP($E$3,'Housing Generation'!$A$3:$CK$90,63,FALSE)</f>
        <v>8</v>
      </c>
      <c r="I127" s="112">
        <f>VLOOKUP($E$3,'Housing Generation'!$A$3:$CK$90,64,FALSE)</f>
        <v>8</v>
      </c>
      <c r="J127" s="111">
        <f t="shared" si="21"/>
        <v>48</v>
      </c>
    </row>
    <row r="128" spans="2:10" ht="15" hidden="1" customHeight="1">
      <c r="B128" s="114">
        <v>2026</v>
      </c>
      <c r="C128" s="240" t="s">
        <v>97</v>
      </c>
      <c r="D128" s="112">
        <f>VLOOKUP($E$3,'Housing Generation'!$A$3:$CK$90,67,FALSE)</f>
        <v>11</v>
      </c>
      <c r="E128" s="112">
        <f>VLOOKUP($E$3,'Housing Generation'!$A$3:$CK$90,68,FALSE)</f>
        <v>11</v>
      </c>
      <c r="F128" s="112">
        <f>VLOOKUP($E$3,'Housing Generation'!$A$3:$CK$90,69,FALSE)</f>
        <v>11</v>
      </c>
      <c r="G128" s="112">
        <f>VLOOKUP($E$3,'Housing Generation'!$A$3:$CK$90,70,FALSE)</f>
        <v>11</v>
      </c>
      <c r="H128" s="112">
        <f>VLOOKUP($E$3,'Housing Generation'!$A$3:$CK$90,71,FALSE)</f>
        <v>11</v>
      </c>
      <c r="I128" s="112">
        <f>VLOOKUP($E$3,'Housing Generation'!$A$3:$CK$90,72,FALSE)</f>
        <v>11</v>
      </c>
      <c r="J128" s="111">
        <f t="shared" si="21"/>
        <v>66</v>
      </c>
    </row>
    <row r="129" spans="2:10" ht="15" hidden="1" customHeight="1">
      <c r="B129" s="114">
        <v>2027</v>
      </c>
      <c r="C129" s="240" t="s">
        <v>97</v>
      </c>
      <c r="D129" s="112">
        <f>VLOOKUP($E$3,'Housing Generation'!$A$3:$CK$90,75,FALSE)</f>
        <v>14</v>
      </c>
      <c r="E129" s="112">
        <f>VLOOKUP($E$3,'Housing Generation'!$A$3:$CK$90,76,FALSE)</f>
        <v>14</v>
      </c>
      <c r="F129" s="112">
        <f>VLOOKUP($E$3,'Housing Generation'!$A$3:$CK$90,77,FALSE)</f>
        <v>14</v>
      </c>
      <c r="G129" s="112">
        <f>VLOOKUP($E$3,'Housing Generation'!$A$3:$CK$90,78,FALSE)</f>
        <v>14</v>
      </c>
      <c r="H129" s="112">
        <f>VLOOKUP($E$3,'Housing Generation'!$A$3:$CK$90,79,FALSE)</f>
        <v>14</v>
      </c>
      <c r="I129" s="112">
        <f>VLOOKUP($E$3,'Housing Generation'!$A$3:$CK$90,80,FALSE)</f>
        <v>14</v>
      </c>
      <c r="J129" s="111">
        <f t="shared" si="21"/>
        <v>84</v>
      </c>
    </row>
    <row r="130" spans="2:10" ht="15" customHeight="1">
      <c r="B130" s="114">
        <v>2028</v>
      </c>
      <c r="C130" s="289" t="s">
        <v>97</v>
      </c>
      <c r="D130" s="112">
        <f>VLOOKUP($E$3,'Housing Generation'!$A$3:$CK$90,83,FALSE)</f>
        <v>17</v>
      </c>
      <c r="E130" s="112">
        <f>VLOOKUP($E$3,'Housing Generation'!$A$3:$CK$90,84,FALSE)</f>
        <v>17</v>
      </c>
      <c r="F130" s="112">
        <f>VLOOKUP($E$3,'Housing Generation'!$A$3:$CK$90,85,FALSE)</f>
        <v>17</v>
      </c>
      <c r="G130" s="112">
        <f>VLOOKUP($E$3,'Housing Generation'!$A$3:$CK$90,86,FALSE)</f>
        <v>17</v>
      </c>
      <c r="H130" s="112">
        <f>VLOOKUP($E$3,'Housing Generation'!$A$3:$CK$90,87,FALSE)</f>
        <v>17</v>
      </c>
      <c r="I130" s="112">
        <f>VLOOKUP($E$3,'Housing Generation'!$A$3:$CK$90,88,FALSE)</f>
        <v>17</v>
      </c>
      <c r="J130" s="111">
        <f t="shared" si="21"/>
        <v>102</v>
      </c>
    </row>
    <row r="131" spans="2:10" ht="15" customHeight="1">
      <c r="B131" s="114">
        <v>2029</v>
      </c>
      <c r="C131" s="289" t="s">
        <v>97</v>
      </c>
      <c r="D131" s="112">
        <f>VLOOKUP($E$3,'Housing Generation'!$A$3:$DQ$90,91,FALSE)</f>
        <v>19</v>
      </c>
      <c r="E131" s="112">
        <f>VLOOKUP($E$3,'Housing Generation'!$A$3:$DQ$90,92,FALSE)</f>
        <v>18</v>
      </c>
      <c r="F131" s="112">
        <f>VLOOKUP($E$3,'Housing Generation'!$A$3:$DQ$90,93,FALSE)</f>
        <v>18</v>
      </c>
      <c r="G131" s="112">
        <f>VLOOKUP($E$3,'Housing Generation'!$A$3:$DQ$90,94,FALSE)</f>
        <v>18</v>
      </c>
      <c r="H131" s="112">
        <f>VLOOKUP($E$3,'Housing Generation'!$A$3:$DQ$90,95,FALSE)</f>
        <v>18</v>
      </c>
      <c r="I131" s="112">
        <f>VLOOKUP($E$3,'Housing Generation'!$A$3:$DQ$90,96,FALSE)</f>
        <v>18</v>
      </c>
      <c r="J131" s="111">
        <f t="shared" si="21"/>
        <v>109</v>
      </c>
    </row>
    <row r="132" spans="2:10" ht="15" customHeight="1">
      <c r="B132" s="114">
        <v>2030</v>
      </c>
      <c r="C132" s="289" t="s">
        <v>97</v>
      </c>
      <c r="D132" s="112">
        <f>VLOOKUP($E$3,'Housing Generation'!$A$3:$DQ$90,99,FALSE)</f>
        <v>20</v>
      </c>
      <c r="E132" s="112">
        <f>VLOOKUP($E$3,'Housing Generation'!$A$3:$DQ$90,100,FALSE)</f>
        <v>20</v>
      </c>
      <c r="F132" s="112">
        <f>VLOOKUP($E$3,'Housing Generation'!$A$3:$DQ$90,101,FALSE)</f>
        <v>19</v>
      </c>
      <c r="G132" s="112">
        <f>VLOOKUP($E$3,'Housing Generation'!$A$3:$DQ$90,102,FALSE)</f>
        <v>19</v>
      </c>
      <c r="H132" s="112">
        <f>VLOOKUP($E$3,'Housing Generation'!$A$3:$DQ$90,103,FALSE)</f>
        <v>19</v>
      </c>
      <c r="I132" s="112">
        <f>VLOOKUP($E$3,'Housing Generation'!$A$3:$DQ$90,104,FALSE)</f>
        <v>19</v>
      </c>
      <c r="J132" s="111">
        <f t="shared" si="21"/>
        <v>116</v>
      </c>
    </row>
    <row r="133" spans="2:10" ht="15" customHeight="1">
      <c r="B133" s="114">
        <v>2031</v>
      </c>
      <c r="C133" s="289" t="s">
        <v>97</v>
      </c>
      <c r="D133" s="112">
        <f>VLOOKUP($E$3,'Housing Generation'!$A$3:$DQ$90,107,FALSE)</f>
        <v>21</v>
      </c>
      <c r="E133" s="112">
        <f>VLOOKUP($E$3,'Housing Generation'!$A$3:$DQ$90,108,FALSE)</f>
        <v>21</v>
      </c>
      <c r="F133" s="112">
        <f>VLOOKUP($E$3,'Housing Generation'!$A$3:$DQ$90,109,FALSE)</f>
        <v>21</v>
      </c>
      <c r="G133" s="112">
        <f>VLOOKUP($E$3,'Housing Generation'!$A$3:$DQ$90,110,FALSE)</f>
        <v>20</v>
      </c>
      <c r="H133" s="112">
        <f>VLOOKUP($E$3,'Housing Generation'!$A$3:$DQ$90,111,FALSE)</f>
        <v>20</v>
      </c>
      <c r="I133" s="112">
        <f>VLOOKUP($E$3,'Housing Generation'!$A$3:$DQ$90,112,FALSE)</f>
        <v>20</v>
      </c>
      <c r="J133" s="111">
        <f t="shared" si="21"/>
        <v>123</v>
      </c>
    </row>
    <row r="134" spans="2:10" ht="15" customHeight="1">
      <c r="B134" s="114">
        <v>2032</v>
      </c>
      <c r="C134" s="289" t="s">
        <v>97</v>
      </c>
      <c r="D134" s="112">
        <f>VLOOKUP($E$3,'Housing Generation'!$A$3:$DQ$90,115,FALSE)</f>
        <v>22</v>
      </c>
      <c r="E134" s="112">
        <f>VLOOKUP($E$3,'Housing Generation'!$A$3:$DQ$90,116,FALSE)</f>
        <v>22</v>
      </c>
      <c r="F134" s="112">
        <f>VLOOKUP($E$3,'Housing Generation'!$A$3:$DQ$90,117,FALSE)</f>
        <v>22</v>
      </c>
      <c r="G134" s="112">
        <f>VLOOKUP($E$3,'Housing Generation'!$A$3:$DQ$90,118,FALSE)</f>
        <v>22</v>
      </c>
      <c r="H134" s="112">
        <f>VLOOKUP($E$3,'Housing Generation'!$A$3:$DQ$90,119,FALSE)</f>
        <v>21</v>
      </c>
      <c r="I134" s="112">
        <f>VLOOKUP($E$3,'Housing Generation'!$A$3:$DQ$90,120,FALSE)</f>
        <v>21</v>
      </c>
      <c r="J134" s="111">
        <f t="shared" si="21"/>
        <v>130</v>
      </c>
    </row>
    <row r="135" spans="2:10" ht="15" hidden="1"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Pirniehall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25</v>
      </c>
      <c r="D139" s="112">
        <f t="shared" ref="D139:I152" si="23">D121+D103</f>
        <v>57</v>
      </c>
      <c r="E139" s="112">
        <f t="shared" si="23"/>
        <v>38</v>
      </c>
      <c r="F139" s="112">
        <f t="shared" si="23"/>
        <v>35</v>
      </c>
      <c r="G139" s="112">
        <f t="shared" si="23"/>
        <v>35</v>
      </c>
      <c r="H139" s="112">
        <f t="shared" si="23"/>
        <v>26</v>
      </c>
      <c r="I139" s="112">
        <f t="shared" si="23"/>
        <v>39</v>
      </c>
      <c r="J139" s="111">
        <f t="shared" ref="J139:J147" si="24">SUM(C139:I139)</f>
        <v>255</v>
      </c>
    </row>
    <row r="140" spans="2:10" ht="15" customHeight="1">
      <c r="B140" s="114">
        <v>2020</v>
      </c>
      <c r="C140" s="113">
        <f t="shared" si="22"/>
        <v>50</v>
      </c>
      <c r="D140" s="112">
        <f t="shared" si="23"/>
        <v>26</v>
      </c>
      <c r="E140" s="112">
        <f t="shared" si="23"/>
        <v>53</v>
      </c>
      <c r="F140" s="112">
        <f t="shared" si="23"/>
        <v>37</v>
      </c>
      <c r="G140" s="112">
        <f t="shared" si="23"/>
        <v>34</v>
      </c>
      <c r="H140" s="112">
        <f t="shared" si="23"/>
        <v>31</v>
      </c>
      <c r="I140" s="112">
        <f t="shared" si="23"/>
        <v>27</v>
      </c>
      <c r="J140" s="111">
        <f t="shared" si="24"/>
        <v>258</v>
      </c>
    </row>
    <row r="141" spans="2:10" ht="15" customHeight="1">
      <c r="B141" s="114">
        <v>2021</v>
      </c>
      <c r="C141" s="113">
        <f t="shared" si="22"/>
        <v>25</v>
      </c>
      <c r="D141" s="112">
        <f t="shared" si="23"/>
        <v>51</v>
      </c>
      <c r="E141" s="112">
        <f t="shared" si="23"/>
        <v>24</v>
      </c>
      <c r="F141" s="112">
        <f t="shared" si="23"/>
        <v>51</v>
      </c>
      <c r="G141" s="112">
        <f t="shared" si="23"/>
        <v>35</v>
      </c>
      <c r="H141" s="112">
        <f t="shared" si="23"/>
        <v>30</v>
      </c>
      <c r="I141" s="112">
        <f t="shared" si="23"/>
        <v>32</v>
      </c>
      <c r="J141" s="111">
        <f t="shared" si="24"/>
        <v>248</v>
      </c>
    </row>
    <row r="142" spans="2:10" ht="15" customHeight="1">
      <c r="B142" s="114">
        <v>2022</v>
      </c>
      <c r="C142" s="113">
        <f t="shared" si="22"/>
        <v>50</v>
      </c>
      <c r="D142" s="112">
        <f t="shared" si="23"/>
        <v>26</v>
      </c>
      <c r="E142" s="112">
        <f t="shared" si="23"/>
        <v>48</v>
      </c>
      <c r="F142" s="112">
        <f t="shared" si="23"/>
        <v>24</v>
      </c>
      <c r="G142" s="112">
        <f t="shared" si="23"/>
        <v>50</v>
      </c>
      <c r="H142" s="112">
        <f t="shared" si="23"/>
        <v>31</v>
      </c>
      <c r="I142" s="112">
        <f t="shared" si="23"/>
        <v>31</v>
      </c>
      <c r="J142" s="111">
        <f t="shared" si="24"/>
        <v>260</v>
      </c>
    </row>
    <row r="143" spans="2:10" ht="15" customHeight="1">
      <c r="B143" s="114">
        <v>2023</v>
      </c>
      <c r="C143" s="113">
        <f t="shared" si="22"/>
        <v>50</v>
      </c>
      <c r="D143" s="112">
        <f t="shared" si="23"/>
        <v>51</v>
      </c>
      <c r="E143" s="112">
        <f t="shared" si="23"/>
        <v>25</v>
      </c>
      <c r="F143" s="112">
        <f t="shared" si="23"/>
        <v>46</v>
      </c>
      <c r="G143" s="112">
        <f t="shared" si="23"/>
        <v>23</v>
      </c>
      <c r="H143" s="112">
        <f t="shared" si="23"/>
        <v>44</v>
      </c>
      <c r="I143" s="112">
        <f t="shared" si="23"/>
        <v>33</v>
      </c>
      <c r="J143" s="111">
        <f t="shared" si="24"/>
        <v>272</v>
      </c>
    </row>
    <row r="144" spans="2:10" ht="15" customHeight="1">
      <c r="B144" s="114">
        <v>2024</v>
      </c>
      <c r="C144" s="113">
        <f t="shared" si="22"/>
        <v>50</v>
      </c>
      <c r="D144" s="112">
        <f t="shared" si="23"/>
        <v>51</v>
      </c>
      <c r="E144" s="112">
        <f t="shared" si="23"/>
        <v>50</v>
      </c>
      <c r="F144" s="112">
        <f t="shared" si="23"/>
        <v>27</v>
      </c>
      <c r="G144" s="112">
        <f t="shared" si="23"/>
        <v>48</v>
      </c>
      <c r="H144" s="112">
        <f t="shared" si="23"/>
        <v>23</v>
      </c>
      <c r="I144" s="112">
        <f t="shared" si="23"/>
        <v>48</v>
      </c>
      <c r="J144" s="111">
        <f t="shared" si="24"/>
        <v>297</v>
      </c>
    </row>
    <row r="145" spans="2:16" ht="15" customHeight="1">
      <c r="B145" s="114">
        <v>2025</v>
      </c>
      <c r="C145" s="113">
        <f t="shared" si="22"/>
        <v>50</v>
      </c>
      <c r="D145" s="112">
        <f t="shared" si="23"/>
        <v>50</v>
      </c>
      <c r="E145" s="112">
        <f t="shared" si="23"/>
        <v>50</v>
      </c>
      <c r="F145" s="112">
        <f t="shared" si="23"/>
        <v>51</v>
      </c>
      <c r="G145" s="112">
        <f t="shared" si="23"/>
        <v>29</v>
      </c>
      <c r="H145" s="112">
        <f t="shared" si="23"/>
        <v>46</v>
      </c>
      <c r="I145" s="112">
        <f t="shared" si="23"/>
        <v>28</v>
      </c>
      <c r="J145" s="111">
        <f t="shared" si="24"/>
        <v>304</v>
      </c>
    </row>
    <row r="146" spans="2:16" ht="15" customHeight="1">
      <c r="B146" s="114">
        <v>2026</v>
      </c>
      <c r="C146" s="113">
        <f t="shared" si="22"/>
        <v>50</v>
      </c>
      <c r="D146" s="112">
        <f t="shared" si="23"/>
        <v>50</v>
      </c>
      <c r="E146" s="112">
        <f t="shared" si="23"/>
        <v>50</v>
      </c>
      <c r="F146" s="112">
        <f t="shared" si="23"/>
        <v>51</v>
      </c>
      <c r="G146" s="112">
        <f t="shared" si="23"/>
        <v>52</v>
      </c>
      <c r="H146" s="112">
        <f t="shared" si="23"/>
        <v>30</v>
      </c>
      <c r="I146" s="112">
        <f t="shared" si="23"/>
        <v>50</v>
      </c>
      <c r="J146" s="111">
        <f t="shared" si="24"/>
        <v>333</v>
      </c>
    </row>
    <row r="147" spans="2:16" ht="15" customHeight="1">
      <c r="B147" s="114">
        <v>2027</v>
      </c>
      <c r="C147" s="113">
        <f t="shared" si="22"/>
        <v>50</v>
      </c>
      <c r="D147" s="112">
        <f t="shared" si="23"/>
        <v>50</v>
      </c>
      <c r="E147" s="112">
        <f t="shared" si="23"/>
        <v>50</v>
      </c>
      <c r="F147" s="112">
        <f t="shared" si="23"/>
        <v>51</v>
      </c>
      <c r="G147" s="112">
        <f t="shared" si="23"/>
        <v>52</v>
      </c>
      <c r="H147" s="112">
        <f t="shared" si="23"/>
        <v>50</v>
      </c>
      <c r="I147" s="112">
        <f t="shared" si="23"/>
        <v>34</v>
      </c>
      <c r="J147" s="111">
        <f t="shared" si="24"/>
        <v>337</v>
      </c>
    </row>
    <row r="148" spans="2:16" ht="15" customHeight="1">
      <c r="B148" s="114">
        <v>2028</v>
      </c>
      <c r="C148" s="113">
        <f t="shared" si="22"/>
        <v>50</v>
      </c>
      <c r="D148" s="112">
        <f t="shared" si="23"/>
        <v>50</v>
      </c>
      <c r="E148" s="112">
        <f t="shared" si="23"/>
        <v>50</v>
      </c>
      <c r="F148" s="112">
        <f t="shared" si="23"/>
        <v>52</v>
      </c>
      <c r="G148" s="112">
        <f t="shared" si="23"/>
        <v>52</v>
      </c>
      <c r="H148" s="112">
        <f t="shared" si="23"/>
        <v>51</v>
      </c>
      <c r="I148" s="112">
        <f t="shared" si="23"/>
        <v>54</v>
      </c>
      <c r="J148" s="111">
        <f t="shared" ref="J148:J152" si="25">SUM(C148:I148)</f>
        <v>359</v>
      </c>
    </row>
    <row r="149" spans="2:16" ht="15" customHeight="1">
      <c r="B149" s="114">
        <v>2029</v>
      </c>
      <c r="C149" s="113">
        <f t="shared" si="22"/>
        <v>50</v>
      </c>
      <c r="D149" s="112">
        <f t="shared" si="23"/>
        <v>51</v>
      </c>
      <c r="E149" s="112">
        <f t="shared" si="23"/>
        <v>48</v>
      </c>
      <c r="F149" s="112">
        <f t="shared" si="23"/>
        <v>50</v>
      </c>
      <c r="G149" s="112">
        <f t="shared" si="23"/>
        <v>52</v>
      </c>
      <c r="H149" s="112">
        <f t="shared" si="23"/>
        <v>49</v>
      </c>
      <c r="I149" s="112">
        <f t="shared" si="23"/>
        <v>53</v>
      </c>
      <c r="J149" s="111">
        <f t="shared" si="25"/>
        <v>353</v>
      </c>
    </row>
    <row r="150" spans="2:16" ht="15" customHeight="1">
      <c r="B150" s="114">
        <v>2030</v>
      </c>
      <c r="C150" s="113">
        <f t="shared" si="22"/>
        <v>50</v>
      </c>
      <c r="D150" s="112">
        <f t="shared" si="23"/>
        <v>51</v>
      </c>
      <c r="E150" s="112">
        <f t="shared" si="23"/>
        <v>50</v>
      </c>
      <c r="F150" s="112">
        <f t="shared" si="23"/>
        <v>48</v>
      </c>
      <c r="G150" s="112">
        <f t="shared" si="23"/>
        <v>50</v>
      </c>
      <c r="H150" s="112">
        <f t="shared" si="23"/>
        <v>49</v>
      </c>
      <c r="I150" s="112">
        <f t="shared" si="23"/>
        <v>51</v>
      </c>
      <c r="J150" s="111">
        <f t="shared" si="25"/>
        <v>349</v>
      </c>
    </row>
    <row r="151" spans="2:16" ht="15" customHeight="1">
      <c r="B151" s="114">
        <v>2031</v>
      </c>
      <c r="C151" s="113">
        <f t="shared" si="22"/>
        <v>50</v>
      </c>
      <c r="D151" s="112">
        <f t="shared" si="23"/>
        <v>51</v>
      </c>
      <c r="E151" s="112">
        <f t="shared" si="23"/>
        <v>50</v>
      </c>
      <c r="F151" s="112">
        <f t="shared" si="23"/>
        <v>50</v>
      </c>
      <c r="G151" s="112">
        <f t="shared" si="23"/>
        <v>48</v>
      </c>
      <c r="H151" s="112">
        <f t="shared" si="23"/>
        <v>47</v>
      </c>
      <c r="I151" s="112">
        <f t="shared" si="23"/>
        <v>51</v>
      </c>
      <c r="J151" s="111">
        <f t="shared" si="25"/>
        <v>347</v>
      </c>
    </row>
    <row r="152" spans="2:16" ht="15" customHeight="1">
      <c r="B152" s="114">
        <v>2032</v>
      </c>
      <c r="C152" s="113">
        <f t="shared" si="22"/>
        <v>50</v>
      </c>
      <c r="D152" s="112">
        <f t="shared" si="23"/>
        <v>51</v>
      </c>
      <c r="E152" s="112">
        <f t="shared" si="23"/>
        <v>50</v>
      </c>
      <c r="F152" s="112">
        <f t="shared" si="23"/>
        <v>50</v>
      </c>
      <c r="G152" s="112">
        <f t="shared" si="23"/>
        <v>50</v>
      </c>
      <c r="H152" s="112">
        <f t="shared" si="23"/>
        <v>46</v>
      </c>
      <c r="I152" s="112">
        <f t="shared" si="23"/>
        <v>49</v>
      </c>
      <c r="J152" s="111">
        <f t="shared" si="25"/>
        <v>346</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255</v>
      </c>
      <c r="D159" s="108">
        <f>J140</f>
        <v>258</v>
      </c>
      <c r="E159" s="108">
        <f>J141</f>
        <v>248</v>
      </c>
      <c r="F159" s="108">
        <f>J142</f>
        <v>260</v>
      </c>
      <c r="G159" s="108">
        <f>J143</f>
        <v>272</v>
      </c>
      <c r="H159" s="108">
        <f>J144</f>
        <v>297</v>
      </c>
      <c r="I159" s="108">
        <f>J145</f>
        <v>304</v>
      </c>
      <c r="J159" s="108">
        <f>J146</f>
        <v>333</v>
      </c>
      <c r="K159" s="108">
        <f>J147</f>
        <v>337</v>
      </c>
      <c r="L159" s="108">
        <f>J148</f>
        <v>359</v>
      </c>
      <c r="M159" s="108">
        <f>J149</f>
        <v>353</v>
      </c>
      <c r="N159" s="108">
        <f>J150</f>
        <v>349</v>
      </c>
      <c r="O159" s="108">
        <f>J151</f>
        <v>347</v>
      </c>
      <c r="P159" s="108">
        <f>J152</f>
        <v>346</v>
      </c>
    </row>
    <row r="160" spans="2:16" ht="15" customHeight="1">
      <c r="B160" s="107" t="s">
        <v>152</v>
      </c>
      <c r="C160" s="106">
        <f>VLOOKUP(C159,Capacity!$A$1:$C$645,2,TRUE)</f>
        <v>10</v>
      </c>
      <c r="D160" s="106">
        <f>VLOOKUP(D159,Capacity!$A$1:$C$645,2,TRUE)</f>
        <v>10</v>
      </c>
      <c r="E160" s="106">
        <f>VLOOKUP(E159,Capacity!$A$1:$C$645,2,TRUE)</f>
        <v>10</v>
      </c>
      <c r="F160" s="106">
        <f>VLOOKUP(F159,Capacity!$A$1:$C$645,2,TRUE)</f>
        <v>11</v>
      </c>
      <c r="G160" s="106">
        <f>VLOOKUP(G159,Capacity!$A$1:$C$645,2,TRUE)</f>
        <v>11</v>
      </c>
      <c r="H160" s="106">
        <f>VLOOKUP(H159,Capacity!$A$1:$C$645,2,TRUE)</f>
        <v>12</v>
      </c>
      <c r="I160" s="106">
        <f>VLOOKUP(I159,Capacity!$A$1:$C$645,2,TRUE)</f>
        <v>12</v>
      </c>
      <c r="J160" s="106">
        <f>VLOOKUP(J159,Capacity!$A$1:$C$645,2,TRUE)</f>
        <v>14</v>
      </c>
      <c r="K160" s="106">
        <f>VLOOKUP(K159,Capacity!$A$1:$C$645,2,TRUE)</f>
        <v>14</v>
      </c>
      <c r="L160" s="106">
        <f>VLOOKUP(L159,Capacity!$A$1:$C$645,2,TRUE)</f>
        <v>14</v>
      </c>
      <c r="M160" s="106">
        <f>VLOOKUP(M159,Capacity!$A$1:$C$645,2,TRUE)</f>
        <v>14</v>
      </c>
      <c r="N160" s="106">
        <f>VLOOKUP(N159,Capacity!$A$1:$C$645,2,TRUE)</f>
        <v>14</v>
      </c>
      <c r="O160" s="106">
        <f>VLOOKUP(O159,Capacity!$A$1:$C$645,2,TRUE)</f>
        <v>14</v>
      </c>
      <c r="P160" s="106">
        <f>VLOOKUP(P159,Capacity!$A$1:$C$645,2,TRUE)</f>
        <v>14</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62</v>
      </c>
      <c r="D169" s="97">
        <f>VLOOKUP($E$3,'Catchment Births'!$A$1:$U$90,11,FALSE)</f>
        <v>44</v>
      </c>
      <c r="E169" s="97">
        <f>VLOOKUP($E$3,'Catchment Births'!$A$1:$U$90,12,FALSE)</f>
        <v>46</v>
      </c>
      <c r="F169" s="97">
        <f>VLOOKUP($E$3,'Catchment Births'!$A$1:$U$90,13,FALSE)</f>
        <v>51</v>
      </c>
      <c r="G169" s="97">
        <f>VLOOKUP($E$3,'Catchment Births'!$A$1:$U$90,14,FALSE)</f>
        <v>53</v>
      </c>
      <c r="H169" s="97">
        <f>VLOOKUP($E$3,'Catchment Births'!$A$1:$U$90,15,FALSE)</f>
        <v>53</v>
      </c>
      <c r="I169" s="97">
        <f>VLOOKUP($E$3,'Catchment Births'!$A$1:$U$90,16,FALSE)</f>
        <v>51</v>
      </c>
      <c r="J169" s="97">
        <f>VLOOKUP($E$3,'Catchment Births'!$A$1:$U$90,17,FALSE)</f>
        <v>84</v>
      </c>
      <c r="K169" s="97">
        <f>VLOOKUP($E$3,'Catchment Births'!$A$1:$U$90,18,FALSE)</f>
        <v>61</v>
      </c>
      <c r="L169" s="97">
        <f>VLOOKUP($E$3,'Catchment Births'!$A$1:$U$90,19,FALSE)</f>
        <v>68</v>
      </c>
      <c r="M169" s="97">
        <f>VLOOKUP($E$3,'Catchment Births'!$A$1:$U$90,20,FALSE)</f>
        <v>58</v>
      </c>
      <c r="N169" s="97">
        <f>VLOOKUP($E$3,'Catchment Births'!$A$1:$U$90,21,FALSE)</f>
        <v>82</v>
      </c>
    </row>
    <row r="170" spans="2:14" ht="58.5" customHeight="1">
      <c r="B170" s="103" t="str">
        <f>"P1 "&amp;A35&amp;" Catchment Population (Actual)"</f>
        <v>P1 ND Catchment Population (Actual)</v>
      </c>
      <c r="C170" s="102" t="e">
        <v>#REF!</v>
      </c>
      <c r="D170" s="102">
        <v>18</v>
      </c>
      <c r="E170" s="102">
        <v>23</v>
      </c>
      <c r="F170" s="102">
        <v>45</v>
      </c>
      <c r="G170" s="102">
        <v>44</v>
      </c>
      <c r="H170" s="102">
        <v>28</v>
      </c>
      <c r="I170" s="102">
        <v>26</v>
      </c>
      <c r="J170" s="308">
        <f>VLOOKUP(E3,'Catchment Projections'!A1:BU92,42,FALSE)</f>
        <v>42</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26</v>
      </c>
      <c r="J172" s="96" t="e">
        <f>#REF!</f>
        <v>#REF!</v>
      </c>
      <c r="K172" s="96">
        <f>D51</f>
        <v>32</v>
      </c>
      <c r="L172" s="96">
        <f>E51</f>
        <v>45</v>
      </c>
      <c r="M172" s="96">
        <f>F51</f>
        <v>35</v>
      </c>
      <c r="N172" s="96">
        <f>G51</f>
        <v>44</v>
      </c>
    </row>
    <row r="173" spans="2:14" ht="12.75">
      <c r="B173" s="62"/>
      <c r="C173" s="62"/>
      <c r="D173" s="62"/>
      <c r="E173" s="62"/>
      <c r="F173" s="62"/>
      <c r="G173" s="62"/>
      <c r="H173" s="62"/>
      <c r="I173" s="62"/>
      <c r="J173" s="62"/>
      <c r="K173" s="62"/>
    </row>
    <row r="174" spans="2:14" ht="15" customHeight="1">
      <c r="B174" s="64" t="str">
        <f>"Table 5: "&amp;E3&amp;" Roll by Stage, 2002-2018"</f>
        <v>Table 5: Pirniehall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22</v>
      </c>
      <c r="D177" s="93">
        <v>30</v>
      </c>
      <c r="E177" s="93">
        <v>17</v>
      </c>
      <c r="F177" s="93">
        <v>26</v>
      </c>
      <c r="G177" s="93">
        <v>24</v>
      </c>
      <c r="H177" s="93">
        <v>29</v>
      </c>
      <c r="I177" s="93">
        <v>40</v>
      </c>
      <c r="J177" s="92">
        <v>188</v>
      </c>
      <c r="K177" s="62"/>
    </row>
    <row r="178" spans="2:11" ht="15" customHeight="1">
      <c r="B178" s="94">
        <v>2003</v>
      </c>
      <c r="C178" s="93">
        <v>29</v>
      </c>
      <c r="D178" s="93">
        <v>27</v>
      </c>
      <c r="E178" s="93">
        <v>31</v>
      </c>
      <c r="F178" s="93">
        <v>19</v>
      </c>
      <c r="G178" s="93">
        <v>26</v>
      </c>
      <c r="H178" s="93">
        <v>22</v>
      </c>
      <c r="I178" s="93">
        <v>30</v>
      </c>
      <c r="J178" s="92">
        <v>184</v>
      </c>
      <c r="K178" s="62"/>
    </row>
    <row r="179" spans="2:11" customFormat="1" ht="15" customHeight="1">
      <c r="B179" s="94">
        <v>2004</v>
      </c>
      <c r="C179" s="95">
        <v>36</v>
      </c>
      <c r="D179" s="95">
        <v>30</v>
      </c>
      <c r="E179" s="95">
        <v>23</v>
      </c>
      <c r="F179" s="95">
        <v>28</v>
      </c>
      <c r="G179" s="95">
        <v>19</v>
      </c>
      <c r="H179" s="95">
        <v>25</v>
      </c>
      <c r="I179" s="95">
        <v>24</v>
      </c>
      <c r="J179" s="92">
        <v>185</v>
      </c>
      <c r="K179" s="62"/>
    </row>
    <row r="180" spans="2:11" customFormat="1" ht="15" customHeight="1">
      <c r="B180" s="94">
        <v>2005</v>
      </c>
      <c r="C180" s="93">
        <v>33</v>
      </c>
      <c r="D180" s="93">
        <v>24</v>
      </c>
      <c r="E180" s="93">
        <v>24</v>
      </c>
      <c r="F180" s="93">
        <v>21</v>
      </c>
      <c r="G180" s="93">
        <v>25</v>
      </c>
      <c r="H180" s="93">
        <v>18</v>
      </c>
      <c r="I180" s="93">
        <v>29</v>
      </c>
      <c r="J180" s="92">
        <v>174</v>
      </c>
      <c r="K180" s="62"/>
    </row>
    <row r="181" spans="2:11" customFormat="1" ht="15" customHeight="1">
      <c r="B181" s="94">
        <v>2006</v>
      </c>
      <c r="C181" s="93">
        <v>27</v>
      </c>
      <c r="D181" s="93">
        <v>30</v>
      </c>
      <c r="E181" s="93">
        <v>25</v>
      </c>
      <c r="F181" s="93">
        <v>22</v>
      </c>
      <c r="G181" s="93">
        <v>21</v>
      </c>
      <c r="H181" s="93">
        <v>27</v>
      </c>
      <c r="I181" s="93">
        <v>18</v>
      </c>
      <c r="J181" s="92">
        <v>170</v>
      </c>
      <c r="K181" s="62"/>
    </row>
    <row r="182" spans="2:11" customFormat="1" ht="15" customHeight="1">
      <c r="B182" s="94">
        <v>2007</v>
      </c>
      <c r="C182" s="93">
        <v>27</v>
      </c>
      <c r="D182" s="93">
        <v>29</v>
      </c>
      <c r="E182" s="93">
        <v>31</v>
      </c>
      <c r="F182" s="93">
        <v>23</v>
      </c>
      <c r="G182" s="93">
        <v>22</v>
      </c>
      <c r="H182" s="93">
        <v>20</v>
      </c>
      <c r="I182" s="93">
        <v>25</v>
      </c>
      <c r="J182" s="92">
        <v>177</v>
      </c>
      <c r="K182" s="62"/>
    </row>
    <row r="183" spans="2:11" customFormat="1" ht="15" customHeight="1">
      <c r="B183" s="94">
        <v>2008</v>
      </c>
      <c r="C183" s="93">
        <v>29</v>
      </c>
      <c r="D183" s="93">
        <v>28</v>
      </c>
      <c r="E183" s="93">
        <v>35</v>
      </c>
      <c r="F183" s="93">
        <v>30</v>
      </c>
      <c r="G183" s="93">
        <v>26</v>
      </c>
      <c r="H183" s="93">
        <v>25</v>
      </c>
      <c r="I183" s="93">
        <v>21</v>
      </c>
      <c r="J183" s="92">
        <v>194</v>
      </c>
      <c r="K183" s="62"/>
    </row>
    <row r="184" spans="2:11" customFormat="1" ht="15" customHeight="1">
      <c r="B184" s="94">
        <v>2009</v>
      </c>
      <c r="C184" s="93">
        <v>27</v>
      </c>
      <c r="D184" s="93">
        <v>28</v>
      </c>
      <c r="E184" s="93">
        <v>30</v>
      </c>
      <c r="F184" s="93">
        <v>30</v>
      </c>
      <c r="G184" s="93">
        <v>29</v>
      </c>
      <c r="H184" s="93">
        <v>26</v>
      </c>
      <c r="I184" s="93">
        <v>22</v>
      </c>
      <c r="J184" s="94">
        <v>192</v>
      </c>
      <c r="K184" s="62"/>
    </row>
    <row r="185" spans="2:11" customFormat="1" ht="15" customHeight="1">
      <c r="B185" s="94">
        <v>2010</v>
      </c>
      <c r="C185" s="93">
        <v>30</v>
      </c>
      <c r="D185" s="93">
        <v>31</v>
      </c>
      <c r="E185" s="93">
        <v>28</v>
      </c>
      <c r="F185" s="93">
        <v>37</v>
      </c>
      <c r="G185" s="93">
        <v>32</v>
      </c>
      <c r="H185" s="93">
        <v>35</v>
      </c>
      <c r="I185" s="93">
        <v>31</v>
      </c>
      <c r="J185" s="92">
        <v>224</v>
      </c>
      <c r="K185" s="62"/>
    </row>
    <row r="186" spans="2:11" customFormat="1" ht="15" customHeight="1">
      <c r="B186" s="94">
        <v>2011</v>
      </c>
      <c r="C186" s="93">
        <v>34</v>
      </c>
      <c r="D186" s="93">
        <v>25</v>
      </c>
      <c r="E186" s="93">
        <v>28</v>
      </c>
      <c r="F186" s="93">
        <v>31</v>
      </c>
      <c r="G186" s="93">
        <v>40</v>
      </c>
      <c r="H186" s="93">
        <v>30</v>
      </c>
      <c r="I186" s="93">
        <v>32</v>
      </c>
      <c r="J186" s="92">
        <v>220</v>
      </c>
      <c r="K186" s="62"/>
    </row>
    <row r="187" spans="2:11" customFormat="1" ht="15" customHeight="1">
      <c r="B187" s="94">
        <v>2012</v>
      </c>
      <c r="C187" s="93">
        <v>49</v>
      </c>
      <c r="D187" s="93">
        <v>35</v>
      </c>
      <c r="E187" s="93">
        <v>29</v>
      </c>
      <c r="F187" s="93">
        <v>31</v>
      </c>
      <c r="G187" s="93">
        <v>31</v>
      </c>
      <c r="H187" s="93">
        <v>39</v>
      </c>
      <c r="I187" s="93">
        <v>31</v>
      </c>
      <c r="J187" s="92">
        <v>245</v>
      </c>
      <c r="K187" s="62"/>
    </row>
    <row r="188" spans="2:11" customFormat="1" ht="15" customHeight="1">
      <c r="B188" s="94">
        <v>2013</v>
      </c>
      <c r="C188" s="93">
        <v>46</v>
      </c>
      <c r="D188" s="93">
        <v>54</v>
      </c>
      <c r="E188" s="93">
        <v>35</v>
      </c>
      <c r="F188" s="93">
        <v>29</v>
      </c>
      <c r="G188" s="93">
        <v>33</v>
      </c>
      <c r="H188" s="93">
        <v>29</v>
      </c>
      <c r="I188" s="93">
        <v>41</v>
      </c>
      <c r="J188" s="94">
        <v>267</v>
      </c>
      <c r="K188" s="62"/>
    </row>
    <row r="189" spans="2:11" customFormat="1" ht="15" customHeight="1">
      <c r="B189" s="94">
        <v>2014</v>
      </c>
      <c r="C189" s="93">
        <v>37</v>
      </c>
      <c r="D189" s="93">
        <v>56</v>
      </c>
      <c r="E189" s="93">
        <v>51</v>
      </c>
      <c r="F189" s="93">
        <v>38</v>
      </c>
      <c r="G189" s="93">
        <v>33</v>
      </c>
      <c r="H189" s="93">
        <v>35</v>
      </c>
      <c r="I189" s="93">
        <v>30</v>
      </c>
      <c r="J189" s="92">
        <v>280</v>
      </c>
      <c r="K189" s="65"/>
    </row>
    <row r="190" spans="2:11" customFormat="1" ht="15" customHeight="1">
      <c r="B190" s="94">
        <v>2015</v>
      </c>
      <c r="C190" s="93">
        <v>43</v>
      </c>
      <c r="D190" s="93">
        <v>42</v>
      </c>
      <c r="E190" s="93">
        <v>51</v>
      </c>
      <c r="F190" s="93">
        <v>49</v>
      </c>
      <c r="G190" s="93">
        <v>34</v>
      </c>
      <c r="H190" s="93">
        <v>33</v>
      </c>
      <c r="I190" s="93">
        <v>37</v>
      </c>
      <c r="J190" s="92">
        <v>289</v>
      </c>
      <c r="K190" s="65"/>
    </row>
    <row r="191" spans="2:11" customFormat="1" ht="15" customHeight="1">
      <c r="B191" s="94">
        <v>2016</v>
      </c>
      <c r="C191" s="93">
        <v>51</v>
      </c>
      <c r="D191" s="93">
        <v>44</v>
      </c>
      <c r="E191" s="93">
        <v>42</v>
      </c>
      <c r="F191" s="93">
        <v>48</v>
      </c>
      <c r="G191" s="93">
        <v>47</v>
      </c>
      <c r="H191" s="93">
        <v>30</v>
      </c>
      <c r="I191" s="93">
        <v>31</v>
      </c>
      <c r="J191" s="92">
        <v>293</v>
      </c>
      <c r="K191" s="65"/>
    </row>
    <row r="192" spans="2:11" ht="15" customHeight="1">
      <c r="B192" s="94">
        <v>2017</v>
      </c>
      <c r="C192" s="93">
        <f>VLOOKUP($E$3,Rolls!A1:FA90,42,FALSE)</f>
        <v>41</v>
      </c>
      <c r="D192" s="93">
        <f>VLOOKUP($E$3,Rolls!A1:FA90,43,FALSE)</f>
        <v>39</v>
      </c>
      <c r="E192" s="93">
        <f>VLOOKUP($E$3,Rolls!A1:FA90,44,FALSE)</f>
        <v>35</v>
      </c>
      <c r="F192" s="93">
        <f>VLOOKUP($E$3,Rolls!A1:FA90,45,FALSE)</f>
        <v>30</v>
      </c>
      <c r="G192" s="93">
        <f>VLOOKUP($E$3,Rolls!A1:FA90,46,FALSE)</f>
        <v>43</v>
      </c>
      <c r="H192" s="93">
        <f>VLOOKUP($E$3,Rolls!A1:FA90,47,FALSE)</f>
        <v>41</v>
      </c>
      <c r="I192" s="93">
        <f>VLOOKUP($E$3,Rolls!A1:FA90,48,FALSE)</f>
        <v>31</v>
      </c>
      <c r="J192" s="92">
        <f>VLOOKUP($E$3,Rolls!A1:FA90,49,FALSE)</f>
        <v>260</v>
      </c>
      <c r="K192" s="65"/>
    </row>
    <row r="193" spans="2:11" ht="15" customHeight="1">
      <c r="B193" s="94">
        <v>2018</v>
      </c>
      <c r="C193" s="93">
        <f>VLOOKUP($E$3,Rolls!A1:FA90,50,FALSE)</f>
        <v>56</v>
      </c>
      <c r="D193" s="93">
        <f>VLOOKUP($E$3,Rolls!A1:FA90,51,FALSE)</f>
        <v>41</v>
      </c>
      <c r="E193" s="93">
        <f>VLOOKUP($E$3,Rolls!A1:FA90,52,FALSE)</f>
        <v>36</v>
      </c>
      <c r="F193" s="93">
        <f>VLOOKUP($E$3,Rolls!A1:FA90,53,FALSE)</f>
        <v>36</v>
      </c>
      <c r="G193" s="93">
        <f>VLOOKUP($E$3,Rolls!A1:FA90,54,FALSE)</f>
        <v>29</v>
      </c>
      <c r="H193" s="93">
        <f>VLOOKUP($E$3,Rolls!A1:FA90,55,FALSE)</f>
        <v>38</v>
      </c>
      <c r="I193" s="93">
        <f>VLOOKUP($E$3,Rolls!A1:FA90,56,FALSE)</f>
        <v>43</v>
      </c>
      <c r="J193" s="92">
        <f>VLOOKUP($E$3,Rolls!A1:FA90,57,FALSE)</f>
        <v>279</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56</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Preston Street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315 Pupils (12 classes)</v>
      </c>
      <c r="G12" s="16"/>
      <c r="H12" s="16"/>
    </row>
    <row r="13" spans="2:10" ht="15" customHeight="1">
      <c r="C13" s="16"/>
      <c r="D13" s="16"/>
      <c r="E13" s="16"/>
      <c r="F13" s="16"/>
      <c r="G13" s="16"/>
      <c r="H13" s="16"/>
    </row>
    <row r="14" spans="2:10" ht="15" customHeight="1">
      <c r="B14" s="15" t="str">
        <f>"Figure 1: "&amp;E3&amp;" Roll, 2002-2015"</f>
        <v>Figure 1: Preston Street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Preston Street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35</v>
      </c>
      <c r="E49" s="108">
        <f>VLOOKUP($E$3,'Catchment Projections'!$A$1:$BU$90,46,FALSE)</f>
        <v>33</v>
      </c>
      <c r="F49" s="108">
        <f>VLOOKUP($E$3,'Catchment Projections'!$A$1:$BU$90,47,FALSE)</f>
        <v>29</v>
      </c>
      <c r="G49" s="108">
        <f>VLOOKUP($E$3,'Catchment Projections'!$A$1:$BU$90,48,FALSE)</f>
        <v>24</v>
      </c>
      <c r="H49" s="133">
        <f>VLOOKUP($E$3,'Catchment Projections'!$A$1:$BU$90,49,FALSE)</f>
        <v>29</v>
      </c>
      <c r="I49" s="133">
        <f>VLOOKUP($E$3,'Catchment Projections'!$A$1:$BU$90,50,FALSE)</f>
        <v>29</v>
      </c>
      <c r="J49" s="133">
        <f>VLOOKUP($E$3,'Catchment Projections'!$A$1:$BU$90,51,FALSE)</f>
        <v>30</v>
      </c>
      <c r="K49" s="133">
        <f>VLOOKUP($E$3,'Catchment Projections'!$A$1:$BU$90,52,FALSE)</f>
        <v>30</v>
      </c>
      <c r="L49" s="133">
        <f>VLOOKUP($E$3,'Catchment Projections'!$A$1:$BU$90,53,FALSE)</f>
        <v>30</v>
      </c>
      <c r="M49" s="133">
        <f>VLOOKUP($E$3,'Catchment Projections'!$A$1:$BU$90,54,FALSE)</f>
        <v>31</v>
      </c>
      <c r="N49" s="133">
        <f>VLOOKUP($E$3,'Catchment Projections'!$A$1:$BU$90,55,FALSE)</f>
        <v>31</v>
      </c>
      <c r="O49" s="133">
        <f>VLOOKUP($E$3,'Catchment Projections'!$A$1:$BU$90,56,FALSE)</f>
        <v>31</v>
      </c>
      <c r="P49" s="133">
        <f>VLOOKUP($E$3,'Catchment Projections'!$A$1:$BU$90,57,FALSE)</f>
        <v>31</v>
      </c>
      <c r="Q49" s="133">
        <f>VLOOKUP($E$3,'Catchment Projections'!$A$1:$BU$90,58,FALSE)</f>
        <v>31</v>
      </c>
    </row>
    <row r="50" spans="2:17" ht="15" customHeight="1" thickBot="1">
      <c r="B50" s="410" t="s">
        <v>141</v>
      </c>
      <c r="C50" s="411"/>
      <c r="D50" s="286">
        <f>VLOOKUP(E3,'Housing Generation'!$A$3:$DQ$90,10,FALSE)</f>
        <v>1</v>
      </c>
      <c r="E50" s="286">
        <f>VLOOKUP(E3,'Housing Generation'!$A$3:$DQ$90,18,FALSE)</f>
        <v>1</v>
      </c>
      <c r="F50" s="286">
        <f>VLOOKUP(E3,'Housing Generation'!$A$3:$DQ$90,26,FALSE)</f>
        <v>1</v>
      </c>
      <c r="G50" s="243">
        <f>VLOOKUP(E3,'Housing Generation'!$A$3:$DQ$90,34,FALSE)</f>
        <v>1</v>
      </c>
      <c r="H50" s="133">
        <f>VLOOKUP(E3,'Housing Generation'!$A$3:$DQ$90,42,FALSE)</f>
        <v>1</v>
      </c>
      <c r="I50" s="133">
        <f>VLOOKUP(E3,'Housing Generation'!$A$3:$DQ$90,50,FALSE)</f>
        <v>1</v>
      </c>
      <c r="J50" s="133">
        <f>VLOOKUP(E3,'Housing Generation'!$A$3:$CK$90,58,FALSE)</f>
        <v>1</v>
      </c>
      <c r="K50" s="133">
        <f>VLOOKUP(E3,'Housing Generation'!$A$3:$CK$90,66,FALSE)</f>
        <v>1</v>
      </c>
      <c r="L50" s="133">
        <f>VLOOKUP(E3,'Housing Generation'!$A$3:$DQ$90,74,FALSE)</f>
        <v>1</v>
      </c>
      <c r="M50" s="133">
        <f>VLOOKUP(E3,'Housing Generation'!$A$3:$DQ$90,82,FALSE)</f>
        <v>1</v>
      </c>
      <c r="N50" s="133">
        <f>VLOOKUP(E3,'Housing Generation'!$A$3:$DQ$90,90,FALSE)</f>
        <v>1</v>
      </c>
      <c r="O50" s="133">
        <f>VLOOKUP(E3,'Housing Generation'!$A$3:$DQ$90,98,FALSE)</f>
        <v>1</v>
      </c>
      <c r="P50" s="133">
        <f>VLOOKUP(E3,'Housing Generation'!$A$3:$DQ$90,106,FALSE)</f>
        <v>1</v>
      </c>
      <c r="Q50" s="133">
        <f>VLOOKUP(E3,'Housing Generation'!$A$3:$DQ$90,114,FALSE)</f>
        <v>1</v>
      </c>
    </row>
    <row r="51" spans="2:17" ht="15" customHeight="1" thickTop="1">
      <c r="B51" s="421" t="s">
        <v>130</v>
      </c>
      <c r="C51" s="422"/>
      <c r="D51" s="47">
        <f t="shared" ref="D51:Q51" si="0">SUM(D49:D50)</f>
        <v>36</v>
      </c>
      <c r="E51" s="47">
        <f t="shared" si="0"/>
        <v>34</v>
      </c>
      <c r="F51" s="80">
        <f t="shared" si="0"/>
        <v>30</v>
      </c>
      <c r="G51" s="244">
        <f t="shared" si="0"/>
        <v>25</v>
      </c>
      <c r="H51" s="71">
        <f t="shared" si="0"/>
        <v>30</v>
      </c>
      <c r="I51" s="71">
        <f t="shared" si="0"/>
        <v>30</v>
      </c>
      <c r="J51" s="71">
        <f t="shared" si="0"/>
        <v>31</v>
      </c>
      <c r="K51" s="71">
        <f t="shared" si="0"/>
        <v>31</v>
      </c>
      <c r="L51" s="71">
        <f t="shared" si="0"/>
        <v>31</v>
      </c>
      <c r="M51" s="71">
        <f t="shared" si="0"/>
        <v>32</v>
      </c>
      <c r="N51" s="71">
        <f t="shared" si="0"/>
        <v>32</v>
      </c>
      <c r="O51" s="71">
        <f t="shared" si="0"/>
        <v>32</v>
      </c>
      <c r="P51" s="71">
        <f t="shared" si="0"/>
        <v>32</v>
      </c>
      <c r="Q51" s="71">
        <f t="shared" si="0"/>
        <v>32</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46</v>
      </c>
      <c r="D60" s="358">
        <f>VLOOKUP($E$3,'Catchment Projections'!$A$1:$BZ$90,74,FALSE)</f>
        <v>39</v>
      </c>
      <c r="E60" s="303">
        <f>D60/C60</f>
        <v>0.84782608695652173</v>
      </c>
      <c r="G60" s="132">
        <v>2014</v>
      </c>
      <c r="H60" s="395">
        <f>VLOOKUP($G$60,$B$177:$C$215, 2, FALSE)</f>
        <v>49</v>
      </c>
      <c r="I60" s="120">
        <f>H60-D60</f>
        <v>10</v>
      </c>
      <c r="J60" s="121">
        <f>I60/H60</f>
        <v>0.20408163265306123</v>
      </c>
    </row>
    <row r="61" spans="2:17" ht="15" customHeight="1">
      <c r="B61" s="132">
        <v>2015</v>
      </c>
      <c r="C61" s="359">
        <f>VLOOKUP($E$3,'Catchment Projections'!$A$1:$BZ$90,41,FALSE)</f>
        <v>41</v>
      </c>
      <c r="D61" s="358">
        <f>VLOOKUP($E$3,'Catchment Projections'!$A$1:$BZ$90,75,FALSE)</f>
        <v>39</v>
      </c>
      <c r="E61" s="303">
        <f>D61/C61</f>
        <v>0.95121951219512191</v>
      </c>
      <c r="G61" s="132">
        <v>2015</v>
      </c>
      <c r="H61" s="395">
        <f>VLOOKUP($G$61,$B$177:$C$215, 2, FALSE)</f>
        <v>43</v>
      </c>
      <c r="I61" s="120">
        <f>H61-D61</f>
        <v>4</v>
      </c>
      <c r="J61" s="121">
        <f>I61/H61</f>
        <v>9.3023255813953487E-2</v>
      </c>
    </row>
    <row r="62" spans="2:17" ht="15" customHeight="1">
      <c r="B62" s="131">
        <v>2016</v>
      </c>
      <c r="C62" s="359">
        <f>VLOOKUP($E$3,'Catchment Projections'!$A$1:$BZ$90,42,FALSE)</f>
        <v>30</v>
      </c>
      <c r="D62" s="358">
        <f>VLOOKUP($E$3,'Catchment Projections'!$A$1:$BZ$90,76,FALSE)</f>
        <v>26</v>
      </c>
      <c r="E62" s="57">
        <f>D62/C62</f>
        <v>0.8666666666666667</v>
      </c>
      <c r="G62" s="131">
        <v>2016</v>
      </c>
      <c r="H62" s="395">
        <f>VLOOKUP($G$62,$B$177:$C$215, 2, FALSE)</f>
        <v>32</v>
      </c>
      <c r="I62" s="120">
        <f>H62-D62</f>
        <v>6</v>
      </c>
      <c r="J62" s="121">
        <f>I62/H62</f>
        <v>0.1875</v>
      </c>
    </row>
    <row r="63" spans="2:17" ht="15" customHeight="1">
      <c r="B63" s="114">
        <v>2017</v>
      </c>
      <c r="C63" s="359">
        <f>VLOOKUP($E$3,'Catchment Projections'!$A$1:$BZ$90,43,FALSE)</f>
        <v>35</v>
      </c>
      <c r="D63" s="358">
        <f>VLOOKUP($E$3,'Catchment Projections'!$A$1:$BZ$90,77,FALSE)</f>
        <v>34</v>
      </c>
      <c r="E63" s="304">
        <f>D63/C63</f>
        <v>0.97142857142857142</v>
      </c>
      <c r="G63" s="114">
        <v>2017</v>
      </c>
      <c r="H63" s="395">
        <f>VLOOKUP($G$63,$B$177:$C$215, 2, FALSE)</f>
        <v>42</v>
      </c>
      <c r="I63" s="120">
        <f>H63-D63</f>
        <v>8</v>
      </c>
      <c r="J63" s="121">
        <f>I63/H63</f>
        <v>0.19047619047619047</v>
      </c>
    </row>
    <row r="64" spans="2:17" ht="15" customHeight="1">
      <c r="B64" s="114">
        <v>2018</v>
      </c>
      <c r="C64" s="359">
        <f>VLOOKUP($E$3,'Catchment Projections'!$A$1:$BZ$90,44,FALSE)</f>
        <v>34</v>
      </c>
      <c r="D64" s="358">
        <f>VLOOKUP($E$3,'Catchment Projections'!$A$1:$BZ$90,78,FALSE)</f>
        <v>29</v>
      </c>
      <c r="E64" s="305">
        <f>D64/C64</f>
        <v>0.8529411764705882</v>
      </c>
      <c r="G64" s="114">
        <v>2018</v>
      </c>
      <c r="H64" s="395">
        <f>VLOOKUP($G$64,$B$177:$C$215, 2, FALSE)</f>
        <v>47</v>
      </c>
      <c r="I64" s="120">
        <f>H64-D64</f>
        <v>18</v>
      </c>
      <c r="J64" s="121">
        <f>I64/H64</f>
        <v>0.38297872340425532</v>
      </c>
    </row>
    <row r="65" spans="2:10" ht="15" customHeight="1">
      <c r="B65" s="412" t="s">
        <v>136</v>
      </c>
      <c r="C65" s="413"/>
      <c r="D65" s="414"/>
      <c r="E65" s="137">
        <f>IF((AVERAGE(E62:E64))="#DIV/0!","n/a",(AVERAGE(E62:E64)))</f>
        <v>0.89701213818860881</v>
      </c>
      <c r="G65" s="415" t="s">
        <v>137</v>
      </c>
      <c r="H65" s="416"/>
      <c r="I65" s="138">
        <f>MEDIAN(I60:I64)</f>
        <v>8</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36</v>
      </c>
      <c r="D70" s="408"/>
      <c r="E70" s="122">
        <f>E65</f>
        <v>0.89701213818860881</v>
      </c>
      <c r="F70" s="120">
        <f t="shared" ref="F70:F83" si="1">C70*$E$65</f>
        <v>32.292436974789915</v>
      </c>
      <c r="G70" s="118">
        <f>IF(F70&lt;26,25,IF(F70&gt;135,140,IF(F70&gt;130,135,IF(F70&gt;125,130,IF(F70&gt;120,125,IF(F70&gt;115,120,IF(F70&gt;110,115,IF(F70&gt;105,110,IF(F70&gt;100,105,IF(F70&gt;99,100,IF(F70&gt;90,99,IF(F70&gt;75,90,IF(F70&gt;72,75,IF(F70&gt;66,72,IF(F70&gt;60,66,IF(F70&gt;50,60,IF(F70&gt;30,50,IF(F70&gt;25,30,0))))))))))))))))))</f>
        <v>50</v>
      </c>
      <c r="H70" s="119">
        <f t="shared" ref="H70:H83" si="2">G70-F70</f>
        <v>17.707563025210085</v>
      </c>
      <c r="I70" s="118" t="str">
        <f>IF(I$65&lt;H70, "NO", "YES")</f>
        <v>NO</v>
      </c>
      <c r="J70" s="117">
        <f t="shared" ref="J70:J83" si="3">IF(I70="YES",G70,(MIN((SUM(F70,$I$65)),G70)))</f>
        <v>40.292436974789915</v>
      </c>
    </row>
    <row r="71" spans="2:10" ht="15" customHeight="1">
      <c r="B71" s="114">
        <v>2020</v>
      </c>
      <c r="C71" s="433">
        <f>E51</f>
        <v>34</v>
      </c>
      <c r="D71" s="408"/>
      <c r="E71" s="121">
        <f>E65</f>
        <v>0.89701213818860881</v>
      </c>
      <c r="F71" s="120">
        <f t="shared" si="1"/>
        <v>30.4984126984127</v>
      </c>
      <c r="G71" s="118">
        <f t="shared" ref="G71:G83" si="4">IF(F71&lt;26,25,IF(F71&gt;135,140,IF(F71&gt;130,135,IF(F71&gt;125,130,IF(F71&gt;120,125,IF(F71&gt;115,120,IF(F71&gt;110,115,IF(F71&gt;105,110,IF(F71&gt;100,105,IF(F71&gt;99,100,IF(F71&gt;90,99,IF(F71&gt;75,90,IF(F71&gt;72,75,IF(F71&gt;66,72,IF(F71&gt;60,66,IF(F71&gt;50,60,IF(F71&gt;30,50,IF(F71&gt;25,30,0))))))))))))))))))</f>
        <v>50</v>
      </c>
      <c r="H71" s="119">
        <f t="shared" si="2"/>
        <v>19.5015873015873</v>
      </c>
      <c r="I71" s="118" t="str">
        <f t="shared" ref="I71:I83" si="5">IF(I$65&lt;H71, "NO", "YES")</f>
        <v>NO</v>
      </c>
      <c r="J71" s="117">
        <f t="shared" si="3"/>
        <v>38.4984126984127</v>
      </c>
    </row>
    <row r="72" spans="2:10" ht="15" customHeight="1">
      <c r="B72" s="114">
        <v>2021</v>
      </c>
      <c r="C72" s="430">
        <f>F51</f>
        <v>30</v>
      </c>
      <c r="D72" s="431"/>
      <c r="E72" s="121">
        <f>E65</f>
        <v>0.89701213818860881</v>
      </c>
      <c r="F72" s="120">
        <f t="shared" si="1"/>
        <v>26.910364145658264</v>
      </c>
      <c r="G72" s="118">
        <f t="shared" si="4"/>
        <v>30</v>
      </c>
      <c r="H72" s="119">
        <f t="shared" si="2"/>
        <v>3.0896358543417364</v>
      </c>
      <c r="I72" s="118" t="str">
        <f t="shared" si="5"/>
        <v>YES</v>
      </c>
      <c r="J72" s="117">
        <f t="shared" si="3"/>
        <v>30</v>
      </c>
    </row>
    <row r="73" spans="2:10" ht="15" customHeight="1">
      <c r="B73" s="114">
        <v>2022</v>
      </c>
      <c r="C73" s="430">
        <f>G51</f>
        <v>25</v>
      </c>
      <c r="D73" s="431"/>
      <c r="E73" s="121">
        <f>E65</f>
        <v>0.89701213818860881</v>
      </c>
      <c r="F73" s="120">
        <f t="shared" si="1"/>
        <v>22.42530345471522</v>
      </c>
      <c r="G73" s="118">
        <f t="shared" si="4"/>
        <v>25</v>
      </c>
      <c r="H73" s="119">
        <f t="shared" si="2"/>
        <v>2.5746965452847803</v>
      </c>
      <c r="I73" s="118" t="str">
        <f t="shared" si="5"/>
        <v>YES</v>
      </c>
      <c r="J73" s="117">
        <f t="shared" si="3"/>
        <v>25</v>
      </c>
    </row>
    <row r="74" spans="2:10" ht="15" customHeight="1">
      <c r="B74" s="114">
        <v>2023</v>
      </c>
      <c r="C74" s="430">
        <f>H51</f>
        <v>30</v>
      </c>
      <c r="D74" s="431"/>
      <c r="E74" s="121">
        <f>E65</f>
        <v>0.89701213818860881</v>
      </c>
      <c r="F74" s="120">
        <f t="shared" si="1"/>
        <v>26.910364145658264</v>
      </c>
      <c r="G74" s="118">
        <f t="shared" si="4"/>
        <v>30</v>
      </c>
      <c r="H74" s="119">
        <f t="shared" si="2"/>
        <v>3.0896358543417364</v>
      </c>
      <c r="I74" s="118" t="str">
        <f t="shared" si="5"/>
        <v>YES</v>
      </c>
      <c r="J74" s="117">
        <f t="shared" si="3"/>
        <v>30</v>
      </c>
    </row>
    <row r="75" spans="2:10" ht="15" customHeight="1">
      <c r="B75" s="114">
        <v>2024</v>
      </c>
      <c r="C75" s="430">
        <f>I51</f>
        <v>30</v>
      </c>
      <c r="D75" s="431"/>
      <c r="E75" s="121">
        <f>E65</f>
        <v>0.89701213818860881</v>
      </c>
      <c r="F75" s="120">
        <f t="shared" si="1"/>
        <v>26.910364145658264</v>
      </c>
      <c r="G75" s="118">
        <f t="shared" si="4"/>
        <v>30</v>
      </c>
      <c r="H75" s="119">
        <f t="shared" si="2"/>
        <v>3.0896358543417364</v>
      </c>
      <c r="I75" s="118" t="str">
        <f t="shared" si="5"/>
        <v>YES</v>
      </c>
      <c r="J75" s="117">
        <f t="shared" si="3"/>
        <v>30</v>
      </c>
    </row>
    <row r="76" spans="2:10" ht="15" customHeight="1">
      <c r="B76" s="114">
        <v>2025</v>
      </c>
      <c r="C76" s="430">
        <f>J51</f>
        <v>31</v>
      </c>
      <c r="D76" s="431"/>
      <c r="E76" s="121">
        <f>E65</f>
        <v>0.89701213818860881</v>
      </c>
      <c r="F76" s="120">
        <f t="shared" si="1"/>
        <v>27.807376283846875</v>
      </c>
      <c r="G76" s="118">
        <f t="shared" si="4"/>
        <v>30</v>
      </c>
      <c r="H76" s="119">
        <f t="shared" si="2"/>
        <v>2.1926237161531255</v>
      </c>
      <c r="I76" s="118" t="str">
        <f t="shared" si="5"/>
        <v>YES</v>
      </c>
      <c r="J76" s="117">
        <f t="shared" si="3"/>
        <v>30</v>
      </c>
    </row>
    <row r="77" spans="2:10" ht="15" customHeight="1">
      <c r="B77" s="114">
        <v>2026</v>
      </c>
      <c r="C77" s="430">
        <f>K51</f>
        <v>31</v>
      </c>
      <c r="D77" s="431"/>
      <c r="E77" s="121">
        <f>E65</f>
        <v>0.89701213818860881</v>
      </c>
      <c r="F77" s="120">
        <f t="shared" si="1"/>
        <v>27.807376283846875</v>
      </c>
      <c r="G77" s="118">
        <f t="shared" si="4"/>
        <v>30</v>
      </c>
      <c r="H77" s="119">
        <f t="shared" si="2"/>
        <v>2.1926237161531255</v>
      </c>
      <c r="I77" s="118" t="str">
        <f t="shared" si="5"/>
        <v>YES</v>
      </c>
      <c r="J77" s="117">
        <f t="shared" si="3"/>
        <v>30</v>
      </c>
    </row>
    <row r="78" spans="2:10" ht="15" customHeight="1">
      <c r="B78" s="114">
        <v>2027</v>
      </c>
      <c r="C78" s="430">
        <f>L51</f>
        <v>31</v>
      </c>
      <c r="D78" s="431"/>
      <c r="E78" s="121">
        <f>E65</f>
        <v>0.89701213818860881</v>
      </c>
      <c r="F78" s="120">
        <f t="shared" si="1"/>
        <v>27.807376283846875</v>
      </c>
      <c r="G78" s="118">
        <f t="shared" si="4"/>
        <v>30</v>
      </c>
      <c r="H78" s="119">
        <f t="shared" si="2"/>
        <v>2.1926237161531255</v>
      </c>
      <c r="I78" s="118" t="str">
        <f t="shared" si="5"/>
        <v>YES</v>
      </c>
      <c r="J78" s="117">
        <f t="shared" si="3"/>
        <v>30</v>
      </c>
    </row>
    <row r="79" spans="2:10" ht="15" customHeight="1">
      <c r="B79" s="114">
        <v>2028</v>
      </c>
      <c r="C79" s="430">
        <f>M51</f>
        <v>32</v>
      </c>
      <c r="D79" s="431"/>
      <c r="E79" s="121">
        <f t="shared" ref="E79:E83" si="6">$E$65</f>
        <v>0.89701213818860881</v>
      </c>
      <c r="F79" s="120">
        <f t="shared" si="1"/>
        <v>28.704388422035482</v>
      </c>
      <c r="G79" s="118">
        <f t="shared" si="4"/>
        <v>30</v>
      </c>
      <c r="H79" s="119">
        <f t="shared" si="2"/>
        <v>1.2956115779645181</v>
      </c>
      <c r="I79" s="118" t="str">
        <f t="shared" si="5"/>
        <v>YES</v>
      </c>
      <c r="J79" s="117">
        <f t="shared" si="3"/>
        <v>30</v>
      </c>
    </row>
    <row r="80" spans="2:10" ht="15" customHeight="1">
      <c r="B80" s="114">
        <v>2029</v>
      </c>
      <c r="C80" s="430">
        <f>N51</f>
        <v>32</v>
      </c>
      <c r="D80" s="431"/>
      <c r="E80" s="121">
        <f t="shared" si="6"/>
        <v>0.89701213818860881</v>
      </c>
      <c r="F80" s="120">
        <f t="shared" si="1"/>
        <v>28.704388422035482</v>
      </c>
      <c r="G80" s="118">
        <f t="shared" si="4"/>
        <v>30</v>
      </c>
      <c r="H80" s="119">
        <f t="shared" si="2"/>
        <v>1.2956115779645181</v>
      </c>
      <c r="I80" s="118" t="str">
        <f t="shared" si="5"/>
        <v>YES</v>
      </c>
      <c r="J80" s="117">
        <f t="shared" si="3"/>
        <v>30</v>
      </c>
    </row>
    <row r="81" spans="2:10" ht="15" customHeight="1">
      <c r="B81" s="114">
        <v>2030</v>
      </c>
      <c r="C81" s="430">
        <f>O51</f>
        <v>32</v>
      </c>
      <c r="D81" s="431"/>
      <c r="E81" s="121">
        <f t="shared" si="6"/>
        <v>0.89701213818860881</v>
      </c>
      <c r="F81" s="120">
        <f t="shared" si="1"/>
        <v>28.704388422035482</v>
      </c>
      <c r="G81" s="118">
        <f t="shared" si="4"/>
        <v>30</v>
      </c>
      <c r="H81" s="119">
        <f t="shared" si="2"/>
        <v>1.2956115779645181</v>
      </c>
      <c r="I81" s="118" t="str">
        <f t="shared" si="5"/>
        <v>YES</v>
      </c>
      <c r="J81" s="117">
        <f t="shared" si="3"/>
        <v>30</v>
      </c>
    </row>
    <row r="82" spans="2:10" ht="15" customHeight="1">
      <c r="B82" s="114">
        <v>2031</v>
      </c>
      <c r="C82" s="430">
        <f>P51</f>
        <v>32</v>
      </c>
      <c r="D82" s="431"/>
      <c r="E82" s="121">
        <f t="shared" si="6"/>
        <v>0.89701213818860881</v>
      </c>
      <c r="F82" s="120">
        <f t="shared" si="1"/>
        <v>28.704388422035482</v>
      </c>
      <c r="G82" s="118">
        <f t="shared" si="4"/>
        <v>30</v>
      </c>
      <c r="H82" s="119">
        <f t="shared" si="2"/>
        <v>1.2956115779645181</v>
      </c>
      <c r="I82" s="118" t="str">
        <f t="shared" si="5"/>
        <v>YES</v>
      </c>
      <c r="J82" s="117">
        <f t="shared" si="3"/>
        <v>30</v>
      </c>
    </row>
    <row r="83" spans="2:10" ht="15" customHeight="1">
      <c r="B83" s="114">
        <v>2032</v>
      </c>
      <c r="C83" s="430">
        <f>Q51</f>
        <v>32</v>
      </c>
      <c r="D83" s="431"/>
      <c r="E83" s="121">
        <f t="shared" si="6"/>
        <v>0.89701213818860881</v>
      </c>
      <c r="F83" s="120">
        <f t="shared" si="1"/>
        <v>28.704388422035482</v>
      </c>
      <c r="G83" s="118">
        <f t="shared" si="4"/>
        <v>30</v>
      </c>
      <c r="H83" s="119">
        <f t="shared" si="2"/>
        <v>1.2956115779645181</v>
      </c>
      <c r="I83" s="118" t="str">
        <f t="shared" si="5"/>
        <v>YES</v>
      </c>
      <c r="J83" s="117">
        <f t="shared" si="3"/>
        <v>30</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Preston Street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40</v>
      </c>
      <c r="D91" s="112">
        <f t="shared" ref="D91:J91" si="7">D188</f>
        <v>39</v>
      </c>
      <c r="E91" s="112">
        <f t="shared" si="7"/>
        <v>46</v>
      </c>
      <c r="F91" s="112">
        <f t="shared" si="7"/>
        <v>40</v>
      </c>
      <c r="G91" s="112">
        <f t="shared" si="7"/>
        <v>41</v>
      </c>
      <c r="H91" s="112">
        <f t="shared" si="7"/>
        <v>40</v>
      </c>
      <c r="I91" s="112">
        <f t="shared" si="7"/>
        <v>25</v>
      </c>
      <c r="J91" s="213">
        <f t="shared" si="7"/>
        <v>271</v>
      </c>
    </row>
    <row r="92" spans="2:10" ht="15" customHeight="1">
      <c r="B92" s="114">
        <v>2014</v>
      </c>
      <c r="C92" s="112">
        <f>C189</f>
        <v>49</v>
      </c>
      <c r="D92" s="112">
        <f t="shared" ref="D92:J92" si="8">D189</f>
        <v>43</v>
      </c>
      <c r="E92" s="112">
        <f t="shared" si="8"/>
        <v>39</v>
      </c>
      <c r="F92" s="112">
        <f t="shared" si="8"/>
        <v>44</v>
      </c>
      <c r="G92" s="112">
        <f t="shared" si="8"/>
        <v>38</v>
      </c>
      <c r="H92" s="112">
        <f t="shared" si="8"/>
        <v>41</v>
      </c>
      <c r="I92" s="112">
        <f t="shared" si="8"/>
        <v>38</v>
      </c>
      <c r="J92" s="213">
        <f t="shared" si="8"/>
        <v>292</v>
      </c>
    </row>
    <row r="93" spans="2:10" ht="15" customHeight="1">
      <c r="B93" s="114">
        <v>2015</v>
      </c>
      <c r="C93" s="112">
        <f>C190</f>
        <v>43</v>
      </c>
      <c r="D93" s="112">
        <f t="shared" ref="D93:J93" si="9">D190</f>
        <v>45</v>
      </c>
      <c r="E93" s="112">
        <f t="shared" si="9"/>
        <v>39</v>
      </c>
      <c r="F93" s="112">
        <f t="shared" si="9"/>
        <v>36</v>
      </c>
      <c r="G93" s="112">
        <f t="shared" si="9"/>
        <v>41</v>
      </c>
      <c r="H93" s="112">
        <f t="shared" si="9"/>
        <v>32</v>
      </c>
      <c r="I93" s="112">
        <f t="shared" si="9"/>
        <v>35</v>
      </c>
      <c r="J93" s="213">
        <f t="shared" si="9"/>
        <v>271</v>
      </c>
    </row>
    <row r="94" spans="2:10" ht="15" customHeight="1">
      <c r="B94" s="114">
        <v>2016</v>
      </c>
      <c r="C94" s="112">
        <f>C191</f>
        <v>32</v>
      </c>
      <c r="D94" s="112">
        <f t="shared" ref="D94:J94" si="10">D191</f>
        <v>41</v>
      </c>
      <c r="E94" s="112">
        <f t="shared" si="10"/>
        <v>43</v>
      </c>
      <c r="F94" s="112">
        <f t="shared" si="10"/>
        <v>40</v>
      </c>
      <c r="G94" s="112">
        <f t="shared" si="10"/>
        <v>41</v>
      </c>
      <c r="H94" s="112">
        <f t="shared" si="10"/>
        <v>38</v>
      </c>
      <c r="I94" s="112">
        <f t="shared" si="10"/>
        <v>31</v>
      </c>
      <c r="J94" s="213">
        <f t="shared" si="10"/>
        <v>266</v>
      </c>
    </row>
    <row r="95" spans="2:10" ht="15" customHeight="1">
      <c r="B95" s="114">
        <v>2017</v>
      </c>
      <c r="C95" s="112">
        <f>C192</f>
        <v>42</v>
      </c>
      <c r="D95" s="112">
        <f t="shared" ref="D95:J95" si="11">D192</f>
        <v>32</v>
      </c>
      <c r="E95" s="112">
        <f t="shared" si="11"/>
        <v>39</v>
      </c>
      <c r="F95" s="112">
        <f t="shared" si="11"/>
        <v>41</v>
      </c>
      <c r="G95" s="112">
        <f t="shared" si="11"/>
        <v>39</v>
      </c>
      <c r="H95" s="112">
        <f t="shared" si="11"/>
        <v>38</v>
      </c>
      <c r="I95" s="112">
        <f t="shared" si="11"/>
        <v>36</v>
      </c>
      <c r="J95" s="213">
        <f t="shared" si="11"/>
        <v>267</v>
      </c>
    </row>
    <row r="96" spans="2:10" ht="15" customHeight="1">
      <c r="B96" s="307">
        <v>2018</v>
      </c>
      <c r="C96" s="112">
        <f t="shared" ref="C96:J96" si="12">C193</f>
        <v>47</v>
      </c>
      <c r="D96" s="112">
        <f t="shared" si="12"/>
        <v>44</v>
      </c>
      <c r="E96" s="112">
        <f t="shared" si="12"/>
        <v>36</v>
      </c>
      <c r="F96" s="112">
        <f t="shared" si="12"/>
        <v>38</v>
      </c>
      <c r="G96" s="112">
        <f t="shared" si="12"/>
        <v>48</v>
      </c>
      <c r="H96" s="112">
        <f t="shared" si="12"/>
        <v>39</v>
      </c>
      <c r="I96" s="112">
        <f t="shared" si="12"/>
        <v>42</v>
      </c>
      <c r="J96" s="213">
        <f t="shared" si="12"/>
        <v>294</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0</v>
      </c>
      <c r="E98" s="210">
        <f t="shared" ref="E98:I98" si="13">MEDIAN(((D91-E92)/D91),((D92-E93)/D92),((D93-E94)/D93),((D94-E95)/D94),((D95-E96)/D95))</f>
        <v>4.4444444444444446E-2</v>
      </c>
      <c r="F98" s="210">
        <f t="shared" si="13"/>
        <v>4.3478260869565216E-2</v>
      </c>
      <c r="G98" s="210">
        <f t="shared" si="13"/>
        <v>2.5000000000000001E-2</v>
      </c>
      <c r="H98" s="210">
        <f t="shared" si="13"/>
        <v>7.3170731707317069E-2</v>
      </c>
      <c r="I98" s="210">
        <f t="shared" si="13"/>
        <v>0.05</v>
      </c>
    </row>
    <row r="99" spans="2:10" ht="18.75">
      <c r="B99" s="59"/>
      <c r="C99" s="60"/>
      <c r="D99" s="61"/>
      <c r="E99" s="61"/>
      <c r="F99" s="61"/>
      <c r="G99" s="61"/>
      <c r="H99" s="61"/>
      <c r="I99" s="61"/>
      <c r="J99" s="58"/>
    </row>
    <row r="100" spans="2:10">
      <c r="B100" s="15" t="str">
        <f>"Table 4B: "&amp;E3&amp;" Projected Roll by Stage (incorporating Projected P1 and Drop-Off Rates), 2019-2032"</f>
        <v>Table 4B: Preston Street Primary School Projected Roll by Stage (incorporating Projected P1 and Drop-Off Rates), 2019-2032</v>
      </c>
      <c r="F100" s="14"/>
      <c r="G100" s="14"/>
    </row>
    <row r="101" spans="2:10" ht="12.75">
      <c r="F101" s="14"/>
      <c r="G101" s="14"/>
    </row>
    <row r="102" spans="2:10">
      <c r="B102" s="115"/>
      <c r="C102" s="109" t="s">
        <v>1</v>
      </c>
      <c r="D102" s="109" t="s">
        <v>2</v>
      </c>
      <c r="E102" s="109" t="s">
        <v>3</v>
      </c>
      <c r="F102" s="109" t="s">
        <v>4</v>
      </c>
      <c r="G102" s="109" t="s">
        <v>5</v>
      </c>
      <c r="H102" s="109" t="s">
        <v>6</v>
      </c>
      <c r="I102" s="109" t="s">
        <v>7</v>
      </c>
      <c r="J102" s="109" t="s">
        <v>8</v>
      </c>
    </row>
    <row r="103" spans="2:10">
      <c r="B103" s="114">
        <v>2019</v>
      </c>
      <c r="C103" s="113">
        <f t="shared" ref="C103:C116" si="14">J70</f>
        <v>40.292436974789915</v>
      </c>
      <c r="D103" s="324">
        <f>ROUND((C96)-(C96*$D$98),0)</f>
        <v>47</v>
      </c>
      <c r="E103" s="324">
        <f>ROUND((D96)-(D96*$E$98),0)</f>
        <v>42</v>
      </c>
      <c r="F103" s="324">
        <f>ROUND((E96)-(E96*$F$98),0)</f>
        <v>34</v>
      </c>
      <c r="G103" s="324">
        <f>ROUND((F96)-(F96*$G$98),0)</f>
        <v>37</v>
      </c>
      <c r="H103" s="324">
        <f>ROUND((G96)-(G96*$H$98),0)</f>
        <v>44</v>
      </c>
      <c r="I103" s="324">
        <f>ROUND((H96)-(H96*$I$98),0)</f>
        <v>37</v>
      </c>
      <c r="J103" s="111">
        <f t="shared" ref="J103:J116" si="15">SUM(C103:I103)</f>
        <v>281.29243697478989</v>
      </c>
    </row>
    <row r="104" spans="2:10">
      <c r="B104" s="114">
        <v>2020</v>
      </c>
      <c r="C104" s="113">
        <f t="shared" si="14"/>
        <v>38.4984126984127</v>
      </c>
      <c r="D104" s="324">
        <f>ROUND((C103-E50)-(C103*$D$98),0)</f>
        <v>39</v>
      </c>
      <c r="E104" s="112">
        <f t="shared" ref="E104:E116" si="16">ROUND((D103)-(D103*$E$98),0)</f>
        <v>45</v>
      </c>
      <c r="F104" s="112">
        <f t="shared" ref="F104:F116" si="17">ROUND((E103)-(E103*$F$98),0)</f>
        <v>40</v>
      </c>
      <c r="G104" s="112">
        <f t="shared" ref="G104:G116" si="18">ROUND((F103)-(F103*$G$98),0)</f>
        <v>33</v>
      </c>
      <c r="H104" s="112">
        <f t="shared" ref="H104:H116" si="19">ROUND((G103)-(G103*$H$98),0)</f>
        <v>34</v>
      </c>
      <c r="I104" s="112">
        <f t="shared" ref="I104:I116" si="20">ROUND((H103)-(H103*$I$98),0)</f>
        <v>42</v>
      </c>
      <c r="J104" s="111">
        <f t="shared" si="15"/>
        <v>271.49841269841272</v>
      </c>
    </row>
    <row r="105" spans="2:10">
      <c r="B105" s="114">
        <v>2021</v>
      </c>
      <c r="C105" s="113">
        <f t="shared" si="14"/>
        <v>30</v>
      </c>
      <c r="D105" s="324">
        <f>ROUND((C104-F50)-(C104*$D$98),0)</f>
        <v>37</v>
      </c>
      <c r="E105" s="112">
        <f t="shared" si="16"/>
        <v>37</v>
      </c>
      <c r="F105" s="112">
        <f t="shared" si="17"/>
        <v>43</v>
      </c>
      <c r="G105" s="112">
        <f t="shared" si="18"/>
        <v>39</v>
      </c>
      <c r="H105" s="112">
        <f t="shared" si="19"/>
        <v>31</v>
      </c>
      <c r="I105" s="112">
        <f t="shared" si="20"/>
        <v>32</v>
      </c>
      <c r="J105" s="111">
        <f t="shared" si="15"/>
        <v>249</v>
      </c>
    </row>
    <row r="106" spans="2:10">
      <c r="B106" s="114">
        <v>2022</v>
      </c>
      <c r="C106" s="113">
        <f t="shared" si="14"/>
        <v>25</v>
      </c>
      <c r="D106" s="324">
        <f>ROUND((C105-G50)-(C105*$D$98),0)</f>
        <v>29</v>
      </c>
      <c r="E106" s="112">
        <f t="shared" si="16"/>
        <v>35</v>
      </c>
      <c r="F106" s="112">
        <f t="shared" si="17"/>
        <v>35</v>
      </c>
      <c r="G106" s="112">
        <f t="shared" si="18"/>
        <v>42</v>
      </c>
      <c r="H106" s="112">
        <f t="shared" si="19"/>
        <v>36</v>
      </c>
      <c r="I106" s="112">
        <f t="shared" si="20"/>
        <v>29</v>
      </c>
      <c r="J106" s="111">
        <f t="shared" si="15"/>
        <v>231</v>
      </c>
    </row>
    <row r="107" spans="2:10">
      <c r="B107" s="114">
        <v>2023</v>
      </c>
      <c r="C107" s="113">
        <f t="shared" si="14"/>
        <v>30</v>
      </c>
      <c r="D107" s="324">
        <f>ROUND((C106-H50)-(C106*$D$98),0)</f>
        <v>24</v>
      </c>
      <c r="E107" s="112">
        <f t="shared" si="16"/>
        <v>28</v>
      </c>
      <c r="F107" s="112">
        <f t="shared" si="17"/>
        <v>33</v>
      </c>
      <c r="G107" s="112">
        <f t="shared" si="18"/>
        <v>34</v>
      </c>
      <c r="H107" s="112">
        <f t="shared" si="19"/>
        <v>39</v>
      </c>
      <c r="I107" s="112">
        <f t="shared" si="20"/>
        <v>34</v>
      </c>
      <c r="J107" s="111">
        <f t="shared" si="15"/>
        <v>222</v>
      </c>
    </row>
    <row r="108" spans="2:10">
      <c r="B108" s="114">
        <v>2024</v>
      </c>
      <c r="C108" s="113">
        <f t="shared" si="14"/>
        <v>30</v>
      </c>
      <c r="D108" s="324">
        <f>ROUND((C107-I50)-(C107*$D$98),0)</f>
        <v>29</v>
      </c>
      <c r="E108" s="112">
        <f t="shared" si="16"/>
        <v>23</v>
      </c>
      <c r="F108" s="112">
        <f t="shared" si="17"/>
        <v>27</v>
      </c>
      <c r="G108" s="112">
        <f t="shared" si="18"/>
        <v>32</v>
      </c>
      <c r="H108" s="112">
        <f t="shared" si="19"/>
        <v>32</v>
      </c>
      <c r="I108" s="112">
        <f t="shared" si="20"/>
        <v>37</v>
      </c>
      <c r="J108" s="111">
        <f t="shared" si="15"/>
        <v>210</v>
      </c>
    </row>
    <row r="109" spans="2:10">
      <c r="B109" s="114">
        <v>2025</v>
      </c>
      <c r="C109" s="113">
        <f t="shared" si="14"/>
        <v>30</v>
      </c>
      <c r="D109" s="324">
        <f>ROUND((C108-J50)-(C108*$D$98),0)</f>
        <v>29</v>
      </c>
      <c r="E109" s="112">
        <f t="shared" si="16"/>
        <v>28</v>
      </c>
      <c r="F109" s="112">
        <f t="shared" si="17"/>
        <v>22</v>
      </c>
      <c r="G109" s="112">
        <f t="shared" si="18"/>
        <v>26</v>
      </c>
      <c r="H109" s="112">
        <f t="shared" si="19"/>
        <v>30</v>
      </c>
      <c r="I109" s="112">
        <f t="shared" si="20"/>
        <v>30</v>
      </c>
      <c r="J109" s="111">
        <f t="shared" si="15"/>
        <v>195</v>
      </c>
    </row>
    <row r="110" spans="2:10">
      <c r="B110" s="114">
        <v>2026</v>
      </c>
      <c r="C110" s="113">
        <f t="shared" si="14"/>
        <v>30</v>
      </c>
      <c r="D110" s="324">
        <f>ROUND((C109-K50)-(C109*$D$98),0)</f>
        <v>29</v>
      </c>
      <c r="E110" s="112">
        <f t="shared" si="16"/>
        <v>28</v>
      </c>
      <c r="F110" s="112">
        <f t="shared" si="17"/>
        <v>27</v>
      </c>
      <c r="G110" s="112">
        <f t="shared" si="18"/>
        <v>21</v>
      </c>
      <c r="H110" s="112">
        <f t="shared" si="19"/>
        <v>24</v>
      </c>
      <c r="I110" s="112">
        <f t="shared" si="20"/>
        <v>29</v>
      </c>
      <c r="J110" s="111">
        <f t="shared" si="15"/>
        <v>188</v>
      </c>
    </row>
    <row r="111" spans="2:10">
      <c r="B111" s="114">
        <v>2027</v>
      </c>
      <c r="C111" s="113">
        <f t="shared" si="14"/>
        <v>30</v>
      </c>
      <c r="D111" s="324">
        <f>ROUND((C110-L50)-(C110*$D$98),0)</f>
        <v>29</v>
      </c>
      <c r="E111" s="112">
        <f t="shared" si="16"/>
        <v>28</v>
      </c>
      <c r="F111" s="112">
        <f t="shared" si="17"/>
        <v>27</v>
      </c>
      <c r="G111" s="112">
        <f t="shared" si="18"/>
        <v>26</v>
      </c>
      <c r="H111" s="112">
        <f t="shared" si="19"/>
        <v>19</v>
      </c>
      <c r="I111" s="112">
        <f t="shared" si="20"/>
        <v>23</v>
      </c>
      <c r="J111" s="111">
        <f t="shared" si="15"/>
        <v>182</v>
      </c>
    </row>
    <row r="112" spans="2:10">
      <c r="B112" s="114">
        <v>2028</v>
      </c>
      <c r="C112" s="113">
        <f t="shared" si="14"/>
        <v>30</v>
      </c>
      <c r="D112" s="324">
        <f>ROUND((C111-M50)-(C111*$D$98),0)</f>
        <v>29</v>
      </c>
      <c r="E112" s="112">
        <f t="shared" si="16"/>
        <v>28</v>
      </c>
      <c r="F112" s="112">
        <f t="shared" si="17"/>
        <v>27</v>
      </c>
      <c r="G112" s="112">
        <f t="shared" si="18"/>
        <v>26</v>
      </c>
      <c r="H112" s="112">
        <f t="shared" si="19"/>
        <v>24</v>
      </c>
      <c r="I112" s="112">
        <f t="shared" si="20"/>
        <v>18</v>
      </c>
      <c r="J112" s="111">
        <f t="shared" si="15"/>
        <v>182</v>
      </c>
    </row>
    <row r="113" spans="2:10" ht="15" customHeight="1">
      <c r="B113" s="114">
        <v>2029</v>
      </c>
      <c r="C113" s="113">
        <f t="shared" si="14"/>
        <v>30</v>
      </c>
      <c r="D113" s="324">
        <f>ROUND((C112-N50)-(C112*$D$98),0)</f>
        <v>29</v>
      </c>
      <c r="E113" s="112">
        <f t="shared" si="16"/>
        <v>28</v>
      </c>
      <c r="F113" s="112">
        <f t="shared" si="17"/>
        <v>27</v>
      </c>
      <c r="G113" s="112">
        <f t="shared" si="18"/>
        <v>26</v>
      </c>
      <c r="H113" s="112">
        <f t="shared" si="19"/>
        <v>24</v>
      </c>
      <c r="I113" s="112">
        <f t="shared" si="20"/>
        <v>23</v>
      </c>
      <c r="J113" s="111">
        <f t="shared" si="15"/>
        <v>187</v>
      </c>
    </row>
    <row r="114" spans="2:10" ht="15" customHeight="1">
      <c r="B114" s="114">
        <v>2030</v>
      </c>
      <c r="C114" s="113">
        <f t="shared" si="14"/>
        <v>30</v>
      </c>
      <c r="D114" s="324">
        <f>ROUND((C113-O50)-(C113*$D$98),0)</f>
        <v>29</v>
      </c>
      <c r="E114" s="112">
        <f t="shared" si="16"/>
        <v>28</v>
      </c>
      <c r="F114" s="112">
        <f t="shared" si="17"/>
        <v>27</v>
      </c>
      <c r="G114" s="112">
        <f t="shared" si="18"/>
        <v>26</v>
      </c>
      <c r="H114" s="112">
        <f t="shared" si="19"/>
        <v>24</v>
      </c>
      <c r="I114" s="112">
        <f t="shared" si="20"/>
        <v>23</v>
      </c>
      <c r="J114" s="111">
        <f t="shared" si="15"/>
        <v>187</v>
      </c>
    </row>
    <row r="115" spans="2:10" ht="15" customHeight="1">
      <c r="B115" s="114">
        <v>2031</v>
      </c>
      <c r="C115" s="113">
        <f t="shared" si="14"/>
        <v>30</v>
      </c>
      <c r="D115" s="324">
        <f>ROUND((C114-P50)-(C114*$D$98),0)</f>
        <v>29</v>
      </c>
      <c r="E115" s="112">
        <f t="shared" si="16"/>
        <v>28</v>
      </c>
      <c r="F115" s="112">
        <f t="shared" si="17"/>
        <v>27</v>
      </c>
      <c r="G115" s="112">
        <f t="shared" si="18"/>
        <v>26</v>
      </c>
      <c r="H115" s="112">
        <f t="shared" si="19"/>
        <v>24</v>
      </c>
      <c r="I115" s="112">
        <f t="shared" si="20"/>
        <v>23</v>
      </c>
      <c r="J115" s="111">
        <f t="shared" si="15"/>
        <v>187</v>
      </c>
    </row>
    <row r="116" spans="2:10" ht="15" customHeight="1">
      <c r="B116" s="114">
        <v>2032</v>
      </c>
      <c r="C116" s="113">
        <f t="shared" si="14"/>
        <v>30</v>
      </c>
      <c r="D116" s="324">
        <f>ROUND((C115-Q50)-(C115*$D$98),0)</f>
        <v>29</v>
      </c>
      <c r="E116" s="112">
        <f t="shared" si="16"/>
        <v>28</v>
      </c>
      <c r="F116" s="112">
        <f t="shared" si="17"/>
        <v>27</v>
      </c>
      <c r="G116" s="112">
        <f t="shared" si="18"/>
        <v>26</v>
      </c>
      <c r="H116" s="112">
        <f t="shared" si="19"/>
        <v>24</v>
      </c>
      <c r="I116" s="112">
        <f t="shared" si="20"/>
        <v>23</v>
      </c>
      <c r="J116" s="111">
        <f t="shared" si="15"/>
        <v>187</v>
      </c>
    </row>
    <row r="117" spans="2:10" ht="15" hidden="1" customHeight="1">
      <c r="F117" s="14"/>
      <c r="G117" s="14"/>
    </row>
    <row r="118" spans="2:10" ht="15" hidden="1" customHeight="1">
      <c r="B118" s="15" t="str">
        <f>"Table 4C: "&amp;E3&amp;" Projected Pupil Generation from Housing Development, 2019-2032"</f>
        <v>Table 4C: Preston Street Primary School Projected Pupil Generation from Housing Development, 2019-2032</v>
      </c>
      <c r="F118" s="14"/>
      <c r="G118" s="14"/>
    </row>
    <row r="119" spans="2:10" ht="15" hidden="1" customHeight="1">
      <c r="F119" s="14"/>
      <c r="G119" s="14"/>
    </row>
    <row r="120" spans="2:10" ht="15" hidden="1" customHeight="1">
      <c r="B120" s="115"/>
      <c r="C120" s="109" t="s">
        <v>1</v>
      </c>
      <c r="D120" s="109" t="s">
        <v>2</v>
      </c>
      <c r="E120" s="109" t="s">
        <v>3</v>
      </c>
      <c r="F120" s="109" t="s">
        <v>4</v>
      </c>
      <c r="G120" s="109" t="s">
        <v>5</v>
      </c>
      <c r="H120" s="109" t="s">
        <v>6</v>
      </c>
      <c r="I120" s="109" t="s">
        <v>7</v>
      </c>
      <c r="J120" s="109" t="s">
        <v>8</v>
      </c>
    </row>
    <row r="121" spans="2:10" ht="15" hidden="1" customHeight="1">
      <c r="B121" s="114">
        <v>2019</v>
      </c>
      <c r="C121" s="116" t="s">
        <v>97</v>
      </c>
      <c r="D121" s="112">
        <f>VLOOKUP($E$3,'Housing Generation'!$A$3:$BE$90,11,FALSE)</f>
        <v>0</v>
      </c>
      <c r="E121" s="112">
        <f>VLOOKUP($E$3,'Housing Generation'!$A$3:$BE$90,12,FALSE)</f>
        <v>0</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0</v>
      </c>
    </row>
    <row r="122" spans="2:10" ht="15" hidden="1" customHeight="1">
      <c r="B122" s="114">
        <v>2020</v>
      </c>
      <c r="C122" s="116" t="s">
        <v>97</v>
      </c>
      <c r="D122" s="112">
        <f>VLOOKUP($E$3,'Housing Generation'!$A$3:$BE$90,19,FALSE)</f>
        <v>0</v>
      </c>
      <c r="E122" s="112">
        <f>VLOOKUP($E$3,'Housing Generation'!$A$3:$BE$90,20,FALSE)</f>
        <v>0</v>
      </c>
      <c r="F122" s="112">
        <f>VLOOKUP($E$3,'Housing Generation'!$A$3:$BE$90,21,FALSE)</f>
        <v>0</v>
      </c>
      <c r="G122" s="112">
        <f>VLOOKUP($E$3,'Housing Generation'!$A$3:$BE$90,22,FALSE)</f>
        <v>0</v>
      </c>
      <c r="H122" s="112">
        <f>VLOOKUP($E$3,'Housing Generation'!$A$3:$BE$90,23,FALSE)</f>
        <v>0</v>
      </c>
      <c r="I122" s="112">
        <f>VLOOKUP($E$3,'Housing Generation'!$A$3:$BE$90,24,FALSE)</f>
        <v>0</v>
      </c>
      <c r="J122" s="111">
        <f t="shared" si="21"/>
        <v>0</v>
      </c>
    </row>
    <row r="123" spans="2:10" ht="15" hidden="1" customHeight="1">
      <c r="B123" s="114">
        <v>2021</v>
      </c>
      <c r="C123" s="116" t="s">
        <v>97</v>
      </c>
      <c r="D123" s="112">
        <f>VLOOKUP($E$3,'Housing Generation'!$A$3:$BE$90,27,FALSE)</f>
        <v>0</v>
      </c>
      <c r="E123" s="112">
        <f>VLOOKUP($E$3,'Housing Generation'!$A$3:$BE$90,28,FALSE)</f>
        <v>0</v>
      </c>
      <c r="F123" s="112">
        <f>VLOOKUP($E$3,'Housing Generation'!$A$3:$BE$90,29,FALSE)</f>
        <v>0</v>
      </c>
      <c r="G123" s="112">
        <f>VLOOKUP($E$3,'Housing Generation'!$A$3:$BE$90,30,FALSE)</f>
        <v>0</v>
      </c>
      <c r="H123" s="112">
        <f>VLOOKUP($E$3,'Housing Generation'!$A$3:$BE$90,31,FALSE)</f>
        <v>0</v>
      </c>
      <c r="I123" s="112">
        <f>VLOOKUP($E$3,'Housing Generation'!$A$3:$BE$90,32,FALSE)</f>
        <v>0</v>
      </c>
      <c r="J123" s="111">
        <f t="shared" si="21"/>
        <v>0</v>
      </c>
    </row>
    <row r="124" spans="2:10" ht="15" hidden="1" customHeight="1">
      <c r="B124" s="114">
        <v>2022</v>
      </c>
      <c r="C124" s="116" t="s">
        <v>97</v>
      </c>
      <c r="D124" s="112">
        <f>VLOOKUP($E$3,'Housing Generation'!$A$3:$BE$90,35,FALSE)</f>
        <v>0</v>
      </c>
      <c r="E124" s="112">
        <f>VLOOKUP($E$3,'Housing Generation'!$A$3:$BE$90,36,FALSE)</f>
        <v>0</v>
      </c>
      <c r="F124" s="112">
        <f>VLOOKUP($E$3,'Housing Generation'!$A$3:$BE$90,37,FALSE)</f>
        <v>0</v>
      </c>
      <c r="G124" s="112">
        <f>VLOOKUP($E$3,'Housing Generation'!$A$3:$BE$90,38,FALSE)</f>
        <v>0</v>
      </c>
      <c r="H124" s="112">
        <f>VLOOKUP($E$3,'Housing Generation'!$A$3:$BE$90,39,FALSE)</f>
        <v>0</v>
      </c>
      <c r="I124" s="112">
        <f>VLOOKUP($E$3,'Housing Generation'!$A$3:$BE$90,40,FALSE)</f>
        <v>0</v>
      </c>
      <c r="J124" s="111">
        <f t="shared" si="21"/>
        <v>0</v>
      </c>
    </row>
    <row r="125" spans="2:10" ht="15" hidden="1" customHeight="1">
      <c r="B125" s="114">
        <v>2023</v>
      </c>
      <c r="C125" s="116" t="s">
        <v>97</v>
      </c>
      <c r="D125" s="112">
        <f>VLOOKUP($E$3,'Housing Generation'!$A$3:$BE$90,43,FALSE)</f>
        <v>0</v>
      </c>
      <c r="E125" s="112">
        <f>VLOOKUP($E$3,'Housing Generation'!$A$3:$BE$90,44,FALSE)</f>
        <v>0</v>
      </c>
      <c r="F125" s="112">
        <f>VLOOKUP($E$3,'Housing Generation'!$A$3:$BE$90,45,FALSE)</f>
        <v>0</v>
      </c>
      <c r="G125" s="112">
        <f>VLOOKUP($E$3,'Housing Generation'!$A$3:$BE$90,46,FALSE)</f>
        <v>0</v>
      </c>
      <c r="H125" s="112">
        <f>VLOOKUP($E$3,'Housing Generation'!$A$3:$BE$90,47,FALSE)</f>
        <v>0</v>
      </c>
      <c r="I125" s="112">
        <f>VLOOKUP($E$3,'Housing Generation'!$A$3:$BE$90,48,FALSE)</f>
        <v>0</v>
      </c>
      <c r="J125" s="111">
        <f t="shared" si="21"/>
        <v>0</v>
      </c>
    </row>
    <row r="126" spans="2:10" ht="15" hidden="1" customHeight="1">
      <c r="B126" s="114">
        <v>2024</v>
      </c>
      <c r="C126" s="116" t="s">
        <v>97</v>
      </c>
      <c r="D126" s="112">
        <f>VLOOKUP($E$3,'Housing Generation'!$A$3:$BE$90,51,FALSE)</f>
        <v>0</v>
      </c>
      <c r="E126" s="112">
        <f>VLOOKUP($E$3,'Housing Generation'!$A$3:$BE$90,52,FALSE)</f>
        <v>0</v>
      </c>
      <c r="F126" s="112">
        <f>VLOOKUP($E$3,'Housing Generation'!$A$3:$BE$90,53,FALSE)</f>
        <v>0</v>
      </c>
      <c r="G126" s="112">
        <f>VLOOKUP($E$3,'Housing Generation'!$A$3:$BE$90,54,FALSE)</f>
        <v>0</v>
      </c>
      <c r="H126" s="112">
        <f>VLOOKUP($E$3,'Housing Generation'!$A$3:$BE$90,55,FALSE)</f>
        <v>0</v>
      </c>
      <c r="I126" s="112">
        <f>VLOOKUP($E$3,'Housing Generation'!$A$3:$BE$90,56,FALSE)</f>
        <v>0</v>
      </c>
      <c r="J126" s="111">
        <f t="shared" si="21"/>
        <v>0</v>
      </c>
    </row>
    <row r="127" spans="2:10" ht="15" hidden="1" customHeight="1">
      <c r="B127" s="114">
        <v>2025</v>
      </c>
      <c r="C127" s="240" t="s">
        <v>97</v>
      </c>
      <c r="D127" s="112">
        <f>VLOOKUP($E$3,'Housing Generation'!$A$3:$CK$90,59,FALSE)</f>
        <v>0</v>
      </c>
      <c r="E127" s="112">
        <f>VLOOKUP($E$3,'Housing Generation'!$A$3:$CK$90,60,FALSE)</f>
        <v>0</v>
      </c>
      <c r="F127" s="112">
        <f>VLOOKUP($E$3,'Housing Generation'!$A$3:$CK$90,61,FALSE)</f>
        <v>0</v>
      </c>
      <c r="G127" s="112">
        <f>VLOOKUP($E$3,'Housing Generation'!$A$3:$CK$90,62,FALSE)</f>
        <v>0</v>
      </c>
      <c r="H127" s="112">
        <f>VLOOKUP($E$3,'Housing Generation'!$A$3:$CK$90,63,FALSE)</f>
        <v>0</v>
      </c>
      <c r="I127" s="112">
        <f>VLOOKUP($E$3,'Housing Generation'!$A$3:$CK$90,64,FALSE)</f>
        <v>0</v>
      </c>
      <c r="J127" s="111">
        <f t="shared" si="21"/>
        <v>0</v>
      </c>
    </row>
    <row r="128" spans="2:10" ht="15" hidden="1" customHeight="1">
      <c r="B128" s="114">
        <v>2026</v>
      </c>
      <c r="C128" s="240" t="s">
        <v>97</v>
      </c>
      <c r="D128" s="112">
        <f>VLOOKUP($E$3,'Housing Generation'!$A$3:$CK$90,67,FALSE)</f>
        <v>0</v>
      </c>
      <c r="E128" s="112">
        <f>VLOOKUP($E$3,'Housing Generation'!$A$3:$CK$90,68,FALSE)</f>
        <v>0</v>
      </c>
      <c r="F128" s="112">
        <f>VLOOKUP($E$3,'Housing Generation'!$A$3:$CK$90,69,FALSE)</f>
        <v>0</v>
      </c>
      <c r="G128" s="112">
        <f>VLOOKUP($E$3,'Housing Generation'!$A$3:$CK$90,70,FALSE)</f>
        <v>0</v>
      </c>
      <c r="H128" s="112">
        <f>VLOOKUP($E$3,'Housing Generation'!$A$3:$CK$90,71,FALSE)</f>
        <v>0</v>
      </c>
      <c r="I128" s="112">
        <f>VLOOKUP($E$3,'Housing Generation'!$A$3:$CK$90,72,FALSE)</f>
        <v>0</v>
      </c>
      <c r="J128" s="111">
        <f t="shared" si="21"/>
        <v>0</v>
      </c>
    </row>
    <row r="129" spans="2:10" ht="15" hidden="1" customHeight="1">
      <c r="B129" s="114">
        <v>2027</v>
      </c>
      <c r="C129" s="240" t="s">
        <v>97</v>
      </c>
      <c r="D129" s="112">
        <f>VLOOKUP($E$3,'Housing Generation'!$A$3:$CK$90,75,FALSE)</f>
        <v>0</v>
      </c>
      <c r="E129" s="112">
        <f>VLOOKUP($E$3,'Housing Generation'!$A$3:$CK$90,76,FALSE)</f>
        <v>0</v>
      </c>
      <c r="F129" s="112">
        <f>VLOOKUP($E$3,'Housing Generation'!$A$3:$CK$90,77,FALSE)</f>
        <v>0</v>
      </c>
      <c r="G129" s="112">
        <f>VLOOKUP($E$3,'Housing Generation'!$A$3:$CK$90,78,FALSE)</f>
        <v>0</v>
      </c>
      <c r="H129" s="112">
        <f>VLOOKUP($E$3,'Housing Generation'!$A$3:$CK$90,79,FALSE)</f>
        <v>0</v>
      </c>
      <c r="I129" s="112">
        <f>VLOOKUP($E$3,'Housing Generation'!$A$3:$CK$90,80,FALSE)</f>
        <v>0</v>
      </c>
      <c r="J129" s="111">
        <f t="shared" si="21"/>
        <v>0</v>
      </c>
    </row>
    <row r="130" spans="2:10" ht="15" customHeight="1">
      <c r="B130" s="114">
        <v>2028</v>
      </c>
      <c r="C130" s="289" t="s">
        <v>97</v>
      </c>
      <c r="D130" s="112">
        <f>VLOOKUP($E$3,'Housing Generation'!$A$3:$CK$90,83,FALSE)</f>
        <v>0</v>
      </c>
      <c r="E130" s="112">
        <f>VLOOKUP($E$3,'Housing Generation'!$A$3:$CK$90,84,FALSE)</f>
        <v>0</v>
      </c>
      <c r="F130" s="112">
        <f>VLOOKUP($E$3,'Housing Generation'!$A$3:$CK$90,85,FALSE)</f>
        <v>0</v>
      </c>
      <c r="G130" s="112">
        <f>VLOOKUP($E$3,'Housing Generation'!$A$3:$CK$90,86,FALSE)</f>
        <v>0</v>
      </c>
      <c r="H130" s="112">
        <f>VLOOKUP($E$3,'Housing Generation'!$A$3:$CK$90,87,FALSE)</f>
        <v>0</v>
      </c>
      <c r="I130" s="112">
        <f>VLOOKUP($E$3,'Housing Generation'!$A$3:$CK$90,88,FALSE)</f>
        <v>0</v>
      </c>
      <c r="J130" s="111">
        <f t="shared" si="21"/>
        <v>0</v>
      </c>
    </row>
    <row r="131" spans="2:10" ht="15" customHeight="1">
      <c r="B131" s="114">
        <v>2029</v>
      </c>
      <c r="C131" s="289" t="s">
        <v>97</v>
      </c>
      <c r="D131" s="112">
        <f>VLOOKUP($E$3,'Housing Generation'!$A$3:$DQ$90,91,FALSE)</f>
        <v>0</v>
      </c>
      <c r="E131" s="112">
        <f>VLOOKUP($E$3,'Housing Generation'!$A$3:$DQ$90,92,FALSE)</f>
        <v>0</v>
      </c>
      <c r="F131" s="112">
        <f>VLOOKUP($E$3,'Housing Generation'!$A$3:$DQ$90,93,FALSE)</f>
        <v>0</v>
      </c>
      <c r="G131" s="112">
        <f>VLOOKUP($E$3,'Housing Generation'!$A$3:$DQ$90,94,FALSE)</f>
        <v>0</v>
      </c>
      <c r="H131" s="112">
        <f>VLOOKUP($E$3,'Housing Generation'!$A$3:$DQ$90,95,FALSE)</f>
        <v>0</v>
      </c>
      <c r="I131" s="112">
        <f>VLOOKUP($E$3,'Housing Generation'!$A$3:$DQ$90,96,FALSE)</f>
        <v>0</v>
      </c>
      <c r="J131" s="111">
        <f t="shared" si="21"/>
        <v>0</v>
      </c>
    </row>
    <row r="132" spans="2:10" ht="15" customHeight="1">
      <c r="B132" s="114">
        <v>2030</v>
      </c>
      <c r="C132" s="289" t="s">
        <v>97</v>
      </c>
      <c r="D132" s="112">
        <f>VLOOKUP($E$3,'Housing Generation'!$A$3:$DQ$90,99,FALSE)</f>
        <v>0</v>
      </c>
      <c r="E132" s="112">
        <f>VLOOKUP($E$3,'Housing Generation'!$A$3:$DQ$90,100,FALSE)</f>
        <v>0</v>
      </c>
      <c r="F132" s="112">
        <f>VLOOKUP($E$3,'Housing Generation'!$A$3:$DQ$90,101,FALSE)</f>
        <v>0</v>
      </c>
      <c r="G132" s="112">
        <f>VLOOKUP($E$3,'Housing Generation'!$A$3:$DQ$90,102,FALSE)</f>
        <v>0</v>
      </c>
      <c r="H132" s="112">
        <f>VLOOKUP($E$3,'Housing Generation'!$A$3:$DQ$90,103,FALSE)</f>
        <v>0</v>
      </c>
      <c r="I132" s="112">
        <f>VLOOKUP($E$3,'Housing Generation'!$A$3:$DQ$90,104,FALSE)</f>
        <v>0</v>
      </c>
      <c r="J132" s="111">
        <f t="shared" si="21"/>
        <v>0</v>
      </c>
    </row>
    <row r="133" spans="2:10" ht="15" customHeight="1">
      <c r="B133" s="114">
        <v>2031</v>
      </c>
      <c r="C133" s="289" t="s">
        <v>97</v>
      </c>
      <c r="D133" s="112">
        <f>VLOOKUP($E$3,'Housing Generation'!$A$3:$DQ$90,107,FALSE)</f>
        <v>0</v>
      </c>
      <c r="E133" s="112">
        <f>VLOOKUP($E$3,'Housing Generation'!$A$3:$DQ$90,108,FALSE)</f>
        <v>0</v>
      </c>
      <c r="F133" s="112">
        <f>VLOOKUP($E$3,'Housing Generation'!$A$3:$DQ$90,109,FALSE)</f>
        <v>0</v>
      </c>
      <c r="G133" s="112">
        <f>VLOOKUP($E$3,'Housing Generation'!$A$3:$DQ$90,110,FALSE)</f>
        <v>0</v>
      </c>
      <c r="H133" s="112">
        <f>VLOOKUP($E$3,'Housing Generation'!$A$3:$DQ$90,111,FALSE)</f>
        <v>0</v>
      </c>
      <c r="I133" s="112">
        <f>VLOOKUP($E$3,'Housing Generation'!$A$3:$DQ$90,112,FALSE)</f>
        <v>0</v>
      </c>
      <c r="J133" s="111">
        <f t="shared" si="21"/>
        <v>0</v>
      </c>
    </row>
    <row r="134" spans="2:10" ht="15" customHeight="1">
      <c r="B134" s="114">
        <v>2032</v>
      </c>
      <c r="C134" s="289" t="s">
        <v>97</v>
      </c>
      <c r="D134" s="112">
        <f>VLOOKUP($E$3,'Housing Generation'!$A$3:$DQ$90,115,FALSE)</f>
        <v>0</v>
      </c>
      <c r="E134" s="112">
        <f>VLOOKUP($E$3,'Housing Generation'!$A$3:$DQ$90,116,FALSE)</f>
        <v>0</v>
      </c>
      <c r="F134" s="112">
        <f>VLOOKUP($E$3,'Housing Generation'!$A$3:$DQ$90,117,FALSE)</f>
        <v>0</v>
      </c>
      <c r="G134" s="112">
        <f>VLOOKUP($E$3,'Housing Generation'!$A$3:$DQ$90,118,FALSE)</f>
        <v>0</v>
      </c>
      <c r="H134" s="112">
        <f>VLOOKUP($E$3,'Housing Generation'!$A$3:$DQ$90,119,FALSE)</f>
        <v>0</v>
      </c>
      <c r="I134" s="112">
        <f>VLOOKUP($E$3,'Housing Generation'!$A$3:$DQ$90,120,FALSE)</f>
        <v>0</v>
      </c>
      <c r="J134" s="111">
        <f t="shared" si="21"/>
        <v>0</v>
      </c>
    </row>
    <row r="135" spans="2:10" ht="15" hidden="1"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Preston Street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40.292436974789915</v>
      </c>
      <c r="D139" s="112">
        <f t="shared" ref="D139:I152" si="23">D121+D103</f>
        <v>47</v>
      </c>
      <c r="E139" s="112">
        <f t="shared" si="23"/>
        <v>42</v>
      </c>
      <c r="F139" s="112">
        <f t="shared" si="23"/>
        <v>34</v>
      </c>
      <c r="G139" s="112">
        <f t="shared" si="23"/>
        <v>37</v>
      </c>
      <c r="H139" s="112">
        <f t="shared" si="23"/>
        <v>44</v>
      </c>
      <c r="I139" s="112">
        <f t="shared" si="23"/>
        <v>37</v>
      </c>
      <c r="J139" s="111">
        <f t="shared" ref="J139:J147" si="24">SUM(C139:I139)</f>
        <v>281.29243697478989</v>
      </c>
    </row>
    <row r="140" spans="2:10" ht="15" customHeight="1">
      <c r="B140" s="114">
        <v>2020</v>
      </c>
      <c r="C140" s="113">
        <f t="shared" si="22"/>
        <v>38.4984126984127</v>
      </c>
      <c r="D140" s="112">
        <f t="shared" si="23"/>
        <v>39</v>
      </c>
      <c r="E140" s="112">
        <f t="shared" si="23"/>
        <v>45</v>
      </c>
      <c r="F140" s="112">
        <f t="shared" si="23"/>
        <v>40</v>
      </c>
      <c r="G140" s="112">
        <f t="shared" si="23"/>
        <v>33</v>
      </c>
      <c r="H140" s="112">
        <f t="shared" si="23"/>
        <v>34</v>
      </c>
      <c r="I140" s="112">
        <f t="shared" si="23"/>
        <v>42</v>
      </c>
      <c r="J140" s="111">
        <f t="shared" si="24"/>
        <v>271.49841269841272</v>
      </c>
    </row>
    <row r="141" spans="2:10" ht="15" customHeight="1">
      <c r="B141" s="114">
        <v>2021</v>
      </c>
      <c r="C141" s="113">
        <f t="shared" si="22"/>
        <v>30</v>
      </c>
      <c r="D141" s="112">
        <f t="shared" si="23"/>
        <v>37</v>
      </c>
      <c r="E141" s="112">
        <f t="shared" si="23"/>
        <v>37</v>
      </c>
      <c r="F141" s="112">
        <f t="shared" si="23"/>
        <v>43</v>
      </c>
      <c r="G141" s="112">
        <f t="shared" si="23"/>
        <v>39</v>
      </c>
      <c r="H141" s="112">
        <f t="shared" si="23"/>
        <v>31</v>
      </c>
      <c r="I141" s="112">
        <f t="shared" si="23"/>
        <v>32</v>
      </c>
      <c r="J141" s="111">
        <f t="shared" si="24"/>
        <v>249</v>
      </c>
    </row>
    <row r="142" spans="2:10" ht="15" customHeight="1">
      <c r="B142" s="114">
        <v>2022</v>
      </c>
      <c r="C142" s="113">
        <f t="shared" si="22"/>
        <v>25</v>
      </c>
      <c r="D142" s="112">
        <f t="shared" si="23"/>
        <v>29</v>
      </c>
      <c r="E142" s="112">
        <f t="shared" si="23"/>
        <v>35</v>
      </c>
      <c r="F142" s="112">
        <f t="shared" si="23"/>
        <v>35</v>
      </c>
      <c r="G142" s="112">
        <f t="shared" si="23"/>
        <v>42</v>
      </c>
      <c r="H142" s="112">
        <f t="shared" si="23"/>
        <v>36</v>
      </c>
      <c r="I142" s="112">
        <f t="shared" si="23"/>
        <v>29</v>
      </c>
      <c r="J142" s="111">
        <f t="shared" si="24"/>
        <v>231</v>
      </c>
    </row>
    <row r="143" spans="2:10" ht="15" customHeight="1">
      <c r="B143" s="114">
        <v>2023</v>
      </c>
      <c r="C143" s="113">
        <f t="shared" si="22"/>
        <v>30</v>
      </c>
      <c r="D143" s="112">
        <f t="shared" si="23"/>
        <v>24</v>
      </c>
      <c r="E143" s="112">
        <f t="shared" si="23"/>
        <v>28</v>
      </c>
      <c r="F143" s="112">
        <f t="shared" si="23"/>
        <v>33</v>
      </c>
      <c r="G143" s="112">
        <f t="shared" si="23"/>
        <v>34</v>
      </c>
      <c r="H143" s="112">
        <f t="shared" si="23"/>
        <v>39</v>
      </c>
      <c r="I143" s="112">
        <f t="shared" si="23"/>
        <v>34</v>
      </c>
      <c r="J143" s="111">
        <f t="shared" si="24"/>
        <v>222</v>
      </c>
    </row>
    <row r="144" spans="2:10" ht="15" customHeight="1">
      <c r="B144" s="114">
        <v>2024</v>
      </c>
      <c r="C144" s="113">
        <f t="shared" si="22"/>
        <v>30</v>
      </c>
      <c r="D144" s="112">
        <f t="shared" si="23"/>
        <v>29</v>
      </c>
      <c r="E144" s="112">
        <f t="shared" si="23"/>
        <v>23</v>
      </c>
      <c r="F144" s="112">
        <f t="shared" si="23"/>
        <v>27</v>
      </c>
      <c r="G144" s="112">
        <f t="shared" si="23"/>
        <v>32</v>
      </c>
      <c r="H144" s="112">
        <f t="shared" si="23"/>
        <v>32</v>
      </c>
      <c r="I144" s="112">
        <f t="shared" si="23"/>
        <v>37</v>
      </c>
      <c r="J144" s="111">
        <f t="shared" si="24"/>
        <v>210</v>
      </c>
    </row>
    <row r="145" spans="2:16" ht="15" customHeight="1">
      <c r="B145" s="114">
        <v>2025</v>
      </c>
      <c r="C145" s="113">
        <f t="shared" si="22"/>
        <v>30</v>
      </c>
      <c r="D145" s="112">
        <f t="shared" si="23"/>
        <v>29</v>
      </c>
      <c r="E145" s="112">
        <f t="shared" si="23"/>
        <v>28</v>
      </c>
      <c r="F145" s="112">
        <f t="shared" si="23"/>
        <v>22</v>
      </c>
      <c r="G145" s="112">
        <f t="shared" si="23"/>
        <v>26</v>
      </c>
      <c r="H145" s="112">
        <f t="shared" si="23"/>
        <v>30</v>
      </c>
      <c r="I145" s="112">
        <f t="shared" si="23"/>
        <v>30</v>
      </c>
      <c r="J145" s="111">
        <f t="shared" si="24"/>
        <v>195</v>
      </c>
    </row>
    <row r="146" spans="2:16" ht="15" customHeight="1">
      <c r="B146" s="114">
        <v>2026</v>
      </c>
      <c r="C146" s="113">
        <f t="shared" si="22"/>
        <v>30</v>
      </c>
      <c r="D146" s="112">
        <f t="shared" si="23"/>
        <v>29</v>
      </c>
      <c r="E146" s="112">
        <f t="shared" si="23"/>
        <v>28</v>
      </c>
      <c r="F146" s="112">
        <f t="shared" si="23"/>
        <v>27</v>
      </c>
      <c r="G146" s="112">
        <f t="shared" si="23"/>
        <v>21</v>
      </c>
      <c r="H146" s="112">
        <f t="shared" si="23"/>
        <v>24</v>
      </c>
      <c r="I146" s="112">
        <f t="shared" si="23"/>
        <v>29</v>
      </c>
      <c r="J146" s="111">
        <f t="shared" si="24"/>
        <v>188</v>
      </c>
    </row>
    <row r="147" spans="2:16" ht="15" customHeight="1">
      <c r="B147" s="114">
        <v>2027</v>
      </c>
      <c r="C147" s="113">
        <f t="shared" si="22"/>
        <v>30</v>
      </c>
      <c r="D147" s="112">
        <f t="shared" si="23"/>
        <v>29</v>
      </c>
      <c r="E147" s="112">
        <f t="shared" si="23"/>
        <v>28</v>
      </c>
      <c r="F147" s="112">
        <f t="shared" si="23"/>
        <v>27</v>
      </c>
      <c r="G147" s="112">
        <f t="shared" si="23"/>
        <v>26</v>
      </c>
      <c r="H147" s="112">
        <f t="shared" si="23"/>
        <v>19</v>
      </c>
      <c r="I147" s="112">
        <f t="shared" si="23"/>
        <v>23</v>
      </c>
      <c r="J147" s="111">
        <f t="shared" si="24"/>
        <v>182</v>
      </c>
    </row>
    <row r="148" spans="2:16" ht="15" customHeight="1">
      <c r="B148" s="114">
        <v>2028</v>
      </c>
      <c r="C148" s="113">
        <f t="shared" si="22"/>
        <v>30</v>
      </c>
      <c r="D148" s="112">
        <f t="shared" si="23"/>
        <v>29</v>
      </c>
      <c r="E148" s="112">
        <f t="shared" si="23"/>
        <v>28</v>
      </c>
      <c r="F148" s="112">
        <f t="shared" si="23"/>
        <v>27</v>
      </c>
      <c r="G148" s="112">
        <f t="shared" si="23"/>
        <v>26</v>
      </c>
      <c r="H148" s="112">
        <f t="shared" si="23"/>
        <v>24</v>
      </c>
      <c r="I148" s="112">
        <f t="shared" si="23"/>
        <v>18</v>
      </c>
      <c r="J148" s="111">
        <f t="shared" ref="J148:J152" si="25">SUM(C148:I148)</f>
        <v>182</v>
      </c>
    </row>
    <row r="149" spans="2:16" ht="15" customHeight="1">
      <c r="B149" s="114">
        <v>2029</v>
      </c>
      <c r="C149" s="113">
        <f t="shared" si="22"/>
        <v>30</v>
      </c>
      <c r="D149" s="112">
        <f t="shared" si="23"/>
        <v>29</v>
      </c>
      <c r="E149" s="112">
        <f t="shared" si="23"/>
        <v>28</v>
      </c>
      <c r="F149" s="112">
        <f t="shared" si="23"/>
        <v>27</v>
      </c>
      <c r="G149" s="112">
        <f t="shared" si="23"/>
        <v>26</v>
      </c>
      <c r="H149" s="112">
        <f t="shared" si="23"/>
        <v>24</v>
      </c>
      <c r="I149" s="112">
        <f t="shared" si="23"/>
        <v>23</v>
      </c>
      <c r="J149" s="111">
        <f t="shared" si="25"/>
        <v>187</v>
      </c>
    </row>
    <row r="150" spans="2:16" ht="15" customHeight="1">
      <c r="B150" s="114">
        <v>2030</v>
      </c>
      <c r="C150" s="113">
        <f t="shared" si="22"/>
        <v>30</v>
      </c>
      <c r="D150" s="112">
        <f t="shared" si="23"/>
        <v>29</v>
      </c>
      <c r="E150" s="112">
        <f t="shared" si="23"/>
        <v>28</v>
      </c>
      <c r="F150" s="112">
        <f t="shared" si="23"/>
        <v>27</v>
      </c>
      <c r="G150" s="112">
        <f t="shared" si="23"/>
        <v>26</v>
      </c>
      <c r="H150" s="112">
        <f t="shared" si="23"/>
        <v>24</v>
      </c>
      <c r="I150" s="112">
        <f t="shared" si="23"/>
        <v>23</v>
      </c>
      <c r="J150" s="111">
        <f t="shared" si="25"/>
        <v>187</v>
      </c>
    </row>
    <row r="151" spans="2:16" ht="15" customHeight="1">
      <c r="B151" s="114">
        <v>2031</v>
      </c>
      <c r="C151" s="113">
        <f t="shared" si="22"/>
        <v>30</v>
      </c>
      <c r="D151" s="112">
        <f t="shared" si="23"/>
        <v>29</v>
      </c>
      <c r="E151" s="112">
        <f t="shared" si="23"/>
        <v>28</v>
      </c>
      <c r="F151" s="112">
        <f t="shared" si="23"/>
        <v>27</v>
      </c>
      <c r="G151" s="112">
        <f t="shared" si="23"/>
        <v>26</v>
      </c>
      <c r="H151" s="112">
        <f t="shared" si="23"/>
        <v>24</v>
      </c>
      <c r="I151" s="112">
        <f t="shared" si="23"/>
        <v>23</v>
      </c>
      <c r="J151" s="111">
        <f t="shared" si="25"/>
        <v>187</v>
      </c>
    </row>
    <row r="152" spans="2:16" ht="15" customHeight="1">
      <c r="B152" s="114">
        <v>2032</v>
      </c>
      <c r="C152" s="113">
        <f t="shared" si="22"/>
        <v>30</v>
      </c>
      <c r="D152" s="112">
        <f t="shared" si="23"/>
        <v>29</v>
      </c>
      <c r="E152" s="112">
        <f t="shared" si="23"/>
        <v>28</v>
      </c>
      <c r="F152" s="112">
        <f t="shared" si="23"/>
        <v>27</v>
      </c>
      <c r="G152" s="112">
        <f t="shared" si="23"/>
        <v>26</v>
      </c>
      <c r="H152" s="112">
        <f t="shared" si="23"/>
        <v>24</v>
      </c>
      <c r="I152" s="112">
        <f t="shared" si="23"/>
        <v>23</v>
      </c>
      <c r="J152" s="111">
        <f t="shared" si="25"/>
        <v>187</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281.29243697478989</v>
      </c>
      <c r="D159" s="108">
        <f>J140</f>
        <v>271.49841269841272</v>
      </c>
      <c r="E159" s="108">
        <f>J141</f>
        <v>249</v>
      </c>
      <c r="F159" s="108">
        <f>J142</f>
        <v>231</v>
      </c>
      <c r="G159" s="108">
        <f>J143</f>
        <v>222</v>
      </c>
      <c r="H159" s="108">
        <f>J144</f>
        <v>210</v>
      </c>
      <c r="I159" s="108">
        <f>J145</f>
        <v>195</v>
      </c>
      <c r="J159" s="108">
        <f>J146</f>
        <v>188</v>
      </c>
      <c r="K159" s="108">
        <f>J147</f>
        <v>182</v>
      </c>
      <c r="L159" s="108">
        <f>J148</f>
        <v>182</v>
      </c>
      <c r="M159" s="108">
        <f>J149</f>
        <v>187</v>
      </c>
      <c r="N159" s="108">
        <f>J150</f>
        <v>187</v>
      </c>
      <c r="O159" s="108">
        <f>J151</f>
        <v>187</v>
      </c>
      <c r="P159" s="108">
        <f>J152</f>
        <v>187</v>
      </c>
    </row>
    <row r="160" spans="2:16" ht="15" customHeight="1">
      <c r="B160" s="107" t="s">
        <v>152</v>
      </c>
      <c r="C160" s="106">
        <f>VLOOKUP(C159,Capacity!$A$1:$C$645,2,TRUE)</f>
        <v>11</v>
      </c>
      <c r="D160" s="106">
        <f>VLOOKUP(D159,Capacity!$A$1:$C$645,2,TRUE)</f>
        <v>11</v>
      </c>
      <c r="E160" s="106">
        <f>VLOOKUP(E159,Capacity!$A$1:$C$645,2,TRUE)</f>
        <v>10</v>
      </c>
      <c r="F160" s="106">
        <f>VLOOKUP(F159,Capacity!$A$1:$C$645,2,TRUE)</f>
        <v>9</v>
      </c>
      <c r="G160" s="106">
        <f>VLOOKUP(G159,Capacity!$A$1:$C$645,2,TRUE)</f>
        <v>9</v>
      </c>
      <c r="H160" s="106">
        <f>VLOOKUP(H159,Capacity!$A$1:$C$645,2,TRUE)</f>
        <v>7</v>
      </c>
      <c r="I160" s="106">
        <f>VLOOKUP(I159,Capacity!$A$1:$C$645,2,TRUE)</f>
        <v>7</v>
      </c>
      <c r="J160" s="106">
        <f>VLOOKUP(J159,Capacity!$A$1:$C$645,2,TRUE)</f>
        <v>7</v>
      </c>
      <c r="K160" s="106">
        <f>VLOOKUP(K159,Capacity!$A$1:$C$645,2,TRUE)</f>
        <v>7</v>
      </c>
      <c r="L160" s="106">
        <f>VLOOKUP(L159,Capacity!$A$1:$C$645,2,TRUE)</f>
        <v>7</v>
      </c>
      <c r="M160" s="106">
        <f>VLOOKUP(M159,Capacity!$A$1:$C$645,2,TRUE)</f>
        <v>7</v>
      </c>
      <c r="N160" s="106">
        <f>VLOOKUP(N159,Capacity!$A$1:$C$645,2,TRUE)</f>
        <v>7</v>
      </c>
      <c r="O160" s="106">
        <f>VLOOKUP(O159,Capacity!$A$1:$C$645,2,TRUE)</f>
        <v>7</v>
      </c>
      <c r="P160" s="106">
        <f>VLOOKUP(P159,Capacity!$A$1:$C$645,2,TRUE)</f>
        <v>7</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81</v>
      </c>
      <c r="D169" s="97">
        <f>VLOOKUP($E$3,'Catchment Births'!$A$1:$U$90,11,FALSE)</f>
        <v>51</v>
      </c>
      <c r="E169" s="97">
        <f>VLOOKUP($E$3,'Catchment Births'!$A$1:$U$90,12,FALSE)</f>
        <v>67</v>
      </c>
      <c r="F169" s="97">
        <f>VLOOKUP($E$3,'Catchment Births'!$A$1:$U$90,13,FALSE)</f>
        <v>72</v>
      </c>
      <c r="G169" s="97">
        <f>VLOOKUP($E$3,'Catchment Births'!$A$1:$U$90,14,FALSE)</f>
        <v>72</v>
      </c>
      <c r="H169" s="97">
        <f>VLOOKUP($E$3,'Catchment Births'!$A$1:$U$90,15,FALSE)</f>
        <v>83</v>
      </c>
      <c r="I169" s="97">
        <f>VLOOKUP($E$3,'Catchment Births'!$A$1:$U$90,16,FALSE)</f>
        <v>70</v>
      </c>
      <c r="J169" s="97">
        <f>VLOOKUP($E$3,'Catchment Births'!$A$1:$U$90,17,FALSE)</f>
        <v>65</v>
      </c>
      <c r="K169" s="97">
        <f>VLOOKUP($E$3,'Catchment Births'!$A$1:$U$90,18,FALSE)</f>
        <v>63</v>
      </c>
      <c r="L169" s="97">
        <f>VLOOKUP($E$3,'Catchment Births'!$A$1:$U$90,19,FALSE)</f>
        <v>72</v>
      </c>
      <c r="M169" s="97">
        <f>VLOOKUP($E$3,'Catchment Births'!$A$1:$U$90,20,FALSE)</f>
        <v>66</v>
      </c>
      <c r="N169" s="97">
        <f>VLOOKUP($E$3,'Catchment Births'!$A$1:$U$90,21,FALSE)</f>
        <v>63</v>
      </c>
    </row>
    <row r="170" spans="2:14" ht="58.5" customHeight="1">
      <c r="B170" s="103" t="str">
        <f>"P1 "&amp;A35&amp;" Catchment Population (Actual)"</f>
        <v>P1 ND Catchment Population (Actual)</v>
      </c>
      <c r="C170" s="102" t="e">
        <v>#REF!</v>
      </c>
      <c r="D170" s="102">
        <v>44</v>
      </c>
      <c r="E170" s="102">
        <v>41</v>
      </c>
      <c r="F170" s="102">
        <v>44</v>
      </c>
      <c r="G170" s="102">
        <v>41</v>
      </c>
      <c r="H170" s="102">
        <v>46</v>
      </c>
      <c r="I170" s="102">
        <v>41</v>
      </c>
      <c r="J170" s="308">
        <f>VLOOKUP(E3,'Catchment Projections'!A1:BU92,42,FALSE)</f>
        <v>30</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41</v>
      </c>
      <c r="J172" s="96" t="e">
        <f>#REF!</f>
        <v>#REF!</v>
      </c>
      <c r="K172" s="96">
        <f>D51</f>
        <v>36</v>
      </c>
      <c r="L172" s="96">
        <f>E51</f>
        <v>34</v>
      </c>
      <c r="M172" s="96">
        <f>F51</f>
        <v>30</v>
      </c>
      <c r="N172" s="96">
        <f>G51</f>
        <v>25</v>
      </c>
    </row>
    <row r="173" spans="2:14" ht="12.75">
      <c r="B173" s="62"/>
      <c r="C173" s="62"/>
      <c r="D173" s="62"/>
      <c r="E173" s="62"/>
      <c r="F173" s="62"/>
      <c r="G173" s="62"/>
      <c r="H173" s="62"/>
      <c r="I173" s="62"/>
      <c r="J173" s="62"/>
      <c r="K173" s="62"/>
    </row>
    <row r="174" spans="2:14" ht="15" customHeight="1">
      <c r="B174" s="64" t="str">
        <f>"Table 5: "&amp;E3&amp;" Roll by Stage, 2002-2018"</f>
        <v>Table 5: Preston Street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34</v>
      </c>
      <c r="D177" s="93">
        <v>38</v>
      </c>
      <c r="E177" s="93">
        <v>42</v>
      </c>
      <c r="F177" s="93">
        <v>40</v>
      </c>
      <c r="G177" s="93">
        <v>46</v>
      </c>
      <c r="H177" s="93">
        <v>33</v>
      </c>
      <c r="I177" s="93">
        <v>53</v>
      </c>
      <c r="J177" s="92">
        <v>286</v>
      </c>
      <c r="K177" s="62"/>
    </row>
    <row r="178" spans="2:11" ht="15" customHeight="1">
      <c r="B178" s="94">
        <v>2003</v>
      </c>
      <c r="C178" s="93">
        <v>49</v>
      </c>
      <c r="D178" s="93">
        <v>36</v>
      </c>
      <c r="E178" s="93">
        <v>40</v>
      </c>
      <c r="F178" s="93">
        <v>40</v>
      </c>
      <c r="G178" s="93">
        <v>43</v>
      </c>
      <c r="H178" s="93">
        <v>43</v>
      </c>
      <c r="I178" s="93">
        <v>31</v>
      </c>
      <c r="J178" s="92">
        <v>282</v>
      </c>
      <c r="K178" s="62"/>
    </row>
    <row r="179" spans="2:11" customFormat="1" ht="15" customHeight="1">
      <c r="B179" s="94">
        <v>2004</v>
      </c>
      <c r="C179" s="95">
        <v>36</v>
      </c>
      <c r="D179" s="95">
        <v>49</v>
      </c>
      <c r="E179" s="95">
        <v>34</v>
      </c>
      <c r="F179" s="95">
        <v>44</v>
      </c>
      <c r="G179" s="95">
        <v>36</v>
      </c>
      <c r="H179" s="95">
        <v>38</v>
      </c>
      <c r="I179" s="95">
        <v>43</v>
      </c>
      <c r="J179" s="92">
        <v>280</v>
      </c>
      <c r="K179" s="62"/>
    </row>
    <row r="180" spans="2:11" customFormat="1" ht="15" customHeight="1">
      <c r="B180" s="94">
        <v>2005</v>
      </c>
      <c r="C180" s="93">
        <v>39</v>
      </c>
      <c r="D180" s="93">
        <v>34</v>
      </c>
      <c r="E180" s="93">
        <v>48</v>
      </c>
      <c r="F180" s="93">
        <v>37</v>
      </c>
      <c r="G180" s="93">
        <v>41</v>
      </c>
      <c r="H180" s="93">
        <v>32</v>
      </c>
      <c r="I180" s="93">
        <v>34</v>
      </c>
      <c r="J180" s="92">
        <v>265</v>
      </c>
      <c r="K180" s="62"/>
    </row>
    <row r="181" spans="2:11" customFormat="1" ht="15" customHeight="1">
      <c r="B181" s="94">
        <v>2006</v>
      </c>
      <c r="C181" s="93">
        <v>36</v>
      </c>
      <c r="D181" s="93">
        <v>35</v>
      </c>
      <c r="E181" s="93">
        <v>30</v>
      </c>
      <c r="F181" s="93">
        <v>48</v>
      </c>
      <c r="G181" s="93">
        <v>32</v>
      </c>
      <c r="H181" s="93">
        <v>36</v>
      </c>
      <c r="I181" s="93">
        <v>29</v>
      </c>
      <c r="J181" s="92">
        <v>246</v>
      </c>
      <c r="K181" s="62"/>
    </row>
    <row r="182" spans="2:11" customFormat="1" ht="15" customHeight="1">
      <c r="B182" s="94">
        <v>2007</v>
      </c>
      <c r="C182" s="93">
        <v>36</v>
      </c>
      <c r="D182" s="93">
        <v>48</v>
      </c>
      <c r="E182" s="93">
        <v>30</v>
      </c>
      <c r="F182" s="93">
        <v>32</v>
      </c>
      <c r="G182" s="93">
        <v>47</v>
      </c>
      <c r="H182" s="93">
        <v>36</v>
      </c>
      <c r="I182" s="93">
        <v>37</v>
      </c>
      <c r="J182" s="92">
        <v>266</v>
      </c>
      <c r="K182" s="62"/>
    </row>
    <row r="183" spans="2:11" customFormat="1" ht="15" customHeight="1">
      <c r="B183" s="94">
        <v>2008</v>
      </c>
      <c r="C183" s="93">
        <v>45</v>
      </c>
      <c r="D183" s="93">
        <v>33</v>
      </c>
      <c r="E183" s="93">
        <v>46</v>
      </c>
      <c r="F183" s="93">
        <v>30</v>
      </c>
      <c r="G183" s="93">
        <v>29</v>
      </c>
      <c r="H183" s="93">
        <v>45</v>
      </c>
      <c r="I183" s="93">
        <v>33</v>
      </c>
      <c r="J183" s="92">
        <v>261</v>
      </c>
      <c r="K183" s="62"/>
    </row>
    <row r="184" spans="2:11" customFormat="1" ht="15" customHeight="1">
      <c r="B184" s="94">
        <v>2009</v>
      </c>
      <c r="C184" s="93">
        <v>43</v>
      </c>
      <c r="D184" s="93">
        <v>42</v>
      </c>
      <c r="E184" s="93">
        <v>29</v>
      </c>
      <c r="F184" s="93">
        <v>42</v>
      </c>
      <c r="G184" s="93">
        <v>30</v>
      </c>
      <c r="H184" s="93">
        <v>30</v>
      </c>
      <c r="I184" s="93">
        <v>39</v>
      </c>
      <c r="J184" s="94">
        <v>255</v>
      </c>
      <c r="K184" s="62"/>
    </row>
    <row r="185" spans="2:11" customFormat="1" ht="15" customHeight="1">
      <c r="B185" s="94">
        <v>2010</v>
      </c>
      <c r="C185" s="93">
        <v>47</v>
      </c>
      <c r="D185" s="93">
        <v>43</v>
      </c>
      <c r="E185" s="93">
        <v>40</v>
      </c>
      <c r="F185" s="93">
        <v>26</v>
      </c>
      <c r="G185" s="93">
        <v>38</v>
      </c>
      <c r="H185" s="93">
        <v>30</v>
      </c>
      <c r="I185" s="93">
        <v>29</v>
      </c>
      <c r="J185" s="92">
        <v>253</v>
      </c>
      <c r="K185" s="62"/>
    </row>
    <row r="186" spans="2:11" customFormat="1" ht="15" customHeight="1">
      <c r="B186" s="94">
        <v>2011</v>
      </c>
      <c r="C186" s="93">
        <v>45</v>
      </c>
      <c r="D186" s="93">
        <v>45</v>
      </c>
      <c r="E186" s="93">
        <v>41</v>
      </c>
      <c r="F186" s="93">
        <v>39</v>
      </c>
      <c r="G186" s="93">
        <v>22</v>
      </c>
      <c r="H186" s="93">
        <v>36</v>
      </c>
      <c r="I186" s="93">
        <v>29</v>
      </c>
      <c r="J186" s="92">
        <v>257</v>
      </c>
      <c r="K186" s="62"/>
    </row>
    <row r="187" spans="2:11" customFormat="1" ht="15" customHeight="1">
      <c r="B187" s="94">
        <v>2012</v>
      </c>
      <c r="C187" s="93">
        <v>39</v>
      </c>
      <c r="D187" s="93">
        <v>46</v>
      </c>
      <c r="E187" s="93">
        <v>43</v>
      </c>
      <c r="F187" s="93">
        <v>42</v>
      </c>
      <c r="G187" s="93">
        <v>40</v>
      </c>
      <c r="H187" s="93">
        <v>25</v>
      </c>
      <c r="I187" s="93">
        <v>35</v>
      </c>
      <c r="J187" s="92">
        <v>270</v>
      </c>
      <c r="K187" s="62"/>
    </row>
    <row r="188" spans="2:11" customFormat="1" ht="15" customHeight="1">
      <c r="B188" s="94">
        <v>2013</v>
      </c>
      <c r="C188" s="93">
        <v>40</v>
      </c>
      <c r="D188" s="93">
        <v>39</v>
      </c>
      <c r="E188" s="93">
        <v>46</v>
      </c>
      <c r="F188" s="93">
        <v>40</v>
      </c>
      <c r="G188" s="93">
        <v>41</v>
      </c>
      <c r="H188" s="93">
        <v>40</v>
      </c>
      <c r="I188" s="93">
        <v>25</v>
      </c>
      <c r="J188" s="94">
        <v>271</v>
      </c>
      <c r="K188" s="62"/>
    </row>
    <row r="189" spans="2:11" customFormat="1" ht="15" customHeight="1">
      <c r="B189" s="94">
        <v>2014</v>
      </c>
      <c r="C189" s="93">
        <v>49</v>
      </c>
      <c r="D189" s="93">
        <v>43</v>
      </c>
      <c r="E189" s="93">
        <v>39</v>
      </c>
      <c r="F189" s="93">
        <v>44</v>
      </c>
      <c r="G189" s="93">
        <v>38</v>
      </c>
      <c r="H189" s="93">
        <v>41</v>
      </c>
      <c r="I189" s="93">
        <v>38</v>
      </c>
      <c r="J189" s="92">
        <v>292</v>
      </c>
      <c r="K189" s="65"/>
    </row>
    <row r="190" spans="2:11" customFormat="1" ht="15" customHeight="1">
      <c r="B190" s="94">
        <v>2015</v>
      </c>
      <c r="C190" s="93">
        <v>43</v>
      </c>
      <c r="D190" s="93">
        <v>45</v>
      </c>
      <c r="E190" s="93">
        <v>39</v>
      </c>
      <c r="F190" s="93">
        <v>36</v>
      </c>
      <c r="G190" s="93">
        <v>41</v>
      </c>
      <c r="H190" s="93">
        <v>32</v>
      </c>
      <c r="I190" s="93">
        <v>35</v>
      </c>
      <c r="J190" s="92">
        <v>271</v>
      </c>
      <c r="K190" s="65"/>
    </row>
    <row r="191" spans="2:11" customFormat="1" ht="15" customHeight="1">
      <c r="B191" s="94">
        <v>2016</v>
      </c>
      <c r="C191" s="93">
        <v>32</v>
      </c>
      <c r="D191" s="93">
        <v>41</v>
      </c>
      <c r="E191" s="93">
        <v>43</v>
      </c>
      <c r="F191" s="93">
        <v>40</v>
      </c>
      <c r="G191" s="93">
        <v>41</v>
      </c>
      <c r="H191" s="93">
        <v>38</v>
      </c>
      <c r="I191" s="93">
        <v>31</v>
      </c>
      <c r="J191" s="92">
        <v>266</v>
      </c>
      <c r="K191" s="65"/>
    </row>
    <row r="192" spans="2:11" ht="15" customHeight="1">
      <c r="B192" s="94">
        <v>2017</v>
      </c>
      <c r="C192" s="93">
        <f>VLOOKUP($E$3,Rolls!A1:FA90,42,FALSE)</f>
        <v>42</v>
      </c>
      <c r="D192" s="93">
        <f>VLOOKUP($E$3,Rolls!A1:FA90,43,FALSE)</f>
        <v>32</v>
      </c>
      <c r="E192" s="93">
        <f>VLOOKUP($E$3,Rolls!A1:FA90,44,FALSE)</f>
        <v>39</v>
      </c>
      <c r="F192" s="93">
        <f>VLOOKUP($E$3,Rolls!A1:FA90,45,FALSE)</f>
        <v>41</v>
      </c>
      <c r="G192" s="93">
        <f>VLOOKUP($E$3,Rolls!A1:FA90,46,FALSE)</f>
        <v>39</v>
      </c>
      <c r="H192" s="93">
        <f>VLOOKUP($E$3,Rolls!A1:FA90,47,FALSE)</f>
        <v>38</v>
      </c>
      <c r="I192" s="93">
        <f>VLOOKUP($E$3,Rolls!A1:FA90,48,FALSE)</f>
        <v>36</v>
      </c>
      <c r="J192" s="92">
        <f>VLOOKUP($E$3,Rolls!A1:FA90,49,FALSE)</f>
        <v>267</v>
      </c>
      <c r="K192" s="65"/>
    </row>
    <row r="193" spans="2:11" ht="15" customHeight="1">
      <c r="B193" s="94">
        <v>2018</v>
      </c>
      <c r="C193" s="93">
        <f>VLOOKUP($E$3,Rolls!A1:FA90,50,FALSE)</f>
        <v>47</v>
      </c>
      <c r="D193" s="93">
        <f>VLOOKUP($E$3,Rolls!A1:FA90,51,FALSE)</f>
        <v>44</v>
      </c>
      <c r="E193" s="93">
        <f>VLOOKUP($E$3,Rolls!A1:FA90,52,FALSE)</f>
        <v>36</v>
      </c>
      <c r="F193" s="93">
        <f>VLOOKUP($E$3,Rolls!A1:FA90,53,FALSE)</f>
        <v>38</v>
      </c>
      <c r="G193" s="93">
        <f>VLOOKUP($E$3,Rolls!A1:FA90,54,FALSE)</f>
        <v>48</v>
      </c>
      <c r="H193" s="93">
        <f>VLOOKUP($E$3,Rolls!A1:FA90,55,FALSE)</f>
        <v>39</v>
      </c>
      <c r="I193" s="93">
        <f>VLOOKUP($E$3,Rolls!A1:FA90,56,FALSE)</f>
        <v>42</v>
      </c>
      <c r="J193" s="92">
        <f>VLOOKUP($E$3,Rolls!A1:FA90,57,FALSE)</f>
        <v>294</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57</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Prestonfield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294 Pupils (11 classes)</v>
      </c>
      <c r="G12" s="16"/>
      <c r="H12" s="16"/>
    </row>
    <row r="13" spans="2:10" ht="15" customHeight="1">
      <c r="C13" s="16"/>
      <c r="D13" s="16"/>
      <c r="E13" s="16"/>
      <c r="F13" s="16"/>
      <c r="G13" s="16"/>
      <c r="H13" s="16"/>
    </row>
    <row r="14" spans="2:10" ht="15" customHeight="1">
      <c r="B14" s="15" t="str">
        <f>"Figure 1: "&amp;E3&amp;" Roll, 2002-2015"</f>
        <v>Figure 1: Prestonfield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Prestonfield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28</v>
      </c>
      <c r="E49" s="108">
        <f>VLOOKUP($E$3,'Catchment Projections'!$A$1:$BU$90,46,FALSE)</f>
        <v>24</v>
      </c>
      <c r="F49" s="108">
        <f>VLOOKUP($E$3,'Catchment Projections'!$A$1:$BU$90,47,FALSE)</f>
        <v>13</v>
      </c>
      <c r="G49" s="108">
        <f>VLOOKUP($E$3,'Catchment Projections'!$A$1:$BU$90,48,FALSE)</f>
        <v>12</v>
      </c>
      <c r="H49" s="133">
        <f>VLOOKUP($E$3,'Catchment Projections'!$A$1:$BU$90,49,FALSE)</f>
        <v>17</v>
      </c>
      <c r="I49" s="133">
        <f>VLOOKUP($E$3,'Catchment Projections'!$A$1:$BU$90,50,FALSE)</f>
        <v>17</v>
      </c>
      <c r="J49" s="133">
        <f>VLOOKUP($E$3,'Catchment Projections'!$A$1:$BU$90,51,FALSE)</f>
        <v>17</v>
      </c>
      <c r="K49" s="133">
        <f>VLOOKUP($E$3,'Catchment Projections'!$A$1:$BU$90,52,FALSE)</f>
        <v>18</v>
      </c>
      <c r="L49" s="133">
        <f>VLOOKUP($E$3,'Catchment Projections'!$A$1:$BU$90,53,FALSE)</f>
        <v>18</v>
      </c>
      <c r="M49" s="133">
        <f>VLOOKUP($E$3,'Catchment Projections'!$A$1:$BU$90,54,FALSE)</f>
        <v>18</v>
      </c>
      <c r="N49" s="133">
        <f>VLOOKUP($E$3,'Catchment Projections'!$A$1:$BU$90,55,FALSE)</f>
        <v>18</v>
      </c>
      <c r="O49" s="133">
        <f>VLOOKUP($E$3,'Catchment Projections'!$A$1:$BU$90,56,FALSE)</f>
        <v>18</v>
      </c>
      <c r="P49" s="133">
        <f>VLOOKUP($E$3,'Catchment Projections'!$A$1:$BU$90,57,FALSE)</f>
        <v>18</v>
      </c>
      <c r="Q49" s="133">
        <f>VLOOKUP($E$3,'Catchment Projections'!$A$1:$BU$90,58,FALSE)</f>
        <v>18</v>
      </c>
    </row>
    <row r="50" spans="2:17" ht="15" customHeight="1" thickBot="1">
      <c r="B50" s="410" t="s">
        <v>141</v>
      </c>
      <c r="C50" s="411"/>
      <c r="D50" s="286">
        <f>VLOOKUP(E3,'Housing Generation'!$A$3:$DQ$90,10,FALSE)</f>
        <v>0</v>
      </c>
      <c r="E50" s="286">
        <f>VLOOKUP(E3,'Housing Generation'!$A$3:$DQ$90,18,FALSE)</f>
        <v>1</v>
      </c>
      <c r="F50" s="286">
        <f>VLOOKUP(E3,'Housing Generation'!$A$3:$DQ$90,26,FALSE)</f>
        <v>1</v>
      </c>
      <c r="G50" s="243">
        <f>VLOOKUP(E3,'Housing Generation'!$A$3:$DQ$90,34,FALSE)</f>
        <v>1</v>
      </c>
      <c r="H50" s="133">
        <f>VLOOKUP(E3,'Housing Generation'!$A$3:$DQ$90,42,FALSE)</f>
        <v>1</v>
      </c>
      <c r="I50" s="133">
        <f>VLOOKUP(E3,'Housing Generation'!$A$3:$DQ$90,50,FALSE)</f>
        <v>1</v>
      </c>
      <c r="J50" s="133">
        <f>VLOOKUP(E3,'Housing Generation'!$A$3:$CK$90,58,FALSE)</f>
        <v>1</v>
      </c>
      <c r="K50" s="133">
        <f>VLOOKUP(E3,'Housing Generation'!$A$3:$CK$90,66,FALSE)</f>
        <v>1</v>
      </c>
      <c r="L50" s="133">
        <f>VLOOKUP(E3,'Housing Generation'!$A$3:$DQ$90,74,FALSE)</f>
        <v>1</v>
      </c>
      <c r="M50" s="133">
        <f>VLOOKUP(E3,'Housing Generation'!$A$3:$DQ$90,82,FALSE)</f>
        <v>1</v>
      </c>
      <c r="N50" s="133">
        <f>VLOOKUP(E3,'Housing Generation'!$A$3:$DQ$90,90,FALSE)</f>
        <v>1</v>
      </c>
      <c r="O50" s="133">
        <f>VLOOKUP(E3,'Housing Generation'!$A$3:$DQ$90,98,FALSE)</f>
        <v>1</v>
      </c>
      <c r="P50" s="133">
        <f>VLOOKUP(E3,'Housing Generation'!$A$3:$DQ$90,106,FALSE)</f>
        <v>1</v>
      </c>
      <c r="Q50" s="133">
        <f>VLOOKUP(E3,'Housing Generation'!$A$3:$DQ$90,114,FALSE)</f>
        <v>1</v>
      </c>
    </row>
    <row r="51" spans="2:17" ht="15" customHeight="1" thickTop="1">
      <c r="B51" s="421" t="s">
        <v>130</v>
      </c>
      <c r="C51" s="422"/>
      <c r="D51" s="47">
        <f t="shared" ref="D51:Q51" si="0">SUM(D49:D50)</f>
        <v>28</v>
      </c>
      <c r="E51" s="47">
        <f t="shared" si="0"/>
        <v>25</v>
      </c>
      <c r="F51" s="80">
        <f t="shared" si="0"/>
        <v>14</v>
      </c>
      <c r="G51" s="244">
        <f t="shared" si="0"/>
        <v>13</v>
      </c>
      <c r="H51" s="71">
        <f t="shared" si="0"/>
        <v>18</v>
      </c>
      <c r="I51" s="71">
        <f t="shared" si="0"/>
        <v>18</v>
      </c>
      <c r="J51" s="71">
        <f t="shared" si="0"/>
        <v>18</v>
      </c>
      <c r="K51" s="71">
        <f t="shared" si="0"/>
        <v>19</v>
      </c>
      <c r="L51" s="71">
        <f t="shared" si="0"/>
        <v>19</v>
      </c>
      <c r="M51" s="71">
        <f t="shared" si="0"/>
        <v>19</v>
      </c>
      <c r="N51" s="71">
        <f t="shared" si="0"/>
        <v>19</v>
      </c>
      <c r="O51" s="71">
        <f t="shared" si="0"/>
        <v>19</v>
      </c>
      <c r="P51" s="71">
        <f t="shared" si="0"/>
        <v>19</v>
      </c>
      <c r="Q51" s="71">
        <f t="shared" si="0"/>
        <v>19</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20</v>
      </c>
      <c r="D60" s="358">
        <f>VLOOKUP($E$3,'Catchment Projections'!$A$1:$BZ$90,74,FALSE)</f>
        <v>18</v>
      </c>
      <c r="E60" s="303">
        <f>D60/C60</f>
        <v>0.9</v>
      </c>
      <c r="G60" s="132">
        <v>2014</v>
      </c>
      <c r="H60" s="395">
        <f>VLOOKUP($G$60,$B$177:$C$215, 2, FALSE)</f>
        <v>25</v>
      </c>
      <c r="I60" s="120">
        <f>H60-D60</f>
        <v>7</v>
      </c>
      <c r="J60" s="121">
        <f>I60/H60</f>
        <v>0.28000000000000003</v>
      </c>
    </row>
    <row r="61" spans="2:17" ht="15" customHeight="1">
      <c r="B61" s="132">
        <v>2015</v>
      </c>
      <c r="C61" s="359">
        <f>VLOOKUP($E$3,'Catchment Projections'!$A$1:$BZ$90,41,FALSE)</f>
        <v>20</v>
      </c>
      <c r="D61" s="358">
        <f>VLOOKUP($E$3,'Catchment Projections'!$A$1:$BZ$90,75,FALSE)</f>
        <v>15</v>
      </c>
      <c r="E61" s="303">
        <f>D61/C61</f>
        <v>0.75</v>
      </c>
      <c r="G61" s="132">
        <v>2015</v>
      </c>
      <c r="H61" s="395">
        <f>VLOOKUP($G$61,$B$177:$C$215, 2, FALSE)</f>
        <v>25</v>
      </c>
      <c r="I61" s="120">
        <f>H61-D61</f>
        <v>10</v>
      </c>
      <c r="J61" s="121">
        <f>I61/H61</f>
        <v>0.4</v>
      </c>
    </row>
    <row r="62" spans="2:17" ht="15" customHeight="1">
      <c r="B62" s="131">
        <v>2016</v>
      </c>
      <c r="C62" s="359">
        <f>VLOOKUP($E$3,'Catchment Projections'!$A$1:$BZ$90,42,FALSE)</f>
        <v>25</v>
      </c>
      <c r="D62" s="358">
        <f>VLOOKUP($E$3,'Catchment Projections'!$A$1:$BZ$90,76,FALSE)</f>
        <v>23</v>
      </c>
      <c r="E62" s="57">
        <f>D62/C62</f>
        <v>0.92</v>
      </c>
      <c r="G62" s="131">
        <v>2016</v>
      </c>
      <c r="H62" s="395">
        <f>VLOOKUP($G$62,$B$177:$C$215, 2, FALSE)</f>
        <v>25</v>
      </c>
      <c r="I62" s="120">
        <f>H62-D62</f>
        <v>2</v>
      </c>
      <c r="J62" s="121">
        <f>I62/H62</f>
        <v>0.08</v>
      </c>
    </row>
    <row r="63" spans="2:17" ht="15" customHeight="1">
      <c r="B63" s="114">
        <v>2017</v>
      </c>
      <c r="C63" s="359">
        <f>VLOOKUP($E$3,'Catchment Projections'!$A$1:$BZ$90,43,FALSE)</f>
        <v>17</v>
      </c>
      <c r="D63" s="358">
        <f>VLOOKUP($E$3,'Catchment Projections'!$A$1:$BZ$90,77,FALSE)</f>
        <v>17</v>
      </c>
      <c r="E63" s="304">
        <f>D63/C63</f>
        <v>1</v>
      </c>
      <c r="G63" s="114">
        <v>2017</v>
      </c>
      <c r="H63" s="395">
        <f>VLOOKUP($G$63,$B$177:$C$215, 2, FALSE)</f>
        <v>26</v>
      </c>
      <c r="I63" s="120">
        <f>H63-D63</f>
        <v>9</v>
      </c>
      <c r="J63" s="121">
        <f>I63/H63</f>
        <v>0.34615384615384615</v>
      </c>
    </row>
    <row r="64" spans="2:17" ht="15" customHeight="1">
      <c r="B64" s="114">
        <v>2018</v>
      </c>
      <c r="C64" s="359">
        <f>VLOOKUP($E$3,'Catchment Projections'!$A$1:$BZ$90,44,FALSE)</f>
        <v>16</v>
      </c>
      <c r="D64" s="358">
        <f>VLOOKUP($E$3,'Catchment Projections'!$A$1:$BZ$90,78,FALSE)</f>
        <v>13</v>
      </c>
      <c r="E64" s="305">
        <f>D64/C64</f>
        <v>0.8125</v>
      </c>
      <c r="G64" s="114">
        <v>2018</v>
      </c>
      <c r="H64" s="395">
        <f>VLOOKUP($G$64,$B$177:$C$215, 2, FALSE)</f>
        <v>24</v>
      </c>
      <c r="I64" s="120">
        <f>H64-D64</f>
        <v>11</v>
      </c>
      <c r="J64" s="121">
        <f>I64/H64</f>
        <v>0.45833333333333331</v>
      </c>
    </row>
    <row r="65" spans="2:10" ht="15" customHeight="1">
      <c r="B65" s="412" t="s">
        <v>136</v>
      </c>
      <c r="C65" s="413"/>
      <c r="D65" s="414"/>
      <c r="E65" s="137">
        <f>IF((AVERAGE(E62:E64))="#DIV/0!","n/a",(AVERAGE(E62:E64)))</f>
        <v>0.91083333333333327</v>
      </c>
      <c r="G65" s="415" t="s">
        <v>137</v>
      </c>
      <c r="H65" s="416"/>
      <c r="I65" s="138">
        <f>MEDIAN(I60:I64)</f>
        <v>9</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28</v>
      </c>
      <c r="D70" s="408"/>
      <c r="E70" s="122">
        <f>E65</f>
        <v>0.91083333333333327</v>
      </c>
      <c r="F70" s="120">
        <f t="shared" ref="F70:F83" si="1">C70*$E$65</f>
        <v>25.50333333333333</v>
      </c>
      <c r="G70" s="118">
        <f>IF(F70&lt;26,25,IF(F70&gt;135,140,IF(F70&gt;130,135,IF(F70&gt;125,130,IF(F70&gt;120,125,IF(F70&gt;115,120,IF(F70&gt;110,115,IF(F70&gt;105,110,IF(F70&gt;100,105,IF(F70&gt;99,100,IF(F70&gt;90,99,IF(F70&gt;75,90,IF(F70&gt;72,75,IF(F70&gt;66,72,IF(F70&gt;60,66,IF(F70&gt;50,60,IF(F70&gt;30,50,IF(F70&gt;25,30,0))))))))))))))))))</f>
        <v>25</v>
      </c>
      <c r="H70" s="119">
        <f t="shared" ref="H70:H83" si="2">G70-F70</f>
        <v>-0.5033333333333303</v>
      </c>
      <c r="I70" s="118" t="str">
        <f>IF(I$65&lt;H70, "NO", "YES")</f>
        <v>YES</v>
      </c>
      <c r="J70" s="117">
        <f t="shared" ref="J70:J83" si="3">IF(I70="YES",G70,(MIN((SUM(F70,$I$65)),G70)))</f>
        <v>25</v>
      </c>
    </row>
    <row r="71" spans="2:10" ht="15" customHeight="1">
      <c r="B71" s="114">
        <v>2020</v>
      </c>
      <c r="C71" s="433">
        <f>E51</f>
        <v>25</v>
      </c>
      <c r="D71" s="408"/>
      <c r="E71" s="121">
        <f>E65</f>
        <v>0.91083333333333327</v>
      </c>
      <c r="F71" s="120">
        <f t="shared" si="1"/>
        <v>22.770833333333332</v>
      </c>
      <c r="G71" s="118">
        <f t="shared" ref="G71:G83" si="4">IF(F71&lt;26,25,IF(F71&gt;135,140,IF(F71&gt;130,135,IF(F71&gt;125,130,IF(F71&gt;120,125,IF(F71&gt;115,120,IF(F71&gt;110,115,IF(F71&gt;105,110,IF(F71&gt;100,105,IF(F71&gt;99,100,IF(F71&gt;90,99,IF(F71&gt;75,90,IF(F71&gt;72,75,IF(F71&gt;66,72,IF(F71&gt;60,66,IF(F71&gt;50,60,IF(F71&gt;30,50,IF(F71&gt;25,30,0))))))))))))))))))</f>
        <v>25</v>
      </c>
      <c r="H71" s="119">
        <f t="shared" si="2"/>
        <v>2.2291666666666679</v>
      </c>
      <c r="I71" s="118" t="str">
        <f t="shared" ref="I71:I83" si="5">IF(I$65&lt;H71, "NO", "YES")</f>
        <v>YES</v>
      </c>
      <c r="J71" s="117">
        <f t="shared" si="3"/>
        <v>25</v>
      </c>
    </row>
    <row r="72" spans="2:10" ht="15" customHeight="1">
      <c r="B72" s="114">
        <v>2021</v>
      </c>
      <c r="C72" s="430">
        <f>F51</f>
        <v>14</v>
      </c>
      <c r="D72" s="431"/>
      <c r="E72" s="121">
        <f>E65</f>
        <v>0.91083333333333327</v>
      </c>
      <c r="F72" s="120">
        <f t="shared" si="1"/>
        <v>12.751666666666665</v>
      </c>
      <c r="G72" s="118">
        <f t="shared" si="4"/>
        <v>25</v>
      </c>
      <c r="H72" s="119">
        <f t="shared" si="2"/>
        <v>12.248333333333335</v>
      </c>
      <c r="I72" s="118" t="str">
        <f t="shared" si="5"/>
        <v>NO</v>
      </c>
      <c r="J72" s="117">
        <f t="shared" si="3"/>
        <v>21.751666666666665</v>
      </c>
    </row>
    <row r="73" spans="2:10" ht="15" customHeight="1">
      <c r="B73" s="114">
        <v>2022</v>
      </c>
      <c r="C73" s="430">
        <f>G51</f>
        <v>13</v>
      </c>
      <c r="D73" s="431"/>
      <c r="E73" s="121">
        <f>E65</f>
        <v>0.91083333333333327</v>
      </c>
      <c r="F73" s="120">
        <f t="shared" si="1"/>
        <v>11.840833333333332</v>
      </c>
      <c r="G73" s="118">
        <f t="shared" si="4"/>
        <v>25</v>
      </c>
      <c r="H73" s="119">
        <f t="shared" si="2"/>
        <v>13.159166666666668</v>
      </c>
      <c r="I73" s="118" t="str">
        <f t="shared" si="5"/>
        <v>NO</v>
      </c>
      <c r="J73" s="117">
        <f t="shared" si="3"/>
        <v>20.840833333333332</v>
      </c>
    </row>
    <row r="74" spans="2:10" ht="15" customHeight="1">
      <c r="B74" s="114">
        <v>2023</v>
      </c>
      <c r="C74" s="430">
        <f>H51</f>
        <v>18</v>
      </c>
      <c r="D74" s="431"/>
      <c r="E74" s="121">
        <f>E65</f>
        <v>0.91083333333333327</v>
      </c>
      <c r="F74" s="120">
        <f t="shared" si="1"/>
        <v>16.395</v>
      </c>
      <c r="G74" s="118">
        <f t="shared" si="4"/>
        <v>25</v>
      </c>
      <c r="H74" s="119">
        <f t="shared" si="2"/>
        <v>8.6050000000000004</v>
      </c>
      <c r="I74" s="118" t="str">
        <f t="shared" si="5"/>
        <v>YES</v>
      </c>
      <c r="J74" s="117">
        <f t="shared" si="3"/>
        <v>25</v>
      </c>
    </row>
    <row r="75" spans="2:10" ht="15" customHeight="1">
      <c r="B75" s="114">
        <v>2024</v>
      </c>
      <c r="C75" s="430">
        <f>I51</f>
        <v>18</v>
      </c>
      <c r="D75" s="431"/>
      <c r="E75" s="121">
        <f>E65</f>
        <v>0.91083333333333327</v>
      </c>
      <c r="F75" s="120">
        <f t="shared" si="1"/>
        <v>16.395</v>
      </c>
      <c r="G75" s="118">
        <f t="shared" si="4"/>
        <v>25</v>
      </c>
      <c r="H75" s="119">
        <f t="shared" si="2"/>
        <v>8.6050000000000004</v>
      </c>
      <c r="I75" s="118" t="str">
        <f t="shared" si="5"/>
        <v>YES</v>
      </c>
      <c r="J75" s="117">
        <f t="shared" si="3"/>
        <v>25</v>
      </c>
    </row>
    <row r="76" spans="2:10" ht="15" customHeight="1">
      <c r="B76" s="114">
        <v>2025</v>
      </c>
      <c r="C76" s="430">
        <f>J51</f>
        <v>18</v>
      </c>
      <c r="D76" s="431"/>
      <c r="E76" s="121">
        <f>E65</f>
        <v>0.91083333333333327</v>
      </c>
      <c r="F76" s="120">
        <f t="shared" si="1"/>
        <v>16.395</v>
      </c>
      <c r="G76" s="118">
        <f t="shared" si="4"/>
        <v>25</v>
      </c>
      <c r="H76" s="119">
        <f t="shared" si="2"/>
        <v>8.6050000000000004</v>
      </c>
      <c r="I76" s="118" t="str">
        <f t="shared" si="5"/>
        <v>YES</v>
      </c>
      <c r="J76" s="117">
        <f t="shared" si="3"/>
        <v>25</v>
      </c>
    </row>
    <row r="77" spans="2:10" ht="15" customHeight="1">
      <c r="B77" s="114">
        <v>2026</v>
      </c>
      <c r="C77" s="430">
        <f>K51</f>
        <v>19</v>
      </c>
      <c r="D77" s="431"/>
      <c r="E77" s="121">
        <f>E65</f>
        <v>0.91083333333333327</v>
      </c>
      <c r="F77" s="120">
        <f t="shared" si="1"/>
        <v>17.305833333333332</v>
      </c>
      <c r="G77" s="118">
        <f t="shared" si="4"/>
        <v>25</v>
      </c>
      <c r="H77" s="119">
        <f t="shared" si="2"/>
        <v>7.6941666666666677</v>
      </c>
      <c r="I77" s="118" t="str">
        <f t="shared" si="5"/>
        <v>YES</v>
      </c>
      <c r="J77" s="117">
        <f t="shared" si="3"/>
        <v>25</v>
      </c>
    </row>
    <row r="78" spans="2:10" ht="15" customHeight="1">
      <c r="B78" s="114">
        <v>2027</v>
      </c>
      <c r="C78" s="430">
        <f>L51</f>
        <v>19</v>
      </c>
      <c r="D78" s="431"/>
      <c r="E78" s="121">
        <f>E65</f>
        <v>0.91083333333333327</v>
      </c>
      <c r="F78" s="120">
        <f t="shared" si="1"/>
        <v>17.305833333333332</v>
      </c>
      <c r="G78" s="118">
        <f t="shared" si="4"/>
        <v>25</v>
      </c>
      <c r="H78" s="119">
        <f t="shared" si="2"/>
        <v>7.6941666666666677</v>
      </c>
      <c r="I78" s="118" t="str">
        <f t="shared" si="5"/>
        <v>YES</v>
      </c>
      <c r="J78" s="117">
        <f t="shared" si="3"/>
        <v>25</v>
      </c>
    </row>
    <row r="79" spans="2:10" ht="15" customHeight="1">
      <c r="B79" s="114">
        <v>2028</v>
      </c>
      <c r="C79" s="430">
        <f>M51</f>
        <v>19</v>
      </c>
      <c r="D79" s="431"/>
      <c r="E79" s="121">
        <f t="shared" ref="E79:E83" si="6">$E$65</f>
        <v>0.91083333333333327</v>
      </c>
      <c r="F79" s="120">
        <f t="shared" si="1"/>
        <v>17.305833333333332</v>
      </c>
      <c r="G79" s="118">
        <f t="shared" si="4"/>
        <v>25</v>
      </c>
      <c r="H79" s="119">
        <f t="shared" si="2"/>
        <v>7.6941666666666677</v>
      </c>
      <c r="I79" s="118" t="str">
        <f t="shared" si="5"/>
        <v>YES</v>
      </c>
      <c r="J79" s="117">
        <f t="shared" si="3"/>
        <v>25</v>
      </c>
    </row>
    <row r="80" spans="2:10" ht="15" customHeight="1">
      <c r="B80" s="114">
        <v>2029</v>
      </c>
      <c r="C80" s="430">
        <f>N51</f>
        <v>19</v>
      </c>
      <c r="D80" s="431"/>
      <c r="E80" s="121">
        <f t="shared" si="6"/>
        <v>0.91083333333333327</v>
      </c>
      <c r="F80" s="120">
        <f t="shared" si="1"/>
        <v>17.305833333333332</v>
      </c>
      <c r="G80" s="118">
        <f t="shared" si="4"/>
        <v>25</v>
      </c>
      <c r="H80" s="119">
        <f t="shared" si="2"/>
        <v>7.6941666666666677</v>
      </c>
      <c r="I80" s="118" t="str">
        <f t="shared" si="5"/>
        <v>YES</v>
      </c>
      <c r="J80" s="117">
        <f t="shared" si="3"/>
        <v>25</v>
      </c>
    </row>
    <row r="81" spans="2:10" ht="15" customHeight="1">
      <c r="B81" s="114">
        <v>2030</v>
      </c>
      <c r="C81" s="430">
        <f>O51</f>
        <v>19</v>
      </c>
      <c r="D81" s="431"/>
      <c r="E81" s="121">
        <f t="shared" si="6"/>
        <v>0.91083333333333327</v>
      </c>
      <c r="F81" s="120">
        <f t="shared" si="1"/>
        <v>17.305833333333332</v>
      </c>
      <c r="G81" s="118">
        <f t="shared" si="4"/>
        <v>25</v>
      </c>
      <c r="H81" s="119">
        <f t="shared" si="2"/>
        <v>7.6941666666666677</v>
      </c>
      <c r="I81" s="118" t="str">
        <f t="shared" si="5"/>
        <v>YES</v>
      </c>
      <c r="J81" s="117">
        <f t="shared" si="3"/>
        <v>25</v>
      </c>
    </row>
    <row r="82" spans="2:10" ht="15" customHeight="1">
      <c r="B82" s="114">
        <v>2031</v>
      </c>
      <c r="C82" s="430">
        <f>P51</f>
        <v>19</v>
      </c>
      <c r="D82" s="431"/>
      <c r="E82" s="121">
        <f t="shared" si="6"/>
        <v>0.91083333333333327</v>
      </c>
      <c r="F82" s="120">
        <f t="shared" si="1"/>
        <v>17.305833333333332</v>
      </c>
      <c r="G82" s="118">
        <f t="shared" si="4"/>
        <v>25</v>
      </c>
      <c r="H82" s="119">
        <f t="shared" si="2"/>
        <v>7.6941666666666677</v>
      </c>
      <c r="I82" s="118" t="str">
        <f t="shared" si="5"/>
        <v>YES</v>
      </c>
      <c r="J82" s="117">
        <f t="shared" si="3"/>
        <v>25</v>
      </c>
    </row>
    <row r="83" spans="2:10" ht="15" customHeight="1">
      <c r="B83" s="114">
        <v>2032</v>
      </c>
      <c r="C83" s="430">
        <f>Q51</f>
        <v>19</v>
      </c>
      <c r="D83" s="431"/>
      <c r="E83" s="121">
        <f t="shared" si="6"/>
        <v>0.91083333333333327</v>
      </c>
      <c r="F83" s="120">
        <f t="shared" si="1"/>
        <v>17.305833333333332</v>
      </c>
      <c r="G83" s="118">
        <f t="shared" si="4"/>
        <v>25</v>
      </c>
      <c r="H83" s="119">
        <f t="shared" si="2"/>
        <v>7.6941666666666677</v>
      </c>
      <c r="I83" s="118" t="str">
        <f t="shared" si="5"/>
        <v>YES</v>
      </c>
      <c r="J83" s="117">
        <f t="shared" si="3"/>
        <v>25</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Prestonfield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36</v>
      </c>
      <c r="D91" s="112">
        <f t="shared" ref="D91:J91" si="7">D188</f>
        <v>36</v>
      </c>
      <c r="E91" s="112">
        <f t="shared" si="7"/>
        <v>29</v>
      </c>
      <c r="F91" s="112">
        <f t="shared" si="7"/>
        <v>21</v>
      </c>
      <c r="G91" s="112">
        <f t="shared" si="7"/>
        <v>22</v>
      </c>
      <c r="H91" s="112">
        <f t="shared" si="7"/>
        <v>20</v>
      </c>
      <c r="I91" s="112">
        <f t="shared" si="7"/>
        <v>20</v>
      </c>
      <c r="J91" s="213">
        <f t="shared" si="7"/>
        <v>184</v>
      </c>
    </row>
    <row r="92" spans="2:10" ht="15" customHeight="1">
      <c r="B92" s="114">
        <v>2014</v>
      </c>
      <c r="C92" s="112">
        <f>C189</f>
        <v>25</v>
      </c>
      <c r="D92" s="112">
        <f t="shared" ref="D92:J92" si="8">D189</f>
        <v>37</v>
      </c>
      <c r="E92" s="112">
        <f t="shared" si="8"/>
        <v>38</v>
      </c>
      <c r="F92" s="112">
        <f t="shared" si="8"/>
        <v>28</v>
      </c>
      <c r="G92" s="112">
        <f t="shared" si="8"/>
        <v>20</v>
      </c>
      <c r="H92" s="112">
        <f t="shared" si="8"/>
        <v>23</v>
      </c>
      <c r="I92" s="112">
        <f t="shared" si="8"/>
        <v>20</v>
      </c>
      <c r="J92" s="213">
        <f t="shared" si="8"/>
        <v>191</v>
      </c>
    </row>
    <row r="93" spans="2:10" ht="15" customHeight="1">
      <c r="B93" s="114">
        <v>2015</v>
      </c>
      <c r="C93" s="112">
        <f>C190</f>
        <v>25</v>
      </c>
      <c r="D93" s="112">
        <f t="shared" ref="D93:J93" si="9">D190</f>
        <v>30</v>
      </c>
      <c r="E93" s="112">
        <f t="shared" si="9"/>
        <v>38</v>
      </c>
      <c r="F93" s="112">
        <f t="shared" si="9"/>
        <v>39</v>
      </c>
      <c r="G93" s="112">
        <f t="shared" si="9"/>
        <v>32</v>
      </c>
      <c r="H93" s="112">
        <f t="shared" si="9"/>
        <v>19</v>
      </c>
      <c r="I93" s="112">
        <f t="shared" si="9"/>
        <v>26</v>
      </c>
      <c r="J93" s="213">
        <f t="shared" si="9"/>
        <v>209</v>
      </c>
    </row>
    <row r="94" spans="2:10" ht="15" customHeight="1">
      <c r="B94" s="114">
        <v>2016</v>
      </c>
      <c r="C94" s="112">
        <f>C191</f>
        <v>25</v>
      </c>
      <c r="D94" s="112">
        <f t="shared" ref="D94:J94" si="10">D191</f>
        <v>26</v>
      </c>
      <c r="E94" s="112">
        <f t="shared" si="10"/>
        <v>26</v>
      </c>
      <c r="F94" s="112">
        <f t="shared" si="10"/>
        <v>34</v>
      </c>
      <c r="G94" s="112">
        <f t="shared" si="10"/>
        <v>41</v>
      </c>
      <c r="H94" s="112">
        <f t="shared" si="10"/>
        <v>32</v>
      </c>
      <c r="I94" s="112">
        <f t="shared" si="10"/>
        <v>18</v>
      </c>
      <c r="J94" s="213">
        <f t="shared" si="10"/>
        <v>202</v>
      </c>
    </row>
    <row r="95" spans="2:10" ht="15" customHeight="1">
      <c r="B95" s="114">
        <v>2017</v>
      </c>
      <c r="C95" s="112">
        <f>C192</f>
        <v>26</v>
      </c>
      <c r="D95" s="112">
        <f t="shared" ref="D95:J95" si="11">D192</f>
        <v>27</v>
      </c>
      <c r="E95" s="112">
        <f t="shared" si="11"/>
        <v>27</v>
      </c>
      <c r="F95" s="112">
        <f t="shared" si="11"/>
        <v>32</v>
      </c>
      <c r="G95" s="112">
        <f t="shared" si="11"/>
        <v>31</v>
      </c>
      <c r="H95" s="112">
        <f t="shared" si="11"/>
        <v>39</v>
      </c>
      <c r="I95" s="112">
        <f t="shared" si="11"/>
        <v>32</v>
      </c>
      <c r="J95" s="213">
        <f t="shared" si="11"/>
        <v>214</v>
      </c>
    </row>
    <row r="96" spans="2:10" ht="15" customHeight="1">
      <c r="B96" s="307">
        <v>2018</v>
      </c>
      <c r="C96" s="112">
        <f t="shared" ref="C96:J96" si="12">C193</f>
        <v>24</v>
      </c>
      <c r="D96" s="112">
        <f t="shared" si="12"/>
        <v>28</v>
      </c>
      <c r="E96" s="112">
        <f t="shared" si="12"/>
        <v>28</v>
      </c>
      <c r="F96" s="112">
        <f t="shared" si="12"/>
        <v>26</v>
      </c>
      <c r="G96" s="112">
        <f t="shared" si="12"/>
        <v>30</v>
      </c>
      <c r="H96" s="112">
        <f t="shared" si="12"/>
        <v>27</v>
      </c>
      <c r="I96" s="112">
        <f t="shared" si="12"/>
        <v>34</v>
      </c>
      <c r="J96" s="213">
        <f t="shared" si="12"/>
        <v>197</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-7.6923076923076927E-2</v>
      </c>
      <c r="E98" s="210">
        <f t="shared" ref="E98:I98" si="13">MEDIAN(((D91-E92)/D91),((D92-E93)/D92),((D93-E94)/D93),((D94-E95)/D94),((D95-E96)/D95))</f>
        <v>-3.7037037037037035E-2</v>
      </c>
      <c r="F98" s="210">
        <f t="shared" si="13"/>
        <v>3.4482758620689655E-2</v>
      </c>
      <c r="G98" s="210">
        <f t="shared" si="13"/>
        <v>4.7619047619047616E-2</v>
      </c>
      <c r="H98" s="210">
        <f t="shared" si="13"/>
        <v>4.878048780487805E-2</v>
      </c>
      <c r="I98" s="210">
        <f t="shared" si="13"/>
        <v>0</v>
      </c>
    </row>
    <row r="99" spans="2:10" ht="18.75">
      <c r="B99" s="59"/>
      <c r="C99" s="60"/>
      <c r="D99" s="61"/>
      <c r="E99" s="61"/>
      <c r="F99" s="61"/>
      <c r="G99" s="61"/>
      <c r="H99" s="61"/>
      <c r="I99" s="61"/>
      <c r="J99" s="58"/>
    </row>
    <row r="100" spans="2:10">
      <c r="B100" s="15" t="str">
        <f>"Table 4B: "&amp;E3&amp;" Projected Roll by Stage (incorporating Projected P1 and Drop-Off Rates), 2019-2032"</f>
        <v>Table 4B: Prestonfield Primary School Projected Roll by Stage (incorporating Projected P1 and Drop-Off Rates), 2019-2032</v>
      </c>
      <c r="F100" s="14"/>
      <c r="G100" s="14"/>
    </row>
    <row r="101" spans="2:10" ht="12.75">
      <c r="F101" s="14"/>
      <c r="G101" s="14"/>
    </row>
    <row r="102" spans="2:10">
      <c r="B102" s="115"/>
      <c r="C102" s="109" t="s">
        <v>1</v>
      </c>
      <c r="D102" s="109" t="s">
        <v>2</v>
      </c>
      <c r="E102" s="109" t="s">
        <v>3</v>
      </c>
      <c r="F102" s="109" t="s">
        <v>4</v>
      </c>
      <c r="G102" s="109" t="s">
        <v>5</v>
      </c>
      <c r="H102" s="109" t="s">
        <v>6</v>
      </c>
      <c r="I102" s="109" t="s">
        <v>7</v>
      </c>
      <c r="J102" s="109" t="s">
        <v>8</v>
      </c>
    </row>
    <row r="103" spans="2:10">
      <c r="B103" s="114">
        <v>2019</v>
      </c>
      <c r="C103" s="113">
        <f t="shared" ref="C103:C116" si="14">J70</f>
        <v>25</v>
      </c>
      <c r="D103" s="324">
        <f>ROUND((C96)-(C96*$D$98),0)</f>
        <v>26</v>
      </c>
      <c r="E103" s="324">
        <f>ROUND((D96)-(D96*$E$98),0)</f>
        <v>29</v>
      </c>
      <c r="F103" s="324">
        <f>ROUND((E96)-(E96*$F$98),0)</f>
        <v>27</v>
      </c>
      <c r="G103" s="324">
        <f>ROUND((F96)-(F96*$G$98),0)</f>
        <v>25</v>
      </c>
      <c r="H103" s="324">
        <f>ROUND((G96)-(G96*$H$98),0)</f>
        <v>29</v>
      </c>
      <c r="I103" s="324">
        <f>ROUND((H96)-(H96*$I$98),0)</f>
        <v>27</v>
      </c>
      <c r="J103" s="111">
        <f t="shared" ref="J103:J116" si="15">SUM(C103:I103)</f>
        <v>188</v>
      </c>
    </row>
    <row r="104" spans="2:10">
      <c r="B104" s="114">
        <v>2020</v>
      </c>
      <c r="C104" s="113">
        <f t="shared" si="14"/>
        <v>25</v>
      </c>
      <c r="D104" s="324">
        <f>ROUND((C103-E50)-(C103*$D$98),0)</f>
        <v>26</v>
      </c>
      <c r="E104" s="112">
        <f t="shared" ref="E104:E116" si="16">ROUND((D103)-(D103*$E$98),0)</f>
        <v>27</v>
      </c>
      <c r="F104" s="112">
        <f t="shared" ref="F104:F116" si="17">ROUND((E103)-(E103*$F$98),0)</f>
        <v>28</v>
      </c>
      <c r="G104" s="112">
        <f t="shared" ref="G104:G116" si="18">ROUND((F103)-(F103*$G$98),0)</f>
        <v>26</v>
      </c>
      <c r="H104" s="112">
        <f t="shared" ref="H104:H116" si="19">ROUND((G103)-(G103*$H$98),0)</f>
        <v>24</v>
      </c>
      <c r="I104" s="112">
        <f t="shared" ref="I104:I116" si="20">ROUND((H103)-(H103*$I$98),0)</f>
        <v>29</v>
      </c>
      <c r="J104" s="111">
        <f t="shared" si="15"/>
        <v>185</v>
      </c>
    </row>
    <row r="105" spans="2:10">
      <c r="B105" s="114">
        <v>2021</v>
      </c>
      <c r="C105" s="113">
        <f t="shared" si="14"/>
        <v>21.751666666666665</v>
      </c>
      <c r="D105" s="324">
        <f>ROUND((C104-F50)-(C104*$D$98),0)</f>
        <v>26</v>
      </c>
      <c r="E105" s="112">
        <f t="shared" si="16"/>
        <v>27</v>
      </c>
      <c r="F105" s="112">
        <f t="shared" si="17"/>
        <v>26</v>
      </c>
      <c r="G105" s="112">
        <f t="shared" si="18"/>
        <v>27</v>
      </c>
      <c r="H105" s="112">
        <f t="shared" si="19"/>
        <v>25</v>
      </c>
      <c r="I105" s="112">
        <f t="shared" si="20"/>
        <v>24</v>
      </c>
      <c r="J105" s="111">
        <f t="shared" si="15"/>
        <v>176.75166666666667</v>
      </c>
    </row>
    <row r="106" spans="2:10">
      <c r="B106" s="114">
        <v>2022</v>
      </c>
      <c r="C106" s="113">
        <f t="shared" si="14"/>
        <v>20.840833333333332</v>
      </c>
      <c r="D106" s="324">
        <f>ROUND((C105-G50)-(C105*$D$98),0)</f>
        <v>22</v>
      </c>
      <c r="E106" s="112">
        <f t="shared" si="16"/>
        <v>27</v>
      </c>
      <c r="F106" s="112">
        <f t="shared" si="17"/>
        <v>26</v>
      </c>
      <c r="G106" s="112">
        <f t="shared" si="18"/>
        <v>25</v>
      </c>
      <c r="H106" s="112">
        <f t="shared" si="19"/>
        <v>26</v>
      </c>
      <c r="I106" s="112">
        <f t="shared" si="20"/>
        <v>25</v>
      </c>
      <c r="J106" s="111">
        <f t="shared" si="15"/>
        <v>171.84083333333334</v>
      </c>
    </row>
    <row r="107" spans="2:10">
      <c r="B107" s="114">
        <v>2023</v>
      </c>
      <c r="C107" s="113">
        <f t="shared" si="14"/>
        <v>25</v>
      </c>
      <c r="D107" s="324">
        <f>ROUND((C106-H50)-(C106*$D$98),0)</f>
        <v>21</v>
      </c>
      <c r="E107" s="112">
        <f t="shared" si="16"/>
        <v>23</v>
      </c>
      <c r="F107" s="112">
        <f t="shared" si="17"/>
        <v>26</v>
      </c>
      <c r="G107" s="112">
        <f t="shared" si="18"/>
        <v>25</v>
      </c>
      <c r="H107" s="112">
        <f t="shared" si="19"/>
        <v>24</v>
      </c>
      <c r="I107" s="112">
        <f t="shared" si="20"/>
        <v>26</v>
      </c>
      <c r="J107" s="111">
        <f t="shared" si="15"/>
        <v>170</v>
      </c>
    </row>
    <row r="108" spans="2:10">
      <c r="B108" s="114">
        <v>2024</v>
      </c>
      <c r="C108" s="113">
        <f t="shared" si="14"/>
        <v>25</v>
      </c>
      <c r="D108" s="324">
        <f>ROUND((C107-I50)-(C107*$D$98),0)</f>
        <v>26</v>
      </c>
      <c r="E108" s="112">
        <f t="shared" si="16"/>
        <v>22</v>
      </c>
      <c r="F108" s="112">
        <f t="shared" si="17"/>
        <v>22</v>
      </c>
      <c r="G108" s="112">
        <f t="shared" si="18"/>
        <v>25</v>
      </c>
      <c r="H108" s="112">
        <f t="shared" si="19"/>
        <v>24</v>
      </c>
      <c r="I108" s="112">
        <f t="shared" si="20"/>
        <v>24</v>
      </c>
      <c r="J108" s="111">
        <f t="shared" si="15"/>
        <v>168</v>
      </c>
    </row>
    <row r="109" spans="2:10">
      <c r="B109" s="114">
        <v>2025</v>
      </c>
      <c r="C109" s="113">
        <f t="shared" si="14"/>
        <v>25</v>
      </c>
      <c r="D109" s="324">
        <f>ROUND((C108-J50)-(C108*$D$98),0)</f>
        <v>26</v>
      </c>
      <c r="E109" s="112">
        <f t="shared" si="16"/>
        <v>27</v>
      </c>
      <c r="F109" s="112">
        <f t="shared" si="17"/>
        <v>21</v>
      </c>
      <c r="G109" s="112">
        <f t="shared" si="18"/>
        <v>21</v>
      </c>
      <c r="H109" s="112">
        <f t="shared" si="19"/>
        <v>24</v>
      </c>
      <c r="I109" s="112">
        <f t="shared" si="20"/>
        <v>24</v>
      </c>
      <c r="J109" s="111">
        <f t="shared" si="15"/>
        <v>168</v>
      </c>
    </row>
    <row r="110" spans="2:10">
      <c r="B110" s="114">
        <v>2026</v>
      </c>
      <c r="C110" s="113">
        <f t="shared" si="14"/>
        <v>25</v>
      </c>
      <c r="D110" s="324">
        <f>ROUND((C109-K50)-(C109*$D$98),0)</f>
        <v>26</v>
      </c>
      <c r="E110" s="112">
        <f t="shared" si="16"/>
        <v>27</v>
      </c>
      <c r="F110" s="112">
        <f t="shared" si="17"/>
        <v>26</v>
      </c>
      <c r="G110" s="112">
        <f t="shared" si="18"/>
        <v>20</v>
      </c>
      <c r="H110" s="112">
        <f t="shared" si="19"/>
        <v>20</v>
      </c>
      <c r="I110" s="112">
        <f t="shared" si="20"/>
        <v>24</v>
      </c>
      <c r="J110" s="111">
        <f t="shared" si="15"/>
        <v>168</v>
      </c>
    </row>
    <row r="111" spans="2:10">
      <c r="B111" s="114">
        <v>2027</v>
      </c>
      <c r="C111" s="113">
        <f t="shared" si="14"/>
        <v>25</v>
      </c>
      <c r="D111" s="324">
        <f>ROUND((C110-L50)-(C110*$D$98),0)</f>
        <v>26</v>
      </c>
      <c r="E111" s="112">
        <f t="shared" si="16"/>
        <v>27</v>
      </c>
      <c r="F111" s="112">
        <f t="shared" si="17"/>
        <v>26</v>
      </c>
      <c r="G111" s="112">
        <f t="shared" si="18"/>
        <v>25</v>
      </c>
      <c r="H111" s="112">
        <f t="shared" si="19"/>
        <v>19</v>
      </c>
      <c r="I111" s="112">
        <f t="shared" si="20"/>
        <v>20</v>
      </c>
      <c r="J111" s="111">
        <f t="shared" si="15"/>
        <v>168</v>
      </c>
    </row>
    <row r="112" spans="2:10">
      <c r="B112" s="114">
        <v>2028</v>
      </c>
      <c r="C112" s="113">
        <f t="shared" si="14"/>
        <v>25</v>
      </c>
      <c r="D112" s="324">
        <f>ROUND((C111-M50)-(C111*$D$98),0)</f>
        <v>26</v>
      </c>
      <c r="E112" s="112">
        <f t="shared" si="16"/>
        <v>27</v>
      </c>
      <c r="F112" s="112">
        <f t="shared" si="17"/>
        <v>26</v>
      </c>
      <c r="G112" s="112">
        <f t="shared" si="18"/>
        <v>25</v>
      </c>
      <c r="H112" s="112">
        <f t="shared" si="19"/>
        <v>24</v>
      </c>
      <c r="I112" s="112">
        <f t="shared" si="20"/>
        <v>19</v>
      </c>
      <c r="J112" s="111">
        <f t="shared" si="15"/>
        <v>172</v>
      </c>
    </row>
    <row r="113" spans="2:10" ht="15" customHeight="1">
      <c r="B113" s="114">
        <v>2029</v>
      </c>
      <c r="C113" s="113">
        <f t="shared" si="14"/>
        <v>25</v>
      </c>
      <c r="D113" s="324">
        <f>ROUND((C112-N50)-(C112*$D$98),0)</f>
        <v>26</v>
      </c>
      <c r="E113" s="112">
        <f t="shared" si="16"/>
        <v>27</v>
      </c>
      <c r="F113" s="112">
        <f t="shared" si="17"/>
        <v>26</v>
      </c>
      <c r="G113" s="112">
        <f t="shared" si="18"/>
        <v>25</v>
      </c>
      <c r="H113" s="112">
        <f t="shared" si="19"/>
        <v>24</v>
      </c>
      <c r="I113" s="112">
        <f t="shared" si="20"/>
        <v>24</v>
      </c>
      <c r="J113" s="111">
        <f t="shared" si="15"/>
        <v>177</v>
      </c>
    </row>
    <row r="114" spans="2:10" ht="15" customHeight="1">
      <c r="B114" s="114">
        <v>2030</v>
      </c>
      <c r="C114" s="113">
        <f t="shared" si="14"/>
        <v>25</v>
      </c>
      <c r="D114" s="324">
        <f>ROUND((C113-O50)-(C113*$D$98),0)</f>
        <v>26</v>
      </c>
      <c r="E114" s="112">
        <f t="shared" si="16"/>
        <v>27</v>
      </c>
      <c r="F114" s="112">
        <f t="shared" si="17"/>
        <v>26</v>
      </c>
      <c r="G114" s="112">
        <f t="shared" si="18"/>
        <v>25</v>
      </c>
      <c r="H114" s="112">
        <f t="shared" si="19"/>
        <v>24</v>
      </c>
      <c r="I114" s="112">
        <f t="shared" si="20"/>
        <v>24</v>
      </c>
      <c r="J114" s="111">
        <f t="shared" si="15"/>
        <v>177</v>
      </c>
    </row>
    <row r="115" spans="2:10" ht="15" customHeight="1">
      <c r="B115" s="114">
        <v>2031</v>
      </c>
      <c r="C115" s="113">
        <f t="shared" si="14"/>
        <v>25</v>
      </c>
      <c r="D115" s="324">
        <f>ROUND((C114-P50)-(C114*$D$98),0)</f>
        <v>26</v>
      </c>
      <c r="E115" s="112">
        <f t="shared" si="16"/>
        <v>27</v>
      </c>
      <c r="F115" s="112">
        <f t="shared" si="17"/>
        <v>26</v>
      </c>
      <c r="G115" s="112">
        <f t="shared" si="18"/>
        <v>25</v>
      </c>
      <c r="H115" s="112">
        <f t="shared" si="19"/>
        <v>24</v>
      </c>
      <c r="I115" s="112">
        <f t="shared" si="20"/>
        <v>24</v>
      </c>
      <c r="J115" s="111">
        <f t="shared" si="15"/>
        <v>177</v>
      </c>
    </row>
    <row r="116" spans="2:10" ht="15" customHeight="1">
      <c r="B116" s="114">
        <v>2032</v>
      </c>
      <c r="C116" s="113">
        <f t="shared" si="14"/>
        <v>25</v>
      </c>
      <c r="D116" s="324">
        <f>ROUND((C115-Q50)-(C115*$D$98),0)</f>
        <v>26</v>
      </c>
      <c r="E116" s="112">
        <f t="shared" si="16"/>
        <v>27</v>
      </c>
      <c r="F116" s="112">
        <f t="shared" si="17"/>
        <v>26</v>
      </c>
      <c r="G116" s="112">
        <f t="shared" si="18"/>
        <v>25</v>
      </c>
      <c r="H116" s="112">
        <f t="shared" si="19"/>
        <v>24</v>
      </c>
      <c r="I116" s="112">
        <f t="shared" si="20"/>
        <v>24</v>
      </c>
      <c r="J116" s="111">
        <f t="shared" si="15"/>
        <v>177</v>
      </c>
    </row>
    <row r="117" spans="2:10" ht="15" hidden="1" customHeight="1">
      <c r="F117" s="14"/>
      <c r="G117" s="14"/>
    </row>
    <row r="118" spans="2:10" ht="15" hidden="1" customHeight="1">
      <c r="B118" s="15" t="str">
        <f>"Table 4C: "&amp;E3&amp;" Projected Pupil Generation from Housing Development, 2019-2032"</f>
        <v>Table 4C: Prestonfield Primary School Projected Pupil Generation from Housing Development, 2019-2032</v>
      </c>
      <c r="F118" s="14"/>
      <c r="G118" s="14"/>
    </row>
    <row r="119" spans="2:10" ht="15" hidden="1" customHeight="1">
      <c r="F119" s="14"/>
      <c r="G119" s="14"/>
    </row>
    <row r="120" spans="2:10" ht="15" hidden="1" customHeight="1">
      <c r="B120" s="115"/>
      <c r="C120" s="109" t="s">
        <v>1</v>
      </c>
      <c r="D120" s="109" t="s">
        <v>2</v>
      </c>
      <c r="E120" s="109" t="s">
        <v>3</v>
      </c>
      <c r="F120" s="109" t="s">
        <v>4</v>
      </c>
      <c r="G120" s="109" t="s">
        <v>5</v>
      </c>
      <c r="H120" s="109" t="s">
        <v>6</v>
      </c>
      <c r="I120" s="109" t="s">
        <v>7</v>
      </c>
      <c r="J120" s="109" t="s">
        <v>8</v>
      </c>
    </row>
    <row r="121" spans="2:10" ht="15" hidden="1" customHeight="1">
      <c r="B121" s="114">
        <v>2019</v>
      </c>
      <c r="C121" s="116" t="s">
        <v>97</v>
      </c>
      <c r="D121" s="112">
        <f>VLOOKUP($E$3,'Housing Generation'!$A$3:$BE$90,11,FALSE)</f>
        <v>0</v>
      </c>
      <c r="E121" s="112">
        <f>VLOOKUP($E$3,'Housing Generation'!$A$3:$BE$90,12,FALSE)</f>
        <v>0</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0</v>
      </c>
    </row>
    <row r="122" spans="2:10" ht="15" hidden="1" customHeight="1">
      <c r="B122" s="114">
        <v>2020</v>
      </c>
      <c r="C122" s="116" t="s">
        <v>97</v>
      </c>
      <c r="D122" s="112">
        <f>VLOOKUP($E$3,'Housing Generation'!$A$3:$BE$90,19,FALSE)</f>
        <v>1</v>
      </c>
      <c r="E122" s="112">
        <f>VLOOKUP($E$3,'Housing Generation'!$A$3:$BE$90,20,FALSE)</f>
        <v>1</v>
      </c>
      <c r="F122" s="112">
        <f>VLOOKUP($E$3,'Housing Generation'!$A$3:$BE$90,21,FALSE)</f>
        <v>0</v>
      </c>
      <c r="G122" s="112">
        <f>VLOOKUP($E$3,'Housing Generation'!$A$3:$BE$90,22,FALSE)</f>
        <v>0</v>
      </c>
      <c r="H122" s="112">
        <f>VLOOKUP($E$3,'Housing Generation'!$A$3:$BE$90,23,FALSE)</f>
        <v>0</v>
      </c>
      <c r="I122" s="112">
        <f>VLOOKUP($E$3,'Housing Generation'!$A$3:$BE$90,24,FALSE)</f>
        <v>0</v>
      </c>
      <c r="J122" s="111">
        <f t="shared" si="21"/>
        <v>2</v>
      </c>
    </row>
    <row r="123" spans="2:10" ht="15" hidden="1" customHeight="1">
      <c r="B123" s="114">
        <v>2021</v>
      </c>
      <c r="C123" s="116" t="s">
        <v>97</v>
      </c>
      <c r="D123" s="112">
        <f>VLOOKUP($E$3,'Housing Generation'!$A$3:$BE$90,27,FALSE)</f>
        <v>1</v>
      </c>
      <c r="E123" s="112">
        <f>VLOOKUP($E$3,'Housing Generation'!$A$3:$BE$90,28,FALSE)</f>
        <v>1</v>
      </c>
      <c r="F123" s="112">
        <f>VLOOKUP($E$3,'Housing Generation'!$A$3:$BE$90,29,FALSE)</f>
        <v>0</v>
      </c>
      <c r="G123" s="112">
        <f>VLOOKUP($E$3,'Housing Generation'!$A$3:$BE$90,30,FALSE)</f>
        <v>0</v>
      </c>
      <c r="H123" s="112">
        <f>VLOOKUP($E$3,'Housing Generation'!$A$3:$BE$90,31,FALSE)</f>
        <v>0</v>
      </c>
      <c r="I123" s="112">
        <f>VLOOKUP($E$3,'Housing Generation'!$A$3:$BE$90,32,FALSE)</f>
        <v>0</v>
      </c>
      <c r="J123" s="111">
        <f t="shared" si="21"/>
        <v>2</v>
      </c>
    </row>
    <row r="124" spans="2:10" ht="15" hidden="1" customHeight="1">
      <c r="B124" s="114">
        <v>2022</v>
      </c>
      <c r="C124" s="116" t="s">
        <v>97</v>
      </c>
      <c r="D124" s="112">
        <f>VLOOKUP($E$3,'Housing Generation'!$A$3:$BE$90,35,FALSE)</f>
        <v>1</v>
      </c>
      <c r="E124" s="112">
        <f>VLOOKUP($E$3,'Housing Generation'!$A$3:$BE$90,36,FALSE)</f>
        <v>1</v>
      </c>
      <c r="F124" s="112">
        <f>VLOOKUP($E$3,'Housing Generation'!$A$3:$BE$90,37,FALSE)</f>
        <v>0</v>
      </c>
      <c r="G124" s="112">
        <f>VLOOKUP($E$3,'Housing Generation'!$A$3:$BE$90,38,FALSE)</f>
        <v>0</v>
      </c>
      <c r="H124" s="112">
        <f>VLOOKUP($E$3,'Housing Generation'!$A$3:$BE$90,39,FALSE)</f>
        <v>0</v>
      </c>
      <c r="I124" s="112">
        <f>VLOOKUP($E$3,'Housing Generation'!$A$3:$BE$90,40,FALSE)</f>
        <v>0</v>
      </c>
      <c r="J124" s="111">
        <f t="shared" si="21"/>
        <v>2</v>
      </c>
    </row>
    <row r="125" spans="2:10" ht="15" hidden="1" customHeight="1">
      <c r="B125" s="114">
        <v>2023</v>
      </c>
      <c r="C125" s="116" t="s">
        <v>97</v>
      </c>
      <c r="D125" s="112">
        <f>VLOOKUP($E$3,'Housing Generation'!$A$3:$BE$90,43,FALSE)</f>
        <v>1</v>
      </c>
      <c r="E125" s="112">
        <f>VLOOKUP($E$3,'Housing Generation'!$A$3:$BE$90,44,FALSE)</f>
        <v>1</v>
      </c>
      <c r="F125" s="112">
        <f>VLOOKUP($E$3,'Housing Generation'!$A$3:$BE$90,45,FALSE)</f>
        <v>0</v>
      </c>
      <c r="G125" s="112">
        <f>VLOOKUP($E$3,'Housing Generation'!$A$3:$BE$90,46,FALSE)</f>
        <v>0</v>
      </c>
      <c r="H125" s="112">
        <f>VLOOKUP($E$3,'Housing Generation'!$A$3:$BE$90,47,FALSE)</f>
        <v>0</v>
      </c>
      <c r="I125" s="112">
        <f>VLOOKUP($E$3,'Housing Generation'!$A$3:$BE$90,48,FALSE)</f>
        <v>0</v>
      </c>
      <c r="J125" s="111">
        <f t="shared" si="21"/>
        <v>2</v>
      </c>
    </row>
    <row r="126" spans="2:10" ht="15" hidden="1" customHeight="1">
      <c r="B126" s="114">
        <v>2024</v>
      </c>
      <c r="C126" s="116" t="s">
        <v>97</v>
      </c>
      <c r="D126" s="112">
        <f>VLOOKUP($E$3,'Housing Generation'!$A$3:$BE$90,51,FALSE)</f>
        <v>1</v>
      </c>
      <c r="E126" s="112">
        <f>VLOOKUP($E$3,'Housing Generation'!$A$3:$BE$90,52,FALSE)</f>
        <v>1</v>
      </c>
      <c r="F126" s="112">
        <f>VLOOKUP($E$3,'Housing Generation'!$A$3:$BE$90,53,FALSE)</f>
        <v>1</v>
      </c>
      <c r="G126" s="112">
        <f>VLOOKUP($E$3,'Housing Generation'!$A$3:$BE$90,54,FALSE)</f>
        <v>0</v>
      </c>
      <c r="H126" s="112">
        <f>VLOOKUP($E$3,'Housing Generation'!$A$3:$BE$90,55,FALSE)</f>
        <v>0</v>
      </c>
      <c r="I126" s="112">
        <f>VLOOKUP($E$3,'Housing Generation'!$A$3:$BE$90,56,FALSE)</f>
        <v>0</v>
      </c>
      <c r="J126" s="111">
        <f t="shared" si="21"/>
        <v>3</v>
      </c>
    </row>
    <row r="127" spans="2:10" ht="15" hidden="1" customHeight="1">
      <c r="B127" s="114">
        <v>2025</v>
      </c>
      <c r="C127" s="240" t="s">
        <v>97</v>
      </c>
      <c r="D127" s="112">
        <f>VLOOKUP($E$3,'Housing Generation'!$A$3:$CK$90,59,FALSE)</f>
        <v>1</v>
      </c>
      <c r="E127" s="112">
        <f>VLOOKUP($E$3,'Housing Generation'!$A$3:$CK$90,60,FALSE)</f>
        <v>1</v>
      </c>
      <c r="F127" s="112">
        <f>VLOOKUP($E$3,'Housing Generation'!$A$3:$CK$90,61,FALSE)</f>
        <v>1</v>
      </c>
      <c r="G127" s="112">
        <f>VLOOKUP($E$3,'Housing Generation'!$A$3:$CK$90,62,FALSE)</f>
        <v>0</v>
      </c>
      <c r="H127" s="112">
        <f>VLOOKUP($E$3,'Housing Generation'!$A$3:$CK$90,63,FALSE)</f>
        <v>0</v>
      </c>
      <c r="I127" s="112">
        <f>VLOOKUP($E$3,'Housing Generation'!$A$3:$CK$90,64,FALSE)</f>
        <v>0</v>
      </c>
      <c r="J127" s="111">
        <f t="shared" si="21"/>
        <v>3</v>
      </c>
    </row>
    <row r="128" spans="2:10" ht="15" hidden="1" customHeight="1">
      <c r="B128" s="114">
        <v>2026</v>
      </c>
      <c r="C128" s="240" t="s">
        <v>97</v>
      </c>
      <c r="D128" s="112">
        <f>VLOOKUP($E$3,'Housing Generation'!$A$3:$CK$90,67,FALSE)</f>
        <v>1</v>
      </c>
      <c r="E128" s="112">
        <f>VLOOKUP($E$3,'Housing Generation'!$A$3:$CK$90,68,FALSE)</f>
        <v>1</v>
      </c>
      <c r="F128" s="112">
        <f>VLOOKUP($E$3,'Housing Generation'!$A$3:$CK$90,69,FALSE)</f>
        <v>1</v>
      </c>
      <c r="G128" s="112">
        <f>VLOOKUP($E$3,'Housing Generation'!$A$3:$CK$90,70,FALSE)</f>
        <v>0</v>
      </c>
      <c r="H128" s="112">
        <f>VLOOKUP($E$3,'Housing Generation'!$A$3:$CK$90,71,FALSE)</f>
        <v>0</v>
      </c>
      <c r="I128" s="112">
        <f>VLOOKUP($E$3,'Housing Generation'!$A$3:$CK$90,72,FALSE)</f>
        <v>0</v>
      </c>
      <c r="J128" s="111">
        <f t="shared" si="21"/>
        <v>3</v>
      </c>
    </row>
    <row r="129" spans="2:10" ht="15" hidden="1" customHeight="1">
      <c r="B129" s="114">
        <v>2027</v>
      </c>
      <c r="C129" s="240" t="s">
        <v>97</v>
      </c>
      <c r="D129" s="112">
        <f>VLOOKUP($E$3,'Housing Generation'!$A$3:$CK$90,75,FALSE)</f>
        <v>1</v>
      </c>
      <c r="E129" s="112">
        <f>VLOOKUP($E$3,'Housing Generation'!$A$3:$CK$90,76,FALSE)</f>
        <v>1</v>
      </c>
      <c r="F129" s="112">
        <f>VLOOKUP($E$3,'Housing Generation'!$A$3:$CK$90,77,FALSE)</f>
        <v>1</v>
      </c>
      <c r="G129" s="112">
        <f>VLOOKUP($E$3,'Housing Generation'!$A$3:$CK$90,78,FALSE)</f>
        <v>1</v>
      </c>
      <c r="H129" s="112">
        <f>VLOOKUP($E$3,'Housing Generation'!$A$3:$CK$90,79,FALSE)</f>
        <v>1</v>
      </c>
      <c r="I129" s="112">
        <f>VLOOKUP($E$3,'Housing Generation'!$A$3:$CK$90,80,FALSE)</f>
        <v>1</v>
      </c>
      <c r="J129" s="111">
        <f t="shared" si="21"/>
        <v>6</v>
      </c>
    </row>
    <row r="130" spans="2:10" ht="15" customHeight="1">
      <c r="B130" s="114">
        <v>2028</v>
      </c>
      <c r="C130" s="289" t="s">
        <v>97</v>
      </c>
      <c r="D130" s="112">
        <f>VLOOKUP($E$3,'Housing Generation'!$A$3:$CK$90,83,FALSE)</f>
        <v>1</v>
      </c>
      <c r="E130" s="112">
        <f>VLOOKUP($E$3,'Housing Generation'!$A$3:$CK$90,84,FALSE)</f>
        <v>1</v>
      </c>
      <c r="F130" s="112">
        <f>VLOOKUP($E$3,'Housing Generation'!$A$3:$CK$90,85,FALSE)</f>
        <v>1</v>
      </c>
      <c r="G130" s="112">
        <f>VLOOKUP($E$3,'Housing Generation'!$A$3:$CK$90,86,FALSE)</f>
        <v>1</v>
      </c>
      <c r="H130" s="112">
        <f>VLOOKUP($E$3,'Housing Generation'!$A$3:$CK$90,87,FALSE)</f>
        <v>1</v>
      </c>
      <c r="I130" s="112">
        <f>VLOOKUP($E$3,'Housing Generation'!$A$3:$CK$90,88,FALSE)</f>
        <v>1</v>
      </c>
      <c r="J130" s="111">
        <f t="shared" si="21"/>
        <v>6</v>
      </c>
    </row>
    <row r="131" spans="2:10" ht="15" customHeight="1">
      <c r="B131" s="114">
        <v>2029</v>
      </c>
      <c r="C131" s="289" t="s">
        <v>97</v>
      </c>
      <c r="D131" s="112">
        <f>VLOOKUP($E$3,'Housing Generation'!$A$3:$DQ$90,91,FALSE)</f>
        <v>1</v>
      </c>
      <c r="E131" s="112">
        <f>VLOOKUP($E$3,'Housing Generation'!$A$3:$DQ$90,92,FALSE)</f>
        <v>1</v>
      </c>
      <c r="F131" s="112">
        <f>VLOOKUP($E$3,'Housing Generation'!$A$3:$DQ$90,93,FALSE)</f>
        <v>1</v>
      </c>
      <c r="G131" s="112">
        <f>VLOOKUP($E$3,'Housing Generation'!$A$3:$DQ$90,94,FALSE)</f>
        <v>1</v>
      </c>
      <c r="H131" s="112">
        <f>VLOOKUP($E$3,'Housing Generation'!$A$3:$DQ$90,95,FALSE)</f>
        <v>1</v>
      </c>
      <c r="I131" s="112">
        <f>VLOOKUP($E$3,'Housing Generation'!$A$3:$DQ$90,96,FALSE)</f>
        <v>1</v>
      </c>
      <c r="J131" s="111">
        <f t="shared" si="21"/>
        <v>6</v>
      </c>
    </row>
    <row r="132" spans="2:10" ht="15" customHeight="1">
      <c r="B132" s="114">
        <v>2030</v>
      </c>
      <c r="C132" s="289" t="s">
        <v>97</v>
      </c>
      <c r="D132" s="112">
        <f>VLOOKUP($E$3,'Housing Generation'!$A$3:$DQ$90,99,FALSE)</f>
        <v>1</v>
      </c>
      <c r="E132" s="112">
        <f>VLOOKUP($E$3,'Housing Generation'!$A$3:$DQ$90,100,FALSE)</f>
        <v>1</v>
      </c>
      <c r="F132" s="112">
        <f>VLOOKUP($E$3,'Housing Generation'!$A$3:$DQ$90,101,FALSE)</f>
        <v>1</v>
      </c>
      <c r="G132" s="112">
        <f>VLOOKUP($E$3,'Housing Generation'!$A$3:$DQ$90,102,FALSE)</f>
        <v>1</v>
      </c>
      <c r="H132" s="112">
        <f>VLOOKUP($E$3,'Housing Generation'!$A$3:$DQ$90,103,FALSE)</f>
        <v>1</v>
      </c>
      <c r="I132" s="112">
        <f>VLOOKUP($E$3,'Housing Generation'!$A$3:$DQ$90,104,FALSE)</f>
        <v>1</v>
      </c>
      <c r="J132" s="111">
        <f t="shared" si="21"/>
        <v>6</v>
      </c>
    </row>
    <row r="133" spans="2:10" ht="15" customHeight="1">
      <c r="B133" s="114">
        <v>2031</v>
      </c>
      <c r="C133" s="289" t="s">
        <v>97</v>
      </c>
      <c r="D133" s="112">
        <f>VLOOKUP($E$3,'Housing Generation'!$A$3:$DQ$90,107,FALSE)</f>
        <v>1</v>
      </c>
      <c r="E133" s="112">
        <f>VLOOKUP($E$3,'Housing Generation'!$A$3:$DQ$90,108,FALSE)</f>
        <v>1</v>
      </c>
      <c r="F133" s="112">
        <f>VLOOKUP($E$3,'Housing Generation'!$A$3:$DQ$90,109,FALSE)</f>
        <v>1</v>
      </c>
      <c r="G133" s="112">
        <f>VLOOKUP($E$3,'Housing Generation'!$A$3:$DQ$90,110,FALSE)</f>
        <v>1</v>
      </c>
      <c r="H133" s="112">
        <f>VLOOKUP($E$3,'Housing Generation'!$A$3:$DQ$90,111,FALSE)</f>
        <v>1</v>
      </c>
      <c r="I133" s="112">
        <f>VLOOKUP($E$3,'Housing Generation'!$A$3:$DQ$90,112,FALSE)</f>
        <v>1</v>
      </c>
      <c r="J133" s="111">
        <f t="shared" si="21"/>
        <v>6</v>
      </c>
    </row>
    <row r="134" spans="2:10" ht="15" customHeight="1">
      <c r="B134" s="114">
        <v>2032</v>
      </c>
      <c r="C134" s="289" t="s">
        <v>97</v>
      </c>
      <c r="D134" s="112">
        <f>VLOOKUP($E$3,'Housing Generation'!$A$3:$DQ$90,115,FALSE)</f>
        <v>1</v>
      </c>
      <c r="E134" s="112">
        <f>VLOOKUP($E$3,'Housing Generation'!$A$3:$DQ$90,116,FALSE)</f>
        <v>1</v>
      </c>
      <c r="F134" s="112">
        <f>VLOOKUP($E$3,'Housing Generation'!$A$3:$DQ$90,117,FALSE)</f>
        <v>1</v>
      </c>
      <c r="G134" s="112">
        <f>VLOOKUP($E$3,'Housing Generation'!$A$3:$DQ$90,118,FALSE)</f>
        <v>1</v>
      </c>
      <c r="H134" s="112">
        <f>VLOOKUP($E$3,'Housing Generation'!$A$3:$DQ$90,119,FALSE)</f>
        <v>1</v>
      </c>
      <c r="I134" s="112">
        <f>VLOOKUP($E$3,'Housing Generation'!$A$3:$DQ$90,120,FALSE)</f>
        <v>1</v>
      </c>
      <c r="J134" s="111">
        <f t="shared" si="21"/>
        <v>6</v>
      </c>
    </row>
    <row r="135" spans="2:10" ht="15" hidden="1"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Prestonfield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25</v>
      </c>
      <c r="D139" s="112">
        <f t="shared" ref="D139:I152" si="23">D121+D103</f>
        <v>26</v>
      </c>
      <c r="E139" s="112">
        <f t="shared" si="23"/>
        <v>29</v>
      </c>
      <c r="F139" s="112">
        <f t="shared" si="23"/>
        <v>27</v>
      </c>
      <c r="G139" s="112">
        <f t="shared" si="23"/>
        <v>25</v>
      </c>
      <c r="H139" s="112">
        <f t="shared" si="23"/>
        <v>29</v>
      </c>
      <c r="I139" s="112">
        <f t="shared" si="23"/>
        <v>27</v>
      </c>
      <c r="J139" s="111">
        <f t="shared" ref="J139:J147" si="24">SUM(C139:I139)</f>
        <v>188</v>
      </c>
    </row>
    <row r="140" spans="2:10" ht="15" customHeight="1">
      <c r="B140" s="114">
        <v>2020</v>
      </c>
      <c r="C140" s="113">
        <f t="shared" si="22"/>
        <v>25</v>
      </c>
      <c r="D140" s="112">
        <f t="shared" si="23"/>
        <v>27</v>
      </c>
      <c r="E140" s="112">
        <f t="shared" si="23"/>
        <v>28</v>
      </c>
      <c r="F140" s="112">
        <f t="shared" si="23"/>
        <v>28</v>
      </c>
      <c r="G140" s="112">
        <f t="shared" si="23"/>
        <v>26</v>
      </c>
      <c r="H140" s="112">
        <f t="shared" si="23"/>
        <v>24</v>
      </c>
      <c r="I140" s="112">
        <f t="shared" si="23"/>
        <v>29</v>
      </c>
      <c r="J140" s="111">
        <f t="shared" si="24"/>
        <v>187</v>
      </c>
    </row>
    <row r="141" spans="2:10" ht="15" customHeight="1">
      <c r="B141" s="114">
        <v>2021</v>
      </c>
      <c r="C141" s="113">
        <f t="shared" si="22"/>
        <v>21.751666666666665</v>
      </c>
      <c r="D141" s="112">
        <f t="shared" si="23"/>
        <v>27</v>
      </c>
      <c r="E141" s="112">
        <f t="shared" si="23"/>
        <v>28</v>
      </c>
      <c r="F141" s="112">
        <f t="shared" si="23"/>
        <v>26</v>
      </c>
      <c r="G141" s="112">
        <f t="shared" si="23"/>
        <v>27</v>
      </c>
      <c r="H141" s="112">
        <f t="shared" si="23"/>
        <v>25</v>
      </c>
      <c r="I141" s="112">
        <f t="shared" si="23"/>
        <v>24</v>
      </c>
      <c r="J141" s="111">
        <f t="shared" si="24"/>
        <v>178.75166666666667</v>
      </c>
    </row>
    <row r="142" spans="2:10" ht="15" customHeight="1">
      <c r="B142" s="114">
        <v>2022</v>
      </c>
      <c r="C142" s="113">
        <f t="shared" si="22"/>
        <v>20.840833333333332</v>
      </c>
      <c r="D142" s="112">
        <f t="shared" si="23"/>
        <v>23</v>
      </c>
      <c r="E142" s="112">
        <f t="shared" si="23"/>
        <v>28</v>
      </c>
      <c r="F142" s="112">
        <f t="shared" si="23"/>
        <v>26</v>
      </c>
      <c r="G142" s="112">
        <f t="shared" si="23"/>
        <v>25</v>
      </c>
      <c r="H142" s="112">
        <f t="shared" si="23"/>
        <v>26</v>
      </c>
      <c r="I142" s="112">
        <f t="shared" si="23"/>
        <v>25</v>
      </c>
      <c r="J142" s="111">
        <f t="shared" si="24"/>
        <v>173.84083333333334</v>
      </c>
    </row>
    <row r="143" spans="2:10" ht="15" customHeight="1">
      <c r="B143" s="114">
        <v>2023</v>
      </c>
      <c r="C143" s="113">
        <f t="shared" si="22"/>
        <v>25</v>
      </c>
      <c r="D143" s="112">
        <f t="shared" si="23"/>
        <v>22</v>
      </c>
      <c r="E143" s="112">
        <f t="shared" si="23"/>
        <v>24</v>
      </c>
      <c r="F143" s="112">
        <f t="shared" si="23"/>
        <v>26</v>
      </c>
      <c r="G143" s="112">
        <f t="shared" si="23"/>
        <v>25</v>
      </c>
      <c r="H143" s="112">
        <f t="shared" si="23"/>
        <v>24</v>
      </c>
      <c r="I143" s="112">
        <f t="shared" si="23"/>
        <v>26</v>
      </c>
      <c r="J143" s="111">
        <f t="shared" si="24"/>
        <v>172</v>
      </c>
    </row>
    <row r="144" spans="2:10" ht="15" customHeight="1">
      <c r="B144" s="114">
        <v>2024</v>
      </c>
      <c r="C144" s="113">
        <f t="shared" si="22"/>
        <v>25</v>
      </c>
      <c r="D144" s="112">
        <f t="shared" si="23"/>
        <v>27</v>
      </c>
      <c r="E144" s="112">
        <f t="shared" si="23"/>
        <v>23</v>
      </c>
      <c r="F144" s="112">
        <f t="shared" si="23"/>
        <v>23</v>
      </c>
      <c r="G144" s="112">
        <f t="shared" si="23"/>
        <v>25</v>
      </c>
      <c r="H144" s="112">
        <f t="shared" si="23"/>
        <v>24</v>
      </c>
      <c r="I144" s="112">
        <f t="shared" si="23"/>
        <v>24</v>
      </c>
      <c r="J144" s="111">
        <f t="shared" si="24"/>
        <v>171</v>
      </c>
    </row>
    <row r="145" spans="2:16" ht="15" customHeight="1">
      <c r="B145" s="114">
        <v>2025</v>
      </c>
      <c r="C145" s="113">
        <f t="shared" si="22"/>
        <v>25</v>
      </c>
      <c r="D145" s="112">
        <f t="shared" si="23"/>
        <v>27</v>
      </c>
      <c r="E145" s="112">
        <f t="shared" si="23"/>
        <v>28</v>
      </c>
      <c r="F145" s="112">
        <f t="shared" si="23"/>
        <v>22</v>
      </c>
      <c r="G145" s="112">
        <f t="shared" si="23"/>
        <v>21</v>
      </c>
      <c r="H145" s="112">
        <f t="shared" si="23"/>
        <v>24</v>
      </c>
      <c r="I145" s="112">
        <f t="shared" si="23"/>
        <v>24</v>
      </c>
      <c r="J145" s="111">
        <f t="shared" si="24"/>
        <v>171</v>
      </c>
    </row>
    <row r="146" spans="2:16" ht="15" customHeight="1">
      <c r="B146" s="114">
        <v>2026</v>
      </c>
      <c r="C146" s="113">
        <f t="shared" si="22"/>
        <v>25</v>
      </c>
      <c r="D146" s="112">
        <f t="shared" si="23"/>
        <v>27</v>
      </c>
      <c r="E146" s="112">
        <f t="shared" si="23"/>
        <v>28</v>
      </c>
      <c r="F146" s="112">
        <f t="shared" si="23"/>
        <v>27</v>
      </c>
      <c r="G146" s="112">
        <f t="shared" si="23"/>
        <v>20</v>
      </c>
      <c r="H146" s="112">
        <f t="shared" si="23"/>
        <v>20</v>
      </c>
      <c r="I146" s="112">
        <f t="shared" si="23"/>
        <v>24</v>
      </c>
      <c r="J146" s="111">
        <f t="shared" si="24"/>
        <v>171</v>
      </c>
    </row>
    <row r="147" spans="2:16" ht="15" customHeight="1">
      <c r="B147" s="114">
        <v>2027</v>
      </c>
      <c r="C147" s="113">
        <f t="shared" si="22"/>
        <v>25</v>
      </c>
      <c r="D147" s="112">
        <f t="shared" si="23"/>
        <v>27</v>
      </c>
      <c r="E147" s="112">
        <f t="shared" si="23"/>
        <v>28</v>
      </c>
      <c r="F147" s="112">
        <f t="shared" si="23"/>
        <v>27</v>
      </c>
      <c r="G147" s="112">
        <f t="shared" si="23"/>
        <v>26</v>
      </c>
      <c r="H147" s="112">
        <f t="shared" si="23"/>
        <v>20</v>
      </c>
      <c r="I147" s="112">
        <f t="shared" si="23"/>
        <v>21</v>
      </c>
      <c r="J147" s="111">
        <f t="shared" si="24"/>
        <v>174</v>
      </c>
    </row>
    <row r="148" spans="2:16" ht="15" customHeight="1">
      <c r="B148" s="114">
        <v>2028</v>
      </c>
      <c r="C148" s="113">
        <f t="shared" si="22"/>
        <v>25</v>
      </c>
      <c r="D148" s="112">
        <f t="shared" si="23"/>
        <v>27</v>
      </c>
      <c r="E148" s="112">
        <f t="shared" si="23"/>
        <v>28</v>
      </c>
      <c r="F148" s="112">
        <f t="shared" si="23"/>
        <v>27</v>
      </c>
      <c r="G148" s="112">
        <f t="shared" si="23"/>
        <v>26</v>
      </c>
      <c r="H148" s="112">
        <f t="shared" si="23"/>
        <v>25</v>
      </c>
      <c r="I148" s="112">
        <f t="shared" si="23"/>
        <v>20</v>
      </c>
      <c r="J148" s="111">
        <f t="shared" ref="J148:J152" si="25">SUM(C148:I148)</f>
        <v>178</v>
      </c>
    </row>
    <row r="149" spans="2:16" ht="15" customHeight="1">
      <c r="B149" s="114">
        <v>2029</v>
      </c>
      <c r="C149" s="113">
        <f t="shared" si="22"/>
        <v>25</v>
      </c>
      <c r="D149" s="112">
        <f t="shared" si="23"/>
        <v>27</v>
      </c>
      <c r="E149" s="112">
        <f t="shared" si="23"/>
        <v>28</v>
      </c>
      <c r="F149" s="112">
        <f t="shared" si="23"/>
        <v>27</v>
      </c>
      <c r="G149" s="112">
        <f t="shared" si="23"/>
        <v>26</v>
      </c>
      <c r="H149" s="112">
        <f t="shared" si="23"/>
        <v>25</v>
      </c>
      <c r="I149" s="112">
        <f t="shared" si="23"/>
        <v>25</v>
      </c>
      <c r="J149" s="111">
        <f t="shared" si="25"/>
        <v>183</v>
      </c>
    </row>
    <row r="150" spans="2:16" ht="15" customHeight="1">
      <c r="B150" s="114">
        <v>2030</v>
      </c>
      <c r="C150" s="113">
        <f t="shared" si="22"/>
        <v>25</v>
      </c>
      <c r="D150" s="112">
        <f t="shared" si="23"/>
        <v>27</v>
      </c>
      <c r="E150" s="112">
        <f t="shared" si="23"/>
        <v>28</v>
      </c>
      <c r="F150" s="112">
        <f t="shared" si="23"/>
        <v>27</v>
      </c>
      <c r="G150" s="112">
        <f t="shared" si="23"/>
        <v>26</v>
      </c>
      <c r="H150" s="112">
        <f t="shared" si="23"/>
        <v>25</v>
      </c>
      <c r="I150" s="112">
        <f t="shared" si="23"/>
        <v>25</v>
      </c>
      <c r="J150" s="111">
        <f t="shared" si="25"/>
        <v>183</v>
      </c>
    </row>
    <row r="151" spans="2:16" ht="15" customHeight="1">
      <c r="B151" s="114">
        <v>2031</v>
      </c>
      <c r="C151" s="113">
        <f t="shared" si="22"/>
        <v>25</v>
      </c>
      <c r="D151" s="112">
        <f t="shared" si="23"/>
        <v>27</v>
      </c>
      <c r="E151" s="112">
        <f t="shared" si="23"/>
        <v>28</v>
      </c>
      <c r="F151" s="112">
        <f t="shared" si="23"/>
        <v>27</v>
      </c>
      <c r="G151" s="112">
        <f t="shared" si="23"/>
        <v>26</v>
      </c>
      <c r="H151" s="112">
        <f t="shared" si="23"/>
        <v>25</v>
      </c>
      <c r="I151" s="112">
        <f t="shared" si="23"/>
        <v>25</v>
      </c>
      <c r="J151" s="111">
        <f t="shared" si="25"/>
        <v>183</v>
      </c>
    </row>
    <row r="152" spans="2:16" ht="15" customHeight="1">
      <c r="B152" s="114">
        <v>2032</v>
      </c>
      <c r="C152" s="113">
        <f t="shared" si="22"/>
        <v>25</v>
      </c>
      <c r="D152" s="112">
        <f t="shared" si="23"/>
        <v>27</v>
      </c>
      <c r="E152" s="112">
        <f t="shared" si="23"/>
        <v>28</v>
      </c>
      <c r="F152" s="112">
        <f t="shared" si="23"/>
        <v>27</v>
      </c>
      <c r="G152" s="112">
        <f t="shared" si="23"/>
        <v>26</v>
      </c>
      <c r="H152" s="112">
        <f t="shared" si="23"/>
        <v>25</v>
      </c>
      <c r="I152" s="112">
        <f t="shared" si="23"/>
        <v>25</v>
      </c>
      <c r="J152" s="111">
        <f t="shared" si="25"/>
        <v>183</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188</v>
      </c>
      <c r="D159" s="108">
        <f>J140</f>
        <v>187</v>
      </c>
      <c r="E159" s="108">
        <f>J141</f>
        <v>178.75166666666667</v>
      </c>
      <c r="F159" s="108">
        <f>J142</f>
        <v>173.84083333333334</v>
      </c>
      <c r="G159" s="108">
        <f>J143</f>
        <v>172</v>
      </c>
      <c r="H159" s="108">
        <f>J144</f>
        <v>171</v>
      </c>
      <c r="I159" s="108">
        <f>J145</f>
        <v>171</v>
      </c>
      <c r="J159" s="108">
        <f>J146</f>
        <v>171</v>
      </c>
      <c r="K159" s="108">
        <f>J147</f>
        <v>174</v>
      </c>
      <c r="L159" s="108">
        <f>J148</f>
        <v>178</v>
      </c>
      <c r="M159" s="108">
        <f>J149</f>
        <v>183</v>
      </c>
      <c r="N159" s="108">
        <f>J150</f>
        <v>183</v>
      </c>
      <c r="O159" s="108">
        <f>J151</f>
        <v>183</v>
      </c>
      <c r="P159" s="108">
        <f>J152</f>
        <v>183</v>
      </c>
    </row>
    <row r="160" spans="2:16" ht="15" customHeight="1">
      <c r="B160" s="107" t="s">
        <v>152</v>
      </c>
      <c r="C160" s="106">
        <f>VLOOKUP(C159,Capacity!$A$1:$C$645,2,TRUE)</f>
        <v>7</v>
      </c>
      <c r="D160" s="106">
        <f>VLOOKUP(D159,Capacity!$A$1:$C$645,2,TRUE)</f>
        <v>7</v>
      </c>
      <c r="E160" s="106">
        <f>VLOOKUP(E159,Capacity!$A$1:$C$645,2,TRUE)</f>
        <v>7</v>
      </c>
      <c r="F160" s="106">
        <f>VLOOKUP(F159,Capacity!$A$1:$C$645,2,TRUE)</f>
        <v>7</v>
      </c>
      <c r="G160" s="106">
        <f>VLOOKUP(G159,Capacity!$A$1:$C$645,2,TRUE)</f>
        <v>7</v>
      </c>
      <c r="H160" s="106">
        <f>VLOOKUP(H159,Capacity!$A$1:$C$645,2,TRUE)</f>
        <v>7</v>
      </c>
      <c r="I160" s="106">
        <f>VLOOKUP(I159,Capacity!$A$1:$C$645,2,TRUE)</f>
        <v>7</v>
      </c>
      <c r="J160" s="106">
        <f>VLOOKUP(J159,Capacity!$A$1:$C$645,2,TRUE)</f>
        <v>7</v>
      </c>
      <c r="K160" s="106">
        <f>VLOOKUP(K159,Capacity!$A$1:$C$645,2,TRUE)</f>
        <v>7</v>
      </c>
      <c r="L160" s="106">
        <f>VLOOKUP(L159,Capacity!$A$1:$C$645,2,TRUE)</f>
        <v>7</v>
      </c>
      <c r="M160" s="106">
        <f>VLOOKUP(M159,Capacity!$A$1:$C$645,2,TRUE)</f>
        <v>7</v>
      </c>
      <c r="N160" s="106">
        <f>VLOOKUP(N159,Capacity!$A$1:$C$645,2,TRUE)</f>
        <v>7</v>
      </c>
      <c r="O160" s="106">
        <f>VLOOKUP(O159,Capacity!$A$1:$C$645,2,TRUE)</f>
        <v>7</v>
      </c>
      <c r="P160" s="106">
        <f>VLOOKUP(P159,Capacity!$A$1:$C$645,2,TRUE)</f>
        <v>7</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24</v>
      </c>
      <c r="D169" s="97">
        <f>VLOOKUP($E$3,'Catchment Births'!$A$1:$U$90,11,FALSE)</f>
        <v>10</v>
      </c>
      <c r="E169" s="97">
        <f>VLOOKUP($E$3,'Catchment Births'!$A$1:$U$90,12,FALSE)</f>
        <v>31</v>
      </c>
      <c r="F169" s="97">
        <f>VLOOKUP($E$3,'Catchment Births'!$A$1:$U$90,13,FALSE)</f>
        <v>32</v>
      </c>
      <c r="G169" s="97">
        <f>VLOOKUP($E$3,'Catchment Births'!$A$1:$U$90,14,FALSE)</f>
        <v>32</v>
      </c>
      <c r="H169" s="97">
        <f>VLOOKUP($E$3,'Catchment Births'!$A$1:$U$90,15,FALSE)</f>
        <v>29</v>
      </c>
      <c r="I169" s="97">
        <f>VLOOKUP($E$3,'Catchment Births'!$A$1:$U$90,16,FALSE)</f>
        <v>32</v>
      </c>
      <c r="J169" s="97">
        <f>VLOOKUP($E$3,'Catchment Births'!$A$1:$U$90,17,FALSE)</f>
        <v>28</v>
      </c>
      <c r="K169" s="97">
        <f>VLOOKUP($E$3,'Catchment Births'!$A$1:$U$90,18,FALSE)</f>
        <v>34</v>
      </c>
      <c r="L169" s="97">
        <f>VLOOKUP($E$3,'Catchment Births'!$A$1:$U$90,19,FALSE)</f>
        <v>32</v>
      </c>
      <c r="M169" s="97">
        <f>VLOOKUP($E$3,'Catchment Births'!$A$1:$U$90,20,FALSE)</f>
        <v>44</v>
      </c>
      <c r="N169" s="97">
        <f>VLOOKUP($E$3,'Catchment Births'!$A$1:$U$90,21,FALSE)</f>
        <v>37</v>
      </c>
    </row>
    <row r="170" spans="2:14" ht="58.5" customHeight="1">
      <c r="B170" s="103" t="str">
        <f>"P1 "&amp;A35&amp;" Catchment Population (Actual)"</f>
        <v>P1 ND Catchment Population (Actual)</v>
      </c>
      <c r="C170" s="102" t="e">
        <v>#REF!</v>
      </c>
      <c r="D170" s="102">
        <v>13</v>
      </c>
      <c r="E170" s="102">
        <v>25</v>
      </c>
      <c r="F170" s="102">
        <v>28</v>
      </c>
      <c r="G170" s="102">
        <v>25</v>
      </c>
      <c r="H170" s="102">
        <v>20</v>
      </c>
      <c r="I170" s="102">
        <v>20</v>
      </c>
      <c r="J170" s="308">
        <f>VLOOKUP(E3,'Catchment Projections'!A1:BU92,42,FALSE)</f>
        <v>25</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20</v>
      </c>
      <c r="J172" s="96" t="e">
        <f>#REF!</f>
        <v>#REF!</v>
      </c>
      <c r="K172" s="96">
        <f>D51</f>
        <v>28</v>
      </c>
      <c r="L172" s="96">
        <f>E51</f>
        <v>25</v>
      </c>
      <c r="M172" s="96">
        <f>F51</f>
        <v>14</v>
      </c>
      <c r="N172" s="96">
        <f>G51</f>
        <v>13</v>
      </c>
    </row>
    <row r="173" spans="2:14" ht="12.75">
      <c r="B173" s="62"/>
      <c r="C173" s="62"/>
      <c r="D173" s="62"/>
      <c r="E173" s="62"/>
      <c r="F173" s="62"/>
      <c r="G173" s="62"/>
      <c r="H173" s="62"/>
      <c r="I173" s="62"/>
      <c r="J173" s="62"/>
      <c r="K173" s="62"/>
    </row>
    <row r="174" spans="2:14" ht="15" customHeight="1">
      <c r="B174" s="64" t="str">
        <f>"Table 5: "&amp;E3&amp;" Roll by Stage, 2002-2018"</f>
        <v>Table 5: Prestonfield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52</v>
      </c>
      <c r="D177" s="93">
        <v>32</v>
      </c>
      <c r="E177" s="93">
        <v>41</v>
      </c>
      <c r="F177" s="93">
        <v>38</v>
      </c>
      <c r="G177" s="93">
        <v>40</v>
      </c>
      <c r="H177" s="93">
        <v>33</v>
      </c>
      <c r="I177" s="93">
        <v>29</v>
      </c>
      <c r="J177" s="92">
        <v>265</v>
      </c>
      <c r="K177" s="62"/>
    </row>
    <row r="178" spans="2:11" ht="15" customHeight="1">
      <c r="B178" s="94">
        <v>2003</v>
      </c>
      <c r="C178" s="93">
        <v>29</v>
      </c>
      <c r="D178" s="93">
        <v>51</v>
      </c>
      <c r="E178" s="93">
        <v>38</v>
      </c>
      <c r="F178" s="93">
        <v>40</v>
      </c>
      <c r="G178" s="93">
        <v>39</v>
      </c>
      <c r="H178" s="93">
        <v>37</v>
      </c>
      <c r="I178" s="93">
        <v>33</v>
      </c>
      <c r="J178" s="92">
        <v>267</v>
      </c>
      <c r="K178" s="62"/>
    </row>
    <row r="179" spans="2:11" customFormat="1" ht="15" customHeight="1">
      <c r="B179" s="94">
        <v>2004</v>
      </c>
      <c r="C179" s="95">
        <v>30</v>
      </c>
      <c r="D179" s="95">
        <v>30</v>
      </c>
      <c r="E179" s="95">
        <v>52</v>
      </c>
      <c r="F179" s="95">
        <v>34</v>
      </c>
      <c r="G179" s="95">
        <v>38</v>
      </c>
      <c r="H179" s="95">
        <v>35</v>
      </c>
      <c r="I179" s="95">
        <v>34</v>
      </c>
      <c r="J179" s="92">
        <v>253</v>
      </c>
      <c r="K179" s="62"/>
    </row>
    <row r="180" spans="2:11" customFormat="1" ht="15" customHeight="1">
      <c r="B180" s="94">
        <v>2005</v>
      </c>
      <c r="C180" s="93">
        <v>32</v>
      </c>
      <c r="D180" s="93">
        <v>26</v>
      </c>
      <c r="E180" s="93">
        <v>28</v>
      </c>
      <c r="F180" s="93">
        <v>50</v>
      </c>
      <c r="G180" s="93">
        <v>31</v>
      </c>
      <c r="H180" s="93">
        <v>38</v>
      </c>
      <c r="I180" s="93">
        <v>32</v>
      </c>
      <c r="J180" s="92">
        <v>237</v>
      </c>
      <c r="K180" s="62"/>
    </row>
    <row r="181" spans="2:11" customFormat="1" ht="15" customHeight="1">
      <c r="B181" s="94">
        <v>2006</v>
      </c>
      <c r="C181" s="93">
        <v>25</v>
      </c>
      <c r="D181" s="93">
        <v>33</v>
      </c>
      <c r="E181" s="93">
        <v>24</v>
      </c>
      <c r="F181" s="93">
        <v>30</v>
      </c>
      <c r="G181" s="93">
        <v>49</v>
      </c>
      <c r="H181" s="93">
        <v>32</v>
      </c>
      <c r="I181" s="93">
        <v>42</v>
      </c>
      <c r="J181" s="92">
        <v>235</v>
      </c>
      <c r="K181" s="62"/>
    </row>
    <row r="182" spans="2:11" customFormat="1" ht="15" customHeight="1">
      <c r="B182" s="94">
        <v>2007</v>
      </c>
      <c r="C182" s="93">
        <v>24</v>
      </c>
      <c r="D182" s="93">
        <v>27</v>
      </c>
      <c r="E182" s="93">
        <v>33</v>
      </c>
      <c r="F182" s="93">
        <v>25</v>
      </c>
      <c r="G182" s="93">
        <v>29</v>
      </c>
      <c r="H182" s="93">
        <v>47</v>
      </c>
      <c r="I182" s="93">
        <v>26</v>
      </c>
      <c r="J182" s="92">
        <v>211</v>
      </c>
      <c r="K182" s="62"/>
    </row>
    <row r="183" spans="2:11" customFormat="1" ht="15" customHeight="1">
      <c r="B183" s="94">
        <v>2008</v>
      </c>
      <c r="C183" s="93">
        <v>23</v>
      </c>
      <c r="D183" s="93">
        <v>24</v>
      </c>
      <c r="E183" s="93">
        <v>23</v>
      </c>
      <c r="F183" s="93">
        <v>29</v>
      </c>
      <c r="G183" s="93">
        <v>25</v>
      </c>
      <c r="H183" s="93">
        <v>31</v>
      </c>
      <c r="I183" s="93">
        <v>48</v>
      </c>
      <c r="J183" s="92">
        <v>203</v>
      </c>
      <c r="K183" s="62"/>
    </row>
    <row r="184" spans="2:11" customFormat="1" ht="15" customHeight="1">
      <c r="B184" s="94">
        <v>2009</v>
      </c>
      <c r="C184" s="93">
        <v>25</v>
      </c>
      <c r="D184" s="93">
        <v>25</v>
      </c>
      <c r="E184" s="93">
        <v>25</v>
      </c>
      <c r="F184" s="93">
        <v>26</v>
      </c>
      <c r="G184" s="93">
        <v>29</v>
      </c>
      <c r="H184" s="93">
        <v>28</v>
      </c>
      <c r="I184" s="93">
        <v>33</v>
      </c>
      <c r="J184" s="94">
        <v>191</v>
      </c>
      <c r="K184" s="62"/>
    </row>
    <row r="185" spans="2:11" customFormat="1" ht="15" customHeight="1">
      <c r="B185" s="94">
        <v>2010</v>
      </c>
      <c r="C185" s="93">
        <v>25</v>
      </c>
      <c r="D185" s="93">
        <v>26</v>
      </c>
      <c r="E185" s="93">
        <v>23</v>
      </c>
      <c r="F185" s="93">
        <v>23</v>
      </c>
      <c r="G185" s="93">
        <v>26</v>
      </c>
      <c r="H185" s="93">
        <v>30</v>
      </c>
      <c r="I185" s="93">
        <v>27</v>
      </c>
      <c r="J185" s="92">
        <v>180</v>
      </c>
      <c r="K185" s="62"/>
    </row>
    <row r="186" spans="2:11" customFormat="1" ht="15" customHeight="1">
      <c r="B186" s="94">
        <v>2011</v>
      </c>
      <c r="C186" s="93">
        <v>26</v>
      </c>
      <c r="D186" s="93">
        <v>23</v>
      </c>
      <c r="E186" s="93">
        <v>22</v>
      </c>
      <c r="F186" s="93">
        <v>22</v>
      </c>
      <c r="G186" s="93">
        <v>20</v>
      </c>
      <c r="H186" s="93">
        <v>24</v>
      </c>
      <c r="I186" s="93">
        <v>28</v>
      </c>
      <c r="J186" s="92">
        <v>165</v>
      </c>
      <c r="K186" s="62"/>
    </row>
    <row r="187" spans="2:11" customFormat="1" ht="15" customHeight="1">
      <c r="B187" s="94">
        <v>2012</v>
      </c>
      <c r="C187" s="93">
        <v>30</v>
      </c>
      <c r="D187" s="93">
        <v>30</v>
      </c>
      <c r="E187" s="93">
        <v>22</v>
      </c>
      <c r="F187" s="93">
        <v>22</v>
      </c>
      <c r="G187" s="93">
        <v>23</v>
      </c>
      <c r="H187" s="93">
        <v>21</v>
      </c>
      <c r="I187" s="93">
        <v>24</v>
      </c>
      <c r="J187" s="92">
        <v>172</v>
      </c>
      <c r="K187" s="62"/>
    </row>
    <row r="188" spans="2:11" customFormat="1" ht="15" customHeight="1">
      <c r="B188" s="94">
        <v>2013</v>
      </c>
      <c r="C188" s="93">
        <v>36</v>
      </c>
      <c r="D188" s="93">
        <v>36</v>
      </c>
      <c r="E188" s="93">
        <v>29</v>
      </c>
      <c r="F188" s="93">
        <v>21</v>
      </c>
      <c r="G188" s="93">
        <v>22</v>
      </c>
      <c r="H188" s="93">
        <v>20</v>
      </c>
      <c r="I188" s="93">
        <v>20</v>
      </c>
      <c r="J188" s="94">
        <v>184</v>
      </c>
      <c r="K188" s="62"/>
    </row>
    <row r="189" spans="2:11" customFormat="1" ht="15" customHeight="1">
      <c r="B189" s="94">
        <v>2014</v>
      </c>
      <c r="C189" s="93">
        <v>25</v>
      </c>
      <c r="D189" s="93">
        <v>37</v>
      </c>
      <c r="E189" s="93">
        <v>38</v>
      </c>
      <c r="F189" s="93">
        <v>28</v>
      </c>
      <c r="G189" s="93">
        <v>20</v>
      </c>
      <c r="H189" s="93">
        <v>23</v>
      </c>
      <c r="I189" s="93">
        <v>20</v>
      </c>
      <c r="J189" s="92">
        <v>191</v>
      </c>
      <c r="K189" s="65"/>
    </row>
    <row r="190" spans="2:11" customFormat="1" ht="15" customHeight="1">
      <c r="B190" s="94">
        <v>2015</v>
      </c>
      <c r="C190" s="93">
        <v>25</v>
      </c>
      <c r="D190" s="93">
        <v>30</v>
      </c>
      <c r="E190" s="93">
        <v>38</v>
      </c>
      <c r="F190" s="93">
        <v>39</v>
      </c>
      <c r="G190" s="93">
        <v>32</v>
      </c>
      <c r="H190" s="93">
        <v>19</v>
      </c>
      <c r="I190" s="93">
        <v>26</v>
      </c>
      <c r="J190" s="92">
        <v>209</v>
      </c>
      <c r="K190" s="65"/>
    </row>
    <row r="191" spans="2:11" customFormat="1" ht="15" customHeight="1">
      <c r="B191" s="94">
        <v>2016</v>
      </c>
      <c r="C191" s="93">
        <v>25</v>
      </c>
      <c r="D191" s="93">
        <v>26</v>
      </c>
      <c r="E191" s="93">
        <v>26</v>
      </c>
      <c r="F191" s="93">
        <v>34</v>
      </c>
      <c r="G191" s="93">
        <v>41</v>
      </c>
      <c r="H191" s="93">
        <v>32</v>
      </c>
      <c r="I191" s="93">
        <v>18</v>
      </c>
      <c r="J191" s="92">
        <v>202</v>
      </c>
      <c r="K191" s="65"/>
    </row>
    <row r="192" spans="2:11" ht="15" customHeight="1">
      <c r="B192" s="94">
        <v>2017</v>
      </c>
      <c r="C192" s="93">
        <f>VLOOKUP($E$3,Rolls!A1:FA90,42,FALSE)</f>
        <v>26</v>
      </c>
      <c r="D192" s="93">
        <f>VLOOKUP($E$3,Rolls!A1:FA90,43,FALSE)</f>
        <v>27</v>
      </c>
      <c r="E192" s="93">
        <f>VLOOKUP($E$3,Rolls!A1:FA90,44,FALSE)</f>
        <v>27</v>
      </c>
      <c r="F192" s="93">
        <f>VLOOKUP($E$3,Rolls!A1:FA90,45,FALSE)</f>
        <v>32</v>
      </c>
      <c r="G192" s="93">
        <f>VLOOKUP($E$3,Rolls!A1:FA90,46,FALSE)</f>
        <v>31</v>
      </c>
      <c r="H192" s="93">
        <f>VLOOKUP($E$3,Rolls!A1:FA90,47,FALSE)</f>
        <v>39</v>
      </c>
      <c r="I192" s="93">
        <f>VLOOKUP($E$3,Rolls!A1:FA90,48,FALSE)</f>
        <v>32</v>
      </c>
      <c r="J192" s="92">
        <f>VLOOKUP($E$3,Rolls!A1:FA90,49,FALSE)</f>
        <v>214</v>
      </c>
      <c r="K192" s="65"/>
    </row>
    <row r="193" spans="2:11" ht="15" customHeight="1">
      <c r="B193" s="94">
        <v>2018</v>
      </c>
      <c r="C193" s="93">
        <f>VLOOKUP($E$3,Rolls!A1:FA90,50,FALSE)</f>
        <v>24</v>
      </c>
      <c r="D193" s="93">
        <f>VLOOKUP($E$3,Rolls!A1:FA90,51,FALSE)</f>
        <v>28</v>
      </c>
      <c r="E193" s="93">
        <f>VLOOKUP($E$3,Rolls!A1:FA90,52,FALSE)</f>
        <v>28</v>
      </c>
      <c r="F193" s="93">
        <f>VLOOKUP($E$3,Rolls!A1:FA90,53,FALSE)</f>
        <v>26</v>
      </c>
      <c r="G193" s="93">
        <f>VLOOKUP($E$3,Rolls!A1:FA90,54,FALSE)</f>
        <v>30</v>
      </c>
      <c r="H193" s="93">
        <f>VLOOKUP($E$3,Rolls!A1:FA90,55,FALSE)</f>
        <v>27</v>
      </c>
      <c r="I193" s="93">
        <f>VLOOKUP($E$3,Rolls!A1:FA90,56,FALSE)</f>
        <v>34</v>
      </c>
      <c r="J193" s="92">
        <f>VLOOKUP($E$3,Rolls!A1:FA90,57,FALSE)</f>
        <v>197</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58</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Queensferry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504 Pupils (18 classes)</v>
      </c>
      <c r="G12" s="16"/>
      <c r="H12" s="16"/>
    </row>
    <row r="13" spans="2:10" ht="15" customHeight="1">
      <c r="C13" s="16"/>
      <c r="D13" s="16"/>
      <c r="E13" s="16"/>
      <c r="F13" s="16"/>
      <c r="G13" s="16"/>
      <c r="H13" s="16"/>
    </row>
    <row r="14" spans="2:10" ht="15" customHeight="1">
      <c r="B14" s="15" t="str">
        <f>"Figure 1: "&amp;E3&amp;" Roll, 2002-2015"</f>
        <v>Figure 1: Queensferry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Queensferry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66</v>
      </c>
      <c r="E49" s="108">
        <f>VLOOKUP($E$3,'Catchment Projections'!$A$1:$BU$90,46,FALSE)</f>
        <v>65</v>
      </c>
      <c r="F49" s="108">
        <f>VLOOKUP($E$3,'Catchment Projections'!$A$1:$BU$90,47,FALSE)</f>
        <v>67</v>
      </c>
      <c r="G49" s="108">
        <f>VLOOKUP($E$3,'Catchment Projections'!$A$1:$BU$90,48,FALSE)</f>
        <v>76</v>
      </c>
      <c r="H49" s="133">
        <f>VLOOKUP($E$3,'Catchment Projections'!$A$1:$BU$90,49,FALSE)</f>
        <v>71</v>
      </c>
      <c r="I49" s="133">
        <f>VLOOKUP($E$3,'Catchment Projections'!$A$1:$BU$90,50,FALSE)</f>
        <v>72</v>
      </c>
      <c r="J49" s="133">
        <f>VLOOKUP($E$3,'Catchment Projections'!$A$1:$BU$90,51,FALSE)</f>
        <v>73</v>
      </c>
      <c r="K49" s="133">
        <f>VLOOKUP($E$3,'Catchment Projections'!$A$1:$BU$90,52,FALSE)</f>
        <v>74</v>
      </c>
      <c r="L49" s="133">
        <f>VLOOKUP($E$3,'Catchment Projections'!$A$1:$BU$90,53,FALSE)</f>
        <v>74</v>
      </c>
      <c r="M49" s="133">
        <f>VLOOKUP($E$3,'Catchment Projections'!$A$1:$BU$90,54,FALSE)</f>
        <v>74</v>
      </c>
      <c r="N49" s="133">
        <f>VLOOKUP($E$3,'Catchment Projections'!$A$1:$BU$90,55,FALSE)</f>
        <v>74</v>
      </c>
      <c r="O49" s="133">
        <f>VLOOKUP($E$3,'Catchment Projections'!$A$1:$BU$90,56,FALSE)</f>
        <v>74</v>
      </c>
      <c r="P49" s="133">
        <f>VLOOKUP($E$3,'Catchment Projections'!$A$1:$BU$90,57,FALSE)</f>
        <v>74</v>
      </c>
      <c r="Q49" s="133">
        <f>VLOOKUP($E$3,'Catchment Projections'!$A$1:$BU$90,58,FALSE)</f>
        <v>74</v>
      </c>
    </row>
    <row r="50" spans="2:17" ht="15" customHeight="1" thickBot="1">
      <c r="B50" s="410" t="s">
        <v>141</v>
      </c>
      <c r="C50" s="411"/>
      <c r="D50" s="286">
        <f>VLOOKUP(E3,'Housing Generation'!$A$3:$DQ$90,10,FALSE)</f>
        <v>2</v>
      </c>
      <c r="E50" s="286">
        <f>VLOOKUP(E3,'Housing Generation'!$A$3:$DQ$90,18,FALSE)</f>
        <v>2</v>
      </c>
      <c r="F50" s="286">
        <f>VLOOKUP(E3,'Housing Generation'!$A$3:$DQ$90,26,FALSE)</f>
        <v>5</v>
      </c>
      <c r="G50" s="243">
        <f>VLOOKUP(E3,'Housing Generation'!$A$3:$DQ$90,34,FALSE)</f>
        <v>8</v>
      </c>
      <c r="H50" s="133">
        <f>VLOOKUP(E3,'Housing Generation'!$A$3:$DQ$90,42,FALSE)</f>
        <v>10</v>
      </c>
      <c r="I50" s="133">
        <f>VLOOKUP(E3,'Housing Generation'!$A$3:$DQ$90,50,FALSE)</f>
        <v>12</v>
      </c>
      <c r="J50" s="133">
        <f>VLOOKUP(E3,'Housing Generation'!$A$3:$CK$90,58,FALSE)</f>
        <v>13</v>
      </c>
      <c r="K50" s="133">
        <f>VLOOKUP(E3,'Housing Generation'!$A$3:$CK$90,66,FALSE)</f>
        <v>15</v>
      </c>
      <c r="L50" s="133">
        <f>VLOOKUP(E3,'Housing Generation'!$A$3:$DQ$90,74,FALSE)</f>
        <v>16</v>
      </c>
      <c r="M50" s="133">
        <f>VLOOKUP(E3,'Housing Generation'!$A$3:$DQ$90,82,FALSE)</f>
        <v>16</v>
      </c>
      <c r="N50" s="133">
        <f>VLOOKUP(E3,'Housing Generation'!$A$3:$DQ$90,90,FALSE)</f>
        <v>17</v>
      </c>
      <c r="O50" s="133">
        <f>VLOOKUP(E3,'Housing Generation'!$A$3:$DQ$90,98,FALSE)</f>
        <v>18</v>
      </c>
      <c r="P50" s="133">
        <f>VLOOKUP(E3,'Housing Generation'!$A$3:$DQ$90,106,FALSE)</f>
        <v>19</v>
      </c>
      <c r="Q50" s="133">
        <f>VLOOKUP(E3,'Housing Generation'!$A$3:$DQ$90,114,FALSE)</f>
        <v>19</v>
      </c>
    </row>
    <row r="51" spans="2:17" ht="15" customHeight="1" thickTop="1">
      <c r="B51" s="421" t="s">
        <v>130</v>
      </c>
      <c r="C51" s="422"/>
      <c r="D51" s="47">
        <f t="shared" ref="D51:Q51" si="0">SUM(D49:D50)</f>
        <v>68</v>
      </c>
      <c r="E51" s="47">
        <f t="shared" si="0"/>
        <v>67</v>
      </c>
      <c r="F51" s="80">
        <f t="shared" si="0"/>
        <v>72</v>
      </c>
      <c r="G51" s="244">
        <f t="shared" si="0"/>
        <v>84</v>
      </c>
      <c r="H51" s="71">
        <f t="shared" si="0"/>
        <v>81</v>
      </c>
      <c r="I51" s="71">
        <f t="shared" si="0"/>
        <v>84</v>
      </c>
      <c r="J51" s="71">
        <f t="shared" si="0"/>
        <v>86</v>
      </c>
      <c r="K51" s="71">
        <f t="shared" si="0"/>
        <v>89</v>
      </c>
      <c r="L51" s="71">
        <f t="shared" si="0"/>
        <v>90</v>
      </c>
      <c r="M51" s="71">
        <f t="shared" si="0"/>
        <v>90</v>
      </c>
      <c r="N51" s="71">
        <f t="shared" si="0"/>
        <v>91</v>
      </c>
      <c r="O51" s="71">
        <f t="shared" si="0"/>
        <v>92</v>
      </c>
      <c r="P51" s="71">
        <f t="shared" si="0"/>
        <v>93</v>
      </c>
      <c r="Q51" s="71">
        <f t="shared" si="0"/>
        <v>93</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62</v>
      </c>
      <c r="D60" s="358">
        <f>VLOOKUP($E$3,'Catchment Projections'!$A$1:$BZ$90,74,FALSE)</f>
        <v>55</v>
      </c>
      <c r="E60" s="303">
        <f>D60/C60</f>
        <v>0.88709677419354838</v>
      </c>
      <c r="G60" s="132">
        <v>2014</v>
      </c>
      <c r="H60" s="395">
        <f>VLOOKUP($G$60,$B$177:$C$215, 2, FALSE)</f>
        <v>57</v>
      </c>
      <c r="I60" s="120">
        <f>H60-D60</f>
        <v>2</v>
      </c>
      <c r="J60" s="121">
        <f>I60/H60</f>
        <v>3.5087719298245612E-2</v>
      </c>
    </row>
    <row r="61" spans="2:17" ht="15" customHeight="1">
      <c r="B61" s="132">
        <v>2015</v>
      </c>
      <c r="C61" s="359">
        <f>VLOOKUP($E$3,'Catchment Projections'!$A$1:$BZ$90,41,FALSE)</f>
        <v>67</v>
      </c>
      <c r="D61" s="358">
        <f>VLOOKUP($E$3,'Catchment Projections'!$A$1:$BZ$90,75,FALSE)</f>
        <v>54</v>
      </c>
      <c r="E61" s="303">
        <f>D61/C61</f>
        <v>0.80597014925373134</v>
      </c>
      <c r="G61" s="132">
        <v>2015</v>
      </c>
      <c r="H61" s="395">
        <f>VLOOKUP($G$61,$B$177:$C$215, 2, FALSE)</f>
        <v>57</v>
      </c>
      <c r="I61" s="120">
        <f>H61-D61</f>
        <v>3</v>
      </c>
      <c r="J61" s="121">
        <f>I61/H61</f>
        <v>5.2631578947368418E-2</v>
      </c>
    </row>
    <row r="62" spans="2:17" ht="15" customHeight="1">
      <c r="B62" s="131">
        <v>2016</v>
      </c>
      <c r="C62" s="359">
        <f>VLOOKUP($E$3,'Catchment Projections'!$A$1:$BZ$90,42,FALSE)</f>
        <v>61</v>
      </c>
      <c r="D62" s="358">
        <f>VLOOKUP($E$3,'Catchment Projections'!$A$1:$BZ$90,76,FALSE)</f>
        <v>59</v>
      </c>
      <c r="E62" s="57">
        <f>D62/C62</f>
        <v>0.96721311475409832</v>
      </c>
      <c r="G62" s="131">
        <v>2016</v>
      </c>
      <c r="H62" s="395">
        <f>VLOOKUP($G$62,$B$177:$C$215, 2, FALSE)</f>
        <v>59</v>
      </c>
      <c r="I62" s="120">
        <f>H62-D62</f>
        <v>0</v>
      </c>
      <c r="J62" s="121">
        <f>I62/H62</f>
        <v>0</v>
      </c>
    </row>
    <row r="63" spans="2:17" ht="15" customHeight="1">
      <c r="B63" s="114">
        <v>2017</v>
      </c>
      <c r="C63" s="359">
        <f>VLOOKUP($E$3,'Catchment Projections'!$A$1:$BZ$90,43,FALSE)</f>
        <v>68</v>
      </c>
      <c r="D63" s="358">
        <f>VLOOKUP($E$3,'Catchment Projections'!$A$1:$BZ$90,77,FALSE)</f>
        <v>64</v>
      </c>
      <c r="E63" s="304">
        <f>D63/C63</f>
        <v>0.94117647058823528</v>
      </c>
      <c r="G63" s="114">
        <v>2017</v>
      </c>
      <c r="H63" s="395">
        <f>VLOOKUP($G$63,$B$177:$C$215, 2, FALSE)</f>
        <v>66</v>
      </c>
      <c r="I63" s="120">
        <f>H63-D63</f>
        <v>2</v>
      </c>
      <c r="J63" s="121">
        <f>I63/H63</f>
        <v>3.0303030303030304E-2</v>
      </c>
    </row>
    <row r="64" spans="2:17" ht="15" customHeight="1">
      <c r="B64" s="114">
        <v>2018</v>
      </c>
      <c r="C64" s="359">
        <f>VLOOKUP($E$3,'Catchment Projections'!$A$1:$BZ$90,44,FALSE)</f>
        <v>80</v>
      </c>
      <c r="D64" s="358">
        <f>VLOOKUP($E$3,'Catchment Projections'!$A$1:$BZ$90,78,FALSE)</f>
        <v>67</v>
      </c>
      <c r="E64" s="305">
        <f>D64/C64</f>
        <v>0.83750000000000002</v>
      </c>
      <c r="G64" s="114">
        <v>2018</v>
      </c>
      <c r="H64" s="395">
        <f>VLOOKUP($G$64,$B$177:$C$215, 2, FALSE)</f>
        <v>68</v>
      </c>
      <c r="I64" s="120">
        <f>H64-D64</f>
        <v>1</v>
      </c>
      <c r="J64" s="121">
        <f>I64/H64</f>
        <v>1.4705882352941176E-2</v>
      </c>
    </row>
    <row r="65" spans="2:10" ht="15" customHeight="1">
      <c r="B65" s="412" t="s">
        <v>136</v>
      </c>
      <c r="C65" s="413"/>
      <c r="D65" s="414"/>
      <c r="E65" s="137">
        <f>IF((AVERAGE(E62:E64))="#DIV/0!","n/a",(AVERAGE(E62:E64)))</f>
        <v>0.91529652844744458</v>
      </c>
      <c r="G65" s="415" t="s">
        <v>137</v>
      </c>
      <c r="H65" s="416"/>
      <c r="I65" s="138">
        <f>MEDIAN(I60:I64)</f>
        <v>2</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68</v>
      </c>
      <c r="D70" s="408"/>
      <c r="E70" s="122">
        <f>E65</f>
        <v>0.91529652844744458</v>
      </c>
      <c r="F70" s="120">
        <f t="shared" ref="F70:F83" si="1">C70*$E$65</f>
        <v>62.240163934426235</v>
      </c>
      <c r="G70" s="118">
        <f>IF(F70&lt;26,25,IF(F70&gt;135,140,IF(F70&gt;130,135,IF(F70&gt;125,130,IF(F70&gt;120,125,IF(F70&gt;115,120,IF(F70&gt;110,115,IF(F70&gt;105,110,IF(F70&gt;100,105,IF(F70&gt;99,100,IF(F70&gt;90,99,IF(F70&gt;75,90,IF(F70&gt;72,75,IF(F70&gt;66,72,IF(F70&gt;60,66,IF(F70&gt;50,60,IF(F70&gt;30,50,IF(F70&gt;25,30,0))))))))))))))))))</f>
        <v>66</v>
      </c>
      <c r="H70" s="119">
        <f t="shared" ref="H70:H83" si="2">G70-F70</f>
        <v>3.759836065573765</v>
      </c>
      <c r="I70" s="118" t="str">
        <f>IF(I$65&lt;H70, "NO", "YES")</f>
        <v>NO</v>
      </c>
      <c r="J70" s="117">
        <f t="shared" ref="J70:J83" si="3">IF(I70="YES",G70,(MIN((SUM(F70,$I$65)),G70)))</f>
        <v>64.240163934426235</v>
      </c>
    </row>
    <row r="71" spans="2:10" ht="15" customHeight="1">
      <c r="B71" s="114">
        <v>2020</v>
      </c>
      <c r="C71" s="433">
        <f>E51</f>
        <v>67</v>
      </c>
      <c r="D71" s="408"/>
      <c r="E71" s="121">
        <f>E65</f>
        <v>0.91529652844744458</v>
      </c>
      <c r="F71" s="120">
        <f t="shared" si="1"/>
        <v>61.324867405978786</v>
      </c>
      <c r="G71" s="118">
        <f t="shared" ref="G71:G83" si="4">IF(F71&lt;26,25,IF(F71&gt;135,140,IF(F71&gt;130,135,IF(F71&gt;125,130,IF(F71&gt;120,125,IF(F71&gt;115,120,IF(F71&gt;110,115,IF(F71&gt;105,110,IF(F71&gt;100,105,IF(F71&gt;99,100,IF(F71&gt;90,99,IF(F71&gt;75,90,IF(F71&gt;72,75,IF(F71&gt;66,72,IF(F71&gt;60,66,IF(F71&gt;50,60,IF(F71&gt;30,50,IF(F71&gt;25,30,0))))))))))))))))))</f>
        <v>66</v>
      </c>
      <c r="H71" s="119">
        <f t="shared" si="2"/>
        <v>4.6751325940212141</v>
      </c>
      <c r="I71" s="118" t="str">
        <f t="shared" ref="I71:I83" si="5">IF(I$65&lt;H71, "NO", "YES")</f>
        <v>NO</v>
      </c>
      <c r="J71" s="117">
        <f t="shared" si="3"/>
        <v>63.324867405978786</v>
      </c>
    </row>
    <row r="72" spans="2:10" ht="15" customHeight="1">
      <c r="B72" s="114">
        <v>2021</v>
      </c>
      <c r="C72" s="430">
        <f>F51</f>
        <v>72</v>
      </c>
      <c r="D72" s="431"/>
      <c r="E72" s="121">
        <f>E65</f>
        <v>0.91529652844744458</v>
      </c>
      <c r="F72" s="120">
        <f t="shared" si="1"/>
        <v>65.901350048216017</v>
      </c>
      <c r="G72" s="118">
        <f t="shared" si="4"/>
        <v>66</v>
      </c>
      <c r="H72" s="119">
        <f t="shared" si="2"/>
        <v>9.864995178398317E-2</v>
      </c>
      <c r="I72" s="118" t="str">
        <f t="shared" si="5"/>
        <v>YES</v>
      </c>
      <c r="J72" s="117">
        <f t="shared" si="3"/>
        <v>66</v>
      </c>
    </row>
    <row r="73" spans="2:10" ht="15" customHeight="1">
      <c r="B73" s="114">
        <v>2022</v>
      </c>
      <c r="C73" s="430">
        <f>G51</f>
        <v>84</v>
      </c>
      <c r="D73" s="431"/>
      <c r="E73" s="121">
        <f>E65</f>
        <v>0.91529652844744458</v>
      </c>
      <c r="F73" s="120">
        <f t="shared" si="1"/>
        <v>76.884908389585348</v>
      </c>
      <c r="G73" s="118">
        <f t="shared" si="4"/>
        <v>90</v>
      </c>
      <c r="H73" s="119">
        <f t="shared" si="2"/>
        <v>13.115091610414652</v>
      </c>
      <c r="I73" s="118" t="str">
        <f t="shared" si="5"/>
        <v>NO</v>
      </c>
      <c r="J73" s="117">
        <f t="shared" si="3"/>
        <v>78.884908389585348</v>
      </c>
    </row>
    <row r="74" spans="2:10" ht="15" customHeight="1">
      <c r="B74" s="114">
        <v>2023</v>
      </c>
      <c r="C74" s="430">
        <f>H51</f>
        <v>81</v>
      </c>
      <c r="D74" s="431"/>
      <c r="E74" s="121">
        <f>E65</f>
        <v>0.91529652844744458</v>
      </c>
      <c r="F74" s="120">
        <f t="shared" si="1"/>
        <v>74.139018804243008</v>
      </c>
      <c r="G74" s="118">
        <f t="shared" si="4"/>
        <v>75</v>
      </c>
      <c r="H74" s="119">
        <f t="shared" si="2"/>
        <v>0.86098119575699172</v>
      </c>
      <c r="I74" s="118" t="str">
        <f t="shared" si="5"/>
        <v>YES</v>
      </c>
      <c r="J74" s="117">
        <f t="shared" si="3"/>
        <v>75</v>
      </c>
    </row>
    <row r="75" spans="2:10" ht="15" customHeight="1">
      <c r="B75" s="114">
        <v>2024</v>
      </c>
      <c r="C75" s="430">
        <f>I51</f>
        <v>84</v>
      </c>
      <c r="D75" s="431"/>
      <c r="E75" s="121">
        <f>E65</f>
        <v>0.91529652844744458</v>
      </c>
      <c r="F75" s="120">
        <f t="shared" si="1"/>
        <v>76.884908389585348</v>
      </c>
      <c r="G75" s="118">
        <f t="shared" si="4"/>
        <v>90</v>
      </c>
      <c r="H75" s="119">
        <f t="shared" si="2"/>
        <v>13.115091610414652</v>
      </c>
      <c r="I75" s="118" t="str">
        <f t="shared" si="5"/>
        <v>NO</v>
      </c>
      <c r="J75" s="117">
        <f t="shared" si="3"/>
        <v>78.884908389585348</v>
      </c>
    </row>
    <row r="76" spans="2:10" ht="15" customHeight="1">
      <c r="B76" s="114">
        <v>2025</v>
      </c>
      <c r="C76" s="430">
        <f>J51</f>
        <v>86</v>
      </c>
      <c r="D76" s="431"/>
      <c r="E76" s="121">
        <f>E65</f>
        <v>0.91529652844744458</v>
      </c>
      <c r="F76" s="120">
        <f t="shared" si="1"/>
        <v>78.715501446480232</v>
      </c>
      <c r="G76" s="118">
        <f t="shared" si="4"/>
        <v>90</v>
      </c>
      <c r="H76" s="119">
        <f t="shared" si="2"/>
        <v>11.284498553519768</v>
      </c>
      <c r="I76" s="118" t="str">
        <f t="shared" si="5"/>
        <v>NO</v>
      </c>
      <c r="J76" s="117">
        <f t="shared" si="3"/>
        <v>80.715501446480232</v>
      </c>
    </row>
    <row r="77" spans="2:10" ht="15" customHeight="1">
      <c r="B77" s="114">
        <v>2026</v>
      </c>
      <c r="C77" s="430">
        <f>K51</f>
        <v>89</v>
      </c>
      <c r="D77" s="431"/>
      <c r="E77" s="121">
        <f>E65</f>
        <v>0.91529652844744458</v>
      </c>
      <c r="F77" s="120">
        <f t="shared" si="1"/>
        <v>81.461391031822572</v>
      </c>
      <c r="G77" s="118">
        <f t="shared" si="4"/>
        <v>90</v>
      </c>
      <c r="H77" s="119">
        <f t="shared" si="2"/>
        <v>8.538608968177428</v>
      </c>
      <c r="I77" s="118" t="str">
        <f t="shared" si="5"/>
        <v>NO</v>
      </c>
      <c r="J77" s="117">
        <f t="shared" si="3"/>
        <v>83.461391031822572</v>
      </c>
    </row>
    <row r="78" spans="2:10" ht="15" customHeight="1">
      <c r="B78" s="114">
        <v>2027</v>
      </c>
      <c r="C78" s="430">
        <f>L51</f>
        <v>90</v>
      </c>
      <c r="D78" s="431"/>
      <c r="E78" s="121">
        <f>E65</f>
        <v>0.91529652844744458</v>
      </c>
      <c r="F78" s="120">
        <f t="shared" si="1"/>
        <v>82.376687560270014</v>
      </c>
      <c r="G78" s="118">
        <f t="shared" si="4"/>
        <v>90</v>
      </c>
      <c r="H78" s="119">
        <f t="shared" si="2"/>
        <v>7.6233124397299861</v>
      </c>
      <c r="I78" s="118" t="str">
        <f t="shared" si="5"/>
        <v>NO</v>
      </c>
      <c r="J78" s="117">
        <f t="shared" si="3"/>
        <v>84.376687560270014</v>
      </c>
    </row>
    <row r="79" spans="2:10" ht="15" customHeight="1">
      <c r="B79" s="114">
        <v>2028</v>
      </c>
      <c r="C79" s="430">
        <f>M51</f>
        <v>90</v>
      </c>
      <c r="D79" s="431"/>
      <c r="E79" s="121">
        <f t="shared" ref="E79:E83" si="6">$E$65</f>
        <v>0.91529652844744458</v>
      </c>
      <c r="F79" s="120">
        <f t="shared" si="1"/>
        <v>82.376687560270014</v>
      </c>
      <c r="G79" s="118">
        <f t="shared" si="4"/>
        <v>90</v>
      </c>
      <c r="H79" s="119">
        <f t="shared" si="2"/>
        <v>7.6233124397299861</v>
      </c>
      <c r="I79" s="118" t="str">
        <f t="shared" si="5"/>
        <v>NO</v>
      </c>
      <c r="J79" s="117">
        <f t="shared" si="3"/>
        <v>84.376687560270014</v>
      </c>
    </row>
    <row r="80" spans="2:10" ht="15" customHeight="1">
      <c r="B80" s="114">
        <v>2029</v>
      </c>
      <c r="C80" s="430">
        <f>N51</f>
        <v>91</v>
      </c>
      <c r="D80" s="431"/>
      <c r="E80" s="121">
        <f t="shared" si="6"/>
        <v>0.91529652844744458</v>
      </c>
      <c r="F80" s="120">
        <f t="shared" si="1"/>
        <v>83.291984088717456</v>
      </c>
      <c r="G80" s="118">
        <f t="shared" si="4"/>
        <v>90</v>
      </c>
      <c r="H80" s="119">
        <f t="shared" si="2"/>
        <v>6.7080159112825442</v>
      </c>
      <c r="I80" s="118" t="str">
        <f t="shared" si="5"/>
        <v>NO</v>
      </c>
      <c r="J80" s="117">
        <f t="shared" si="3"/>
        <v>85.291984088717456</v>
      </c>
    </row>
    <row r="81" spans="2:10" ht="15" customHeight="1">
      <c r="B81" s="114">
        <v>2030</v>
      </c>
      <c r="C81" s="430">
        <f>O51</f>
        <v>92</v>
      </c>
      <c r="D81" s="431"/>
      <c r="E81" s="121">
        <f t="shared" si="6"/>
        <v>0.91529652844744458</v>
      </c>
      <c r="F81" s="120">
        <f t="shared" si="1"/>
        <v>84.207280617164898</v>
      </c>
      <c r="G81" s="118">
        <f t="shared" si="4"/>
        <v>90</v>
      </c>
      <c r="H81" s="119">
        <f t="shared" si="2"/>
        <v>5.7927193828351022</v>
      </c>
      <c r="I81" s="118" t="str">
        <f t="shared" si="5"/>
        <v>NO</v>
      </c>
      <c r="J81" s="117">
        <f t="shared" si="3"/>
        <v>86.207280617164898</v>
      </c>
    </row>
    <row r="82" spans="2:10" ht="15" customHeight="1">
      <c r="B82" s="114">
        <v>2031</v>
      </c>
      <c r="C82" s="430">
        <f>P51</f>
        <v>93</v>
      </c>
      <c r="D82" s="431"/>
      <c r="E82" s="121">
        <f t="shared" si="6"/>
        <v>0.91529652844744458</v>
      </c>
      <c r="F82" s="120">
        <f t="shared" si="1"/>
        <v>85.12257714561234</v>
      </c>
      <c r="G82" s="118">
        <f t="shared" si="4"/>
        <v>90</v>
      </c>
      <c r="H82" s="119">
        <f t="shared" si="2"/>
        <v>4.8774228543876603</v>
      </c>
      <c r="I82" s="118" t="str">
        <f t="shared" si="5"/>
        <v>NO</v>
      </c>
      <c r="J82" s="117">
        <f t="shared" si="3"/>
        <v>87.12257714561234</v>
      </c>
    </row>
    <row r="83" spans="2:10" ht="15" customHeight="1">
      <c r="B83" s="114">
        <v>2032</v>
      </c>
      <c r="C83" s="430">
        <f>Q51</f>
        <v>93</v>
      </c>
      <c r="D83" s="431"/>
      <c r="E83" s="121">
        <f t="shared" si="6"/>
        <v>0.91529652844744458</v>
      </c>
      <c r="F83" s="120">
        <f t="shared" si="1"/>
        <v>85.12257714561234</v>
      </c>
      <c r="G83" s="118">
        <f t="shared" si="4"/>
        <v>90</v>
      </c>
      <c r="H83" s="119">
        <f t="shared" si="2"/>
        <v>4.8774228543876603</v>
      </c>
      <c r="I83" s="118" t="str">
        <f t="shared" si="5"/>
        <v>NO</v>
      </c>
      <c r="J83" s="117">
        <f t="shared" si="3"/>
        <v>87.12257714561234</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Queensferry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60</v>
      </c>
      <c r="D91" s="112">
        <f t="shared" ref="D91:J91" si="7">D188</f>
        <v>60</v>
      </c>
      <c r="E91" s="112">
        <f t="shared" si="7"/>
        <v>55</v>
      </c>
      <c r="F91" s="112">
        <f t="shared" si="7"/>
        <v>55</v>
      </c>
      <c r="G91" s="112">
        <f t="shared" si="7"/>
        <v>58</v>
      </c>
      <c r="H91" s="112">
        <f t="shared" si="7"/>
        <v>56</v>
      </c>
      <c r="I91" s="112">
        <f t="shared" si="7"/>
        <v>51</v>
      </c>
      <c r="J91" s="213">
        <f t="shared" si="7"/>
        <v>395</v>
      </c>
    </row>
    <row r="92" spans="2:10" ht="15" customHeight="1">
      <c r="B92" s="114">
        <v>2014</v>
      </c>
      <c r="C92" s="112">
        <f>C189</f>
        <v>57</v>
      </c>
      <c r="D92" s="112">
        <f t="shared" ref="D92:J92" si="8">D189</f>
        <v>60</v>
      </c>
      <c r="E92" s="112">
        <f t="shared" si="8"/>
        <v>60</v>
      </c>
      <c r="F92" s="112">
        <f t="shared" si="8"/>
        <v>53</v>
      </c>
      <c r="G92" s="112">
        <f t="shared" si="8"/>
        <v>56</v>
      </c>
      <c r="H92" s="112">
        <f t="shared" si="8"/>
        <v>55</v>
      </c>
      <c r="I92" s="112">
        <f t="shared" si="8"/>
        <v>57</v>
      </c>
      <c r="J92" s="213">
        <f t="shared" si="8"/>
        <v>398</v>
      </c>
    </row>
    <row r="93" spans="2:10" ht="15" customHeight="1">
      <c r="B93" s="114">
        <v>2015</v>
      </c>
      <c r="C93" s="112">
        <f>C190</f>
        <v>57</v>
      </c>
      <c r="D93" s="112">
        <f t="shared" ref="D93:J93" si="9">D190</f>
        <v>57</v>
      </c>
      <c r="E93" s="112">
        <f t="shared" si="9"/>
        <v>60</v>
      </c>
      <c r="F93" s="112">
        <f t="shared" si="9"/>
        <v>58</v>
      </c>
      <c r="G93" s="112">
        <f t="shared" si="9"/>
        <v>54</v>
      </c>
      <c r="H93" s="112">
        <f t="shared" si="9"/>
        <v>52</v>
      </c>
      <c r="I93" s="112">
        <f t="shared" si="9"/>
        <v>52</v>
      </c>
      <c r="J93" s="213">
        <f t="shared" si="9"/>
        <v>390</v>
      </c>
    </row>
    <row r="94" spans="2:10" ht="15" customHeight="1">
      <c r="B94" s="114">
        <v>2016</v>
      </c>
      <c r="C94" s="112">
        <f>C191</f>
        <v>59</v>
      </c>
      <c r="D94" s="112">
        <f t="shared" ref="D94:J94" si="10">D191</f>
        <v>58</v>
      </c>
      <c r="E94" s="112">
        <f t="shared" si="10"/>
        <v>59</v>
      </c>
      <c r="F94" s="112">
        <f t="shared" si="10"/>
        <v>60</v>
      </c>
      <c r="G94" s="112">
        <f t="shared" si="10"/>
        <v>60</v>
      </c>
      <c r="H94" s="112">
        <f t="shared" si="10"/>
        <v>53</v>
      </c>
      <c r="I94" s="112">
        <f t="shared" si="10"/>
        <v>52</v>
      </c>
      <c r="J94" s="213">
        <f t="shared" si="10"/>
        <v>401</v>
      </c>
    </row>
    <row r="95" spans="2:10" ht="15" customHeight="1">
      <c r="B95" s="114">
        <v>2017</v>
      </c>
      <c r="C95" s="112">
        <f>C192</f>
        <v>66</v>
      </c>
      <c r="D95" s="112">
        <f t="shared" ref="D95:J95" si="11">D192</f>
        <v>63</v>
      </c>
      <c r="E95" s="112">
        <f t="shared" si="11"/>
        <v>59</v>
      </c>
      <c r="F95" s="112">
        <f t="shared" si="11"/>
        <v>63</v>
      </c>
      <c r="G95" s="112">
        <f t="shared" si="11"/>
        <v>63</v>
      </c>
      <c r="H95" s="112">
        <f t="shared" si="11"/>
        <v>65</v>
      </c>
      <c r="I95" s="112">
        <f t="shared" si="11"/>
        <v>55</v>
      </c>
      <c r="J95" s="213">
        <f t="shared" si="11"/>
        <v>434</v>
      </c>
    </row>
    <row r="96" spans="2:10" ht="15" customHeight="1">
      <c r="B96" s="307">
        <v>2018</v>
      </c>
      <c r="C96" s="112">
        <f t="shared" ref="C96:J96" si="12">C193</f>
        <v>68</v>
      </c>
      <c r="D96" s="112">
        <f t="shared" si="12"/>
        <v>68</v>
      </c>
      <c r="E96" s="112">
        <f t="shared" si="12"/>
        <v>64</v>
      </c>
      <c r="F96" s="112">
        <f t="shared" si="12"/>
        <v>61</v>
      </c>
      <c r="G96" s="112">
        <f t="shared" si="12"/>
        <v>62</v>
      </c>
      <c r="H96" s="112">
        <f t="shared" si="12"/>
        <v>66</v>
      </c>
      <c r="I96" s="112">
        <f t="shared" si="12"/>
        <v>64</v>
      </c>
      <c r="J96" s="213">
        <f t="shared" si="12"/>
        <v>453</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-1.7543859649122806E-2</v>
      </c>
      <c r="E98" s="210">
        <f t="shared" ref="E98:I98" si="13">MEDIAN(((D91-E92)/D91),((D92-E93)/D92),((D93-E94)/D93),((D94-E95)/D94),((D95-E96)/D95))</f>
        <v>-1.5873015873015872E-2</v>
      </c>
      <c r="F98" s="210">
        <f t="shared" si="13"/>
        <v>0</v>
      </c>
      <c r="G98" s="210">
        <f t="shared" si="13"/>
        <v>-1.8867924528301886E-2</v>
      </c>
      <c r="H98" s="210">
        <f t="shared" si="13"/>
        <v>1.8518518518518517E-2</v>
      </c>
      <c r="I98" s="210">
        <f t="shared" si="13"/>
        <v>0</v>
      </c>
    </row>
    <row r="99" spans="2:10" ht="15" customHeight="1">
      <c r="B99" s="59"/>
      <c r="C99" s="60"/>
      <c r="D99" s="61"/>
      <c r="E99" s="61"/>
      <c r="F99" s="61"/>
      <c r="G99" s="61"/>
      <c r="H99" s="61"/>
      <c r="I99" s="61"/>
      <c r="J99" s="58"/>
    </row>
    <row r="100" spans="2:10" ht="15" customHeight="1">
      <c r="B100" s="15" t="str">
        <f>"Table 4B: "&amp;E3&amp;" Projected Roll by Stage (incorporating Projected P1 and Drop-Off Rates), 2019-2032"</f>
        <v>Table 4B: Queensferry Primary School Projected Roll by Stage (incorporating Projected P1 and Drop-Off Rates), 2019-2032</v>
      </c>
      <c r="F100" s="14"/>
      <c r="G100" s="14"/>
    </row>
    <row r="101" spans="2:10" ht="15" customHeight="1">
      <c r="F101" s="14"/>
      <c r="G101" s="14"/>
    </row>
    <row r="102" spans="2:10" ht="15" customHeight="1">
      <c r="B102" s="115"/>
      <c r="C102" s="109" t="s">
        <v>1</v>
      </c>
      <c r="D102" s="109" t="s">
        <v>2</v>
      </c>
      <c r="E102" s="109" t="s">
        <v>3</v>
      </c>
      <c r="F102" s="109" t="s">
        <v>4</v>
      </c>
      <c r="G102" s="109" t="s">
        <v>5</v>
      </c>
      <c r="H102" s="109" t="s">
        <v>6</v>
      </c>
      <c r="I102" s="109" t="s">
        <v>7</v>
      </c>
      <c r="J102" s="109" t="s">
        <v>8</v>
      </c>
    </row>
    <row r="103" spans="2:10" ht="15" customHeight="1">
      <c r="B103" s="114">
        <v>2019</v>
      </c>
      <c r="C103" s="113">
        <f t="shared" ref="C103:C116" si="14">J70</f>
        <v>64.240163934426235</v>
      </c>
      <c r="D103" s="324">
        <f>ROUND((C96)-(C96*$D$98),0)</f>
        <v>69</v>
      </c>
      <c r="E103" s="324">
        <f>ROUND((D96)-(D96*$E$98),0)</f>
        <v>69</v>
      </c>
      <c r="F103" s="324">
        <f>ROUND((E96)-(E96*$F$98),0)</f>
        <v>64</v>
      </c>
      <c r="G103" s="324">
        <f>ROUND((F96)-(F96*$G$98),0)</f>
        <v>62</v>
      </c>
      <c r="H103" s="324">
        <f>ROUND((G96)-(G96*$H$98),0)</f>
        <v>61</v>
      </c>
      <c r="I103" s="324">
        <f>ROUND((H96)-(H96*$I$98),0)</f>
        <v>66</v>
      </c>
      <c r="J103" s="111">
        <f t="shared" ref="J103:J116" si="15">SUM(C103:I103)</f>
        <v>455.24016393442622</v>
      </c>
    </row>
    <row r="104" spans="2:10" ht="15" customHeight="1">
      <c r="B104" s="114">
        <v>2020</v>
      </c>
      <c r="C104" s="113">
        <f t="shared" si="14"/>
        <v>63.324867405978786</v>
      </c>
      <c r="D104" s="324">
        <f>ROUND((C103-E50)-(C103*$D$98),0)</f>
        <v>63</v>
      </c>
      <c r="E104" s="112">
        <f t="shared" ref="E104:E116" si="16">ROUND((D103)-(D103*$E$98),0)</f>
        <v>70</v>
      </c>
      <c r="F104" s="112">
        <f t="shared" ref="F104:F116" si="17">ROUND((E103)-(E103*$F$98),0)</f>
        <v>69</v>
      </c>
      <c r="G104" s="112">
        <f t="shared" ref="G104:G116" si="18">ROUND((F103)-(F103*$G$98),0)</f>
        <v>65</v>
      </c>
      <c r="H104" s="112">
        <f t="shared" ref="H104:H116" si="19">ROUND((G103)-(G103*$H$98),0)</f>
        <v>61</v>
      </c>
      <c r="I104" s="112">
        <f t="shared" ref="I104:I116" si="20">ROUND((H103)-(H103*$I$98),0)</f>
        <v>61</v>
      </c>
      <c r="J104" s="111">
        <f t="shared" si="15"/>
        <v>452.32486740597881</v>
      </c>
    </row>
    <row r="105" spans="2:10" ht="15" customHeight="1">
      <c r="B105" s="114">
        <v>2021</v>
      </c>
      <c r="C105" s="113">
        <f t="shared" si="14"/>
        <v>66</v>
      </c>
      <c r="D105" s="324">
        <f>ROUND((C104-F50)-(C104*$D$98),0)</f>
        <v>59</v>
      </c>
      <c r="E105" s="112">
        <f t="shared" si="16"/>
        <v>64</v>
      </c>
      <c r="F105" s="112">
        <f t="shared" si="17"/>
        <v>70</v>
      </c>
      <c r="G105" s="112">
        <f t="shared" si="18"/>
        <v>70</v>
      </c>
      <c r="H105" s="112">
        <f t="shared" si="19"/>
        <v>64</v>
      </c>
      <c r="I105" s="112">
        <f t="shared" si="20"/>
        <v>61</v>
      </c>
      <c r="J105" s="111">
        <f t="shared" si="15"/>
        <v>454</v>
      </c>
    </row>
    <row r="106" spans="2:10" ht="15" customHeight="1">
      <c r="B106" s="114">
        <v>2022</v>
      </c>
      <c r="C106" s="113">
        <f t="shared" si="14"/>
        <v>78.884908389585348</v>
      </c>
      <c r="D106" s="324">
        <f>ROUND((C105-G50)-(C105*$D$98),0)</f>
        <v>59</v>
      </c>
      <c r="E106" s="112">
        <f t="shared" si="16"/>
        <v>60</v>
      </c>
      <c r="F106" s="112">
        <f t="shared" si="17"/>
        <v>64</v>
      </c>
      <c r="G106" s="112">
        <f t="shared" si="18"/>
        <v>71</v>
      </c>
      <c r="H106" s="112">
        <f t="shared" si="19"/>
        <v>69</v>
      </c>
      <c r="I106" s="112">
        <f t="shared" si="20"/>
        <v>64</v>
      </c>
      <c r="J106" s="111">
        <f t="shared" si="15"/>
        <v>465.88490838958535</v>
      </c>
    </row>
    <row r="107" spans="2:10" ht="15" customHeight="1">
      <c r="B107" s="114">
        <v>2023</v>
      </c>
      <c r="C107" s="113">
        <f t="shared" si="14"/>
        <v>75</v>
      </c>
      <c r="D107" s="324">
        <f>ROUND((C106-H50)-(C106*$D$98),0)</f>
        <v>70</v>
      </c>
      <c r="E107" s="112">
        <f t="shared" si="16"/>
        <v>60</v>
      </c>
      <c r="F107" s="112">
        <f t="shared" si="17"/>
        <v>60</v>
      </c>
      <c r="G107" s="112">
        <f t="shared" si="18"/>
        <v>65</v>
      </c>
      <c r="H107" s="112">
        <f t="shared" si="19"/>
        <v>70</v>
      </c>
      <c r="I107" s="112">
        <f t="shared" si="20"/>
        <v>69</v>
      </c>
      <c r="J107" s="111">
        <f t="shared" si="15"/>
        <v>469</v>
      </c>
    </row>
    <row r="108" spans="2:10" ht="15" customHeight="1">
      <c r="B108" s="114">
        <v>2024</v>
      </c>
      <c r="C108" s="113">
        <f t="shared" si="14"/>
        <v>78.884908389585348</v>
      </c>
      <c r="D108" s="324">
        <f>ROUND((C107-I50)-(C107*$D$98),0)</f>
        <v>64</v>
      </c>
      <c r="E108" s="112">
        <f t="shared" si="16"/>
        <v>71</v>
      </c>
      <c r="F108" s="112">
        <f t="shared" si="17"/>
        <v>60</v>
      </c>
      <c r="G108" s="112">
        <f t="shared" si="18"/>
        <v>61</v>
      </c>
      <c r="H108" s="112">
        <f t="shared" si="19"/>
        <v>64</v>
      </c>
      <c r="I108" s="112">
        <f t="shared" si="20"/>
        <v>70</v>
      </c>
      <c r="J108" s="111">
        <f t="shared" si="15"/>
        <v>468.88490838958535</v>
      </c>
    </row>
    <row r="109" spans="2:10" ht="15" customHeight="1">
      <c r="B109" s="114">
        <v>2025</v>
      </c>
      <c r="C109" s="113">
        <f t="shared" si="14"/>
        <v>80.715501446480232</v>
      </c>
      <c r="D109" s="324">
        <f>ROUND((C108-J50)-(C108*$D$98),0)</f>
        <v>67</v>
      </c>
      <c r="E109" s="112">
        <f t="shared" si="16"/>
        <v>65</v>
      </c>
      <c r="F109" s="112">
        <f t="shared" si="17"/>
        <v>71</v>
      </c>
      <c r="G109" s="112">
        <f t="shared" si="18"/>
        <v>61</v>
      </c>
      <c r="H109" s="112">
        <f t="shared" si="19"/>
        <v>60</v>
      </c>
      <c r="I109" s="112">
        <f t="shared" si="20"/>
        <v>64</v>
      </c>
      <c r="J109" s="111">
        <f t="shared" si="15"/>
        <v>468.71550144648023</v>
      </c>
    </row>
    <row r="110" spans="2:10" ht="15" customHeight="1">
      <c r="B110" s="114">
        <v>2026</v>
      </c>
      <c r="C110" s="113">
        <f t="shared" si="14"/>
        <v>83.461391031822572</v>
      </c>
      <c r="D110" s="324">
        <f>ROUND((C109-K50)-(C109*$D$98),0)</f>
        <v>67</v>
      </c>
      <c r="E110" s="112">
        <f t="shared" si="16"/>
        <v>68</v>
      </c>
      <c r="F110" s="112">
        <f t="shared" si="17"/>
        <v>65</v>
      </c>
      <c r="G110" s="112">
        <f t="shared" si="18"/>
        <v>72</v>
      </c>
      <c r="H110" s="112">
        <f t="shared" si="19"/>
        <v>60</v>
      </c>
      <c r="I110" s="112">
        <f t="shared" si="20"/>
        <v>60</v>
      </c>
      <c r="J110" s="111">
        <f t="shared" si="15"/>
        <v>475.46139103182259</v>
      </c>
    </row>
    <row r="111" spans="2:10" ht="15" customHeight="1">
      <c r="B111" s="114">
        <v>2027</v>
      </c>
      <c r="C111" s="113">
        <f t="shared" si="14"/>
        <v>84.376687560270014</v>
      </c>
      <c r="D111" s="324">
        <f>ROUND((C110-L50)-(C110*$D$98),0)</f>
        <v>69</v>
      </c>
      <c r="E111" s="112">
        <f t="shared" si="16"/>
        <v>68</v>
      </c>
      <c r="F111" s="112">
        <f t="shared" si="17"/>
        <v>68</v>
      </c>
      <c r="G111" s="112">
        <f t="shared" si="18"/>
        <v>66</v>
      </c>
      <c r="H111" s="112">
        <f t="shared" si="19"/>
        <v>71</v>
      </c>
      <c r="I111" s="112">
        <f t="shared" si="20"/>
        <v>60</v>
      </c>
      <c r="J111" s="111">
        <f t="shared" si="15"/>
        <v>486.37668756027</v>
      </c>
    </row>
    <row r="112" spans="2:10" ht="15" customHeight="1">
      <c r="B112" s="114">
        <v>2028</v>
      </c>
      <c r="C112" s="113">
        <f t="shared" si="14"/>
        <v>84.376687560270014</v>
      </c>
      <c r="D112" s="324">
        <f>ROUND((C111-M50)-(C111*$D$98),0)</f>
        <v>70</v>
      </c>
      <c r="E112" s="112">
        <f t="shared" si="16"/>
        <v>70</v>
      </c>
      <c r="F112" s="112">
        <f t="shared" si="17"/>
        <v>68</v>
      </c>
      <c r="G112" s="112">
        <f t="shared" si="18"/>
        <v>69</v>
      </c>
      <c r="H112" s="112">
        <f t="shared" si="19"/>
        <v>65</v>
      </c>
      <c r="I112" s="112">
        <f t="shared" si="20"/>
        <v>71</v>
      </c>
      <c r="J112" s="111">
        <f t="shared" si="15"/>
        <v>497.37668756027</v>
      </c>
    </row>
    <row r="113" spans="2:10" ht="15" customHeight="1">
      <c r="B113" s="114">
        <v>2029</v>
      </c>
      <c r="C113" s="113">
        <f t="shared" si="14"/>
        <v>85.291984088717456</v>
      </c>
      <c r="D113" s="324">
        <f>ROUND((C112-N50)-(C112*$D$98),0)</f>
        <v>69</v>
      </c>
      <c r="E113" s="112">
        <f t="shared" si="16"/>
        <v>71</v>
      </c>
      <c r="F113" s="112">
        <f t="shared" si="17"/>
        <v>70</v>
      </c>
      <c r="G113" s="112">
        <f t="shared" si="18"/>
        <v>69</v>
      </c>
      <c r="H113" s="112">
        <f t="shared" si="19"/>
        <v>68</v>
      </c>
      <c r="I113" s="112">
        <f t="shared" si="20"/>
        <v>65</v>
      </c>
      <c r="J113" s="111">
        <f t="shared" si="15"/>
        <v>497.29198408871747</v>
      </c>
    </row>
    <row r="114" spans="2:10" ht="15" customHeight="1">
      <c r="B114" s="114">
        <v>2030</v>
      </c>
      <c r="C114" s="113">
        <f t="shared" si="14"/>
        <v>86.207280617164898</v>
      </c>
      <c r="D114" s="324">
        <f>ROUND((C113-O50)-(C113*$D$98),0)</f>
        <v>69</v>
      </c>
      <c r="E114" s="112">
        <f t="shared" si="16"/>
        <v>70</v>
      </c>
      <c r="F114" s="112">
        <f t="shared" si="17"/>
        <v>71</v>
      </c>
      <c r="G114" s="112">
        <f t="shared" si="18"/>
        <v>71</v>
      </c>
      <c r="H114" s="112">
        <f t="shared" si="19"/>
        <v>68</v>
      </c>
      <c r="I114" s="112">
        <f t="shared" si="20"/>
        <v>68</v>
      </c>
      <c r="J114" s="111">
        <f t="shared" si="15"/>
        <v>503.20728061716488</v>
      </c>
    </row>
    <row r="115" spans="2:10" ht="15" customHeight="1">
      <c r="B115" s="114">
        <v>2031</v>
      </c>
      <c r="C115" s="113">
        <f t="shared" si="14"/>
        <v>87.12257714561234</v>
      </c>
      <c r="D115" s="324">
        <f>ROUND((C114-P50)-(C114*$D$98),0)</f>
        <v>69</v>
      </c>
      <c r="E115" s="112">
        <f t="shared" si="16"/>
        <v>70</v>
      </c>
      <c r="F115" s="112">
        <f t="shared" si="17"/>
        <v>70</v>
      </c>
      <c r="G115" s="112">
        <f t="shared" si="18"/>
        <v>72</v>
      </c>
      <c r="H115" s="112">
        <f t="shared" si="19"/>
        <v>70</v>
      </c>
      <c r="I115" s="112">
        <f t="shared" si="20"/>
        <v>68</v>
      </c>
      <c r="J115" s="111">
        <f t="shared" si="15"/>
        <v>506.12257714561235</v>
      </c>
    </row>
    <row r="116" spans="2:10" ht="15" customHeight="1">
      <c r="B116" s="114">
        <v>2032</v>
      </c>
      <c r="C116" s="113">
        <f t="shared" si="14"/>
        <v>87.12257714561234</v>
      </c>
      <c r="D116" s="324">
        <f>ROUND((C115-Q50)-(C115*$D$98),0)</f>
        <v>70</v>
      </c>
      <c r="E116" s="112">
        <f t="shared" si="16"/>
        <v>70</v>
      </c>
      <c r="F116" s="112">
        <f t="shared" si="17"/>
        <v>70</v>
      </c>
      <c r="G116" s="112">
        <f t="shared" si="18"/>
        <v>71</v>
      </c>
      <c r="H116" s="112">
        <f t="shared" si="19"/>
        <v>71</v>
      </c>
      <c r="I116" s="112">
        <f t="shared" si="20"/>
        <v>70</v>
      </c>
      <c r="J116" s="111">
        <f t="shared" si="15"/>
        <v>509.12257714561235</v>
      </c>
    </row>
    <row r="117" spans="2:10" ht="15" customHeight="1">
      <c r="F117" s="14"/>
      <c r="G117" s="14"/>
    </row>
    <row r="118" spans="2:10" ht="15" customHeight="1">
      <c r="B118" s="15" t="str">
        <f>"Table 4C: "&amp;E3&amp;" Projected Pupil Generation from Housing Development, 2019-2032"</f>
        <v>Table 4C: Queensferry Primary School Projected Pupil Generation from Housing Development, 2019-2032</v>
      </c>
      <c r="F118" s="14"/>
      <c r="G118" s="14"/>
    </row>
    <row r="119" spans="2:10" ht="15" customHeight="1">
      <c r="F119" s="14"/>
      <c r="G119" s="14"/>
    </row>
    <row r="120" spans="2:10" ht="15" customHeight="1">
      <c r="B120" s="115"/>
      <c r="C120" s="109" t="s">
        <v>1</v>
      </c>
      <c r="D120" s="109" t="s">
        <v>2</v>
      </c>
      <c r="E120" s="109" t="s">
        <v>3</v>
      </c>
      <c r="F120" s="109" t="s">
        <v>4</v>
      </c>
      <c r="G120" s="109" t="s">
        <v>5</v>
      </c>
      <c r="H120" s="109" t="s">
        <v>6</v>
      </c>
      <c r="I120" s="109" t="s">
        <v>7</v>
      </c>
      <c r="J120" s="109" t="s">
        <v>8</v>
      </c>
    </row>
    <row r="121" spans="2:10" ht="15" customHeight="1">
      <c r="B121" s="114">
        <v>2019</v>
      </c>
      <c r="C121" s="116" t="s">
        <v>97</v>
      </c>
      <c r="D121" s="112">
        <f>VLOOKUP($E$3,'Housing Generation'!$A$3:$BE$90,11,FALSE)</f>
        <v>2</v>
      </c>
      <c r="E121" s="112">
        <f>VLOOKUP($E$3,'Housing Generation'!$A$3:$BE$90,12,FALSE)</f>
        <v>2</v>
      </c>
      <c r="F121" s="112">
        <f>VLOOKUP($E$3,'Housing Generation'!$A$3:$BE$90,13,FALSE)</f>
        <v>2</v>
      </c>
      <c r="G121" s="112">
        <f>VLOOKUP($E$3,'Housing Generation'!$A$3:$BE$90,14,FALSE)</f>
        <v>2</v>
      </c>
      <c r="H121" s="112">
        <f>VLOOKUP($E$3,'Housing Generation'!$A$3:$BE$90,15,FALSE)</f>
        <v>1</v>
      </c>
      <c r="I121" s="112">
        <f>VLOOKUP($E$3,'Housing Generation'!$A$3:$BE$90,16,FALSE)</f>
        <v>1</v>
      </c>
      <c r="J121" s="111">
        <f t="shared" ref="J121:J134" si="21">SUM(D121:I121)</f>
        <v>10</v>
      </c>
    </row>
    <row r="122" spans="2:10" ht="15" customHeight="1">
      <c r="B122" s="114">
        <v>2020</v>
      </c>
      <c r="C122" s="116" t="s">
        <v>97</v>
      </c>
      <c r="D122" s="112">
        <f>VLOOKUP($E$3,'Housing Generation'!$A$3:$BE$90,19,FALSE)</f>
        <v>2</v>
      </c>
      <c r="E122" s="112">
        <f>VLOOKUP($E$3,'Housing Generation'!$A$3:$BE$90,20,FALSE)</f>
        <v>2</v>
      </c>
      <c r="F122" s="112">
        <f>VLOOKUP($E$3,'Housing Generation'!$A$3:$BE$90,21,FALSE)</f>
        <v>2</v>
      </c>
      <c r="G122" s="112">
        <f>VLOOKUP($E$3,'Housing Generation'!$A$3:$BE$90,22,FALSE)</f>
        <v>2</v>
      </c>
      <c r="H122" s="112">
        <f>VLOOKUP($E$3,'Housing Generation'!$A$3:$BE$90,23,FALSE)</f>
        <v>1</v>
      </c>
      <c r="I122" s="112">
        <f>VLOOKUP($E$3,'Housing Generation'!$A$3:$BE$90,24,FALSE)</f>
        <v>1</v>
      </c>
      <c r="J122" s="111">
        <f t="shared" si="21"/>
        <v>10</v>
      </c>
    </row>
    <row r="123" spans="2:10" ht="15" customHeight="1">
      <c r="B123" s="114">
        <v>2021</v>
      </c>
      <c r="C123" s="116" t="s">
        <v>97</v>
      </c>
      <c r="D123" s="112">
        <f>VLOOKUP($E$3,'Housing Generation'!$A$3:$BE$90,27,FALSE)</f>
        <v>5</v>
      </c>
      <c r="E123" s="112">
        <f>VLOOKUP($E$3,'Housing Generation'!$A$3:$BE$90,28,FALSE)</f>
        <v>5</v>
      </c>
      <c r="F123" s="112">
        <f>VLOOKUP($E$3,'Housing Generation'!$A$3:$BE$90,29,FALSE)</f>
        <v>5</v>
      </c>
      <c r="G123" s="112">
        <f>VLOOKUP($E$3,'Housing Generation'!$A$3:$BE$90,30,FALSE)</f>
        <v>5</v>
      </c>
      <c r="H123" s="112">
        <f>VLOOKUP($E$3,'Housing Generation'!$A$3:$BE$90,31,FALSE)</f>
        <v>4</v>
      </c>
      <c r="I123" s="112">
        <f>VLOOKUP($E$3,'Housing Generation'!$A$3:$BE$90,32,FALSE)</f>
        <v>4</v>
      </c>
      <c r="J123" s="111">
        <f t="shared" si="21"/>
        <v>28</v>
      </c>
    </row>
    <row r="124" spans="2:10" ht="15" customHeight="1">
      <c r="B124" s="114">
        <v>2022</v>
      </c>
      <c r="C124" s="116" t="s">
        <v>97</v>
      </c>
      <c r="D124" s="112">
        <f>VLOOKUP($E$3,'Housing Generation'!$A$3:$BE$90,35,FALSE)</f>
        <v>8</v>
      </c>
      <c r="E124" s="112">
        <f>VLOOKUP($E$3,'Housing Generation'!$A$3:$BE$90,36,FALSE)</f>
        <v>8</v>
      </c>
      <c r="F124" s="112">
        <f>VLOOKUP($E$3,'Housing Generation'!$A$3:$BE$90,37,FALSE)</f>
        <v>8</v>
      </c>
      <c r="G124" s="112">
        <f>VLOOKUP($E$3,'Housing Generation'!$A$3:$BE$90,38,FALSE)</f>
        <v>8</v>
      </c>
      <c r="H124" s="112">
        <f>VLOOKUP($E$3,'Housing Generation'!$A$3:$BE$90,39,FALSE)</f>
        <v>8</v>
      </c>
      <c r="I124" s="112">
        <f>VLOOKUP($E$3,'Housing Generation'!$A$3:$BE$90,40,FALSE)</f>
        <v>8</v>
      </c>
      <c r="J124" s="111">
        <f t="shared" si="21"/>
        <v>48</v>
      </c>
    </row>
    <row r="125" spans="2:10" ht="15" customHeight="1">
      <c r="B125" s="114">
        <v>2023</v>
      </c>
      <c r="C125" s="116" t="s">
        <v>97</v>
      </c>
      <c r="D125" s="112">
        <f>VLOOKUP($E$3,'Housing Generation'!$A$3:$BE$90,43,FALSE)</f>
        <v>10</v>
      </c>
      <c r="E125" s="112">
        <f>VLOOKUP($E$3,'Housing Generation'!$A$3:$BE$90,44,FALSE)</f>
        <v>10</v>
      </c>
      <c r="F125" s="112">
        <f>VLOOKUP($E$3,'Housing Generation'!$A$3:$BE$90,45,FALSE)</f>
        <v>10</v>
      </c>
      <c r="G125" s="112">
        <f>VLOOKUP($E$3,'Housing Generation'!$A$3:$BE$90,46,FALSE)</f>
        <v>9</v>
      </c>
      <c r="H125" s="112">
        <f>VLOOKUP($E$3,'Housing Generation'!$A$3:$BE$90,47,FALSE)</f>
        <v>9</v>
      </c>
      <c r="I125" s="112">
        <f>VLOOKUP($E$3,'Housing Generation'!$A$3:$BE$90,48,FALSE)</f>
        <v>9</v>
      </c>
      <c r="J125" s="111">
        <f t="shared" si="21"/>
        <v>57</v>
      </c>
    </row>
    <row r="126" spans="2:10" ht="15" customHeight="1">
      <c r="B126" s="114">
        <v>2024</v>
      </c>
      <c r="C126" s="116" t="s">
        <v>97</v>
      </c>
      <c r="D126" s="112">
        <f>VLOOKUP($E$3,'Housing Generation'!$A$3:$BE$90,51,FALSE)</f>
        <v>11</v>
      </c>
      <c r="E126" s="112">
        <f>VLOOKUP($E$3,'Housing Generation'!$A$3:$BE$90,52,FALSE)</f>
        <v>11</v>
      </c>
      <c r="F126" s="112">
        <f>VLOOKUP($E$3,'Housing Generation'!$A$3:$BE$90,53,FALSE)</f>
        <v>11</v>
      </c>
      <c r="G126" s="112">
        <f>VLOOKUP($E$3,'Housing Generation'!$A$3:$BE$90,54,FALSE)</f>
        <v>11</v>
      </c>
      <c r="H126" s="112">
        <f>VLOOKUP($E$3,'Housing Generation'!$A$3:$BE$90,55,FALSE)</f>
        <v>11</v>
      </c>
      <c r="I126" s="112">
        <f>VLOOKUP($E$3,'Housing Generation'!$A$3:$BE$90,56,FALSE)</f>
        <v>11</v>
      </c>
      <c r="J126" s="111">
        <f t="shared" si="21"/>
        <v>66</v>
      </c>
    </row>
    <row r="127" spans="2:10" ht="15" customHeight="1">
      <c r="B127" s="114">
        <v>2025</v>
      </c>
      <c r="C127" s="240" t="s">
        <v>97</v>
      </c>
      <c r="D127" s="112">
        <f>VLOOKUP($E$3,'Housing Generation'!$A$3:$CK$90,59,FALSE)</f>
        <v>13</v>
      </c>
      <c r="E127" s="112">
        <f>VLOOKUP($E$3,'Housing Generation'!$A$3:$CK$90,60,FALSE)</f>
        <v>13</v>
      </c>
      <c r="F127" s="112">
        <f>VLOOKUP($E$3,'Housing Generation'!$A$3:$CK$90,61,FALSE)</f>
        <v>13</v>
      </c>
      <c r="G127" s="112">
        <f>VLOOKUP($E$3,'Housing Generation'!$A$3:$CK$90,62,FALSE)</f>
        <v>13</v>
      </c>
      <c r="H127" s="112">
        <f>VLOOKUP($E$3,'Housing Generation'!$A$3:$CK$90,63,FALSE)</f>
        <v>12</v>
      </c>
      <c r="I127" s="112">
        <f>VLOOKUP($E$3,'Housing Generation'!$A$3:$CK$90,64,FALSE)</f>
        <v>12</v>
      </c>
      <c r="J127" s="111">
        <f t="shared" si="21"/>
        <v>76</v>
      </c>
    </row>
    <row r="128" spans="2:10" ht="15" customHeight="1">
      <c r="B128" s="114">
        <v>2026</v>
      </c>
      <c r="C128" s="240" t="s">
        <v>97</v>
      </c>
      <c r="D128" s="112">
        <f>VLOOKUP($E$3,'Housing Generation'!$A$3:$CK$90,67,FALSE)</f>
        <v>15</v>
      </c>
      <c r="E128" s="112">
        <f>VLOOKUP($E$3,'Housing Generation'!$A$3:$CK$90,68,FALSE)</f>
        <v>14</v>
      </c>
      <c r="F128" s="112">
        <f>VLOOKUP($E$3,'Housing Generation'!$A$3:$CK$90,69,FALSE)</f>
        <v>14</v>
      </c>
      <c r="G128" s="112">
        <f>VLOOKUP($E$3,'Housing Generation'!$A$3:$CK$90,70,FALSE)</f>
        <v>14</v>
      </c>
      <c r="H128" s="112">
        <f>VLOOKUP($E$3,'Housing Generation'!$A$3:$CK$90,71,FALSE)</f>
        <v>14</v>
      </c>
      <c r="I128" s="112">
        <f>VLOOKUP($E$3,'Housing Generation'!$A$3:$CK$90,72,FALSE)</f>
        <v>14</v>
      </c>
      <c r="J128" s="111">
        <f t="shared" si="21"/>
        <v>85</v>
      </c>
    </row>
    <row r="129" spans="2:10" ht="15" customHeight="1">
      <c r="B129" s="114">
        <v>2027</v>
      </c>
      <c r="C129" s="240" t="s">
        <v>97</v>
      </c>
      <c r="D129" s="112">
        <f>VLOOKUP($E$3,'Housing Generation'!$A$3:$CK$90,75,FALSE)</f>
        <v>16</v>
      </c>
      <c r="E129" s="112">
        <f>VLOOKUP($E$3,'Housing Generation'!$A$3:$CK$90,76,FALSE)</f>
        <v>16</v>
      </c>
      <c r="F129" s="112">
        <f>VLOOKUP($E$3,'Housing Generation'!$A$3:$CK$90,77,FALSE)</f>
        <v>16</v>
      </c>
      <c r="G129" s="112">
        <f>VLOOKUP($E$3,'Housing Generation'!$A$3:$CK$90,78,FALSE)</f>
        <v>15</v>
      </c>
      <c r="H129" s="112">
        <f>VLOOKUP($E$3,'Housing Generation'!$A$3:$CK$90,79,FALSE)</f>
        <v>15</v>
      </c>
      <c r="I129" s="112">
        <f>VLOOKUP($E$3,'Housing Generation'!$A$3:$CK$90,80,FALSE)</f>
        <v>15</v>
      </c>
      <c r="J129" s="111">
        <f t="shared" si="21"/>
        <v>93</v>
      </c>
    </row>
    <row r="130" spans="2:10" ht="15" customHeight="1">
      <c r="B130" s="114">
        <v>2028</v>
      </c>
      <c r="C130" s="289" t="s">
        <v>97</v>
      </c>
      <c r="D130" s="112">
        <f>VLOOKUP($E$3,'Housing Generation'!$A$3:$CK$90,83,FALSE)</f>
        <v>16</v>
      </c>
      <c r="E130" s="112">
        <f>VLOOKUP($E$3,'Housing Generation'!$A$3:$CK$90,84,FALSE)</f>
        <v>16</v>
      </c>
      <c r="F130" s="112">
        <f>VLOOKUP($E$3,'Housing Generation'!$A$3:$CK$90,85,FALSE)</f>
        <v>16</v>
      </c>
      <c r="G130" s="112">
        <f>VLOOKUP($E$3,'Housing Generation'!$A$3:$CK$90,86,FALSE)</f>
        <v>15</v>
      </c>
      <c r="H130" s="112">
        <f>VLOOKUP($E$3,'Housing Generation'!$A$3:$CK$90,87,FALSE)</f>
        <v>15</v>
      </c>
      <c r="I130" s="112">
        <f>VLOOKUP($E$3,'Housing Generation'!$A$3:$CK$90,88,FALSE)</f>
        <v>15</v>
      </c>
      <c r="J130" s="111">
        <f t="shared" si="21"/>
        <v>93</v>
      </c>
    </row>
    <row r="131" spans="2:10" ht="15" customHeight="1">
      <c r="B131" s="114">
        <v>2029</v>
      </c>
      <c r="C131" s="289" t="s">
        <v>97</v>
      </c>
      <c r="D131" s="112">
        <f>VLOOKUP($E$3,'Housing Generation'!$A$3:$DQ$90,91,FALSE)</f>
        <v>17</v>
      </c>
      <c r="E131" s="112">
        <f>VLOOKUP($E$3,'Housing Generation'!$A$3:$DQ$90,92,FALSE)</f>
        <v>17</v>
      </c>
      <c r="F131" s="112">
        <f>VLOOKUP($E$3,'Housing Generation'!$A$3:$DQ$90,93,FALSE)</f>
        <v>16</v>
      </c>
      <c r="G131" s="112">
        <f>VLOOKUP($E$3,'Housing Generation'!$A$3:$DQ$90,94,FALSE)</f>
        <v>16</v>
      </c>
      <c r="H131" s="112">
        <f>VLOOKUP($E$3,'Housing Generation'!$A$3:$DQ$90,95,FALSE)</f>
        <v>16</v>
      </c>
      <c r="I131" s="112">
        <f>VLOOKUP($E$3,'Housing Generation'!$A$3:$DQ$90,96,FALSE)</f>
        <v>16</v>
      </c>
      <c r="J131" s="111">
        <f t="shared" si="21"/>
        <v>98</v>
      </c>
    </row>
    <row r="132" spans="2:10" ht="15" customHeight="1">
      <c r="B132" s="114">
        <v>2030</v>
      </c>
      <c r="C132" s="289" t="s">
        <v>97</v>
      </c>
      <c r="D132" s="112">
        <f>VLOOKUP($E$3,'Housing Generation'!$A$3:$DQ$90,99,FALSE)</f>
        <v>18</v>
      </c>
      <c r="E132" s="112">
        <f>VLOOKUP($E$3,'Housing Generation'!$A$3:$DQ$90,100,FALSE)</f>
        <v>17</v>
      </c>
      <c r="F132" s="112">
        <f>VLOOKUP($E$3,'Housing Generation'!$A$3:$DQ$90,101,FALSE)</f>
        <v>17</v>
      </c>
      <c r="G132" s="112">
        <f>VLOOKUP($E$3,'Housing Generation'!$A$3:$DQ$90,102,FALSE)</f>
        <v>17</v>
      </c>
      <c r="H132" s="112">
        <f>VLOOKUP($E$3,'Housing Generation'!$A$3:$DQ$90,103,FALSE)</f>
        <v>17</v>
      </c>
      <c r="I132" s="112">
        <f>VLOOKUP($E$3,'Housing Generation'!$A$3:$DQ$90,104,FALSE)</f>
        <v>17</v>
      </c>
      <c r="J132" s="111">
        <f t="shared" si="21"/>
        <v>103</v>
      </c>
    </row>
    <row r="133" spans="2:10" ht="15" customHeight="1">
      <c r="B133" s="114">
        <v>2031</v>
      </c>
      <c r="C133" s="289" t="s">
        <v>97</v>
      </c>
      <c r="D133" s="112">
        <f>VLOOKUP($E$3,'Housing Generation'!$A$3:$DQ$90,107,FALSE)</f>
        <v>18</v>
      </c>
      <c r="E133" s="112">
        <f>VLOOKUP($E$3,'Housing Generation'!$A$3:$DQ$90,108,FALSE)</f>
        <v>18</v>
      </c>
      <c r="F133" s="112">
        <f>VLOOKUP($E$3,'Housing Generation'!$A$3:$DQ$90,109,FALSE)</f>
        <v>18</v>
      </c>
      <c r="G133" s="112">
        <f>VLOOKUP($E$3,'Housing Generation'!$A$3:$DQ$90,110,FALSE)</f>
        <v>18</v>
      </c>
      <c r="H133" s="112">
        <f>VLOOKUP($E$3,'Housing Generation'!$A$3:$DQ$90,111,FALSE)</f>
        <v>18</v>
      </c>
      <c r="I133" s="112">
        <f>VLOOKUP($E$3,'Housing Generation'!$A$3:$DQ$90,112,FALSE)</f>
        <v>18</v>
      </c>
      <c r="J133" s="111">
        <f t="shared" si="21"/>
        <v>108</v>
      </c>
    </row>
    <row r="134" spans="2:10" ht="15" customHeight="1">
      <c r="B134" s="114">
        <v>2032</v>
      </c>
      <c r="C134" s="289" t="s">
        <v>97</v>
      </c>
      <c r="D134" s="112">
        <f>VLOOKUP($E$3,'Housing Generation'!$A$3:$DQ$90,115,FALSE)</f>
        <v>19</v>
      </c>
      <c r="E134" s="112">
        <f>VLOOKUP($E$3,'Housing Generation'!$A$3:$DQ$90,116,FALSE)</f>
        <v>19</v>
      </c>
      <c r="F134" s="112">
        <f>VLOOKUP($E$3,'Housing Generation'!$A$3:$DQ$90,117,FALSE)</f>
        <v>19</v>
      </c>
      <c r="G134" s="112">
        <f>VLOOKUP($E$3,'Housing Generation'!$A$3:$DQ$90,118,FALSE)</f>
        <v>19</v>
      </c>
      <c r="H134" s="112">
        <f>VLOOKUP($E$3,'Housing Generation'!$A$3:$DQ$90,119,FALSE)</f>
        <v>19</v>
      </c>
      <c r="I134" s="112">
        <f>VLOOKUP($E$3,'Housing Generation'!$A$3:$DQ$90,120,FALSE)</f>
        <v>19</v>
      </c>
      <c r="J134" s="111">
        <f t="shared" si="21"/>
        <v>114</v>
      </c>
    </row>
    <row r="135" spans="2:10" ht="15"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Queensferry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64.240163934426235</v>
      </c>
      <c r="D139" s="112">
        <f t="shared" ref="D139:I152" si="23">D121+D103</f>
        <v>71</v>
      </c>
      <c r="E139" s="112">
        <f t="shared" si="23"/>
        <v>71</v>
      </c>
      <c r="F139" s="112">
        <f t="shared" si="23"/>
        <v>66</v>
      </c>
      <c r="G139" s="112">
        <f t="shared" si="23"/>
        <v>64</v>
      </c>
      <c r="H139" s="112">
        <f t="shared" si="23"/>
        <v>62</v>
      </c>
      <c r="I139" s="112">
        <f t="shared" si="23"/>
        <v>67</v>
      </c>
      <c r="J139" s="111">
        <f t="shared" ref="J139:J147" si="24">SUM(C139:I139)</f>
        <v>465.24016393442622</v>
      </c>
    </row>
    <row r="140" spans="2:10" ht="15" customHeight="1">
      <c r="B140" s="114">
        <v>2020</v>
      </c>
      <c r="C140" s="113">
        <f t="shared" si="22"/>
        <v>63.324867405978786</v>
      </c>
      <c r="D140" s="112">
        <f t="shared" si="23"/>
        <v>65</v>
      </c>
      <c r="E140" s="112">
        <f t="shared" si="23"/>
        <v>72</v>
      </c>
      <c r="F140" s="112">
        <f t="shared" si="23"/>
        <v>71</v>
      </c>
      <c r="G140" s="112">
        <f t="shared" si="23"/>
        <v>67</v>
      </c>
      <c r="H140" s="112">
        <f t="shared" si="23"/>
        <v>62</v>
      </c>
      <c r="I140" s="112">
        <f t="shared" si="23"/>
        <v>62</v>
      </c>
      <c r="J140" s="111">
        <f t="shared" si="24"/>
        <v>462.32486740597881</v>
      </c>
    </row>
    <row r="141" spans="2:10" ht="15" customHeight="1">
      <c r="B141" s="114">
        <v>2021</v>
      </c>
      <c r="C141" s="113">
        <f t="shared" si="22"/>
        <v>66</v>
      </c>
      <c r="D141" s="112">
        <f t="shared" si="23"/>
        <v>64</v>
      </c>
      <c r="E141" s="112">
        <f t="shared" si="23"/>
        <v>69</v>
      </c>
      <c r="F141" s="112">
        <f t="shared" si="23"/>
        <v>75</v>
      </c>
      <c r="G141" s="112">
        <f t="shared" si="23"/>
        <v>75</v>
      </c>
      <c r="H141" s="112">
        <f t="shared" si="23"/>
        <v>68</v>
      </c>
      <c r="I141" s="112">
        <f t="shared" si="23"/>
        <v>65</v>
      </c>
      <c r="J141" s="111">
        <f t="shared" si="24"/>
        <v>482</v>
      </c>
    </row>
    <row r="142" spans="2:10" ht="15" customHeight="1">
      <c r="B142" s="114">
        <v>2022</v>
      </c>
      <c r="C142" s="113">
        <f t="shared" si="22"/>
        <v>78.884908389585348</v>
      </c>
      <c r="D142" s="112">
        <f t="shared" si="23"/>
        <v>67</v>
      </c>
      <c r="E142" s="112">
        <f t="shared" si="23"/>
        <v>68</v>
      </c>
      <c r="F142" s="112">
        <f t="shared" si="23"/>
        <v>72</v>
      </c>
      <c r="G142" s="112">
        <f t="shared" si="23"/>
        <v>79</v>
      </c>
      <c r="H142" s="112">
        <f t="shared" si="23"/>
        <v>77</v>
      </c>
      <c r="I142" s="112">
        <f t="shared" si="23"/>
        <v>72</v>
      </c>
      <c r="J142" s="111">
        <f t="shared" si="24"/>
        <v>513.88490838958535</v>
      </c>
    </row>
    <row r="143" spans="2:10" ht="15" customHeight="1">
      <c r="B143" s="114">
        <v>2023</v>
      </c>
      <c r="C143" s="113">
        <f t="shared" si="22"/>
        <v>75</v>
      </c>
      <c r="D143" s="112">
        <f t="shared" si="23"/>
        <v>80</v>
      </c>
      <c r="E143" s="112">
        <f t="shared" si="23"/>
        <v>70</v>
      </c>
      <c r="F143" s="112">
        <f t="shared" si="23"/>
        <v>70</v>
      </c>
      <c r="G143" s="112">
        <f t="shared" si="23"/>
        <v>74</v>
      </c>
      <c r="H143" s="112">
        <f t="shared" si="23"/>
        <v>79</v>
      </c>
      <c r="I143" s="112">
        <f t="shared" si="23"/>
        <v>78</v>
      </c>
      <c r="J143" s="111">
        <f t="shared" si="24"/>
        <v>526</v>
      </c>
    </row>
    <row r="144" spans="2:10" ht="15" customHeight="1">
      <c r="B144" s="114">
        <v>2024</v>
      </c>
      <c r="C144" s="113">
        <f t="shared" si="22"/>
        <v>78.884908389585348</v>
      </c>
      <c r="D144" s="112">
        <f t="shared" si="23"/>
        <v>75</v>
      </c>
      <c r="E144" s="112">
        <f t="shared" si="23"/>
        <v>82</v>
      </c>
      <c r="F144" s="112">
        <f t="shared" si="23"/>
        <v>71</v>
      </c>
      <c r="G144" s="112">
        <f t="shared" si="23"/>
        <v>72</v>
      </c>
      <c r="H144" s="112">
        <f t="shared" si="23"/>
        <v>75</v>
      </c>
      <c r="I144" s="112">
        <f t="shared" si="23"/>
        <v>81</v>
      </c>
      <c r="J144" s="111">
        <f t="shared" si="24"/>
        <v>534.88490838958535</v>
      </c>
    </row>
    <row r="145" spans="2:16" ht="15" customHeight="1">
      <c r="B145" s="114">
        <v>2025</v>
      </c>
      <c r="C145" s="113">
        <f t="shared" si="22"/>
        <v>80.715501446480232</v>
      </c>
      <c r="D145" s="112">
        <f t="shared" si="23"/>
        <v>80</v>
      </c>
      <c r="E145" s="112">
        <f t="shared" si="23"/>
        <v>78</v>
      </c>
      <c r="F145" s="112">
        <f t="shared" si="23"/>
        <v>84</v>
      </c>
      <c r="G145" s="112">
        <f t="shared" si="23"/>
        <v>74</v>
      </c>
      <c r="H145" s="112">
        <f t="shared" si="23"/>
        <v>72</v>
      </c>
      <c r="I145" s="112">
        <f t="shared" si="23"/>
        <v>76</v>
      </c>
      <c r="J145" s="111">
        <f t="shared" si="24"/>
        <v>544.71550144648018</v>
      </c>
    </row>
    <row r="146" spans="2:16" ht="15" customHeight="1">
      <c r="B146" s="114">
        <v>2026</v>
      </c>
      <c r="C146" s="113">
        <f t="shared" si="22"/>
        <v>83.461391031822572</v>
      </c>
      <c r="D146" s="112">
        <f t="shared" si="23"/>
        <v>82</v>
      </c>
      <c r="E146" s="112">
        <f t="shared" si="23"/>
        <v>82</v>
      </c>
      <c r="F146" s="112">
        <f t="shared" si="23"/>
        <v>79</v>
      </c>
      <c r="G146" s="112">
        <f t="shared" si="23"/>
        <v>86</v>
      </c>
      <c r="H146" s="112">
        <f t="shared" si="23"/>
        <v>74</v>
      </c>
      <c r="I146" s="112">
        <f t="shared" si="23"/>
        <v>74</v>
      </c>
      <c r="J146" s="111">
        <f t="shared" si="24"/>
        <v>560.46139103182259</v>
      </c>
    </row>
    <row r="147" spans="2:16" ht="15" customHeight="1">
      <c r="B147" s="114">
        <v>2027</v>
      </c>
      <c r="C147" s="113">
        <f t="shared" si="22"/>
        <v>84.376687560270014</v>
      </c>
      <c r="D147" s="112">
        <f t="shared" si="23"/>
        <v>85</v>
      </c>
      <c r="E147" s="112">
        <f t="shared" si="23"/>
        <v>84</v>
      </c>
      <c r="F147" s="112">
        <f t="shared" si="23"/>
        <v>84</v>
      </c>
      <c r="G147" s="112">
        <f t="shared" si="23"/>
        <v>81</v>
      </c>
      <c r="H147" s="112">
        <f t="shared" si="23"/>
        <v>86</v>
      </c>
      <c r="I147" s="112">
        <f t="shared" si="23"/>
        <v>75</v>
      </c>
      <c r="J147" s="111">
        <f t="shared" si="24"/>
        <v>579.37668756027006</v>
      </c>
    </row>
    <row r="148" spans="2:16" ht="15" customHeight="1">
      <c r="B148" s="114">
        <v>2028</v>
      </c>
      <c r="C148" s="113">
        <f t="shared" si="22"/>
        <v>84.376687560270014</v>
      </c>
      <c r="D148" s="112">
        <f t="shared" si="23"/>
        <v>86</v>
      </c>
      <c r="E148" s="112">
        <f t="shared" si="23"/>
        <v>86</v>
      </c>
      <c r="F148" s="112">
        <f t="shared" si="23"/>
        <v>84</v>
      </c>
      <c r="G148" s="112">
        <f t="shared" si="23"/>
        <v>84</v>
      </c>
      <c r="H148" s="112">
        <f t="shared" si="23"/>
        <v>80</v>
      </c>
      <c r="I148" s="112">
        <f t="shared" si="23"/>
        <v>86</v>
      </c>
      <c r="J148" s="111">
        <f t="shared" ref="J148:J152" si="25">SUM(C148:I148)</f>
        <v>590.37668756027006</v>
      </c>
    </row>
    <row r="149" spans="2:16" ht="15" customHeight="1">
      <c r="B149" s="114">
        <v>2029</v>
      </c>
      <c r="C149" s="113">
        <f t="shared" si="22"/>
        <v>85.291984088717456</v>
      </c>
      <c r="D149" s="112">
        <f t="shared" si="23"/>
        <v>86</v>
      </c>
      <c r="E149" s="112">
        <f t="shared" si="23"/>
        <v>88</v>
      </c>
      <c r="F149" s="112">
        <f t="shared" si="23"/>
        <v>86</v>
      </c>
      <c r="G149" s="112">
        <f t="shared" si="23"/>
        <v>85</v>
      </c>
      <c r="H149" s="112">
        <f t="shared" si="23"/>
        <v>84</v>
      </c>
      <c r="I149" s="112">
        <f t="shared" si="23"/>
        <v>81</v>
      </c>
      <c r="J149" s="111">
        <f t="shared" si="25"/>
        <v>595.29198408871753</v>
      </c>
    </row>
    <row r="150" spans="2:16" ht="15" customHeight="1">
      <c r="B150" s="114">
        <v>2030</v>
      </c>
      <c r="C150" s="113">
        <f t="shared" si="22"/>
        <v>86.207280617164898</v>
      </c>
      <c r="D150" s="112">
        <f t="shared" si="23"/>
        <v>87</v>
      </c>
      <c r="E150" s="112">
        <f t="shared" si="23"/>
        <v>87</v>
      </c>
      <c r="F150" s="112">
        <f t="shared" si="23"/>
        <v>88</v>
      </c>
      <c r="G150" s="112">
        <f t="shared" si="23"/>
        <v>88</v>
      </c>
      <c r="H150" s="112">
        <f t="shared" si="23"/>
        <v>85</v>
      </c>
      <c r="I150" s="112">
        <f t="shared" si="23"/>
        <v>85</v>
      </c>
      <c r="J150" s="111">
        <f t="shared" si="25"/>
        <v>606.20728061716488</v>
      </c>
    </row>
    <row r="151" spans="2:16" ht="15" customHeight="1">
      <c r="B151" s="114">
        <v>2031</v>
      </c>
      <c r="C151" s="113">
        <f t="shared" si="22"/>
        <v>87.12257714561234</v>
      </c>
      <c r="D151" s="112">
        <f t="shared" si="23"/>
        <v>87</v>
      </c>
      <c r="E151" s="112">
        <f t="shared" si="23"/>
        <v>88</v>
      </c>
      <c r="F151" s="112">
        <f t="shared" si="23"/>
        <v>88</v>
      </c>
      <c r="G151" s="112">
        <f t="shared" si="23"/>
        <v>90</v>
      </c>
      <c r="H151" s="112">
        <f t="shared" si="23"/>
        <v>88</v>
      </c>
      <c r="I151" s="112">
        <f t="shared" si="23"/>
        <v>86</v>
      </c>
      <c r="J151" s="111">
        <f t="shared" si="25"/>
        <v>614.12257714561235</v>
      </c>
    </row>
    <row r="152" spans="2:16" ht="15" customHeight="1">
      <c r="B152" s="114">
        <v>2032</v>
      </c>
      <c r="C152" s="113">
        <f t="shared" si="22"/>
        <v>87.12257714561234</v>
      </c>
      <c r="D152" s="112">
        <f t="shared" si="23"/>
        <v>89</v>
      </c>
      <c r="E152" s="112">
        <f t="shared" si="23"/>
        <v>89</v>
      </c>
      <c r="F152" s="112">
        <f t="shared" si="23"/>
        <v>89</v>
      </c>
      <c r="G152" s="112">
        <f t="shared" si="23"/>
        <v>90</v>
      </c>
      <c r="H152" s="112">
        <f t="shared" si="23"/>
        <v>90</v>
      </c>
      <c r="I152" s="112">
        <f t="shared" si="23"/>
        <v>89</v>
      </c>
      <c r="J152" s="111">
        <f t="shared" si="25"/>
        <v>623.12257714561235</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465.24016393442622</v>
      </c>
      <c r="D159" s="108">
        <f>J140</f>
        <v>462.32486740597881</v>
      </c>
      <c r="E159" s="108">
        <f>J141</f>
        <v>482</v>
      </c>
      <c r="F159" s="108">
        <f>J142</f>
        <v>513.88490838958535</v>
      </c>
      <c r="G159" s="108">
        <f>J143</f>
        <v>526</v>
      </c>
      <c r="H159" s="108">
        <f>J144</f>
        <v>534.88490838958535</v>
      </c>
      <c r="I159" s="108">
        <f>J145</f>
        <v>544.71550144648018</v>
      </c>
      <c r="J159" s="108">
        <f>J146</f>
        <v>560.46139103182259</v>
      </c>
      <c r="K159" s="108">
        <f>J147</f>
        <v>579.37668756027006</v>
      </c>
      <c r="L159" s="108">
        <f>J148</f>
        <v>590.37668756027006</v>
      </c>
      <c r="M159" s="108">
        <f>J149</f>
        <v>595.29198408871753</v>
      </c>
      <c r="N159" s="108">
        <f>J150</f>
        <v>606.20728061716488</v>
      </c>
      <c r="O159" s="108">
        <f>J151</f>
        <v>614.12257714561235</v>
      </c>
      <c r="P159" s="108">
        <f>J152</f>
        <v>623.12257714561235</v>
      </c>
    </row>
    <row r="160" spans="2:16" ht="15" customHeight="1">
      <c r="B160" s="107" t="s">
        <v>152</v>
      </c>
      <c r="C160" s="106">
        <f>VLOOKUP(C159,Capacity!$A$1:$C$645,2,TRUE)</f>
        <v>17</v>
      </c>
      <c r="D160" s="106">
        <f>VLOOKUP(D159,Capacity!$A$1:$C$645,2,TRUE)</f>
        <v>16</v>
      </c>
      <c r="E160" s="106">
        <f>VLOOKUP(E159,Capacity!$A$1:$C$645,2,TRUE)</f>
        <v>18</v>
      </c>
      <c r="F160" s="106">
        <f>VLOOKUP(F159,Capacity!$A$1:$C$645,2,TRUE)</f>
        <v>19</v>
      </c>
      <c r="G160" s="106">
        <f>VLOOKUP(G159,Capacity!$A$1:$C$645,2,TRUE)</f>
        <v>19</v>
      </c>
      <c r="H160" s="106">
        <f>VLOOKUP(H159,Capacity!$A$1:$C$645,2,TRUE)</f>
        <v>19</v>
      </c>
      <c r="I160" s="106">
        <f>VLOOKUP(I159,Capacity!$A$1:$C$645,2,TRUE)</f>
        <v>19</v>
      </c>
      <c r="J160" s="106">
        <f>VLOOKUP(J159,Capacity!$A$1:$C$645,2,TRUE)</f>
        <v>20</v>
      </c>
      <c r="K160" s="106">
        <f>VLOOKUP(K159,Capacity!$A$1:$C$645,2,TRUE)</f>
        <v>21</v>
      </c>
      <c r="L160" s="106">
        <f>VLOOKUP(L159,Capacity!$A$1:$C$645,2,TRUE)</f>
        <v>21</v>
      </c>
      <c r="M160" s="106">
        <f>VLOOKUP(M159,Capacity!$A$1:$C$645,2,TRUE)</f>
        <v>21</v>
      </c>
      <c r="N160" s="106">
        <f>VLOOKUP(N159,Capacity!$A$1:$C$645,2,TRUE)</f>
        <v>21</v>
      </c>
      <c r="O160" s="106">
        <f>VLOOKUP(O159,Capacity!$A$1:$C$645,2,TRUE)</f>
        <v>21</v>
      </c>
      <c r="P160" s="106">
        <f>VLOOKUP(P159,Capacity!$A$1:$C$645,2,TRUE)</f>
        <v>21</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82</v>
      </c>
      <c r="D169" s="97">
        <f>VLOOKUP($E$3,'Catchment Births'!$A$1:$U$90,11,FALSE)</f>
        <v>66</v>
      </c>
      <c r="E169" s="97">
        <f>VLOOKUP($E$3,'Catchment Births'!$A$1:$U$90,12,FALSE)</f>
        <v>88</v>
      </c>
      <c r="F169" s="97">
        <f>VLOOKUP($E$3,'Catchment Births'!$A$1:$U$90,13,FALSE)</f>
        <v>87</v>
      </c>
      <c r="G169" s="97">
        <f>VLOOKUP($E$3,'Catchment Births'!$A$1:$U$90,14,FALSE)</f>
        <v>73</v>
      </c>
      <c r="H169" s="97">
        <f>VLOOKUP($E$3,'Catchment Births'!$A$1:$U$90,15,FALSE)</f>
        <v>66</v>
      </c>
      <c r="I169" s="97">
        <f>VLOOKUP($E$3,'Catchment Births'!$A$1:$U$90,16,FALSE)</f>
        <v>64</v>
      </c>
      <c r="J169" s="97">
        <f>VLOOKUP($E$3,'Catchment Births'!$A$1:$U$90,17,FALSE)</f>
        <v>63</v>
      </c>
      <c r="K169" s="97">
        <f>VLOOKUP($E$3,'Catchment Births'!$A$1:$U$90,18,FALSE)</f>
        <v>53</v>
      </c>
      <c r="L169" s="97">
        <f>VLOOKUP($E$3,'Catchment Births'!$A$1:$U$90,19,FALSE)</f>
        <v>60</v>
      </c>
      <c r="M169" s="97">
        <f>VLOOKUP($E$3,'Catchment Births'!$A$1:$U$90,20,FALSE)</f>
        <v>60</v>
      </c>
      <c r="N169" s="97">
        <f>VLOOKUP($E$3,'Catchment Births'!$A$1:$U$90,21,FALSE)</f>
        <v>59</v>
      </c>
    </row>
    <row r="170" spans="2:14" ht="58.5" customHeight="1">
      <c r="B170" s="103" t="str">
        <f>"P1 "&amp;A35&amp;" Catchment Population (Actual)"</f>
        <v>P1 ND Catchment Population (Actual)</v>
      </c>
      <c r="C170" s="102" t="e">
        <v>#REF!</v>
      </c>
      <c r="D170" s="102">
        <v>66</v>
      </c>
      <c r="E170" s="102">
        <v>59</v>
      </c>
      <c r="F170" s="102">
        <v>67</v>
      </c>
      <c r="G170" s="102">
        <v>69</v>
      </c>
      <c r="H170" s="102">
        <v>62</v>
      </c>
      <c r="I170" s="102">
        <v>67</v>
      </c>
      <c r="J170" s="308">
        <f>VLOOKUP(E3,'Catchment Projections'!A1:BU92,42,FALSE)</f>
        <v>61</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67</v>
      </c>
      <c r="J172" s="96" t="e">
        <f>#REF!</f>
        <v>#REF!</v>
      </c>
      <c r="K172" s="96">
        <f>D51</f>
        <v>68</v>
      </c>
      <c r="L172" s="96">
        <f>E51</f>
        <v>67</v>
      </c>
      <c r="M172" s="96">
        <f>F51</f>
        <v>72</v>
      </c>
      <c r="N172" s="96">
        <f>G51</f>
        <v>84</v>
      </c>
    </row>
    <row r="173" spans="2:14" ht="12.75">
      <c r="B173" s="62"/>
      <c r="C173" s="62"/>
      <c r="D173" s="62"/>
      <c r="E173" s="62"/>
      <c r="F173" s="62"/>
      <c r="G173" s="62"/>
      <c r="H173" s="62"/>
      <c r="I173" s="62"/>
      <c r="J173" s="62"/>
      <c r="K173" s="62"/>
    </row>
    <row r="174" spans="2:14" ht="15" customHeight="1">
      <c r="B174" s="64" t="str">
        <f>"Table 5: "&amp;E3&amp;" Roll by Stage, 2002-2018"</f>
        <v>Table 5: Queensferry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46</v>
      </c>
      <c r="D177" s="93">
        <v>40</v>
      </c>
      <c r="E177" s="93">
        <v>44</v>
      </c>
      <c r="F177" s="93">
        <v>39</v>
      </c>
      <c r="G177" s="93">
        <v>56</v>
      </c>
      <c r="H177" s="93">
        <v>51</v>
      </c>
      <c r="I177" s="93">
        <v>61</v>
      </c>
      <c r="J177" s="92">
        <v>337</v>
      </c>
      <c r="K177" s="62"/>
    </row>
    <row r="178" spans="2:11" ht="15" customHeight="1">
      <c r="B178" s="94">
        <v>2003</v>
      </c>
      <c r="C178" s="93">
        <v>33</v>
      </c>
      <c r="D178" s="93">
        <v>49</v>
      </c>
      <c r="E178" s="93">
        <v>41</v>
      </c>
      <c r="F178" s="93">
        <v>40</v>
      </c>
      <c r="G178" s="93">
        <v>42</v>
      </c>
      <c r="H178" s="93">
        <v>56</v>
      </c>
      <c r="I178" s="93">
        <v>48</v>
      </c>
      <c r="J178" s="92">
        <v>309</v>
      </c>
      <c r="K178" s="62"/>
    </row>
    <row r="179" spans="2:11" customFormat="1" ht="15" customHeight="1">
      <c r="B179" s="94">
        <v>2004</v>
      </c>
      <c r="C179" s="95">
        <v>43</v>
      </c>
      <c r="D179" s="95">
        <v>33</v>
      </c>
      <c r="E179" s="95">
        <v>49</v>
      </c>
      <c r="F179" s="95">
        <v>43</v>
      </c>
      <c r="G179" s="95">
        <v>38</v>
      </c>
      <c r="H179" s="95">
        <v>42</v>
      </c>
      <c r="I179" s="95">
        <v>56</v>
      </c>
      <c r="J179" s="92">
        <v>304</v>
      </c>
      <c r="K179" s="62"/>
    </row>
    <row r="180" spans="2:11" customFormat="1" ht="15" customHeight="1">
      <c r="B180" s="94">
        <v>2005</v>
      </c>
      <c r="C180" s="93">
        <v>44</v>
      </c>
      <c r="D180" s="93">
        <v>42</v>
      </c>
      <c r="E180" s="93">
        <v>35</v>
      </c>
      <c r="F180" s="93">
        <v>46</v>
      </c>
      <c r="G180" s="93">
        <v>42</v>
      </c>
      <c r="H180" s="93">
        <v>30</v>
      </c>
      <c r="I180" s="93">
        <v>42</v>
      </c>
      <c r="J180" s="92">
        <v>281</v>
      </c>
      <c r="K180" s="62"/>
    </row>
    <row r="181" spans="2:11" customFormat="1" ht="15" customHeight="1">
      <c r="B181" s="94">
        <v>2006</v>
      </c>
      <c r="C181" s="93">
        <v>47</v>
      </c>
      <c r="D181" s="93">
        <v>43</v>
      </c>
      <c r="E181" s="93">
        <v>43</v>
      </c>
      <c r="F181" s="93">
        <v>36</v>
      </c>
      <c r="G181" s="93">
        <v>47</v>
      </c>
      <c r="H181" s="93">
        <v>42</v>
      </c>
      <c r="I181" s="93">
        <v>31</v>
      </c>
      <c r="J181" s="92">
        <v>289</v>
      </c>
      <c r="K181" s="62"/>
    </row>
    <row r="182" spans="2:11" customFormat="1" ht="15" customHeight="1">
      <c r="B182" s="94">
        <v>2007</v>
      </c>
      <c r="C182" s="93">
        <v>47</v>
      </c>
      <c r="D182" s="93">
        <v>46</v>
      </c>
      <c r="E182" s="93">
        <v>40</v>
      </c>
      <c r="F182" s="93">
        <v>42</v>
      </c>
      <c r="G182" s="93">
        <v>32</v>
      </c>
      <c r="H182" s="93">
        <v>43</v>
      </c>
      <c r="I182" s="93">
        <v>39</v>
      </c>
      <c r="J182" s="92">
        <v>289</v>
      </c>
      <c r="K182" s="62"/>
    </row>
    <row r="183" spans="2:11" customFormat="1" ht="15" customHeight="1">
      <c r="B183" s="94">
        <v>2008</v>
      </c>
      <c r="C183" s="93">
        <v>54</v>
      </c>
      <c r="D183" s="93">
        <v>47</v>
      </c>
      <c r="E183" s="93">
        <v>44</v>
      </c>
      <c r="F183" s="93">
        <v>37</v>
      </c>
      <c r="G183" s="93">
        <v>39</v>
      </c>
      <c r="H183" s="93">
        <v>33</v>
      </c>
      <c r="I183" s="93">
        <v>42</v>
      </c>
      <c r="J183" s="92">
        <v>296</v>
      </c>
      <c r="K183" s="62"/>
    </row>
    <row r="184" spans="2:11" customFormat="1" ht="15" customHeight="1">
      <c r="B184" s="94">
        <v>2009</v>
      </c>
      <c r="C184" s="93">
        <v>63</v>
      </c>
      <c r="D184" s="93">
        <v>54</v>
      </c>
      <c r="E184" s="93">
        <v>45</v>
      </c>
      <c r="F184" s="93">
        <v>43</v>
      </c>
      <c r="G184" s="93">
        <v>40</v>
      </c>
      <c r="H184" s="93">
        <v>41</v>
      </c>
      <c r="I184" s="93">
        <v>33</v>
      </c>
      <c r="J184" s="94">
        <v>319</v>
      </c>
      <c r="K184" s="62"/>
    </row>
    <row r="185" spans="2:11" customFormat="1" ht="15" customHeight="1">
      <c r="B185" s="94">
        <v>2010</v>
      </c>
      <c r="C185" s="93">
        <v>55</v>
      </c>
      <c r="D185" s="93">
        <v>62</v>
      </c>
      <c r="E185" s="93">
        <v>53</v>
      </c>
      <c r="F185" s="93">
        <v>46</v>
      </c>
      <c r="G185" s="93">
        <v>46</v>
      </c>
      <c r="H185" s="93">
        <v>39</v>
      </c>
      <c r="I185" s="93">
        <v>40</v>
      </c>
      <c r="J185" s="92">
        <v>341</v>
      </c>
      <c r="K185" s="62"/>
    </row>
    <row r="186" spans="2:11" customFormat="1" ht="15" customHeight="1">
      <c r="B186" s="94">
        <v>2011</v>
      </c>
      <c r="C186" s="93">
        <v>52</v>
      </c>
      <c r="D186" s="93">
        <v>53</v>
      </c>
      <c r="E186" s="93">
        <v>58</v>
      </c>
      <c r="F186" s="93">
        <v>55</v>
      </c>
      <c r="G186" s="93">
        <v>47</v>
      </c>
      <c r="H186" s="93">
        <v>45</v>
      </c>
      <c r="I186" s="93">
        <v>38</v>
      </c>
      <c r="J186" s="92">
        <v>348</v>
      </c>
      <c r="K186" s="62"/>
    </row>
    <row r="187" spans="2:11" customFormat="1" ht="15" customHeight="1">
      <c r="B187" s="94">
        <v>2012</v>
      </c>
      <c r="C187" s="93">
        <v>60</v>
      </c>
      <c r="D187" s="93">
        <v>52</v>
      </c>
      <c r="E187" s="93">
        <v>55</v>
      </c>
      <c r="F187" s="93">
        <v>57</v>
      </c>
      <c r="G187" s="93">
        <v>53</v>
      </c>
      <c r="H187" s="93">
        <v>49</v>
      </c>
      <c r="I187" s="93">
        <v>44</v>
      </c>
      <c r="J187" s="92">
        <v>370</v>
      </c>
      <c r="K187" s="62"/>
    </row>
    <row r="188" spans="2:11" customFormat="1" ht="15" customHeight="1">
      <c r="B188" s="94">
        <v>2013</v>
      </c>
      <c r="C188" s="93">
        <v>60</v>
      </c>
      <c r="D188" s="93">
        <v>60</v>
      </c>
      <c r="E188" s="93">
        <v>55</v>
      </c>
      <c r="F188" s="93">
        <v>55</v>
      </c>
      <c r="G188" s="93">
        <v>58</v>
      </c>
      <c r="H188" s="93">
        <v>56</v>
      </c>
      <c r="I188" s="93">
        <v>51</v>
      </c>
      <c r="J188" s="94">
        <v>395</v>
      </c>
      <c r="K188" s="62"/>
    </row>
    <row r="189" spans="2:11" customFormat="1" ht="15" customHeight="1">
      <c r="B189" s="94">
        <v>2014</v>
      </c>
      <c r="C189" s="93">
        <v>57</v>
      </c>
      <c r="D189" s="93">
        <v>60</v>
      </c>
      <c r="E189" s="93">
        <v>60</v>
      </c>
      <c r="F189" s="93">
        <v>53</v>
      </c>
      <c r="G189" s="93">
        <v>56</v>
      </c>
      <c r="H189" s="93">
        <v>55</v>
      </c>
      <c r="I189" s="93">
        <v>57</v>
      </c>
      <c r="J189" s="92">
        <v>398</v>
      </c>
      <c r="K189" s="65"/>
    </row>
    <row r="190" spans="2:11" customFormat="1" ht="15" customHeight="1">
      <c r="B190" s="94">
        <v>2015</v>
      </c>
      <c r="C190" s="93">
        <v>57</v>
      </c>
      <c r="D190" s="93">
        <v>57</v>
      </c>
      <c r="E190" s="93">
        <v>60</v>
      </c>
      <c r="F190" s="93">
        <v>58</v>
      </c>
      <c r="G190" s="93">
        <v>54</v>
      </c>
      <c r="H190" s="93">
        <v>52</v>
      </c>
      <c r="I190" s="93">
        <v>52</v>
      </c>
      <c r="J190" s="92">
        <v>390</v>
      </c>
      <c r="K190" s="65"/>
    </row>
    <row r="191" spans="2:11" customFormat="1" ht="15" customHeight="1">
      <c r="B191" s="94">
        <v>2016</v>
      </c>
      <c r="C191" s="93">
        <v>59</v>
      </c>
      <c r="D191" s="93">
        <v>58</v>
      </c>
      <c r="E191" s="93">
        <v>59</v>
      </c>
      <c r="F191" s="93">
        <v>60</v>
      </c>
      <c r="G191" s="93">
        <v>60</v>
      </c>
      <c r="H191" s="93">
        <v>53</v>
      </c>
      <c r="I191" s="93">
        <v>52</v>
      </c>
      <c r="J191" s="92">
        <v>401</v>
      </c>
      <c r="K191" s="65"/>
    </row>
    <row r="192" spans="2:11" ht="15" customHeight="1">
      <c r="B192" s="94">
        <v>2017</v>
      </c>
      <c r="C192" s="93">
        <f>VLOOKUP($E$3,Rolls!A1:FA90,42,FALSE)</f>
        <v>66</v>
      </c>
      <c r="D192" s="93">
        <f>VLOOKUP($E$3,Rolls!A1:FA90,43,FALSE)</f>
        <v>63</v>
      </c>
      <c r="E192" s="93">
        <f>VLOOKUP($E$3,Rolls!A1:FA90,44,FALSE)</f>
        <v>59</v>
      </c>
      <c r="F192" s="93">
        <f>VLOOKUP($E$3,Rolls!A1:FA90,45,FALSE)</f>
        <v>63</v>
      </c>
      <c r="G192" s="93">
        <f>VLOOKUP($E$3,Rolls!A1:FA90,46,FALSE)</f>
        <v>63</v>
      </c>
      <c r="H192" s="93">
        <f>VLOOKUP($E$3,Rolls!A1:FA90,47,FALSE)</f>
        <v>65</v>
      </c>
      <c r="I192" s="93">
        <f>VLOOKUP($E$3,Rolls!A1:FA90,48,FALSE)</f>
        <v>55</v>
      </c>
      <c r="J192" s="92">
        <f>VLOOKUP($E$3,Rolls!A1:FA90,49,FALSE)</f>
        <v>434</v>
      </c>
      <c r="K192" s="65"/>
    </row>
    <row r="193" spans="2:11" ht="15" customHeight="1">
      <c r="B193" s="94">
        <v>2018</v>
      </c>
      <c r="C193" s="93">
        <f>VLOOKUP($E$3,Rolls!A1:FA90,50,FALSE)</f>
        <v>68</v>
      </c>
      <c r="D193" s="93">
        <f>VLOOKUP($E$3,Rolls!A1:FA90,51,FALSE)</f>
        <v>68</v>
      </c>
      <c r="E193" s="93">
        <f>VLOOKUP($E$3,Rolls!A1:FA90,52,FALSE)</f>
        <v>64</v>
      </c>
      <c r="F193" s="93">
        <f>VLOOKUP($E$3,Rolls!A1:FA90,53,FALSE)</f>
        <v>61</v>
      </c>
      <c r="G193" s="93">
        <f>VLOOKUP($E$3,Rolls!A1:FA90,54,FALSE)</f>
        <v>62</v>
      </c>
      <c r="H193" s="93">
        <f>VLOOKUP($E$3,Rolls!A1:FA90,55,FALSE)</f>
        <v>66</v>
      </c>
      <c r="I193" s="93">
        <f>VLOOKUP($E$3,Rolls!A1:FA90,56,FALSE)</f>
        <v>64</v>
      </c>
      <c r="J193" s="92">
        <f>VLOOKUP($E$3,Rolls!A1:FA90,57,FALSE)</f>
        <v>453</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59</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Ratho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294 Pupils (11 classes)</v>
      </c>
      <c r="G12" s="16"/>
      <c r="H12" s="16"/>
    </row>
    <row r="13" spans="2:10" ht="15" customHeight="1">
      <c r="C13" s="16"/>
      <c r="D13" s="16"/>
      <c r="E13" s="16"/>
      <c r="F13" s="16"/>
      <c r="G13" s="16"/>
      <c r="H13" s="16"/>
    </row>
    <row r="14" spans="2:10" ht="15" customHeight="1">
      <c r="B14" s="15" t="str">
        <f>"Figure 1: "&amp;E3&amp;" Roll, 2002-2015"</f>
        <v>Figure 1: Ratho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Ratho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51</v>
      </c>
      <c r="E49" s="108">
        <f>VLOOKUP($E$3,'Catchment Projections'!$A$1:$BU$90,46,FALSE)</f>
        <v>46</v>
      </c>
      <c r="F49" s="108">
        <f>VLOOKUP($E$3,'Catchment Projections'!$A$1:$BU$90,47,FALSE)</f>
        <v>44</v>
      </c>
      <c r="G49" s="108">
        <f>VLOOKUP($E$3,'Catchment Projections'!$A$1:$BU$90,48,FALSE)</f>
        <v>44</v>
      </c>
      <c r="H49" s="133">
        <f>VLOOKUP($E$3,'Catchment Projections'!$A$1:$BU$90,49,FALSE)</f>
        <v>45</v>
      </c>
      <c r="I49" s="133">
        <f>VLOOKUP($E$3,'Catchment Projections'!$A$1:$BU$90,50,FALSE)</f>
        <v>46</v>
      </c>
      <c r="J49" s="133">
        <f>VLOOKUP($E$3,'Catchment Projections'!$A$1:$BU$90,51,FALSE)</f>
        <v>47</v>
      </c>
      <c r="K49" s="133">
        <f>VLOOKUP($E$3,'Catchment Projections'!$A$1:$BU$90,52,FALSE)</f>
        <v>47</v>
      </c>
      <c r="L49" s="133">
        <f>VLOOKUP($E$3,'Catchment Projections'!$A$1:$BU$90,53,FALSE)</f>
        <v>47</v>
      </c>
      <c r="M49" s="133">
        <f>VLOOKUP($E$3,'Catchment Projections'!$A$1:$BU$90,54,FALSE)</f>
        <v>48</v>
      </c>
      <c r="N49" s="133">
        <f>VLOOKUP($E$3,'Catchment Projections'!$A$1:$BU$90,55,FALSE)</f>
        <v>48</v>
      </c>
      <c r="O49" s="133">
        <f>VLOOKUP($E$3,'Catchment Projections'!$A$1:$BU$90,56,FALSE)</f>
        <v>48</v>
      </c>
      <c r="P49" s="133">
        <f>VLOOKUP($E$3,'Catchment Projections'!$A$1:$BU$90,57,FALSE)</f>
        <v>48</v>
      </c>
      <c r="Q49" s="133">
        <f>VLOOKUP($E$3,'Catchment Projections'!$A$1:$BU$90,58,FALSE)</f>
        <v>48</v>
      </c>
    </row>
    <row r="50" spans="2:17" ht="15" customHeight="1" thickBot="1">
      <c r="B50" s="410" t="s">
        <v>141</v>
      </c>
      <c r="C50" s="411"/>
      <c r="D50" s="286">
        <f>VLOOKUP(E3,'Housing Generation'!$A$3:$DQ$90,10,FALSE)</f>
        <v>2</v>
      </c>
      <c r="E50" s="286">
        <f>VLOOKUP(E3,'Housing Generation'!$A$3:$DQ$90,18,FALSE)</f>
        <v>2</v>
      </c>
      <c r="F50" s="286">
        <f>VLOOKUP(E3,'Housing Generation'!$A$3:$DQ$90,26,FALSE)</f>
        <v>2</v>
      </c>
      <c r="G50" s="243">
        <f>VLOOKUP(E3,'Housing Generation'!$A$3:$DQ$90,34,FALSE)</f>
        <v>2</v>
      </c>
      <c r="H50" s="133">
        <f>VLOOKUP(E3,'Housing Generation'!$A$3:$DQ$90,42,FALSE)</f>
        <v>2</v>
      </c>
      <c r="I50" s="133">
        <f>VLOOKUP(E3,'Housing Generation'!$A$3:$DQ$90,50,FALSE)</f>
        <v>2</v>
      </c>
      <c r="J50" s="133">
        <f>VLOOKUP(E3,'Housing Generation'!$A$3:$CK$90,58,FALSE)</f>
        <v>2</v>
      </c>
      <c r="K50" s="133">
        <f>VLOOKUP(E3,'Housing Generation'!$A$3:$CK$90,66,FALSE)</f>
        <v>2</v>
      </c>
      <c r="L50" s="133">
        <f>VLOOKUP(E3,'Housing Generation'!$A$3:$DQ$90,74,FALSE)</f>
        <v>2</v>
      </c>
      <c r="M50" s="133">
        <f>VLOOKUP(E3,'Housing Generation'!$A$3:$DQ$90,82,FALSE)</f>
        <v>2</v>
      </c>
      <c r="N50" s="133">
        <f>VLOOKUP(E3,'Housing Generation'!$A$3:$DQ$90,90,FALSE)</f>
        <v>2</v>
      </c>
      <c r="O50" s="133">
        <f>VLOOKUP(E3,'Housing Generation'!$A$3:$DQ$90,98,FALSE)</f>
        <v>2</v>
      </c>
      <c r="P50" s="133">
        <f>VLOOKUP(E3,'Housing Generation'!$A$3:$DQ$90,106,FALSE)</f>
        <v>2</v>
      </c>
      <c r="Q50" s="133">
        <f>VLOOKUP(E3,'Housing Generation'!$A$3:$DQ$90,114,FALSE)</f>
        <v>2</v>
      </c>
    </row>
    <row r="51" spans="2:17" ht="15" customHeight="1" thickTop="1">
      <c r="B51" s="421" t="s">
        <v>130</v>
      </c>
      <c r="C51" s="422"/>
      <c r="D51" s="47">
        <f t="shared" ref="D51:Q51" si="0">SUM(D49:D50)</f>
        <v>53</v>
      </c>
      <c r="E51" s="47">
        <f t="shared" si="0"/>
        <v>48</v>
      </c>
      <c r="F51" s="80">
        <f t="shared" si="0"/>
        <v>46</v>
      </c>
      <c r="G51" s="244">
        <f t="shared" si="0"/>
        <v>46</v>
      </c>
      <c r="H51" s="71">
        <f t="shared" si="0"/>
        <v>47</v>
      </c>
      <c r="I51" s="71">
        <f t="shared" si="0"/>
        <v>48</v>
      </c>
      <c r="J51" s="71">
        <f t="shared" si="0"/>
        <v>49</v>
      </c>
      <c r="K51" s="71">
        <f t="shared" si="0"/>
        <v>49</v>
      </c>
      <c r="L51" s="71">
        <f t="shared" si="0"/>
        <v>49</v>
      </c>
      <c r="M51" s="71">
        <f t="shared" si="0"/>
        <v>50</v>
      </c>
      <c r="N51" s="71">
        <f t="shared" si="0"/>
        <v>50</v>
      </c>
      <c r="O51" s="71">
        <f t="shared" si="0"/>
        <v>50</v>
      </c>
      <c r="P51" s="71">
        <f t="shared" si="0"/>
        <v>50</v>
      </c>
      <c r="Q51" s="71">
        <f t="shared" si="0"/>
        <v>50</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42</v>
      </c>
      <c r="D60" s="358">
        <f>VLOOKUP($E$3,'Catchment Projections'!$A$1:$BZ$90,74,FALSE)</f>
        <v>40</v>
      </c>
      <c r="E60" s="303">
        <f>D60/C60</f>
        <v>0.95238095238095233</v>
      </c>
      <c r="G60" s="132">
        <v>2014</v>
      </c>
      <c r="H60" s="395">
        <f>VLOOKUP($G$60,$B$177:$C$215, 2, FALSE)</f>
        <v>43</v>
      </c>
      <c r="I60" s="120">
        <f>H60-D60</f>
        <v>3</v>
      </c>
      <c r="J60" s="121">
        <f>I60/H60</f>
        <v>6.9767441860465115E-2</v>
      </c>
    </row>
    <row r="61" spans="2:17" ht="15" customHeight="1">
      <c r="B61" s="132">
        <v>2015</v>
      </c>
      <c r="C61" s="359">
        <f>VLOOKUP($E$3,'Catchment Projections'!$A$1:$BZ$90,41,FALSE)</f>
        <v>25</v>
      </c>
      <c r="D61" s="358">
        <f>VLOOKUP($E$3,'Catchment Projections'!$A$1:$BZ$90,75,FALSE)</f>
        <v>25</v>
      </c>
      <c r="E61" s="303">
        <f>D61/C61</f>
        <v>1</v>
      </c>
      <c r="G61" s="132">
        <v>2015</v>
      </c>
      <c r="H61" s="395">
        <f>VLOOKUP($G$61,$B$177:$C$215, 2, FALSE)</f>
        <v>30</v>
      </c>
      <c r="I61" s="120">
        <f>H61-D61</f>
        <v>5</v>
      </c>
      <c r="J61" s="121">
        <f>I61/H61</f>
        <v>0.16666666666666666</v>
      </c>
    </row>
    <row r="62" spans="2:17" ht="15" customHeight="1">
      <c r="B62" s="131">
        <v>2016</v>
      </c>
      <c r="C62" s="359">
        <f>VLOOKUP($E$3,'Catchment Projections'!$A$1:$BZ$90,42,FALSE)</f>
        <v>38</v>
      </c>
      <c r="D62" s="358">
        <f>VLOOKUP($E$3,'Catchment Projections'!$A$1:$BZ$90,76,FALSE)</f>
        <v>37</v>
      </c>
      <c r="E62" s="57">
        <f>D62/C62</f>
        <v>0.97368421052631582</v>
      </c>
      <c r="G62" s="131">
        <v>2016</v>
      </c>
      <c r="H62" s="395">
        <f>VLOOKUP($G$62,$B$177:$C$215, 2, FALSE)</f>
        <v>40</v>
      </c>
      <c r="I62" s="120">
        <f>H62-D62</f>
        <v>3</v>
      </c>
      <c r="J62" s="121">
        <f>I62/H62</f>
        <v>7.4999999999999997E-2</v>
      </c>
    </row>
    <row r="63" spans="2:17" ht="15" customHeight="1">
      <c r="B63" s="114">
        <v>2017</v>
      </c>
      <c r="C63" s="359">
        <f>VLOOKUP($E$3,'Catchment Projections'!$A$1:$BZ$90,43,FALSE)</f>
        <v>34</v>
      </c>
      <c r="D63" s="358">
        <f>VLOOKUP($E$3,'Catchment Projections'!$A$1:$BZ$90,77,FALSE)</f>
        <v>34</v>
      </c>
      <c r="E63" s="304">
        <f>D63/C63</f>
        <v>1</v>
      </c>
      <c r="G63" s="114">
        <v>2017</v>
      </c>
      <c r="H63" s="395">
        <f>VLOOKUP($G$63,$B$177:$C$215, 2, FALSE)</f>
        <v>34</v>
      </c>
      <c r="I63" s="120">
        <f>H63-D63</f>
        <v>0</v>
      </c>
      <c r="J63" s="121">
        <f>I63/H63</f>
        <v>0</v>
      </c>
    </row>
    <row r="64" spans="2:17" ht="15" customHeight="1">
      <c r="B64" s="114">
        <v>2018</v>
      </c>
      <c r="C64" s="359">
        <f>VLOOKUP($E$3,'Catchment Projections'!$A$1:$BZ$90,44,FALSE)</f>
        <v>37</v>
      </c>
      <c r="D64" s="358">
        <f>VLOOKUP($E$3,'Catchment Projections'!$A$1:$BZ$90,78,FALSE)</f>
        <v>36</v>
      </c>
      <c r="E64" s="305">
        <f>D64/C64</f>
        <v>0.97297297297297303</v>
      </c>
      <c r="G64" s="114">
        <v>2018</v>
      </c>
      <c r="H64" s="395">
        <f>VLOOKUP($G$64,$B$177:$C$215, 2, FALSE)</f>
        <v>42</v>
      </c>
      <c r="I64" s="120">
        <f>H64-D64</f>
        <v>6</v>
      </c>
      <c r="J64" s="121">
        <f>I64/H64</f>
        <v>0.14285714285714285</v>
      </c>
    </row>
    <row r="65" spans="2:10" ht="15" customHeight="1">
      <c r="B65" s="412" t="s">
        <v>136</v>
      </c>
      <c r="C65" s="413"/>
      <c r="D65" s="414"/>
      <c r="E65" s="137">
        <f>IF((AVERAGE(E62:E64))="#DIV/0!","n/a",(AVERAGE(E62:E64)))</f>
        <v>0.98221906116642954</v>
      </c>
      <c r="G65" s="415" t="s">
        <v>137</v>
      </c>
      <c r="H65" s="416"/>
      <c r="I65" s="138">
        <f>MEDIAN(I60:I64)</f>
        <v>3</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53</v>
      </c>
      <c r="D70" s="408"/>
      <c r="E70" s="122">
        <f>E65</f>
        <v>0.98221906116642954</v>
      </c>
      <c r="F70" s="120">
        <f t="shared" ref="F70:F83" si="1">C70*$E$65</f>
        <v>52.057610241820768</v>
      </c>
      <c r="G70" s="118">
        <f>IF(F70&lt;26,25,IF(F70&gt;135,140,IF(F70&gt;130,135,IF(F70&gt;125,130,IF(F70&gt;120,125,IF(F70&gt;115,120,IF(F70&gt;110,115,IF(F70&gt;105,110,IF(F70&gt;100,105,IF(F70&gt;99,100,IF(F70&gt;90,99,IF(F70&gt;75,90,IF(F70&gt;72,75,IF(F70&gt;66,72,IF(F70&gt;60,66,IF(F70&gt;50,60,IF(F70&gt;30,50,IF(F70&gt;25,30,0))))))))))))))))))</f>
        <v>60</v>
      </c>
      <c r="H70" s="119">
        <f t="shared" ref="H70:H83" si="2">G70-F70</f>
        <v>7.9423897581792318</v>
      </c>
      <c r="I70" s="118" t="str">
        <f>IF(I$65&lt;H70, "NO", "YES")</f>
        <v>NO</v>
      </c>
      <c r="J70" s="117">
        <f t="shared" ref="J70:J83" si="3">IF(I70="YES",G70,(MIN((SUM(F70,$I$65)),G70)))</f>
        <v>55.057610241820768</v>
      </c>
    </row>
    <row r="71" spans="2:10" ht="15" customHeight="1">
      <c r="B71" s="114">
        <v>2020</v>
      </c>
      <c r="C71" s="433">
        <f>E51</f>
        <v>48</v>
      </c>
      <c r="D71" s="408"/>
      <c r="E71" s="121">
        <f>E65</f>
        <v>0.98221906116642954</v>
      </c>
      <c r="F71" s="120">
        <f t="shared" si="1"/>
        <v>47.14651493598862</v>
      </c>
      <c r="G71" s="118">
        <f t="shared" ref="G71:G83" si="4">IF(F71&lt;26,25,IF(F71&gt;135,140,IF(F71&gt;130,135,IF(F71&gt;125,130,IF(F71&gt;120,125,IF(F71&gt;115,120,IF(F71&gt;110,115,IF(F71&gt;105,110,IF(F71&gt;100,105,IF(F71&gt;99,100,IF(F71&gt;90,99,IF(F71&gt;75,90,IF(F71&gt;72,75,IF(F71&gt;66,72,IF(F71&gt;60,66,IF(F71&gt;50,60,IF(F71&gt;30,50,IF(F71&gt;25,30,0))))))))))))))))))</f>
        <v>50</v>
      </c>
      <c r="H71" s="119">
        <f t="shared" si="2"/>
        <v>2.8534850640113802</v>
      </c>
      <c r="I71" s="118" t="str">
        <f t="shared" ref="I71:I83" si="5">IF(I$65&lt;H71, "NO", "YES")</f>
        <v>YES</v>
      </c>
      <c r="J71" s="117">
        <f t="shared" si="3"/>
        <v>50</v>
      </c>
    </row>
    <row r="72" spans="2:10" ht="15" customHeight="1">
      <c r="B72" s="114">
        <v>2021</v>
      </c>
      <c r="C72" s="430">
        <f>F51</f>
        <v>46</v>
      </c>
      <c r="D72" s="431"/>
      <c r="E72" s="121">
        <f>E65</f>
        <v>0.98221906116642954</v>
      </c>
      <c r="F72" s="120">
        <f t="shared" si="1"/>
        <v>45.182076813655762</v>
      </c>
      <c r="G72" s="118">
        <f t="shared" si="4"/>
        <v>50</v>
      </c>
      <c r="H72" s="119">
        <f t="shared" si="2"/>
        <v>4.8179231863442382</v>
      </c>
      <c r="I72" s="118" t="str">
        <f t="shared" si="5"/>
        <v>NO</v>
      </c>
      <c r="J72" s="117">
        <f t="shared" si="3"/>
        <v>48.182076813655762</v>
      </c>
    </row>
    <row r="73" spans="2:10" ht="15" customHeight="1">
      <c r="B73" s="114">
        <v>2022</v>
      </c>
      <c r="C73" s="430">
        <f>G51</f>
        <v>46</v>
      </c>
      <c r="D73" s="431"/>
      <c r="E73" s="121">
        <f>E65</f>
        <v>0.98221906116642954</v>
      </c>
      <c r="F73" s="120">
        <f t="shared" si="1"/>
        <v>45.182076813655762</v>
      </c>
      <c r="G73" s="118">
        <f t="shared" si="4"/>
        <v>50</v>
      </c>
      <c r="H73" s="119">
        <f t="shared" si="2"/>
        <v>4.8179231863442382</v>
      </c>
      <c r="I73" s="118" t="str">
        <f t="shared" si="5"/>
        <v>NO</v>
      </c>
      <c r="J73" s="117">
        <f t="shared" si="3"/>
        <v>48.182076813655762</v>
      </c>
    </row>
    <row r="74" spans="2:10" ht="15" customHeight="1">
      <c r="B74" s="114">
        <v>2023</v>
      </c>
      <c r="C74" s="430">
        <f>H51</f>
        <v>47</v>
      </c>
      <c r="D74" s="431"/>
      <c r="E74" s="121">
        <f>E65</f>
        <v>0.98221906116642954</v>
      </c>
      <c r="F74" s="120">
        <f t="shared" si="1"/>
        <v>46.164295874822187</v>
      </c>
      <c r="G74" s="118">
        <f t="shared" si="4"/>
        <v>50</v>
      </c>
      <c r="H74" s="119">
        <f t="shared" si="2"/>
        <v>3.8357041251778128</v>
      </c>
      <c r="I74" s="118" t="str">
        <f t="shared" si="5"/>
        <v>NO</v>
      </c>
      <c r="J74" s="117">
        <f t="shared" si="3"/>
        <v>49.164295874822187</v>
      </c>
    </row>
    <row r="75" spans="2:10" ht="15" customHeight="1">
      <c r="B75" s="114">
        <v>2024</v>
      </c>
      <c r="C75" s="430">
        <f>I51</f>
        <v>48</v>
      </c>
      <c r="D75" s="431"/>
      <c r="E75" s="121">
        <f>E65</f>
        <v>0.98221906116642954</v>
      </c>
      <c r="F75" s="120">
        <f t="shared" si="1"/>
        <v>47.14651493598862</v>
      </c>
      <c r="G75" s="118">
        <f t="shared" si="4"/>
        <v>50</v>
      </c>
      <c r="H75" s="119">
        <f t="shared" si="2"/>
        <v>2.8534850640113802</v>
      </c>
      <c r="I75" s="118" t="str">
        <f t="shared" si="5"/>
        <v>YES</v>
      </c>
      <c r="J75" s="117">
        <f t="shared" si="3"/>
        <v>50</v>
      </c>
    </row>
    <row r="76" spans="2:10" ht="15" customHeight="1">
      <c r="B76" s="114">
        <v>2025</v>
      </c>
      <c r="C76" s="430">
        <f>J51</f>
        <v>49</v>
      </c>
      <c r="D76" s="431"/>
      <c r="E76" s="121">
        <f>E65</f>
        <v>0.98221906116642954</v>
      </c>
      <c r="F76" s="120">
        <f t="shared" si="1"/>
        <v>48.128733997155045</v>
      </c>
      <c r="G76" s="118">
        <f t="shared" si="4"/>
        <v>50</v>
      </c>
      <c r="H76" s="119">
        <f t="shared" si="2"/>
        <v>1.8712660028449548</v>
      </c>
      <c r="I76" s="118" t="str">
        <f t="shared" si="5"/>
        <v>YES</v>
      </c>
      <c r="J76" s="117">
        <f t="shared" si="3"/>
        <v>50</v>
      </c>
    </row>
    <row r="77" spans="2:10" ht="15" customHeight="1">
      <c r="B77" s="114">
        <v>2026</v>
      </c>
      <c r="C77" s="430">
        <f>K51</f>
        <v>49</v>
      </c>
      <c r="D77" s="431"/>
      <c r="E77" s="121">
        <f>E65</f>
        <v>0.98221906116642954</v>
      </c>
      <c r="F77" s="120">
        <f t="shared" si="1"/>
        <v>48.128733997155045</v>
      </c>
      <c r="G77" s="118">
        <f t="shared" si="4"/>
        <v>50</v>
      </c>
      <c r="H77" s="119">
        <f t="shared" si="2"/>
        <v>1.8712660028449548</v>
      </c>
      <c r="I77" s="118" t="str">
        <f t="shared" si="5"/>
        <v>YES</v>
      </c>
      <c r="J77" s="117">
        <f t="shared" si="3"/>
        <v>50</v>
      </c>
    </row>
    <row r="78" spans="2:10" ht="15" customHeight="1">
      <c r="B78" s="114">
        <v>2027</v>
      </c>
      <c r="C78" s="430">
        <f>L51</f>
        <v>49</v>
      </c>
      <c r="D78" s="431"/>
      <c r="E78" s="121">
        <f>E65</f>
        <v>0.98221906116642954</v>
      </c>
      <c r="F78" s="120">
        <f t="shared" si="1"/>
        <v>48.128733997155045</v>
      </c>
      <c r="G78" s="118">
        <f t="shared" si="4"/>
        <v>50</v>
      </c>
      <c r="H78" s="119">
        <f t="shared" si="2"/>
        <v>1.8712660028449548</v>
      </c>
      <c r="I78" s="118" t="str">
        <f t="shared" si="5"/>
        <v>YES</v>
      </c>
      <c r="J78" s="117">
        <f t="shared" si="3"/>
        <v>50</v>
      </c>
    </row>
    <row r="79" spans="2:10" ht="15" customHeight="1">
      <c r="B79" s="114">
        <v>2028</v>
      </c>
      <c r="C79" s="430">
        <f>M51</f>
        <v>50</v>
      </c>
      <c r="D79" s="431"/>
      <c r="E79" s="121">
        <f t="shared" ref="E79:E83" si="6">$E$65</f>
        <v>0.98221906116642954</v>
      </c>
      <c r="F79" s="120">
        <f t="shared" si="1"/>
        <v>49.110953058321478</v>
      </c>
      <c r="G79" s="118">
        <f t="shared" si="4"/>
        <v>50</v>
      </c>
      <c r="H79" s="119">
        <f t="shared" si="2"/>
        <v>0.88904694167852227</v>
      </c>
      <c r="I79" s="118" t="str">
        <f t="shared" si="5"/>
        <v>YES</v>
      </c>
      <c r="J79" s="117">
        <f t="shared" si="3"/>
        <v>50</v>
      </c>
    </row>
    <row r="80" spans="2:10" ht="15" customHeight="1">
      <c r="B80" s="114">
        <v>2029</v>
      </c>
      <c r="C80" s="430">
        <f>N51</f>
        <v>50</v>
      </c>
      <c r="D80" s="431"/>
      <c r="E80" s="121">
        <f t="shared" si="6"/>
        <v>0.98221906116642954</v>
      </c>
      <c r="F80" s="120">
        <f t="shared" si="1"/>
        <v>49.110953058321478</v>
      </c>
      <c r="G80" s="118">
        <f t="shared" si="4"/>
        <v>50</v>
      </c>
      <c r="H80" s="119">
        <f t="shared" si="2"/>
        <v>0.88904694167852227</v>
      </c>
      <c r="I80" s="118" t="str">
        <f t="shared" si="5"/>
        <v>YES</v>
      </c>
      <c r="J80" s="117">
        <f t="shared" si="3"/>
        <v>50</v>
      </c>
    </row>
    <row r="81" spans="2:10" ht="15" customHeight="1">
      <c r="B81" s="114">
        <v>2030</v>
      </c>
      <c r="C81" s="430">
        <f>O51</f>
        <v>50</v>
      </c>
      <c r="D81" s="431"/>
      <c r="E81" s="121">
        <f t="shared" si="6"/>
        <v>0.98221906116642954</v>
      </c>
      <c r="F81" s="120">
        <f t="shared" si="1"/>
        <v>49.110953058321478</v>
      </c>
      <c r="G81" s="118">
        <f t="shared" si="4"/>
        <v>50</v>
      </c>
      <c r="H81" s="119">
        <f t="shared" si="2"/>
        <v>0.88904694167852227</v>
      </c>
      <c r="I81" s="118" t="str">
        <f t="shared" si="5"/>
        <v>YES</v>
      </c>
      <c r="J81" s="117">
        <f t="shared" si="3"/>
        <v>50</v>
      </c>
    </row>
    <row r="82" spans="2:10" ht="15" customHeight="1">
      <c r="B82" s="114">
        <v>2031</v>
      </c>
      <c r="C82" s="430">
        <f>P51</f>
        <v>50</v>
      </c>
      <c r="D82" s="431"/>
      <c r="E82" s="121">
        <f t="shared" si="6"/>
        <v>0.98221906116642954</v>
      </c>
      <c r="F82" s="120">
        <f t="shared" si="1"/>
        <v>49.110953058321478</v>
      </c>
      <c r="G82" s="118">
        <f t="shared" si="4"/>
        <v>50</v>
      </c>
      <c r="H82" s="119">
        <f t="shared" si="2"/>
        <v>0.88904694167852227</v>
      </c>
      <c r="I82" s="118" t="str">
        <f t="shared" si="5"/>
        <v>YES</v>
      </c>
      <c r="J82" s="117">
        <f t="shared" si="3"/>
        <v>50</v>
      </c>
    </row>
    <row r="83" spans="2:10" ht="15" customHeight="1">
      <c r="B83" s="114">
        <v>2032</v>
      </c>
      <c r="C83" s="430">
        <f>Q51</f>
        <v>50</v>
      </c>
      <c r="D83" s="431"/>
      <c r="E83" s="121">
        <f t="shared" si="6"/>
        <v>0.98221906116642954</v>
      </c>
      <c r="F83" s="120">
        <f t="shared" si="1"/>
        <v>49.110953058321478</v>
      </c>
      <c r="G83" s="118">
        <f t="shared" si="4"/>
        <v>50</v>
      </c>
      <c r="H83" s="119">
        <f t="shared" si="2"/>
        <v>0.88904694167852227</v>
      </c>
      <c r="I83" s="118" t="str">
        <f t="shared" si="5"/>
        <v>YES</v>
      </c>
      <c r="J83" s="117">
        <f t="shared" si="3"/>
        <v>50</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Ratho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23</v>
      </c>
      <c r="D91" s="112">
        <f t="shared" ref="D91:J91" si="7">D188</f>
        <v>24</v>
      </c>
      <c r="E91" s="112">
        <f t="shared" si="7"/>
        <v>18</v>
      </c>
      <c r="F91" s="112">
        <f t="shared" si="7"/>
        <v>18</v>
      </c>
      <c r="G91" s="112">
        <f t="shared" si="7"/>
        <v>19</v>
      </c>
      <c r="H91" s="112">
        <f t="shared" si="7"/>
        <v>14</v>
      </c>
      <c r="I91" s="112">
        <f t="shared" si="7"/>
        <v>19</v>
      </c>
      <c r="J91" s="213">
        <f t="shared" si="7"/>
        <v>135</v>
      </c>
    </row>
    <row r="92" spans="2:10" ht="15" customHeight="1">
      <c r="B92" s="114">
        <v>2014</v>
      </c>
      <c r="C92" s="112">
        <f>C189</f>
        <v>43</v>
      </c>
      <c r="D92" s="112">
        <f t="shared" ref="D92:J92" si="8">D189</f>
        <v>25</v>
      </c>
      <c r="E92" s="112">
        <f t="shared" si="8"/>
        <v>25</v>
      </c>
      <c r="F92" s="112">
        <f t="shared" si="8"/>
        <v>18</v>
      </c>
      <c r="G92" s="112">
        <f t="shared" si="8"/>
        <v>18</v>
      </c>
      <c r="H92" s="112">
        <f t="shared" si="8"/>
        <v>19</v>
      </c>
      <c r="I92" s="112">
        <f t="shared" si="8"/>
        <v>17</v>
      </c>
      <c r="J92" s="213">
        <f t="shared" si="8"/>
        <v>165</v>
      </c>
    </row>
    <row r="93" spans="2:10" ht="15" customHeight="1">
      <c r="B93" s="114">
        <v>2015</v>
      </c>
      <c r="C93" s="112">
        <f>C190</f>
        <v>30</v>
      </c>
      <c r="D93" s="112">
        <f t="shared" ref="D93:J93" si="9">D190</f>
        <v>41</v>
      </c>
      <c r="E93" s="112">
        <f t="shared" si="9"/>
        <v>24</v>
      </c>
      <c r="F93" s="112">
        <f t="shared" si="9"/>
        <v>29</v>
      </c>
      <c r="G93" s="112">
        <f t="shared" si="9"/>
        <v>20</v>
      </c>
      <c r="H93" s="112">
        <f t="shared" si="9"/>
        <v>20</v>
      </c>
      <c r="I93" s="112">
        <f t="shared" si="9"/>
        <v>19</v>
      </c>
      <c r="J93" s="213">
        <f t="shared" si="9"/>
        <v>183</v>
      </c>
    </row>
    <row r="94" spans="2:10" ht="15" customHeight="1">
      <c r="B94" s="114">
        <v>2016</v>
      </c>
      <c r="C94" s="112">
        <f>C191</f>
        <v>40</v>
      </c>
      <c r="D94" s="112">
        <f t="shared" ref="D94:J94" si="10">D191</f>
        <v>35</v>
      </c>
      <c r="E94" s="112">
        <f t="shared" si="10"/>
        <v>42</v>
      </c>
      <c r="F94" s="112">
        <f t="shared" si="10"/>
        <v>26</v>
      </c>
      <c r="G94" s="112">
        <f t="shared" si="10"/>
        <v>34</v>
      </c>
      <c r="H94" s="112">
        <f t="shared" si="10"/>
        <v>20</v>
      </c>
      <c r="I94" s="112">
        <f t="shared" si="10"/>
        <v>23</v>
      </c>
      <c r="J94" s="213">
        <f t="shared" si="10"/>
        <v>220</v>
      </c>
    </row>
    <row r="95" spans="2:10" ht="15" customHeight="1">
      <c r="B95" s="114">
        <v>2017</v>
      </c>
      <c r="C95" s="112">
        <f>C192</f>
        <v>34</v>
      </c>
      <c r="D95" s="112">
        <f t="shared" ref="D95:J95" si="11">D192</f>
        <v>39</v>
      </c>
      <c r="E95" s="112">
        <f t="shared" si="11"/>
        <v>35</v>
      </c>
      <c r="F95" s="112">
        <f t="shared" si="11"/>
        <v>45</v>
      </c>
      <c r="G95" s="112">
        <f t="shared" si="11"/>
        <v>25</v>
      </c>
      <c r="H95" s="112">
        <f t="shared" si="11"/>
        <v>31</v>
      </c>
      <c r="I95" s="112">
        <f t="shared" si="11"/>
        <v>21</v>
      </c>
      <c r="J95" s="213">
        <f t="shared" si="11"/>
        <v>230</v>
      </c>
    </row>
    <row r="96" spans="2:10" ht="15" customHeight="1">
      <c r="B96" s="307">
        <v>2018</v>
      </c>
      <c r="C96" s="112">
        <f t="shared" ref="C96:J96" si="12">C193</f>
        <v>42</v>
      </c>
      <c r="D96" s="112">
        <f t="shared" si="12"/>
        <v>38</v>
      </c>
      <c r="E96" s="112">
        <f t="shared" si="12"/>
        <v>43</v>
      </c>
      <c r="F96" s="112">
        <f t="shared" si="12"/>
        <v>35</v>
      </c>
      <c r="G96" s="112">
        <f t="shared" si="12"/>
        <v>47</v>
      </c>
      <c r="H96" s="112">
        <f t="shared" si="12"/>
        <v>25</v>
      </c>
      <c r="I96" s="112">
        <f t="shared" si="12"/>
        <v>33</v>
      </c>
      <c r="J96" s="213">
        <f t="shared" si="12"/>
        <v>263</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-8.6956521739130432E-2</v>
      </c>
      <c r="E98" s="210">
        <f t="shared" ref="E98:I98" si="13">MEDIAN(((D91-E92)/D91),((D92-E93)/D92),((D93-E94)/D93),((D94-E95)/D94),((D95-E96)/D95))</f>
        <v>-2.4390243902439025E-2</v>
      </c>
      <c r="F98" s="210">
        <f t="shared" si="13"/>
        <v>-7.1428571428571425E-2</v>
      </c>
      <c r="G98" s="210">
        <f t="shared" si="13"/>
        <v>-4.4444444444444446E-2</v>
      </c>
      <c r="H98" s="210">
        <f t="shared" si="13"/>
        <v>0</v>
      </c>
      <c r="I98" s="210">
        <f t="shared" si="13"/>
        <v>-6.4516129032258063E-2</v>
      </c>
    </row>
    <row r="99" spans="2:10" ht="18.75">
      <c r="B99" s="59"/>
      <c r="C99" s="60"/>
      <c r="D99" s="61"/>
      <c r="E99" s="61"/>
      <c r="F99" s="61"/>
      <c r="G99" s="61"/>
      <c r="H99" s="61"/>
      <c r="I99" s="61"/>
      <c r="J99" s="58"/>
    </row>
    <row r="100" spans="2:10">
      <c r="B100" s="15" t="str">
        <f>"Table 4B: "&amp;E3&amp;" Projected Roll by Stage (incorporating Projected P1 and Drop-Off Rates), 2019-2032"</f>
        <v>Table 4B: Ratho Primary School Projected Roll by Stage (incorporating Projected P1 and Drop-Off Rates), 2019-2032</v>
      </c>
      <c r="F100" s="14"/>
      <c r="G100" s="14"/>
    </row>
    <row r="101" spans="2:10" ht="12.75">
      <c r="F101" s="14"/>
      <c r="G101" s="14"/>
    </row>
    <row r="102" spans="2:10">
      <c r="B102" s="115"/>
      <c r="C102" s="109" t="s">
        <v>1</v>
      </c>
      <c r="D102" s="109" t="s">
        <v>2</v>
      </c>
      <c r="E102" s="109" t="s">
        <v>3</v>
      </c>
      <c r="F102" s="109" t="s">
        <v>4</v>
      </c>
      <c r="G102" s="109" t="s">
        <v>5</v>
      </c>
      <c r="H102" s="109" t="s">
        <v>6</v>
      </c>
      <c r="I102" s="109" t="s">
        <v>7</v>
      </c>
      <c r="J102" s="109" t="s">
        <v>8</v>
      </c>
    </row>
    <row r="103" spans="2:10">
      <c r="B103" s="114">
        <v>2019</v>
      </c>
      <c r="C103" s="113">
        <f t="shared" ref="C103:C116" si="14">J70</f>
        <v>55.057610241820768</v>
      </c>
      <c r="D103" s="324">
        <f>ROUND((C96)-(C96*$D$98),0)</f>
        <v>46</v>
      </c>
      <c r="E103" s="324">
        <f>ROUND((D96)-(D96*$E$98),0)</f>
        <v>39</v>
      </c>
      <c r="F103" s="324">
        <f>ROUND((E96)-(E96*$F$98),0)</f>
        <v>46</v>
      </c>
      <c r="G103" s="324">
        <f>ROUND((F96)-(F96*$G$98),0)</f>
        <v>37</v>
      </c>
      <c r="H103" s="324">
        <f>ROUND((G96)-(G96*$H$98),0)</f>
        <v>47</v>
      </c>
      <c r="I103" s="324">
        <f>ROUND((H96)-(H96*$I$98),0)</f>
        <v>27</v>
      </c>
      <c r="J103" s="111">
        <f t="shared" ref="J103:J116" si="15">SUM(C103:I103)</f>
        <v>297.05761024182078</v>
      </c>
    </row>
    <row r="104" spans="2:10">
      <c r="B104" s="114">
        <v>2020</v>
      </c>
      <c r="C104" s="113">
        <f t="shared" si="14"/>
        <v>50</v>
      </c>
      <c r="D104" s="324">
        <f>ROUND((C103-E50)-(C103*$D$98),0)</f>
        <v>58</v>
      </c>
      <c r="E104" s="112">
        <f t="shared" ref="E104:E116" si="16">ROUND((D103)-(D103*$E$98),0)</f>
        <v>47</v>
      </c>
      <c r="F104" s="112">
        <f t="shared" ref="F104:F116" si="17">ROUND((E103)-(E103*$F$98),0)</f>
        <v>42</v>
      </c>
      <c r="G104" s="112">
        <f t="shared" ref="G104:G116" si="18">ROUND((F103)-(F103*$G$98),0)</f>
        <v>48</v>
      </c>
      <c r="H104" s="112">
        <f t="shared" ref="H104:H116" si="19">ROUND((G103)-(G103*$H$98),0)</f>
        <v>37</v>
      </c>
      <c r="I104" s="112">
        <f t="shared" ref="I104:I116" si="20">ROUND((H103)-(H103*$I$98),0)</f>
        <v>50</v>
      </c>
      <c r="J104" s="111">
        <f t="shared" si="15"/>
        <v>332</v>
      </c>
    </row>
    <row r="105" spans="2:10">
      <c r="B105" s="114">
        <v>2021</v>
      </c>
      <c r="C105" s="113">
        <f t="shared" si="14"/>
        <v>48.182076813655762</v>
      </c>
      <c r="D105" s="324">
        <f>ROUND((C104-F50)-(C104*$D$98),0)</f>
        <v>52</v>
      </c>
      <c r="E105" s="112">
        <f t="shared" si="16"/>
        <v>59</v>
      </c>
      <c r="F105" s="112">
        <f t="shared" si="17"/>
        <v>50</v>
      </c>
      <c r="G105" s="112">
        <f t="shared" si="18"/>
        <v>44</v>
      </c>
      <c r="H105" s="112">
        <f t="shared" si="19"/>
        <v>48</v>
      </c>
      <c r="I105" s="112">
        <f t="shared" si="20"/>
        <v>39</v>
      </c>
      <c r="J105" s="111">
        <f t="shared" si="15"/>
        <v>340.18207681365573</v>
      </c>
    </row>
    <row r="106" spans="2:10">
      <c r="B106" s="114">
        <v>2022</v>
      </c>
      <c r="C106" s="113">
        <f t="shared" si="14"/>
        <v>48.182076813655762</v>
      </c>
      <c r="D106" s="324">
        <f>ROUND((C105-G50)-(C105*$D$98),0)</f>
        <v>50</v>
      </c>
      <c r="E106" s="112">
        <f t="shared" si="16"/>
        <v>53</v>
      </c>
      <c r="F106" s="112">
        <f t="shared" si="17"/>
        <v>63</v>
      </c>
      <c r="G106" s="112">
        <f t="shared" si="18"/>
        <v>52</v>
      </c>
      <c r="H106" s="112">
        <f t="shared" si="19"/>
        <v>44</v>
      </c>
      <c r="I106" s="112">
        <f t="shared" si="20"/>
        <v>51</v>
      </c>
      <c r="J106" s="111">
        <f t="shared" si="15"/>
        <v>361.18207681365573</v>
      </c>
    </row>
    <row r="107" spans="2:10">
      <c r="B107" s="114">
        <v>2023</v>
      </c>
      <c r="C107" s="113">
        <f t="shared" si="14"/>
        <v>49.164295874822187</v>
      </c>
      <c r="D107" s="324">
        <f>ROUND((C106-H50)-(C106*$D$98),0)</f>
        <v>50</v>
      </c>
      <c r="E107" s="112">
        <f t="shared" si="16"/>
        <v>51</v>
      </c>
      <c r="F107" s="112">
        <f t="shared" si="17"/>
        <v>57</v>
      </c>
      <c r="G107" s="112">
        <f t="shared" si="18"/>
        <v>66</v>
      </c>
      <c r="H107" s="112">
        <f t="shared" si="19"/>
        <v>52</v>
      </c>
      <c r="I107" s="112">
        <f t="shared" si="20"/>
        <v>47</v>
      </c>
      <c r="J107" s="111">
        <f t="shared" si="15"/>
        <v>372.16429587482219</v>
      </c>
    </row>
    <row r="108" spans="2:10">
      <c r="B108" s="114">
        <v>2024</v>
      </c>
      <c r="C108" s="113">
        <f t="shared" si="14"/>
        <v>50</v>
      </c>
      <c r="D108" s="324">
        <f>ROUND((C107-I50)-(C107*$D$98),0)</f>
        <v>51</v>
      </c>
      <c r="E108" s="112">
        <f t="shared" si="16"/>
        <v>51</v>
      </c>
      <c r="F108" s="112">
        <f t="shared" si="17"/>
        <v>55</v>
      </c>
      <c r="G108" s="112">
        <f t="shared" si="18"/>
        <v>60</v>
      </c>
      <c r="H108" s="112">
        <f t="shared" si="19"/>
        <v>66</v>
      </c>
      <c r="I108" s="112">
        <f t="shared" si="20"/>
        <v>55</v>
      </c>
      <c r="J108" s="111">
        <f t="shared" si="15"/>
        <v>388</v>
      </c>
    </row>
    <row r="109" spans="2:10">
      <c r="B109" s="114">
        <v>2025</v>
      </c>
      <c r="C109" s="113">
        <f t="shared" si="14"/>
        <v>50</v>
      </c>
      <c r="D109" s="324">
        <f>ROUND((C108-J50)-(C108*$D$98),0)</f>
        <v>52</v>
      </c>
      <c r="E109" s="112">
        <f t="shared" si="16"/>
        <v>52</v>
      </c>
      <c r="F109" s="112">
        <f t="shared" si="17"/>
        <v>55</v>
      </c>
      <c r="G109" s="112">
        <f t="shared" si="18"/>
        <v>57</v>
      </c>
      <c r="H109" s="112">
        <f t="shared" si="19"/>
        <v>60</v>
      </c>
      <c r="I109" s="112">
        <f t="shared" si="20"/>
        <v>70</v>
      </c>
      <c r="J109" s="111">
        <f t="shared" si="15"/>
        <v>396</v>
      </c>
    </row>
    <row r="110" spans="2:10">
      <c r="B110" s="114">
        <v>2026</v>
      </c>
      <c r="C110" s="113">
        <f t="shared" si="14"/>
        <v>50</v>
      </c>
      <c r="D110" s="324">
        <f>ROUND((C109-K50)-(C109*$D$98),0)</f>
        <v>52</v>
      </c>
      <c r="E110" s="112">
        <f t="shared" si="16"/>
        <v>53</v>
      </c>
      <c r="F110" s="112">
        <f t="shared" si="17"/>
        <v>56</v>
      </c>
      <c r="G110" s="112">
        <f t="shared" si="18"/>
        <v>57</v>
      </c>
      <c r="H110" s="112">
        <f t="shared" si="19"/>
        <v>57</v>
      </c>
      <c r="I110" s="112">
        <f t="shared" si="20"/>
        <v>64</v>
      </c>
      <c r="J110" s="111">
        <f t="shared" si="15"/>
        <v>389</v>
      </c>
    </row>
    <row r="111" spans="2:10">
      <c r="B111" s="114">
        <v>2027</v>
      </c>
      <c r="C111" s="113">
        <f t="shared" si="14"/>
        <v>50</v>
      </c>
      <c r="D111" s="324">
        <f>ROUND((C110-L50)-(C110*$D$98),0)</f>
        <v>52</v>
      </c>
      <c r="E111" s="112">
        <f t="shared" si="16"/>
        <v>53</v>
      </c>
      <c r="F111" s="112">
        <f t="shared" si="17"/>
        <v>57</v>
      </c>
      <c r="G111" s="112">
        <f t="shared" si="18"/>
        <v>58</v>
      </c>
      <c r="H111" s="112">
        <f t="shared" si="19"/>
        <v>57</v>
      </c>
      <c r="I111" s="112">
        <f t="shared" si="20"/>
        <v>61</v>
      </c>
      <c r="J111" s="111">
        <f t="shared" si="15"/>
        <v>388</v>
      </c>
    </row>
    <row r="112" spans="2:10">
      <c r="B112" s="114">
        <v>2028</v>
      </c>
      <c r="C112" s="113">
        <f t="shared" si="14"/>
        <v>50</v>
      </c>
      <c r="D112" s="324">
        <f>ROUND((C111-M50)-(C111*$D$98),0)</f>
        <v>52</v>
      </c>
      <c r="E112" s="112">
        <f t="shared" si="16"/>
        <v>53</v>
      </c>
      <c r="F112" s="112">
        <f t="shared" si="17"/>
        <v>57</v>
      </c>
      <c r="G112" s="112">
        <f t="shared" si="18"/>
        <v>60</v>
      </c>
      <c r="H112" s="112">
        <f t="shared" si="19"/>
        <v>58</v>
      </c>
      <c r="I112" s="112">
        <f t="shared" si="20"/>
        <v>61</v>
      </c>
      <c r="J112" s="111">
        <f t="shared" si="15"/>
        <v>391</v>
      </c>
    </row>
    <row r="113" spans="2:10" ht="15" customHeight="1">
      <c r="B113" s="114">
        <v>2029</v>
      </c>
      <c r="C113" s="113">
        <f t="shared" si="14"/>
        <v>50</v>
      </c>
      <c r="D113" s="324">
        <f>ROUND((C112-N50)-(C112*$D$98),0)</f>
        <v>52</v>
      </c>
      <c r="E113" s="112">
        <f t="shared" si="16"/>
        <v>53</v>
      </c>
      <c r="F113" s="112">
        <f t="shared" si="17"/>
        <v>57</v>
      </c>
      <c r="G113" s="112">
        <f t="shared" si="18"/>
        <v>60</v>
      </c>
      <c r="H113" s="112">
        <f t="shared" si="19"/>
        <v>60</v>
      </c>
      <c r="I113" s="112">
        <f t="shared" si="20"/>
        <v>62</v>
      </c>
      <c r="J113" s="111">
        <f t="shared" si="15"/>
        <v>394</v>
      </c>
    </row>
    <row r="114" spans="2:10" ht="15" customHeight="1">
      <c r="B114" s="114">
        <v>2030</v>
      </c>
      <c r="C114" s="113">
        <f t="shared" si="14"/>
        <v>50</v>
      </c>
      <c r="D114" s="324">
        <f>ROUND((C113-O50)-(C113*$D$98),0)</f>
        <v>52</v>
      </c>
      <c r="E114" s="112">
        <f t="shared" si="16"/>
        <v>53</v>
      </c>
      <c r="F114" s="112">
        <f t="shared" si="17"/>
        <v>57</v>
      </c>
      <c r="G114" s="112">
        <f t="shared" si="18"/>
        <v>60</v>
      </c>
      <c r="H114" s="112">
        <f t="shared" si="19"/>
        <v>60</v>
      </c>
      <c r="I114" s="112">
        <f t="shared" si="20"/>
        <v>64</v>
      </c>
      <c r="J114" s="111">
        <f t="shared" si="15"/>
        <v>396</v>
      </c>
    </row>
    <row r="115" spans="2:10" ht="15" customHeight="1">
      <c r="B115" s="114">
        <v>2031</v>
      </c>
      <c r="C115" s="113">
        <f t="shared" si="14"/>
        <v>50</v>
      </c>
      <c r="D115" s="324">
        <f>ROUND((C114-P50)-(C114*$D$98),0)</f>
        <v>52</v>
      </c>
      <c r="E115" s="112">
        <f t="shared" si="16"/>
        <v>53</v>
      </c>
      <c r="F115" s="112">
        <f t="shared" si="17"/>
        <v>57</v>
      </c>
      <c r="G115" s="112">
        <f t="shared" si="18"/>
        <v>60</v>
      </c>
      <c r="H115" s="112">
        <f t="shared" si="19"/>
        <v>60</v>
      </c>
      <c r="I115" s="112">
        <f t="shared" si="20"/>
        <v>64</v>
      </c>
      <c r="J115" s="111">
        <f t="shared" si="15"/>
        <v>396</v>
      </c>
    </row>
    <row r="116" spans="2:10" ht="15" customHeight="1">
      <c r="B116" s="114">
        <v>2032</v>
      </c>
      <c r="C116" s="113">
        <f t="shared" si="14"/>
        <v>50</v>
      </c>
      <c r="D116" s="324">
        <f>ROUND((C115-Q50)-(C115*$D$98),0)</f>
        <v>52</v>
      </c>
      <c r="E116" s="112">
        <f t="shared" si="16"/>
        <v>53</v>
      </c>
      <c r="F116" s="112">
        <f t="shared" si="17"/>
        <v>57</v>
      </c>
      <c r="G116" s="112">
        <f t="shared" si="18"/>
        <v>60</v>
      </c>
      <c r="H116" s="112">
        <f t="shared" si="19"/>
        <v>60</v>
      </c>
      <c r="I116" s="112">
        <f t="shared" si="20"/>
        <v>64</v>
      </c>
      <c r="J116" s="111">
        <f t="shared" si="15"/>
        <v>396</v>
      </c>
    </row>
    <row r="117" spans="2:10" ht="15" hidden="1" customHeight="1">
      <c r="F117" s="14"/>
      <c r="G117" s="14"/>
    </row>
    <row r="118" spans="2:10" ht="15" hidden="1" customHeight="1">
      <c r="B118" s="15" t="str">
        <f>"Table 4C: "&amp;E3&amp;" Projected Pupil Generation from Housing Development, 2019-2032"</f>
        <v>Table 4C: Ratho Primary School Projected Pupil Generation from Housing Development, 2019-2032</v>
      </c>
      <c r="F118" s="14"/>
      <c r="G118" s="14"/>
    </row>
    <row r="119" spans="2:10" ht="15" hidden="1" customHeight="1">
      <c r="F119" s="14"/>
      <c r="G119" s="14"/>
    </row>
    <row r="120" spans="2:10" ht="15" hidden="1" customHeight="1">
      <c r="B120" s="115"/>
      <c r="C120" s="109" t="s">
        <v>1</v>
      </c>
      <c r="D120" s="109" t="s">
        <v>2</v>
      </c>
      <c r="E120" s="109" t="s">
        <v>3</v>
      </c>
      <c r="F120" s="109" t="s">
        <v>4</v>
      </c>
      <c r="G120" s="109" t="s">
        <v>5</v>
      </c>
      <c r="H120" s="109" t="s">
        <v>6</v>
      </c>
      <c r="I120" s="109" t="s">
        <v>7</v>
      </c>
      <c r="J120" s="109" t="s">
        <v>8</v>
      </c>
    </row>
    <row r="121" spans="2:10" ht="15" hidden="1" customHeight="1">
      <c r="B121" s="114">
        <v>2019</v>
      </c>
      <c r="C121" s="116" t="s">
        <v>97</v>
      </c>
      <c r="D121" s="112">
        <f>VLOOKUP($E$3,'Housing Generation'!$A$3:$BE$90,11,FALSE)</f>
        <v>1</v>
      </c>
      <c r="E121" s="112">
        <f>VLOOKUP($E$3,'Housing Generation'!$A$3:$BE$90,12,FALSE)</f>
        <v>1</v>
      </c>
      <c r="F121" s="112">
        <f>VLOOKUP($E$3,'Housing Generation'!$A$3:$BE$90,13,FALSE)</f>
        <v>1</v>
      </c>
      <c r="G121" s="112">
        <f>VLOOKUP($E$3,'Housing Generation'!$A$3:$BE$90,14,FALSE)</f>
        <v>1</v>
      </c>
      <c r="H121" s="112">
        <f>VLOOKUP($E$3,'Housing Generation'!$A$3:$BE$90,15,FALSE)</f>
        <v>1</v>
      </c>
      <c r="I121" s="112">
        <f>VLOOKUP($E$3,'Housing Generation'!$A$3:$BE$90,16,FALSE)</f>
        <v>1</v>
      </c>
      <c r="J121" s="111">
        <f t="shared" ref="J121:J134" si="21">SUM(D121:I121)</f>
        <v>6</v>
      </c>
    </row>
    <row r="122" spans="2:10" ht="15" hidden="1" customHeight="1">
      <c r="B122" s="114">
        <v>2020</v>
      </c>
      <c r="C122" s="116" t="s">
        <v>97</v>
      </c>
      <c r="D122" s="112">
        <f>VLOOKUP($E$3,'Housing Generation'!$A$3:$BE$90,19,FALSE)</f>
        <v>2</v>
      </c>
      <c r="E122" s="112">
        <f>VLOOKUP($E$3,'Housing Generation'!$A$3:$BE$90,20,FALSE)</f>
        <v>2</v>
      </c>
      <c r="F122" s="112">
        <f>VLOOKUP($E$3,'Housing Generation'!$A$3:$BE$90,21,FALSE)</f>
        <v>2</v>
      </c>
      <c r="G122" s="112">
        <f>VLOOKUP($E$3,'Housing Generation'!$A$3:$BE$90,22,FALSE)</f>
        <v>1</v>
      </c>
      <c r="H122" s="112">
        <f>VLOOKUP($E$3,'Housing Generation'!$A$3:$BE$90,23,FALSE)</f>
        <v>1</v>
      </c>
      <c r="I122" s="112">
        <f>VLOOKUP($E$3,'Housing Generation'!$A$3:$BE$90,24,FALSE)</f>
        <v>1</v>
      </c>
      <c r="J122" s="111">
        <f t="shared" si="21"/>
        <v>9</v>
      </c>
    </row>
    <row r="123" spans="2:10" ht="15" hidden="1" customHeight="1">
      <c r="B123" s="114">
        <v>2021</v>
      </c>
      <c r="C123" s="116" t="s">
        <v>97</v>
      </c>
      <c r="D123" s="112">
        <f>VLOOKUP($E$3,'Housing Generation'!$A$3:$BE$90,27,FALSE)</f>
        <v>2</v>
      </c>
      <c r="E123" s="112">
        <f>VLOOKUP($E$3,'Housing Generation'!$A$3:$BE$90,28,FALSE)</f>
        <v>2</v>
      </c>
      <c r="F123" s="112">
        <f>VLOOKUP($E$3,'Housing Generation'!$A$3:$BE$90,29,FALSE)</f>
        <v>2</v>
      </c>
      <c r="G123" s="112">
        <f>VLOOKUP($E$3,'Housing Generation'!$A$3:$BE$90,30,FALSE)</f>
        <v>1</v>
      </c>
      <c r="H123" s="112">
        <f>VLOOKUP($E$3,'Housing Generation'!$A$3:$BE$90,31,FALSE)</f>
        <v>1</v>
      </c>
      <c r="I123" s="112">
        <f>VLOOKUP($E$3,'Housing Generation'!$A$3:$BE$90,32,FALSE)</f>
        <v>1</v>
      </c>
      <c r="J123" s="111">
        <f t="shared" si="21"/>
        <v>9</v>
      </c>
    </row>
    <row r="124" spans="2:10" ht="15" hidden="1" customHeight="1">
      <c r="B124" s="114">
        <v>2022</v>
      </c>
      <c r="C124" s="116" t="s">
        <v>97</v>
      </c>
      <c r="D124" s="112">
        <f>VLOOKUP($E$3,'Housing Generation'!$A$3:$BE$90,35,FALSE)</f>
        <v>2</v>
      </c>
      <c r="E124" s="112">
        <f>VLOOKUP($E$3,'Housing Generation'!$A$3:$BE$90,36,FALSE)</f>
        <v>2</v>
      </c>
      <c r="F124" s="112">
        <f>VLOOKUP($E$3,'Housing Generation'!$A$3:$BE$90,37,FALSE)</f>
        <v>2</v>
      </c>
      <c r="G124" s="112">
        <f>VLOOKUP($E$3,'Housing Generation'!$A$3:$BE$90,38,FALSE)</f>
        <v>1</v>
      </c>
      <c r="H124" s="112">
        <f>VLOOKUP($E$3,'Housing Generation'!$A$3:$BE$90,39,FALSE)</f>
        <v>1</v>
      </c>
      <c r="I124" s="112">
        <f>VLOOKUP($E$3,'Housing Generation'!$A$3:$BE$90,40,FALSE)</f>
        <v>1</v>
      </c>
      <c r="J124" s="111">
        <f t="shared" si="21"/>
        <v>9</v>
      </c>
    </row>
    <row r="125" spans="2:10" ht="15" hidden="1" customHeight="1">
      <c r="B125" s="114">
        <v>2023</v>
      </c>
      <c r="C125" s="116" t="s">
        <v>97</v>
      </c>
      <c r="D125" s="112">
        <f>VLOOKUP($E$3,'Housing Generation'!$A$3:$BE$90,43,FALSE)</f>
        <v>2</v>
      </c>
      <c r="E125" s="112">
        <f>VLOOKUP($E$3,'Housing Generation'!$A$3:$BE$90,44,FALSE)</f>
        <v>2</v>
      </c>
      <c r="F125" s="112">
        <f>VLOOKUP($E$3,'Housing Generation'!$A$3:$BE$90,45,FALSE)</f>
        <v>2</v>
      </c>
      <c r="G125" s="112">
        <f>VLOOKUP($E$3,'Housing Generation'!$A$3:$BE$90,46,FALSE)</f>
        <v>1</v>
      </c>
      <c r="H125" s="112">
        <f>VLOOKUP($E$3,'Housing Generation'!$A$3:$BE$90,47,FALSE)</f>
        <v>1</v>
      </c>
      <c r="I125" s="112">
        <f>VLOOKUP($E$3,'Housing Generation'!$A$3:$BE$90,48,FALSE)</f>
        <v>1</v>
      </c>
      <c r="J125" s="111">
        <f t="shared" si="21"/>
        <v>9</v>
      </c>
    </row>
    <row r="126" spans="2:10" ht="15" hidden="1" customHeight="1">
      <c r="B126" s="114">
        <v>2024</v>
      </c>
      <c r="C126" s="116" t="s">
        <v>97</v>
      </c>
      <c r="D126" s="112">
        <f>VLOOKUP($E$3,'Housing Generation'!$A$3:$BE$90,51,FALSE)</f>
        <v>2</v>
      </c>
      <c r="E126" s="112">
        <f>VLOOKUP($E$3,'Housing Generation'!$A$3:$BE$90,52,FALSE)</f>
        <v>2</v>
      </c>
      <c r="F126" s="112">
        <f>VLOOKUP($E$3,'Housing Generation'!$A$3:$BE$90,53,FALSE)</f>
        <v>2</v>
      </c>
      <c r="G126" s="112">
        <f>VLOOKUP($E$3,'Housing Generation'!$A$3:$BE$90,54,FALSE)</f>
        <v>1</v>
      </c>
      <c r="H126" s="112">
        <f>VLOOKUP($E$3,'Housing Generation'!$A$3:$BE$90,55,FALSE)</f>
        <v>1</v>
      </c>
      <c r="I126" s="112">
        <f>VLOOKUP($E$3,'Housing Generation'!$A$3:$BE$90,56,FALSE)</f>
        <v>1</v>
      </c>
      <c r="J126" s="111">
        <f t="shared" si="21"/>
        <v>9</v>
      </c>
    </row>
    <row r="127" spans="2:10" ht="15" hidden="1" customHeight="1">
      <c r="B127" s="114">
        <v>2025</v>
      </c>
      <c r="C127" s="240" t="s">
        <v>97</v>
      </c>
      <c r="D127" s="112">
        <f>VLOOKUP($E$3,'Housing Generation'!$A$3:$CK$90,59,FALSE)</f>
        <v>2</v>
      </c>
      <c r="E127" s="112">
        <f>VLOOKUP($E$3,'Housing Generation'!$A$3:$CK$90,60,FALSE)</f>
        <v>2</v>
      </c>
      <c r="F127" s="112">
        <f>VLOOKUP($E$3,'Housing Generation'!$A$3:$CK$90,61,FALSE)</f>
        <v>2</v>
      </c>
      <c r="G127" s="112">
        <f>VLOOKUP($E$3,'Housing Generation'!$A$3:$CK$90,62,FALSE)</f>
        <v>1</v>
      </c>
      <c r="H127" s="112">
        <f>VLOOKUP($E$3,'Housing Generation'!$A$3:$CK$90,63,FALSE)</f>
        <v>1</v>
      </c>
      <c r="I127" s="112">
        <f>VLOOKUP($E$3,'Housing Generation'!$A$3:$CK$90,64,FALSE)</f>
        <v>1</v>
      </c>
      <c r="J127" s="111">
        <f t="shared" si="21"/>
        <v>9</v>
      </c>
    </row>
    <row r="128" spans="2:10" ht="15" hidden="1" customHeight="1">
      <c r="B128" s="114">
        <v>2026</v>
      </c>
      <c r="C128" s="240" t="s">
        <v>97</v>
      </c>
      <c r="D128" s="112">
        <f>VLOOKUP($E$3,'Housing Generation'!$A$3:$CK$90,67,FALSE)</f>
        <v>2</v>
      </c>
      <c r="E128" s="112">
        <f>VLOOKUP($E$3,'Housing Generation'!$A$3:$CK$90,68,FALSE)</f>
        <v>2</v>
      </c>
      <c r="F128" s="112">
        <f>VLOOKUP($E$3,'Housing Generation'!$A$3:$CK$90,69,FALSE)</f>
        <v>2</v>
      </c>
      <c r="G128" s="112">
        <f>VLOOKUP($E$3,'Housing Generation'!$A$3:$CK$90,70,FALSE)</f>
        <v>1</v>
      </c>
      <c r="H128" s="112">
        <f>VLOOKUP($E$3,'Housing Generation'!$A$3:$CK$90,71,FALSE)</f>
        <v>1</v>
      </c>
      <c r="I128" s="112">
        <f>VLOOKUP($E$3,'Housing Generation'!$A$3:$CK$90,72,FALSE)</f>
        <v>1</v>
      </c>
      <c r="J128" s="111">
        <f t="shared" si="21"/>
        <v>9</v>
      </c>
    </row>
    <row r="129" spans="2:10" ht="15" hidden="1" customHeight="1">
      <c r="B129" s="114">
        <v>2027</v>
      </c>
      <c r="C129" s="240" t="s">
        <v>97</v>
      </c>
      <c r="D129" s="112">
        <f>VLOOKUP($E$3,'Housing Generation'!$A$3:$CK$90,75,FALSE)</f>
        <v>2</v>
      </c>
      <c r="E129" s="112">
        <f>VLOOKUP($E$3,'Housing Generation'!$A$3:$CK$90,76,FALSE)</f>
        <v>2</v>
      </c>
      <c r="F129" s="112">
        <f>VLOOKUP($E$3,'Housing Generation'!$A$3:$CK$90,77,FALSE)</f>
        <v>2</v>
      </c>
      <c r="G129" s="112">
        <f>VLOOKUP($E$3,'Housing Generation'!$A$3:$CK$90,78,FALSE)</f>
        <v>1</v>
      </c>
      <c r="H129" s="112">
        <f>VLOOKUP($E$3,'Housing Generation'!$A$3:$CK$90,79,FALSE)</f>
        <v>1</v>
      </c>
      <c r="I129" s="112">
        <f>VLOOKUP($E$3,'Housing Generation'!$A$3:$CK$90,80,FALSE)</f>
        <v>1</v>
      </c>
      <c r="J129" s="111">
        <f t="shared" si="21"/>
        <v>9</v>
      </c>
    </row>
    <row r="130" spans="2:10" ht="15" customHeight="1">
      <c r="B130" s="114">
        <v>2028</v>
      </c>
      <c r="C130" s="289" t="s">
        <v>97</v>
      </c>
      <c r="D130" s="112">
        <f>VLOOKUP($E$3,'Housing Generation'!$A$3:$CK$90,83,FALSE)</f>
        <v>2</v>
      </c>
      <c r="E130" s="112">
        <f>VLOOKUP($E$3,'Housing Generation'!$A$3:$CK$90,84,FALSE)</f>
        <v>2</v>
      </c>
      <c r="F130" s="112">
        <f>VLOOKUP($E$3,'Housing Generation'!$A$3:$CK$90,85,FALSE)</f>
        <v>2</v>
      </c>
      <c r="G130" s="112">
        <f>VLOOKUP($E$3,'Housing Generation'!$A$3:$CK$90,86,FALSE)</f>
        <v>1</v>
      </c>
      <c r="H130" s="112">
        <f>VLOOKUP($E$3,'Housing Generation'!$A$3:$CK$90,87,FALSE)</f>
        <v>1</v>
      </c>
      <c r="I130" s="112">
        <f>VLOOKUP($E$3,'Housing Generation'!$A$3:$CK$90,88,FALSE)</f>
        <v>1</v>
      </c>
      <c r="J130" s="111">
        <f t="shared" si="21"/>
        <v>9</v>
      </c>
    </row>
    <row r="131" spans="2:10" ht="15" customHeight="1">
      <c r="B131" s="114">
        <v>2029</v>
      </c>
      <c r="C131" s="289" t="s">
        <v>97</v>
      </c>
      <c r="D131" s="112">
        <f>VLOOKUP($E$3,'Housing Generation'!$A$3:$DQ$90,91,FALSE)</f>
        <v>2</v>
      </c>
      <c r="E131" s="112">
        <f>VLOOKUP($E$3,'Housing Generation'!$A$3:$DQ$90,92,FALSE)</f>
        <v>2</v>
      </c>
      <c r="F131" s="112">
        <f>VLOOKUP($E$3,'Housing Generation'!$A$3:$DQ$90,93,FALSE)</f>
        <v>2</v>
      </c>
      <c r="G131" s="112">
        <f>VLOOKUP($E$3,'Housing Generation'!$A$3:$DQ$90,94,FALSE)</f>
        <v>1</v>
      </c>
      <c r="H131" s="112">
        <f>VLOOKUP($E$3,'Housing Generation'!$A$3:$DQ$90,95,FALSE)</f>
        <v>1</v>
      </c>
      <c r="I131" s="112">
        <f>VLOOKUP($E$3,'Housing Generation'!$A$3:$DQ$90,96,FALSE)</f>
        <v>1</v>
      </c>
      <c r="J131" s="111">
        <f t="shared" si="21"/>
        <v>9</v>
      </c>
    </row>
    <row r="132" spans="2:10" ht="15" customHeight="1">
      <c r="B132" s="114">
        <v>2030</v>
      </c>
      <c r="C132" s="289" t="s">
        <v>97</v>
      </c>
      <c r="D132" s="112">
        <f>VLOOKUP($E$3,'Housing Generation'!$A$3:$DQ$90,99,FALSE)</f>
        <v>2</v>
      </c>
      <c r="E132" s="112">
        <f>VLOOKUP($E$3,'Housing Generation'!$A$3:$DQ$90,100,FALSE)</f>
        <v>2</v>
      </c>
      <c r="F132" s="112">
        <f>VLOOKUP($E$3,'Housing Generation'!$A$3:$DQ$90,101,FALSE)</f>
        <v>2</v>
      </c>
      <c r="G132" s="112">
        <f>VLOOKUP($E$3,'Housing Generation'!$A$3:$DQ$90,102,FALSE)</f>
        <v>1</v>
      </c>
      <c r="H132" s="112">
        <f>VLOOKUP($E$3,'Housing Generation'!$A$3:$DQ$90,103,FALSE)</f>
        <v>1</v>
      </c>
      <c r="I132" s="112">
        <f>VLOOKUP($E$3,'Housing Generation'!$A$3:$DQ$90,104,FALSE)</f>
        <v>1</v>
      </c>
      <c r="J132" s="111">
        <f t="shared" si="21"/>
        <v>9</v>
      </c>
    </row>
    <row r="133" spans="2:10" ht="15" customHeight="1">
      <c r="B133" s="114">
        <v>2031</v>
      </c>
      <c r="C133" s="289" t="s">
        <v>97</v>
      </c>
      <c r="D133" s="112">
        <f>VLOOKUP($E$3,'Housing Generation'!$A$3:$DQ$90,107,FALSE)</f>
        <v>2</v>
      </c>
      <c r="E133" s="112">
        <f>VLOOKUP($E$3,'Housing Generation'!$A$3:$DQ$90,108,FALSE)</f>
        <v>2</v>
      </c>
      <c r="F133" s="112">
        <f>VLOOKUP($E$3,'Housing Generation'!$A$3:$DQ$90,109,FALSE)</f>
        <v>2</v>
      </c>
      <c r="G133" s="112">
        <f>VLOOKUP($E$3,'Housing Generation'!$A$3:$DQ$90,110,FALSE)</f>
        <v>1</v>
      </c>
      <c r="H133" s="112">
        <f>VLOOKUP($E$3,'Housing Generation'!$A$3:$DQ$90,111,FALSE)</f>
        <v>1</v>
      </c>
      <c r="I133" s="112">
        <f>VLOOKUP($E$3,'Housing Generation'!$A$3:$DQ$90,112,FALSE)</f>
        <v>1</v>
      </c>
      <c r="J133" s="111">
        <f t="shared" si="21"/>
        <v>9</v>
      </c>
    </row>
    <row r="134" spans="2:10" ht="15" customHeight="1">
      <c r="B134" s="114">
        <v>2032</v>
      </c>
      <c r="C134" s="289" t="s">
        <v>97</v>
      </c>
      <c r="D134" s="112">
        <f>VLOOKUP($E$3,'Housing Generation'!$A$3:$DQ$90,115,FALSE)</f>
        <v>2</v>
      </c>
      <c r="E134" s="112">
        <f>VLOOKUP($E$3,'Housing Generation'!$A$3:$DQ$90,116,FALSE)</f>
        <v>2</v>
      </c>
      <c r="F134" s="112">
        <f>VLOOKUP($E$3,'Housing Generation'!$A$3:$DQ$90,117,FALSE)</f>
        <v>2</v>
      </c>
      <c r="G134" s="112">
        <f>VLOOKUP($E$3,'Housing Generation'!$A$3:$DQ$90,118,FALSE)</f>
        <v>1</v>
      </c>
      <c r="H134" s="112">
        <f>VLOOKUP($E$3,'Housing Generation'!$A$3:$DQ$90,119,FALSE)</f>
        <v>1</v>
      </c>
      <c r="I134" s="112">
        <f>VLOOKUP($E$3,'Housing Generation'!$A$3:$DQ$90,120,FALSE)</f>
        <v>1</v>
      </c>
      <c r="J134" s="111">
        <f t="shared" si="21"/>
        <v>9</v>
      </c>
    </row>
    <row r="135" spans="2:10" ht="15" hidden="1"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Ratho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55.057610241820768</v>
      </c>
      <c r="D139" s="112">
        <f t="shared" ref="D139:I152" si="23">D121+D103</f>
        <v>47</v>
      </c>
      <c r="E139" s="112">
        <f t="shared" si="23"/>
        <v>40</v>
      </c>
      <c r="F139" s="112">
        <f t="shared" si="23"/>
        <v>47</v>
      </c>
      <c r="G139" s="112">
        <f t="shared" si="23"/>
        <v>38</v>
      </c>
      <c r="H139" s="112">
        <f t="shared" si="23"/>
        <v>48</v>
      </c>
      <c r="I139" s="112">
        <f t="shared" si="23"/>
        <v>28</v>
      </c>
      <c r="J139" s="111">
        <f t="shared" ref="J139:J147" si="24">SUM(C139:I139)</f>
        <v>303.05761024182078</v>
      </c>
    </row>
    <row r="140" spans="2:10" ht="15" customHeight="1">
      <c r="B140" s="114">
        <v>2020</v>
      </c>
      <c r="C140" s="113">
        <f t="shared" si="22"/>
        <v>50</v>
      </c>
      <c r="D140" s="112">
        <f t="shared" si="23"/>
        <v>60</v>
      </c>
      <c r="E140" s="112">
        <f t="shared" si="23"/>
        <v>49</v>
      </c>
      <c r="F140" s="112">
        <f t="shared" si="23"/>
        <v>44</v>
      </c>
      <c r="G140" s="112">
        <f t="shared" si="23"/>
        <v>49</v>
      </c>
      <c r="H140" s="112">
        <f t="shared" si="23"/>
        <v>38</v>
      </c>
      <c r="I140" s="112">
        <f t="shared" si="23"/>
        <v>51</v>
      </c>
      <c r="J140" s="111">
        <f t="shared" si="24"/>
        <v>341</v>
      </c>
    </row>
    <row r="141" spans="2:10" ht="15" customHeight="1">
      <c r="B141" s="114">
        <v>2021</v>
      </c>
      <c r="C141" s="113">
        <f t="shared" si="22"/>
        <v>48.182076813655762</v>
      </c>
      <c r="D141" s="112">
        <f t="shared" si="23"/>
        <v>54</v>
      </c>
      <c r="E141" s="112">
        <f t="shared" si="23"/>
        <v>61</v>
      </c>
      <c r="F141" s="112">
        <f t="shared" si="23"/>
        <v>52</v>
      </c>
      <c r="G141" s="112">
        <f t="shared" si="23"/>
        <v>45</v>
      </c>
      <c r="H141" s="112">
        <f t="shared" si="23"/>
        <v>49</v>
      </c>
      <c r="I141" s="112">
        <f t="shared" si="23"/>
        <v>40</v>
      </c>
      <c r="J141" s="111">
        <f t="shared" si="24"/>
        <v>349.18207681365573</v>
      </c>
    </row>
    <row r="142" spans="2:10" ht="15" customHeight="1">
      <c r="B142" s="114">
        <v>2022</v>
      </c>
      <c r="C142" s="113">
        <f t="shared" si="22"/>
        <v>48.182076813655762</v>
      </c>
      <c r="D142" s="112">
        <f t="shared" si="23"/>
        <v>52</v>
      </c>
      <c r="E142" s="112">
        <f t="shared" si="23"/>
        <v>55</v>
      </c>
      <c r="F142" s="112">
        <f t="shared" si="23"/>
        <v>65</v>
      </c>
      <c r="G142" s="112">
        <f t="shared" si="23"/>
        <v>53</v>
      </c>
      <c r="H142" s="112">
        <f t="shared" si="23"/>
        <v>45</v>
      </c>
      <c r="I142" s="112">
        <f t="shared" si="23"/>
        <v>52</v>
      </c>
      <c r="J142" s="111">
        <f t="shared" si="24"/>
        <v>370.18207681365573</v>
      </c>
    </row>
    <row r="143" spans="2:10" ht="15" customHeight="1">
      <c r="B143" s="114">
        <v>2023</v>
      </c>
      <c r="C143" s="113">
        <f t="shared" si="22"/>
        <v>49.164295874822187</v>
      </c>
      <c r="D143" s="112">
        <f t="shared" si="23"/>
        <v>52</v>
      </c>
      <c r="E143" s="112">
        <f t="shared" si="23"/>
        <v>53</v>
      </c>
      <c r="F143" s="112">
        <f t="shared" si="23"/>
        <v>59</v>
      </c>
      <c r="G143" s="112">
        <f t="shared" si="23"/>
        <v>67</v>
      </c>
      <c r="H143" s="112">
        <f t="shared" si="23"/>
        <v>53</v>
      </c>
      <c r="I143" s="112">
        <f t="shared" si="23"/>
        <v>48</v>
      </c>
      <c r="J143" s="111">
        <f t="shared" si="24"/>
        <v>381.16429587482219</v>
      </c>
    </row>
    <row r="144" spans="2:10" ht="15" customHeight="1">
      <c r="B144" s="114">
        <v>2024</v>
      </c>
      <c r="C144" s="113">
        <f t="shared" si="22"/>
        <v>50</v>
      </c>
      <c r="D144" s="112">
        <f t="shared" si="23"/>
        <v>53</v>
      </c>
      <c r="E144" s="112">
        <f t="shared" si="23"/>
        <v>53</v>
      </c>
      <c r="F144" s="112">
        <f t="shared" si="23"/>
        <v>57</v>
      </c>
      <c r="G144" s="112">
        <f t="shared" si="23"/>
        <v>61</v>
      </c>
      <c r="H144" s="112">
        <f t="shared" si="23"/>
        <v>67</v>
      </c>
      <c r="I144" s="112">
        <f t="shared" si="23"/>
        <v>56</v>
      </c>
      <c r="J144" s="111">
        <f t="shared" si="24"/>
        <v>397</v>
      </c>
    </row>
    <row r="145" spans="2:16" ht="15" customHeight="1">
      <c r="B145" s="114">
        <v>2025</v>
      </c>
      <c r="C145" s="113">
        <f t="shared" si="22"/>
        <v>50</v>
      </c>
      <c r="D145" s="112">
        <f t="shared" si="23"/>
        <v>54</v>
      </c>
      <c r="E145" s="112">
        <f t="shared" si="23"/>
        <v>54</v>
      </c>
      <c r="F145" s="112">
        <f t="shared" si="23"/>
        <v>57</v>
      </c>
      <c r="G145" s="112">
        <f t="shared" si="23"/>
        <v>58</v>
      </c>
      <c r="H145" s="112">
        <f t="shared" si="23"/>
        <v>61</v>
      </c>
      <c r="I145" s="112">
        <f t="shared" si="23"/>
        <v>71</v>
      </c>
      <c r="J145" s="111">
        <f t="shared" si="24"/>
        <v>405</v>
      </c>
    </row>
    <row r="146" spans="2:16" ht="15" customHeight="1">
      <c r="B146" s="114">
        <v>2026</v>
      </c>
      <c r="C146" s="113">
        <f t="shared" si="22"/>
        <v>50</v>
      </c>
      <c r="D146" s="112">
        <f t="shared" si="23"/>
        <v>54</v>
      </c>
      <c r="E146" s="112">
        <f t="shared" si="23"/>
        <v>55</v>
      </c>
      <c r="F146" s="112">
        <f t="shared" si="23"/>
        <v>58</v>
      </c>
      <c r="G146" s="112">
        <f t="shared" si="23"/>
        <v>58</v>
      </c>
      <c r="H146" s="112">
        <f t="shared" si="23"/>
        <v>58</v>
      </c>
      <c r="I146" s="112">
        <f t="shared" si="23"/>
        <v>65</v>
      </c>
      <c r="J146" s="111">
        <f t="shared" si="24"/>
        <v>398</v>
      </c>
    </row>
    <row r="147" spans="2:16" ht="15" customHeight="1">
      <c r="B147" s="114">
        <v>2027</v>
      </c>
      <c r="C147" s="113">
        <f t="shared" si="22"/>
        <v>50</v>
      </c>
      <c r="D147" s="112">
        <f t="shared" si="23"/>
        <v>54</v>
      </c>
      <c r="E147" s="112">
        <f t="shared" si="23"/>
        <v>55</v>
      </c>
      <c r="F147" s="112">
        <f t="shared" si="23"/>
        <v>59</v>
      </c>
      <c r="G147" s="112">
        <f t="shared" si="23"/>
        <v>59</v>
      </c>
      <c r="H147" s="112">
        <f t="shared" si="23"/>
        <v>58</v>
      </c>
      <c r="I147" s="112">
        <f t="shared" si="23"/>
        <v>62</v>
      </c>
      <c r="J147" s="111">
        <f t="shared" si="24"/>
        <v>397</v>
      </c>
    </row>
    <row r="148" spans="2:16" ht="15" customHeight="1">
      <c r="B148" s="114">
        <v>2028</v>
      </c>
      <c r="C148" s="113">
        <f t="shared" si="22"/>
        <v>50</v>
      </c>
      <c r="D148" s="112">
        <f t="shared" si="23"/>
        <v>54</v>
      </c>
      <c r="E148" s="112">
        <f t="shared" si="23"/>
        <v>55</v>
      </c>
      <c r="F148" s="112">
        <f t="shared" si="23"/>
        <v>59</v>
      </c>
      <c r="G148" s="112">
        <f t="shared" si="23"/>
        <v>61</v>
      </c>
      <c r="H148" s="112">
        <f t="shared" si="23"/>
        <v>59</v>
      </c>
      <c r="I148" s="112">
        <f t="shared" si="23"/>
        <v>62</v>
      </c>
      <c r="J148" s="111">
        <f t="shared" ref="J148:J152" si="25">SUM(C148:I148)</f>
        <v>400</v>
      </c>
    </row>
    <row r="149" spans="2:16" ht="15" customHeight="1">
      <c r="B149" s="114">
        <v>2029</v>
      </c>
      <c r="C149" s="113">
        <f t="shared" si="22"/>
        <v>50</v>
      </c>
      <c r="D149" s="112">
        <f t="shared" si="23"/>
        <v>54</v>
      </c>
      <c r="E149" s="112">
        <f t="shared" si="23"/>
        <v>55</v>
      </c>
      <c r="F149" s="112">
        <f t="shared" si="23"/>
        <v>59</v>
      </c>
      <c r="G149" s="112">
        <f t="shared" si="23"/>
        <v>61</v>
      </c>
      <c r="H149" s="112">
        <f t="shared" si="23"/>
        <v>61</v>
      </c>
      <c r="I149" s="112">
        <f t="shared" si="23"/>
        <v>63</v>
      </c>
      <c r="J149" s="111">
        <f t="shared" si="25"/>
        <v>403</v>
      </c>
    </row>
    <row r="150" spans="2:16" ht="15" customHeight="1">
      <c r="B150" s="114">
        <v>2030</v>
      </c>
      <c r="C150" s="113">
        <f t="shared" si="22"/>
        <v>50</v>
      </c>
      <c r="D150" s="112">
        <f t="shared" si="23"/>
        <v>54</v>
      </c>
      <c r="E150" s="112">
        <f t="shared" si="23"/>
        <v>55</v>
      </c>
      <c r="F150" s="112">
        <f t="shared" si="23"/>
        <v>59</v>
      </c>
      <c r="G150" s="112">
        <f t="shared" si="23"/>
        <v>61</v>
      </c>
      <c r="H150" s="112">
        <f t="shared" si="23"/>
        <v>61</v>
      </c>
      <c r="I150" s="112">
        <f t="shared" si="23"/>
        <v>65</v>
      </c>
      <c r="J150" s="111">
        <f t="shared" si="25"/>
        <v>405</v>
      </c>
    </row>
    <row r="151" spans="2:16" ht="15" customHeight="1">
      <c r="B151" s="114">
        <v>2031</v>
      </c>
      <c r="C151" s="113">
        <f t="shared" si="22"/>
        <v>50</v>
      </c>
      <c r="D151" s="112">
        <f t="shared" si="23"/>
        <v>54</v>
      </c>
      <c r="E151" s="112">
        <f t="shared" si="23"/>
        <v>55</v>
      </c>
      <c r="F151" s="112">
        <f t="shared" si="23"/>
        <v>59</v>
      </c>
      <c r="G151" s="112">
        <f t="shared" si="23"/>
        <v>61</v>
      </c>
      <c r="H151" s="112">
        <f t="shared" si="23"/>
        <v>61</v>
      </c>
      <c r="I151" s="112">
        <f t="shared" si="23"/>
        <v>65</v>
      </c>
      <c r="J151" s="111">
        <f t="shared" si="25"/>
        <v>405</v>
      </c>
    </row>
    <row r="152" spans="2:16" ht="15" customHeight="1">
      <c r="B152" s="114">
        <v>2032</v>
      </c>
      <c r="C152" s="113">
        <f t="shared" si="22"/>
        <v>50</v>
      </c>
      <c r="D152" s="112">
        <f t="shared" si="23"/>
        <v>54</v>
      </c>
      <c r="E152" s="112">
        <f t="shared" si="23"/>
        <v>55</v>
      </c>
      <c r="F152" s="112">
        <f t="shared" si="23"/>
        <v>59</v>
      </c>
      <c r="G152" s="112">
        <f t="shared" si="23"/>
        <v>61</v>
      </c>
      <c r="H152" s="112">
        <f t="shared" si="23"/>
        <v>61</v>
      </c>
      <c r="I152" s="112">
        <f t="shared" si="23"/>
        <v>65</v>
      </c>
      <c r="J152" s="111">
        <f t="shared" si="25"/>
        <v>405</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303.05761024182078</v>
      </c>
      <c r="D159" s="108">
        <f>J140</f>
        <v>341</v>
      </c>
      <c r="E159" s="108">
        <f>J141</f>
        <v>349.18207681365573</v>
      </c>
      <c r="F159" s="108">
        <f>J142</f>
        <v>370.18207681365573</v>
      </c>
      <c r="G159" s="108">
        <f>J143</f>
        <v>381.16429587482219</v>
      </c>
      <c r="H159" s="108">
        <f>J144</f>
        <v>397</v>
      </c>
      <c r="I159" s="108">
        <f>J145</f>
        <v>405</v>
      </c>
      <c r="J159" s="108">
        <f>J146</f>
        <v>398</v>
      </c>
      <c r="K159" s="108">
        <f>J147</f>
        <v>397</v>
      </c>
      <c r="L159" s="108">
        <f>J148</f>
        <v>400</v>
      </c>
      <c r="M159" s="108">
        <f>J149</f>
        <v>403</v>
      </c>
      <c r="N159" s="108">
        <f>J150</f>
        <v>405</v>
      </c>
      <c r="O159" s="108">
        <f>J151</f>
        <v>405</v>
      </c>
      <c r="P159" s="108">
        <f>J152</f>
        <v>405</v>
      </c>
    </row>
    <row r="160" spans="2:16" ht="15" customHeight="1">
      <c r="B160" s="107" t="s">
        <v>152</v>
      </c>
      <c r="C160" s="106">
        <f>VLOOKUP(C159,Capacity!$A$1:$C$645,2,TRUE)</f>
        <v>12</v>
      </c>
      <c r="D160" s="106">
        <f>VLOOKUP(D159,Capacity!$A$1:$C$645,2,TRUE)</f>
        <v>14</v>
      </c>
      <c r="E160" s="106">
        <f>VLOOKUP(E159,Capacity!$A$1:$C$645,2,TRUE)</f>
        <v>14</v>
      </c>
      <c r="F160" s="106">
        <f>VLOOKUP(F159,Capacity!$A$1:$C$645,2,TRUE)</f>
        <v>14</v>
      </c>
      <c r="G160" s="106">
        <f>VLOOKUP(G159,Capacity!$A$1:$C$645,2,TRUE)</f>
        <v>14</v>
      </c>
      <c r="H160" s="106">
        <f>VLOOKUP(H159,Capacity!$A$1:$C$645,2,TRUE)</f>
        <v>14</v>
      </c>
      <c r="I160" s="106">
        <f>VLOOKUP(I159,Capacity!$A$1:$C$645,2,TRUE)</f>
        <v>14</v>
      </c>
      <c r="J160" s="106">
        <f>VLOOKUP(J159,Capacity!$A$1:$C$645,2,TRUE)</f>
        <v>14</v>
      </c>
      <c r="K160" s="106">
        <f>VLOOKUP(K159,Capacity!$A$1:$C$645,2,TRUE)</f>
        <v>14</v>
      </c>
      <c r="L160" s="106">
        <f>VLOOKUP(L159,Capacity!$A$1:$C$645,2,TRUE)</f>
        <v>14</v>
      </c>
      <c r="M160" s="106">
        <f>VLOOKUP(M159,Capacity!$A$1:$C$645,2,TRUE)</f>
        <v>14</v>
      </c>
      <c r="N160" s="106">
        <f>VLOOKUP(N159,Capacity!$A$1:$C$645,2,TRUE)</f>
        <v>14</v>
      </c>
      <c r="O160" s="106">
        <f>VLOOKUP(O159,Capacity!$A$1:$C$645,2,TRUE)</f>
        <v>14</v>
      </c>
      <c r="P160" s="106">
        <f>VLOOKUP(P159,Capacity!$A$1:$C$645,2,TRUE)</f>
        <v>14</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18</v>
      </c>
      <c r="D169" s="97">
        <f>VLOOKUP($E$3,'Catchment Births'!$A$1:$U$90,11,FALSE)</f>
        <v>21</v>
      </c>
      <c r="E169" s="97">
        <f>VLOOKUP($E$3,'Catchment Births'!$A$1:$U$90,12,FALSE)</f>
        <v>16</v>
      </c>
      <c r="F169" s="97">
        <f>VLOOKUP($E$3,'Catchment Births'!$A$1:$U$90,13,FALSE)</f>
        <v>22</v>
      </c>
      <c r="G169" s="97">
        <f>VLOOKUP($E$3,'Catchment Births'!$A$1:$U$90,14,FALSE)</f>
        <v>20</v>
      </c>
      <c r="H169" s="97">
        <f>VLOOKUP($E$3,'Catchment Births'!$A$1:$U$90,15,FALSE)</f>
        <v>24</v>
      </c>
      <c r="I169" s="97">
        <f>VLOOKUP($E$3,'Catchment Births'!$A$1:$U$90,16,FALSE)</f>
        <v>20</v>
      </c>
      <c r="J169" s="97">
        <f>VLOOKUP($E$3,'Catchment Births'!$A$1:$U$90,17,FALSE)</f>
        <v>16</v>
      </c>
      <c r="K169" s="97">
        <f>VLOOKUP($E$3,'Catchment Births'!$A$1:$U$90,18,FALSE)</f>
        <v>28</v>
      </c>
      <c r="L169" s="97">
        <f>VLOOKUP($E$3,'Catchment Births'!$A$1:$U$90,19,FALSE)</f>
        <v>28</v>
      </c>
      <c r="M169" s="97">
        <f>VLOOKUP($E$3,'Catchment Births'!$A$1:$U$90,20,FALSE)</f>
        <v>32</v>
      </c>
      <c r="N169" s="97">
        <f>VLOOKUP($E$3,'Catchment Births'!$A$1:$U$90,21,FALSE)</f>
        <v>29</v>
      </c>
    </row>
    <row r="170" spans="2:14" ht="58.5" customHeight="1">
      <c r="B170" s="103" t="str">
        <f>"P1 "&amp;A35&amp;" Catchment Population (Actual)"</f>
        <v>P1 ND Catchment Population (Actual)</v>
      </c>
      <c r="C170" s="102" t="e">
        <v>#REF!</v>
      </c>
      <c r="D170" s="102">
        <v>18</v>
      </c>
      <c r="E170" s="102">
        <v>14</v>
      </c>
      <c r="F170" s="102">
        <v>21</v>
      </c>
      <c r="G170" s="102">
        <v>24</v>
      </c>
      <c r="H170" s="102">
        <v>42</v>
      </c>
      <c r="I170" s="102">
        <v>25</v>
      </c>
      <c r="J170" s="308">
        <f>VLOOKUP(E3,'Catchment Projections'!A1:BU92,42,FALSE)</f>
        <v>38</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25</v>
      </c>
      <c r="J172" s="96" t="e">
        <f>#REF!</f>
        <v>#REF!</v>
      </c>
      <c r="K172" s="96">
        <f>D51</f>
        <v>53</v>
      </c>
      <c r="L172" s="96">
        <f>E51</f>
        <v>48</v>
      </c>
      <c r="M172" s="96">
        <f>F51</f>
        <v>46</v>
      </c>
      <c r="N172" s="96">
        <f>G51</f>
        <v>46</v>
      </c>
    </row>
    <row r="173" spans="2:14" ht="12.75">
      <c r="B173" s="62"/>
      <c r="C173" s="62"/>
      <c r="D173" s="62"/>
      <c r="E173" s="62"/>
      <c r="F173" s="62"/>
      <c r="G173" s="62"/>
      <c r="H173" s="62"/>
      <c r="I173" s="62"/>
      <c r="J173" s="62"/>
      <c r="K173" s="62"/>
    </row>
    <row r="174" spans="2:14" ht="15" customHeight="1">
      <c r="B174" s="64" t="str">
        <f>"Table 5: "&amp;E3&amp;" Roll by Stage, 2002-2018"</f>
        <v>Table 5: Ratho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22</v>
      </c>
      <c r="D177" s="93">
        <v>31</v>
      </c>
      <c r="E177" s="93">
        <v>19</v>
      </c>
      <c r="F177" s="93">
        <v>21</v>
      </c>
      <c r="G177" s="93">
        <v>25</v>
      </c>
      <c r="H177" s="93">
        <v>17</v>
      </c>
      <c r="I177" s="93">
        <v>26</v>
      </c>
      <c r="J177" s="92">
        <v>161</v>
      </c>
      <c r="K177" s="62"/>
    </row>
    <row r="178" spans="2:11" ht="15" customHeight="1">
      <c r="B178" s="94">
        <v>2003</v>
      </c>
      <c r="C178" s="93">
        <v>15</v>
      </c>
      <c r="D178" s="93">
        <v>22</v>
      </c>
      <c r="E178" s="93">
        <v>30</v>
      </c>
      <c r="F178" s="93">
        <v>19</v>
      </c>
      <c r="G178" s="93">
        <v>23</v>
      </c>
      <c r="H178" s="93">
        <v>24</v>
      </c>
      <c r="I178" s="93">
        <v>16</v>
      </c>
      <c r="J178" s="92">
        <v>149</v>
      </c>
      <c r="K178" s="62"/>
    </row>
    <row r="179" spans="2:11" customFormat="1" ht="15" customHeight="1">
      <c r="B179" s="94">
        <v>2004</v>
      </c>
      <c r="C179" s="95">
        <v>24</v>
      </c>
      <c r="D179" s="95">
        <v>16</v>
      </c>
      <c r="E179" s="95">
        <v>25</v>
      </c>
      <c r="F179" s="95">
        <v>29</v>
      </c>
      <c r="G179" s="95">
        <v>19</v>
      </c>
      <c r="H179" s="95">
        <v>23</v>
      </c>
      <c r="I179" s="95">
        <v>25</v>
      </c>
      <c r="J179" s="92">
        <v>161</v>
      </c>
      <c r="K179" s="62"/>
    </row>
    <row r="180" spans="2:11" customFormat="1" ht="15" customHeight="1">
      <c r="B180" s="94">
        <v>2005</v>
      </c>
      <c r="C180" s="93">
        <v>14</v>
      </c>
      <c r="D180" s="93">
        <v>25</v>
      </c>
      <c r="E180" s="93">
        <v>13</v>
      </c>
      <c r="F180" s="93">
        <v>25</v>
      </c>
      <c r="G180" s="93">
        <v>29</v>
      </c>
      <c r="H180" s="93">
        <v>18</v>
      </c>
      <c r="I180" s="93">
        <v>24</v>
      </c>
      <c r="J180" s="92">
        <v>148</v>
      </c>
      <c r="K180" s="62"/>
    </row>
    <row r="181" spans="2:11" customFormat="1" ht="15" customHeight="1">
      <c r="B181" s="94">
        <v>2006</v>
      </c>
      <c r="C181" s="93">
        <v>14</v>
      </c>
      <c r="D181" s="93">
        <v>14</v>
      </c>
      <c r="E181" s="93">
        <v>22</v>
      </c>
      <c r="F181" s="93">
        <v>14</v>
      </c>
      <c r="G181" s="93">
        <v>21</v>
      </c>
      <c r="H181" s="93">
        <v>30</v>
      </c>
      <c r="I181" s="93">
        <v>14</v>
      </c>
      <c r="J181" s="92">
        <v>129</v>
      </c>
      <c r="K181" s="62"/>
    </row>
    <row r="182" spans="2:11" customFormat="1" ht="15" customHeight="1">
      <c r="B182" s="94">
        <v>2007</v>
      </c>
      <c r="C182" s="93">
        <v>21</v>
      </c>
      <c r="D182" s="93">
        <v>15</v>
      </c>
      <c r="E182" s="93">
        <v>14</v>
      </c>
      <c r="F182" s="93">
        <v>22</v>
      </c>
      <c r="G182" s="93">
        <v>14</v>
      </c>
      <c r="H182" s="93">
        <v>22</v>
      </c>
      <c r="I182" s="93">
        <v>29</v>
      </c>
      <c r="J182" s="92">
        <v>137</v>
      </c>
      <c r="K182" s="62"/>
    </row>
    <row r="183" spans="2:11" customFormat="1" ht="15" customHeight="1">
      <c r="B183" s="94">
        <v>2008</v>
      </c>
      <c r="C183" s="93">
        <v>12</v>
      </c>
      <c r="D183" s="93">
        <v>21</v>
      </c>
      <c r="E183" s="93">
        <v>16</v>
      </c>
      <c r="F183" s="93">
        <v>14</v>
      </c>
      <c r="G183" s="93">
        <v>23</v>
      </c>
      <c r="H183" s="93">
        <v>14</v>
      </c>
      <c r="I183" s="93">
        <v>21</v>
      </c>
      <c r="J183" s="92">
        <v>121</v>
      </c>
      <c r="K183" s="62"/>
    </row>
    <row r="184" spans="2:11" customFormat="1" ht="15" customHeight="1">
      <c r="B184" s="94">
        <v>2009</v>
      </c>
      <c r="C184" s="93">
        <v>19</v>
      </c>
      <c r="D184" s="93">
        <v>11</v>
      </c>
      <c r="E184" s="93">
        <v>21</v>
      </c>
      <c r="F184" s="93">
        <v>16</v>
      </c>
      <c r="G184" s="93">
        <v>12</v>
      </c>
      <c r="H184" s="93">
        <v>22</v>
      </c>
      <c r="I184" s="93">
        <v>15</v>
      </c>
      <c r="J184" s="94">
        <v>116</v>
      </c>
      <c r="K184" s="62"/>
    </row>
    <row r="185" spans="2:11" customFormat="1" ht="15" customHeight="1">
      <c r="B185" s="94">
        <v>2010</v>
      </c>
      <c r="C185" s="93">
        <v>17</v>
      </c>
      <c r="D185" s="93">
        <v>20</v>
      </c>
      <c r="E185" s="93">
        <v>11</v>
      </c>
      <c r="F185" s="93">
        <v>19</v>
      </c>
      <c r="G185" s="93">
        <v>15</v>
      </c>
      <c r="H185" s="93">
        <v>12</v>
      </c>
      <c r="I185" s="93">
        <v>20</v>
      </c>
      <c r="J185" s="92">
        <v>114</v>
      </c>
      <c r="K185" s="62"/>
    </row>
    <row r="186" spans="2:11" customFormat="1" ht="15" customHeight="1">
      <c r="B186" s="94">
        <v>2011</v>
      </c>
      <c r="C186" s="93">
        <v>16</v>
      </c>
      <c r="D186" s="93">
        <v>18</v>
      </c>
      <c r="E186" s="93">
        <v>18</v>
      </c>
      <c r="F186" s="93">
        <v>11</v>
      </c>
      <c r="G186" s="93">
        <v>19</v>
      </c>
      <c r="H186" s="93">
        <v>14</v>
      </c>
      <c r="I186" s="93">
        <v>13</v>
      </c>
      <c r="J186" s="92">
        <v>109</v>
      </c>
      <c r="K186" s="62"/>
    </row>
    <row r="187" spans="2:11" customFormat="1" ht="15" customHeight="1">
      <c r="B187" s="94">
        <v>2012</v>
      </c>
      <c r="C187" s="93">
        <v>23</v>
      </c>
      <c r="D187" s="93">
        <v>17</v>
      </c>
      <c r="E187" s="93">
        <v>17</v>
      </c>
      <c r="F187" s="93">
        <v>18</v>
      </c>
      <c r="G187" s="93">
        <v>11</v>
      </c>
      <c r="H187" s="93">
        <v>19</v>
      </c>
      <c r="I187" s="93">
        <v>14</v>
      </c>
      <c r="J187" s="92">
        <v>119</v>
      </c>
      <c r="K187" s="62"/>
    </row>
    <row r="188" spans="2:11" customFormat="1" ht="15" customHeight="1">
      <c r="B188" s="94">
        <v>2013</v>
      </c>
      <c r="C188" s="93">
        <v>23</v>
      </c>
      <c r="D188" s="93">
        <v>24</v>
      </c>
      <c r="E188" s="93">
        <v>18</v>
      </c>
      <c r="F188" s="93">
        <v>18</v>
      </c>
      <c r="G188" s="93">
        <v>19</v>
      </c>
      <c r="H188" s="93">
        <v>14</v>
      </c>
      <c r="I188" s="93">
        <v>19</v>
      </c>
      <c r="J188" s="94">
        <v>135</v>
      </c>
      <c r="K188" s="62"/>
    </row>
    <row r="189" spans="2:11" customFormat="1" ht="15" customHeight="1">
      <c r="B189" s="94">
        <v>2014</v>
      </c>
      <c r="C189" s="93">
        <v>43</v>
      </c>
      <c r="D189" s="93">
        <v>25</v>
      </c>
      <c r="E189" s="93">
        <v>25</v>
      </c>
      <c r="F189" s="93">
        <v>18</v>
      </c>
      <c r="G189" s="93">
        <v>18</v>
      </c>
      <c r="H189" s="93">
        <v>19</v>
      </c>
      <c r="I189" s="93">
        <v>17</v>
      </c>
      <c r="J189" s="92">
        <v>165</v>
      </c>
      <c r="K189" s="65"/>
    </row>
    <row r="190" spans="2:11" customFormat="1" ht="15" customHeight="1">
      <c r="B190" s="94">
        <v>2015</v>
      </c>
      <c r="C190" s="93">
        <v>30</v>
      </c>
      <c r="D190" s="93">
        <v>41</v>
      </c>
      <c r="E190" s="93">
        <v>24</v>
      </c>
      <c r="F190" s="93">
        <v>29</v>
      </c>
      <c r="G190" s="93">
        <v>20</v>
      </c>
      <c r="H190" s="93">
        <v>20</v>
      </c>
      <c r="I190" s="93">
        <v>19</v>
      </c>
      <c r="J190" s="92">
        <v>183</v>
      </c>
      <c r="K190" s="65"/>
    </row>
    <row r="191" spans="2:11" customFormat="1" ht="15" customHeight="1">
      <c r="B191" s="94">
        <v>2016</v>
      </c>
      <c r="C191" s="93">
        <v>40</v>
      </c>
      <c r="D191" s="93">
        <v>35</v>
      </c>
      <c r="E191" s="93">
        <v>42</v>
      </c>
      <c r="F191" s="93">
        <v>26</v>
      </c>
      <c r="G191" s="93">
        <v>34</v>
      </c>
      <c r="H191" s="93">
        <v>20</v>
      </c>
      <c r="I191" s="93">
        <v>23</v>
      </c>
      <c r="J191" s="92">
        <v>220</v>
      </c>
      <c r="K191" s="65"/>
    </row>
    <row r="192" spans="2:11" ht="15" customHeight="1">
      <c r="B192" s="94">
        <v>2017</v>
      </c>
      <c r="C192" s="93">
        <f>VLOOKUP($E$3,Rolls!A1:FA90,42,FALSE)</f>
        <v>34</v>
      </c>
      <c r="D192" s="93">
        <f>VLOOKUP($E$3,Rolls!A1:FA90,43,FALSE)</f>
        <v>39</v>
      </c>
      <c r="E192" s="93">
        <f>VLOOKUP($E$3,Rolls!A1:FA90,44,FALSE)</f>
        <v>35</v>
      </c>
      <c r="F192" s="93">
        <f>VLOOKUP($E$3,Rolls!A1:FA90,45,FALSE)</f>
        <v>45</v>
      </c>
      <c r="G192" s="93">
        <f>VLOOKUP($E$3,Rolls!A1:FA90,46,FALSE)</f>
        <v>25</v>
      </c>
      <c r="H192" s="93">
        <f>VLOOKUP($E$3,Rolls!A1:FA90,47,FALSE)</f>
        <v>31</v>
      </c>
      <c r="I192" s="93">
        <f>VLOOKUP($E$3,Rolls!A1:FA90,48,FALSE)</f>
        <v>21</v>
      </c>
      <c r="J192" s="92">
        <f>VLOOKUP($E$3,Rolls!A1:FA90,49,FALSE)</f>
        <v>230</v>
      </c>
      <c r="K192" s="65"/>
    </row>
    <row r="193" spans="2:11" ht="15" customHeight="1">
      <c r="B193" s="94">
        <v>2018</v>
      </c>
      <c r="C193" s="93">
        <f>VLOOKUP($E$3,Rolls!A1:FA90,50,FALSE)</f>
        <v>42</v>
      </c>
      <c r="D193" s="93">
        <f>VLOOKUP($E$3,Rolls!A1:FA90,51,FALSE)</f>
        <v>38</v>
      </c>
      <c r="E193" s="93">
        <f>VLOOKUP($E$3,Rolls!A1:FA90,52,FALSE)</f>
        <v>43</v>
      </c>
      <c r="F193" s="93">
        <f>VLOOKUP($E$3,Rolls!A1:FA90,53,FALSE)</f>
        <v>35</v>
      </c>
      <c r="G193" s="93">
        <f>VLOOKUP($E$3,Rolls!A1:FA90,54,FALSE)</f>
        <v>47</v>
      </c>
      <c r="H193" s="93">
        <f>VLOOKUP($E$3,Rolls!A1:FA90,55,FALSE)</f>
        <v>25</v>
      </c>
      <c r="I193" s="93">
        <f>VLOOKUP($E$3,Rolls!A1:FA90,56,FALSE)</f>
        <v>33</v>
      </c>
      <c r="J193" s="92">
        <f>VLOOKUP($E$3,Rolls!A1:FA90,57,FALSE)</f>
        <v>263</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60</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Roseburn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294 Pupils (11 classes)</v>
      </c>
      <c r="G12" s="16"/>
      <c r="H12" s="16"/>
    </row>
    <row r="13" spans="2:10" ht="15" customHeight="1">
      <c r="C13" s="16"/>
      <c r="D13" s="16"/>
      <c r="E13" s="16"/>
      <c r="F13" s="16"/>
      <c r="G13" s="16"/>
      <c r="H13" s="16"/>
    </row>
    <row r="14" spans="2:10" ht="15" customHeight="1">
      <c r="B14" s="15" t="str">
        <f>"Figure 1: "&amp;E3&amp;" Roll, 2002-2015"</f>
        <v>Figure 1: Roseburn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Roseburn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32</v>
      </c>
      <c r="E49" s="108">
        <f>VLOOKUP($E$3,'Catchment Projections'!$A$1:$BU$90,46,FALSE)</f>
        <v>27</v>
      </c>
      <c r="F49" s="108">
        <f>VLOOKUP($E$3,'Catchment Projections'!$A$1:$BU$90,47,FALSE)</f>
        <v>35</v>
      </c>
      <c r="G49" s="108">
        <f>VLOOKUP($E$3,'Catchment Projections'!$A$1:$BU$90,48,FALSE)</f>
        <v>20</v>
      </c>
      <c r="H49" s="133">
        <f>VLOOKUP($E$3,'Catchment Projections'!$A$1:$BU$90,49,FALSE)</f>
        <v>28</v>
      </c>
      <c r="I49" s="133">
        <f>VLOOKUP($E$3,'Catchment Projections'!$A$1:$BU$90,50,FALSE)</f>
        <v>28</v>
      </c>
      <c r="J49" s="133">
        <f>VLOOKUP($E$3,'Catchment Projections'!$A$1:$BU$90,51,FALSE)</f>
        <v>28</v>
      </c>
      <c r="K49" s="133">
        <f>VLOOKUP($E$3,'Catchment Projections'!$A$1:$BU$90,52,FALSE)</f>
        <v>29</v>
      </c>
      <c r="L49" s="133">
        <f>VLOOKUP($E$3,'Catchment Projections'!$A$1:$BU$90,53,FALSE)</f>
        <v>29</v>
      </c>
      <c r="M49" s="133">
        <f>VLOOKUP($E$3,'Catchment Projections'!$A$1:$BU$90,54,FALSE)</f>
        <v>29</v>
      </c>
      <c r="N49" s="133">
        <f>VLOOKUP($E$3,'Catchment Projections'!$A$1:$BU$90,55,FALSE)</f>
        <v>29</v>
      </c>
      <c r="O49" s="133">
        <f>VLOOKUP($E$3,'Catchment Projections'!$A$1:$BU$90,56,FALSE)</f>
        <v>29</v>
      </c>
      <c r="P49" s="133">
        <f>VLOOKUP($E$3,'Catchment Projections'!$A$1:$BU$90,57,FALSE)</f>
        <v>29</v>
      </c>
      <c r="Q49" s="133">
        <f>VLOOKUP($E$3,'Catchment Projections'!$A$1:$BU$90,58,FALSE)</f>
        <v>29</v>
      </c>
    </row>
    <row r="50" spans="2:17" ht="15" customHeight="1" thickBot="1">
      <c r="B50" s="410" t="s">
        <v>141</v>
      </c>
      <c r="C50" s="411"/>
      <c r="D50" s="286">
        <f>VLOOKUP(E3,'Housing Generation'!$A$3:$DQ$90,10,FALSE)</f>
        <v>1</v>
      </c>
      <c r="E50" s="286">
        <f>VLOOKUP(E3,'Housing Generation'!$A$3:$DQ$90,18,FALSE)</f>
        <v>1</v>
      </c>
      <c r="F50" s="286">
        <f>VLOOKUP(E3,'Housing Generation'!$A$3:$DQ$90,26,FALSE)</f>
        <v>2</v>
      </c>
      <c r="G50" s="243">
        <f>VLOOKUP(E3,'Housing Generation'!$A$3:$DQ$90,34,FALSE)</f>
        <v>2</v>
      </c>
      <c r="H50" s="133">
        <f>VLOOKUP(E3,'Housing Generation'!$A$3:$DQ$90,42,FALSE)</f>
        <v>3</v>
      </c>
      <c r="I50" s="133">
        <f>VLOOKUP(E3,'Housing Generation'!$A$3:$DQ$90,50,FALSE)</f>
        <v>3</v>
      </c>
      <c r="J50" s="133">
        <f>VLOOKUP(E3,'Housing Generation'!$A$3:$CK$90,58,FALSE)</f>
        <v>3</v>
      </c>
      <c r="K50" s="133">
        <f>VLOOKUP(E3,'Housing Generation'!$A$3:$CK$90,66,FALSE)</f>
        <v>3</v>
      </c>
      <c r="L50" s="133">
        <f>VLOOKUP(E3,'Housing Generation'!$A$3:$DQ$90,74,FALSE)</f>
        <v>3</v>
      </c>
      <c r="M50" s="133">
        <f>VLOOKUP(E3,'Housing Generation'!$A$3:$DQ$90,82,FALSE)</f>
        <v>3</v>
      </c>
      <c r="N50" s="133">
        <f>VLOOKUP(E3,'Housing Generation'!$A$3:$DQ$90,90,FALSE)</f>
        <v>3</v>
      </c>
      <c r="O50" s="133">
        <f>VLOOKUP(E3,'Housing Generation'!$A$3:$DQ$90,98,FALSE)</f>
        <v>3</v>
      </c>
      <c r="P50" s="133">
        <f>VLOOKUP(E3,'Housing Generation'!$A$3:$DQ$90,106,FALSE)</f>
        <v>3</v>
      </c>
      <c r="Q50" s="133">
        <f>VLOOKUP(E3,'Housing Generation'!$A$3:$DQ$90,114,FALSE)</f>
        <v>3</v>
      </c>
    </row>
    <row r="51" spans="2:17" ht="15" customHeight="1" thickTop="1">
      <c r="B51" s="421" t="s">
        <v>130</v>
      </c>
      <c r="C51" s="422"/>
      <c r="D51" s="47">
        <f t="shared" ref="D51:Q51" si="0">SUM(D49:D50)</f>
        <v>33</v>
      </c>
      <c r="E51" s="47">
        <f t="shared" si="0"/>
        <v>28</v>
      </c>
      <c r="F51" s="80">
        <f t="shared" si="0"/>
        <v>37</v>
      </c>
      <c r="G51" s="244">
        <f t="shared" si="0"/>
        <v>22</v>
      </c>
      <c r="H51" s="71">
        <f t="shared" si="0"/>
        <v>31</v>
      </c>
      <c r="I51" s="71">
        <f t="shared" si="0"/>
        <v>31</v>
      </c>
      <c r="J51" s="71">
        <f t="shared" si="0"/>
        <v>31</v>
      </c>
      <c r="K51" s="71">
        <f t="shared" si="0"/>
        <v>32</v>
      </c>
      <c r="L51" s="71">
        <f t="shared" si="0"/>
        <v>32</v>
      </c>
      <c r="M51" s="71">
        <f t="shared" si="0"/>
        <v>32</v>
      </c>
      <c r="N51" s="71">
        <f t="shared" si="0"/>
        <v>32</v>
      </c>
      <c r="O51" s="71">
        <f t="shared" si="0"/>
        <v>32</v>
      </c>
      <c r="P51" s="71">
        <f t="shared" si="0"/>
        <v>32</v>
      </c>
      <c r="Q51" s="71">
        <f t="shared" si="0"/>
        <v>32</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34</v>
      </c>
      <c r="D60" s="358">
        <f>VLOOKUP($E$3,'Catchment Projections'!$A$1:$BZ$90,74,FALSE)</f>
        <v>34</v>
      </c>
      <c r="E60" s="303">
        <f>D60/C60</f>
        <v>1</v>
      </c>
      <c r="G60" s="132">
        <v>2014</v>
      </c>
      <c r="H60" s="395">
        <f>VLOOKUP($G$60,$B$177:$C$215, 2, FALSE)</f>
        <v>47</v>
      </c>
      <c r="I60" s="120">
        <f>H60-D60</f>
        <v>13</v>
      </c>
      <c r="J60" s="121">
        <f>I60/H60</f>
        <v>0.27659574468085107</v>
      </c>
    </row>
    <row r="61" spans="2:17" ht="15" customHeight="1">
      <c r="B61" s="132">
        <v>2015</v>
      </c>
      <c r="C61" s="359">
        <f>VLOOKUP($E$3,'Catchment Projections'!$A$1:$BZ$90,41,FALSE)</f>
        <v>39</v>
      </c>
      <c r="D61" s="358">
        <f>VLOOKUP($E$3,'Catchment Projections'!$A$1:$BZ$90,75,FALSE)</f>
        <v>36</v>
      </c>
      <c r="E61" s="303">
        <f>D61/C61</f>
        <v>0.92307692307692313</v>
      </c>
      <c r="G61" s="132">
        <v>2015</v>
      </c>
      <c r="H61" s="395">
        <f>VLOOKUP($G$61,$B$177:$C$215, 2, FALSE)</f>
        <v>46</v>
      </c>
      <c r="I61" s="120">
        <f>H61-D61</f>
        <v>10</v>
      </c>
      <c r="J61" s="121">
        <f>I61/H61</f>
        <v>0.21739130434782608</v>
      </c>
    </row>
    <row r="62" spans="2:17" ht="15" customHeight="1">
      <c r="B62" s="131">
        <v>2016</v>
      </c>
      <c r="C62" s="359">
        <f>VLOOKUP($E$3,'Catchment Projections'!$A$1:$BZ$90,42,FALSE)</f>
        <v>33</v>
      </c>
      <c r="D62" s="358">
        <f>VLOOKUP($E$3,'Catchment Projections'!$A$1:$BZ$90,76,FALSE)</f>
        <v>31</v>
      </c>
      <c r="E62" s="57">
        <f>D62/C62</f>
        <v>0.93939393939393945</v>
      </c>
      <c r="G62" s="131">
        <v>2016</v>
      </c>
      <c r="H62" s="395">
        <f>VLOOKUP($G$62,$B$177:$C$215, 2, FALSE)</f>
        <v>33</v>
      </c>
      <c r="I62" s="120">
        <f>H62-D62</f>
        <v>2</v>
      </c>
      <c r="J62" s="121">
        <f>I62/H62</f>
        <v>6.0606060606060608E-2</v>
      </c>
    </row>
    <row r="63" spans="2:17" ht="15" customHeight="1">
      <c r="B63" s="114">
        <v>2017</v>
      </c>
      <c r="C63" s="359">
        <f>VLOOKUP($E$3,'Catchment Projections'!$A$1:$BZ$90,43,FALSE)</f>
        <v>28</v>
      </c>
      <c r="D63" s="358">
        <f>VLOOKUP($E$3,'Catchment Projections'!$A$1:$BZ$90,77,FALSE)</f>
        <v>26</v>
      </c>
      <c r="E63" s="304">
        <f>D63/C63</f>
        <v>0.9285714285714286</v>
      </c>
      <c r="G63" s="114">
        <v>2017</v>
      </c>
      <c r="H63" s="395">
        <f>VLOOKUP($G$63,$B$177:$C$215, 2, FALSE)</f>
        <v>33</v>
      </c>
      <c r="I63" s="120">
        <f>H63-D63</f>
        <v>7</v>
      </c>
      <c r="J63" s="121">
        <f>I63/H63</f>
        <v>0.21212121212121213</v>
      </c>
    </row>
    <row r="64" spans="2:17" ht="15" customHeight="1">
      <c r="B64" s="114">
        <v>2018</v>
      </c>
      <c r="C64" s="359">
        <f>VLOOKUP($E$3,'Catchment Projections'!$A$1:$BZ$90,44,FALSE)</f>
        <v>33</v>
      </c>
      <c r="D64" s="358">
        <f>VLOOKUP($E$3,'Catchment Projections'!$A$1:$BZ$90,78,FALSE)</f>
        <v>33</v>
      </c>
      <c r="E64" s="305">
        <f>D64/C64</f>
        <v>1</v>
      </c>
      <c r="G64" s="114">
        <v>2018</v>
      </c>
      <c r="H64" s="395">
        <f>VLOOKUP($G$64,$B$177:$C$215, 2, FALSE)</f>
        <v>37</v>
      </c>
      <c r="I64" s="120">
        <f>H64-D64</f>
        <v>4</v>
      </c>
      <c r="J64" s="121">
        <f>I64/H64</f>
        <v>0.10810810810810811</v>
      </c>
    </row>
    <row r="65" spans="2:10" ht="15" customHeight="1">
      <c r="B65" s="412" t="s">
        <v>136</v>
      </c>
      <c r="C65" s="413"/>
      <c r="D65" s="414"/>
      <c r="E65" s="137">
        <f>IF((AVERAGE(E62:E64))="#DIV/0!","n/a",(AVERAGE(E62:E64)))</f>
        <v>0.95598845598845605</v>
      </c>
      <c r="G65" s="415" t="s">
        <v>137</v>
      </c>
      <c r="H65" s="416"/>
      <c r="I65" s="138">
        <f>MEDIAN(I60:I64)</f>
        <v>7</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33</v>
      </c>
      <c r="D70" s="408"/>
      <c r="E70" s="122">
        <f>E65</f>
        <v>0.95598845598845605</v>
      </c>
      <c r="F70" s="120">
        <f t="shared" ref="F70:F83" si="1">C70*$E$65</f>
        <v>31.547619047619051</v>
      </c>
      <c r="G70" s="118">
        <f>IF(F70&lt;26,25,IF(F70&gt;135,140,IF(F70&gt;130,135,IF(F70&gt;125,130,IF(F70&gt;120,125,IF(F70&gt;115,120,IF(F70&gt;110,115,IF(F70&gt;105,110,IF(F70&gt;100,105,IF(F70&gt;99,100,IF(F70&gt;90,99,IF(F70&gt;75,90,IF(F70&gt;72,75,IF(F70&gt;66,72,IF(F70&gt;60,66,IF(F70&gt;50,60,IF(F70&gt;30,50,IF(F70&gt;25,30,0))))))))))))))))))</f>
        <v>50</v>
      </c>
      <c r="H70" s="119">
        <f t="shared" ref="H70:H83" si="2">G70-F70</f>
        <v>18.452380952380949</v>
      </c>
      <c r="I70" s="118" t="str">
        <f>IF(I$65&lt;H70, "NO", "YES")</f>
        <v>NO</v>
      </c>
      <c r="J70" s="117">
        <f t="shared" ref="J70:J83" si="3">IF(I70="YES",G70,(MIN((SUM(F70,$I$65)),G70)))</f>
        <v>38.547619047619051</v>
      </c>
    </row>
    <row r="71" spans="2:10" ht="15" customHeight="1">
      <c r="B71" s="114">
        <v>2020</v>
      </c>
      <c r="C71" s="433">
        <f>E51</f>
        <v>28</v>
      </c>
      <c r="D71" s="408"/>
      <c r="E71" s="121">
        <f>E65</f>
        <v>0.95598845598845605</v>
      </c>
      <c r="F71" s="120">
        <f t="shared" si="1"/>
        <v>26.767676767676768</v>
      </c>
      <c r="G71" s="118">
        <f t="shared" ref="G71:G83" si="4">IF(F71&lt;26,25,IF(F71&gt;135,140,IF(F71&gt;130,135,IF(F71&gt;125,130,IF(F71&gt;120,125,IF(F71&gt;115,120,IF(F71&gt;110,115,IF(F71&gt;105,110,IF(F71&gt;100,105,IF(F71&gt;99,100,IF(F71&gt;90,99,IF(F71&gt;75,90,IF(F71&gt;72,75,IF(F71&gt;66,72,IF(F71&gt;60,66,IF(F71&gt;50,60,IF(F71&gt;30,50,IF(F71&gt;25,30,0))))))))))))))))))</f>
        <v>30</v>
      </c>
      <c r="H71" s="119">
        <f t="shared" si="2"/>
        <v>3.2323232323232318</v>
      </c>
      <c r="I71" s="118" t="str">
        <f t="shared" ref="I71:I83" si="5">IF(I$65&lt;H71, "NO", "YES")</f>
        <v>YES</v>
      </c>
      <c r="J71" s="117">
        <f t="shared" si="3"/>
        <v>30</v>
      </c>
    </row>
    <row r="72" spans="2:10" ht="15" customHeight="1">
      <c r="B72" s="114">
        <v>2021</v>
      </c>
      <c r="C72" s="430">
        <f>F51</f>
        <v>37</v>
      </c>
      <c r="D72" s="431"/>
      <c r="E72" s="121">
        <f>E65</f>
        <v>0.95598845598845605</v>
      </c>
      <c r="F72" s="120">
        <f t="shared" si="1"/>
        <v>35.371572871572873</v>
      </c>
      <c r="G72" s="118">
        <f t="shared" si="4"/>
        <v>50</v>
      </c>
      <c r="H72" s="119">
        <f t="shared" si="2"/>
        <v>14.628427128427127</v>
      </c>
      <c r="I72" s="118" t="str">
        <f t="shared" si="5"/>
        <v>NO</v>
      </c>
      <c r="J72" s="117">
        <f t="shared" si="3"/>
        <v>42.371572871572873</v>
      </c>
    </row>
    <row r="73" spans="2:10" ht="15" customHeight="1">
      <c r="B73" s="114">
        <v>2022</v>
      </c>
      <c r="C73" s="430">
        <f>G51</f>
        <v>22</v>
      </c>
      <c r="D73" s="431"/>
      <c r="E73" s="121">
        <f>E65</f>
        <v>0.95598845598845605</v>
      </c>
      <c r="F73" s="120">
        <f t="shared" si="1"/>
        <v>21.031746031746032</v>
      </c>
      <c r="G73" s="118">
        <f t="shared" si="4"/>
        <v>25</v>
      </c>
      <c r="H73" s="119">
        <f t="shared" si="2"/>
        <v>3.9682539682539684</v>
      </c>
      <c r="I73" s="118" t="str">
        <f t="shared" si="5"/>
        <v>YES</v>
      </c>
      <c r="J73" s="117">
        <f t="shared" si="3"/>
        <v>25</v>
      </c>
    </row>
    <row r="74" spans="2:10" ht="15" customHeight="1">
      <c r="B74" s="114">
        <v>2023</v>
      </c>
      <c r="C74" s="430">
        <f>H51</f>
        <v>31</v>
      </c>
      <c r="D74" s="431"/>
      <c r="E74" s="121">
        <f>E65</f>
        <v>0.95598845598845605</v>
      </c>
      <c r="F74" s="120">
        <f t="shared" si="1"/>
        <v>29.635642135642136</v>
      </c>
      <c r="G74" s="118">
        <f t="shared" si="4"/>
        <v>30</v>
      </c>
      <c r="H74" s="119">
        <f t="shared" si="2"/>
        <v>0.36435786435786355</v>
      </c>
      <c r="I74" s="118" t="str">
        <f t="shared" si="5"/>
        <v>YES</v>
      </c>
      <c r="J74" s="117">
        <f t="shared" si="3"/>
        <v>30</v>
      </c>
    </row>
    <row r="75" spans="2:10" ht="15" customHeight="1">
      <c r="B75" s="114">
        <v>2024</v>
      </c>
      <c r="C75" s="430">
        <f>I51</f>
        <v>31</v>
      </c>
      <c r="D75" s="431"/>
      <c r="E75" s="121">
        <f>E65</f>
        <v>0.95598845598845605</v>
      </c>
      <c r="F75" s="120">
        <f t="shared" si="1"/>
        <v>29.635642135642136</v>
      </c>
      <c r="G75" s="118">
        <f t="shared" si="4"/>
        <v>30</v>
      </c>
      <c r="H75" s="119">
        <f t="shared" si="2"/>
        <v>0.36435786435786355</v>
      </c>
      <c r="I75" s="118" t="str">
        <f t="shared" si="5"/>
        <v>YES</v>
      </c>
      <c r="J75" s="117">
        <f t="shared" si="3"/>
        <v>30</v>
      </c>
    </row>
    <row r="76" spans="2:10" ht="15" customHeight="1">
      <c r="B76" s="114">
        <v>2025</v>
      </c>
      <c r="C76" s="430">
        <f>J51</f>
        <v>31</v>
      </c>
      <c r="D76" s="431"/>
      <c r="E76" s="121">
        <f>E65</f>
        <v>0.95598845598845605</v>
      </c>
      <c r="F76" s="120">
        <f t="shared" si="1"/>
        <v>29.635642135642136</v>
      </c>
      <c r="G76" s="118">
        <f t="shared" si="4"/>
        <v>30</v>
      </c>
      <c r="H76" s="119">
        <f t="shared" si="2"/>
        <v>0.36435786435786355</v>
      </c>
      <c r="I76" s="118" t="str">
        <f t="shared" si="5"/>
        <v>YES</v>
      </c>
      <c r="J76" s="117">
        <f t="shared" si="3"/>
        <v>30</v>
      </c>
    </row>
    <row r="77" spans="2:10" ht="15" customHeight="1">
      <c r="B77" s="114">
        <v>2026</v>
      </c>
      <c r="C77" s="430">
        <f>K51</f>
        <v>32</v>
      </c>
      <c r="D77" s="431"/>
      <c r="E77" s="121">
        <f>E65</f>
        <v>0.95598845598845605</v>
      </c>
      <c r="F77" s="120">
        <f t="shared" si="1"/>
        <v>30.591630591630594</v>
      </c>
      <c r="G77" s="118">
        <f t="shared" si="4"/>
        <v>50</v>
      </c>
      <c r="H77" s="119">
        <f t="shared" si="2"/>
        <v>19.408369408369406</v>
      </c>
      <c r="I77" s="118" t="str">
        <f t="shared" si="5"/>
        <v>NO</v>
      </c>
      <c r="J77" s="117">
        <f t="shared" si="3"/>
        <v>37.59163059163059</v>
      </c>
    </row>
    <row r="78" spans="2:10" ht="15" customHeight="1">
      <c r="B78" s="114">
        <v>2027</v>
      </c>
      <c r="C78" s="430">
        <f>L51</f>
        <v>32</v>
      </c>
      <c r="D78" s="431"/>
      <c r="E78" s="121">
        <f>E65</f>
        <v>0.95598845598845605</v>
      </c>
      <c r="F78" s="120">
        <f t="shared" si="1"/>
        <v>30.591630591630594</v>
      </c>
      <c r="G78" s="118">
        <f t="shared" si="4"/>
        <v>50</v>
      </c>
      <c r="H78" s="119">
        <f t="shared" si="2"/>
        <v>19.408369408369406</v>
      </c>
      <c r="I78" s="118" t="str">
        <f t="shared" si="5"/>
        <v>NO</v>
      </c>
      <c r="J78" s="117">
        <f t="shared" si="3"/>
        <v>37.59163059163059</v>
      </c>
    </row>
    <row r="79" spans="2:10" ht="15" customHeight="1">
      <c r="B79" s="114">
        <v>2028</v>
      </c>
      <c r="C79" s="430">
        <f>M51</f>
        <v>32</v>
      </c>
      <c r="D79" s="431"/>
      <c r="E79" s="121">
        <f t="shared" ref="E79:E83" si="6">$E$65</f>
        <v>0.95598845598845605</v>
      </c>
      <c r="F79" s="120">
        <f t="shared" si="1"/>
        <v>30.591630591630594</v>
      </c>
      <c r="G79" s="118">
        <f t="shared" si="4"/>
        <v>50</v>
      </c>
      <c r="H79" s="119">
        <f t="shared" si="2"/>
        <v>19.408369408369406</v>
      </c>
      <c r="I79" s="118" t="str">
        <f t="shared" si="5"/>
        <v>NO</v>
      </c>
      <c r="J79" s="117">
        <f t="shared" si="3"/>
        <v>37.59163059163059</v>
      </c>
    </row>
    <row r="80" spans="2:10" ht="15" customHeight="1">
      <c r="B80" s="114">
        <v>2029</v>
      </c>
      <c r="C80" s="430">
        <f>N51</f>
        <v>32</v>
      </c>
      <c r="D80" s="431"/>
      <c r="E80" s="121">
        <f t="shared" si="6"/>
        <v>0.95598845598845605</v>
      </c>
      <c r="F80" s="120">
        <f t="shared" si="1"/>
        <v>30.591630591630594</v>
      </c>
      <c r="G80" s="118">
        <f t="shared" si="4"/>
        <v>50</v>
      </c>
      <c r="H80" s="119">
        <f t="shared" si="2"/>
        <v>19.408369408369406</v>
      </c>
      <c r="I80" s="118" t="str">
        <f t="shared" si="5"/>
        <v>NO</v>
      </c>
      <c r="J80" s="117">
        <f t="shared" si="3"/>
        <v>37.59163059163059</v>
      </c>
    </row>
    <row r="81" spans="2:10" ht="15" customHeight="1">
      <c r="B81" s="114">
        <v>2030</v>
      </c>
      <c r="C81" s="430">
        <f>O51</f>
        <v>32</v>
      </c>
      <c r="D81" s="431"/>
      <c r="E81" s="121">
        <f t="shared" si="6"/>
        <v>0.95598845598845605</v>
      </c>
      <c r="F81" s="120">
        <f t="shared" si="1"/>
        <v>30.591630591630594</v>
      </c>
      <c r="G81" s="118">
        <f t="shared" si="4"/>
        <v>50</v>
      </c>
      <c r="H81" s="119">
        <f t="shared" si="2"/>
        <v>19.408369408369406</v>
      </c>
      <c r="I81" s="118" t="str">
        <f t="shared" si="5"/>
        <v>NO</v>
      </c>
      <c r="J81" s="117">
        <f t="shared" si="3"/>
        <v>37.59163059163059</v>
      </c>
    </row>
    <row r="82" spans="2:10" ht="15" customHeight="1">
      <c r="B82" s="114">
        <v>2031</v>
      </c>
      <c r="C82" s="430">
        <f>P51</f>
        <v>32</v>
      </c>
      <c r="D82" s="431"/>
      <c r="E82" s="121">
        <f t="shared" si="6"/>
        <v>0.95598845598845605</v>
      </c>
      <c r="F82" s="120">
        <f t="shared" si="1"/>
        <v>30.591630591630594</v>
      </c>
      <c r="G82" s="118">
        <f t="shared" si="4"/>
        <v>50</v>
      </c>
      <c r="H82" s="119">
        <f t="shared" si="2"/>
        <v>19.408369408369406</v>
      </c>
      <c r="I82" s="118" t="str">
        <f t="shared" si="5"/>
        <v>NO</v>
      </c>
      <c r="J82" s="117">
        <f t="shared" si="3"/>
        <v>37.59163059163059</v>
      </c>
    </row>
    <row r="83" spans="2:10" ht="15" customHeight="1">
      <c r="B83" s="114">
        <v>2032</v>
      </c>
      <c r="C83" s="430">
        <f>Q51</f>
        <v>32</v>
      </c>
      <c r="D83" s="431"/>
      <c r="E83" s="121">
        <f t="shared" si="6"/>
        <v>0.95598845598845605</v>
      </c>
      <c r="F83" s="120">
        <f t="shared" si="1"/>
        <v>30.591630591630594</v>
      </c>
      <c r="G83" s="118">
        <f t="shared" si="4"/>
        <v>50</v>
      </c>
      <c r="H83" s="119">
        <f t="shared" si="2"/>
        <v>19.408369408369406</v>
      </c>
      <c r="I83" s="118" t="str">
        <f t="shared" si="5"/>
        <v>NO</v>
      </c>
      <c r="J83" s="117">
        <f t="shared" si="3"/>
        <v>37.59163059163059</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Roseburn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31</v>
      </c>
      <c r="D91" s="112">
        <f t="shared" ref="D91:J91" si="7">D188</f>
        <v>48</v>
      </c>
      <c r="E91" s="112">
        <f t="shared" si="7"/>
        <v>35</v>
      </c>
      <c r="F91" s="112">
        <f t="shared" si="7"/>
        <v>35</v>
      </c>
      <c r="G91" s="112">
        <f t="shared" si="7"/>
        <v>22</v>
      </c>
      <c r="H91" s="112">
        <f t="shared" si="7"/>
        <v>30</v>
      </c>
      <c r="I91" s="112">
        <f t="shared" si="7"/>
        <v>32</v>
      </c>
      <c r="J91" s="213">
        <f t="shared" si="7"/>
        <v>233</v>
      </c>
    </row>
    <row r="92" spans="2:10" ht="15" customHeight="1">
      <c r="B92" s="114">
        <v>2014</v>
      </c>
      <c r="C92" s="112">
        <f>C189</f>
        <v>47</v>
      </c>
      <c r="D92" s="112">
        <f t="shared" ref="D92:J92" si="8">D189</f>
        <v>34</v>
      </c>
      <c r="E92" s="112">
        <f t="shared" si="8"/>
        <v>49</v>
      </c>
      <c r="F92" s="112">
        <f t="shared" si="8"/>
        <v>32</v>
      </c>
      <c r="G92" s="112">
        <f t="shared" si="8"/>
        <v>39</v>
      </c>
      <c r="H92" s="112">
        <f t="shared" si="8"/>
        <v>22</v>
      </c>
      <c r="I92" s="112">
        <f t="shared" si="8"/>
        <v>29</v>
      </c>
      <c r="J92" s="213">
        <f t="shared" si="8"/>
        <v>252</v>
      </c>
    </row>
    <row r="93" spans="2:10" ht="15" customHeight="1">
      <c r="B93" s="114">
        <v>2015</v>
      </c>
      <c r="C93" s="112">
        <f>C190</f>
        <v>46</v>
      </c>
      <c r="D93" s="112">
        <f t="shared" ref="D93:J93" si="9">D190</f>
        <v>46</v>
      </c>
      <c r="E93" s="112">
        <f t="shared" si="9"/>
        <v>31</v>
      </c>
      <c r="F93" s="112">
        <f t="shared" si="9"/>
        <v>48</v>
      </c>
      <c r="G93" s="112">
        <f t="shared" si="9"/>
        <v>29</v>
      </c>
      <c r="H93" s="112">
        <f t="shared" si="9"/>
        <v>35</v>
      </c>
      <c r="I93" s="112">
        <f t="shared" si="9"/>
        <v>17</v>
      </c>
      <c r="J93" s="213">
        <f t="shared" si="9"/>
        <v>252</v>
      </c>
    </row>
    <row r="94" spans="2:10" ht="15" customHeight="1">
      <c r="B94" s="114">
        <v>2016</v>
      </c>
      <c r="C94" s="112">
        <f>C191</f>
        <v>33</v>
      </c>
      <c r="D94" s="112">
        <f t="shared" ref="D94:J94" si="10">D191</f>
        <v>46</v>
      </c>
      <c r="E94" s="112">
        <f t="shared" si="10"/>
        <v>45</v>
      </c>
      <c r="F94" s="112">
        <f t="shared" si="10"/>
        <v>31</v>
      </c>
      <c r="G94" s="112">
        <f t="shared" si="10"/>
        <v>48</v>
      </c>
      <c r="H94" s="112">
        <f t="shared" si="10"/>
        <v>29</v>
      </c>
      <c r="I94" s="112">
        <f t="shared" si="10"/>
        <v>39</v>
      </c>
      <c r="J94" s="213">
        <f t="shared" si="10"/>
        <v>271</v>
      </c>
    </row>
    <row r="95" spans="2:10" ht="15" customHeight="1">
      <c r="B95" s="114">
        <v>2017</v>
      </c>
      <c r="C95" s="112">
        <f>C192</f>
        <v>33</v>
      </c>
      <c r="D95" s="112">
        <f t="shared" ref="D95:J95" si="11">D192</f>
        <v>35</v>
      </c>
      <c r="E95" s="112">
        <f t="shared" si="11"/>
        <v>46</v>
      </c>
      <c r="F95" s="112">
        <f t="shared" si="11"/>
        <v>44</v>
      </c>
      <c r="G95" s="112">
        <f t="shared" si="11"/>
        <v>29</v>
      </c>
      <c r="H95" s="112">
        <f t="shared" si="11"/>
        <v>47</v>
      </c>
      <c r="I95" s="112">
        <f t="shared" si="11"/>
        <v>27</v>
      </c>
      <c r="J95" s="213">
        <f t="shared" si="11"/>
        <v>261</v>
      </c>
    </row>
    <row r="96" spans="2:10" ht="15" customHeight="1">
      <c r="B96" s="307">
        <v>2018</v>
      </c>
      <c r="C96" s="112">
        <f t="shared" ref="C96:J96" si="12">C193</f>
        <v>37</v>
      </c>
      <c r="D96" s="112">
        <f t="shared" si="12"/>
        <v>35</v>
      </c>
      <c r="E96" s="112">
        <f t="shared" si="12"/>
        <v>32</v>
      </c>
      <c r="F96" s="112">
        <f t="shared" si="12"/>
        <v>44</v>
      </c>
      <c r="G96" s="112">
        <f t="shared" si="12"/>
        <v>47</v>
      </c>
      <c r="H96" s="112">
        <f t="shared" si="12"/>
        <v>30</v>
      </c>
      <c r="I96" s="112">
        <f t="shared" si="12"/>
        <v>44</v>
      </c>
      <c r="J96" s="213">
        <f t="shared" si="12"/>
        <v>269</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-6.0606060606060608E-2</v>
      </c>
      <c r="E98" s="210">
        <f t="shared" ref="E98:I98" si="13">MEDIAN(((D91-E92)/D91),((D92-E93)/D92),((D93-E94)/D93),((D94-E95)/D94),((D95-E96)/D95))</f>
        <v>2.1739130434782608E-2</v>
      </c>
      <c r="F98" s="210">
        <f t="shared" si="13"/>
        <v>2.2222222222222223E-2</v>
      </c>
      <c r="G98" s="210">
        <f t="shared" si="13"/>
        <v>0</v>
      </c>
      <c r="H98" s="210">
        <f t="shared" si="13"/>
        <v>0</v>
      </c>
      <c r="I98" s="210">
        <f t="shared" si="13"/>
        <v>6.3829787234042548E-2</v>
      </c>
    </row>
    <row r="99" spans="2:10" ht="18.75">
      <c r="B99" s="59"/>
      <c r="C99" s="60"/>
      <c r="D99" s="61"/>
      <c r="E99" s="61"/>
      <c r="F99" s="61"/>
      <c r="G99" s="61"/>
      <c r="H99" s="61"/>
      <c r="I99" s="61"/>
      <c r="J99" s="58"/>
    </row>
    <row r="100" spans="2:10">
      <c r="B100" s="15" t="str">
        <f>"Table 4B: "&amp;E3&amp;" Projected Roll by Stage (incorporating Projected P1 and Drop-Off Rates), 2019-2032"</f>
        <v>Table 4B: Roseburn Primary School Projected Roll by Stage (incorporating Projected P1 and Drop-Off Rates), 2019-2032</v>
      </c>
      <c r="F100" s="14"/>
      <c r="G100" s="14"/>
    </row>
    <row r="101" spans="2:10" ht="12.75">
      <c r="F101" s="14"/>
      <c r="G101" s="14"/>
    </row>
    <row r="102" spans="2:10">
      <c r="B102" s="115"/>
      <c r="C102" s="109" t="s">
        <v>1</v>
      </c>
      <c r="D102" s="109" t="s">
        <v>2</v>
      </c>
      <c r="E102" s="109" t="s">
        <v>3</v>
      </c>
      <c r="F102" s="109" t="s">
        <v>4</v>
      </c>
      <c r="G102" s="109" t="s">
        <v>5</v>
      </c>
      <c r="H102" s="109" t="s">
        <v>6</v>
      </c>
      <c r="I102" s="109" t="s">
        <v>7</v>
      </c>
      <c r="J102" s="109" t="s">
        <v>8</v>
      </c>
    </row>
    <row r="103" spans="2:10">
      <c r="B103" s="114">
        <v>2019</v>
      </c>
      <c r="C103" s="113">
        <f t="shared" ref="C103:C116" si="14">J70</f>
        <v>38.547619047619051</v>
      </c>
      <c r="D103" s="324">
        <f>ROUND((C96)-(C96*$D$98),0)</f>
        <v>39</v>
      </c>
      <c r="E103" s="324">
        <f>ROUND((D96)-(D96*$E$98),0)</f>
        <v>34</v>
      </c>
      <c r="F103" s="324">
        <f>ROUND((E96)-(E96*$F$98),0)</f>
        <v>31</v>
      </c>
      <c r="G103" s="324">
        <f>ROUND((F96)-(F96*$G$98),0)</f>
        <v>44</v>
      </c>
      <c r="H103" s="324">
        <f>ROUND((G96)-(G96*$H$98),0)</f>
        <v>47</v>
      </c>
      <c r="I103" s="324">
        <f>ROUND((H96)-(H96*$I$98),0)</f>
        <v>28</v>
      </c>
      <c r="J103" s="111">
        <f t="shared" ref="J103:J116" si="15">SUM(C103:I103)</f>
        <v>261.54761904761904</v>
      </c>
    </row>
    <row r="104" spans="2:10">
      <c r="B104" s="114">
        <v>2020</v>
      </c>
      <c r="C104" s="113">
        <f t="shared" si="14"/>
        <v>30</v>
      </c>
      <c r="D104" s="324">
        <f>ROUND((C103-E50)-(C103*$D$98),0)</f>
        <v>40</v>
      </c>
      <c r="E104" s="112">
        <f t="shared" ref="E104:E116" si="16">ROUND((D103)-(D103*$E$98),0)</f>
        <v>38</v>
      </c>
      <c r="F104" s="112">
        <f t="shared" ref="F104:F116" si="17">ROUND((E103)-(E103*$F$98),0)</f>
        <v>33</v>
      </c>
      <c r="G104" s="112">
        <f t="shared" ref="G104:G116" si="18">ROUND((F103)-(F103*$G$98),0)</f>
        <v>31</v>
      </c>
      <c r="H104" s="112">
        <f t="shared" ref="H104:H116" si="19">ROUND((G103)-(G103*$H$98),0)</f>
        <v>44</v>
      </c>
      <c r="I104" s="112">
        <f t="shared" ref="I104:I116" si="20">ROUND((H103)-(H103*$I$98),0)</f>
        <v>44</v>
      </c>
      <c r="J104" s="111">
        <f t="shared" si="15"/>
        <v>260</v>
      </c>
    </row>
    <row r="105" spans="2:10">
      <c r="B105" s="114">
        <v>2021</v>
      </c>
      <c r="C105" s="113">
        <f t="shared" si="14"/>
        <v>42.371572871572873</v>
      </c>
      <c r="D105" s="324">
        <f>ROUND((C104-F50)-(C104*$D$98),0)</f>
        <v>30</v>
      </c>
      <c r="E105" s="112">
        <f t="shared" si="16"/>
        <v>39</v>
      </c>
      <c r="F105" s="112">
        <f t="shared" si="17"/>
        <v>37</v>
      </c>
      <c r="G105" s="112">
        <f t="shared" si="18"/>
        <v>33</v>
      </c>
      <c r="H105" s="112">
        <f t="shared" si="19"/>
        <v>31</v>
      </c>
      <c r="I105" s="112">
        <f t="shared" si="20"/>
        <v>41</v>
      </c>
      <c r="J105" s="111">
        <f t="shared" si="15"/>
        <v>253.37157287157288</v>
      </c>
    </row>
    <row r="106" spans="2:10">
      <c r="B106" s="114">
        <v>2022</v>
      </c>
      <c r="C106" s="113">
        <f t="shared" si="14"/>
        <v>25</v>
      </c>
      <c r="D106" s="324">
        <f>ROUND((C105-G50)-(C105*$D$98),0)</f>
        <v>43</v>
      </c>
      <c r="E106" s="112">
        <f t="shared" si="16"/>
        <v>29</v>
      </c>
      <c r="F106" s="112">
        <f t="shared" si="17"/>
        <v>38</v>
      </c>
      <c r="G106" s="112">
        <f t="shared" si="18"/>
        <v>37</v>
      </c>
      <c r="H106" s="112">
        <f t="shared" si="19"/>
        <v>33</v>
      </c>
      <c r="I106" s="112">
        <f t="shared" si="20"/>
        <v>29</v>
      </c>
      <c r="J106" s="111">
        <f t="shared" si="15"/>
        <v>234</v>
      </c>
    </row>
    <row r="107" spans="2:10">
      <c r="B107" s="114">
        <v>2023</v>
      </c>
      <c r="C107" s="113">
        <f t="shared" si="14"/>
        <v>30</v>
      </c>
      <c r="D107" s="324">
        <f>ROUND((C106-H50)-(C106*$D$98),0)</f>
        <v>24</v>
      </c>
      <c r="E107" s="112">
        <f t="shared" si="16"/>
        <v>42</v>
      </c>
      <c r="F107" s="112">
        <f t="shared" si="17"/>
        <v>28</v>
      </c>
      <c r="G107" s="112">
        <f t="shared" si="18"/>
        <v>38</v>
      </c>
      <c r="H107" s="112">
        <f t="shared" si="19"/>
        <v>37</v>
      </c>
      <c r="I107" s="112">
        <f t="shared" si="20"/>
        <v>31</v>
      </c>
      <c r="J107" s="111">
        <f t="shared" si="15"/>
        <v>230</v>
      </c>
    </row>
    <row r="108" spans="2:10">
      <c r="B108" s="114">
        <v>2024</v>
      </c>
      <c r="C108" s="113">
        <f t="shared" si="14"/>
        <v>30</v>
      </c>
      <c r="D108" s="324">
        <f>ROUND((C107-I50)-(C107*$D$98),0)</f>
        <v>29</v>
      </c>
      <c r="E108" s="112">
        <f t="shared" si="16"/>
        <v>23</v>
      </c>
      <c r="F108" s="112">
        <f t="shared" si="17"/>
        <v>41</v>
      </c>
      <c r="G108" s="112">
        <f t="shared" si="18"/>
        <v>28</v>
      </c>
      <c r="H108" s="112">
        <f t="shared" si="19"/>
        <v>38</v>
      </c>
      <c r="I108" s="112">
        <f t="shared" si="20"/>
        <v>35</v>
      </c>
      <c r="J108" s="111">
        <f t="shared" si="15"/>
        <v>224</v>
      </c>
    </row>
    <row r="109" spans="2:10">
      <c r="B109" s="114">
        <v>2025</v>
      </c>
      <c r="C109" s="113">
        <f t="shared" si="14"/>
        <v>30</v>
      </c>
      <c r="D109" s="324">
        <f>ROUND((C108-J50)-(C108*$D$98),0)</f>
        <v>29</v>
      </c>
      <c r="E109" s="112">
        <f t="shared" si="16"/>
        <v>28</v>
      </c>
      <c r="F109" s="112">
        <f t="shared" si="17"/>
        <v>22</v>
      </c>
      <c r="G109" s="112">
        <f t="shared" si="18"/>
        <v>41</v>
      </c>
      <c r="H109" s="112">
        <f t="shared" si="19"/>
        <v>28</v>
      </c>
      <c r="I109" s="112">
        <f t="shared" si="20"/>
        <v>36</v>
      </c>
      <c r="J109" s="111">
        <f t="shared" si="15"/>
        <v>214</v>
      </c>
    </row>
    <row r="110" spans="2:10">
      <c r="B110" s="114">
        <v>2026</v>
      </c>
      <c r="C110" s="113">
        <f t="shared" si="14"/>
        <v>37.59163059163059</v>
      </c>
      <c r="D110" s="324">
        <f>ROUND((C109-K50)-(C109*$D$98),0)</f>
        <v>29</v>
      </c>
      <c r="E110" s="112">
        <f t="shared" si="16"/>
        <v>28</v>
      </c>
      <c r="F110" s="112">
        <f t="shared" si="17"/>
        <v>27</v>
      </c>
      <c r="G110" s="112">
        <f t="shared" si="18"/>
        <v>22</v>
      </c>
      <c r="H110" s="112">
        <f t="shared" si="19"/>
        <v>41</v>
      </c>
      <c r="I110" s="112">
        <f t="shared" si="20"/>
        <v>26</v>
      </c>
      <c r="J110" s="111">
        <f t="shared" si="15"/>
        <v>210.59163059163058</v>
      </c>
    </row>
    <row r="111" spans="2:10">
      <c r="B111" s="114">
        <v>2027</v>
      </c>
      <c r="C111" s="113">
        <f t="shared" si="14"/>
        <v>37.59163059163059</v>
      </c>
      <c r="D111" s="324">
        <f>ROUND((C110-L50)-(C110*$D$98),0)</f>
        <v>37</v>
      </c>
      <c r="E111" s="112">
        <f t="shared" si="16"/>
        <v>28</v>
      </c>
      <c r="F111" s="112">
        <f t="shared" si="17"/>
        <v>27</v>
      </c>
      <c r="G111" s="112">
        <f t="shared" si="18"/>
        <v>27</v>
      </c>
      <c r="H111" s="112">
        <f t="shared" si="19"/>
        <v>22</v>
      </c>
      <c r="I111" s="112">
        <f t="shared" si="20"/>
        <v>38</v>
      </c>
      <c r="J111" s="111">
        <f t="shared" si="15"/>
        <v>216.59163059163058</v>
      </c>
    </row>
    <row r="112" spans="2:10">
      <c r="B112" s="114">
        <v>2028</v>
      </c>
      <c r="C112" s="113">
        <f t="shared" si="14"/>
        <v>37.59163059163059</v>
      </c>
      <c r="D112" s="324">
        <f>ROUND((C111-M50)-(C111*$D$98),0)</f>
        <v>37</v>
      </c>
      <c r="E112" s="112">
        <f t="shared" si="16"/>
        <v>36</v>
      </c>
      <c r="F112" s="112">
        <f t="shared" si="17"/>
        <v>27</v>
      </c>
      <c r="G112" s="112">
        <f t="shared" si="18"/>
        <v>27</v>
      </c>
      <c r="H112" s="112">
        <f t="shared" si="19"/>
        <v>27</v>
      </c>
      <c r="I112" s="112">
        <f t="shared" si="20"/>
        <v>21</v>
      </c>
      <c r="J112" s="111">
        <f t="shared" si="15"/>
        <v>212.59163059163058</v>
      </c>
    </row>
    <row r="113" spans="2:10" ht="15" customHeight="1">
      <c r="B113" s="114">
        <v>2029</v>
      </c>
      <c r="C113" s="113">
        <f t="shared" si="14"/>
        <v>37.59163059163059</v>
      </c>
      <c r="D113" s="324">
        <f>ROUND((C112-N50)-(C112*$D$98),0)</f>
        <v>37</v>
      </c>
      <c r="E113" s="112">
        <f t="shared" si="16"/>
        <v>36</v>
      </c>
      <c r="F113" s="112">
        <f t="shared" si="17"/>
        <v>35</v>
      </c>
      <c r="G113" s="112">
        <f t="shared" si="18"/>
        <v>27</v>
      </c>
      <c r="H113" s="112">
        <f t="shared" si="19"/>
        <v>27</v>
      </c>
      <c r="I113" s="112">
        <f t="shared" si="20"/>
        <v>25</v>
      </c>
      <c r="J113" s="111">
        <f t="shared" si="15"/>
        <v>224.59163059163058</v>
      </c>
    </row>
    <row r="114" spans="2:10" ht="15" customHeight="1">
      <c r="B114" s="114">
        <v>2030</v>
      </c>
      <c r="C114" s="113">
        <f t="shared" si="14"/>
        <v>37.59163059163059</v>
      </c>
      <c r="D114" s="324">
        <f>ROUND((C113-O50)-(C113*$D$98),0)</f>
        <v>37</v>
      </c>
      <c r="E114" s="112">
        <f t="shared" si="16"/>
        <v>36</v>
      </c>
      <c r="F114" s="112">
        <f t="shared" si="17"/>
        <v>35</v>
      </c>
      <c r="G114" s="112">
        <f t="shared" si="18"/>
        <v>35</v>
      </c>
      <c r="H114" s="112">
        <f t="shared" si="19"/>
        <v>27</v>
      </c>
      <c r="I114" s="112">
        <f t="shared" si="20"/>
        <v>25</v>
      </c>
      <c r="J114" s="111">
        <f t="shared" si="15"/>
        <v>232.59163059163058</v>
      </c>
    </row>
    <row r="115" spans="2:10" ht="15" customHeight="1">
      <c r="B115" s="114">
        <v>2031</v>
      </c>
      <c r="C115" s="113">
        <f t="shared" si="14"/>
        <v>37.59163059163059</v>
      </c>
      <c r="D115" s="324">
        <f>ROUND((C114-P50)-(C114*$D$98),0)</f>
        <v>37</v>
      </c>
      <c r="E115" s="112">
        <f t="shared" si="16"/>
        <v>36</v>
      </c>
      <c r="F115" s="112">
        <f t="shared" si="17"/>
        <v>35</v>
      </c>
      <c r="G115" s="112">
        <f t="shared" si="18"/>
        <v>35</v>
      </c>
      <c r="H115" s="112">
        <f t="shared" si="19"/>
        <v>35</v>
      </c>
      <c r="I115" s="112">
        <f t="shared" si="20"/>
        <v>25</v>
      </c>
      <c r="J115" s="111">
        <f t="shared" si="15"/>
        <v>240.59163059163058</v>
      </c>
    </row>
    <row r="116" spans="2:10" ht="15" customHeight="1">
      <c r="B116" s="114">
        <v>2032</v>
      </c>
      <c r="C116" s="113">
        <f t="shared" si="14"/>
        <v>37.59163059163059</v>
      </c>
      <c r="D116" s="324">
        <f>ROUND((C115-Q50)-(C115*$D$98),0)</f>
        <v>37</v>
      </c>
      <c r="E116" s="112">
        <f t="shared" si="16"/>
        <v>36</v>
      </c>
      <c r="F116" s="112">
        <f t="shared" si="17"/>
        <v>35</v>
      </c>
      <c r="G116" s="112">
        <f t="shared" si="18"/>
        <v>35</v>
      </c>
      <c r="H116" s="112">
        <f t="shared" si="19"/>
        <v>35</v>
      </c>
      <c r="I116" s="112">
        <f t="shared" si="20"/>
        <v>33</v>
      </c>
      <c r="J116" s="111">
        <f t="shared" si="15"/>
        <v>248.59163059163058</v>
      </c>
    </row>
    <row r="117" spans="2:10" ht="15" hidden="1" customHeight="1">
      <c r="F117" s="14"/>
      <c r="G117" s="14"/>
    </row>
    <row r="118" spans="2:10" ht="15" hidden="1" customHeight="1">
      <c r="B118" s="15" t="str">
        <f>"Table 4C: "&amp;E3&amp;" Projected Pupil Generation from Housing Development, 2019-2032"</f>
        <v>Table 4C: Roseburn Primary School Projected Pupil Generation from Housing Development, 2019-2032</v>
      </c>
      <c r="F118" s="14"/>
      <c r="G118" s="14"/>
    </row>
    <row r="119" spans="2:10" ht="15" hidden="1" customHeight="1">
      <c r="F119" s="14"/>
      <c r="G119" s="14"/>
    </row>
    <row r="120" spans="2:10" ht="15" hidden="1" customHeight="1">
      <c r="B120" s="115"/>
      <c r="C120" s="109" t="s">
        <v>1</v>
      </c>
      <c r="D120" s="109" t="s">
        <v>2</v>
      </c>
      <c r="E120" s="109" t="s">
        <v>3</v>
      </c>
      <c r="F120" s="109" t="s">
        <v>4</v>
      </c>
      <c r="G120" s="109" t="s">
        <v>5</v>
      </c>
      <c r="H120" s="109" t="s">
        <v>6</v>
      </c>
      <c r="I120" s="109" t="s">
        <v>7</v>
      </c>
      <c r="J120" s="109" t="s">
        <v>8</v>
      </c>
    </row>
    <row r="121" spans="2:10" ht="15" hidden="1" customHeight="1">
      <c r="B121" s="114">
        <v>2019</v>
      </c>
      <c r="C121" s="116" t="s">
        <v>97</v>
      </c>
      <c r="D121" s="112">
        <f>VLOOKUP($E$3,'Housing Generation'!$A$3:$BE$90,11,FALSE)</f>
        <v>1</v>
      </c>
      <c r="E121" s="112">
        <f>VLOOKUP($E$3,'Housing Generation'!$A$3:$BE$90,12,FALSE)</f>
        <v>1</v>
      </c>
      <c r="F121" s="112">
        <f>VLOOKUP($E$3,'Housing Generation'!$A$3:$BE$90,13,FALSE)</f>
        <v>1</v>
      </c>
      <c r="G121" s="112">
        <f>VLOOKUP($E$3,'Housing Generation'!$A$3:$BE$90,14,FALSE)</f>
        <v>0</v>
      </c>
      <c r="H121" s="112">
        <f>VLOOKUP($E$3,'Housing Generation'!$A$3:$BE$90,15,FALSE)</f>
        <v>0</v>
      </c>
      <c r="I121" s="112">
        <f>VLOOKUP($E$3,'Housing Generation'!$A$3:$BE$90,16,FALSE)</f>
        <v>0</v>
      </c>
      <c r="J121" s="111">
        <f t="shared" ref="J121:J134" si="21">SUM(D121:I121)</f>
        <v>3</v>
      </c>
    </row>
    <row r="122" spans="2:10" ht="15" hidden="1" customHeight="1">
      <c r="B122" s="114">
        <v>2020</v>
      </c>
      <c r="C122" s="116" t="s">
        <v>97</v>
      </c>
      <c r="D122" s="112">
        <f>VLOOKUP($E$3,'Housing Generation'!$A$3:$BE$90,19,FALSE)</f>
        <v>1</v>
      </c>
      <c r="E122" s="112">
        <f>VLOOKUP($E$3,'Housing Generation'!$A$3:$BE$90,20,FALSE)</f>
        <v>1</v>
      </c>
      <c r="F122" s="112">
        <f>VLOOKUP($E$3,'Housing Generation'!$A$3:$BE$90,21,FALSE)</f>
        <v>1</v>
      </c>
      <c r="G122" s="112">
        <f>VLOOKUP($E$3,'Housing Generation'!$A$3:$BE$90,22,FALSE)</f>
        <v>1</v>
      </c>
      <c r="H122" s="112">
        <f>VLOOKUP($E$3,'Housing Generation'!$A$3:$BE$90,23,FALSE)</f>
        <v>1</v>
      </c>
      <c r="I122" s="112">
        <f>VLOOKUP($E$3,'Housing Generation'!$A$3:$BE$90,24,FALSE)</f>
        <v>1</v>
      </c>
      <c r="J122" s="111">
        <f t="shared" si="21"/>
        <v>6</v>
      </c>
    </row>
    <row r="123" spans="2:10" ht="15" hidden="1" customHeight="1">
      <c r="B123" s="114">
        <v>2021</v>
      </c>
      <c r="C123" s="116" t="s">
        <v>97</v>
      </c>
      <c r="D123" s="112">
        <f>VLOOKUP($E$3,'Housing Generation'!$A$3:$BE$90,27,FALSE)</f>
        <v>2</v>
      </c>
      <c r="E123" s="112">
        <f>VLOOKUP($E$3,'Housing Generation'!$A$3:$BE$90,28,FALSE)</f>
        <v>2</v>
      </c>
      <c r="F123" s="112">
        <f>VLOOKUP($E$3,'Housing Generation'!$A$3:$BE$90,29,FALSE)</f>
        <v>1</v>
      </c>
      <c r="G123" s="112">
        <f>VLOOKUP($E$3,'Housing Generation'!$A$3:$BE$90,30,FALSE)</f>
        <v>1</v>
      </c>
      <c r="H123" s="112">
        <f>VLOOKUP($E$3,'Housing Generation'!$A$3:$BE$90,31,FALSE)</f>
        <v>1</v>
      </c>
      <c r="I123" s="112">
        <f>VLOOKUP($E$3,'Housing Generation'!$A$3:$BE$90,32,FALSE)</f>
        <v>1</v>
      </c>
      <c r="J123" s="111">
        <f t="shared" si="21"/>
        <v>8</v>
      </c>
    </row>
    <row r="124" spans="2:10" ht="15" hidden="1" customHeight="1">
      <c r="B124" s="114">
        <v>2022</v>
      </c>
      <c r="C124" s="116" t="s">
        <v>97</v>
      </c>
      <c r="D124" s="112">
        <f>VLOOKUP($E$3,'Housing Generation'!$A$3:$BE$90,35,FALSE)</f>
        <v>2</v>
      </c>
      <c r="E124" s="112">
        <f>VLOOKUP($E$3,'Housing Generation'!$A$3:$BE$90,36,FALSE)</f>
        <v>2</v>
      </c>
      <c r="F124" s="112">
        <f>VLOOKUP($E$3,'Housing Generation'!$A$3:$BE$90,37,FALSE)</f>
        <v>2</v>
      </c>
      <c r="G124" s="112">
        <f>VLOOKUP($E$3,'Housing Generation'!$A$3:$BE$90,38,FALSE)</f>
        <v>2</v>
      </c>
      <c r="H124" s="112">
        <f>VLOOKUP($E$3,'Housing Generation'!$A$3:$BE$90,39,FALSE)</f>
        <v>2</v>
      </c>
      <c r="I124" s="112">
        <f>VLOOKUP($E$3,'Housing Generation'!$A$3:$BE$90,40,FALSE)</f>
        <v>1</v>
      </c>
      <c r="J124" s="111">
        <f t="shared" si="21"/>
        <v>11</v>
      </c>
    </row>
    <row r="125" spans="2:10" ht="15" hidden="1" customHeight="1">
      <c r="B125" s="114">
        <v>2023</v>
      </c>
      <c r="C125" s="116" t="s">
        <v>97</v>
      </c>
      <c r="D125" s="112">
        <f>VLOOKUP($E$3,'Housing Generation'!$A$3:$BE$90,43,FALSE)</f>
        <v>2</v>
      </c>
      <c r="E125" s="112">
        <f>VLOOKUP($E$3,'Housing Generation'!$A$3:$BE$90,44,FALSE)</f>
        <v>2</v>
      </c>
      <c r="F125" s="112">
        <f>VLOOKUP($E$3,'Housing Generation'!$A$3:$BE$90,45,FALSE)</f>
        <v>2</v>
      </c>
      <c r="G125" s="112">
        <f>VLOOKUP($E$3,'Housing Generation'!$A$3:$BE$90,46,FALSE)</f>
        <v>2</v>
      </c>
      <c r="H125" s="112">
        <f>VLOOKUP($E$3,'Housing Generation'!$A$3:$BE$90,47,FALSE)</f>
        <v>2</v>
      </c>
      <c r="I125" s="112">
        <f>VLOOKUP($E$3,'Housing Generation'!$A$3:$BE$90,48,FALSE)</f>
        <v>2</v>
      </c>
      <c r="J125" s="111">
        <f t="shared" si="21"/>
        <v>12</v>
      </c>
    </row>
    <row r="126" spans="2:10" ht="15" hidden="1" customHeight="1">
      <c r="B126" s="114">
        <v>2024</v>
      </c>
      <c r="C126" s="116" t="s">
        <v>97</v>
      </c>
      <c r="D126" s="112">
        <f>VLOOKUP($E$3,'Housing Generation'!$A$3:$BE$90,51,FALSE)</f>
        <v>3</v>
      </c>
      <c r="E126" s="112">
        <f>VLOOKUP($E$3,'Housing Generation'!$A$3:$BE$90,52,FALSE)</f>
        <v>2</v>
      </c>
      <c r="F126" s="112">
        <f>VLOOKUP($E$3,'Housing Generation'!$A$3:$BE$90,53,FALSE)</f>
        <v>2</v>
      </c>
      <c r="G126" s="112">
        <f>VLOOKUP($E$3,'Housing Generation'!$A$3:$BE$90,54,FALSE)</f>
        <v>2</v>
      </c>
      <c r="H126" s="112">
        <f>VLOOKUP($E$3,'Housing Generation'!$A$3:$BE$90,55,FALSE)</f>
        <v>2</v>
      </c>
      <c r="I126" s="112">
        <f>VLOOKUP($E$3,'Housing Generation'!$A$3:$BE$90,56,FALSE)</f>
        <v>2</v>
      </c>
      <c r="J126" s="111">
        <f t="shared" si="21"/>
        <v>13</v>
      </c>
    </row>
    <row r="127" spans="2:10" ht="15" hidden="1" customHeight="1">
      <c r="B127" s="114">
        <v>2025</v>
      </c>
      <c r="C127" s="240" t="s">
        <v>97</v>
      </c>
      <c r="D127" s="112">
        <f>VLOOKUP($E$3,'Housing Generation'!$A$3:$CK$90,59,FALSE)</f>
        <v>3</v>
      </c>
      <c r="E127" s="112">
        <f>VLOOKUP($E$3,'Housing Generation'!$A$3:$CK$90,60,FALSE)</f>
        <v>3</v>
      </c>
      <c r="F127" s="112">
        <f>VLOOKUP($E$3,'Housing Generation'!$A$3:$CK$90,61,FALSE)</f>
        <v>3</v>
      </c>
      <c r="G127" s="112">
        <f>VLOOKUP($E$3,'Housing Generation'!$A$3:$CK$90,62,FALSE)</f>
        <v>2</v>
      </c>
      <c r="H127" s="112">
        <f>VLOOKUP($E$3,'Housing Generation'!$A$3:$CK$90,63,FALSE)</f>
        <v>2</v>
      </c>
      <c r="I127" s="112">
        <f>VLOOKUP($E$3,'Housing Generation'!$A$3:$CK$90,64,FALSE)</f>
        <v>2</v>
      </c>
      <c r="J127" s="111">
        <f t="shared" si="21"/>
        <v>15</v>
      </c>
    </row>
    <row r="128" spans="2:10" ht="15" hidden="1" customHeight="1">
      <c r="B128" s="114">
        <v>2026</v>
      </c>
      <c r="C128" s="240" t="s">
        <v>97</v>
      </c>
      <c r="D128" s="112">
        <f>VLOOKUP($E$3,'Housing Generation'!$A$3:$CK$90,67,FALSE)</f>
        <v>3</v>
      </c>
      <c r="E128" s="112">
        <f>VLOOKUP($E$3,'Housing Generation'!$A$3:$CK$90,68,FALSE)</f>
        <v>3</v>
      </c>
      <c r="F128" s="112">
        <f>VLOOKUP($E$3,'Housing Generation'!$A$3:$CK$90,69,FALSE)</f>
        <v>3</v>
      </c>
      <c r="G128" s="112">
        <f>VLOOKUP($E$3,'Housing Generation'!$A$3:$CK$90,70,FALSE)</f>
        <v>2</v>
      </c>
      <c r="H128" s="112">
        <f>VLOOKUP($E$3,'Housing Generation'!$A$3:$CK$90,71,FALSE)</f>
        <v>2</v>
      </c>
      <c r="I128" s="112">
        <f>VLOOKUP($E$3,'Housing Generation'!$A$3:$CK$90,72,FALSE)</f>
        <v>2</v>
      </c>
      <c r="J128" s="111">
        <f t="shared" si="21"/>
        <v>15</v>
      </c>
    </row>
    <row r="129" spans="2:10" ht="15" hidden="1" customHeight="1">
      <c r="B129" s="114">
        <v>2027</v>
      </c>
      <c r="C129" s="240" t="s">
        <v>97</v>
      </c>
      <c r="D129" s="112">
        <f>VLOOKUP($E$3,'Housing Generation'!$A$3:$CK$90,75,FALSE)</f>
        <v>3</v>
      </c>
      <c r="E129" s="112">
        <f>VLOOKUP($E$3,'Housing Generation'!$A$3:$CK$90,76,FALSE)</f>
        <v>3</v>
      </c>
      <c r="F129" s="112">
        <f>VLOOKUP($E$3,'Housing Generation'!$A$3:$CK$90,77,FALSE)</f>
        <v>3</v>
      </c>
      <c r="G129" s="112">
        <f>VLOOKUP($E$3,'Housing Generation'!$A$3:$CK$90,78,FALSE)</f>
        <v>2</v>
      </c>
      <c r="H129" s="112">
        <f>VLOOKUP($E$3,'Housing Generation'!$A$3:$CK$90,79,FALSE)</f>
        <v>2</v>
      </c>
      <c r="I129" s="112">
        <f>VLOOKUP($E$3,'Housing Generation'!$A$3:$CK$90,80,FALSE)</f>
        <v>2</v>
      </c>
      <c r="J129" s="111">
        <f t="shared" si="21"/>
        <v>15</v>
      </c>
    </row>
    <row r="130" spans="2:10" ht="15" customHeight="1">
      <c r="B130" s="114">
        <v>2028</v>
      </c>
      <c r="C130" s="289" t="s">
        <v>97</v>
      </c>
      <c r="D130" s="112">
        <f>VLOOKUP($E$3,'Housing Generation'!$A$3:$CK$90,83,FALSE)</f>
        <v>3</v>
      </c>
      <c r="E130" s="112">
        <f>VLOOKUP($E$3,'Housing Generation'!$A$3:$CK$90,84,FALSE)</f>
        <v>3</v>
      </c>
      <c r="F130" s="112">
        <f>VLOOKUP($E$3,'Housing Generation'!$A$3:$CK$90,85,FALSE)</f>
        <v>3</v>
      </c>
      <c r="G130" s="112">
        <f>VLOOKUP($E$3,'Housing Generation'!$A$3:$CK$90,86,FALSE)</f>
        <v>2</v>
      </c>
      <c r="H130" s="112">
        <f>VLOOKUP($E$3,'Housing Generation'!$A$3:$CK$90,87,FALSE)</f>
        <v>2</v>
      </c>
      <c r="I130" s="112">
        <f>VLOOKUP($E$3,'Housing Generation'!$A$3:$CK$90,88,FALSE)</f>
        <v>2</v>
      </c>
      <c r="J130" s="111">
        <f t="shared" si="21"/>
        <v>15</v>
      </c>
    </row>
    <row r="131" spans="2:10" ht="15" customHeight="1">
      <c r="B131" s="114">
        <v>2029</v>
      </c>
      <c r="C131" s="289" t="s">
        <v>97</v>
      </c>
      <c r="D131" s="112">
        <f>VLOOKUP($E$3,'Housing Generation'!$A$3:$DQ$90,91,FALSE)</f>
        <v>3</v>
      </c>
      <c r="E131" s="112">
        <f>VLOOKUP($E$3,'Housing Generation'!$A$3:$DQ$90,92,FALSE)</f>
        <v>3</v>
      </c>
      <c r="F131" s="112">
        <f>VLOOKUP($E$3,'Housing Generation'!$A$3:$DQ$90,93,FALSE)</f>
        <v>3</v>
      </c>
      <c r="G131" s="112">
        <f>VLOOKUP($E$3,'Housing Generation'!$A$3:$DQ$90,94,FALSE)</f>
        <v>2</v>
      </c>
      <c r="H131" s="112">
        <f>VLOOKUP($E$3,'Housing Generation'!$A$3:$DQ$90,95,FALSE)</f>
        <v>2</v>
      </c>
      <c r="I131" s="112">
        <f>VLOOKUP($E$3,'Housing Generation'!$A$3:$DQ$90,96,FALSE)</f>
        <v>2</v>
      </c>
      <c r="J131" s="111">
        <f t="shared" si="21"/>
        <v>15</v>
      </c>
    </row>
    <row r="132" spans="2:10" ht="15" customHeight="1">
      <c r="B132" s="114">
        <v>2030</v>
      </c>
      <c r="C132" s="289" t="s">
        <v>97</v>
      </c>
      <c r="D132" s="112">
        <f>VLOOKUP($E$3,'Housing Generation'!$A$3:$DQ$90,99,FALSE)</f>
        <v>3</v>
      </c>
      <c r="E132" s="112">
        <f>VLOOKUP($E$3,'Housing Generation'!$A$3:$DQ$90,100,FALSE)</f>
        <v>3</v>
      </c>
      <c r="F132" s="112">
        <f>VLOOKUP($E$3,'Housing Generation'!$A$3:$DQ$90,101,FALSE)</f>
        <v>3</v>
      </c>
      <c r="G132" s="112">
        <f>VLOOKUP($E$3,'Housing Generation'!$A$3:$DQ$90,102,FALSE)</f>
        <v>2</v>
      </c>
      <c r="H132" s="112">
        <f>VLOOKUP($E$3,'Housing Generation'!$A$3:$DQ$90,103,FALSE)</f>
        <v>2</v>
      </c>
      <c r="I132" s="112">
        <f>VLOOKUP($E$3,'Housing Generation'!$A$3:$DQ$90,104,FALSE)</f>
        <v>2</v>
      </c>
      <c r="J132" s="111">
        <f t="shared" si="21"/>
        <v>15</v>
      </c>
    </row>
    <row r="133" spans="2:10" ht="15" customHeight="1">
      <c r="B133" s="114">
        <v>2031</v>
      </c>
      <c r="C133" s="289" t="s">
        <v>97</v>
      </c>
      <c r="D133" s="112">
        <f>VLOOKUP($E$3,'Housing Generation'!$A$3:$DQ$90,107,FALSE)</f>
        <v>3</v>
      </c>
      <c r="E133" s="112">
        <f>VLOOKUP($E$3,'Housing Generation'!$A$3:$DQ$90,108,FALSE)</f>
        <v>3</v>
      </c>
      <c r="F133" s="112">
        <f>VLOOKUP($E$3,'Housing Generation'!$A$3:$DQ$90,109,FALSE)</f>
        <v>3</v>
      </c>
      <c r="G133" s="112">
        <f>VLOOKUP($E$3,'Housing Generation'!$A$3:$DQ$90,110,FALSE)</f>
        <v>2</v>
      </c>
      <c r="H133" s="112">
        <f>VLOOKUP($E$3,'Housing Generation'!$A$3:$DQ$90,111,FALSE)</f>
        <v>2</v>
      </c>
      <c r="I133" s="112">
        <f>VLOOKUP($E$3,'Housing Generation'!$A$3:$DQ$90,112,FALSE)</f>
        <v>2</v>
      </c>
      <c r="J133" s="111">
        <f t="shared" si="21"/>
        <v>15</v>
      </c>
    </row>
    <row r="134" spans="2:10" ht="15" customHeight="1">
      <c r="B134" s="114">
        <v>2032</v>
      </c>
      <c r="C134" s="289" t="s">
        <v>97</v>
      </c>
      <c r="D134" s="112">
        <f>VLOOKUP($E$3,'Housing Generation'!$A$3:$DQ$90,115,FALSE)</f>
        <v>3</v>
      </c>
      <c r="E134" s="112">
        <f>VLOOKUP($E$3,'Housing Generation'!$A$3:$DQ$90,116,FALSE)</f>
        <v>3</v>
      </c>
      <c r="F134" s="112">
        <f>VLOOKUP($E$3,'Housing Generation'!$A$3:$DQ$90,117,FALSE)</f>
        <v>3</v>
      </c>
      <c r="G134" s="112">
        <f>VLOOKUP($E$3,'Housing Generation'!$A$3:$DQ$90,118,FALSE)</f>
        <v>2</v>
      </c>
      <c r="H134" s="112">
        <f>VLOOKUP($E$3,'Housing Generation'!$A$3:$DQ$90,119,FALSE)</f>
        <v>2</v>
      </c>
      <c r="I134" s="112">
        <f>VLOOKUP($E$3,'Housing Generation'!$A$3:$DQ$90,120,FALSE)</f>
        <v>2</v>
      </c>
      <c r="J134" s="111">
        <f t="shared" si="21"/>
        <v>15</v>
      </c>
    </row>
    <row r="135" spans="2:10" ht="15" hidden="1"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Roseburn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38.547619047619051</v>
      </c>
      <c r="D139" s="112">
        <f t="shared" ref="D139:I152" si="23">D121+D103</f>
        <v>40</v>
      </c>
      <c r="E139" s="112">
        <f t="shared" si="23"/>
        <v>35</v>
      </c>
      <c r="F139" s="112">
        <f t="shared" si="23"/>
        <v>32</v>
      </c>
      <c r="G139" s="112">
        <f t="shared" si="23"/>
        <v>44</v>
      </c>
      <c r="H139" s="112">
        <f t="shared" si="23"/>
        <v>47</v>
      </c>
      <c r="I139" s="112">
        <f t="shared" si="23"/>
        <v>28</v>
      </c>
      <c r="J139" s="111">
        <f t="shared" ref="J139:J147" si="24">SUM(C139:I139)</f>
        <v>264.54761904761904</v>
      </c>
    </row>
    <row r="140" spans="2:10" ht="15" customHeight="1">
      <c r="B140" s="114">
        <v>2020</v>
      </c>
      <c r="C140" s="113">
        <f t="shared" si="22"/>
        <v>30</v>
      </c>
      <c r="D140" s="112">
        <f t="shared" si="23"/>
        <v>41</v>
      </c>
      <c r="E140" s="112">
        <f t="shared" si="23"/>
        <v>39</v>
      </c>
      <c r="F140" s="112">
        <f t="shared" si="23"/>
        <v>34</v>
      </c>
      <c r="G140" s="112">
        <f t="shared" si="23"/>
        <v>32</v>
      </c>
      <c r="H140" s="112">
        <f t="shared" si="23"/>
        <v>45</v>
      </c>
      <c r="I140" s="112">
        <f t="shared" si="23"/>
        <v>45</v>
      </c>
      <c r="J140" s="111">
        <f t="shared" si="24"/>
        <v>266</v>
      </c>
    </row>
    <row r="141" spans="2:10" ht="15" customHeight="1">
      <c r="B141" s="114">
        <v>2021</v>
      </c>
      <c r="C141" s="113">
        <f t="shared" si="22"/>
        <v>42.371572871572873</v>
      </c>
      <c r="D141" s="112">
        <f t="shared" si="23"/>
        <v>32</v>
      </c>
      <c r="E141" s="112">
        <f t="shared" si="23"/>
        <v>41</v>
      </c>
      <c r="F141" s="112">
        <f t="shared" si="23"/>
        <v>38</v>
      </c>
      <c r="G141" s="112">
        <f t="shared" si="23"/>
        <v>34</v>
      </c>
      <c r="H141" s="112">
        <f t="shared" si="23"/>
        <v>32</v>
      </c>
      <c r="I141" s="112">
        <f t="shared" si="23"/>
        <v>42</v>
      </c>
      <c r="J141" s="111">
        <f t="shared" si="24"/>
        <v>261.37157287157288</v>
      </c>
    </row>
    <row r="142" spans="2:10" ht="15" customHeight="1">
      <c r="B142" s="114">
        <v>2022</v>
      </c>
      <c r="C142" s="113">
        <f t="shared" si="22"/>
        <v>25</v>
      </c>
      <c r="D142" s="112">
        <f t="shared" si="23"/>
        <v>45</v>
      </c>
      <c r="E142" s="112">
        <f t="shared" si="23"/>
        <v>31</v>
      </c>
      <c r="F142" s="112">
        <f t="shared" si="23"/>
        <v>40</v>
      </c>
      <c r="G142" s="112">
        <f t="shared" si="23"/>
        <v>39</v>
      </c>
      <c r="H142" s="112">
        <f t="shared" si="23"/>
        <v>35</v>
      </c>
      <c r="I142" s="112">
        <f t="shared" si="23"/>
        <v>30</v>
      </c>
      <c r="J142" s="111">
        <f t="shared" si="24"/>
        <v>245</v>
      </c>
    </row>
    <row r="143" spans="2:10" ht="15" customHeight="1">
      <c r="B143" s="114">
        <v>2023</v>
      </c>
      <c r="C143" s="113">
        <f t="shared" si="22"/>
        <v>30</v>
      </c>
      <c r="D143" s="112">
        <f t="shared" si="23"/>
        <v>26</v>
      </c>
      <c r="E143" s="112">
        <f t="shared" si="23"/>
        <v>44</v>
      </c>
      <c r="F143" s="112">
        <f t="shared" si="23"/>
        <v>30</v>
      </c>
      <c r="G143" s="112">
        <f t="shared" si="23"/>
        <v>40</v>
      </c>
      <c r="H143" s="112">
        <f t="shared" si="23"/>
        <v>39</v>
      </c>
      <c r="I143" s="112">
        <f t="shared" si="23"/>
        <v>33</v>
      </c>
      <c r="J143" s="111">
        <f t="shared" si="24"/>
        <v>242</v>
      </c>
    </row>
    <row r="144" spans="2:10" ht="15" customHeight="1">
      <c r="B144" s="114">
        <v>2024</v>
      </c>
      <c r="C144" s="113">
        <f t="shared" si="22"/>
        <v>30</v>
      </c>
      <c r="D144" s="112">
        <f t="shared" si="23"/>
        <v>32</v>
      </c>
      <c r="E144" s="112">
        <f t="shared" si="23"/>
        <v>25</v>
      </c>
      <c r="F144" s="112">
        <f t="shared" si="23"/>
        <v>43</v>
      </c>
      <c r="G144" s="112">
        <f t="shared" si="23"/>
        <v>30</v>
      </c>
      <c r="H144" s="112">
        <f t="shared" si="23"/>
        <v>40</v>
      </c>
      <c r="I144" s="112">
        <f t="shared" si="23"/>
        <v>37</v>
      </c>
      <c r="J144" s="111">
        <f t="shared" si="24"/>
        <v>237</v>
      </c>
    </row>
    <row r="145" spans="2:16" ht="15" customHeight="1">
      <c r="B145" s="114">
        <v>2025</v>
      </c>
      <c r="C145" s="113">
        <f t="shared" si="22"/>
        <v>30</v>
      </c>
      <c r="D145" s="112">
        <f t="shared" si="23"/>
        <v>32</v>
      </c>
      <c r="E145" s="112">
        <f t="shared" si="23"/>
        <v>31</v>
      </c>
      <c r="F145" s="112">
        <f t="shared" si="23"/>
        <v>25</v>
      </c>
      <c r="G145" s="112">
        <f t="shared" si="23"/>
        <v>43</v>
      </c>
      <c r="H145" s="112">
        <f t="shared" si="23"/>
        <v>30</v>
      </c>
      <c r="I145" s="112">
        <f t="shared" si="23"/>
        <v>38</v>
      </c>
      <c r="J145" s="111">
        <f t="shared" si="24"/>
        <v>229</v>
      </c>
    </row>
    <row r="146" spans="2:16" ht="15" customHeight="1">
      <c r="B146" s="114">
        <v>2026</v>
      </c>
      <c r="C146" s="113">
        <f t="shared" si="22"/>
        <v>37.59163059163059</v>
      </c>
      <c r="D146" s="112">
        <f t="shared" si="23"/>
        <v>32</v>
      </c>
      <c r="E146" s="112">
        <f t="shared" si="23"/>
        <v>31</v>
      </c>
      <c r="F146" s="112">
        <f t="shared" si="23"/>
        <v>30</v>
      </c>
      <c r="G146" s="112">
        <f t="shared" si="23"/>
        <v>24</v>
      </c>
      <c r="H146" s="112">
        <f t="shared" si="23"/>
        <v>43</v>
      </c>
      <c r="I146" s="112">
        <f t="shared" si="23"/>
        <v>28</v>
      </c>
      <c r="J146" s="111">
        <f t="shared" si="24"/>
        <v>225.59163059163058</v>
      </c>
    </row>
    <row r="147" spans="2:16" ht="15" customHeight="1">
      <c r="B147" s="114">
        <v>2027</v>
      </c>
      <c r="C147" s="113">
        <f t="shared" si="22"/>
        <v>37.59163059163059</v>
      </c>
      <c r="D147" s="112">
        <f t="shared" si="23"/>
        <v>40</v>
      </c>
      <c r="E147" s="112">
        <f t="shared" si="23"/>
        <v>31</v>
      </c>
      <c r="F147" s="112">
        <f t="shared" si="23"/>
        <v>30</v>
      </c>
      <c r="G147" s="112">
        <f t="shared" si="23"/>
        <v>29</v>
      </c>
      <c r="H147" s="112">
        <f t="shared" si="23"/>
        <v>24</v>
      </c>
      <c r="I147" s="112">
        <f t="shared" si="23"/>
        <v>40</v>
      </c>
      <c r="J147" s="111">
        <f t="shared" si="24"/>
        <v>231.59163059163058</v>
      </c>
    </row>
    <row r="148" spans="2:16" ht="15" customHeight="1">
      <c r="B148" s="114">
        <v>2028</v>
      </c>
      <c r="C148" s="113">
        <f t="shared" si="22"/>
        <v>37.59163059163059</v>
      </c>
      <c r="D148" s="112">
        <f t="shared" si="23"/>
        <v>40</v>
      </c>
      <c r="E148" s="112">
        <f t="shared" si="23"/>
        <v>39</v>
      </c>
      <c r="F148" s="112">
        <f t="shared" si="23"/>
        <v>30</v>
      </c>
      <c r="G148" s="112">
        <f t="shared" si="23"/>
        <v>29</v>
      </c>
      <c r="H148" s="112">
        <f t="shared" si="23"/>
        <v>29</v>
      </c>
      <c r="I148" s="112">
        <f t="shared" si="23"/>
        <v>23</v>
      </c>
      <c r="J148" s="111">
        <f t="shared" ref="J148:J152" si="25">SUM(C148:I148)</f>
        <v>227.59163059163058</v>
      </c>
    </row>
    <row r="149" spans="2:16" ht="15" customHeight="1">
      <c r="B149" s="114">
        <v>2029</v>
      </c>
      <c r="C149" s="113">
        <f t="shared" si="22"/>
        <v>37.59163059163059</v>
      </c>
      <c r="D149" s="112">
        <f t="shared" si="23"/>
        <v>40</v>
      </c>
      <c r="E149" s="112">
        <f t="shared" si="23"/>
        <v>39</v>
      </c>
      <c r="F149" s="112">
        <f t="shared" si="23"/>
        <v>38</v>
      </c>
      <c r="G149" s="112">
        <f t="shared" si="23"/>
        <v>29</v>
      </c>
      <c r="H149" s="112">
        <f t="shared" si="23"/>
        <v>29</v>
      </c>
      <c r="I149" s="112">
        <f t="shared" si="23"/>
        <v>27</v>
      </c>
      <c r="J149" s="111">
        <f t="shared" si="25"/>
        <v>239.59163059163058</v>
      </c>
    </row>
    <row r="150" spans="2:16" ht="15" customHeight="1">
      <c r="B150" s="114">
        <v>2030</v>
      </c>
      <c r="C150" s="113">
        <f t="shared" si="22"/>
        <v>37.59163059163059</v>
      </c>
      <c r="D150" s="112">
        <f t="shared" si="23"/>
        <v>40</v>
      </c>
      <c r="E150" s="112">
        <f t="shared" si="23"/>
        <v>39</v>
      </c>
      <c r="F150" s="112">
        <f t="shared" si="23"/>
        <v>38</v>
      </c>
      <c r="G150" s="112">
        <f t="shared" si="23"/>
        <v>37</v>
      </c>
      <c r="H150" s="112">
        <f t="shared" si="23"/>
        <v>29</v>
      </c>
      <c r="I150" s="112">
        <f t="shared" si="23"/>
        <v>27</v>
      </c>
      <c r="J150" s="111">
        <f t="shared" si="25"/>
        <v>247.59163059163058</v>
      </c>
    </row>
    <row r="151" spans="2:16" ht="15" customHeight="1">
      <c r="B151" s="114">
        <v>2031</v>
      </c>
      <c r="C151" s="113">
        <f t="shared" si="22"/>
        <v>37.59163059163059</v>
      </c>
      <c r="D151" s="112">
        <f t="shared" si="23"/>
        <v>40</v>
      </c>
      <c r="E151" s="112">
        <f t="shared" si="23"/>
        <v>39</v>
      </c>
      <c r="F151" s="112">
        <f t="shared" si="23"/>
        <v>38</v>
      </c>
      <c r="G151" s="112">
        <f t="shared" si="23"/>
        <v>37</v>
      </c>
      <c r="H151" s="112">
        <f t="shared" si="23"/>
        <v>37</v>
      </c>
      <c r="I151" s="112">
        <f t="shared" si="23"/>
        <v>27</v>
      </c>
      <c r="J151" s="111">
        <f t="shared" si="25"/>
        <v>255.59163059163058</v>
      </c>
    </row>
    <row r="152" spans="2:16" ht="15" customHeight="1">
      <c r="B152" s="114">
        <v>2032</v>
      </c>
      <c r="C152" s="113">
        <f t="shared" si="22"/>
        <v>37.59163059163059</v>
      </c>
      <c r="D152" s="112">
        <f t="shared" si="23"/>
        <v>40</v>
      </c>
      <c r="E152" s="112">
        <f t="shared" si="23"/>
        <v>39</v>
      </c>
      <c r="F152" s="112">
        <f t="shared" si="23"/>
        <v>38</v>
      </c>
      <c r="G152" s="112">
        <f t="shared" si="23"/>
        <v>37</v>
      </c>
      <c r="H152" s="112">
        <f t="shared" si="23"/>
        <v>37</v>
      </c>
      <c r="I152" s="112">
        <f t="shared" si="23"/>
        <v>35</v>
      </c>
      <c r="J152" s="111">
        <f t="shared" si="25"/>
        <v>263.59163059163058</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264.54761904761904</v>
      </c>
      <c r="D159" s="108">
        <f>J140</f>
        <v>266</v>
      </c>
      <c r="E159" s="108">
        <f>J141</f>
        <v>261.37157287157288</v>
      </c>
      <c r="F159" s="108">
        <f>J142</f>
        <v>245</v>
      </c>
      <c r="G159" s="108">
        <f>J143</f>
        <v>242</v>
      </c>
      <c r="H159" s="108">
        <f>J144</f>
        <v>237</v>
      </c>
      <c r="I159" s="108">
        <f>J145</f>
        <v>229</v>
      </c>
      <c r="J159" s="108">
        <f>J146</f>
        <v>225.59163059163058</v>
      </c>
      <c r="K159" s="108">
        <f>J147</f>
        <v>231.59163059163058</v>
      </c>
      <c r="L159" s="108">
        <f>J148</f>
        <v>227.59163059163058</v>
      </c>
      <c r="M159" s="108">
        <f>J149</f>
        <v>239.59163059163058</v>
      </c>
      <c r="N159" s="108">
        <f>J150</f>
        <v>247.59163059163058</v>
      </c>
      <c r="O159" s="108">
        <f>J151</f>
        <v>255.59163059163058</v>
      </c>
      <c r="P159" s="108">
        <f>J152</f>
        <v>263.59163059163058</v>
      </c>
    </row>
    <row r="160" spans="2:16" ht="15" customHeight="1">
      <c r="B160" s="107" t="s">
        <v>152</v>
      </c>
      <c r="C160" s="106">
        <f>VLOOKUP(C159,Capacity!$A$1:$C$645,2,TRUE)</f>
        <v>11</v>
      </c>
      <c r="D160" s="106">
        <f>VLOOKUP(D159,Capacity!$A$1:$C$645,2,TRUE)</f>
        <v>11</v>
      </c>
      <c r="E160" s="106">
        <f>VLOOKUP(E159,Capacity!$A$1:$C$645,2,TRUE)</f>
        <v>11</v>
      </c>
      <c r="F160" s="106">
        <f>VLOOKUP(F159,Capacity!$A$1:$C$645,2,TRUE)</f>
        <v>10</v>
      </c>
      <c r="G160" s="106">
        <f>VLOOKUP(G159,Capacity!$A$1:$C$645,2,TRUE)</f>
        <v>10</v>
      </c>
      <c r="H160" s="106">
        <f>VLOOKUP(H159,Capacity!$A$1:$C$645,2,TRUE)</f>
        <v>10</v>
      </c>
      <c r="I160" s="106">
        <f>VLOOKUP(I159,Capacity!$A$1:$C$645,2,TRUE)</f>
        <v>9</v>
      </c>
      <c r="J160" s="106">
        <f>VLOOKUP(J159,Capacity!$A$1:$C$645,2,TRUE)</f>
        <v>9</v>
      </c>
      <c r="K160" s="106">
        <f>VLOOKUP(K159,Capacity!$A$1:$C$645,2,TRUE)</f>
        <v>9</v>
      </c>
      <c r="L160" s="106">
        <f>VLOOKUP(L159,Capacity!$A$1:$C$645,2,TRUE)</f>
        <v>9</v>
      </c>
      <c r="M160" s="106">
        <f>VLOOKUP(M159,Capacity!$A$1:$C$645,2,TRUE)</f>
        <v>10</v>
      </c>
      <c r="N160" s="106">
        <f>VLOOKUP(N159,Capacity!$A$1:$C$645,2,TRUE)</f>
        <v>10</v>
      </c>
      <c r="O160" s="106">
        <f>VLOOKUP(O159,Capacity!$A$1:$C$645,2,TRUE)</f>
        <v>10</v>
      </c>
      <c r="P160" s="106">
        <f>VLOOKUP(P159,Capacity!$A$1:$C$645,2,TRUE)</f>
        <v>11</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63</v>
      </c>
      <c r="D169" s="97">
        <f>VLOOKUP($E$3,'Catchment Births'!$A$1:$U$90,11,FALSE)</f>
        <v>55</v>
      </c>
      <c r="E169" s="97">
        <f>VLOOKUP($E$3,'Catchment Births'!$A$1:$U$90,12,FALSE)</f>
        <v>67</v>
      </c>
      <c r="F169" s="97">
        <f>VLOOKUP($E$3,'Catchment Births'!$A$1:$U$90,13,FALSE)</f>
        <v>83</v>
      </c>
      <c r="G169" s="97">
        <f>VLOOKUP($E$3,'Catchment Births'!$A$1:$U$90,14,FALSE)</f>
        <v>76</v>
      </c>
      <c r="H169" s="97">
        <f>VLOOKUP($E$3,'Catchment Births'!$A$1:$U$90,15,FALSE)</f>
        <v>86</v>
      </c>
      <c r="I169" s="97">
        <f>VLOOKUP($E$3,'Catchment Births'!$A$1:$U$90,16,FALSE)</f>
        <v>79</v>
      </c>
      <c r="J169" s="97">
        <f>VLOOKUP($E$3,'Catchment Births'!$A$1:$U$90,17,FALSE)</f>
        <v>69</v>
      </c>
      <c r="K169" s="97">
        <f>VLOOKUP($E$3,'Catchment Births'!$A$1:$U$90,18,FALSE)</f>
        <v>85</v>
      </c>
      <c r="L169" s="97">
        <f>VLOOKUP($E$3,'Catchment Births'!$A$1:$U$90,19,FALSE)</f>
        <v>74</v>
      </c>
      <c r="M169" s="97">
        <f>VLOOKUP($E$3,'Catchment Births'!$A$1:$U$90,20,FALSE)</f>
        <v>75</v>
      </c>
      <c r="N169" s="97">
        <f>VLOOKUP($E$3,'Catchment Births'!$A$1:$U$90,21,FALSE)</f>
        <v>63</v>
      </c>
    </row>
    <row r="170" spans="2:14" ht="58.5" customHeight="1">
      <c r="B170" s="103" t="str">
        <f>"P1 "&amp;A35&amp;" Catchment Population (Actual)"</f>
        <v>P1 ND Catchment Population (Actual)</v>
      </c>
      <c r="C170" s="102" t="e">
        <v>#REF!</v>
      </c>
      <c r="D170" s="102">
        <v>30</v>
      </c>
      <c r="E170" s="102">
        <v>25</v>
      </c>
      <c r="F170" s="102">
        <v>37</v>
      </c>
      <c r="G170" s="102">
        <v>31</v>
      </c>
      <c r="H170" s="102">
        <v>34</v>
      </c>
      <c r="I170" s="102">
        <v>39</v>
      </c>
      <c r="J170" s="308">
        <f>VLOOKUP(E3,'Catchment Projections'!A1:BU92,42,FALSE)</f>
        <v>33</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39</v>
      </c>
      <c r="J172" s="96" t="e">
        <f>#REF!</f>
        <v>#REF!</v>
      </c>
      <c r="K172" s="96">
        <f>D51</f>
        <v>33</v>
      </c>
      <c r="L172" s="96">
        <f>E51</f>
        <v>28</v>
      </c>
      <c r="M172" s="96">
        <f>F51</f>
        <v>37</v>
      </c>
      <c r="N172" s="96">
        <f>G51</f>
        <v>22</v>
      </c>
    </row>
    <row r="173" spans="2:14" ht="12.75">
      <c r="B173" s="62"/>
      <c r="C173" s="62"/>
      <c r="D173" s="62"/>
      <c r="E173" s="62"/>
      <c r="F173" s="62"/>
      <c r="G173" s="62"/>
      <c r="H173" s="62"/>
      <c r="I173" s="62"/>
      <c r="J173" s="62"/>
      <c r="K173" s="62"/>
    </row>
    <row r="174" spans="2:14" ht="15" customHeight="1">
      <c r="B174" s="64" t="str">
        <f>"Table 5: "&amp;E3&amp;" Roll by Stage, 2002-2018"</f>
        <v>Table 5: Roseburn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30</v>
      </c>
      <c r="D177" s="93">
        <v>39</v>
      </c>
      <c r="E177" s="93">
        <v>39</v>
      </c>
      <c r="F177" s="93">
        <v>39</v>
      </c>
      <c r="G177" s="93">
        <v>40</v>
      </c>
      <c r="H177" s="93">
        <v>38</v>
      </c>
      <c r="I177" s="93">
        <v>33</v>
      </c>
      <c r="J177" s="92">
        <v>258</v>
      </c>
      <c r="K177" s="62"/>
    </row>
    <row r="178" spans="2:11" ht="15" customHeight="1">
      <c r="B178" s="94">
        <v>2003</v>
      </c>
      <c r="C178" s="93">
        <v>43</v>
      </c>
      <c r="D178" s="93">
        <v>30</v>
      </c>
      <c r="E178" s="93">
        <v>38</v>
      </c>
      <c r="F178" s="93">
        <v>35</v>
      </c>
      <c r="G178" s="93">
        <v>35</v>
      </c>
      <c r="H178" s="93">
        <v>36</v>
      </c>
      <c r="I178" s="93">
        <v>33</v>
      </c>
      <c r="J178" s="92">
        <v>250</v>
      </c>
      <c r="K178" s="62"/>
    </row>
    <row r="179" spans="2:11" customFormat="1" ht="15" customHeight="1">
      <c r="B179" s="94">
        <v>2004</v>
      </c>
      <c r="C179" s="95">
        <v>32</v>
      </c>
      <c r="D179" s="95">
        <v>39</v>
      </c>
      <c r="E179" s="95">
        <v>29</v>
      </c>
      <c r="F179" s="95">
        <v>34</v>
      </c>
      <c r="G179" s="95">
        <v>34</v>
      </c>
      <c r="H179" s="95">
        <v>32</v>
      </c>
      <c r="I179" s="95">
        <v>33</v>
      </c>
      <c r="J179" s="92">
        <v>233</v>
      </c>
      <c r="K179" s="62"/>
    </row>
    <row r="180" spans="2:11" customFormat="1" ht="15" customHeight="1">
      <c r="B180" s="94">
        <v>2005</v>
      </c>
      <c r="C180" s="93">
        <v>30</v>
      </c>
      <c r="D180" s="93">
        <v>30</v>
      </c>
      <c r="E180" s="93">
        <v>41</v>
      </c>
      <c r="F180" s="93">
        <v>28</v>
      </c>
      <c r="G180" s="93">
        <v>35</v>
      </c>
      <c r="H180" s="93">
        <v>33</v>
      </c>
      <c r="I180" s="93">
        <v>31</v>
      </c>
      <c r="J180" s="92">
        <v>228</v>
      </c>
      <c r="K180" s="62"/>
    </row>
    <row r="181" spans="2:11" customFormat="1" ht="15" customHeight="1">
      <c r="B181" s="94">
        <v>2006</v>
      </c>
      <c r="C181" s="93">
        <v>26</v>
      </c>
      <c r="D181" s="93">
        <v>28</v>
      </c>
      <c r="E181" s="93">
        <v>30</v>
      </c>
      <c r="F181" s="93">
        <v>39</v>
      </c>
      <c r="G181" s="93">
        <v>29</v>
      </c>
      <c r="H181" s="93">
        <v>33</v>
      </c>
      <c r="I181" s="93">
        <v>33</v>
      </c>
      <c r="J181" s="92">
        <v>218</v>
      </c>
      <c r="K181" s="62"/>
    </row>
    <row r="182" spans="2:11" customFormat="1" ht="15" customHeight="1">
      <c r="B182" s="94">
        <v>2007</v>
      </c>
      <c r="C182" s="93">
        <v>32</v>
      </c>
      <c r="D182" s="93">
        <v>28</v>
      </c>
      <c r="E182" s="93">
        <v>28</v>
      </c>
      <c r="F182" s="93">
        <v>32</v>
      </c>
      <c r="G182" s="93">
        <v>39</v>
      </c>
      <c r="H182" s="93">
        <v>28</v>
      </c>
      <c r="I182" s="93">
        <v>31</v>
      </c>
      <c r="J182" s="92">
        <v>218</v>
      </c>
      <c r="K182" s="62"/>
    </row>
    <row r="183" spans="2:11" customFormat="1" ht="15" customHeight="1">
      <c r="B183" s="94">
        <v>2008</v>
      </c>
      <c r="C183" s="93">
        <v>34</v>
      </c>
      <c r="D183" s="93">
        <v>38</v>
      </c>
      <c r="E183" s="93">
        <v>29</v>
      </c>
      <c r="F183" s="93">
        <v>28</v>
      </c>
      <c r="G183" s="93">
        <v>34</v>
      </c>
      <c r="H183" s="93">
        <v>37</v>
      </c>
      <c r="I183" s="93">
        <v>27</v>
      </c>
      <c r="J183" s="92">
        <v>227</v>
      </c>
      <c r="K183" s="62"/>
    </row>
    <row r="184" spans="2:11" customFormat="1" ht="15" customHeight="1">
      <c r="B184" s="94">
        <v>2009</v>
      </c>
      <c r="C184" s="93">
        <v>23</v>
      </c>
      <c r="D184" s="93">
        <v>32</v>
      </c>
      <c r="E184" s="93">
        <v>37</v>
      </c>
      <c r="F184" s="93">
        <v>25</v>
      </c>
      <c r="G184" s="93">
        <v>25</v>
      </c>
      <c r="H184" s="93">
        <v>28</v>
      </c>
      <c r="I184" s="93">
        <v>38</v>
      </c>
      <c r="J184" s="94">
        <v>208</v>
      </c>
      <c r="K184" s="62"/>
    </row>
    <row r="185" spans="2:11" customFormat="1" ht="15" customHeight="1">
      <c r="B185" s="94">
        <v>2010</v>
      </c>
      <c r="C185" s="93">
        <v>38</v>
      </c>
      <c r="D185" s="93">
        <v>22</v>
      </c>
      <c r="E185" s="93">
        <v>31</v>
      </c>
      <c r="F185" s="93">
        <v>39</v>
      </c>
      <c r="G185" s="93">
        <v>29</v>
      </c>
      <c r="H185" s="93">
        <v>24</v>
      </c>
      <c r="I185" s="93">
        <v>25</v>
      </c>
      <c r="J185" s="92">
        <v>208</v>
      </c>
      <c r="K185" s="62"/>
    </row>
    <row r="186" spans="2:11" customFormat="1" ht="15" customHeight="1">
      <c r="B186" s="94">
        <v>2011</v>
      </c>
      <c r="C186" s="93">
        <v>31</v>
      </c>
      <c r="D186" s="93">
        <v>36</v>
      </c>
      <c r="E186" s="93">
        <v>20</v>
      </c>
      <c r="F186" s="93">
        <v>28</v>
      </c>
      <c r="G186" s="93">
        <v>36</v>
      </c>
      <c r="H186" s="93">
        <v>27</v>
      </c>
      <c r="I186" s="93">
        <v>24</v>
      </c>
      <c r="J186" s="92">
        <v>202</v>
      </c>
      <c r="K186" s="62"/>
    </row>
    <row r="187" spans="2:11" customFormat="1" ht="15" customHeight="1">
      <c r="B187" s="94">
        <v>2012</v>
      </c>
      <c r="C187" s="93">
        <v>50</v>
      </c>
      <c r="D187" s="93">
        <v>32</v>
      </c>
      <c r="E187" s="93">
        <v>35</v>
      </c>
      <c r="F187" s="93">
        <v>21</v>
      </c>
      <c r="G187" s="93">
        <v>29</v>
      </c>
      <c r="H187" s="93">
        <v>30</v>
      </c>
      <c r="I187" s="93">
        <v>25</v>
      </c>
      <c r="J187" s="92">
        <v>222</v>
      </c>
      <c r="K187" s="62"/>
    </row>
    <row r="188" spans="2:11" customFormat="1" ht="15" customHeight="1">
      <c r="B188" s="94">
        <v>2013</v>
      </c>
      <c r="C188" s="93">
        <v>31</v>
      </c>
      <c r="D188" s="93">
        <v>48</v>
      </c>
      <c r="E188" s="93">
        <v>35</v>
      </c>
      <c r="F188" s="93">
        <v>35</v>
      </c>
      <c r="G188" s="93">
        <v>22</v>
      </c>
      <c r="H188" s="93">
        <v>30</v>
      </c>
      <c r="I188" s="93">
        <v>32</v>
      </c>
      <c r="J188" s="94">
        <v>233</v>
      </c>
      <c r="K188" s="62"/>
    </row>
    <row r="189" spans="2:11" customFormat="1" ht="15" customHeight="1">
      <c r="B189" s="94">
        <v>2014</v>
      </c>
      <c r="C189" s="93">
        <v>47</v>
      </c>
      <c r="D189" s="93">
        <v>34</v>
      </c>
      <c r="E189" s="93">
        <v>49</v>
      </c>
      <c r="F189" s="93">
        <v>32</v>
      </c>
      <c r="G189" s="93">
        <v>39</v>
      </c>
      <c r="H189" s="93">
        <v>22</v>
      </c>
      <c r="I189" s="93">
        <v>29</v>
      </c>
      <c r="J189" s="92">
        <v>252</v>
      </c>
      <c r="K189" s="65"/>
    </row>
    <row r="190" spans="2:11" customFormat="1" ht="15" customHeight="1">
      <c r="B190" s="94">
        <v>2015</v>
      </c>
      <c r="C190" s="93">
        <v>46</v>
      </c>
      <c r="D190" s="93">
        <v>46</v>
      </c>
      <c r="E190" s="93">
        <v>31</v>
      </c>
      <c r="F190" s="93">
        <v>48</v>
      </c>
      <c r="G190" s="93">
        <v>29</v>
      </c>
      <c r="H190" s="93">
        <v>35</v>
      </c>
      <c r="I190" s="93">
        <v>17</v>
      </c>
      <c r="J190" s="92">
        <v>252</v>
      </c>
      <c r="K190" s="65"/>
    </row>
    <row r="191" spans="2:11" customFormat="1" ht="15" customHeight="1">
      <c r="B191" s="94">
        <v>2016</v>
      </c>
      <c r="C191" s="93">
        <v>33</v>
      </c>
      <c r="D191" s="93">
        <v>46</v>
      </c>
      <c r="E191" s="93">
        <v>45</v>
      </c>
      <c r="F191" s="93">
        <v>31</v>
      </c>
      <c r="G191" s="93">
        <v>48</v>
      </c>
      <c r="H191" s="93">
        <v>29</v>
      </c>
      <c r="I191" s="93">
        <v>39</v>
      </c>
      <c r="J191" s="92">
        <v>271</v>
      </c>
      <c r="K191" s="65"/>
    </row>
    <row r="192" spans="2:11" ht="15" customHeight="1">
      <c r="B192" s="94">
        <v>2017</v>
      </c>
      <c r="C192" s="93">
        <f>VLOOKUP($E$3,Rolls!A1:FA90,42,FALSE)</f>
        <v>33</v>
      </c>
      <c r="D192" s="93">
        <f>VLOOKUP($E$3,Rolls!A1:FA90,43,FALSE)</f>
        <v>35</v>
      </c>
      <c r="E192" s="93">
        <f>VLOOKUP($E$3,Rolls!A1:FA90,44,FALSE)</f>
        <v>46</v>
      </c>
      <c r="F192" s="93">
        <f>VLOOKUP($E$3,Rolls!A1:FA90,45,FALSE)</f>
        <v>44</v>
      </c>
      <c r="G192" s="93">
        <f>VLOOKUP($E$3,Rolls!A1:FA90,46,FALSE)</f>
        <v>29</v>
      </c>
      <c r="H192" s="93">
        <f>VLOOKUP($E$3,Rolls!A1:FA90,47,FALSE)</f>
        <v>47</v>
      </c>
      <c r="I192" s="93">
        <f>VLOOKUP($E$3,Rolls!A1:FA90,48,FALSE)</f>
        <v>27</v>
      </c>
      <c r="J192" s="92">
        <f>VLOOKUP($E$3,Rolls!A1:FA90,49,FALSE)</f>
        <v>261</v>
      </c>
      <c r="K192" s="65"/>
    </row>
    <row r="193" spans="2:11" ht="15" customHeight="1">
      <c r="B193" s="94">
        <v>2018</v>
      </c>
      <c r="C193" s="93">
        <f>VLOOKUP($E$3,Rolls!A1:FA90,50,FALSE)</f>
        <v>37</v>
      </c>
      <c r="D193" s="93">
        <f>VLOOKUP($E$3,Rolls!A1:FA90,51,FALSE)</f>
        <v>35</v>
      </c>
      <c r="E193" s="93">
        <f>VLOOKUP($E$3,Rolls!A1:FA90,52,FALSE)</f>
        <v>32</v>
      </c>
      <c r="F193" s="93">
        <f>VLOOKUP($E$3,Rolls!A1:FA90,53,FALSE)</f>
        <v>44</v>
      </c>
      <c r="G193" s="93">
        <f>VLOOKUP($E$3,Rolls!A1:FA90,54,FALSE)</f>
        <v>47</v>
      </c>
      <c r="H193" s="93">
        <f>VLOOKUP($E$3,Rolls!A1:FA90,55,FALSE)</f>
        <v>30</v>
      </c>
      <c r="I193" s="93">
        <f>VLOOKUP($E$3,Rolls!A1:FA90,56,FALSE)</f>
        <v>44</v>
      </c>
      <c r="J193" s="92">
        <f>VLOOKUP($E$3,Rolls!A1:FA90,57,FALSE)</f>
        <v>269</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61</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Royal Mile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210 Pupils (7 classes)</v>
      </c>
      <c r="G12" s="16"/>
      <c r="H12" s="16"/>
    </row>
    <row r="13" spans="2:10" ht="15" customHeight="1">
      <c r="C13" s="16"/>
      <c r="D13" s="16"/>
      <c r="E13" s="16"/>
      <c r="F13" s="16"/>
      <c r="G13" s="16"/>
      <c r="H13" s="16"/>
    </row>
    <row r="14" spans="2:10" ht="15" customHeight="1">
      <c r="B14" s="15" t="str">
        <f>"Figure 1: "&amp;E3&amp;" Roll, 2002-2015"</f>
        <v>Figure 1: Royal Mile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Royal Mile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21</v>
      </c>
      <c r="E49" s="108">
        <f>VLOOKUP($E$3,'Catchment Projections'!$A$1:$BU$90,46,FALSE)</f>
        <v>16</v>
      </c>
      <c r="F49" s="108">
        <f>VLOOKUP($E$3,'Catchment Projections'!$A$1:$BU$90,47,FALSE)</f>
        <v>19</v>
      </c>
      <c r="G49" s="108">
        <f>VLOOKUP($E$3,'Catchment Projections'!$A$1:$BU$90,48,FALSE)</f>
        <v>17</v>
      </c>
      <c r="H49" s="133">
        <f>VLOOKUP($E$3,'Catchment Projections'!$A$1:$BU$90,49,FALSE)</f>
        <v>18</v>
      </c>
      <c r="I49" s="133">
        <f>VLOOKUP($E$3,'Catchment Projections'!$A$1:$BU$90,50,FALSE)</f>
        <v>18</v>
      </c>
      <c r="J49" s="133">
        <f>VLOOKUP($E$3,'Catchment Projections'!$A$1:$BU$90,51,FALSE)</f>
        <v>18</v>
      </c>
      <c r="K49" s="133">
        <f>VLOOKUP($E$3,'Catchment Projections'!$A$1:$BU$90,52,FALSE)</f>
        <v>18</v>
      </c>
      <c r="L49" s="133">
        <f>VLOOKUP($E$3,'Catchment Projections'!$A$1:$BU$90,53,FALSE)</f>
        <v>19</v>
      </c>
      <c r="M49" s="133">
        <f>VLOOKUP($E$3,'Catchment Projections'!$A$1:$BU$90,54,FALSE)</f>
        <v>19</v>
      </c>
      <c r="N49" s="133">
        <f>VLOOKUP($E$3,'Catchment Projections'!$A$1:$BU$90,55,FALSE)</f>
        <v>19</v>
      </c>
      <c r="O49" s="133">
        <f>VLOOKUP($E$3,'Catchment Projections'!$A$1:$BU$90,56,FALSE)</f>
        <v>19</v>
      </c>
      <c r="P49" s="133">
        <f>VLOOKUP($E$3,'Catchment Projections'!$A$1:$BU$90,57,FALSE)</f>
        <v>19</v>
      </c>
      <c r="Q49" s="133">
        <f>VLOOKUP($E$3,'Catchment Projections'!$A$1:$BU$90,58,FALSE)</f>
        <v>19</v>
      </c>
    </row>
    <row r="50" spans="2:17" ht="15" customHeight="1" thickBot="1">
      <c r="B50" s="410" t="s">
        <v>141</v>
      </c>
      <c r="C50" s="411"/>
      <c r="D50" s="286">
        <f>VLOOKUP(E3,'Housing Generation'!$A$3:$DQ$90,10,FALSE)</f>
        <v>0</v>
      </c>
      <c r="E50" s="286">
        <f>VLOOKUP(E3,'Housing Generation'!$A$3:$DQ$90,18,FALSE)</f>
        <v>0</v>
      </c>
      <c r="F50" s="286">
        <f>VLOOKUP(E3,'Housing Generation'!$A$3:$DQ$90,26,FALSE)</f>
        <v>1</v>
      </c>
      <c r="G50" s="243">
        <f>VLOOKUP(E3,'Housing Generation'!$A$3:$DQ$90,34,FALSE)</f>
        <v>1</v>
      </c>
      <c r="H50" s="133">
        <f>VLOOKUP(E3,'Housing Generation'!$A$3:$DQ$90,42,FALSE)</f>
        <v>2</v>
      </c>
      <c r="I50" s="133">
        <f>VLOOKUP(E3,'Housing Generation'!$A$3:$DQ$90,50,FALSE)</f>
        <v>3</v>
      </c>
      <c r="J50" s="133">
        <f>VLOOKUP(E3,'Housing Generation'!$A$3:$CK$90,58,FALSE)</f>
        <v>3</v>
      </c>
      <c r="K50" s="133">
        <f>VLOOKUP(E3,'Housing Generation'!$A$3:$CK$90,66,FALSE)</f>
        <v>3</v>
      </c>
      <c r="L50" s="133">
        <f>VLOOKUP(E3,'Housing Generation'!$A$3:$DQ$90,74,FALSE)</f>
        <v>3</v>
      </c>
      <c r="M50" s="133">
        <f>VLOOKUP(E3,'Housing Generation'!$A$3:$DQ$90,82,FALSE)</f>
        <v>3</v>
      </c>
      <c r="N50" s="133">
        <f>VLOOKUP(E3,'Housing Generation'!$A$3:$DQ$90,90,FALSE)</f>
        <v>3</v>
      </c>
      <c r="O50" s="133">
        <f>VLOOKUP(E3,'Housing Generation'!$A$3:$DQ$90,98,FALSE)</f>
        <v>3</v>
      </c>
      <c r="P50" s="133">
        <f>VLOOKUP(E3,'Housing Generation'!$A$3:$DQ$90,106,FALSE)</f>
        <v>3</v>
      </c>
      <c r="Q50" s="133">
        <f>VLOOKUP(E3,'Housing Generation'!$A$3:$DQ$90,114,FALSE)</f>
        <v>3</v>
      </c>
    </row>
    <row r="51" spans="2:17" ht="15" customHeight="1" thickTop="1">
      <c r="B51" s="421" t="s">
        <v>130</v>
      </c>
      <c r="C51" s="422"/>
      <c r="D51" s="47">
        <f t="shared" ref="D51:Q51" si="0">SUM(D49:D50)</f>
        <v>21</v>
      </c>
      <c r="E51" s="47">
        <f t="shared" si="0"/>
        <v>16</v>
      </c>
      <c r="F51" s="80">
        <f t="shared" si="0"/>
        <v>20</v>
      </c>
      <c r="G51" s="244">
        <f t="shared" si="0"/>
        <v>18</v>
      </c>
      <c r="H51" s="71">
        <f t="shared" si="0"/>
        <v>20</v>
      </c>
      <c r="I51" s="71">
        <f t="shared" si="0"/>
        <v>21</v>
      </c>
      <c r="J51" s="71">
        <f t="shared" si="0"/>
        <v>21</v>
      </c>
      <c r="K51" s="71">
        <f t="shared" si="0"/>
        <v>21</v>
      </c>
      <c r="L51" s="71">
        <f t="shared" si="0"/>
        <v>22</v>
      </c>
      <c r="M51" s="71">
        <f t="shared" si="0"/>
        <v>22</v>
      </c>
      <c r="N51" s="71">
        <f t="shared" si="0"/>
        <v>22</v>
      </c>
      <c r="O51" s="71">
        <f t="shared" si="0"/>
        <v>22</v>
      </c>
      <c r="P51" s="71">
        <f t="shared" si="0"/>
        <v>22</v>
      </c>
      <c r="Q51" s="71">
        <f t="shared" si="0"/>
        <v>22</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26</v>
      </c>
      <c r="D60" s="358">
        <f>VLOOKUP($E$3,'Catchment Projections'!$A$1:$BZ$90,74,FALSE)</f>
        <v>15</v>
      </c>
      <c r="E60" s="303">
        <f>D60/C60</f>
        <v>0.57692307692307687</v>
      </c>
      <c r="G60" s="132">
        <v>2014</v>
      </c>
      <c r="H60" s="395">
        <f>VLOOKUP($G$60,$B$177:$C$215, 2, FALSE)</f>
        <v>24</v>
      </c>
      <c r="I60" s="120">
        <f>H60-D60</f>
        <v>9</v>
      </c>
      <c r="J60" s="121">
        <f>I60/H60</f>
        <v>0.375</v>
      </c>
    </row>
    <row r="61" spans="2:17" ht="15" customHeight="1">
      <c r="B61" s="132">
        <v>2015</v>
      </c>
      <c r="C61" s="359">
        <f>VLOOKUP($E$3,'Catchment Projections'!$A$1:$BZ$90,41,FALSE)</f>
        <v>24</v>
      </c>
      <c r="D61" s="358">
        <f>VLOOKUP($E$3,'Catchment Projections'!$A$1:$BZ$90,75,FALSE)</f>
        <v>20</v>
      </c>
      <c r="E61" s="303">
        <f>D61/C61</f>
        <v>0.83333333333333337</v>
      </c>
      <c r="G61" s="132">
        <v>2015</v>
      </c>
      <c r="H61" s="395">
        <f>VLOOKUP($G$61,$B$177:$C$215, 2, FALSE)</f>
        <v>23</v>
      </c>
      <c r="I61" s="120">
        <f>H61-D61</f>
        <v>3</v>
      </c>
      <c r="J61" s="121">
        <f>I61/H61</f>
        <v>0.13043478260869565</v>
      </c>
    </row>
    <row r="62" spans="2:17" ht="15" customHeight="1">
      <c r="B62" s="131">
        <v>2016</v>
      </c>
      <c r="C62" s="359">
        <f>VLOOKUP($E$3,'Catchment Projections'!$A$1:$BZ$90,42,FALSE)</f>
        <v>25</v>
      </c>
      <c r="D62" s="358">
        <f>VLOOKUP($E$3,'Catchment Projections'!$A$1:$BZ$90,76,FALSE)</f>
        <v>15</v>
      </c>
      <c r="E62" s="57">
        <f>D62/C62</f>
        <v>0.6</v>
      </c>
      <c r="G62" s="131">
        <v>2016</v>
      </c>
      <c r="H62" s="395">
        <f>VLOOKUP($G$62,$B$177:$C$215, 2, FALSE)</f>
        <v>19</v>
      </c>
      <c r="I62" s="120">
        <f>H62-D62</f>
        <v>4</v>
      </c>
      <c r="J62" s="121">
        <f>I62/H62</f>
        <v>0.21052631578947367</v>
      </c>
    </row>
    <row r="63" spans="2:17" ht="15" customHeight="1">
      <c r="B63" s="114">
        <v>2017</v>
      </c>
      <c r="C63" s="359">
        <f>VLOOKUP($E$3,'Catchment Projections'!$A$1:$BZ$90,43,FALSE)</f>
        <v>26</v>
      </c>
      <c r="D63" s="358">
        <f>VLOOKUP($E$3,'Catchment Projections'!$A$1:$BZ$90,77,FALSE)</f>
        <v>21</v>
      </c>
      <c r="E63" s="304">
        <f>D63/C63</f>
        <v>0.80769230769230771</v>
      </c>
      <c r="G63" s="114">
        <v>2017</v>
      </c>
      <c r="H63" s="395">
        <f>VLOOKUP($G$63,$B$177:$C$215, 2, FALSE)</f>
        <v>25</v>
      </c>
      <c r="I63" s="120">
        <f>H63-D63</f>
        <v>4</v>
      </c>
      <c r="J63" s="121">
        <f>I63/H63</f>
        <v>0.16</v>
      </c>
    </row>
    <row r="64" spans="2:17" ht="15" customHeight="1">
      <c r="B64" s="114">
        <v>2018</v>
      </c>
      <c r="C64" s="359">
        <f>VLOOKUP($E$3,'Catchment Projections'!$A$1:$BZ$90,44,FALSE)</f>
        <v>29</v>
      </c>
      <c r="D64" s="358">
        <f>VLOOKUP($E$3,'Catchment Projections'!$A$1:$BZ$90,78,FALSE)</f>
        <v>20</v>
      </c>
      <c r="E64" s="305">
        <f>D64/C64</f>
        <v>0.68965517241379315</v>
      </c>
      <c r="G64" s="114">
        <v>2018</v>
      </c>
      <c r="H64" s="395">
        <f>VLOOKUP($G$64,$B$177:$C$215, 2, FALSE)</f>
        <v>22</v>
      </c>
      <c r="I64" s="120">
        <f>H64-D64</f>
        <v>2</v>
      </c>
      <c r="J64" s="121">
        <f>I64/H64</f>
        <v>9.0909090909090912E-2</v>
      </c>
    </row>
    <row r="65" spans="2:10" ht="15" customHeight="1">
      <c r="B65" s="412" t="s">
        <v>136</v>
      </c>
      <c r="C65" s="413"/>
      <c r="D65" s="414"/>
      <c r="E65" s="137">
        <f>IF((AVERAGE(E62:E64))="#DIV/0!","n/a",(AVERAGE(E62:E64)))</f>
        <v>0.69911582670203354</v>
      </c>
      <c r="G65" s="415" t="s">
        <v>137</v>
      </c>
      <c r="H65" s="416"/>
      <c r="I65" s="138">
        <f>MEDIAN(I60:I64)</f>
        <v>4</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21</v>
      </c>
      <c r="D70" s="408"/>
      <c r="E70" s="122">
        <f>E65</f>
        <v>0.69911582670203354</v>
      </c>
      <c r="F70" s="120">
        <f t="shared" ref="F70:F83" si="1">C70*$E$65</f>
        <v>14.681432360742704</v>
      </c>
      <c r="G70" s="118">
        <f>IF(F70&lt;26,25,IF(F70&gt;135,140,IF(F70&gt;130,135,IF(F70&gt;125,130,IF(F70&gt;120,125,IF(F70&gt;115,120,IF(F70&gt;110,115,IF(F70&gt;105,110,IF(F70&gt;100,105,IF(F70&gt;99,100,IF(F70&gt;90,99,IF(F70&gt;75,90,IF(F70&gt;72,75,IF(F70&gt;66,72,IF(F70&gt;60,66,IF(F70&gt;50,60,IF(F70&gt;30,50,IF(F70&gt;25,30,0))))))))))))))))))</f>
        <v>25</v>
      </c>
      <c r="H70" s="119">
        <f t="shared" ref="H70:H83" si="2">G70-F70</f>
        <v>10.318567639257296</v>
      </c>
      <c r="I70" s="118" t="str">
        <f>IF(I$65&lt;H70, "NO", "YES")</f>
        <v>NO</v>
      </c>
      <c r="J70" s="117">
        <f t="shared" ref="J70:J83" si="3">IF(I70="YES",G70,(MIN((SUM(F70,$I$65)),G70)))</f>
        <v>18.681432360742704</v>
      </c>
    </row>
    <row r="71" spans="2:10" ht="15" customHeight="1">
      <c r="B71" s="114">
        <v>2020</v>
      </c>
      <c r="C71" s="433">
        <f>E51</f>
        <v>16</v>
      </c>
      <c r="D71" s="408"/>
      <c r="E71" s="121">
        <f>E65</f>
        <v>0.69911582670203354</v>
      </c>
      <c r="F71" s="120">
        <f t="shared" si="1"/>
        <v>11.185853227232537</v>
      </c>
      <c r="G71" s="118">
        <f t="shared" ref="G71:G83" si="4">IF(F71&lt;26,25,IF(F71&gt;135,140,IF(F71&gt;130,135,IF(F71&gt;125,130,IF(F71&gt;120,125,IF(F71&gt;115,120,IF(F71&gt;110,115,IF(F71&gt;105,110,IF(F71&gt;100,105,IF(F71&gt;99,100,IF(F71&gt;90,99,IF(F71&gt;75,90,IF(F71&gt;72,75,IF(F71&gt;66,72,IF(F71&gt;60,66,IF(F71&gt;50,60,IF(F71&gt;30,50,IF(F71&gt;25,30,0))))))))))))))))))</f>
        <v>25</v>
      </c>
      <c r="H71" s="119">
        <f t="shared" si="2"/>
        <v>13.814146772767463</v>
      </c>
      <c r="I71" s="118" t="str">
        <f t="shared" ref="I71:I83" si="5">IF(I$65&lt;H71, "NO", "YES")</f>
        <v>NO</v>
      </c>
      <c r="J71" s="117">
        <f t="shared" si="3"/>
        <v>15.185853227232537</v>
      </c>
    </row>
    <row r="72" spans="2:10" ht="15" customHeight="1">
      <c r="B72" s="114">
        <v>2021</v>
      </c>
      <c r="C72" s="430">
        <f>F51</f>
        <v>20</v>
      </c>
      <c r="D72" s="431"/>
      <c r="E72" s="121">
        <f>E65</f>
        <v>0.69911582670203354</v>
      </c>
      <c r="F72" s="120">
        <f t="shared" si="1"/>
        <v>13.98231653404067</v>
      </c>
      <c r="G72" s="118">
        <f t="shared" si="4"/>
        <v>25</v>
      </c>
      <c r="H72" s="119">
        <f t="shared" si="2"/>
        <v>11.01768346595933</v>
      </c>
      <c r="I72" s="118" t="str">
        <f t="shared" si="5"/>
        <v>NO</v>
      </c>
      <c r="J72" s="117">
        <f t="shared" si="3"/>
        <v>17.98231653404067</v>
      </c>
    </row>
    <row r="73" spans="2:10" ht="15" customHeight="1">
      <c r="B73" s="114">
        <v>2022</v>
      </c>
      <c r="C73" s="430">
        <f>G51</f>
        <v>18</v>
      </c>
      <c r="D73" s="431"/>
      <c r="E73" s="121">
        <f>E65</f>
        <v>0.69911582670203354</v>
      </c>
      <c r="F73" s="120">
        <f t="shared" si="1"/>
        <v>12.584084880636604</v>
      </c>
      <c r="G73" s="118">
        <f t="shared" si="4"/>
        <v>25</v>
      </c>
      <c r="H73" s="119">
        <f t="shared" si="2"/>
        <v>12.415915119363396</v>
      </c>
      <c r="I73" s="118" t="str">
        <f t="shared" si="5"/>
        <v>NO</v>
      </c>
      <c r="J73" s="117">
        <f t="shared" si="3"/>
        <v>16.584084880636603</v>
      </c>
    </row>
    <row r="74" spans="2:10" ht="15" customHeight="1">
      <c r="B74" s="114">
        <v>2023</v>
      </c>
      <c r="C74" s="430">
        <f>H51</f>
        <v>20</v>
      </c>
      <c r="D74" s="431"/>
      <c r="E74" s="121">
        <f>E65</f>
        <v>0.69911582670203354</v>
      </c>
      <c r="F74" s="120">
        <f t="shared" si="1"/>
        <v>13.98231653404067</v>
      </c>
      <c r="G74" s="118">
        <f t="shared" si="4"/>
        <v>25</v>
      </c>
      <c r="H74" s="119">
        <f t="shared" si="2"/>
        <v>11.01768346595933</v>
      </c>
      <c r="I74" s="118" t="str">
        <f t="shared" si="5"/>
        <v>NO</v>
      </c>
      <c r="J74" s="117">
        <f t="shared" si="3"/>
        <v>17.98231653404067</v>
      </c>
    </row>
    <row r="75" spans="2:10" ht="15" customHeight="1">
      <c r="B75" s="114">
        <v>2024</v>
      </c>
      <c r="C75" s="430">
        <f>I51</f>
        <v>21</v>
      </c>
      <c r="D75" s="431"/>
      <c r="E75" s="121">
        <f>E65</f>
        <v>0.69911582670203354</v>
      </c>
      <c r="F75" s="120">
        <f t="shared" si="1"/>
        <v>14.681432360742704</v>
      </c>
      <c r="G75" s="118">
        <f t="shared" si="4"/>
        <v>25</v>
      </c>
      <c r="H75" s="119">
        <f t="shared" si="2"/>
        <v>10.318567639257296</v>
      </c>
      <c r="I75" s="118" t="str">
        <f t="shared" si="5"/>
        <v>NO</v>
      </c>
      <c r="J75" s="117">
        <f t="shared" si="3"/>
        <v>18.681432360742704</v>
      </c>
    </row>
    <row r="76" spans="2:10" ht="15" customHeight="1">
      <c r="B76" s="114">
        <v>2025</v>
      </c>
      <c r="C76" s="430">
        <f>J51</f>
        <v>21</v>
      </c>
      <c r="D76" s="431"/>
      <c r="E76" s="121">
        <f>E65</f>
        <v>0.69911582670203354</v>
      </c>
      <c r="F76" s="120">
        <f t="shared" si="1"/>
        <v>14.681432360742704</v>
      </c>
      <c r="G76" s="118">
        <f t="shared" si="4"/>
        <v>25</v>
      </c>
      <c r="H76" s="119">
        <f t="shared" si="2"/>
        <v>10.318567639257296</v>
      </c>
      <c r="I76" s="118" t="str">
        <f t="shared" si="5"/>
        <v>NO</v>
      </c>
      <c r="J76" s="117">
        <f t="shared" si="3"/>
        <v>18.681432360742704</v>
      </c>
    </row>
    <row r="77" spans="2:10" ht="15" customHeight="1">
      <c r="B77" s="114">
        <v>2026</v>
      </c>
      <c r="C77" s="430">
        <f>K51</f>
        <v>21</v>
      </c>
      <c r="D77" s="431"/>
      <c r="E77" s="121">
        <f>E65</f>
        <v>0.69911582670203354</v>
      </c>
      <c r="F77" s="120">
        <f t="shared" si="1"/>
        <v>14.681432360742704</v>
      </c>
      <c r="G77" s="118">
        <f t="shared" si="4"/>
        <v>25</v>
      </c>
      <c r="H77" s="119">
        <f t="shared" si="2"/>
        <v>10.318567639257296</v>
      </c>
      <c r="I77" s="118" t="str">
        <f t="shared" si="5"/>
        <v>NO</v>
      </c>
      <c r="J77" s="117">
        <f t="shared" si="3"/>
        <v>18.681432360742704</v>
      </c>
    </row>
    <row r="78" spans="2:10" ht="15" customHeight="1">
      <c r="B78" s="114">
        <v>2027</v>
      </c>
      <c r="C78" s="430">
        <f>L51</f>
        <v>22</v>
      </c>
      <c r="D78" s="431"/>
      <c r="E78" s="121">
        <f>E65</f>
        <v>0.69911582670203354</v>
      </c>
      <c r="F78" s="120">
        <f t="shared" si="1"/>
        <v>15.380548187444738</v>
      </c>
      <c r="G78" s="118">
        <f t="shared" si="4"/>
        <v>25</v>
      </c>
      <c r="H78" s="119">
        <f t="shared" si="2"/>
        <v>9.6194518125552619</v>
      </c>
      <c r="I78" s="118" t="str">
        <f t="shared" si="5"/>
        <v>NO</v>
      </c>
      <c r="J78" s="117">
        <f t="shared" si="3"/>
        <v>19.380548187444738</v>
      </c>
    </row>
    <row r="79" spans="2:10" ht="15" customHeight="1">
      <c r="B79" s="114">
        <v>2028</v>
      </c>
      <c r="C79" s="430">
        <f>M51</f>
        <v>22</v>
      </c>
      <c r="D79" s="431"/>
      <c r="E79" s="121">
        <f t="shared" ref="E79:E83" si="6">$E$65</f>
        <v>0.69911582670203354</v>
      </c>
      <c r="F79" s="120">
        <f t="shared" si="1"/>
        <v>15.380548187444738</v>
      </c>
      <c r="G79" s="118">
        <f t="shared" si="4"/>
        <v>25</v>
      </c>
      <c r="H79" s="119">
        <f t="shared" si="2"/>
        <v>9.6194518125552619</v>
      </c>
      <c r="I79" s="118" t="str">
        <f t="shared" si="5"/>
        <v>NO</v>
      </c>
      <c r="J79" s="117">
        <f t="shared" si="3"/>
        <v>19.380548187444738</v>
      </c>
    </row>
    <row r="80" spans="2:10" ht="15" customHeight="1">
      <c r="B80" s="114">
        <v>2029</v>
      </c>
      <c r="C80" s="430">
        <f>N51</f>
        <v>22</v>
      </c>
      <c r="D80" s="431"/>
      <c r="E80" s="121">
        <f t="shared" si="6"/>
        <v>0.69911582670203354</v>
      </c>
      <c r="F80" s="120">
        <f t="shared" si="1"/>
        <v>15.380548187444738</v>
      </c>
      <c r="G80" s="118">
        <f t="shared" si="4"/>
        <v>25</v>
      </c>
      <c r="H80" s="119">
        <f t="shared" si="2"/>
        <v>9.6194518125552619</v>
      </c>
      <c r="I80" s="118" t="str">
        <f t="shared" si="5"/>
        <v>NO</v>
      </c>
      <c r="J80" s="117">
        <f t="shared" si="3"/>
        <v>19.380548187444738</v>
      </c>
    </row>
    <row r="81" spans="2:10" ht="15" customHeight="1">
      <c r="B81" s="114">
        <v>2030</v>
      </c>
      <c r="C81" s="430">
        <f>O51</f>
        <v>22</v>
      </c>
      <c r="D81" s="431"/>
      <c r="E81" s="121">
        <f t="shared" si="6"/>
        <v>0.69911582670203354</v>
      </c>
      <c r="F81" s="120">
        <f t="shared" si="1"/>
        <v>15.380548187444738</v>
      </c>
      <c r="G81" s="118">
        <f t="shared" si="4"/>
        <v>25</v>
      </c>
      <c r="H81" s="119">
        <f t="shared" si="2"/>
        <v>9.6194518125552619</v>
      </c>
      <c r="I81" s="118" t="str">
        <f t="shared" si="5"/>
        <v>NO</v>
      </c>
      <c r="J81" s="117">
        <f t="shared" si="3"/>
        <v>19.380548187444738</v>
      </c>
    </row>
    <row r="82" spans="2:10" ht="15" customHeight="1">
      <c r="B82" s="114">
        <v>2031</v>
      </c>
      <c r="C82" s="430">
        <f>P51</f>
        <v>22</v>
      </c>
      <c r="D82" s="431"/>
      <c r="E82" s="121">
        <f t="shared" si="6"/>
        <v>0.69911582670203354</v>
      </c>
      <c r="F82" s="120">
        <f t="shared" si="1"/>
        <v>15.380548187444738</v>
      </c>
      <c r="G82" s="118">
        <f t="shared" si="4"/>
        <v>25</v>
      </c>
      <c r="H82" s="119">
        <f t="shared" si="2"/>
        <v>9.6194518125552619</v>
      </c>
      <c r="I82" s="118" t="str">
        <f t="shared" si="5"/>
        <v>NO</v>
      </c>
      <c r="J82" s="117">
        <f t="shared" si="3"/>
        <v>19.380548187444738</v>
      </c>
    </row>
    <row r="83" spans="2:10" ht="15" customHeight="1">
      <c r="B83" s="114">
        <v>2032</v>
      </c>
      <c r="C83" s="430">
        <f>Q51</f>
        <v>22</v>
      </c>
      <c r="D83" s="431"/>
      <c r="E83" s="121">
        <f t="shared" si="6"/>
        <v>0.69911582670203354</v>
      </c>
      <c r="F83" s="120">
        <f t="shared" si="1"/>
        <v>15.380548187444738</v>
      </c>
      <c r="G83" s="118">
        <f t="shared" si="4"/>
        <v>25</v>
      </c>
      <c r="H83" s="119">
        <f t="shared" si="2"/>
        <v>9.6194518125552619</v>
      </c>
      <c r="I83" s="118" t="str">
        <f t="shared" si="5"/>
        <v>NO</v>
      </c>
      <c r="J83" s="117">
        <f t="shared" si="3"/>
        <v>19.380548187444738</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Royal Mile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23</v>
      </c>
      <c r="D91" s="112">
        <f t="shared" ref="D91:J91" si="7">D188</f>
        <v>22</v>
      </c>
      <c r="E91" s="112">
        <f t="shared" si="7"/>
        <v>25</v>
      </c>
      <c r="F91" s="112">
        <f t="shared" si="7"/>
        <v>12</v>
      </c>
      <c r="G91" s="112">
        <f t="shared" si="7"/>
        <v>14</v>
      </c>
      <c r="H91" s="112">
        <f t="shared" si="7"/>
        <v>16</v>
      </c>
      <c r="I91" s="112">
        <f t="shared" si="7"/>
        <v>15</v>
      </c>
      <c r="J91" s="213">
        <f t="shared" si="7"/>
        <v>127</v>
      </c>
    </row>
    <row r="92" spans="2:10" ht="15" customHeight="1">
      <c r="B92" s="114">
        <v>2014</v>
      </c>
      <c r="C92" s="112">
        <f>C189</f>
        <v>24</v>
      </c>
      <c r="D92" s="112">
        <f t="shared" ref="D92:J92" si="8">D189</f>
        <v>17</v>
      </c>
      <c r="E92" s="112">
        <f t="shared" si="8"/>
        <v>23</v>
      </c>
      <c r="F92" s="112">
        <f t="shared" si="8"/>
        <v>25</v>
      </c>
      <c r="G92" s="112">
        <f t="shared" si="8"/>
        <v>12</v>
      </c>
      <c r="H92" s="112">
        <f t="shared" si="8"/>
        <v>14</v>
      </c>
      <c r="I92" s="112">
        <f t="shared" si="8"/>
        <v>14</v>
      </c>
      <c r="J92" s="213">
        <f t="shared" si="8"/>
        <v>129</v>
      </c>
    </row>
    <row r="93" spans="2:10" ht="15" customHeight="1">
      <c r="B93" s="114">
        <v>2015</v>
      </c>
      <c r="C93" s="112">
        <f>C190</f>
        <v>23</v>
      </c>
      <c r="D93" s="112">
        <f t="shared" ref="D93:J93" si="9">D190</f>
        <v>26</v>
      </c>
      <c r="E93" s="112">
        <f t="shared" si="9"/>
        <v>17</v>
      </c>
      <c r="F93" s="112">
        <f t="shared" si="9"/>
        <v>22</v>
      </c>
      <c r="G93" s="112">
        <f t="shared" si="9"/>
        <v>23</v>
      </c>
      <c r="H93" s="112">
        <f t="shared" si="9"/>
        <v>12</v>
      </c>
      <c r="I93" s="112">
        <f t="shared" si="9"/>
        <v>12</v>
      </c>
      <c r="J93" s="213">
        <f t="shared" si="9"/>
        <v>135</v>
      </c>
    </row>
    <row r="94" spans="2:10" ht="15" customHeight="1">
      <c r="B94" s="114">
        <v>2016</v>
      </c>
      <c r="C94" s="112">
        <f>C191</f>
        <v>19</v>
      </c>
      <c r="D94" s="112">
        <f t="shared" ref="D94:J94" si="10">D191</f>
        <v>22</v>
      </c>
      <c r="E94" s="112">
        <f t="shared" si="10"/>
        <v>26</v>
      </c>
      <c r="F94" s="112">
        <f t="shared" si="10"/>
        <v>17</v>
      </c>
      <c r="G94" s="112">
        <f t="shared" si="10"/>
        <v>18</v>
      </c>
      <c r="H94" s="112">
        <f t="shared" si="10"/>
        <v>24</v>
      </c>
      <c r="I94" s="112">
        <f t="shared" si="10"/>
        <v>12</v>
      </c>
      <c r="J94" s="213">
        <f t="shared" si="10"/>
        <v>138</v>
      </c>
    </row>
    <row r="95" spans="2:10" ht="15" customHeight="1">
      <c r="B95" s="114">
        <v>2017</v>
      </c>
      <c r="C95" s="112">
        <f>C192</f>
        <v>25</v>
      </c>
      <c r="D95" s="112">
        <f t="shared" ref="D95:J95" si="11">D192</f>
        <v>18</v>
      </c>
      <c r="E95" s="112">
        <f t="shared" si="11"/>
        <v>21</v>
      </c>
      <c r="F95" s="112">
        <f t="shared" si="11"/>
        <v>22</v>
      </c>
      <c r="G95" s="112">
        <f t="shared" si="11"/>
        <v>15</v>
      </c>
      <c r="H95" s="112">
        <f t="shared" si="11"/>
        <v>15</v>
      </c>
      <c r="I95" s="112">
        <f t="shared" si="11"/>
        <v>25</v>
      </c>
      <c r="J95" s="213">
        <f t="shared" si="11"/>
        <v>141</v>
      </c>
    </row>
    <row r="96" spans="2:10" ht="15" customHeight="1">
      <c r="B96" s="307">
        <v>2018</v>
      </c>
      <c r="C96" s="112">
        <f t="shared" ref="C96:J96" si="12">C193</f>
        <v>22</v>
      </c>
      <c r="D96" s="112">
        <f t="shared" si="12"/>
        <v>26</v>
      </c>
      <c r="E96" s="112">
        <f t="shared" si="12"/>
        <v>16</v>
      </c>
      <c r="F96" s="112">
        <f t="shared" si="12"/>
        <v>20</v>
      </c>
      <c r="G96" s="112">
        <f t="shared" si="12"/>
        <v>26</v>
      </c>
      <c r="H96" s="112">
        <f t="shared" si="12"/>
        <v>15</v>
      </c>
      <c r="I96" s="112">
        <f t="shared" si="12"/>
        <v>17</v>
      </c>
      <c r="J96" s="213">
        <f t="shared" si="12"/>
        <v>142</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4.3478260869565216E-2</v>
      </c>
      <c r="E98" s="210">
        <f t="shared" ref="E98:I98" si="13">MEDIAN(((D91-E92)/D91),((D92-E93)/D92),((D93-E94)/D93),((D94-E95)/D94),((D95-E96)/D95))</f>
        <v>0</v>
      </c>
      <c r="F98" s="210">
        <f t="shared" si="13"/>
        <v>4.3478260869565216E-2</v>
      </c>
      <c r="G98" s="210">
        <f t="shared" si="13"/>
        <v>0.08</v>
      </c>
      <c r="H98" s="210">
        <f t="shared" si="13"/>
        <v>0</v>
      </c>
      <c r="I98" s="210">
        <f t="shared" si="13"/>
        <v>0</v>
      </c>
    </row>
    <row r="99" spans="2:10" ht="18.75">
      <c r="B99" s="59"/>
      <c r="C99" s="60"/>
      <c r="D99" s="61"/>
      <c r="E99" s="61"/>
      <c r="F99" s="61"/>
      <c r="G99" s="61"/>
      <c r="H99" s="61"/>
      <c r="I99" s="61"/>
      <c r="J99" s="58"/>
    </row>
    <row r="100" spans="2:10">
      <c r="B100" s="15" t="str">
        <f>"Table 4B: "&amp;E3&amp;" Projected Roll by Stage (incorporating Projected P1 and Drop-Off Rates), 2019-2032"</f>
        <v>Table 4B: Royal Mile Primary School Projected Roll by Stage (incorporating Projected P1 and Drop-Off Rates), 2019-2032</v>
      </c>
      <c r="F100" s="14"/>
      <c r="G100" s="14"/>
    </row>
    <row r="101" spans="2:10" ht="12.75">
      <c r="F101" s="14"/>
      <c r="G101" s="14"/>
    </row>
    <row r="102" spans="2:10">
      <c r="B102" s="115"/>
      <c r="C102" s="109" t="s">
        <v>1</v>
      </c>
      <c r="D102" s="109" t="s">
        <v>2</v>
      </c>
      <c r="E102" s="109" t="s">
        <v>3</v>
      </c>
      <c r="F102" s="109" t="s">
        <v>4</v>
      </c>
      <c r="G102" s="109" t="s">
        <v>5</v>
      </c>
      <c r="H102" s="109" t="s">
        <v>6</v>
      </c>
      <c r="I102" s="109" t="s">
        <v>7</v>
      </c>
      <c r="J102" s="109" t="s">
        <v>8</v>
      </c>
    </row>
    <row r="103" spans="2:10">
      <c r="B103" s="114">
        <v>2019</v>
      </c>
      <c r="C103" s="113">
        <f t="shared" ref="C103:C116" si="14">J70</f>
        <v>18.681432360742704</v>
      </c>
      <c r="D103" s="324">
        <f>ROUND((C96)-(C96*$D$98),0)</f>
        <v>21</v>
      </c>
      <c r="E103" s="324">
        <f>ROUND((D96)-(D96*$E$98),0)</f>
        <v>26</v>
      </c>
      <c r="F103" s="324">
        <f>ROUND((E96)-(E96*$F$98),0)</f>
        <v>15</v>
      </c>
      <c r="G103" s="324">
        <f>ROUND((F96)-(F96*$G$98),0)</f>
        <v>18</v>
      </c>
      <c r="H103" s="324">
        <f>ROUND((G96)-(G96*$H$98),0)</f>
        <v>26</v>
      </c>
      <c r="I103" s="324">
        <f>ROUND((H96)-(H96*$I$98),0)</f>
        <v>15</v>
      </c>
      <c r="J103" s="111">
        <f t="shared" ref="J103:J116" si="15">SUM(C103:I103)</f>
        <v>139.68143236074269</v>
      </c>
    </row>
    <row r="104" spans="2:10">
      <c r="B104" s="114">
        <v>2020</v>
      </c>
      <c r="C104" s="113">
        <f t="shared" si="14"/>
        <v>15.185853227232537</v>
      </c>
      <c r="D104" s="324">
        <f>ROUND((C103-E50)-(C103*$D$98),0)</f>
        <v>18</v>
      </c>
      <c r="E104" s="112">
        <f t="shared" ref="E104:E116" si="16">ROUND((D103)-(D103*$E$98),0)</f>
        <v>21</v>
      </c>
      <c r="F104" s="112">
        <f t="shared" ref="F104:F116" si="17">ROUND((E103)-(E103*$F$98),0)</f>
        <v>25</v>
      </c>
      <c r="G104" s="112">
        <f t="shared" ref="G104:G116" si="18">ROUND((F103)-(F103*$G$98),0)</f>
        <v>14</v>
      </c>
      <c r="H104" s="112">
        <f t="shared" ref="H104:H116" si="19">ROUND((G103)-(G103*$H$98),0)</f>
        <v>18</v>
      </c>
      <c r="I104" s="112">
        <f t="shared" ref="I104:I116" si="20">ROUND((H103)-(H103*$I$98),0)</f>
        <v>26</v>
      </c>
      <c r="J104" s="111">
        <f t="shared" si="15"/>
        <v>137.18585322723254</v>
      </c>
    </row>
    <row r="105" spans="2:10">
      <c r="B105" s="114">
        <v>2021</v>
      </c>
      <c r="C105" s="113">
        <f t="shared" si="14"/>
        <v>17.98231653404067</v>
      </c>
      <c r="D105" s="324">
        <f>ROUND((C104-F50)-(C104*$D$98),0)</f>
        <v>14</v>
      </c>
      <c r="E105" s="112">
        <f t="shared" si="16"/>
        <v>18</v>
      </c>
      <c r="F105" s="112">
        <f t="shared" si="17"/>
        <v>20</v>
      </c>
      <c r="G105" s="112">
        <f t="shared" si="18"/>
        <v>23</v>
      </c>
      <c r="H105" s="112">
        <f t="shared" si="19"/>
        <v>14</v>
      </c>
      <c r="I105" s="112">
        <f t="shared" si="20"/>
        <v>18</v>
      </c>
      <c r="J105" s="111">
        <f t="shared" si="15"/>
        <v>124.98231653404068</v>
      </c>
    </row>
    <row r="106" spans="2:10">
      <c r="B106" s="114">
        <v>2022</v>
      </c>
      <c r="C106" s="113">
        <f t="shared" si="14"/>
        <v>16.584084880636603</v>
      </c>
      <c r="D106" s="324">
        <f>ROUND((C105-G50)-(C105*$D$98),0)</f>
        <v>16</v>
      </c>
      <c r="E106" s="112">
        <f t="shared" si="16"/>
        <v>14</v>
      </c>
      <c r="F106" s="112">
        <f t="shared" si="17"/>
        <v>17</v>
      </c>
      <c r="G106" s="112">
        <f t="shared" si="18"/>
        <v>18</v>
      </c>
      <c r="H106" s="112">
        <f t="shared" si="19"/>
        <v>23</v>
      </c>
      <c r="I106" s="112">
        <f t="shared" si="20"/>
        <v>14</v>
      </c>
      <c r="J106" s="111">
        <f t="shared" si="15"/>
        <v>118.5840848806366</v>
      </c>
    </row>
    <row r="107" spans="2:10">
      <c r="B107" s="114">
        <v>2023</v>
      </c>
      <c r="C107" s="113">
        <f t="shared" si="14"/>
        <v>17.98231653404067</v>
      </c>
      <c r="D107" s="324">
        <f>ROUND((C106-H50)-(C106*$D$98),0)</f>
        <v>14</v>
      </c>
      <c r="E107" s="112">
        <f t="shared" si="16"/>
        <v>16</v>
      </c>
      <c r="F107" s="112">
        <f t="shared" si="17"/>
        <v>13</v>
      </c>
      <c r="G107" s="112">
        <f t="shared" si="18"/>
        <v>16</v>
      </c>
      <c r="H107" s="112">
        <f t="shared" si="19"/>
        <v>18</v>
      </c>
      <c r="I107" s="112">
        <f t="shared" si="20"/>
        <v>23</v>
      </c>
      <c r="J107" s="111">
        <f t="shared" si="15"/>
        <v>117.98231653404068</v>
      </c>
    </row>
    <row r="108" spans="2:10">
      <c r="B108" s="114">
        <v>2024</v>
      </c>
      <c r="C108" s="113">
        <f t="shared" si="14"/>
        <v>18.681432360742704</v>
      </c>
      <c r="D108" s="324">
        <f>ROUND((C107-I50)-(C107*$D$98),0)</f>
        <v>14</v>
      </c>
      <c r="E108" s="112">
        <f t="shared" si="16"/>
        <v>14</v>
      </c>
      <c r="F108" s="112">
        <f t="shared" si="17"/>
        <v>15</v>
      </c>
      <c r="G108" s="112">
        <f t="shared" si="18"/>
        <v>12</v>
      </c>
      <c r="H108" s="112">
        <f t="shared" si="19"/>
        <v>16</v>
      </c>
      <c r="I108" s="112">
        <f t="shared" si="20"/>
        <v>18</v>
      </c>
      <c r="J108" s="111">
        <f t="shared" si="15"/>
        <v>107.6814323607427</v>
      </c>
    </row>
    <row r="109" spans="2:10">
      <c r="B109" s="114">
        <v>2025</v>
      </c>
      <c r="C109" s="113">
        <f t="shared" si="14"/>
        <v>18.681432360742704</v>
      </c>
      <c r="D109" s="324">
        <f>ROUND((C108-J50)-(C108*$D$98),0)</f>
        <v>15</v>
      </c>
      <c r="E109" s="112">
        <f t="shared" si="16"/>
        <v>14</v>
      </c>
      <c r="F109" s="112">
        <f t="shared" si="17"/>
        <v>13</v>
      </c>
      <c r="G109" s="112">
        <f t="shared" si="18"/>
        <v>14</v>
      </c>
      <c r="H109" s="112">
        <f t="shared" si="19"/>
        <v>12</v>
      </c>
      <c r="I109" s="112">
        <f t="shared" si="20"/>
        <v>16</v>
      </c>
      <c r="J109" s="111">
        <f t="shared" si="15"/>
        <v>102.6814323607427</v>
      </c>
    </row>
    <row r="110" spans="2:10">
      <c r="B110" s="114">
        <v>2026</v>
      </c>
      <c r="C110" s="113">
        <f t="shared" si="14"/>
        <v>18.681432360742704</v>
      </c>
      <c r="D110" s="324">
        <f>ROUND((C109-K50)-(C109*$D$98),0)</f>
        <v>15</v>
      </c>
      <c r="E110" s="112">
        <f t="shared" si="16"/>
        <v>15</v>
      </c>
      <c r="F110" s="112">
        <f t="shared" si="17"/>
        <v>13</v>
      </c>
      <c r="G110" s="112">
        <f t="shared" si="18"/>
        <v>12</v>
      </c>
      <c r="H110" s="112">
        <f t="shared" si="19"/>
        <v>14</v>
      </c>
      <c r="I110" s="112">
        <f t="shared" si="20"/>
        <v>12</v>
      </c>
      <c r="J110" s="111">
        <f t="shared" si="15"/>
        <v>99.681432360742704</v>
      </c>
    </row>
    <row r="111" spans="2:10">
      <c r="B111" s="114">
        <v>2027</v>
      </c>
      <c r="C111" s="113">
        <f t="shared" si="14"/>
        <v>19.380548187444738</v>
      </c>
      <c r="D111" s="324">
        <f>ROUND((C110-L50)-(C110*$D$98),0)</f>
        <v>15</v>
      </c>
      <c r="E111" s="112">
        <f t="shared" si="16"/>
        <v>15</v>
      </c>
      <c r="F111" s="112">
        <f t="shared" si="17"/>
        <v>14</v>
      </c>
      <c r="G111" s="112">
        <f t="shared" si="18"/>
        <v>12</v>
      </c>
      <c r="H111" s="112">
        <f t="shared" si="19"/>
        <v>12</v>
      </c>
      <c r="I111" s="112">
        <f t="shared" si="20"/>
        <v>14</v>
      </c>
      <c r="J111" s="111">
        <f t="shared" si="15"/>
        <v>101.38054818744473</v>
      </c>
    </row>
    <row r="112" spans="2:10">
      <c r="B112" s="114">
        <v>2028</v>
      </c>
      <c r="C112" s="113">
        <f t="shared" si="14"/>
        <v>19.380548187444738</v>
      </c>
      <c r="D112" s="324">
        <f>ROUND((C111-M50)-(C111*$D$98),0)</f>
        <v>16</v>
      </c>
      <c r="E112" s="112">
        <f t="shared" si="16"/>
        <v>15</v>
      </c>
      <c r="F112" s="112">
        <f t="shared" si="17"/>
        <v>14</v>
      </c>
      <c r="G112" s="112">
        <f t="shared" si="18"/>
        <v>13</v>
      </c>
      <c r="H112" s="112">
        <f t="shared" si="19"/>
        <v>12</v>
      </c>
      <c r="I112" s="112">
        <f t="shared" si="20"/>
        <v>12</v>
      </c>
      <c r="J112" s="111">
        <f t="shared" si="15"/>
        <v>101.38054818744473</v>
      </c>
    </row>
    <row r="113" spans="2:10" ht="15" customHeight="1">
      <c r="B113" s="114">
        <v>2029</v>
      </c>
      <c r="C113" s="113">
        <f t="shared" si="14"/>
        <v>19.380548187444738</v>
      </c>
      <c r="D113" s="324">
        <f>ROUND((C112-N50)-(C112*$D$98),0)</f>
        <v>16</v>
      </c>
      <c r="E113" s="112">
        <f t="shared" si="16"/>
        <v>16</v>
      </c>
      <c r="F113" s="112">
        <f t="shared" si="17"/>
        <v>14</v>
      </c>
      <c r="G113" s="112">
        <f t="shared" si="18"/>
        <v>13</v>
      </c>
      <c r="H113" s="112">
        <f t="shared" si="19"/>
        <v>13</v>
      </c>
      <c r="I113" s="112">
        <f t="shared" si="20"/>
        <v>12</v>
      </c>
      <c r="J113" s="111">
        <f t="shared" si="15"/>
        <v>103.38054818744473</v>
      </c>
    </row>
    <row r="114" spans="2:10" ht="15" customHeight="1">
      <c r="B114" s="114">
        <v>2030</v>
      </c>
      <c r="C114" s="113">
        <f t="shared" si="14"/>
        <v>19.380548187444738</v>
      </c>
      <c r="D114" s="324">
        <f>ROUND((C113-O50)-(C113*$D$98),0)</f>
        <v>16</v>
      </c>
      <c r="E114" s="112">
        <f t="shared" si="16"/>
        <v>16</v>
      </c>
      <c r="F114" s="112">
        <f t="shared" si="17"/>
        <v>15</v>
      </c>
      <c r="G114" s="112">
        <f t="shared" si="18"/>
        <v>13</v>
      </c>
      <c r="H114" s="112">
        <f t="shared" si="19"/>
        <v>13</v>
      </c>
      <c r="I114" s="112">
        <f t="shared" si="20"/>
        <v>13</v>
      </c>
      <c r="J114" s="111">
        <f t="shared" si="15"/>
        <v>105.38054818744473</v>
      </c>
    </row>
    <row r="115" spans="2:10" ht="15" customHeight="1">
      <c r="B115" s="114">
        <v>2031</v>
      </c>
      <c r="C115" s="113">
        <f t="shared" si="14"/>
        <v>19.380548187444738</v>
      </c>
      <c r="D115" s="324">
        <f>ROUND((C114-P50)-(C114*$D$98),0)</f>
        <v>16</v>
      </c>
      <c r="E115" s="112">
        <f t="shared" si="16"/>
        <v>16</v>
      </c>
      <c r="F115" s="112">
        <f t="shared" si="17"/>
        <v>15</v>
      </c>
      <c r="G115" s="112">
        <f t="shared" si="18"/>
        <v>14</v>
      </c>
      <c r="H115" s="112">
        <f t="shared" si="19"/>
        <v>13</v>
      </c>
      <c r="I115" s="112">
        <f t="shared" si="20"/>
        <v>13</v>
      </c>
      <c r="J115" s="111">
        <f t="shared" si="15"/>
        <v>106.38054818744473</v>
      </c>
    </row>
    <row r="116" spans="2:10" ht="15" customHeight="1">
      <c r="B116" s="114">
        <v>2032</v>
      </c>
      <c r="C116" s="113">
        <f t="shared" si="14"/>
        <v>19.380548187444738</v>
      </c>
      <c r="D116" s="324">
        <f>ROUND((C115-Q50)-(C115*$D$98),0)</f>
        <v>16</v>
      </c>
      <c r="E116" s="112">
        <f t="shared" si="16"/>
        <v>16</v>
      </c>
      <c r="F116" s="112">
        <f t="shared" si="17"/>
        <v>15</v>
      </c>
      <c r="G116" s="112">
        <f t="shared" si="18"/>
        <v>14</v>
      </c>
      <c r="H116" s="112">
        <f t="shared" si="19"/>
        <v>14</v>
      </c>
      <c r="I116" s="112">
        <f t="shared" si="20"/>
        <v>13</v>
      </c>
      <c r="J116" s="111">
        <f t="shared" si="15"/>
        <v>107.38054818744473</v>
      </c>
    </row>
    <row r="117" spans="2:10" ht="15" hidden="1" customHeight="1">
      <c r="F117" s="14"/>
      <c r="G117" s="14"/>
    </row>
    <row r="118" spans="2:10" ht="15" hidden="1" customHeight="1">
      <c r="B118" s="15" t="str">
        <f>"Table 4C: "&amp;E3&amp;" Projected Pupil Generation from Housing Development, 2019-2032"</f>
        <v>Table 4C: Royal Mile Primary School Projected Pupil Generation from Housing Development, 2019-2032</v>
      </c>
      <c r="F118" s="14"/>
      <c r="G118" s="14"/>
    </row>
    <row r="119" spans="2:10" ht="15" hidden="1" customHeight="1">
      <c r="F119" s="14"/>
      <c r="G119" s="14"/>
    </row>
    <row r="120" spans="2:10" ht="15" hidden="1" customHeight="1">
      <c r="B120" s="115"/>
      <c r="C120" s="109" t="s">
        <v>1</v>
      </c>
      <c r="D120" s="109" t="s">
        <v>2</v>
      </c>
      <c r="E120" s="109" t="s">
        <v>3</v>
      </c>
      <c r="F120" s="109" t="s">
        <v>4</v>
      </c>
      <c r="G120" s="109" t="s">
        <v>5</v>
      </c>
      <c r="H120" s="109" t="s">
        <v>6</v>
      </c>
      <c r="I120" s="109" t="s">
        <v>7</v>
      </c>
      <c r="J120" s="109" t="s">
        <v>8</v>
      </c>
    </row>
    <row r="121" spans="2:10" ht="15" hidden="1" customHeight="1">
      <c r="B121" s="114">
        <v>2019</v>
      </c>
      <c r="C121" s="116" t="s">
        <v>97</v>
      </c>
      <c r="D121" s="112">
        <f>VLOOKUP($E$3,'Housing Generation'!$A$3:$BE$90,11,FALSE)</f>
        <v>0</v>
      </c>
      <c r="E121" s="112">
        <f>VLOOKUP($E$3,'Housing Generation'!$A$3:$BE$90,12,FALSE)</f>
        <v>0</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0</v>
      </c>
    </row>
    <row r="122" spans="2:10" ht="15" hidden="1" customHeight="1">
      <c r="B122" s="114">
        <v>2020</v>
      </c>
      <c r="C122" s="116" t="s">
        <v>97</v>
      </c>
      <c r="D122" s="112">
        <f>VLOOKUP($E$3,'Housing Generation'!$A$3:$BE$90,19,FALSE)</f>
        <v>0</v>
      </c>
      <c r="E122" s="112">
        <f>VLOOKUP($E$3,'Housing Generation'!$A$3:$BE$90,20,FALSE)</f>
        <v>0</v>
      </c>
      <c r="F122" s="112">
        <f>VLOOKUP($E$3,'Housing Generation'!$A$3:$BE$90,21,FALSE)</f>
        <v>0</v>
      </c>
      <c r="G122" s="112">
        <f>VLOOKUP($E$3,'Housing Generation'!$A$3:$BE$90,22,FALSE)</f>
        <v>0</v>
      </c>
      <c r="H122" s="112">
        <f>VLOOKUP($E$3,'Housing Generation'!$A$3:$BE$90,23,FALSE)</f>
        <v>0</v>
      </c>
      <c r="I122" s="112">
        <f>VLOOKUP($E$3,'Housing Generation'!$A$3:$BE$90,24,FALSE)</f>
        <v>0</v>
      </c>
      <c r="J122" s="111">
        <f t="shared" si="21"/>
        <v>0</v>
      </c>
    </row>
    <row r="123" spans="2:10" ht="15" hidden="1" customHeight="1">
      <c r="B123" s="114">
        <v>2021</v>
      </c>
      <c r="C123" s="116" t="s">
        <v>97</v>
      </c>
      <c r="D123" s="112">
        <f>VLOOKUP($E$3,'Housing Generation'!$A$3:$BE$90,27,FALSE)</f>
        <v>1</v>
      </c>
      <c r="E123" s="112">
        <f>VLOOKUP($E$3,'Housing Generation'!$A$3:$BE$90,28,FALSE)</f>
        <v>1</v>
      </c>
      <c r="F123" s="112">
        <f>VLOOKUP($E$3,'Housing Generation'!$A$3:$BE$90,29,FALSE)</f>
        <v>0</v>
      </c>
      <c r="G123" s="112">
        <f>VLOOKUP($E$3,'Housing Generation'!$A$3:$BE$90,30,FALSE)</f>
        <v>0</v>
      </c>
      <c r="H123" s="112">
        <f>VLOOKUP($E$3,'Housing Generation'!$A$3:$BE$90,31,FALSE)</f>
        <v>0</v>
      </c>
      <c r="I123" s="112">
        <f>VLOOKUP($E$3,'Housing Generation'!$A$3:$BE$90,32,FALSE)</f>
        <v>0</v>
      </c>
      <c r="J123" s="111">
        <f t="shared" si="21"/>
        <v>2</v>
      </c>
    </row>
    <row r="124" spans="2:10" ht="15" hidden="1" customHeight="1">
      <c r="B124" s="114">
        <v>2022</v>
      </c>
      <c r="C124" s="116" t="s">
        <v>97</v>
      </c>
      <c r="D124" s="112">
        <f>VLOOKUP($E$3,'Housing Generation'!$A$3:$BE$90,35,FALSE)</f>
        <v>1</v>
      </c>
      <c r="E124" s="112">
        <f>VLOOKUP($E$3,'Housing Generation'!$A$3:$BE$90,36,FALSE)</f>
        <v>1</v>
      </c>
      <c r="F124" s="112">
        <f>VLOOKUP($E$3,'Housing Generation'!$A$3:$BE$90,37,FALSE)</f>
        <v>1</v>
      </c>
      <c r="G124" s="112">
        <f>VLOOKUP($E$3,'Housing Generation'!$A$3:$BE$90,38,FALSE)</f>
        <v>1</v>
      </c>
      <c r="H124" s="112">
        <f>VLOOKUP($E$3,'Housing Generation'!$A$3:$BE$90,39,FALSE)</f>
        <v>1</v>
      </c>
      <c r="I124" s="112">
        <f>VLOOKUP($E$3,'Housing Generation'!$A$3:$BE$90,40,FALSE)</f>
        <v>1</v>
      </c>
      <c r="J124" s="111">
        <f t="shared" si="21"/>
        <v>6</v>
      </c>
    </row>
    <row r="125" spans="2:10" ht="15" hidden="1" customHeight="1">
      <c r="B125" s="114">
        <v>2023</v>
      </c>
      <c r="C125" s="116" t="s">
        <v>97</v>
      </c>
      <c r="D125" s="112">
        <f>VLOOKUP($E$3,'Housing Generation'!$A$3:$BE$90,43,FALSE)</f>
        <v>2</v>
      </c>
      <c r="E125" s="112">
        <f>VLOOKUP($E$3,'Housing Generation'!$A$3:$BE$90,44,FALSE)</f>
        <v>2</v>
      </c>
      <c r="F125" s="112">
        <f>VLOOKUP($E$3,'Housing Generation'!$A$3:$BE$90,45,FALSE)</f>
        <v>2</v>
      </c>
      <c r="G125" s="112">
        <f>VLOOKUP($E$3,'Housing Generation'!$A$3:$BE$90,46,FALSE)</f>
        <v>1</v>
      </c>
      <c r="H125" s="112">
        <f>VLOOKUP($E$3,'Housing Generation'!$A$3:$BE$90,47,FALSE)</f>
        <v>1</v>
      </c>
      <c r="I125" s="112">
        <f>VLOOKUP($E$3,'Housing Generation'!$A$3:$BE$90,48,FALSE)</f>
        <v>1</v>
      </c>
      <c r="J125" s="111">
        <f t="shared" si="21"/>
        <v>9</v>
      </c>
    </row>
    <row r="126" spans="2:10" ht="15" hidden="1" customHeight="1">
      <c r="B126" s="114">
        <v>2024</v>
      </c>
      <c r="C126" s="116" t="s">
        <v>97</v>
      </c>
      <c r="D126" s="112">
        <f>VLOOKUP($E$3,'Housing Generation'!$A$3:$BE$90,51,FALSE)</f>
        <v>2</v>
      </c>
      <c r="E126" s="112">
        <f>VLOOKUP($E$3,'Housing Generation'!$A$3:$BE$90,52,FALSE)</f>
        <v>2</v>
      </c>
      <c r="F126" s="112">
        <f>VLOOKUP($E$3,'Housing Generation'!$A$3:$BE$90,53,FALSE)</f>
        <v>2</v>
      </c>
      <c r="G126" s="112">
        <f>VLOOKUP($E$3,'Housing Generation'!$A$3:$BE$90,54,FALSE)</f>
        <v>2</v>
      </c>
      <c r="H126" s="112">
        <f>VLOOKUP($E$3,'Housing Generation'!$A$3:$BE$90,55,FALSE)</f>
        <v>2</v>
      </c>
      <c r="I126" s="112">
        <f>VLOOKUP($E$3,'Housing Generation'!$A$3:$BE$90,56,FALSE)</f>
        <v>2</v>
      </c>
      <c r="J126" s="111">
        <f t="shared" si="21"/>
        <v>12</v>
      </c>
    </row>
    <row r="127" spans="2:10" ht="15" hidden="1" customHeight="1">
      <c r="B127" s="114">
        <v>2025</v>
      </c>
      <c r="C127" s="240" t="s">
        <v>97</v>
      </c>
      <c r="D127" s="112">
        <f>VLOOKUP($E$3,'Housing Generation'!$A$3:$CK$90,59,FALSE)</f>
        <v>2</v>
      </c>
      <c r="E127" s="112">
        <f>VLOOKUP($E$3,'Housing Generation'!$A$3:$CK$90,60,FALSE)</f>
        <v>2</v>
      </c>
      <c r="F127" s="112">
        <f>VLOOKUP($E$3,'Housing Generation'!$A$3:$CK$90,61,FALSE)</f>
        <v>2</v>
      </c>
      <c r="G127" s="112">
        <f>VLOOKUP($E$3,'Housing Generation'!$A$3:$CK$90,62,FALSE)</f>
        <v>2</v>
      </c>
      <c r="H127" s="112">
        <f>VLOOKUP($E$3,'Housing Generation'!$A$3:$CK$90,63,FALSE)</f>
        <v>2</v>
      </c>
      <c r="I127" s="112">
        <f>VLOOKUP($E$3,'Housing Generation'!$A$3:$CK$90,64,FALSE)</f>
        <v>2</v>
      </c>
      <c r="J127" s="111">
        <f t="shared" si="21"/>
        <v>12</v>
      </c>
    </row>
    <row r="128" spans="2:10" ht="15" hidden="1" customHeight="1">
      <c r="B128" s="114">
        <v>2026</v>
      </c>
      <c r="C128" s="240" t="s">
        <v>97</v>
      </c>
      <c r="D128" s="112">
        <f>VLOOKUP($E$3,'Housing Generation'!$A$3:$CK$90,67,FALSE)</f>
        <v>2</v>
      </c>
      <c r="E128" s="112">
        <f>VLOOKUP($E$3,'Housing Generation'!$A$3:$CK$90,68,FALSE)</f>
        <v>2</v>
      </c>
      <c r="F128" s="112">
        <f>VLOOKUP($E$3,'Housing Generation'!$A$3:$CK$90,69,FALSE)</f>
        <v>2</v>
      </c>
      <c r="G128" s="112">
        <f>VLOOKUP($E$3,'Housing Generation'!$A$3:$CK$90,70,FALSE)</f>
        <v>2</v>
      </c>
      <c r="H128" s="112">
        <f>VLOOKUP($E$3,'Housing Generation'!$A$3:$CK$90,71,FALSE)</f>
        <v>2</v>
      </c>
      <c r="I128" s="112">
        <f>VLOOKUP($E$3,'Housing Generation'!$A$3:$CK$90,72,FALSE)</f>
        <v>2</v>
      </c>
      <c r="J128" s="111">
        <f t="shared" si="21"/>
        <v>12</v>
      </c>
    </row>
    <row r="129" spans="2:10" ht="15" hidden="1" customHeight="1">
      <c r="B129" s="114">
        <v>2027</v>
      </c>
      <c r="C129" s="240" t="s">
        <v>97</v>
      </c>
      <c r="D129" s="112">
        <f>VLOOKUP($E$3,'Housing Generation'!$A$3:$CK$90,75,FALSE)</f>
        <v>2</v>
      </c>
      <c r="E129" s="112">
        <f>VLOOKUP($E$3,'Housing Generation'!$A$3:$CK$90,76,FALSE)</f>
        <v>2</v>
      </c>
      <c r="F129" s="112">
        <f>VLOOKUP($E$3,'Housing Generation'!$A$3:$CK$90,77,FALSE)</f>
        <v>2</v>
      </c>
      <c r="G129" s="112">
        <f>VLOOKUP($E$3,'Housing Generation'!$A$3:$CK$90,78,FALSE)</f>
        <v>2</v>
      </c>
      <c r="H129" s="112">
        <f>VLOOKUP($E$3,'Housing Generation'!$A$3:$CK$90,79,FALSE)</f>
        <v>2</v>
      </c>
      <c r="I129" s="112">
        <f>VLOOKUP($E$3,'Housing Generation'!$A$3:$CK$90,80,FALSE)</f>
        <v>2</v>
      </c>
      <c r="J129" s="111">
        <f t="shared" si="21"/>
        <v>12</v>
      </c>
    </row>
    <row r="130" spans="2:10" ht="15" customHeight="1">
      <c r="B130" s="114">
        <v>2028</v>
      </c>
      <c r="C130" s="289" t="s">
        <v>97</v>
      </c>
      <c r="D130" s="112">
        <f>VLOOKUP($E$3,'Housing Generation'!$A$3:$CK$90,83,FALSE)</f>
        <v>2</v>
      </c>
      <c r="E130" s="112">
        <f>VLOOKUP($E$3,'Housing Generation'!$A$3:$CK$90,84,FALSE)</f>
        <v>2</v>
      </c>
      <c r="F130" s="112">
        <f>VLOOKUP($E$3,'Housing Generation'!$A$3:$CK$90,85,FALSE)</f>
        <v>2</v>
      </c>
      <c r="G130" s="112">
        <f>VLOOKUP($E$3,'Housing Generation'!$A$3:$CK$90,86,FALSE)</f>
        <v>2</v>
      </c>
      <c r="H130" s="112">
        <f>VLOOKUP($E$3,'Housing Generation'!$A$3:$CK$90,87,FALSE)</f>
        <v>2</v>
      </c>
      <c r="I130" s="112">
        <f>VLOOKUP($E$3,'Housing Generation'!$A$3:$CK$90,88,FALSE)</f>
        <v>2</v>
      </c>
      <c r="J130" s="111">
        <f t="shared" si="21"/>
        <v>12</v>
      </c>
    </row>
    <row r="131" spans="2:10" ht="15" customHeight="1">
      <c r="B131" s="114">
        <v>2029</v>
      </c>
      <c r="C131" s="289" t="s">
        <v>97</v>
      </c>
      <c r="D131" s="112">
        <f>VLOOKUP($E$3,'Housing Generation'!$A$3:$DQ$90,91,FALSE)</f>
        <v>2</v>
      </c>
      <c r="E131" s="112">
        <f>VLOOKUP($E$3,'Housing Generation'!$A$3:$DQ$90,92,FALSE)</f>
        <v>2</v>
      </c>
      <c r="F131" s="112">
        <f>VLOOKUP($E$3,'Housing Generation'!$A$3:$DQ$90,93,FALSE)</f>
        <v>2</v>
      </c>
      <c r="G131" s="112">
        <f>VLOOKUP($E$3,'Housing Generation'!$A$3:$DQ$90,94,FALSE)</f>
        <v>2</v>
      </c>
      <c r="H131" s="112">
        <f>VLOOKUP($E$3,'Housing Generation'!$A$3:$DQ$90,95,FALSE)</f>
        <v>2</v>
      </c>
      <c r="I131" s="112">
        <f>VLOOKUP($E$3,'Housing Generation'!$A$3:$DQ$90,96,FALSE)</f>
        <v>2</v>
      </c>
      <c r="J131" s="111">
        <f t="shared" si="21"/>
        <v>12</v>
      </c>
    </row>
    <row r="132" spans="2:10" ht="15" customHeight="1">
      <c r="B132" s="114">
        <v>2030</v>
      </c>
      <c r="C132" s="289" t="s">
        <v>97</v>
      </c>
      <c r="D132" s="112">
        <f>VLOOKUP($E$3,'Housing Generation'!$A$3:$DQ$90,99,FALSE)</f>
        <v>2</v>
      </c>
      <c r="E132" s="112">
        <f>VLOOKUP($E$3,'Housing Generation'!$A$3:$DQ$90,100,FALSE)</f>
        <v>2</v>
      </c>
      <c r="F132" s="112">
        <f>VLOOKUP($E$3,'Housing Generation'!$A$3:$DQ$90,101,FALSE)</f>
        <v>2</v>
      </c>
      <c r="G132" s="112">
        <f>VLOOKUP($E$3,'Housing Generation'!$A$3:$DQ$90,102,FALSE)</f>
        <v>2</v>
      </c>
      <c r="H132" s="112">
        <f>VLOOKUP($E$3,'Housing Generation'!$A$3:$DQ$90,103,FALSE)</f>
        <v>2</v>
      </c>
      <c r="I132" s="112">
        <f>VLOOKUP($E$3,'Housing Generation'!$A$3:$DQ$90,104,FALSE)</f>
        <v>2</v>
      </c>
      <c r="J132" s="111">
        <f t="shared" si="21"/>
        <v>12</v>
      </c>
    </row>
    <row r="133" spans="2:10" ht="15" customHeight="1">
      <c r="B133" s="114">
        <v>2031</v>
      </c>
      <c r="C133" s="289" t="s">
        <v>97</v>
      </c>
      <c r="D133" s="112">
        <f>VLOOKUP($E$3,'Housing Generation'!$A$3:$DQ$90,107,FALSE)</f>
        <v>2</v>
      </c>
      <c r="E133" s="112">
        <f>VLOOKUP($E$3,'Housing Generation'!$A$3:$DQ$90,108,FALSE)</f>
        <v>2</v>
      </c>
      <c r="F133" s="112">
        <f>VLOOKUP($E$3,'Housing Generation'!$A$3:$DQ$90,109,FALSE)</f>
        <v>2</v>
      </c>
      <c r="G133" s="112">
        <f>VLOOKUP($E$3,'Housing Generation'!$A$3:$DQ$90,110,FALSE)</f>
        <v>2</v>
      </c>
      <c r="H133" s="112">
        <f>VLOOKUP($E$3,'Housing Generation'!$A$3:$DQ$90,111,FALSE)</f>
        <v>2</v>
      </c>
      <c r="I133" s="112">
        <f>VLOOKUP($E$3,'Housing Generation'!$A$3:$DQ$90,112,FALSE)</f>
        <v>2</v>
      </c>
      <c r="J133" s="111">
        <f t="shared" si="21"/>
        <v>12</v>
      </c>
    </row>
    <row r="134" spans="2:10" ht="15" customHeight="1">
      <c r="B134" s="114">
        <v>2032</v>
      </c>
      <c r="C134" s="289" t="s">
        <v>97</v>
      </c>
      <c r="D134" s="112">
        <f>VLOOKUP($E$3,'Housing Generation'!$A$3:$DQ$90,115,FALSE)</f>
        <v>2</v>
      </c>
      <c r="E134" s="112">
        <f>VLOOKUP($E$3,'Housing Generation'!$A$3:$DQ$90,116,FALSE)</f>
        <v>2</v>
      </c>
      <c r="F134" s="112">
        <f>VLOOKUP($E$3,'Housing Generation'!$A$3:$DQ$90,117,FALSE)</f>
        <v>2</v>
      </c>
      <c r="G134" s="112">
        <f>VLOOKUP($E$3,'Housing Generation'!$A$3:$DQ$90,118,FALSE)</f>
        <v>2</v>
      </c>
      <c r="H134" s="112">
        <f>VLOOKUP($E$3,'Housing Generation'!$A$3:$DQ$90,119,FALSE)</f>
        <v>2</v>
      </c>
      <c r="I134" s="112">
        <f>VLOOKUP($E$3,'Housing Generation'!$A$3:$DQ$90,120,FALSE)</f>
        <v>2</v>
      </c>
      <c r="J134" s="111">
        <f t="shared" si="21"/>
        <v>12</v>
      </c>
    </row>
    <row r="135" spans="2:10" ht="15" hidden="1"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Royal Mile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18.681432360742704</v>
      </c>
      <c r="D139" s="112">
        <f t="shared" ref="D139:I152" si="23">D121+D103</f>
        <v>21</v>
      </c>
      <c r="E139" s="112">
        <f t="shared" si="23"/>
        <v>26</v>
      </c>
      <c r="F139" s="112">
        <f t="shared" si="23"/>
        <v>15</v>
      </c>
      <c r="G139" s="112">
        <f t="shared" si="23"/>
        <v>18</v>
      </c>
      <c r="H139" s="112">
        <f t="shared" si="23"/>
        <v>26</v>
      </c>
      <c r="I139" s="112">
        <f t="shared" si="23"/>
        <v>15</v>
      </c>
      <c r="J139" s="111">
        <f t="shared" ref="J139:J147" si="24">SUM(C139:I139)</f>
        <v>139.68143236074269</v>
      </c>
    </row>
    <row r="140" spans="2:10" ht="15" customHeight="1">
      <c r="B140" s="114">
        <v>2020</v>
      </c>
      <c r="C140" s="113">
        <f t="shared" si="22"/>
        <v>15.185853227232537</v>
      </c>
      <c r="D140" s="112">
        <f t="shared" si="23"/>
        <v>18</v>
      </c>
      <c r="E140" s="112">
        <f t="shared" si="23"/>
        <v>21</v>
      </c>
      <c r="F140" s="112">
        <f t="shared" si="23"/>
        <v>25</v>
      </c>
      <c r="G140" s="112">
        <f t="shared" si="23"/>
        <v>14</v>
      </c>
      <c r="H140" s="112">
        <f t="shared" si="23"/>
        <v>18</v>
      </c>
      <c r="I140" s="112">
        <f t="shared" si="23"/>
        <v>26</v>
      </c>
      <c r="J140" s="111">
        <f t="shared" si="24"/>
        <v>137.18585322723254</v>
      </c>
    </row>
    <row r="141" spans="2:10" ht="15" customHeight="1">
      <c r="B141" s="114">
        <v>2021</v>
      </c>
      <c r="C141" s="113">
        <f t="shared" si="22"/>
        <v>17.98231653404067</v>
      </c>
      <c r="D141" s="112">
        <f t="shared" si="23"/>
        <v>15</v>
      </c>
      <c r="E141" s="112">
        <f t="shared" si="23"/>
        <v>19</v>
      </c>
      <c r="F141" s="112">
        <f t="shared" si="23"/>
        <v>20</v>
      </c>
      <c r="G141" s="112">
        <f t="shared" si="23"/>
        <v>23</v>
      </c>
      <c r="H141" s="112">
        <f t="shared" si="23"/>
        <v>14</v>
      </c>
      <c r="I141" s="112">
        <f t="shared" si="23"/>
        <v>18</v>
      </c>
      <c r="J141" s="111">
        <f t="shared" si="24"/>
        <v>126.98231653404068</v>
      </c>
    </row>
    <row r="142" spans="2:10" ht="15" customHeight="1">
      <c r="B142" s="114">
        <v>2022</v>
      </c>
      <c r="C142" s="113">
        <f t="shared" si="22"/>
        <v>16.584084880636603</v>
      </c>
      <c r="D142" s="112">
        <f t="shared" si="23"/>
        <v>17</v>
      </c>
      <c r="E142" s="112">
        <f t="shared" si="23"/>
        <v>15</v>
      </c>
      <c r="F142" s="112">
        <f t="shared" si="23"/>
        <v>18</v>
      </c>
      <c r="G142" s="112">
        <f t="shared" si="23"/>
        <v>19</v>
      </c>
      <c r="H142" s="112">
        <f t="shared" si="23"/>
        <v>24</v>
      </c>
      <c r="I142" s="112">
        <f t="shared" si="23"/>
        <v>15</v>
      </c>
      <c r="J142" s="111">
        <f t="shared" si="24"/>
        <v>124.5840848806366</v>
      </c>
    </row>
    <row r="143" spans="2:10" ht="15" customHeight="1">
      <c r="B143" s="114">
        <v>2023</v>
      </c>
      <c r="C143" s="113">
        <f t="shared" si="22"/>
        <v>17.98231653404067</v>
      </c>
      <c r="D143" s="112">
        <f t="shared" si="23"/>
        <v>16</v>
      </c>
      <c r="E143" s="112">
        <f t="shared" si="23"/>
        <v>18</v>
      </c>
      <c r="F143" s="112">
        <f t="shared" si="23"/>
        <v>15</v>
      </c>
      <c r="G143" s="112">
        <f t="shared" si="23"/>
        <v>17</v>
      </c>
      <c r="H143" s="112">
        <f t="shared" si="23"/>
        <v>19</v>
      </c>
      <c r="I143" s="112">
        <f t="shared" si="23"/>
        <v>24</v>
      </c>
      <c r="J143" s="111">
        <f t="shared" si="24"/>
        <v>126.98231653404068</v>
      </c>
    </row>
    <row r="144" spans="2:10" ht="15" customHeight="1">
      <c r="B144" s="114">
        <v>2024</v>
      </c>
      <c r="C144" s="113">
        <f t="shared" si="22"/>
        <v>18.681432360742704</v>
      </c>
      <c r="D144" s="112">
        <f t="shared" si="23"/>
        <v>16</v>
      </c>
      <c r="E144" s="112">
        <f t="shared" si="23"/>
        <v>16</v>
      </c>
      <c r="F144" s="112">
        <f t="shared" si="23"/>
        <v>17</v>
      </c>
      <c r="G144" s="112">
        <f t="shared" si="23"/>
        <v>14</v>
      </c>
      <c r="H144" s="112">
        <f t="shared" si="23"/>
        <v>18</v>
      </c>
      <c r="I144" s="112">
        <f t="shared" si="23"/>
        <v>20</v>
      </c>
      <c r="J144" s="111">
        <f t="shared" si="24"/>
        <v>119.6814323607427</v>
      </c>
    </row>
    <row r="145" spans="2:16" ht="15" customHeight="1">
      <c r="B145" s="114">
        <v>2025</v>
      </c>
      <c r="C145" s="113">
        <f t="shared" si="22"/>
        <v>18.681432360742704</v>
      </c>
      <c r="D145" s="112">
        <f t="shared" si="23"/>
        <v>17</v>
      </c>
      <c r="E145" s="112">
        <f t="shared" si="23"/>
        <v>16</v>
      </c>
      <c r="F145" s="112">
        <f t="shared" si="23"/>
        <v>15</v>
      </c>
      <c r="G145" s="112">
        <f t="shared" si="23"/>
        <v>16</v>
      </c>
      <c r="H145" s="112">
        <f t="shared" si="23"/>
        <v>14</v>
      </c>
      <c r="I145" s="112">
        <f t="shared" si="23"/>
        <v>18</v>
      </c>
      <c r="J145" s="111">
        <f t="shared" si="24"/>
        <v>114.6814323607427</v>
      </c>
    </row>
    <row r="146" spans="2:16" ht="15" customHeight="1">
      <c r="B146" s="114">
        <v>2026</v>
      </c>
      <c r="C146" s="113">
        <f t="shared" si="22"/>
        <v>18.681432360742704</v>
      </c>
      <c r="D146" s="112">
        <f t="shared" si="23"/>
        <v>17</v>
      </c>
      <c r="E146" s="112">
        <f t="shared" si="23"/>
        <v>17</v>
      </c>
      <c r="F146" s="112">
        <f t="shared" si="23"/>
        <v>15</v>
      </c>
      <c r="G146" s="112">
        <f t="shared" si="23"/>
        <v>14</v>
      </c>
      <c r="H146" s="112">
        <f t="shared" si="23"/>
        <v>16</v>
      </c>
      <c r="I146" s="112">
        <f t="shared" si="23"/>
        <v>14</v>
      </c>
      <c r="J146" s="111">
        <f t="shared" si="24"/>
        <v>111.6814323607427</v>
      </c>
    </row>
    <row r="147" spans="2:16" ht="15" customHeight="1">
      <c r="B147" s="114">
        <v>2027</v>
      </c>
      <c r="C147" s="113">
        <f t="shared" si="22"/>
        <v>19.380548187444738</v>
      </c>
      <c r="D147" s="112">
        <f t="shared" si="23"/>
        <v>17</v>
      </c>
      <c r="E147" s="112">
        <f t="shared" si="23"/>
        <v>17</v>
      </c>
      <c r="F147" s="112">
        <f t="shared" si="23"/>
        <v>16</v>
      </c>
      <c r="G147" s="112">
        <f t="shared" si="23"/>
        <v>14</v>
      </c>
      <c r="H147" s="112">
        <f t="shared" si="23"/>
        <v>14</v>
      </c>
      <c r="I147" s="112">
        <f t="shared" si="23"/>
        <v>16</v>
      </c>
      <c r="J147" s="111">
        <f t="shared" si="24"/>
        <v>113.38054818744473</v>
      </c>
    </row>
    <row r="148" spans="2:16" ht="15" customHeight="1">
      <c r="B148" s="114">
        <v>2028</v>
      </c>
      <c r="C148" s="113">
        <f t="shared" si="22"/>
        <v>19.380548187444738</v>
      </c>
      <c r="D148" s="112">
        <f t="shared" si="23"/>
        <v>18</v>
      </c>
      <c r="E148" s="112">
        <f t="shared" si="23"/>
        <v>17</v>
      </c>
      <c r="F148" s="112">
        <f t="shared" si="23"/>
        <v>16</v>
      </c>
      <c r="G148" s="112">
        <f t="shared" si="23"/>
        <v>15</v>
      </c>
      <c r="H148" s="112">
        <f t="shared" si="23"/>
        <v>14</v>
      </c>
      <c r="I148" s="112">
        <f t="shared" si="23"/>
        <v>14</v>
      </c>
      <c r="J148" s="111">
        <f t="shared" ref="J148:J152" si="25">SUM(C148:I148)</f>
        <v>113.38054818744473</v>
      </c>
    </row>
    <row r="149" spans="2:16" ht="15" customHeight="1">
      <c r="B149" s="114">
        <v>2029</v>
      </c>
      <c r="C149" s="113">
        <f t="shared" si="22"/>
        <v>19.380548187444738</v>
      </c>
      <c r="D149" s="112">
        <f t="shared" si="23"/>
        <v>18</v>
      </c>
      <c r="E149" s="112">
        <f t="shared" si="23"/>
        <v>18</v>
      </c>
      <c r="F149" s="112">
        <f t="shared" si="23"/>
        <v>16</v>
      </c>
      <c r="G149" s="112">
        <f t="shared" si="23"/>
        <v>15</v>
      </c>
      <c r="H149" s="112">
        <f t="shared" si="23"/>
        <v>15</v>
      </c>
      <c r="I149" s="112">
        <f t="shared" si="23"/>
        <v>14</v>
      </c>
      <c r="J149" s="111">
        <f t="shared" si="25"/>
        <v>115.38054818744473</v>
      </c>
    </row>
    <row r="150" spans="2:16" ht="15" customHeight="1">
      <c r="B150" s="114">
        <v>2030</v>
      </c>
      <c r="C150" s="113">
        <f t="shared" si="22"/>
        <v>19.380548187444738</v>
      </c>
      <c r="D150" s="112">
        <f t="shared" si="23"/>
        <v>18</v>
      </c>
      <c r="E150" s="112">
        <f t="shared" si="23"/>
        <v>18</v>
      </c>
      <c r="F150" s="112">
        <f t="shared" si="23"/>
        <v>17</v>
      </c>
      <c r="G150" s="112">
        <f t="shared" si="23"/>
        <v>15</v>
      </c>
      <c r="H150" s="112">
        <f t="shared" si="23"/>
        <v>15</v>
      </c>
      <c r="I150" s="112">
        <f t="shared" si="23"/>
        <v>15</v>
      </c>
      <c r="J150" s="111">
        <f t="shared" si="25"/>
        <v>117.38054818744473</v>
      </c>
    </row>
    <row r="151" spans="2:16" ht="15" customHeight="1">
      <c r="B151" s="114">
        <v>2031</v>
      </c>
      <c r="C151" s="113">
        <f t="shared" si="22"/>
        <v>19.380548187444738</v>
      </c>
      <c r="D151" s="112">
        <f t="shared" si="23"/>
        <v>18</v>
      </c>
      <c r="E151" s="112">
        <f t="shared" si="23"/>
        <v>18</v>
      </c>
      <c r="F151" s="112">
        <f t="shared" si="23"/>
        <v>17</v>
      </c>
      <c r="G151" s="112">
        <f t="shared" si="23"/>
        <v>16</v>
      </c>
      <c r="H151" s="112">
        <f t="shared" si="23"/>
        <v>15</v>
      </c>
      <c r="I151" s="112">
        <f t="shared" si="23"/>
        <v>15</v>
      </c>
      <c r="J151" s="111">
        <f t="shared" si="25"/>
        <v>118.38054818744473</v>
      </c>
    </row>
    <row r="152" spans="2:16" ht="15" customHeight="1">
      <c r="B152" s="114">
        <v>2032</v>
      </c>
      <c r="C152" s="113">
        <f t="shared" si="22"/>
        <v>19.380548187444738</v>
      </c>
      <c r="D152" s="112">
        <f t="shared" si="23"/>
        <v>18</v>
      </c>
      <c r="E152" s="112">
        <f t="shared" si="23"/>
        <v>18</v>
      </c>
      <c r="F152" s="112">
        <f t="shared" si="23"/>
        <v>17</v>
      </c>
      <c r="G152" s="112">
        <f t="shared" si="23"/>
        <v>16</v>
      </c>
      <c r="H152" s="112">
        <f t="shared" si="23"/>
        <v>16</v>
      </c>
      <c r="I152" s="112">
        <f t="shared" si="23"/>
        <v>15</v>
      </c>
      <c r="J152" s="111">
        <f t="shared" si="25"/>
        <v>119.38054818744473</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139.68143236074269</v>
      </c>
      <c r="D159" s="108">
        <f>J140</f>
        <v>137.18585322723254</v>
      </c>
      <c r="E159" s="108">
        <f>J141</f>
        <v>126.98231653404068</v>
      </c>
      <c r="F159" s="108">
        <f>J142</f>
        <v>124.5840848806366</v>
      </c>
      <c r="G159" s="108">
        <f>J143</f>
        <v>126.98231653404068</v>
      </c>
      <c r="H159" s="108">
        <f>J144</f>
        <v>119.6814323607427</v>
      </c>
      <c r="I159" s="108">
        <f>J145</f>
        <v>114.6814323607427</v>
      </c>
      <c r="J159" s="108">
        <f>J146</f>
        <v>111.6814323607427</v>
      </c>
      <c r="K159" s="108">
        <f>J147</f>
        <v>113.38054818744473</v>
      </c>
      <c r="L159" s="108">
        <f>J148</f>
        <v>113.38054818744473</v>
      </c>
      <c r="M159" s="108">
        <f>J149</f>
        <v>115.38054818744473</v>
      </c>
      <c r="N159" s="108">
        <f>J150</f>
        <v>117.38054818744473</v>
      </c>
      <c r="O159" s="108">
        <f>J151</f>
        <v>118.38054818744473</v>
      </c>
      <c r="P159" s="108">
        <f>J152</f>
        <v>119.38054818744473</v>
      </c>
    </row>
    <row r="160" spans="2:16" ht="15" customHeight="1">
      <c r="B160" s="107" t="s">
        <v>152</v>
      </c>
      <c r="C160" s="106">
        <f>VLOOKUP(C159,Capacity!$A$1:$C$645,2,TRUE)</f>
        <v>6</v>
      </c>
      <c r="D160" s="106">
        <f>VLOOKUP(D159,Capacity!$A$1:$C$645,2,TRUE)</f>
        <v>6</v>
      </c>
      <c r="E160" s="106">
        <f>VLOOKUP(E159,Capacity!$A$1:$C$645,2,TRUE)</f>
        <v>6</v>
      </c>
      <c r="F160" s="106">
        <f>VLOOKUP(F159,Capacity!$A$1:$C$645,2,TRUE)</f>
        <v>6</v>
      </c>
      <c r="G160" s="106">
        <f>VLOOKUP(G159,Capacity!$A$1:$C$645,2,TRUE)</f>
        <v>6</v>
      </c>
      <c r="H160" s="106">
        <f>VLOOKUP(H159,Capacity!$A$1:$C$645,2,TRUE)</f>
        <v>6</v>
      </c>
      <c r="I160" s="106">
        <f>VLOOKUP(I159,Capacity!$A$1:$C$645,2,TRUE)</f>
        <v>6</v>
      </c>
      <c r="J160" s="106">
        <f>VLOOKUP(J159,Capacity!$A$1:$C$645,2,TRUE)</f>
        <v>5</v>
      </c>
      <c r="K160" s="106">
        <f>VLOOKUP(K159,Capacity!$A$1:$C$645,2,TRUE)</f>
        <v>6</v>
      </c>
      <c r="L160" s="106">
        <f>VLOOKUP(L159,Capacity!$A$1:$C$645,2,TRUE)</f>
        <v>6</v>
      </c>
      <c r="M160" s="106">
        <f>VLOOKUP(M159,Capacity!$A$1:$C$645,2,TRUE)</f>
        <v>6</v>
      </c>
      <c r="N160" s="106">
        <f>VLOOKUP(N159,Capacity!$A$1:$C$645,2,TRUE)</f>
        <v>6</v>
      </c>
      <c r="O160" s="106">
        <f>VLOOKUP(O159,Capacity!$A$1:$C$645,2,TRUE)</f>
        <v>6</v>
      </c>
      <c r="P160" s="106">
        <f>VLOOKUP(P159,Capacity!$A$1:$C$645,2,TRUE)</f>
        <v>6</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43</v>
      </c>
      <c r="D169" s="97">
        <f>VLOOKUP($E$3,'Catchment Births'!$A$1:$U$90,11,FALSE)</f>
        <v>49</v>
      </c>
      <c r="E169" s="97">
        <f>VLOOKUP($E$3,'Catchment Births'!$A$1:$U$90,12,FALSE)</f>
        <v>55</v>
      </c>
      <c r="F169" s="97">
        <f>VLOOKUP($E$3,'Catchment Births'!$A$1:$U$90,13,FALSE)</f>
        <v>67</v>
      </c>
      <c r="G169" s="97">
        <f>VLOOKUP($E$3,'Catchment Births'!$A$1:$U$90,14,FALSE)</f>
        <v>50</v>
      </c>
      <c r="H169" s="97">
        <f>VLOOKUP($E$3,'Catchment Births'!$A$1:$U$90,15,FALSE)</f>
        <v>55</v>
      </c>
      <c r="I169" s="97">
        <f>VLOOKUP($E$3,'Catchment Births'!$A$1:$U$90,16,FALSE)</f>
        <v>60</v>
      </c>
      <c r="J169" s="97">
        <f>VLOOKUP($E$3,'Catchment Births'!$A$1:$U$90,17,FALSE)</f>
        <v>51</v>
      </c>
      <c r="K169" s="97">
        <f>VLOOKUP($E$3,'Catchment Births'!$A$1:$U$90,18,FALSE)</f>
        <v>46</v>
      </c>
      <c r="L169" s="97">
        <f>VLOOKUP($E$3,'Catchment Births'!$A$1:$U$90,19,FALSE)</f>
        <v>54</v>
      </c>
      <c r="M169" s="97">
        <f>VLOOKUP($E$3,'Catchment Births'!$A$1:$U$90,20,FALSE)</f>
        <v>43</v>
      </c>
      <c r="N169" s="97">
        <f>VLOOKUP($E$3,'Catchment Births'!$A$1:$U$90,21,FALSE)</f>
        <v>34</v>
      </c>
    </row>
    <row r="170" spans="2:14" ht="58.5" customHeight="1">
      <c r="B170" s="103" t="str">
        <f>"P1 "&amp;A35&amp;" Catchment Population (Actual)"</f>
        <v>P1 ND Catchment Population (Actual)</v>
      </c>
      <c r="C170" s="102" t="e">
        <v>#REF!</v>
      </c>
      <c r="D170" s="102">
        <v>14</v>
      </c>
      <c r="E170" s="102">
        <v>25</v>
      </c>
      <c r="F170" s="102">
        <v>23</v>
      </c>
      <c r="G170" s="102">
        <v>20</v>
      </c>
      <c r="H170" s="102">
        <v>26</v>
      </c>
      <c r="I170" s="102">
        <v>24</v>
      </c>
      <c r="J170" s="308">
        <f>VLOOKUP(E3,'Catchment Projections'!A1:BU92,42,FALSE)</f>
        <v>25</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24</v>
      </c>
      <c r="J172" s="96" t="e">
        <f>#REF!</f>
        <v>#REF!</v>
      </c>
      <c r="K172" s="96">
        <f>D51</f>
        <v>21</v>
      </c>
      <c r="L172" s="96">
        <f>E51</f>
        <v>16</v>
      </c>
      <c r="M172" s="96">
        <f>F51</f>
        <v>20</v>
      </c>
      <c r="N172" s="96">
        <f>G51</f>
        <v>18</v>
      </c>
    </row>
    <row r="173" spans="2:14" ht="12.75">
      <c r="B173" s="62"/>
      <c r="C173" s="62"/>
      <c r="D173" s="62"/>
      <c r="E173" s="62"/>
      <c r="F173" s="62"/>
      <c r="G173" s="62"/>
      <c r="H173" s="62"/>
      <c r="I173" s="62"/>
      <c r="J173" s="62"/>
      <c r="K173" s="62"/>
    </row>
    <row r="174" spans="2:14" ht="15" customHeight="1">
      <c r="B174" s="64" t="str">
        <f>"Table 5: "&amp;E3&amp;" Roll by Stage, 2002-2018"</f>
        <v>Table 5: Royal Mile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26</v>
      </c>
      <c r="D177" s="93">
        <v>22</v>
      </c>
      <c r="E177" s="93">
        <v>20</v>
      </c>
      <c r="F177" s="93">
        <v>19</v>
      </c>
      <c r="G177" s="93">
        <v>26</v>
      </c>
      <c r="H177" s="93">
        <v>15</v>
      </c>
      <c r="I177" s="93">
        <v>17</v>
      </c>
      <c r="J177" s="92">
        <v>145</v>
      </c>
      <c r="K177" s="62"/>
    </row>
    <row r="178" spans="2:11" ht="15" customHeight="1">
      <c r="B178" s="94">
        <v>2003</v>
      </c>
      <c r="C178" s="93">
        <v>17</v>
      </c>
      <c r="D178" s="93">
        <v>26</v>
      </c>
      <c r="E178" s="93">
        <v>20</v>
      </c>
      <c r="F178" s="93">
        <v>21</v>
      </c>
      <c r="G178" s="93">
        <v>20</v>
      </c>
      <c r="H178" s="93">
        <v>24</v>
      </c>
      <c r="I178" s="93">
        <v>17</v>
      </c>
      <c r="J178" s="92">
        <v>145</v>
      </c>
      <c r="K178" s="62"/>
    </row>
    <row r="179" spans="2:11" customFormat="1" ht="15" customHeight="1">
      <c r="B179" s="94">
        <v>2004</v>
      </c>
      <c r="C179" s="95">
        <v>14</v>
      </c>
      <c r="D179" s="95">
        <v>20</v>
      </c>
      <c r="E179" s="95">
        <v>24</v>
      </c>
      <c r="F179" s="95">
        <v>16</v>
      </c>
      <c r="G179" s="95">
        <v>20</v>
      </c>
      <c r="H179" s="95">
        <v>21</v>
      </c>
      <c r="I179" s="95">
        <v>21</v>
      </c>
      <c r="J179" s="92">
        <v>136</v>
      </c>
      <c r="K179" s="62"/>
    </row>
    <row r="180" spans="2:11" customFormat="1" ht="15" customHeight="1">
      <c r="B180" s="94">
        <v>2005</v>
      </c>
      <c r="C180" s="93">
        <v>24</v>
      </c>
      <c r="D180" s="93">
        <v>15</v>
      </c>
      <c r="E180" s="93">
        <v>23</v>
      </c>
      <c r="F180" s="93">
        <v>17</v>
      </c>
      <c r="G180" s="93">
        <v>15</v>
      </c>
      <c r="H180" s="93">
        <v>21</v>
      </c>
      <c r="I180" s="93">
        <v>17</v>
      </c>
      <c r="J180" s="92">
        <v>132</v>
      </c>
      <c r="K180" s="62"/>
    </row>
    <row r="181" spans="2:11" customFormat="1" ht="15" customHeight="1">
      <c r="B181" s="94">
        <v>2006</v>
      </c>
      <c r="C181" s="93">
        <v>19</v>
      </c>
      <c r="D181" s="93">
        <v>27</v>
      </c>
      <c r="E181" s="93">
        <v>16</v>
      </c>
      <c r="F181" s="93">
        <v>22</v>
      </c>
      <c r="G181" s="93">
        <v>20</v>
      </c>
      <c r="H181" s="93">
        <v>17</v>
      </c>
      <c r="I181" s="93">
        <v>21</v>
      </c>
      <c r="J181" s="92">
        <v>142</v>
      </c>
      <c r="K181" s="62"/>
    </row>
    <row r="182" spans="2:11" customFormat="1" ht="15" customHeight="1">
      <c r="B182" s="94">
        <v>2007</v>
      </c>
      <c r="C182" s="93">
        <v>22</v>
      </c>
      <c r="D182" s="93">
        <v>19</v>
      </c>
      <c r="E182" s="93">
        <v>28</v>
      </c>
      <c r="F182" s="93">
        <v>14</v>
      </c>
      <c r="G182" s="93">
        <v>19</v>
      </c>
      <c r="H182" s="93">
        <v>22</v>
      </c>
      <c r="I182" s="93">
        <v>19</v>
      </c>
      <c r="J182" s="92">
        <v>143</v>
      </c>
      <c r="K182" s="62"/>
    </row>
    <row r="183" spans="2:11" customFormat="1" ht="15" customHeight="1">
      <c r="B183" s="94">
        <v>2008</v>
      </c>
      <c r="C183" s="93">
        <v>23</v>
      </c>
      <c r="D183" s="93">
        <v>23</v>
      </c>
      <c r="E183" s="93">
        <v>16</v>
      </c>
      <c r="F183" s="93">
        <v>24</v>
      </c>
      <c r="G183" s="93">
        <v>15</v>
      </c>
      <c r="H183" s="93">
        <v>19</v>
      </c>
      <c r="I183" s="93">
        <v>25</v>
      </c>
      <c r="J183" s="92">
        <v>145</v>
      </c>
      <c r="K183" s="62"/>
    </row>
    <row r="184" spans="2:11" customFormat="1" ht="15" customHeight="1">
      <c r="B184" s="94">
        <v>2009</v>
      </c>
      <c r="C184" s="93">
        <v>22</v>
      </c>
      <c r="D184" s="93">
        <v>23</v>
      </c>
      <c r="E184" s="93">
        <v>17</v>
      </c>
      <c r="F184" s="93">
        <v>15</v>
      </c>
      <c r="G184" s="93">
        <v>20</v>
      </c>
      <c r="H184" s="93">
        <v>12</v>
      </c>
      <c r="I184" s="93">
        <v>18</v>
      </c>
      <c r="J184" s="94">
        <v>127</v>
      </c>
      <c r="K184" s="62"/>
    </row>
    <row r="185" spans="2:11" customFormat="1" ht="15" customHeight="1">
      <c r="B185" s="94">
        <v>2010</v>
      </c>
      <c r="C185" s="93">
        <v>13</v>
      </c>
      <c r="D185" s="93">
        <v>15</v>
      </c>
      <c r="E185" s="93">
        <v>21</v>
      </c>
      <c r="F185" s="93">
        <v>12</v>
      </c>
      <c r="G185" s="93">
        <v>12</v>
      </c>
      <c r="H185" s="93">
        <v>14</v>
      </c>
      <c r="I185" s="93">
        <v>8</v>
      </c>
      <c r="J185" s="92">
        <v>95</v>
      </c>
      <c r="K185" s="62"/>
    </row>
    <row r="186" spans="2:11" customFormat="1" ht="15" customHeight="1">
      <c r="B186" s="94">
        <v>2011</v>
      </c>
      <c r="C186" s="93">
        <v>21</v>
      </c>
      <c r="D186" s="93">
        <v>16</v>
      </c>
      <c r="E186" s="93">
        <v>17</v>
      </c>
      <c r="F186" s="93">
        <v>19</v>
      </c>
      <c r="G186" s="93">
        <v>12</v>
      </c>
      <c r="H186" s="93">
        <v>10</v>
      </c>
      <c r="I186" s="93">
        <v>12</v>
      </c>
      <c r="J186" s="92">
        <v>107</v>
      </c>
      <c r="K186" s="62"/>
    </row>
    <row r="187" spans="2:11" customFormat="1" ht="15" customHeight="1">
      <c r="B187" s="94">
        <v>2012</v>
      </c>
      <c r="C187" s="93">
        <v>22</v>
      </c>
      <c r="D187" s="93">
        <v>28</v>
      </c>
      <c r="E187" s="93">
        <v>15</v>
      </c>
      <c r="F187" s="93">
        <v>16</v>
      </c>
      <c r="G187" s="93">
        <v>20</v>
      </c>
      <c r="H187" s="93">
        <v>13</v>
      </c>
      <c r="I187" s="93">
        <v>12</v>
      </c>
      <c r="J187" s="92">
        <v>126</v>
      </c>
      <c r="K187" s="62"/>
    </row>
    <row r="188" spans="2:11" customFormat="1" ht="15" customHeight="1">
      <c r="B188" s="94">
        <v>2013</v>
      </c>
      <c r="C188" s="93">
        <v>23</v>
      </c>
      <c r="D188" s="93">
        <v>22</v>
      </c>
      <c r="E188" s="93">
        <v>25</v>
      </c>
      <c r="F188" s="93">
        <v>12</v>
      </c>
      <c r="G188" s="93">
        <v>14</v>
      </c>
      <c r="H188" s="93">
        <v>16</v>
      </c>
      <c r="I188" s="93">
        <v>15</v>
      </c>
      <c r="J188" s="94">
        <v>127</v>
      </c>
      <c r="K188" s="62"/>
    </row>
    <row r="189" spans="2:11" customFormat="1" ht="15" customHeight="1">
      <c r="B189" s="94">
        <v>2014</v>
      </c>
      <c r="C189" s="93">
        <v>24</v>
      </c>
      <c r="D189" s="93">
        <v>17</v>
      </c>
      <c r="E189" s="93">
        <v>23</v>
      </c>
      <c r="F189" s="93">
        <v>25</v>
      </c>
      <c r="G189" s="93">
        <v>12</v>
      </c>
      <c r="H189" s="93">
        <v>14</v>
      </c>
      <c r="I189" s="93">
        <v>14</v>
      </c>
      <c r="J189" s="92">
        <v>129</v>
      </c>
      <c r="K189" s="65"/>
    </row>
    <row r="190" spans="2:11" customFormat="1" ht="15" customHeight="1">
      <c r="B190" s="94">
        <v>2015</v>
      </c>
      <c r="C190" s="93">
        <v>23</v>
      </c>
      <c r="D190" s="93">
        <v>26</v>
      </c>
      <c r="E190" s="93">
        <v>17</v>
      </c>
      <c r="F190" s="93">
        <v>22</v>
      </c>
      <c r="G190" s="93">
        <v>23</v>
      </c>
      <c r="H190" s="93">
        <v>12</v>
      </c>
      <c r="I190" s="93">
        <v>12</v>
      </c>
      <c r="J190" s="92">
        <v>135</v>
      </c>
      <c r="K190" s="65"/>
    </row>
    <row r="191" spans="2:11" customFormat="1" ht="15" customHeight="1">
      <c r="B191" s="94">
        <v>2016</v>
      </c>
      <c r="C191" s="93">
        <v>19</v>
      </c>
      <c r="D191" s="93">
        <v>22</v>
      </c>
      <c r="E191" s="93">
        <v>26</v>
      </c>
      <c r="F191" s="93">
        <v>17</v>
      </c>
      <c r="G191" s="93">
        <v>18</v>
      </c>
      <c r="H191" s="93">
        <v>24</v>
      </c>
      <c r="I191" s="93">
        <v>12</v>
      </c>
      <c r="J191" s="92">
        <v>138</v>
      </c>
      <c r="K191" s="65"/>
    </row>
    <row r="192" spans="2:11" ht="15" customHeight="1">
      <c r="B192" s="94">
        <v>2017</v>
      </c>
      <c r="C192" s="93">
        <f>VLOOKUP($E$3,Rolls!A1:FA90,42,FALSE)</f>
        <v>25</v>
      </c>
      <c r="D192" s="93">
        <f>VLOOKUP($E$3,Rolls!A1:FA90,43,FALSE)</f>
        <v>18</v>
      </c>
      <c r="E192" s="93">
        <f>VLOOKUP($E$3,Rolls!A1:FA90,44,FALSE)</f>
        <v>21</v>
      </c>
      <c r="F192" s="93">
        <f>VLOOKUP($E$3,Rolls!A1:FA90,45,FALSE)</f>
        <v>22</v>
      </c>
      <c r="G192" s="93">
        <f>VLOOKUP($E$3,Rolls!A1:FA90,46,FALSE)</f>
        <v>15</v>
      </c>
      <c r="H192" s="93">
        <f>VLOOKUP($E$3,Rolls!A1:FA90,47,FALSE)</f>
        <v>15</v>
      </c>
      <c r="I192" s="93">
        <f>VLOOKUP($E$3,Rolls!A1:FA90,48,FALSE)</f>
        <v>25</v>
      </c>
      <c r="J192" s="92">
        <f>VLOOKUP($E$3,Rolls!A1:FA90,49,FALSE)</f>
        <v>141</v>
      </c>
      <c r="K192" s="65"/>
    </row>
    <row r="193" spans="2:11" ht="15" customHeight="1">
      <c r="B193" s="94">
        <v>2018</v>
      </c>
      <c r="C193" s="93">
        <f>VLOOKUP($E$3,Rolls!A1:FA90,50,FALSE)</f>
        <v>22</v>
      </c>
      <c r="D193" s="93">
        <f>VLOOKUP($E$3,Rolls!A1:FA90,51,FALSE)</f>
        <v>26</v>
      </c>
      <c r="E193" s="93">
        <f>VLOOKUP($E$3,Rolls!A1:FA90,52,FALSE)</f>
        <v>16</v>
      </c>
      <c r="F193" s="93">
        <f>VLOOKUP($E$3,Rolls!A1:FA90,53,FALSE)</f>
        <v>20</v>
      </c>
      <c r="G193" s="93">
        <f>VLOOKUP($E$3,Rolls!A1:FA90,54,FALSE)</f>
        <v>26</v>
      </c>
      <c r="H193" s="93">
        <f>VLOOKUP($E$3,Rolls!A1:FA90,55,FALSE)</f>
        <v>15</v>
      </c>
      <c r="I193" s="93">
        <f>VLOOKUP($E$3,Rolls!A1:FA90,56,FALSE)</f>
        <v>17</v>
      </c>
      <c r="J193" s="92">
        <f>VLOOKUP($E$3,Rolls!A1:FA90,57,FALSE)</f>
        <v>142</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62</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Sciennes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630 Pupils (21 classes)</v>
      </c>
      <c r="G12" s="16"/>
      <c r="H12" s="16"/>
    </row>
    <row r="13" spans="2:10" ht="15" customHeight="1">
      <c r="C13" s="16"/>
      <c r="D13" s="16"/>
      <c r="E13" s="16"/>
      <c r="F13" s="16"/>
      <c r="G13" s="16"/>
      <c r="H13" s="16"/>
    </row>
    <row r="14" spans="2:10" ht="15" customHeight="1">
      <c r="B14" s="15" t="str">
        <f>"Figure 1: "&amp;E3&amp;" Roll, 2002-2015"</f>
        <v>Figure 1: Sciennes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Sciennes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91</v>
      </c>
      <c r="E49" s="108">
        <f>VLOOKUP($E$3,'Catchment Projections'!$A$1:$BU$90,46,FALSE)</f>
        <v>64</v>
      </c>
      <c r="F49" s="108">
        <f>VLOOKUP($E$3,'Catchment Projections'!$A$1:$BU$90,47,FALSE)</f>
        <v>81</v>
      </c>
      <c r="G49" s="108">
        <f>VLOOKUP($E$3,'Catchment Projections'!$A$1:$BU$90,48,FALSE)</f>
        <v>70</v>
      </c>
      <c r="H49" s="133">
        <f>VLOOKUP($E$3,'Catchment Projections'!$A$1:$BU$90,49,FALSE)</f>
        <v>72</v>
      </c>
      <c r="I49" s="133">
        <f>VLOOKUP($E$3,'Catchment Projections'!$A$1:$BU$90,50,FALSE)</f>
        <v>73</v>
      </c>
      <c r="J49" s="133">
        <f>VLOOKUP($E$3,'Catchment Projections'!$A$1:$BU$90,51,FALSE)</f>
        <v>74</v>
      </c>
      <c r="K49" s="133">
        <f>VLOOKUP($E$3,'Catchment Projections'!$A$1:$BU$90,52,FALSE)</f>
        <v>75</v>
      </c>
      <c r="L49" s="133">
        <f>VLOOKUP($E$3,'Catchment Projections'!$A$1:$BU$90,53,FALSE)</f>
        <v>75</v>
      </c>
      <c r="M49" s="133">
        <f>VLOOKUP($E$3,'Catchment Projections'!$A$1:$BU$90,54,FALSE)</f>
        <v>76</v>
      </c>
      <c r="N49" s="133">
        <f>VLOOKUP($E$3,'Catchment Projections'!$A$1:$BU$90,55,FALSE)</f>
        <v>76</v>
      </c>
      <c r="O49" s="133">
        <f>VLOOKUP($E$3,'Catchment Projections'!$A$1:$BU$90,56,FALSE)</f>
        <v>76</v>
      </c>
      <c r="P49" s="133">
        <f>VLOOKUP($E$3,'Catchment Projections'!$A$1:$BU$90,57,FALSE)</f>
        <v>76</v>
      </c>
      <c r="Q49" s="133">
        <f>VLOOKUP($E$3,'Catchment Projections'!$A$1:$BU$90,58,FALSE)</f>
        <v>76</v>
      </c>
    </row>
    <row r="50" spans="2:17" ht="15" customHeight="1" thickBot="1">
      <c r="B50" s="410" t="s">
        <v>141</v>
      </c>
      <c r="C50" s="411"/>
      <c r="D50" s="286">
        <f>VLOOKUP(E3,'Housing Generation'!$A$3:$DQ$90,10,FALSE)</f>
        <v>0</v>
      </c>
      <c r="E50" s="286">
        <f>VLOOKUP(E3,'Housing Generation'!$A$3:$DQ$90,18,FALSE)</f>
        <v>0</v>
      </c>
      <c r="F50" s="286">
        <f>VLOOKUP(E3,'Housing Generation'!$A$3:$DQ$90,26,FALSE)</f>
        <v>0</v>
      </c>
      <c r="G50" s="243">
        <f>VLOOKUP(E3,'Housing Generation'!$A$3:$DQ$90,34,FALSE)</f>
        <v>0</v>
      </c>
      <c r="H50" s="133">
        <f>VLOOKUP(E3,'Housing Generation'!$A$3:$DQ$90,42,FALSE)</f>
        <v>0</v>
      </c>
      <c r="I50" s="133">
        <f>VLOOKUP(E3,'Housing Generation'!$A$3:$DQ$90,50,FALSE)</f>
        <v>1</v>
      </c>
      <c r="J50" s="133">
        <f>VLOOKUP(E3,'Housing Generation'!$A$3:$CK$90,58,FALSE)</f>
        <v>2</v>
      </c>
      <c r="K50" s="133">
        <f>VLOOKUP(E3,'Housing Generation'!$A$3:$CK$90,66,FALSE)</f>
        <v>2</v>
      </c>
      <c r="L50" s="133">
        <f>VLOOKUP(E3,'Housing Generation'!$A$3:$DQ$90,74,FALSE)</f>
        <v>2</v>
      </c>
      <c r="M50" s="133">
        <f>VLOOKUP(E3,'Housing Generation'!$A$3:$DQ$90,82,FALSE)</f>
        <v>2</v>
      </c>
      <c r="N50" s="133">
        <f>VLOOKUP(E3,'Housing Generation'!$A$3:$DQ$90,90,FALSE)</f>
        <v>2</v>
      </c>
      <c r="O50" s="133">
        <f>VLOOKUP(E3,'Housing Generation'!$A$3:$DQ$90,98,FALSE)</f>
        <v>2</v>
      </c>
      <c r="P50" s="133">
        <f>VLOOKUP(E3,'Housing Generation'!$A$3:$DQ$90,106,FALSE)</f>
        <v>2</v>
      </c>
      <c r="Q50" s="133">
        <f>VLOOKUP(E3,'Housing Generation'!$A$3:$DQ$90,114,FALSE)</f>
        <v>2</v>
      </c>
    </row>
    <row r="51" spans="2:17" ht="15" customHeight="1" thickTop="1">
      <c r="B51" s="421" t="s">
        <v>130</v>
      </c>
      <c r="C51" s="422"/>
      <c r="D51" s="47">
        <f t="shared" ref="D51:Q51" si="0">SUM(D49:D50)</f>
        <v>91</v>
      </c>
      <c r="E51" s="47">
        <f t="shared" si="0"/>
        <v>64</v>
      </c>
      <c r="F51" s="80">
        <f t="shared" si="0"/>
        <v>81</v>
      </c>
      <c r="G51" s="244">
        <f t="shared" si="0"/>
        <v>70</v>
      </c>
      <c r="H51" s="71">
        <f t="shared" si="0"/>
        <v>72</v>
      </c>
      <c r="I51" s="71">
        <f t="shared" si="0"/>
        <v>74</v>
      </c>
      <c r="J51" s="71">
        <f t="shared" si="0"/>
        <v>76</v>
      </c>
      <c r="K51" s="71">
        <f t="shared" si="0"/>
        <v>77</v>
      </c>
      <c r="L51" s="71">
        <f t="shared" si="0"/>
        <v>77</v>
      </c>
      <c r="M51" s="71">
        <f t="shared" si="0"/>
        <v>78</v>
      </c>
      <c r="N51" s="71">
        <f t="shared" si="0"/>
        <v>78</v>
      </c>
      <c r="O51" s="71">
        <f t="shared" si="0"/>
        <v>78</v>
      </c>
      <c r="P51" s="71">
        <f t="shared" si="0"/>
        <v>78</v>
      </c>
      <c r="Q51" s="71">
        <f t="shared" si="0"/>
        <v>78</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81"/>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76</v>
      </c>
      <c r="D60" s="358">
        <f>VLOOKUP($E$3,'Catchment Projections'!$A$1:$BZ$90,74,FALSE)</f>
        <v>73</v>
      </c>
      <c r="E60" s="303">
        <f>D60/C60</f>
        <v>0.96052631578947367</v>
      </c>
      <c r="G60" s="132">
        <v>2014</v>
      </c>
      <c r="H60" s="395">
        <f>VLOOKUP($G$60,$B$177:$C$215, 2, FALSE)</f>
        <v>90</v>
      </c>
      <c r="I60" s="120">
        <f>H60-D60</f>
        <v>17</v>
      </c>
      <c r="J60" s="121">
        <f>I60/H60</f>
        <v>0.18888888888888888</v>
      </c>
    </row>
    <row r="61" spans="2:17" ht="15" customHeight="1">
      <c r="B61" s="132">
        <v>2015</v>
      </c>
      <c r="C61" s="359">
        <f>VLOOKUP($E$3,'Catchment Projections'!$A$1:$BZ$90,41,FALSE)</f>
        <v>74</v>
      </c>
      <c r="D61" s="358">
        <f>VLOOKUP($E$3,'Catchment Projections'!$A$1:$BZ$90,75,FALSE)</f>
        <v>73</v>
      </c>
      <c r="E61" s="303">
        <f>D61/C61</f>
        <v>0.98648648648648651</v>
      </c>
      <c r="G61" s="132">
        <v>2015</v>
      </c>
      <c r="H61" s="395">
        <f>VLOOKUP($G$61,$B$177:$C$215, 2, FALSE)</f>
        <v>84</v>
      </c>
      <c r="I61" s="120">
        <f>H61-D61</f>
        <v>11</v>
      </c>
      <c r="J61" s="121">
        <f>I61/H61</f>
        <v>0.13095238095238096</v>
      </c>
    </row>
    <row r="62" spans="2:17" ht="15" customHeight="1">
      <c r="B62" s="131">
        <v>2016</v>
      </c>
      <c r="C62" s="359">
        <f>VLOOKUP($E$3,'Catchment Projections'!$A$1:$BZ$90,42,FALSE)</f>
        <v>75</v>
      </c>
      <c r="D62" s="358">
        <f>VLOOKUP($E$3,'Catchment Projections'!$A$1:$BZ$90,76,FALSE)</f>
        <v>72</v>
      </c>
      <c r="E62" s="57">
        <f>D62/C62</f>
        <v>0.96</v>
      </c>
      <c r="G62" s="131">
        <v>2016</v>
      </c>
      <c r="H62" s="395">
        <f>VLOOKUP($G$62,$B$177:$C$215, 2, FALSE)</f>
        <v>86</v>
      </c>
      <c r="I62" s="120">
        <f>H62-D62</f>
        <v>14</v>
      </c>
      <c r="J62" s="121">
        <f>I62/H62</f>
        <v>0.16279069767441862</v>
      </c>
    </row>
    <row r="63" spans="2:17" ht="15" customHeight="1">
      <c r="B63" s="114">
        <v>2017</v>
      </c>
      <c r="C63" s="359">
        <f>VLOOKUP($E$3,'Catchment Projections'!$A$1:$BZ$90,43,FALSE)</f>
        <v>93</v>
      </c>
      <c r="D63" s="358">
        <f>VLOOKUP($E$3,'Catchment Projections'!$A$1:$BZ$90,77,FALSE)</f>
        <v>93</v>
      </c>
      <c r="E63" s="304">
        <f>D63/C63</f>
        <v>1</v>
      </c>
      <c r="G63" s="114">
        <v>2017</v>
      </c>
      <c r="H63" s="395">
        <f>VLOOKUP($G$63,$B$177:$C$215, 2, FALSE)</f>
        <v>97</v>
      </c>
      <c r="I63" s="120">
        <f>H63-D63</f>
        <v>4</v>
      </c>
      <c r="J63" s="121">
        <f>I63/H63</f>
        <v>4.1237113402061855E-2</v>
      </c>
    </row>
    <row r="64" spans="2:17" ht="15" customHeight="1">
      <c r="B64" s="114">
        <v>2018</v>
      </c>
      <c r="C64" s="359">
        <f>VLOOKUP($E$3,'Catchment Projections'!$A$1:$BZ$90,44,FALSE)</f>
        <v>79</v>
      </c>
      <c r="D64" s="358">
        <f>VLOOKUP($E$3,'Catchment Projections'!$A$1:$BZ$90,78,FALSE)</f>
        <v>77</v>
      </c>
      <c r="E64" s="305">
        <f>D64/C64</f>
        <v>0.97468354430379744</v>
      </c>
      <c r="G64" s="114">
        <v>2018</v>
      </c>
      <c r="H64" s="395">
        <f>VLOOKUP($G$64,$B$177:$C$215, 2, FALSE)</f>
        <v>86</v>
      </c>
      <c r="I64" s="120">
        <f>H64-D64</f>
        <v>9</v>
      </c>
      <c r="J64" s="121">
        <f>I64/H64</f>
        <v>0.10465116279069768</v>
      </c>
    </row>
    <row r="65" spans="2:10" ht="15" customHeight="1">
      <c r="B65" s="412" t="s">
        <v>136</v>
      </c>
      <c r="C65" s="413"/>
      <c r="D65" s="414"/>
      <c r="E65" s="137">
        <f>IF((AVERAGE(E62:E64))="#DIV/0!","n/a",(AVERAGE(E62:E64)))</f>
        <v>0.97822784810126573</v>
      </c>
      <c r="G65" s="415" t="s">
        <v>137</v>
      </c>
      <c r="H65" s="416"/>
      <c r="I65" s="138">
        <f>MEDIAN(I60:I64)</f>
        <v>11</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91</v>
      </c>
      <c r="D70" s="408"/>
      <c r="E70" s="122">
        <f>E65</f>
        <v>0.97822784810126573</v>
      </c>
      <c r="F70" s="120">
        <f t="shared" ref="F70:F83" si="1">C70*$E$65</f>
        <v>89.01873417721518</v>
      </c>
      <c r="G70" s="118">
        <f>IF(F70&lt;26,25,IF(F70&gt;135,140,IF(F70&gt;130,135,IF(F70&gt;125,130,IF(F70&gt;120,125,IF(F70&gt;115,120,IF(F70&gt;110,115,IF(F70&gt;105,110,IF(F70&gt;100,105,IF(F70&gt;99,100,IF(F70&gt;90,99,IF(F70&gt;75,90,IF(F70&gt;72,75,IF(F70&gt;66,72,IF(F70&gt;60,66,IF(F70&gt;50,60,IF(F70&gt;30,50,IF(F70&gt;25,30,0))))))))))))))))))</f>
        <v>90</v>
      </c>
      <c r="H70" s="119">
        <f t="shared" ref="H70:H83" si="2">G70-F70</f>
        <v>0.98126582278482033</v>
      </c>
      <c r="I70" s="118" t="str">
        <f>IF(I$65&lt;H70, "NO", "YES")</f>
        <v>YES</v>
      </c>
      <c r="J70" s="117">
        <f t="shared" ref="J70:J83" si="3">IF(I70="YES",G70,(MIN((SUM(F70,$I$65)),G70)))</f>
        <v>90</v>
      </c>
    </row>
    <row r="71" spans="2:10" ht="15" customHeight="1">
      <c r="B71" s="114">
        <v>2020</v>
      </c>
      <c r="C71" s="433">
        <f>E51</f>
        <v>64</v>
      </c>
      <c r="D71" s="408"/>
      <c r="E71" s="121">
        <f>E65</f>
        <v>0.97822784810126573</v>
      </c>
      <c r="F71" s="120">
        <f t="shared" si="1"/>
        <v>62.606582278481007</v>
      </c>
      <c r="G71" s="118">
        <f t="shared" ref="G71:G83" si="4">IF(F71&lt;26,25,IF(F71&gt;135,140,IF(F71&gt;130,135,IF(F71&gt;125,130,IF(F71&gt;120,125,IF(F71&gt;115,120,IF(F71&gt;110,115,IF(F71&gt;105,110,IF(F71&gt;100,105,IF(F71&gt;99,100,IF(F71&gt;90,99,IF(F71&gt;75,90,IF(F71&gt;72,75,IF(F71&gt;66,72,IF(F71&gt;60,66,IF(F71&gt;50,60,IF(F71&gt;30,50,IF(F71&gt;25,30,0))))))))))))))))))</f>
        <v>66</v>
      </c>
      <c r="H71" s="119">
        <f t="shared" si="2"/>
        <v>3.3934177215189933</v>
      </c>
      <c r="I71" s="118" t="str">
        <f t="shared" ref="I71:I83" si="5">IF(I$65&lt;H71, "NO", "YES")</f>
        <v>YES</v>
      </c>
      <c r="J71" s="117">
        <f t="shared" si="3"/>
        <v>66</v>
      </c>
    </row>
    <row r="72" spans="2:10" ht="15" customHeight="1">
      <c r="B72" s="114">
        <v>2021</v>
      </c>
      <c r="C72" s="430">
        <f>F51</f>
        <v>81</v>
      </c>
      <c r="D72" s="431"/>
      <c r="E72" s="121">
        <f>E65</f>
        <v>0.97822784810126573</v>
      </c>
      <c r="F72" s="120">
        <f t="shared" si="1"/>
        <v>79.236455696202526</v>
      </c>
      <c r="G72" s="118">
        <f t="shared" si="4"/>
        <v>90</v>
      </c>
      <c r="H72" s="119">
        <f t="shared" si="2"/>
        <v>10.763544303797474</v>
      </c>
      <c r="I72" s="118" t="str">
        <f t="shared" si="5"/>
        <v>YES</v>
      </c>
      <c r="J72" s="117">
        <f t="shared" si="3"/>
        <v>90</v>
      </c>
    </row>
    <row r="73" spans="2:10" ht="15" customHeight="1">
      <c r="B73" s="114">
        <v>2022</v>
      </c>
      <c r="C73" s="430">
        <f>G51</f>
        <v>70</v>
      </c>
      <c r="D73" s="431"/>
      <c r="E73" s="121">
        <f>E65</f>
        <v>0.97822784810126573</v>
      </c>
      <c r="F73" s="120">
        <f t="shared" si="1"/>
        <v>68.475949367088603</v>
      </c>
      <c r="G73" s="118">
        <f t="shared" si="4"/>
        <v>72</v>
      </c>
      <c r="H73" s="119">
        <f t="shared" si="2"/>
        <v>3.524050632911397</v>
      </c>
      <c r="I73" s="118" t="str">
        <f t="shared" si="5"/>
        <v>YES</v>
      </c>
      <c r="J73" s="117">
        <f t="shared" si="3"/>
        <v>72</v>
      </c>
    </row>
    <row r="74" spans="2:10" ht="15" customHeight="1">
      <c r="B74" s="114">
        <v>2023</v>
      </c>
      <c r="C74" s="430">
        <f>H51</f>
        <v>72</v>
      </c>
      <c r="D74" s="431"/>
      <c r="E74" s="121">
        <f>E65</f>
        <v>0.97822784810126573</v>
      </c>
      <c r="F74" s="120">
        <f t="shared" si="1"/>
        <v>70.432405063291128</v>
      </c>
      <c r="G74" s="118">
        <f t="shared" si="4"/>
        <v>72</v>
      </c>
      <c r="H74" s="119">
        <f t="shared" si="2"/>
        <v>1.567594936708872</v>
      </c>
      <c r="I74" s="118" t="str">
        <f t="shared" si="5"/>
        <v>YES</v>
      </c>
      <c r="J74" s="117">
        <f t="shared" si="3"/>
        <v>72</v>
      </c>
    </row>
    <row r="75" spans="2:10" ht="15" customHeight="1">
      <c r="B75" s="114">
        <v>2024</v>
      </c>
      <c r="C75" s="430">
        <f>I51</f>
        <v>74</v>
      </c>
      <c r="D75" s="431"/>
      <c r="E75" s="121">
        <f>E65</f>
        <v>0.97822784810126573</v>
      </c>
      <c r="F75" s="120">
        <f t="shared" si="1"/>
        <v>72.388860759493667</v>
      </c>
      <c r="G75" s="118">
        <f t="shared" si="4"/>
        <v>75</v>
      </c>
      <c r="H75" s="119">
        <f t="shared" si="2"/>
        <v>2.6111392405063327</v>
      </c>
      <c r="I75" s="118" t="str">
        <f t="shared" si="5"/>
        <v>YES</v>
      </c>
      <c r="J75" s="117">
        <f t="shared" si="3"/>
        <v>75</v>
      </c>
    </row>
    <row r="76" spans="2:10" ht="15" customHeight="1">
      <c r="B76" s="114">
        <v>2025</v>
      </c>
      <c r="C76" s="430">
        <f>J51</f>
        <v>76</v>
      </c>
      <c r="D76" s="431"/>
      <c r="E76" s="121">
        <f>E65</f>
        <v>0.97822784810126573</v>
      </c>
      <c r="F76" s="120">
        <f t="shared" si="1"/>
        <v>74.345316455696192</v>
      </c>
      <c r="G76" s="118">
        <f t="shared" si="4"/>
        <v>75</v>
      </c>
      <c r="H76" s="119">
        <f t="shared" si="2"/>
        <v>0.65468354430380771</v>
      </c>
      <c r="I76" s="118" t="str">
        <f t="shared" si="5"/>
        <v>YES</v>
      </c>
      <c r="J76" s="117">
        <f t="shared" si="3"/>
        <v>75</v>
      </c>
    </row>
    <row r="77" spans="2:10" ht="15" customHeight="1">
      <c r="B77" s="114">
        <v>2026</v>
      </c>
      <c r="C77" s="430">
        <f>K51</f>
        <v>77</v>
      </c>
      <c r="D77" s="431"/>
      <c r="E77" s="121">
        <f>E65</f>
        <v>0.97822784810126573</v>
      </c>
      <c r="F77" s="120">
        <f t="shared" si="1"/>
        <v>75.323544303797462</v>
      </c>
      <c r="G77" s="118">
        <f t="shared" si="4"/>
        <v>90</v>
      </c>
      <c r="H77" s="119">
        <f t="shared" si="2"/>
        <v>14.676455696202538</v>
      </c>
      <c r="I77" s="118" t="str">
        <f t="shared" si="5"/>
        <v>NO</v>
      </c>
      <c r="J77" s="117">
        <f t="shared" si="3"/>
        <v>86.323544303797462</v>
      </c>
    </row>
    <row r="78" spans="2:10" ht="15" customHeight="1">
      <c r="B78" s="114">
        <v>2027</v>
      </c>
      <c r="C78" s="430">
        <f>L51</f>
        <v>77</v>
      </c>
      <c r="D78" s="431"/>
      <c r="E78" s="121">
        <f>E65</f>
        <v>0.97822784810126573</v>
      </c>
      <c r="F78" s="120">
        <f t="shared" si="1"/>
        <v>75.323544303797462</v>
      </c>
      <c r="G78" s="118">
        <f t="shared" si="4"/>
        <v>90</v>
      </c>
      <c r="H78" s="119">
        <f t="shared" si="2"/>
        <v>14.676455696202538</v>
      </c>
      <c r="I78" s="118" t="str">
        <f t="shared" si="5"/>
        <v>NO</v>
      </c>
      <c r="J78" s="117">
        <f t="shared" si="3"/>
        <v>86.323544303797462</v>
      </c>
    </row>
    <row r="79" spans="2:10" ht="15" customHeight="1">
      <c r="B79" s="114">
        <v>2028</v>
      </c>
      <c r="C79" s="430">
        <f>M51</f>
        <v>78</v>
      </c>
      <c r="D79" s="431"/>
      <c r="E79" s="121">
        <f t="shared" ref="E79:E83" si="6">$E$65</f>
        <v>0.97822784810126573</v>
      </c>
      <c r="F79" s="120">
        <f t="shared" si="1"/>
        <v>76.301772151898732</v>
      </c>
      <c r="G79" s="118">
        <f t="shared" si="4"/>
        <v>90</v>
      </c>
      <c r="H79" s="119">
        <f t="shared" si="2"/>
        <v>13.698227848101268</v>
      </c>
      <c r="I79" s="118" t="str">
        <f t="shared" si="5"/>
        <v>NO</v>
      </c>
      <c r="J79" s="117">
        <f t="shared" si="3"/>
        <v>87.301772151898732</v>
      </c>
    </row>
    <row r="80" spans="2:10" ht="15" customHeight="1">
      <c r="B80" s="114">
        <v>2029</v>
      </c>
      <c r="C80" s="430">
        <f>N51</f>
        <v>78</v>
      </c>
      <c r="D80" s="431"/>
      <c r="E80" s="121">
        <f t="shared" si="6"/>
        <v>0.97822784810126573</v>
      </c>
      <c r="F80" s="120">
        <f t="shared" si="1"/>
        <v>76.301772151898732</v>
      </c>
      <c r="G80" s="118">
        <f t="shared" si="4"/>
        <v>90</v>
      </c>
      <c r="H80" s="119">
        <f t="shared" si="2"/>
        <v>13.698227848101268</v>
      </c>
      <c r="I80" s="118" t="str">
        <f t="shared" si="5"/>
        <v>NO</v>
      </c>
      <c r="J80" s="117">
        <f t="shared" si="3"/>
        <v>87.301772151898732</v>
      </c>
    </row>
    <row r="81" spans="2:10" ht="15" customHeight="1">
      <c r="B81" s="114">
        <v>2030</v>
      </c>
      <c r="C81" s="430">
        <f>O51</f>
        <v>78</v>
      </c>
      <c r="D81" s="431"/>
      <c r="E81" s="121">
        <f t="shared" si="6"/>
        <v>0.97822784810126573</v>
      </c>
      <c r="F81" s="120">
        <f t="shared" si="1"/>
        <v>76.301772151898732</v>
      </c>
      <c r="G81" s="118">
        <f t="shared" si="4"/>
        <v>90</v>
      </c>
      <c r="H81" s="119">
        <f t="shared" si="2"/>
        <v>13.698227848101268</v>
      </c>
      <c r="I81" s="118" t="str">
        <f t="shared" si="5"/>
        <v>NO</v>
      </c>
      <c r="J81" s="117">
        <f t="shared" si="3"/>
        <v>87.301772151898732</v>
      </c>
    </row>
    <row r="82" spans="2:10" ht="15" customHeight="1">
      <c r="B82" s="114">
        <v>2031</v>
      </c>
      <c r="C82" s="430">
        <f>P51</f>
        <v>78</v>
      </c>
      <c r="D82" s="431"/>
      <c r="E82" s="121">
        <f t="shared" si="6"/>
        <v>0.97822784810126573</v>
      </c>
      <c r="F82" s="120">
        <f t="shared" si="1"/>
        <v>76.301772151898732</v>
      </c>
      <c r="G82" s="118">
        <f t="shared" si="4"/>
        <v>90</v>
      </c>
      <c r="H82" s="119">
        <f t="shared" si="2"/>
        <v>13.698227848101268</v>
      </c>
      <c r="I82" s="118" t="str">
        <f t="shared" si="5"/>
        <v>NO</v>
      </c>
      <c r="J82" s="117">
        <f t="shared" si="3"/>
        <v>87.301772151898732</v>
      </c>
    </row>
    <row r="83" spans="2:10" ht="15" customHeight="1">
      <c r="B83" s="114">
        <v>2032</v>
      </c>
      <c r="C83" s="430">
        <f>Q51</f>
        <v>78</v>
      </c>
      <c r="D83" s="431"/>
      <c r="E83" s="121">
        <f t="shared" si="6"/>
        <v>0.97822784810126573</v>
      </c>
      <c r="F83" s="120">
        <f t="shared" si="1"/>
        <v>76.301772151898732</v>
      </c>
      <c r="G83" s="118">
        <f t="shared" si="4"/>
        <v>90</v>
      </c>
      <c r="H83" s="119">
        <f t="shared" si="2"/>
        <v>13.698227848101268</v>
      </c>
      <c r="I83" s="118" t="str">
        <f t="shared" si="5"/>
        <v>NO</v>
      </c>
      <c r="J83" s="117">
        <f t="shared" si="3"/>
        <v>87.301772151898732</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Sciennes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89</v>
      </c>
      <c r="D91" s="112">
        <f t="shared" ref="D91:J91" si="7">D188</f>
        <v>90</v>
      </c>
      <c r="E91" s="112">
        <f t="shared" si="7"/>
        <v>90</v>
      </c>
      <c r="F91" s="112">
        <f t="shared" si="7"/>
        <v>91</v>
      </c>
      <c r="G91" s="112">
        <f t="shared" si="7"/>
        <v>99</v>
      </c>
      <c r="H91" s="112">
        <f t="shared" si="7"/>
        <v>83</v>
      </c>
      <c r="I91" s="112">
        <f t="shared" si="7"/>
        <v>96</v>
      </c>
      <c r="J91" s="213">
        <f t="shared" si="7"/>
        <v>638</v>
      </c>
    </row>
    <row r="92" spans="2:10" ht="15" customHeight="1">
      <c r="B92" s="114">
        <v>2014</v>
      </c>
      <c r="C92" s="112">
        <f>C189</f>
        <v>90</v>
      </c>
      <c r="D92" s="112">
        <f t="shared" ref="D92:J92" si="8">D189</f>
        <v>91</v>
      </c>
      <c r="E92" s="112">
        <f t="shared" si="8"/>
        <v>88</v>
      </c>
      <c r="F92" s="112">
        <f t="shared" si="8"/>
        <v>90</v>
      </c>
      <c r="G92" s="112">
        <f t="shared" si="8"/>
        <v>96</v>
      </c>
      <c r="H92" s="112">
        <f t="shared" si="8"/>
        <v>96</v>
      </c>
      <c r="I92" s="112">
        <f t="shared" si="8"/>
        <v>86</v>
      </c>
      <c r="J92" s="213">
        <f t="shared" si="8"/>
        <v>637</v>
      </c>
    </row>
    <row r="93" spans="2:10" ht="15" customHeight="1">
      <c r="B93" s="114">
        <v>2015</v>
      </c>
      <c r="C93" s="112">
        <f>C190</f>
        <v>84</v>
      </c>
      <c r="D93" s="112">
        <f t="shared" ref="D93:J93" si="9">D190</f>
        <v>87</v>
      </c>
      <c r="E93" s="112">
        <f t="shared" si="9"/>
        <v>91</v>
      </c>
      <c r="F93" s="112">
        <f t="shared" si="9"/>
        <v>96</v>
      </c>
      <c r="G93" s="112">
        <f t="shared" si="9"/>
        <v>98</v>
      </c>
      <c r="H93" s="112">
        <f t="shared" si="9"/>
        <v>99</v>
      </c>
      <c r="I93" s="112">
        <f t="shared" si="9"/>
        <v>91</v>
      </c>
      <c r="J93" s="213">
        <f t="shared" si="9"/>
        <v>646</v>
      </c>
    </row>
    <row r="94" spans="2:10" ht="15" customHeight="1">
      <c r="B94" s="114">
        <v>2016</v>
      </c>
      <c r="C94" s="112">
        <f>C191</f>
        <v>86</v>
      </c>
      <c r="D94" s="112">
        <f t="shared" ref="D94:J94" si="10">D191</f>
        <v>89</v>
      </c>
      <c r="E94" s="112">
        <f t="shared" si="10"/>
        <v>89</v>
      </c>
      <c r="F94" s="112">
        <f t="shared" si="10"/>
        <v>96</v>
      </c>
      <c r="G94" s="112">
        <f t="shared" si="10"/>
        <v>96</v>
      </c>
      <c r="H94" s="112">
        <f t="shared" si="10"/>
        <v>94</v>
      </c>
      <c r="I94" s="112">
        <f t="shared" si="10"/>
        <v>97</v>
      </c>
      <c r="J94" s="213">
        <f t="shared" si="10"/>
        <v>647</v>
      </c>
    </row>
    <row r="95" spans="2:10" ht="15" customHeight="1">
      <c r="B95" s="114">
        <v>2017</v>
      </c>
      <c r="C95" s="112">
        <f>C192</f>
        <v>97</v>
      </c>
      <c r="D95" s="112">
        <f t="shared" ref="D95:J95" si="11">D192</f>
        <v>88</v>
      </c>
      <c r="E95" s="112">
        <f t="shared" si="11"/>
        <v>89</v>
      </c>
      <c r="F95" s="112">
        <f t="shared" si="11"/>
        <v>97</v>
      </c>
      <c r="G95" s="112">
        <f t="shared" si="11"/>
        <v>99</v>
      </c>
      <c r="H95" s="112">
        <f t="shared" si="11"/>
        <v>94</v>
      </c>
      <c r="I95" s="112">
        <f t="shared" si="11"/>
        <v>98</v>
      </c>
      <c r="J95" s="213">
        <f t="shared" si="11"/>
        <v>662</v>
      </c>
    </row>
    <row r="96" spans="2:10" ht="15" customHeight="1">
      <c r="B96" s="307">
        <v>2018</v>
      </c>
      <c r="C96" s="112">
        <f t="shared" ref="C96:J96" si="12">C193</f>
        <v>86</v>
      </c>
      <c r="D96" s="112">
        <f t="shared" si="12"/>
        <v>100</v>
      </c>
      <c r="E96" s="112">
        <f t="shared" si="12"/>
        <v>90</v>
      </c>
      <c r="F96" s="112">
        <f t="shared" si="12"/>
        <v>91</v>
      </c>
      <c r="G96" s="112">
        <f t="shared" si="12"/>
        <v>98</v>
      </c>
      <c r="H96" s="112">
        <f t="shared" si="12"/>
        <v>99</v>
      </c>
      <c r="I96" s="112">
        <f t="shared" si="12"/>
        <v>98</v>
      </c>
      <c r="J96" s="213">
        <f t="shared" si="12"/>
        <v>662</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-2.3255813953488372E-2</v>
      </c>
      <c r="E98" s="210">
        <f t="shared" ref="E98:I98" si="13">MEDIAN(((D91-E92)/D91),((D92-E93)/D92),((D93-E94)/D93),((D94-E95)/D94),((D95-E96)/D95))</f>
        <v>0</v>
      </c>
      <c r="F98" s="210">
        <f t="shared" si="13"/>
        <v>-5.4945054945054944E-2</v>
      </c>
      <c r="G98" s="210">
        <f t="shared" si="13"/>
        <v>-3.125E-2</v>
      </c>
      <c r="H98" s="210">
        <f t="shared" si="13"/>
        <v>2.0833333333333332E-2</v>
      </c>
      <c r="I98" s="210">
        <f t="shared" si="13"/>
        <v>-3.614457831325301E-2</v>
      </c>
    </row>
    <row r="99" spans="2:10" ht="18.75">
      <c r="B99" s="59"/>
      <c r="C99" s="60"/>
      <c r="D99" s="61"/>
      <c r="E99" s="61"/>
      <c r="F99" s="61"/>
      <c r="G99" s="61"/>
      <c r="H99" s="61"/>
      <c r="I99" s="61"/>
      <c r="J99" s="58"/>
    </row>
    <row r="100" spans="2:10">
      <c r="B100" s="15" t="str">
        <f>"Table 4B: "&amp;E3&amp;" Projected Roll by Stage (incorporating Projected P1 and Drop-Off Rates), 2019-2032"</f>
        <v>Table 4B: Sciennes Primary School Projected Roll by Stage (incorporating Projected P1 and Drop-Off Rates), 2019-2032</v>
      </c>
      <c r="F100" s="14"/>
      <c r="G100" s="14"/>
    </row>
    <row r="101" spans="2:10" ht="12.75">
      <c r="F101" s="14"/>
      <c r="G101" s="14"/>
    </row>
    <row r="102" spans="2:10">
      <c r="B102" s="115"/>
      <c r="C102" s="109" t="s">
        <v>1</v>
      </c>
      <c r="D102" s="109" t="s">
        <v>2</v>
      </c>
      <c r="E102" s="109" t="s">
        <v>3</v>
      </c>
      <c r="F102" s="109" t="s">
        <v>4</v>
      </c>
      <c r="G102" s="109" t="s">
        <v>5</v>
      </c>
      <c r="H102" s="109" t="s">
        <v>6</v>
      </c>
      <c r="I102" s="109" t="s">
        <v>7</v>
      </c>
      <c r="J102" s="109" t="s">
        <v>8</v>
      </c>
    </row>
    <row r="103" spans="2:10">
      <c r="B103" s="114">
        <v>2019</v>
      </c>
      <c r="C103" s="113">
        <f t="shared" ref="C103:C116" si="14">J70</f>
        <v>90</v>
      </c>
      <c r="D103" s="324">
        <f>ROUND((C96)-(C96*$D$98),0)</f>
        <v>88</v>
      </c>
      <c r="E103" s="324">
        <f>ROUND((D96)-(D96*$E$98),0)</f>
        <v>100</v>
      </c>
      <c r="F103" s="324">
        <f>ROUND((E96)-(E96*$F$98),0)</f>
        <v>95</v>
      </c>
      <c r="G103" s="324">
        <f>ROUND((F96)-(F96*$G$98),0)</f>
        <v>94</v>
      </c>
      <c r="H103" s="324">
        <f>ROUND((G96)-(G96*$H$98),0)</f>
        <v>96</v>
      </c>
      <c r="I103" s="324">
        <f>ROUND((H96)-(H96*$I$98),0)</f>
        <v>103</v>
      </c>
      <c r="J103" s="111">
        <f t="shared" ref="J103:J116" si="15">SUM(C103:I103)</f>
        <v>666</v>
      </c>
    </row>
    <row r="104" spans="2:10">
      <c r="B104" s="114">
        <v>2020</v>
      </c>
      <c r="C104" s="113">
        <f t="shared" si="14"/>
        <v>66</v>
      </c>
      <c r="D104" s="324">
        <f>ROUND((C103-E50)-(C103*$D$98),0)</f>
        <v>92</v>
      </c>
      <c r="E104" s="112">
        <f t="shared" ref="E104:E116" si="16">ROUND((D103)-(D103*$E$98),0)</f>
        <v>88</v>
      </c>
      <c r="F104" s="112">
        <f t="shared" ref="F104:F116" si="17">ROUND((E103)-(E103*$F$98),0)</f>
        <v>105</v>
      </c>
      <c r="G104" s="112">
        <f t="shared" ref="G104:G116" si="18">ROUND((F103)-(F103*$G$98),0)</f>
        <v>98</v>
      </c>
      <c r="H104" s="112">
        <f t="shared" ref="H104:H116" si="19">ROUND((G103)-(G103*$H$98),0)</f>
        <v>92</v>
      </c>
      <c r="I104" s="112">
        <f t="shared" ref="I104:I116" si="20">ROUND((H103)-(H103*$I$98),0)</f>
        <v>99</v>
      </c>
      <c r="J104" s="111">
        <f t="shared" si="15"/>
        <v>640</v>
      </c>
    </row>
    <row r="105" spans="2:10">
      <c r="B105" s="114">
        <v>2021</v>
      </c>
      <c r="C105" s="113">
        <f t="shared" si="14"/>
        <v>90</v>
      </c>
      <c r="D105" s="324">
        <f>ROUND((C104-F50)-(C104*$D$98),0)</f>
        <v>68</v>
      </c>
      <c r="E105" s="112">
        <f t="shared" si="16"/>
        <v>92</v>
      </c>
      <c r="F105" s="112">
        <f t="shared" si="17"/>
        <v>93</v>
      </c>
      <c r="G105" s="112">
        <f t="shared" si="18"/>
        <v>108</v>
      </c>
      <c r="H105" s="112">
        <f t="shared" si="19"/>
        <v>96</v>
      </c>
      <c r="I105" s="112">
        <f t="shared" si="20"/>
        <v>95</v>
      </c>
      <c r="J105" s="111">
        <f t="shared" si="15"/>
        <v>642</v>
      </c>
    </row>
    <row r="106" spans="2:10">
      <c r="B106" s="114">
        <v>2022</v>
      </c>
      <c r="C106" s="113">
        <f t="shared" si="14"/>
        <v>72</v>
      </c>
      <c r="D106" s="324">
        <f>ROUND((C105-G50)-(C105*$D$98),0)</f>
        <v>92</v>
      </c>
      <c r="E106" s="112">
        <f t="shared" si="16"/>
        <v>68</v>
      </c>
      <c r="F106" s="112">
        <f t="shared" si="17"/>
        <v>97</v>
      </c>
      <c r="G106" s="112">
        <f t="shared" si="18"/>
        <v>96</v>
      </c>
      <c r="H106" s="112">
        <f t="shared" si="19"/>
        <v>106</v>
      </c>
      <c r="I106" s="112">
        <f t="shared" si="20"/>
        <v>99</v>
      </c>
      <c r="J106" s="111">
        <f t="shared" si="15"/>
        <v>630</v>
      </c>
    </row>
    <row r="107" spans="2:10">
      <c r="B107" s="114">
        <v>2023</v>
      </c>
      <c r="C107" s="113">
        <f t="shared" si="14"/>
        <v>72</v>
      </c>
      <c r="D107" s="324">
        <f>ROUND((C106-H50)-(C106*$D$98),0)</f>
        <v>74</v>
      </c>
      <c r="E107" s="112">
        <f t="shared" si="16"/>
        <v>92</v>
      </c>
      <c r="F107" s="112">
        <f t="shared" si="17"/>
        <v>72</v>
      </c>
      <c r="G107" s="112">
        <f t="shared" si="18"/>
        <v>100</v>
      </c>
      <c r="H107" s="112">
        <f t="shared" si="19"/>
        <v>94</v>
      </c>
      <c r="I107" s="112">
        <f t="shared" si="20"/>
        <v>110</v>
      </c>
      <c r="J107" s="111">
        <f t="shared" si="15"/>
        <v>614</v>
      </c>
    </row>
    <row r="108" spans="2:10">
      <c r="B108" s="114">
        <v>2024</v>
      </c>
      <c r="C108" s="113">
        <f t="shared" si="14"/>
        <v>75</v>
      </c>
      <c r="D108" s="324">
        <f>ROUND((C107-I50)-(C107*$D$98),0)</f>
        <v>73</v>
      </c>
      <c r="E108" s="112">
        <f t="shared" si="16"/>
        <v>74</v>
      </c>
      <c r="F108" s="112">
        <f t="shared" si="17"/>
        <v>97</v>
      </c>
      <c r="G108" s="112">
        <f t="shared" si="18"/>
        <v>74</v>
      </c>
      <c r="H108" s="112">
        <f t="shared" si="19"/>
        <v>98</v>
      </c>
      <c r="I108" s="112">
        <f t="shared" si="20"/>
        <v>97</v>
      </c>
      <c r="J108" s="111">
        <f t="shared" si="15"/>
        <v>588</v>
      </c>
    </row>
    <row r="109" spans="2:10">
      <c r="B109" s="114">
        <v>2025</v>
      </c>
      <c r="C109" s="113">
        <f t="shared" si="14"/>
        <v>75</v>
      </c>
      <c r="D109" s="324">
        <f>ROUND((C108-J50)-(C108*$D$98),0)</f>
        <v>75</v>
      </c>
      <c r="E109" s="112">
        <f t="shared" si="16"/>
        <v>73</v>
      </c>
      <c r="F109" s="112">
        <f t="shared" si="17"/>
        <v>78</v>
      </c>
      <c r="G109" s="112">
        <f t="shared" si="18"/>
        <v>100</v>
      </c>
      <c r="H109" s="112">
        <f t="shared" si="19"/>
        <v>72</v>
      </c>
      <c r="I109" s="112">
        <f t="shared" si="20"/>
        <v>102</v>
      </c>
      <c r="J109" s="111">
        <f t="shared" si="15"/>
        <v>575</v>
      </c>
    </row>
    <row r="110" spans="2:10">
      <c r="B110" s="114">
        <v>2026</v>
      </c>
      <c r="C110" s="113">
        <f t="shared" si="14"/>
        <v>86.323544303797462</v>
      </c>
      <c r="D110" s="324">
        <f>ROUND((C109-K50)-(C109*$D$98),0)</f>
        <v>75</v>
      </c>
      <c r="E110" s="112">
        <f t="shared" si="16"/>
        <v>75</v>
      </c>
      <c r="F110" s="112">
        <f t="shared" si="17"/>
        <v>77</v>
      </c>
      <c r="G110" s="112">
        <f t="shared" si="18"/>
        <v>80</v>
      </c>
      <c r="H110" s="112">
        <f t="shared" si="19"/>
        <v>98</v>
      </c>
      <c r="I110" s="112">
        <f t="shared" si="20"/>
        <v>75</v>
      </c>
      <c r="J110" s="111">
        <f t="shared" si="15"/>
        <v>566.32354430379746</v>
      </c>
    </row>
    <row r="111" spans="2:10">
      <c r="B111" s="114">
        <v>2027</v>
      </c>
      <c r="C111" s="113">
        <f t="shared" si="14"/>
        <v>86.323544303797462</v>
      </c>
      <c r="D111" s="324">
        <f>ROUND((C110-L50)-(C110*$D$98),0)</f>
        <v>86</v>
      </c>
      <c r="E111" s="112">
        <f t="shared" si="16"/>
        <v>75</v>
      </c>
      <c r="F111" s="112">
        <f t="shared" si="17"/>
        <v>79</v>
      </c>
      <c r="G111" s="112">
        <f t="shared" si="18"/>
        <v>79</v>
      </c>
      <c r="H111" s="112">
        <f t="shared" si="19"/>
        <v>78</v>
      </c>
      <c r="I111" s="112">
        <f t="shared" si="20"/>
        <v>102</v>
      </c>
      <c r="J111" s="111">
        <f t="shared" si="15"/>
        <v>585.32354430379746</v>
      </c>
    </row>
    <row r="112" spans="2:10">
      <c r="B112" s="114">
        <v>2028</v>
      </c>
      <c r="C112" s="113">
        <f t="shared" si="14"/>
        <v>87.301772151898732</v>
      </c>
      <c r="D112" s="324">
        <f>ROUND((C111-M50)-(C111*$D$98),0)</f>
        <v>86</v>
      </c>
      <c r="E112" s="112">
        <f t="shared" si="16"/>
        <v>86</v>
      </c>
      <c r="F112" s="112">
        <f t="shared" si="17"/>
        <v>79</v>
      </c>
      <c r="G112" s="112">
        <f t="shared" si="18"/>
        <v>81</v>
      </c>
      <c r="H112" s="112">
        <f t="shared" si="19"/>
        <v>77</v>
      </c>
      <c r="I112" s="112">
        <f t="shared" si="20"/>
        <v>81</v>
      </c>
      <c r="J112" s="111">
        <f t="shared" si="15"/>
        <v>577.30177215189872</v>
      </c>
    </row>
    <row r="113" spans="2:10" ht="15" customHeight="1">
      <c r="B113" s="114">
        <v>2029</v>
      </c>
      <c r="C113" s="113">
        <f t="shared" si="14"/>
        <v>87.301772151898732</v>
      </c>
      <c r="D113" s="324">
        <f>ROUND((C112-N50)-(C112*$D$98),0)</f>
        <v>87</v>
      </c>
      <c r="E113" s="112">
        <f t="shared" si="16"/>
        <v>86</v>
      </c>
      <c r="F113" s="112">
        <f t="shared" si="17"/>
        <v>91</v>
      </c>
      <c r="G113" s="112">
        <f t="shared" si="18"/>
        <v>81</v>
      </c>
      <c r="H113" s="112">
        <f t="shared" si="19"/>
        <v>79</v>
      </c>
      <c r="I113" s="112">
        <f t="shared" si="20"/>
        <v>80</v>
      </c>
      <c r="J113" s="111">
        <f t="shared" si="15"/>
        <v>591.30177215189872</v>
      </c>
    </row>
    <row r="114" spans="2:10" ht="15" customHeight="1">
      <c r="B114" s="114">
        <v>2030</v>
      </c>
      <c r="C114" s="113">
        <f t="shared" si="14"/>
        <v>87.301772151898732</v>
      </c>
      <c r="D114" s="324">
        <f>ROUND((C113-O50)-(C113*$D$98),0)</f>
        <v>87</v>
      </c>
      <c r="E114" s="112">
        <f t="shared" si="16"/>
        <v>87</v>
      </c>
      <c r="F114" s="112">
        <f t="shared" si="17"/>
        <v>91</v>
      </c>
      <c r="G114" s="112">
        <f t="shared" si="18"/>
        <v>94</v>
      </c>
      <c r="H114" s="112">
        <f t="shared" si="19"/>
        <v>79</v>
      </c>
      <c r="I114" s="112">
        <f t="shared" si="20"/>
        <v>82</v>
      </c>
      <c r="J114" s="111">
        <f t="shared" si="15"/>
        <v>607.30177215189872</v>
      </c>
    </row>
    <row r="115" spans="2:10" ht="15" customHeight="1">
      <c r="B115" s="114">
        <v>2031</v>
      </c>
      <c r="C115" s="113">
        <f t="shared" si="14"/>
        <v>87.301772151898732</v>
      </c>
      <c r="D115" s="324">
        <f>ROUND((C114-P50)-(C114*$D$98),0)</f>
        <v>87</v>
      </c>
      <c r="E115" s="112">
        <f t="shared" si="16"/>
        <v>87</v>
      </c>
      <c r="F115" s="112">
        <f t="shared" si="17"/>
        <v>92</v>
      </c>
      <c r="G115" s="112">
        <f t="shared" si="18"/>
        <v>94</v>
      </c>
      <c r="H115" s="112">
        <f t="shared" si="19"/>
        <v>92</v>
      </c>
      <c r="I115" s="112">
        <f t="shared" si="20"/>
        <v>82</v>
      </c>
      <c r="J115" s="111">
        <f t="shared" si="15"/>
        <v>621.30177215189872</v>
      </c>
    </row>
    <row r="116" spans="2:10" ht="15" customHeight="1">
      <c r="B116" s="114">
        <v>2032</v>
      </c>
      <c r="C116" s="113">
        <f t="shared" si="14"/>
        <v>87.301772151898732</v>
      </c>
      <c r="D116" s="324">
        <f>ROUND((C115-Q50)-(C115*$D$98),0)</f>
        <v>87</v>
      </c>
      <c r="E116" s="112">
        <f t="shared" si="16"/>
        <v>87</v>
      </c>
      <c r="F116" s="112">
        <f t="shared" si="17"/>
        <v>92</v>
      </c>
      <c r="G116" s="112">
        <f t="shared" si="18"/>
        <v>95</v>
      </c>
      <c r="H116" s="112">
        <f t="shared" si="19"/>
        <v>92</v>
      </c>
      <c r="I116" s="112">
        <f t="shared" si="20"/>
        <v>95</v>
      </c>
      <c r="J116" s="111">
        <f t="shared" si="15"/>
        <v>635.30177215189872</v>
      </c>
    </row>
    <row r="117" spans="2:10" ht="15" hidden="1" customHeight="1">
      <c r="F117" s="14"/>
      <c r="G117" s="14"/>
    </row>
    <row r="118" spans="2:10" ht="15" hidden="1" customHeight="1">
      <c r="B118" s="15" t="str">
        <f>"Table 4C: "&amp;E3&amp;" Projected Pupil Generation from Housing Development, 2019-2032"</f>
        <v>Table 4C: Sciennes Primary School Projected Pupil Generation from Housing Development, 2019-2032</v>
      </c>
      <c r="F118" s="14"/>
      <c r="G118" s="14"/>
    </row>
    <row r="119" spans="2:10" ht="15" hidden="1" customHeight="1">
      <c r="F119" s="14"/>
      <c r="G119" s="14"/>
    </row>
    <row r="120" spans="2:10" ht="15" hidden="1" customHeight="1">
      <c r="B120" s="115"/>
      <c r="C120" s="109" t="s">
        <v>1</v>
      </c>
      <c r="D120" s="109" t="s">
        <v>2</v>
      </c>
      <c r="E120" s="109" t="s">
        <v>3</v>
      </c>
      <c r="F120" s="109" t="s">
        <v>4</v>
      </c>
      <c r="G120" s="109" t="s">
        <v>5</v>
      </c>
      <c r="H120" s="109" t="s">
        <v>6</v>
      </c>
      <c r="I120" s="109" t="s">
        <v>7</v>
      </c>
      <c r="J120" s="109" t="s">
        <v>8</v>
      </c>
    </row>
    <row r="121" spans="2:10" ht="15" hidden="1" customHeight="1">
      <c r="B121" s="114">
        <v>2019</v>
      </c>
      <c r="C121" s="116" t="s">
        <v>97</v>
      </c>
      <c r="D121" s="112">
        <f>VLOOKUP($E$3,'Housing Generation'!$A$3:$BE$90,11,FALSE)</f>
        <v>0</v>
      </c>
      <c r="E121" s="112">
        <f>VLOOKUP($E$3,'Housing Generation'!$A$3:$BE$90,12,FALSE)</f>
        <v>0</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0</v>
      </c>
    </row>
    <row r="122" spans="2:10" ht="15" hidden="1" customHeight="1">
      <c r="B122" s="114">
        <v>2020</v>
      </c>
      <c r="C122" s="116" t="s">
        <v>97</v>
      </c>
      <c r="D122" s="112">
        <f>VLOOKUP($E$3,'Housing Generation'!$A$3:$BE$90,19,FALSE)</f>
        <v>0</v>
      </c>
      <c r="E122" s="112">
        <f>VLOOKUP($E$3,'Housing Generation'!$A$3:$BE$90,20,FALSE)</f>
        <v>0</v>
      </c>
      <c r="F122" s="112">
        <f>VLOOKUP($E$3,'Housing Generation'!$A$3:$BE$90,21,FALSE)</f>
        <v>0</v>
      </c>
      <c r="G122" s="112">
        <f>VLOOKUP($E$3,'Housing Generation'!$A$3:$BE$90,22,FALSE)</f>
        <v>0</v>
      </c>
      <c r="H122" s="112">
        <f>VLOOKUP($E$3,'Housing Generation'!$A$3:$BE$90,23,FALSE)</f>
        <v>0</v>
      </c>
      <c r="I122" s="112">
        <f>VLOOKUP($E$3,'Housing Generation'!$A$3:$BE$90,24,FALSE)</f>
        <v>0</v>
      </c>
      <c r="J122" s="111">
        <f t="shared" si="21"/>
        <v>0</v>
      </c>
    </row>
    <row r="123" spans="2:10" ht="15" hidden="1" customHeight="1">
      <c r="B123" s="114">
        <v>2021</v>
      </c>
      <c r="C123" s="116" t="s">
        <v>97</v>
      </c>
      <c r="D123" s="112">
        <f>VLOOKUP($E$3,'Housing Generation'!$A$3:$BE$90,27,FALSE)</f>
        <v>0</v>
      </c>
      <c r="E123" s="112">
        <f>VLOOKUP($E$3,'Housing Generation'!$A$3:$BE$90,28,FALSE)</f>
        <v>0</v>
      </c>
      <c r="F123" s="112">
        <f>VLOOKUP($E$3,'Housing Generation'!$A$3:$BE$90,29,FALSE)</f>
        <v>0</v>
      </c>
      <c r="G123" s="112">
        <f>VLOOKUP($E$3,'Housing Generation'!$A$3:$BE$90,30,FALSE)</f>
        <v>0</v>
      </c>
      <c r="H123" s="112">
        <f>VLOOKUP($E$3,'Housing Generation'!$A$3:$BE$90,31,FALSE)</f>
        <v>0</v>
      </c>
      <c r="I123" s="112">
        <f>VLOOKUP($E$3,'Housing Generation'!$A$3:$BE$90,32,FALSE)</f>
        <v>0</v>
      </c>
      <c r="J123" s="111">
        <f t="shared" si="21"/>
        <v>0</v>
      </c>
    </row>
    <row r="124" spans="2:10" ht="15" hidden="1" customHeight="1">
      <c r="B124" s="114">
        <v>2022</v>
      </c>
      <c r="C124" s="116" t="s">
        <v>97</v>
      </c>
      <c r="D124" s="112">
        <f>VLOOKUP($E$3,'Housing Generation'!$A$3:$BE$90,35,FALSE)</f>
        <v>0</v>
      </c>
      <c r="E124" s="112">
        <f>VLOOKUP($E$3,'Housing Generation'!$A$3:$BE$90,36,FALSE)</f>
        <v>0</v>
      </c>
      <c r="F124" s="112">
        <f>VLOOKUP($E$3,'Housing Generation'!$A$3:$BE$90,37,FALSE)</f>
        <v>0</v>
      </c>
      <c r="G124" s="112">
        <f>VLOOKUP($E$3,'Housing Generation'!$A$3:$BE$90,38,FALSE)</f>
        <v>0</v>
      </c>
      <c r="H124" s="112">
        <f>VLOOKUP($E$3,'Housing Generation'!$A$3:$BE$90,39,FALSE)</f>
        <v>0</v>
      </c>
      <c r="I124" s="112">
        <f>VLOOKUP($E$3,'Housing Generation'!$A$3:$BE$90,40,FALSE)</f>
        <v>0</v>
      </c>
      <c r="J124" s="111">
        <f t="shared" si="21"/>
        <v>0</v>
      </c>
    </row>
    <row r="125" spans="2:10" ht="15" hidden="1" customHeight="1">
      <c r="B125" s="114">
        <v>2023</v>
      </c>
      <c r="C125" s="116" t="s">
        <v>97</v>
      </c>
      <c r="D125" s="112">
        <f>VLOOKUP($E$3,'Housing Generation'!$A$3:$BE$90,43,FALSE)</f>
        <v>0</v>
      </c>
      <c r="E125" s="112">
        <f>VLOOKUP($E$3,'Housing Generation'!$A$3:$BE$90,44,FALSE)</f>
        <v>0</v>
      </c>
      <c r="F125" s="112">
        <f>VLOOKUP($E$3,'Housing Generation'!$A$3:$BE$90,45,FALSE)</f>
        <v>0</v>
      </c>
      <c r="G125" s="112">
        <f>VLOOKUP($E$3,'Housing Generation'!$A$3:$BE$90,46,FALSE)</f>
        <v>0</v>
      </c>
      <c r="H125" s="112">
        <f>VLOOKUP($E$3,'Housing Generation'!$A$3:$BE$90,47,FALSE)</f>
        <v>0</v>
      </c>
      <c r="I125" s="112">
        <f>VLOOKUP($E$3,'Housing Generation'!$A$3:$BE$90,48,FALSE)</f>
        <v>0</v>
      </c>
      <c r="J125" s="111">
        <f t="shared" si="21"/>
        <v>0</v>
      </c>
    </row>
    <row r="126" spans="2:10" ht="15" hidden="1" customHeight="1">
      <c r="B126" s="114">
        <v>2024</v>
      </c>
      <c r="C126" s="116" t="s">
        <v>97</v>
      </c>
      <c r="D126" s="112">
        <f>VLOOKUP($E$3,'Housing Generation'!$A$3:$BE$90,51,FALSE)</f>
        <v>1</v>
      </c>
      <c r="E126" s="112">
        <f>VLOOKUP($E$3,'Housing Generation'!$A$3:$BE$90,52,FALSE)</f>
        <v>1</v>
      </c>
      <c r="F126" s="112">
        <f>VLOOKUP($E$3,'Housing Generation'!$A$3:$BE$90,53,FALSE)</f>
        <v>1</v>
      </c>
      <c r="G126" s="112">
        <f>VLOOKUP($E$3,'Housing Generation'!$A$3:$BE$90,54,FALSE)</f>
        <v>1</v>
      </c>
      <c r="H126" s="112">
        <f>VLOOKUP($E$3,'Housing Generation'!$A$3:$BE$90,55,FALSE)</f>
        <v>0</v>
      </c>
      <c r="I126" s="112">
        <f>VLOOKUP($E$3,'Housing Generation'!$A$3:$BE$90,56,FALSE)</f>
        <v>0</v>
      </c>
      <c r="J126" s="111">
        <f t="shared" si="21"/>
        <v>4</v>
      </c>
    </row>
    <row r="127" spans="2:10" ht="15" hidden="1" customHeight="1">
      <c r="B127" s="114">
        <v>2025</v>
      </c>
      <c r="C127" s="240" t="s">
        <v>97</v>
      </c>
      <c r="D127" s="112">
        <f>VLOOKUP($E$3,'Housing Generation'!$A$3:$CK$90,59,FALSE)</f>
        <v>2</v>
      </c>
      <c r="E127" s="112">
        <f>VLOOKUP($E$3,'Housing Generation'!$A$3:$CK$90,60,FALSE)</f>
        <v>2</v>
      </c>
      <c r="F127" s="112">
        <f>VLOOKUP($E$3,'Housing Generation'!$A$3:$CK$90,61,FALSE)</f>
        <v>2</v>
      </c>
      <c r="G127" s="112">
        <f>VLOOKUP($E$3,'Housing Generation'!$A$3:$CK$90,62,FALSE)</f>
        <v>2</v>
      </c>
      <c r="H127" s="112">
        <f>VLOOKUP($E$3,'Housing Generation'!$A$3:$CK$90,63,FALSE)</f>
        <v>1</v>
      </c>
      <c r="I127" s="112">
        <f>VLOOKUP($E$3,'Housing Generation'!$A$3:$CK$90,64,FALSE)</f>
        <v>1</v>
      </c>
      <c r="J127" s="111">
        <f t="shared" si="21"/>
        <v>10</v>
      </c>
    </row>
    <row r="128" spans="2:10" ht="15" hidden="1" customHeight="1">
      <c r="B128" s="114">
        <v>2026</v>
      </c>
      <c r="C128" s="240" t="s">
        <v>97</v>
      </c>
      <c r="D128" s="112">
        <f>VLOOKUP($E$3,'Housing Generation'!$A$3:$CK$90,67,FALSE)</f>
        <v>2</v>
      </c>
      <c r="E128" s="112">
        <f>VLOOKUP($E$3,'Housing Generation'!$A$3:$CK$90,68,FALSE)</f>
        <v>2</v>
      </c>
      <c r="F128" s="112">
        <f>VLOOKUP($E$3,'Housing Generation'!$A$3:$CK$90,69,FALSE)</f>
        <v>2</v>
      </c>
      <c r="G128" s="112">
        <f>VLOOKUP($E$3,'Housing Generation'!$A$3:$CK$90,70,FALSE)</f>
        <v>2</v>
      </c>
      <c r="H128" s="112">
        <f>VLOOKUP($E$3,'Housing Generation'!$A$3:$CK$90,71,FALSE)</f>
        <v>1</v>
      </c>
      <c r="I128" s="112">
        <f>VLOOKUP($E$3,'Housing Generation'!$A$3:$CK$90,72,FALSE)</f>
        <v>1</v>
      </c>
      <c r="J128" s="111">
        <f t="shared" si="21"/>
        <v>10</v>
      </c>
    </row>
    <row r="129" spans="2:10" ht="15" hidden="1" customHeight="1">
      <c r="B129" s="114">
        <v>2027</v>
      </c>
      <c r="C129" s="240" t="s">
        <v>97</v>
      </c>
      <c r="D129" s="112">
        <f>VLOOKUP($E$3,'Housing Generation'!$A$3:$CK$90,75,FALSE)</f>
        <v>2</v>
      </c>
      <c r="E129" s="112">
        <f>VLOOKUP($E$3,'Housing Generation'!$A$3:$CK$90,76,FALSE)</f>
        <v>2</v>
      </c>
      <c r="F129" s="112">
        <f>VLOOKUP($E$3,'Housing Generation'!$A$3:$CK$90,77,FALSE)</f>
        <v>2</v>
      </c>
      <c r="G129" s="112">
        <f>VLOOKUP($E$3,'Housing Generation'!$A$3:$CK$90,78,FALSE)</f>
        <v>2</v>
      </c>
      <c r="H129" s="112">
        <f>VLOOKUP($E$3,'Housing Generation'!$A$3:$CK$90,79,FALSE)</f>
        <v>1</v>
      </c>
      <c r="I129" s="112">
        <f>VLOOKUP($E$3,'Housing Generation'!$A$3:$CK$90,80,FALSE)</f>
        <v>1</v>
      </c>
      <c r="J129" s="111">
        <f t="shared" si="21"/>
        <v>10</v>
      </c>
    </row>
    <row r="130" spans="2:10" ht="15" customHeight="1">
      <c r="B130" s="114">
        <v>2028</v>
      </c>
      <c r="C130" s="289" t="s">
        <v>97</v>
      </c>
      <c r="D130" s="112">
        <f>VLOOKUP($E$3,'Housing Generation'!$A$3:$CK$90,83,FALSE)</f>
        <v>2</v>
      </c>
      <c r="E130" s="112">
        <f>VLOOKUP($E$3,'Housing Generation'!$A$3:$CK$90,84,FALSE)</f>
        <v>2</v>
      </c>
      <c r="F130" s="112">
        <f>VLOOKUP($E$3,'Housing Generation'!$A$3:$CK$90,85,FALSE)</f>
        <v>2</v>
      </c>
      <c r="G130" s="112">
        <f>VLOOKUP($E$3,'Housing Generation'!$A$3:$CK$90,86,FALSE)</f>
        <v>2</v>
      </c>
      <c r="H130" s="112">
        <f>VLOOKUP($E$3,'Housing Generation'!$A$3:$CK$90,87,FALSE)</f>
        <v>1</v>
      </c>
      <c r="I130" s="112">
        <f>VLOOKUP($E$3,'Housing Generation'!$A$3:$CK$90,88,FALSE)</f>
        <v>1</v>
      </c>
      <c r="J130" s="111">
        <f t="shared" si="21"/>
        <v>10</v>
      </c>
    </row>
    <row r="131" spans="2:10" ht="15" customHeight="1">
      <c r="B131" s="114">
        <v>2029</v>
      </c>
      <c r="C131" s="289" t="s">
        <v>97</v>
      </c>
      <c r="D131" s="112">
        <f>VLOOKUP($E$3,'Housing Generation'!$A$3:$DQ$90,91,FALSE)</f>
        <v>2</v>
      </c>
      <c r="E131" s="112">
        <f>VLOOKUP($E$3,'Housing Generation'!$A$3:$DQ$90,92,FALSE)</f>
        <v>2</v>
      </c>
      <c r="F131" s="112">
        <f>VLOOKUP($E$3,'Housing Generation'!$A$3:$DQ$90,93,FALSE)</f>
        <v>2</v>
      </c>
      <c r="G131" s="112">
        <f>VLOOKUP($E$3,'Housing Generation'!$A$3:$DQ$90,94,FALSE)</f>
        <v>2</v>
      </c>
      <c r="H131" s="112">
        <f>VLOOKUP($E$3,'Housing Generation'!$A$3:$DQ$90,95,FALSE)</f>
        <v>1</v>
      </c>
      <c r="I131" s="112">
        <f>VLOOKUP($E$3,'Housing Generation'!$A$3:$DQ$90,96,FALSE)</f>
        <v>1</v>
      </c>
      <c r="J131" s="111">
        <f t="shared" si="21"/>
        <v>10</v>
      </c>
    </row>
    <row r="132" spans="2:10" ht="15" customHeight="1">
      <c r="B132" s="114">
        <v>2030</v>
      </c>
      <c r="C132" s="289" t="s">
        <v>97</v>
      </c>
      <c r="D132" s="112">
        <f>VLOOKUP($E$3,'Housing Generation'!$A$3:$DQ$90,99,FALSE)</f>
        <v>2</v>
      </c>
      <c r="E132" s="112">
        <f>VLOOKUP($E$3,'Housing Generation'!$A$3:$DQ$90,100,FALSE)</f>
        <v>2</v>
      </c>
      <c r="F132" s="112">
        <f>VLOOKUP($E$3,'Housing Generation'!$A$3:$DQ$90,101,FALSE)</f>
        <v>2</v>
      </c>
      <c r="G132" s="112">
        <f>VLOOKUP($E$3,'Housing Generation'!$A$3:$DQ$90,102,FALSE)</f>
        <v>2</v>
      </c>
      <c r="H132" s="112">
        <f>VLOOKUP($E$3,'Housing Generation'!$A$3:$DQ$90,103,FALSE)</f>
        <v>1</v>
      </c>
      <c r="I132" s="112">
        <f>VLOOKUP($E$3,'Housing Generation'!$A$3:$DQ$90,104,FALSE)</f>
        <v>1</v>
      </c>
      <c r="J132" s="111">
        <f t="shared" si="21"/>
        <v>10</v>
      </c>
    </row>
    <row r="133" spans="2:10" ht="15" customHeight="1">
      <c r="B133" s="114">
        <v>2031</v>
      </c>
      <c r="C133" s="289" t="s">
        <v>97</v>
      </c>
      <c r="D133" s="112">
        <f>VLOOKUP($E$3,'Housing Generation'!$A$3:$DQ$90,107,FALSE)</f>
        <v>2</v>
      </c>
      <c r="E133" s="112">
        <f>VLOOKUP($E$3,'Housing Generation'!$A$3:$DQ$90,108,FALSE)</f>
        <v>2</v>
      </c>
      <c r="F133" s="112">
        <f>VLOOKUP($E$3,'Housing Generation'!$A$3:$DQ$90,109,FALSE)</f>
        <v>2</v>
      </c>
      <c r="G133" s="112">
        <f>VLOOKUP($E$3,'Housing Generation'!$A$3:$DQ$90,110,FALSE)</f>
        <v>2</v>
      </c>
      <c r="H133" s="112">
        <f>VLOOKUP($E$3,'Housing Generation'!$A$3:$DQ$90,111,FALSE)</f>
        <v>1</v>
      </c>
      <c r="I133" s="112">
        <f>VLOOKUP($E$3,'Housing Generation'!$A$3:$DQ$90,112,FALSE)</f>
        <v>1</v>
      </c>
      <c r="J133" s="111">
        <f t="shared" si="21"/>
        <v>10</v>
      </c>
    </row>
    <row r="134" spans="2:10" ht="15" customHeight="1">
      <c r="B134" s="114">
        <v>2032</v>
      </c>
      <c r="C134" s="289" t="s">
        <v>97</v>
      </c>
      <c r="D134" s="112">
        <f>VLOOKUP($E$3,'Housing Generation'!$A$3:$DQ$90,115,FALSE)</f>
        <v>2</v>
      </c>
      <c r="E134" s="112">
        <f>VLOOKUP($E$3,'Housing Generation'!$A$3:$DQ$90,116,FALSE)</f>
        <v>2</v>
      </c>
      <c r="F134" s="112">
        <f>VLOOKUP($E$3,'Housing Generation'!$A$3:$DQ$90,117,FALSE)</f>
        <v>2</v>
      </c>
      <c r="G134" s="112">
        <f>VLOOKUP($E$3,'Housing Generation'!$A$3:$DQ$90,118,FALSE)</f>
        <v>2</v>
      </c>
      <c r="H134" s="112">
        <f>VLOOKUP($E$3,'Housing Generation'!$A$3:$DQ$90,119,FALSE)</f>
        <v>1</v>
      </c>
      <c r="I134" s="112">
        <f>VLOOKUP($E$3,'Housing Generation'!$A$3:$DQ$90,120,FALSE)</f>
        <v>1</v>
      </c>
      <c r="J134" s="111">
        <f t="shared" si="21"/>
        <v>10</v>
      </c>
    </row>
    <row r="135" spans="2:10" ht="15" hidden="1"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Sciennes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90</v>
      </c>
      <c r="D139" s="112">
        <f t="shared" ref="D139:I152" si="23">D121+D103</f>
        <v>88</v>
      </c>
      <c r="E139" s="112">
        <f t="shared" si="23"/>
        <v>100</v>
      </c>
      <c r="F139" s="112">
        <f t="shared" si="23"/>
        <v>95</v>
      </c>
      <c r="G139" s="112">
        <f t="shared" si="23"/>
        <v>94</v>
      </c>
      <c r="H139" s="112">
        <f t="shared" si="23"/>
        <v>96</v>
      </c>
      <c r="I139" s="112">
        <f t="shared" si="23"/>
        <v>103</v>
      </c>
      <c r="J139" s="111">
        <f t="shared" ref="J139:J147" si="24">SUM(C139:I139)</f>
        <v>666</v>
      </c>
    </row>
    <row r="140" spans="2:10" ht="15" customHeight="1">
      <c r="B140" s="114">
        <v>2020</v>
      </c>
      <c r="C140" s="113">
        <f t="shared" si="22"/>
        <v>66</v>
      </c>
      <c r="D140" s="112">
        <f t="shared" si="23"/>
        <v>92</v>
      </c>
      <c r="E140" s="112">
        <f t="shared" si="23"/>
        <v>88</v>
      </c>
      <c r="F140" s="112">
        <f t="shared" si="23"/>
        <v>105</v>
      </c>
      <c r="G140" s="112">
        <f t="shared" si="23"/>
        <v>98</v>
      </c>
      <c r="H140" s="112">
        <f t="shared" si="23"/>
        <v>92</v>
      </c>
      <c r="I140" s="112">
        <f t="shared" si="23"/>
        <v>99</v>
      </c>
      <c r="J140" s="111">
        <f t="shared" si="24"/>
        <v>640</v>
      </c>
    </row>
    <row r="141" spans="2:10" ht="15" customHeight="1">
      <c r="B141" s="114">
        <v>2021</v>
      </c>
      <c r="C141" s="113">
        <f t="shared" si="22"/>
        <v>90</v>
      </c>
      <c r="D141" s="112">
        <f t="shared" si="23"/>
        <v>68</v>
      </c>
      <c r="E141" s="112">
        <f t="shared" si="23"/>
        <v>92</v>
      </c>
      <c r="F141" s="112">
        <f t="shared" si="23"/>
        <v>93</v>
      </c>
      <c r="G141" s="112">
        <f t="shared" si="23"/>
        <v>108</v>
      </c>
      <c r="H141" s="112">
        <f t="shared" si="23"/>
        <v>96</v>
      </c>
      <c r="I141" s="112">
        <f t="shared" si="23"/>
        <v>95</v>
      </c>
      <c r="J141" s="111">
        <f t="shared" si="24"/>
        <v>642</v>
      </c>
    </row>
    <row r="142" spans="2:10" ht="15" customHeight="1">
      <c r="B142" s="114">
        <v>2022</v>
      </c>
      <c r="C142" s="113">
        <f t="shared" si="22"/>
        <v>72</v>
      </c>
      <c r="D142" s="112">
        <f t="shared" si="23"/>
        <v>92</v>
      </c>
      <c r="E142" s="112">
        <f t="shared" si="23"/>
        <v>68</v>
      </c>
      <c r="F142" s="112">
        <f t="shared" si="23"/>
        <v>97</v>
      </c>
      <c r="G142" s="112">
        <f t="shared" si="23"/>
        <v>96</v>
      </c>
      <c r="H142" s="112">
        <f t="shared" si="23"/>
        <v>106</v>
      </c>
      <c r="I142" s="112">
        <f t="shared" si="23"/>
        <v>99</v>
      </c>
      <c r="J142" s="111">
        <f t="shared" si="24"/>
        <v>630</v>
      </c>
    </row>
    <row r="143" spans="2:10" ht="15" customHeight="1">
      <c r="B143" s="114">
        <v>2023</v>
      </c>
      <c r="C143" s="113">
        <f t="shared" si="22"/>
        <v>72</v>
      </c>
      <c r="D143" s="112">
        <f t="shared" si="23"/>
        <v>74</v>
      </c>
      <c r="E143" s="112">
        <f t="shared" si="23"/>
        <v>92</v>
      </c>
      <c r="F143" s="112">
        <f t="shared" si="23"/>
        <v>72</v>
      </c>
      <c r="G143" s="112">
        <f t="shared" si="23"/>
        <v>100</v>
      </c>
      <c r="H143" s="112">
        <f t="shared" si="23"/>
        <v>94</v>
      </c>
      <c r="I143" s="112">
        <f t="shared" si="23"/>
        <v>110</v>
      </c>
      <c r="J143" s="111">
        <f t="shared" si="24"/>
        <v>614</v>
      </c>
    </row>
    <row r="144" spans="2:10" ht="15" customHeight="1">
      <c r="B144" s="114">
        <v>2024</v>
      </c>
      <c r="C144" s="113">
        <f t="shared" si="22"/>
        <v>75</v>
      </c>
      <c r="D144" s="112">
        <f t="shared" si="23"/>
        <v>74</v>
      </c>
      <c r="E144" s="112">
        <f t="shared" si="23"/>
        <v>75</v>
      </c>
      <c r="F144" s="112">
        <f t="shared" si="23"/>
        <v>98</v>
      </c>
      <c r="G144" s="112">
        <f t="shared" si="23"/>
        <v>75</v>
      </c>
      <c r="H144" s="112">
        <f t="shared" si="23"/>
        <v>98</v>
      </c>
      <c r="I144" s="112">
        <f t="shared" si="23"/>
        <v>97</v>
      </c>
      <c r="J144" s="111">
        <f t="shared" si="24"/>
        <v>592</v>
      </c>
    </row>
    <row r="145" spans="2:16" ht="15" customHeight="1">
      <c r="B145" s="114">
        <v>2025</v>
      </c>
      <c r="C145" s="113">
        <f t="shared" si="22"/>
        <v>75</v>
      </c>
      <c r="D145" s="112">
        <f t="shared" si="23"/>
        <v>77</v>
      </c>
      <c r="E145" s="112">
        <f t="shared" si="23"/>
        <v>75</v>
      </c>
      <c r="F145" s="112">
        <f t="shared" si="23"/>
        <v>80</v>
      </c>
      <c r="G145" s="112">
        <f t="shared" si="23"/>
        <v>102</v>
      </c>
      <c r="H145" s="112">
        <f t="shared" si="23"/>
        <v>73</v>
      </c>
      <c r="I145" s="112">
        <f t="shared" si="23"/>
        <v>103</v>
      </c>
      <c r="J145" s="111">
        <f t="shared" si="24"/>
        <v>585</v>
      </c>
    </row>
    <row r="146" spans="2:16" ht="15" customHeight="1">
      <c r="B146" s="114">
        <v>2026</v>
      </c>
      <c r="C146" s="113">
        <f t="shared" si="22"/>
        <v>86.323544303797462</v>
      </c>
      <c r="D146" s="112">
        <f t="shared" si="23"/>
        <v>77</v>
      </c>
      <c r="E146" s="112">
        <f t="shared" si="23"/>
        <v>77</v>
      </c>
      <c r="F146" s="112">
        <f t="shared" si="23"/>
        <v>79</v>
      </c>
      <c r="G146" s="112">
        <f t="shared" si="23"/>
        <v>82</v>
      </c>
      <c r="H146" s="112">
        <f t="shared" si="23"/>
        <v>99</v>
      </c>
      <c r="I146" s="112">
        <f t="shared" si="23"/>
        <v>76</v>
      </c>
      <c r="J146" s="111">
        <f t="shared" si="24"/>
        <v>576.32354430379746</v>
      </c>
    </row>
    <row r="147" spans="2:16" ht="15" customHeight="1">
      <c r="B147" s="114">
        <v>2027</v>
      </c>
      <c r="C147" s="113">
        <f t="shared" si="22"/>
        <v>86.323544303797462</v>
      </c>
      <c r="D147" s="112">
        <f t="shared" si="23"/>
        <v>88</v>
      </c>
      <c r="E147" s="112">
        <f t="shared" si="23"/>
        <v>77</v>
      </c>
      <c r="F147" s="112">
        <f t="shared" si="23"/>
        <v>81</v>
      </c>
      <c r="G147" s="112">
        <f t="shared" si="23"/>
        <v>81</v>
      </c>
      <c r="H147" s="112">
        <f t="shared" si="23"/>
        <v>79</v>
      </c>
      <c r="I147" s="112">
        <f t="shared" si="23"/>
        <v>103</v>
      </c>
      <c r="J147" s="111">
        <f t="shared" si="24"/>
        <v>595.32354430379746</v>
      </c>
    </row>
    <row r="148" spans="2:16" ht="15" customHeight="1">
      <c r="B148" s="114">
        <v>2028</v>
      </c>
      <c r="C148" s="113">
        <f t="shared" si="22"/>
        <v>87.301772151898732</v>
      </c>
      <c r="D148" s="112">
        <f t="shared" si="23"/>
        <v>88</v>
      </c>
      <c r="E148" s="112">
        <f t="shared" si="23"/>
        <v>88</v>
      </c>
      <c r="F148" s="112">
        <f t="shared" si="23"/>
        <v>81</v>
      </c>
      <c r="G148" s="112">
        <f t="shared" si="23"/>
        <v>83</v>
      </c>
      <c r="H148" s="112">
        <f t="shared" si="23"/>
        <v>78</v>
      </c>
      <c r="I148" s="112">
        <f t="shared" si="23"/>
        <v>82</v>
      </c>
      <c r="J148" s="111">
        <f t="shared" ref="J148:J152" si="25">SUM(C148:I148)</f>
        <v>587.30177215189872</v>
      </c>
    </row>
    <row r="149" spans="2:16" ht="15" customHeight="1">
      <c r="B149" s="114">
        <v>2029</v>
      </c>
      <c r="C149" s="113">
        <f t="shared" si="22"/>
        <v>87.301772151898732</v>
      </c>
      <c r="D149" s="112">
        <f t="shared" si="23"/>
        <v>89</v>
      </c>
      <c r="E149" s="112">
        <f t="shared" si="23"/>
        <v>88</v>
      </c>
      <c r="F149" s="112">
        <f t="shared" si="23"/>
        <v>93</v>
      </c>
      <c r="G149" s="112">
        <f t="shared" si="23"/>
        <v>83</v>
      </c>
      <c r="H149" s="112">
        <f t="shared" si="23"/>
        <v>80</v>
      </c>
      <c r="I149" s="112">
        <f t="shared" si="23"/>
        <v>81</v>
      </c>
      <c r="J149" s="111">
        <f t="shared" si="25"/>
        <v>601.30177215189872</v>
      </c>
    </row>
    <row r="150" spans="2:16" ht="15" customHeight="1">
      <c r="B150" s="114">
        <v>2030</v>
      </c>
      <c r="C150" s="113">
        <f t="shared" si="22"/>
        <v>87.301772151898732</v>
      </c>
      <c r="D150" s="112">
        <f t="shared" si="23"/>
        <v>89</v>
      </c>
      <c r="E150" s="112">
        <f t="shared" si="23"/>
        <v>89</v>
      </c>
      <c r="F150" s="112">
        <f t="shared" si="23"/>
        <v>93</v>
      </c>
      <c r="G150" s="112">
        <f t="shared" si="23"/>
        <v>96</v>
      </c>
      <c r="H150" s="112">
        <f t="shared" si="23"/>
        <v>80</v>
      </c>
      <c r="I150" s="112">
        <f t="shared" si="23"/>
        <v>83</v>
      </c>
      <c r="J150" s="111">
        <f t="shared" si="25"/>
        <v>617.30177215189872</v>
      </c>
    </row>
    <row r="151" spans="2:16" ht="15" customHeight="1">
      <c r="B151" s="114">
        <v>2031</v>
      </c>
      <c r="C151" s="113">
        <f t="shared" si="22"/>
        <v>87.301772151898732</v>
      </c>
      <c r="D151" s="112">
        <f t="shared" si="23"/>
        <v>89</v>
      </c>
      <c r="E151" s="112">
        <f t="shared" si="23"/>
        <v>89</v>
      </c>
      <c r="F151" s="112">
        <f t="shared" si="23"/>
        <v>94</v>
      </c>
      <c r="G151" s="112">
        <f t="shared" si="23"/>
        <v>96</v>
      </c>
      <c r="H151" s="112">
        <f t="shared" si="23"/>
        <v>93</v>
      </c>
      <c r="I151" s="112">
        <f t="shared" si="23"/>
        <v>83</v>
      </c>
      <c r="J151" s="111">
        <f t="shared" si="25"/>
        <v>631.30177215189872</v>
      </c>
    </row>
    <row r="152" spans="2:16" ht="15" customHeight="1">
      <c r="B152" s="114">
        <v>2032</v>
      </c>
      <c r="C152" s="113">
        <f t="shared" si="22"/>
        <v>87.301772151898732</v>
      </c>
      <c r="D152" s="112">
        <f t="shared" si="23"/>
        <v>89</v>
      </c>
      <c r="E152" s="112">
        <f t="shared" si="23"/>
        <v>89</v>
      </c>
      <c r="F152" s="112">
        <f t="shared" si="23"/>
        <v>94</v>
      </c>
      <c r="G152" s="112">
        <f t="shared" si="23"/>
        <v>97</v>
      </c>
      <c r="H152" s="112">
        <f t="shared" si="23"/>
        <v>93</v>
      </c>
      <c r="I152" s="112">
        <f t="shared" si="23"/>
        <v>96</v>
      </c>
      <c r="J152" s="111">
        <f t="shared" si="25"/>
        <v>645.30177215189872</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666</v>
      </c>
      <c r="D159" s="108">
        <f>J140</f>
        <v>640</v>
      </c>
      <c r="E159" s="108">
        <f>J141</f>
        <v>642</v>
      </c>
      <c r="F159" s="108">
        <f>J142</f>
        <v>630</v>
      </c>
      <c r="G159" s="108">
        <f>J143</f>
        <v>614</v>
      </c>
      <c r="H159" s="108">
        <f>J144</f>
        <v>592</v>
      </c>
      <c r="I159" s="108">
        <f>J145</f>
        <v>585</v>
      </c>
      <c r="J159" s="108">
        <f>J146</f>
        <v>576.32354430379746</v>
      </c>
      <c r="K159" s="108">
        <f>J147</f>
        <v>595.32354430379746</v>
      </c>
      <c r="L159" s="108">
        <f>J148</f>
        <v>587.30177215189872</v>
      </c>
      <c r="M159" s="108">
        <f>J149</f>
        <v>601.30177215189872</v>
      </c>
      <c r="N159" s="108">
        <f>J150</f>
        <v>617.30177215189872</v>
      </c>
      <c r="O159" s="108">
        <f>J151</f>
        <v>631.30177215189872</v>
      </c>
      <c r="P159" s="108">
        <f>J152</f>
        <v>645.30177215189872</v>
      </c>
    </row>
    <row r="160" spans="2:16" ht="15" customHeight="1">
      <c r="B160" s="107" t="s">
        <v>152</v>
      </c>
      <c r="C160" s="106">
        <f>VLOOKUP(C159,Capacity!$A$1:$C$645,2,TRUE)</f>
        <v>23</v>
      </c>
      <c r="D160" s="106">
        <f>VLOOKUP(D159,Capacity!$A$1:$C$645,2,TRUE)</f>
        <v>22</v>
      </c>
      <c r="E160" s="106">
        <f>VLOOKUP(E159,Capacity!$A$1:$C$645,2,TRUE)</f>
        <v>22</v>
      </c>
      <c r="F160" s="106">
        <f>VLOOKUP(F159,Capacity!$A$1:$C$645,2,TRUE)</f>
        <v>21</v>
      </c>
      <c r="G160" s="106">
        <f>VLOOKUP(G159,Capacity!$A$1:$C$645,2,TRUE)</f>
        <v>21</v>
      </c>
      <c r="H160" s="106">
        <f>VLOOKUP(H159,Capacity!$A$1:$C$645,2,TRUE)</f>
        <v>21</v>
      </c>
      <c r="I160" s="106">
        <f>VLOOKUP(I159,Capacity!$A$1:$C$645,2,TRUE)</f>
        <v>21</v>
      </c>
      <c r="J160" s="106">
        <f>VLOOKUP(J159,Capacity!$A$1:$C$645,2,TRUE)</f>
        <v>21</v>
      </c>
      <c r="K160" s="106">
        <f>VLOOKUP(K159,Capacity!$A$1:$C$645,2,TRUE)</f>
        <v>21</v>
      </c>
      <c r="L160" s="106">
        <f>VLOOKUP(L159,Capacity!$A$1:$C$645,2,TRUE)</f>
        <v>21</v>
      </c>
      <c r="M160" s="106">
        <f>VLOOKUP(M159,Capacity!$A$1:$C$645,2,TRUE)</f>
        <v>21</v>
      </c>
      <c r="N160" s="106">
        <f>VLOOKUP(N159,Capacity!$A$1:$C$645,2,TRUE)</f>
        <v>21</v>
      </c>
      <c r="O160" s="106">
        <f>VLOOKUP(O159,Capacity!$A$1:$C$645,2,TRUE)</f>
        <v>22</v>
      </c>
      <c r="P160" s="106">
        <f>VLOOKUP(P159,Capacity!$A$1:$C$645,2,TRUE)</f>
        <v>22</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95</v>
      </c>
      <c r="D169" s="97">
        <f>VLOOKUP($E$3,'Catchment Births'!$A$1:$U$90,11,FALSE)</f>
        <v>79</v>
      </c>
      <c r="E169" s="97">
        <f>VLOOKUP($E$3,'Catchment Births'!$A$1:$U$90,12,FALSE)</f>
        <v>81</v>
      </c>
      <c r="F169" s="97">
        <f>VLOOKUP($E$3,'Catchment Births'!$A$1:$U$90,13,FALSE)</f>
        <v>80</v>
      </c>
      <c r="G169" s="97">
        <f>VLOOKUP($E$3,'Catchment Births'!$A$1:$U$90,14,FALSE)</f>
        <v>104</v>
      </c>
      <c r="H169" s="97">
        <f>VLOOKUP($E$3,'Catchment Births'!$A$1:$U$90,15,FALSE)</f>
        <v>83</v>
      </c>
      <c r="I169" s="97">
        <f>VLOOKUP($E$3,'Catchment Births'!$A$1:$U$90,16,FALSE)</f>
        <v>79</v>
      </c>
      <c r="J169" s="97">
        <f>VLOOKUP($E$3,'Catchment Births'!$A$1:$U$90,17,FALSE)</f>
        <v>77</v>
      </c>
      <c r="K169" s="97">
        <f>VLOOKUP($E$3,'Catchment Births'!$A$1:$U$90,18,FALSE)</f>
        <v>78</v>
      </c>
      <c r="L169" s="97">
        <f>VLOOKUP($E$3,'Catchment Births'!$A$1:$U$90,19,FALSE)</f>
        <v>85</v>
      </c>
      <c r="M169" s="97">
        <f>VLOOKUP($E$3,'Catchment Births'!$A$1:$U$90,20,FALSE)</f>
        <v>90</v>
      </c>
      <c r="N169" s="97">
        <f>VLOOKUP($E$3,'Catchment Births'!$A$1:$U$90,21,FALSE)</f>
        <v>64</v>
      </c>
    </row>
    <row r="170" spans="2:14" ht="58.5" customHeight="1">
      <c r="B170" s="103" t="str">
        <f>"P1 "&amp;A35&amp;" Catchment Population (Actual)"</f>
        <v>P1 ND Catchment Population (Actual)</v>
      </c>
      <c r="C170" s="102" t="e">
        <v>#REF!</v>
      </c>
      <c r="D170" s="102">
        <v>76</v>
      </c>
      <c r="E170" s="102">
        <v>77</v>
      </c>
      <c r="F170" s="102">
        <v>85</v>
      </c>
      <c r="G170" s="102">
        <v>82</v>
      </c>
      <c r="H170" s="102">
        <v>76</v>
      </c>
      <c r="I170" s="102">
        <v>74</v>
      </c>
      <c r="J170" s="308">
        <f>VLOOKUP(E3,'Catchment Projections'!A1:BU92,42,FALSE)</f>
        <v>75</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74</v>
      </c>
      <c r="J172" s="96" t="e">
        <f>#REF!</f>
        <v>#REF!</v>
      </c>
      <c r="K172" s="96">
        <f>D51</f>
        <v>91</v>
      </c>
      <c r="L172" s="96">
        <f>E51</f>
        <v>64</v>
      </c>
      <c r="M172" s="96">
        <f>F51</f>
        <v>81</v>
      </c>
      <c r="N172" s="96">
        <f>G51</f>
        <v>70</v>
      </c>
    </row>
    <row r="173" spans="2:14" ht="12.75">
      <c r="B173" s="62"/>
      <c r="C173" s="62"/>
      <c r="D173" s="62"/>
      <c r="E173" s="62"/>
      <c r="F173" s="62"/>
      <c r="G173" s="62"/>
      <c r="H173" s="62"/>
      <c r="I173" s="62"/>
      <c r="J173" s="62"/>
      <c r="K173" s="62"/>
    </row>
    <row r="174" spans="2:14" ht="15" customHeight="1">
      <c r="B174" s="64" t="str">
        <f>"Table 5: "&amp;E3&amp;" Roll by Stage, 2002-2018"</f>
        <v>Table 5: Sciennes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90</v>
      </c>
      <c r="D177" s="93">
        <v>89</v>
      </c>
      <c r="E177" s="93">
        <v>90</v>
      </c>
      <c r="F177" s="93">
        <v>90</v>
      </c>
      <c r="G177" s="93">
        <v>94</v>
      </c>
      <c r="H177" s="93">
        <v>92</v>
      </c>
      <c r="I177" s="93">
        <v>90</v>
      </c>
      <c r="J177" s="92">
        <v>635</v>
      </c>
      <c r="K177" s="62"/>
    </row>
    <row r="178" spans="2:11" ht="15" customHeight="1">
      <c r="B178" s="94">
        <v>2003</v>
      </c>
      <c r="C178" s="93">
        <v>87</v>
      </c>
      <c r="D178" s="93">
        <v>90</v>
      </c>
      <c r="E178" s="93">
        <v>90</v>
      </c>
      <c r="F178" s="93">
        <v>88</v>
      </c>
      <c r="G178" s="93">
        <v>87</v>
      </c>
      <c r="H178" s="93">
        <v>94</v>
      </c>
      <c r="I178" s="93">
        <v>93</v>
      </c>
      <c r="J178" s="92">
        <v>629</v>
      </c>
      <c r="K178" s="62"/>
    </row>
    <row r="179" spans="2:11" customFormat="1" ht="15" customHeight="1">
      <c r="B179" s="94">
        <v>2004</v>
      </c>
      <c r="C179" s="95">
        <v>90</v>
      </c>
      <c r="D179" s="95">
        <v>88</v>
      </c>
      <c r="E179" s="95">
        <v>91</v>
      </c>
      <c r="F179" s="95">
        <v>89</v>
      </c>
      <c r="G179" s="95">
        <v>91</v>
      </c>
      <c r="H179" s="95">
        <v>89</v>
      </c>
      <c r="I179" s="95">
        <v>91</v>
      </c>
      <c r="J179" s="92">
        <v>629</v>
      </c>
      <c r="K179" s="62"/>
    </row>
    <row r="180" spans="2:11" customFormat="1" ht="15" customHeight="1">
      <c r="B180" s="94">
        <v>2005</v>
      </c>
      <c r="C180" s="93">
        <v>89</v>
      </c>
      <c r="D180" s="93">
        <v>84</v>
      </c>
      <c r="E180" s="93">
        <v>88</v>
      </c>
      <c r="F180" s="93">
        <v>85</v>
      </c>
      <c r="G180" s="93">
        <v>82</v>
      </c>
      <c r="H180" s="93">
        <v>90</v>
      </c>
      <c r="I180" s="93">
        <v>88</v>
      </c>
      <c r="J180" s="92">
        <v>606</v>
      </c>
      <c r="K180" s="62"/>
    </row>
    <row r="181" spans="2:11" customFormat="1" ht="15" customHeight="1">
      <c r="B181" s="94">
        <v>2006</v>
      </c>
      <c r="C181" s="93">
        <v>86</v>
      </c>
      <c r="D181" s="93">
        <v>90</v>
      </c>
      <c r="E181" s="93">
        <v>87</v>
      </c>
      <c r="F181" s="93">
        <v>94</v>
      </c>
      <c r="G181" s="93">
        <v>83</v>
      </c>
      <c r="H181" s="93">
        <v>91</v>
      </c>
      <c r="I181" s="93">
        <v>94</v>
      </c>
      <c r="J181" s="92">
        <v>625</v>
      </c>
      <c r="K181" s="62"/>
    </row>
    <row r="182" spans="2:11" customFormat="1" ht="15" customHeight="1">
      <c r="B182" s="94">
        <v>2007</v>
      </c>
      <c r="C182" s="93">
        <v>86</v>
      </c>
      <c r="D182" s="93">
        <v>90</v>
      </c>
      <c r="E182" s="93">
        <v>88</v>
      </c>
      <c r="F182" s="93">
        <v>96</v>
      </c>
      <c r="G182" s="93">
        <v>94</v>
      </c>
      <c r="H182" s="93">
        <v>87</v>
      </c>
      <c r="I182" s="93">
        <v>91</v>
      </c>
      <c r="J182" s="92">
        <v>632</v>
      </c>
      <c r="K182" s="62"/>
    </row>
    <row r="183" spans="2:11" customFormat="1" ht="15" customHeight="1">
      <c r="B183" s="94">
        <v>2008</v>
      </c>
      <c r="C183" s="93">
        <v>75</v>
      </c>
      <c r="D183" s="93">
        <v>90</v>
      </c>
      <c r="E183" s="93">
        <v>88</v>
      </c>
      <c r="F183" s="93">
        <v>91</v>
      </c>
      <c r="G183" s="93">
        <v>99</v>
      </c>
      <c r="H183" s="93">
        <v>96</v>
      </c>
      <c r="I183" s="93">
        <v>76</v>
      </c>
      <c r="J183" s="92">
        <v>615</v>
      </c>
      <c r="K183" s="62"/>
    </row>
    <row r="184" spans="2:11" customFormat="1" ht="15" customHeight="1">
      <c r="B184" s="94">
        <v>2009</v>
      </c>
      <c r="C184" s="93">
        <v>108</v>
      </c>
      <c r="D184" s="93">
        <v>74</v>
      </c>
      <c r="E184" s="93">
        <v>88</v>
      </c>
      <c r="F184" s="93">
        <v>91</v>
      </c>
      <c r="G184" s="93">
        <v>92</v>
      </c>
      <c r="H184" s="93">
        <v>98</v>
      </c>
      <c r="I184" s="93">
        <v>92</v>
      </c>
      <c r="J184" s="94">
        <v>643</v>
      </c>
      <c r="K184" s="62"/>
    </row>
    <row r="185" spans="2:11" customFormat="1" ht="15" customHeight="1">
      <c r="B185" s="94">
        <v>2010</v>
      </c>
      <c r="C185" s="93">
        <v>90</v>
      </c>
      <c r="D185" s="93">
        <v>103</v>
      </c>
      <c r="E185" s="93">
        <v>77</v>
      </c>
      <c r="F185" s="93">
        <v>93</v>
      </c>
      <c r="G185" s="93">
        <v>88</v>
      </c>
      <c r="H185" s="93">
        <v>90</v>
      </c>
      <c r="I185" s="93">
        <v>90</v>
      </c>
      <c r="J185" s="92">
        <v>631</v>
      </c>
      <c r="K185" s="62"/>
    </row>
    <row r="186" spans="2:11" customFormat="1" ht="15" customHeight="1">
      <c r="B186" s="94">
        <v>2011</v>
      </c>
      <c r="C186" s="93">
        <v>90</v>
      </c>
      <c r="D186" s="93">
        <v>89</v>
      </c>
      <c r="E186" s="93">
        <v>99</v>
      </c>
      <c r="F186" s="93">
        <v>83</v>
      </c>
      <c r="G186" s="93">
        <v>96</v>
      </c>
      <c r="H186" s="93">
        <v>96</v>
      </c>
      <c r="I186" s="93">
        <v>89</v>
      </c>
      <c r="J186" s="92">
        <v>642</v>
      </c>
      <c r="K186" s="62"/>
    </row>
    <row r="187" spans="2:11" customFormat="1" ht="15" customHeight="1">
      <c r="B187" s="94">
        <v>2012</v>
      </c>
      <c r="C187" s="93">
        <v>90</v>
      </c>
      <c r="D187" s="93">
        <v>90</v>
      </c>
      <c r="E187" s="93">
        <v>89</v>
      </c>
      <c r="F187" s="93">
        <v>99</v>
      </c>
      <c r="G187" s="93">
        <v>83</v>
      </c>
      <c r="H187" s="93">
        <v>94</v>
      </c>
      <c r="I187" s="93">
        <v>89</v>
      </c>
      <c r="J187" s="92">
        <v>634</v>
      </c>
      <c r="K187" s="62"/>
    </row>
    <row r="188" spans="2:11" customFormat="1" ht="15" customHeight="1">
      <c r="B188" s="94">
        <v>2013</v>
      </c>
      <c r="C188" s="93">
        <v>89</v>
      </c>
      <c r="D188" s="93">
        <v>90</v>
      </c>
      <c r="E188" s="93">
        <v>90</v>
      </c>
      <c r="F188" s="93">
        <v>91</v>
      </c>
      <c r="G188" s="93">
        <v>99</v>
      </c>
      <c r="H188" s="93">
        <v>83</v>
      </c>
      <c r="I188" s="93">
        <v>96</v>
      </c>
      <c r="J188" s="94">
        <v>638</v>
      </c>
      <c r="K188" s="62"/>
    </row>
    <row r="189" spans="2:11" customFormat="1" ht="15" customHeight="1">
      <c r="B189" s="94">
        <v>2014</v>
      </c>
      <c r="C189" s="93">
        <v>90</v>
      </c>
      <c r="D189" s="93">
        <v>91</v>
      </c>
      <c r="E189" s="93">
        <v>88</v>
      </c>
      <c r="F189" s="93">
        <v>90</v>
      </c>
      <c r="G189" s="93">
        <v>96</v>
      </c>
      <c r="H189" s="93">
        <v>96</v>
      </c>
      <c r="I189" s="93">
        <v>86</v>
      </c>
      <c r="J189" s="92">
        <v>637</v>
      </c>
      <c r="K189" s="65"/>
    </row>
    <row r="190" spans="2:11" customFormat="1" ht="15" customHeight="1">
      <c r="B190" s="94">
        <v>2015</v>
      </c>
      <c r="C190" s="93">
        <v>84</v>
      </c>
      <c r="D190" s="93">
        <v>87</v>
      </c>
      <c r="E190" s="93">
        <v>91</v>
      </c>
      <c r="F190" s="93">
        <v>96</v>
      </c>
      <c r="G190" s="93">
        <v>98</v>
      </c>
      <c r="H190" s="93">
        <v>99</v>
      </c>
      <c r="I190" s="93">
        <v>91</v>
      </c>
      <c r="J190" s="92">
        <v>646</v>
      </c>
      <c r="K190" s="65"/>
    </row>
    <row r="191" spans="2:11" customFormat="1" ht="15" customHeight="1">
      <c r="B191" s="94">
        <v>2016</v>
      </c>
      <c r="C191" s="93">
        <v>86</v>
      </c>
      <c r="D191" s="93">
        <v>89</v>
      </c>
      <c r="E191" s="93">
        <v>89</v>
      </c>
      <c r="F191" s="93">
        <v>96</v>
      </c>
      <c r="G191" s="93">
        <v>96</v>
      </c>
      <c r="H191" s="93">
        <v>94</v>
      </c>
      <c r="I191" s="93">
        <v>97</v>
      </c>
      <c r="J191" s="92">
        <v>647</v>
      </c>
      <c r="K191" s="65"/>
    </row>
    <row r="192" spans="2:11" ht="15" customHeight="1">
      <c r="B192" s="94">
        <v>2017</v>
      </c>
      <c r="C192" s="93">
        <f>VLOOKUP($E$3,Rolls!A1:FA90,42,FALSE)</f>
        <v>97</v>
      </c>
      <c r="D192" s="93">
        <f>VLOOKUP($E$3,Rolls!A1:FA90,43,FALSE)</f>
        <v>88</v>
      </c>
      <c r="E192" s="93">
        <f>VLOOKUP($E$3,Rolls!A1:FA90,44,FALSE)</f>
        <v>89</v>
      </c>
      <c r="F192" s="93">
        <f>VLOOKUP($E$3,Rolls!A1:FA90,45,FALSE)</f>
        <v>97</v>
      </c>
      <c r="G192" s="93">
        <f>VLOOKUP($E$3,Rolls!A1:FA90,46,FALSE)</f>
        <v>99</v>
      </c>
      <c r="H192" s="93">
        <f>VLOOKUP($E$3,Rolls!A1:FA90,47,FALSE)</f>
        <v>94</v>
      </c>
      <c r="I192" s="93">
        <f>VLOOKUP($E$3,Rolls!A1:FA90,48,FALSE)</f>
        <v>98</v>
      </c>
      <c r="J192" s="92">
        <f>VLOOKUP($E$3,Rolls!A1:FA90,49,FALSE)</f>
        <v>662</v>
      </c>
      <c r="K192" s="65"/>
    </row>
    <row r="193" spans="2:11" ht="15" customHeight="1">
      <c r="B193" s="94">
        <v>2018</v>
      </c>
      <c r="C193" s="93">
        <f>VLOOKUP($E$3,Rolls!A1:FA90,50,FALSE)</f>
        <v>86</v>
      </c>
      <c r="D193" s="93">
        <f>VLOOKUP($E$3,Rolls!A1:FA90,51,FALSE)</f>
        <v>100</v>
      </c>
      <c r="E193" s="93">
        <f>VLOOKUP($E$3,Rolls!A1:FA90,52,FALSE)</f>
        <v>90</v>
      </c>
      <c r="F193" s="93">
        <f>VLOOKUP($E$3,Rolls!A1:FA90,53,FALSE)</f>
        <v>91</v>
      </c>
      <c r="G193" s="93">
        <f>VLOOKUP($E$3,Rolls!A1:FA90,54,FALSE)</f>
        <v>98</v>
      </c>
      <c r="H193" s="93">
        <f>VLOOKUP($E$3,Rolls!A1:FA90,55,FALSE)</f>
        <v>99</v>
      </c>
      <c r="I193" s="93">
        <f>VLOOKUP($E$3,Rolls!A1:FA90,56,FALSE)</f>
        <v>98</v>
      </c>
      <c r="J193" s="92">
        <f>VLOOKUP($E$3,Rolls!A1:FA90,57,FALSE)</f>
        <v>662</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63</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Sighthill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294 Pupils (11 classes)</v>
      </c>
      <c r="G12" s="16"/>
      <c r="H12" s="16"/>
    </row>
    <row r="13" spans="2:10" ht="15" customHeight="1">
      <c r="C13" s="16"/>
      <c r="D13" s="16"/>
      <c r="E13" s="16"/>
      <c r="F13" s="16"/>
      <c r="G13" s="16"/>
      <c r="H13" s="16"/>
    </row>
    <row r="14" spans="2:10" ht="15" customHeight="1">
      <c r="B14" s="15" t="str">
        <f>"Figure 1: "&amp;E3&amp;" Roll, 2002-2015"</f>
        <v>Figure 1: Sighthill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Sighthill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50</v>
      </c>
      <c r="E49" s="108">
        <f>VLOOKUP($E$3,'Catchment Projections'!$A$1:$BU$90,46,FALSE)</f>
        <v>55</v>
      </c>
      <c r="F49" s="108">
        <f>VLOOKUP($E$3,'Catchment Projections'!$A$1:$BU$90,47,FALSE)</f>
        <v>36</v>
      </c>
      <c r="G49" s="108">
        <f>VLOOKUP($E$3,'Catchment Projections'!$A$1:$BU$90,48,FALSE)</f>
        <v>40</v>
      </c>
      <c r="H49" s="133">
        <f>VLOOKUP($E$3,'Catchment Projections'!$A$1:$BU$90,49,FALSE)</f>
        <v>44</v>
      </c>
      <c r="I49" s="133">
        <f>VLOOKUP($E$3,'Catchment Projections'!$A$1:$BU$90,50,FALSE)</f>
        <v>44</v>
      </c>
      <c r="J49" s="133">
        <f>VLOOKUP($E$3,'Catchment Projections'!$A$1:$BU$90,51,FALSE)</f>
        <v>45</v>
      </c>
      <c r="K49" s="133">
        <f>VLOOKUP($E$3,'Catchment Projections'!$A$1:$BU$90,52,FALSE)</f>
        <v>45</v>
      </c>
      <c r="L49" s="133">
        <f>VLOOKUP($E$3,'Catchment Projections'!$A$1:$BU$90,53,FALSE)</f>
        <v>46</v>
      </c>
      <c r="M49" s="133">
        <f>VLOOKUP($E$3,'Catchment Projections'!$A$1:$BU$90,54,FALSE)</f>
        <v>46</v>
      </c>
      <c r="N49" s="133">
        <f>VLOOKUP($E$3,'Catchment Projections'!$A$1:$BU$90,55,FALSE)</f>
        <v>46</v>
      </c>
      <c r="O49" s="133">
        <f>VLOOKUP($E$3,'Catchment Projections'!$A$1:$BU$90,56,FALSE)</f>
        <v>46</v>
      </c>
      <c r="P49" s="133">
        <f>VLOOKUP($E$3,'Catchment Projections'!$A$1:$BU$90,57,FALSE)</f>
        <v>46</v>
      </c>
      <c r="Q49" s="133">
        <f>VLOOKUP($E$3,'Catchment Projections'!$A$1:$BU$90,58,FALSE)</f>
        <v>46</v>
      </c>
    </row>
    <row r="50" spans="2:17" ht="15" customHeight="1" thickBot="1">
      <c r="B50" s="410" t="s">
        <v>141</v>
      </c>
      <c r="C50" s="411"/>
      <c r="D50" s="286">
        <f>VLOOKUP(E3,'Housing Generation'!$A$3:$DQ$90,10,FALSE)</f>
        <v>1</v>
      </c>
      <c r="E50" s="286">
        <f>VLOOKUP(E3,'Housing Generation'!$A$3:$DQ$90,18,FALSE)</f>
        <v>1</v>
      </c>
      <c r="F50" s="286">
        <f>VLOOKUP(E3,'Housing Generation'!$A$3:$DQ$90,26,FALSE)</f>
        <v>1</v>
      </c>
      <c r="G50" s="243">
        <f>VLOOKUP(E3,'Housing Generation'!$A$3:$DQ$90,34,FALSE)</f>
        <v>1</v>
      </c>
      <c r="H50" s="133">
        <f>VLOOKUP(E3,'Housing Generation'!$A$3:$DQ$90,42,FALSE)</f>
        <v>1</v>
      </c>
      <c r="I50" s="133">
        <f>VLOOKUP(E3,'Housing Generation'!$A$3:$DQ$90,50,FALSE)</f>
        <v>1</v>
      </c>
      <c r="J50" s="133">
        <f>VLOOKUP(E3,'Housing Generation'!$A$3:$CK$90,58,FALSE)</f>
        <v>1</v>
      </c>
      <c r="K50" s="133">
        <f>VLOOKUP(E3,'Housing Generation'!$A$3:$CK$90,66,FALSE)</f>
        <v>1</v>
      </c>
      <c r="L50" s="133">
        <f>VLOOKUP(E3,'Housing Generation'!$A$3:$DQ$90,74,FALSE)</f>
        <v>1</v>
      </c>
      <c r="M50" s="133">
        <f>VLOOKUP(E3,'Housing Generation'!$A$3:$DQ$90,82,FALSE)</f>
        <v>1</v>
      </c>
      <c r="N50" s="133">
        <f>VLOOKUP(E3,'Housing Generation'!$A$3:$DQ$90,90,FALSE)</f>
        <v>1</v>
      </c>
      <c r="O50" s="133">
        <f>VLOOKUP(E3,'Housing Generation'!$A$3:$DQ$90,98,FALSE)</f>
        <v>1</v>
      </c>
      <c r="P50" s="133">
        <f>VLOOKUP(E3,'Housing Generation'!$A$3:$DQ$90,106,FALSE)</f>
        <v>1</v>
      </c>
      <c r="Q50" s="133">
        <f>VLOOKUP(E3,'Housing Generation'!$A$3:$DQ$90,114,FALSE)</f>
        <v>1</v>
      </c>
    </row>
    <row r="51" spans="2:17" ht="15" customHeight="1" thickTop="1">
      <c r="B51" s="421" t="s">
        <v>130</v>
      </c>
      <c r="C51" s="422"/>
      <c r="D51" s="47">
        <f t="shared" ref="D51:Q51" si="0">SUM(D49:D50)</f>
        <v>51</v>
      </c>
      <c r="E51" s="47">
        <f t="shared" si="0"/>
        <v>56</v>
      </c>
      <c r="F51" s="80">
        <f t="shared" si="0"/>
        <v>37</v>
      </c>
      <c r="G51" s="244">
        <f t="shared" si="0"/>
        <v>41</v>
      </c>
      <c r="H51" s="71">
        <f t="shared" si="0"/>
        <v>45</v>
      </c>
      <c r="I51" s="71">
        <f t="shared" si="0"/>
        <v>45</v>
      </c>
      <c r="J51" s="71">
        <f t="shared" si="0"/>
        <v>46</v>
      </c>
      <c r="K51" s="71">
        <f t="shared" si="0"/>
        <v>46</v>
      </c>
      <c r="L51" s="71">
        <f t="shared" si="0"/>
        <v>47</v>
      </c>
      <c r="M51" s="71">
        <f t="shared" si="0"/>
        <v>47</v>
      </c>
      <c r="N51" s="71">
        <f t="shared" si="0"/>
        <v>47</v>
      </c>
      <c r="O51" s="71">
        <f t="shared" si="0"/>
        <v>47</v>
      </c>
      <c r="P51" s="71">
        <f t="shared" si="0"/>
        <v>47</v>
      </c>
      <c r="Q51" s="71">
        <f t="shared" si="0"/>
        <v>47</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58</v>
      </c>
      <c r="D60" s="358">
        <f>VLOOKUP($E$3,'Catchment Projections'!$A$1:$BZ$90,74,FALSE)</f>
        <v>41</v>
      </c>
      <c r="E60" s="303">
        <f>D60/C60</f>
        <v>0.7068965517241379</v>
      </c>
      <c r="G60" s="132">
        <v>2014</v>
      </c>
      <c r="H60" s="395">
        <f>VLOOKUP($G$60,$B$177:$C$215, 2, FALSE)</f>
        <v>49</v>
      </c>
      <c r="I60" s="120">
        <f>H60-D60</f>
        <v>8</v>
      </c>
      <c r="J60" s="121">
        <f>I60/H60</f>
        <v>0.16326530612244897</v>
      </c>
    </row>
    <row r="61" spans="2:17" ht="15" customHeight="1">
      <c r="B61" s="132">
        <v>2015</v>
      </c>
      <c r="C61" s="359">
        <f>VLOOKUP($E$3,'Catchment Projections'!$A$1:$BZ$90,41,FALSE)</f>
        <v>60</v>
      </c>
      <c r="D61" s="358">
        <f>VLOOKUP($E$3,'Catchment Projections'!$A$1:$BZ$90,75,FALSE)</f>
        <v>41</v>
      </c>
      <c r="E61" s="303">
        <f>D61/C61</f>
        <v>0.68333333333333335</v>
      </c>
      <c r="G61" s="132">
        <v>2015</v>
      </c>
      <c r="H61" s="395">
        <f>VLOOKUP($G$61,$B$177:$C$215, 2, FALSE)</f>
        <v>44</v>
      </c>
      <c r="I61" s="120">
        <f>H61-D61</f>
        <v>3</v>
      </c>
      <c r="J61" s="121">
        <f>I61/H61</f>
        <v>6.8181818181818177E-2</v>
      </c>
    </row>
    <row r="62" spans="2:17" ht="15" customHeight="1">
      <c r="B62" s="131">
        <v>2016</v>
      </c>
      <c r="C62" s="359">
        <f>VLOOKUP($E$3,'Catchment Projections'!$A$1:$BZ$90,42,FALSE)</f>
        <v>53</v>
      </c>
      <c r="D62" s="358">
        <f>VLOOKUP($E$3,'Catchment Projections'!$A$1:$BZ$90,76,FALSE)</f>
        <v>32</v>
      </c>
      <c r="E62" s="57">
        <f>D62/C62</f>
        <v>0.60377358490566035</v>
      </c>
      <c r="G62" s="131">
        <v>2016</v>
      </c>
      <c r="H62" s="395">
        <f>VLOOKUP($G$62,$B$177:$C$215, 2, FALSE)</f>
        <v>38</v>
      </c>
      <c r="I62" s="120">
        <f>H62-D62</f>
        <v>6</v>
      </c>
      <c r="J62" s="121">
        <f>I62/H62</f>
        <v>0.15789473684210525</v>
      </c>
    </row>
    <row r="63" spans="2:17" ht="15" customHeight="1">
      <c r="B63" s="114">
        <v>2017</v>
      </c>
      <c r="C63" s="359">
        <f>VLOOKUP($E$3,'Catchment Projections'!$A$1:$BZ$90,43,FALSE)</f>
        <v>60</v>
      </c>
      <c r="D63" s="358">
        <f>VLOOKUP($E$3,'Catchment Projections'!$A$1:$BZ$90,77,FALSE)</f>
        <v>42</v>
      </c>
      <c r="E63" s="304">
        <f>D63/C63</f>
        <v>0.7</v>
      </c>
      <c r="G63" s="114">
        <v>2017</v>
      </c>
      <c r="H63" s="395">
        <f>VLOOKUP($G$63,$B$177:$C$215, 2, FALSE)</f>
        <v>46</v>
      </c>
      <c r="I63" s="120">
        <f>H63-D63</f>
        <v>4</v>
      </c>
      <c r="J63" s="121">
        <f>I63/H63</f>
        <v>8.6956521739130432E-2</v>
      </c>
    </row>
    <row r="64" spans="2:17" ht="15" customHeight="1">
      <c r="B64" s="114">
        <v>2018</v>
      </c>
      <c r="C64" s="359">
        <f>VLOOKUP($E$3,'Catchment Projections'!$A$1:$BZ$90,44,FALSE)</f>
        <v>57</v>
      </c>
      <c r="D64" s="358">
        <f>VLOOKUP($E$3,'Catchment Projections'!$A$1:$BZ$90,78,FALSE)</f>
        <v>42</v>
      </c>
      <c r="E64" s="305">
        <f>D64/C64</f>
        <v>0.73684210526315785</v>
      </c>
      <c r="G64" s="114">
        <v>2018</v>
      </c>
      <c r="H64" s="395">
        <f>VLOOKUP($G$64,$B$177:$C$215, 2, FALSE)</f>
        <v>42</v>
      </c>
      <c r="I64" s="120">
        <f>H64-D64</f>
        <v>0</v>
      </c>
      <c r="J64" s="121">
        <f>I64/H64</f>
        <v>0</v>
      </c>
    </row>
    <row r="65" spans="2:10" ht="15" customHeight="1">
      <c r="B65" s="412" t="s">
        <v>136</v>
      </c>
      <c r="C65" s="413"/>
      <c r="D65" s="414"/>
      <c r="E65" s="137">
        <f>IF((AVERAGE(E62:E64))="#DIV/0!","n/a",(AVERAGE(E62:E64)))</f>
        <v>0.68020523005627276</v>
      </c>
      <c r="G65" s="415" t="s">
        <v>137</v>
      </c>
      <c r="H65" s="416"/>
      <c r="I65" s="138">
        <f>MEDIAN(I60:I64)</f>
        <v>4</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51</v>
      </c>
      <c r="D70" s="408"/>
      <c r="E70" s="122">
        <f>E65</f>
        <v>0.68020523005627276</v>
      </c>
      <c r="F70" s="120">
        <f t="shared" ref="F70:F83" si="1">C70*$E$65</f>
        <v>34.690466732869908</v>
      </c>
      <c r="G70" s="118">
        <f>IF(F70&lt;26,25,IF(F70&gt;135,140,IF(F70&gt;130,135,IF(F70&gt;125,130,IF(F70&gt;120,125,IF(F70&gt;115,120,IF(F70&gt;110,115,IF(F70&gt;105,110,IF(F70&gt;100,105,IF(F70&gt;99,100,IF(F70&gt;90,99,IF(F70&gt;75,90,IF(F70&gt;72,75,IF(F70&gt;66,72,IF(F70&gt;60,66,IF(F70&gt;50,60,IF(F70&gt;30,50,IF(F70&gt;25,30,0))))))))))))))))))</f>
        <v>50</v>
      </c>
      <c r="H70" s="119">
        <f t="shared" ref="H70:H83" si="2">G70-F70</f>
        <v>15.309533267130092</v>
      </c>
      <c r="I70" s="118" t="str">
        <f>IF(I$65&lt;H70, "NO", "YES")</f>
        <v>NO</v>
      </c>
      <c r="J70" s="117">
        <f t="shared" ref="J70:J83" si="3">IF(I70="YES",G70,(MIN((SUM(F70,$I$65)),G70)))</f>
        <v>38.690466732869908</v>
      </c>
    </row>
    <row r="71" spans="2:10" ht="15" customHeight="1">
      <c r="B71" s="114">
        <v>2020</v>
      </c>
      <c r="C71" s="433">
        <f>E51</f>
        <v>56</v>
      </c>
      <c r="D71" s="408"/>
      <c r="E71" s="121">
        <f>E65</f>
        <v>0.68020523005627276</v>
      </c>
      <c r="F71" s="120">
        <f t="shared" si="1"/>
        <v>38.091492883151275</v>
      </c>
      <c r="G71" s="118">
        <f t="shared" ref="G71:G83" si="4">IF(F71&lt;26,25,IF(F71&gt;135,140,IF(F71&gt;130,135,IF(F71&gt;125,130,IF(F71&gt;120,125,IF(F71&gt;115,120,IF(F71&gt;110,115,IF(F71&gt;105,110,IF(F71&gt;100,105,IF(F71&gt;99,100,IF(F71&gt;90,99,IF(F71&gt;75,90,IF(F71&gt;72,75,IF(F71&gt;66,72,IF(F71&gt;60,66,IF(F71&gt;50,60,IF(F71&gt;30,50,IF(F71&gt;25,30,0))))))))))))))))))</f>
        <v>50</v>
      </c>
      <c r="H71" s="119">
        <f t="shared" si="2"/>
        <v>11.908507116848725</v>
      </c>
      <c r="I71" s="118" t="str">
        <f t="shared" ref="I71:I83" si="5">IF(I$65&lt;H71, "NO", "YES")</f>
        <v>NO</v>
      </c>
      <c r="J71" s="117">
        <f t="shared" si="3"/>
        <v>42.091492883151275</v>
      </c>
    </row>
    <row r="72" spans="2:10" ht="15" customHeight="1">
      <c r="B72" s="114">
        <v>2021</v>
      </c>
      <c r="C72" s="430">
        <f>F51</f>
        <v>37</v>
      </c>
      <c r="D72" s="431"/>
      <c r="E72" s="121">
        <f>E65</f>
        <v>0.68020523005627276</v>
      </c>
      <c r="F72" s="120">
        <f t="shared" si="1"/>
        <v>25.167593512082092</v>
      </c>
      <c r="G72" s="118">
        <f t="shared" si="4"/>
        <v>25</v>
      </c>
      <c r="H72" s="119">
        <f t="shared" si="2"/>
        <v>-0.16759351208209239</v>
      </c>
      <c r="I72" s="118" t="str">
        <f t="shared" si="5"/>
        <v>YES</v>
      </c>
      <c r="J72" s="117">
        <f t="shared" si="3"/>
        <v>25</v>
      </c>
    </row>
    <row r="73" spans="2:10" ht="15" customHeight="1">
      <c r="B73" s="114">
        <v>2022</v>
      </c>
      <c r="C73" s="430">
        <f>G51</f>
        <v>41</v>
      </c>
      <c r="D73" s="431"/>
      <c r="E73" s="121">
        <f>E65</f>
        <v>0.68020523005627276</v>
      </c>
      <c r="F73" s="120">
        <f t="shared" si="1"/>
        <v>27.888414432307183</v>
      </c>
      <c r="G73" s="118">
        <f t="shared" si="4"/>
        <v>30</v>
      </c>
      <c r="H73" s="119">
        <f t="shared" si="2"/>
        <v>2.111585567692817</v>
      </c>
      <c r="I73" s="118" t="str">
        <f t="shared" si="5"/>
        <v>YES</v>
      </c>
      <c r="J73" s="117">
        <f t="shared" si="3"/>
        <v>30</v>
      </c>
    </row>
    <row r="74" spans="2:10" ht="15" customHeight="1">
      <c r="B74" s="114">
        <v>2023</v>
      </c>
      <c r="C74" s="430">
        <f>H51</f>
        <v>45</v>
      </c>
      <c r="D74" s="431"/>
      <c r="E74" s="121">
        <f>E65</f>
        <v>0.68020523005627276</v>
      </c>
      <c r="F74" s="120">
        <f t="shared" si="1"/>
        <v>30.609235352532274</v>
      </c>
      <c r="G74" s="118">
        <f t="shared" si="4"/>
        <v>50</v>
      </c>
      <c r="H74" s="119">
        <f t="shared" si="2"/>
        <v>19.390764647467726</v>
      </c>
      <c r="I74" s="118" t="str">
        <f t="shared" si="5"/>
        <v>NO</v>
      </c>
      <c r="J74" s="117">
        <f t="shared" si="3"/>
        <v>34.609235352532274</v>
      </c>
    </row>
    <row r="75" spans="2:10" ht="15" customHeight="1">
      <c r="B75" s="114">
        <v>2024</v>
      </c>
      <c r="C75" s="430">
        <f>I51</f>
        <v>45</v>
      </c>
      <c r="D75" s="431"/>
      <c r="E75" s="121">
        <f>E65</f>
        <v>0.68020523005627276</v>
      </c>
      <c r="F75" s="120">
        <f t="shared" si="1"/>
        <v>30.609235352532274</v>
      </c>
      <c r="G75" s="118">
        <f t="shared" si="4"/>
        <v>50</v>
      </c>
      <c r="H75" s="119">
        <f t="shared" si="2"/>
        <v>19.390764647467726</v>
      </c>
      <c r="I75" s="118" t="str">
        <f t="shared" si="5"/>
        <v>NO</v>
      </c>
      <c r="J75" s="117">
        <f t="shared" si="3"/>
        <v>34.609235352532274</v>
      </c>
    </row>
    <row r="76" spans="2:10" ht="15" customHeight="1">
      <c r="B76" s="114">
        <v>2025</v>
      </c>
      <c r="C76" s="430">
        <f>J51</f>
        <v>46</v>
      </c>
      <c r="D76" s="431"/>
      <c r="E76" s="121">
        <f>E65</f>
        <v>0.68020523005627276</v>
      </c>
      <c r="F76" s="120">
        <f t="shared" si="1"/>
        <v>31.289440582588547</v>
      </c>
      <c r="G76" s="118">
        <f t="shared" si="4"/>
        <v>50</v>
      </c>
      <c r="H76" s="119">
        <f t="shared" si="2"/>
        <v>18.710559417411453</v>
      </c>
      <c r="I76" s="118" t="str">
        <f t="shared" si="5"/>
        <v>NO</v>
      </c>
      <c r="J76" s="117">
        <f t="shared" si="3"/>
        <v>35.289440582588547</v>
      </c>
    </row>
    <row r="77" spans="2:10" ht="15" customHeight="1">
      <c r="B77" s="114">
        <v>2026</v>
      </c>
      <c r="C77" s="430">
        <f>K51</f>
        <v>46</v>
      </c>
      <c r="D77" s="431"/>
      <c r="E77" s="121">
        <f>E65</f>
        <v>0.68020523005627276</v>
      </c>
      <c r="F77" s="120">
        <f t="shared" si="1"/>
        <v>31.289440582588547</v>
      </c>
      <c r="G77" s="118">
        <f t="shared" si="4"/>
        <v>50</v>
      </c>
      <c r="H77" s="119">
        <f t="shared" si="2"/>
        <v>18.710559417411453</v>
      </c>
      <c r="I77" s="118" t="str">
        <f t="shared" si="5"/>
        <v>NO</v>
      </c>
      <c r="J77" s="117">
        <f t="shared" si="3"/>
        <v>35.289440582588547</v>
      </c>
    </row>
    <row r="78" spans="2:10" ht="15" customHeight="1">
      <c r="B78" s="114">
        <v>2027</v>
      </c>
      <c r="C78" s="430">
        <f>L51</f>
        <v>47</v>
      </c>
      <c r="D78" s="431"/>
      <c r="E78" s="121">
        <f>E65</f>
        <v>0.68020523005627276</v>
      </c>
      <c r="F78" s="120">
        <f t="shared" si="1"/>
        <v>31.969645812644821</v>
      </c>
      <c r="G78" s="118">
        <f t="shared" si="4"/>
        <v>50</v>
      </c>
      <c r="H78" s="119">
        <f t="shared" si="2"/>
        <v>18.030354187355179</v>
      </c>
      <c r="I78" s="118" t="str">
        <f t="shared" si="5"/>
        <v>NO</v>
      </c>
      <c r="J78" s="117">
        <f t="shared" si="3"/>
        <v>35.969645812644821</v>
      </c>
    </row>
    <row r="79" spans="2:10" ht="15" customHeight="1">
      <c r="B79" s="114">
        <v>2028</v>
      </c>
      <c r="C79" s="430">
        <f>M51</f>
        <v>47</v>
      </c>
      <c r="D79" s="431"/>
      <c r="E79" s="121">
        <f t="shared" ref="E79:E83" si="6">$E$65</f>
        <v>0.68020523005627276</v>
      </c>
      <c r="F79" s="120">
        <f t="shared" si="1"/>
        <v>31.969645812644821</v>
      </c>
      <c r="G79" s="118">
        <f t="shared" si="4"/>
        <v>50</v>
      </c>
      <c r="H79" s="119">
        <f t="shared" si="2"/>
        <v>18.030354187355179</v>
      </c>
      <c r="I79" s="118" t="str">
        <f t="shared" si="5"/>
        <v>NO</v>
      </c>
      <c r="J79" s="117">
        <f t="shared" si="3"/>
        <v>35.969645812644821</v>
      </c>
    </row>
    <row r="80" spans="2:10" ht="15" customHeight="1">
      <c r="B80" s="114">
        <v>2029</v>
      </c>
      <c r="C80" s="430">
        <f>N51</f>
        <v>47</v>
      </c>
      <c r="D80" s="431"/>
      <c r="E80" s="121">
        <f t="shared" si="6"/>
        <v>0.68020523005627276</v>
      </c>
      <c r="F80" s="120">
        <f t="shared" si="1"/>
        <v>31.969645812644821</v>
      </c>
      <c r="G80" s="118">
        <f t="shared" si="4"/>
        <v>50</v>
      </c>
      <c r="H80" s="119">
        <f t="shared" si="2"/>
        <v>18.030354187355179</v>
      </c>
      <c r="I80" s="118" t="str">
        <f t="shared" si="5"/>
        <v>NO</v>
      </c>
      <c r="J80" s="117">
        <f t="shared" si="3"/>
        <v>35.969645812644821</v>
      </c>
    </row>
    <row r="81" spans="2:10" ht="15" customHeight="1">
      <c r="B81" s="114">
        <v>2030</v>
      </c>
      <c r="C81" s="430">
        <f>O51</f>
        <v>47</v>
      </c>
      <c r="D81" s="431"/>
      <c r="E81" s="121">
        <f t="shared" si="6"/>
        <v>0.68020523005627276</v>
      </c>
      <c r="F81" s="120">
        <f t="shared" si="1"/>
        <v>31.969645812644821</v>
      </c>
      <c r="G81" s="118">
        <f t="shared" si="4"/>
        <v>50</v>
      </c>
      <c r="H81" s="119">
        <f t="shared" si="2"/>
        <v>18.030354187355179</v>
      </c>
      <c r="I81" s="118" t="str">
        <f t="shared" si="5"/>
        <v>NO</v>
      </c>
      <c r="J81" s="117">
        <f t="shared" si="3"/>
        <v>35.969645812644821</v>
      </c>
    </row>
    <row r="82" spans="2:10" ht="15" customHeight="1">
      <c r="B82" s="114">
        <v>2031</v>
      </c>
      <c r="C82" s="430">
        <f>P51</f>
        <v>47</v>
      </c>
      <c r="D82" s="431"/>
      <c r="E82" s="121">
        <f t="shared" si="6"/>
        <v>0.68020523005627276</v>
      </c>
      <c r="F82" s="120">
        <f t="shared" si="1"/>
        <v>31.969645812644821</v>
      </c>
      <c r="G82" s="118">
        <f t="shared" si="4"/>
        <v>50</v>
      </c>
      <c r="H82" s="119">
        <f t="shared" si="2"/>
        <v>18.030354187355179</v>
      </c>
      <c r="I82" s="118" t="str">
        <f t="shared" si="5"/>
        <v>NO</v>
      </c>
      <c r="J82" s="117">
        <f t="shared" si="3"/>
        <v>35.969645812644821</v>
      </c>
    </row>
    <row r="83" spans="2:10" ht="15" customHeight="1">
      <c r="B83" s="114">
        <v>2032</v>
      </c>
      <c r="C83" s="430">
        <f>Q51</f>
        <v>47</v>
      </c>
      <c r="D83" s="431"/>
      <c r="E83" s="121">
        <f t="shared" si="6"/>
        <v>0.68020523005627276</v>
      </c>
      <c r="F83" s="120">
        <f t="shared" si="1"/>
        <v>31.969645812644821</v>
      </c>
      <c r="G83" s="118">
        <f t="shared" si="4"/>
        <v>50</v>
      </c>
      <c r="H83" s="119">
        <f t="shared" si="2"/>
        <v>18.030354187355179</v>
      </c>
      <c r="I83" s="118" t="str">
        <f t="shared" si="5"/>
        <v>NO</v>
      </c>
      <c r="J83" s="117">
        <f t="shared" si="3"/>
        <v>35.969645812644821</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Sighthill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33</v>
      </c>
      <c r="D91" s="112">
        <f t="shared" ref="D91:J91" si="7">D188</f>
        <v>39</v>
      </c>
      <c r="E91" s="112">
        <f t="shared" si="7"/>
        <v>19</v>
      </c>
      <c r="F91" s="112">
        <f t="shared" si="7"/>
        <v>29</v>
      </c>
      <c r="G91" s="112">
        <f t="shared" si="7"/>
        <v>17</v>
      </c>
      <c r="H91" s="112">
        <f t="shared" si="7"/>
        <v>21</v>
      </c>
      <c r="I91" s="112">
        <f t="shared" si="7"/>
        <v>14</v>
      </c>
      <c r="J91" s="213">
        <f t="shared" si="7"/>
        <v>172</v>
      </c>
    </row>
    <row r="92" spans="2:10" ht="15" customHeight="1">
      <c r="B92" s="114">
        <v>2014</v>
      </c>
      <c r="C92" s="112">
        <f>C189</f>
        <v>49</v>
      </c>
      <c r="D92" s="112">
        <f t="shared" ref="D92:J92" si="8">D189</f>
        <v>36</v>
      </c>
      <c r="E92" s="112">
        <f t="shared" si="8"/>
        <v>41</v>
      </c>
      <c r="F92" s="112">
        <f t="shared" si="8"/>
        <v>23</v>
      </c>
      <c r="G92" s="112">
        <f t="shared" si="8"/>
        <v>28</v>
      </c>
      <c r="H92" s="112">
        <f t="shared" si="8"/>
        <v>18</v>
      </c>
      <c r="I92" s="112">
        <f t="shared" si="8"/>
        <v>19</v>
      </c>
      <c r="J92" s="213">
        <f t="shared" si="8"/>
        <v>214</v>
      </c>
    </row>
    <row r="93" spans="2:10" ht="15" customHeight="1">
      <c r="B93" s="114">
        <v>2015</v>
      </c>
      <c r="C93" s="112">
        <f>C190</f>
        <v>44</v>
      </c>
      <c r="D93" s="112">
        <f t="shared" ref="D93:J93" si="9">D190</f>
        <v>47</v>
      </c>
      <c r="E93" s="112">
        <f t="shared" si="9"/>
        <v>33</v>
      </c>
      <c r="F93" s="112">
        <f t="shared" si="9"/>
        <v>34</v>
      </c>
      <c r="G93" s="112">
        <f t="shared" si="9"/>
        <v>24</v>
      </c>
      <c r="H93" s="112">
        <f t="shared" si="9"/>
        <v>30</v>
      </c>
      <c r="I93" s="112">
        <f t="shared" si="9"/>
        <v>14</v>
      </c>
      <c r="J93" s="213">
        <f t="shared" si="9"/>
        <v>226</v>
      </c>
    </row>
    <row r="94" spans="2:10" ht="15" customHeight="1">
      <c r="B94" s="114">
        <v>2016</v>
      </c>
      <c r="C94" s="112">
        <f>C191</f>
        <v>38</v>
      </c>
      <c r="D94" s="112">
        <f t="shared" ref="D94:J94" si="10">D191</f>
        <v>35</v>
      </c>
      <c r="E94" s="112">
        <f t="shared" si="10"/>
        <v>38</v>
      </c>
      <c r="F94" s="112">
        <f t="shared" si="10"/>
        <v>28</v>
      </c>
      <c r="G94" s="112">
        <f t="shared" si="10"/>
        <v>31</v>
      </c>
      <c r="H94" s="112">
        <f t="shared" si="10"/>
        <v>20</v>
      </c>
      <c r="I94" s="112">
        <f t="shared" si="10"/>
        <v>28</v>
      </c>
      <c r="J94" s="213">
        <f t="shared" si="10"/>
        <v>218</v>
      </c>
    </row>
    <row r="95" spans="2:10" ht="15" customHeight="1">
      <c r="B95" s="114">
        <v>2017</v>
      </c>
      <c r="C95" s="112">
        <f>C192</f>
        <v>46</v>
      </c>
      <c r="D95" s="112">
        <f t="shared" ref="D95:J95" si="11">D192</f>
        <v>44</v>
      </c>
      <c r="E95" s="112">
        <f t="shared" si="11"/>
        <v>36</v>
      </c>
      <c r="F95" s="112">
        <f t="shared" si="11"/>
        <v>35</v>
      </c>
      <c r="G95" s="112">
        <f t="shared" si="11"/>
        <v>26</v>
      </c>
      <c r="H95" s="112">
        <f t="shared" si="11"/>
        <v>33</v>
      </c>
      <c r="I95" s="112">
        <f t="shared" si="11"/>
        <v>23</v>
      </c>
      <c r="J95" s="213">
        <f t="shared" si="11"/>
        <v>243</v>
      </c>
    </row>
    <row r="96" spans="2:10" ht="15" customHeight="1">
      <c r="B96" s="307">
        <v>2018</v>
      </c>
      <c r="C96" s="112">
        <f t="shared" ref="C96:J96" si="12">C193</f>
        <v>42</v>
      </c>
      <c r="D96" s="112">
        <f t="shared" si="12"/>
        <v>44</v>
      </c>
      <c r="E96" s="112">
        <f t="shared" si="12"/>
        <v>41</v>
      </c>
      <c r="F96" s="112">
        <f t="shared" si="12"/>
        <v>35</v>
      </c>
      <c r="G96" s="112">
        <f t="shared" si="12"/>
        <v>31</v>
      </c>
      <c r="H96" s="112">
        <f t="shared" si="12"/>
        <v>23</v>
      </c>
      <c r="I96" s="112">
        <f t="shared" si="12"/>
        <v>32</v>
      </c>
      <c r="J96" s="213">
        <f t="shared" si="12"/>
        <v>248</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4.0816326530612242E-2</v>
      </c>
      <c r="E98" s="210">
        <f t="shared" ref="E98:I98" si="13">MEDIAN(((D91-E92)/D91),((D92-E93)/D92),((D93-E94)/D93),((D94-E95)/D94),((D95-E96)/D95))</f>
        <v>6.8181818181818177E-2</v>
      </c>
      <c r="F98" s="210">
        <f t="shared" si="13"/>
        <v>7.8947368421052627E-2</v>
      </c>
      <c r="G98" s="210">
        <f t="shared" si="13"/>
        <v>7.1428571428571425E-2</v>
      </c>
      <c r="H98" s="210">
        <f t="shared" si="13"/>
        <v>-5.8823529411764705E-2</v>
      </c>
      <c r="I98" s="210">
        <f t="shared" si="13"/>
        <v>6.6666666666666666E-2</v>
      </c>
    </row>
    <row r="99" spans="2:10" ht="18.75">
      <c r="B99" s="59"/>
      <c r="C99" s="60"/>
      <c r="D99" s="61"/>
      <c r="E99" s="61"/>
      <c r="F99" s="61"/>
      <c r="G99" s="61"/>
      <c r="H99" s="61"/>
      <c r="I99" s="61"/>
      <c r="J99" s="58"/>
    </row>
    <row r="100" spans="2:10">
      <c r="B100" s="15" t="str">
        <f>"Table 4B: "&amp;E3&amp;" Projected Roll by Stage (incorporating Projected P1 and Drop-Off Rates), 2019-2032"</f>
        <v>Table 4B: Sighthill Primary School Projected Roll by Stage (incorporating Projected P1 and Drop-Off Rates), 2019-2032</v>
      </c>
      <c r="F100" s="14"/>
      <c r="G100" s="14"/>
    </row>
    <row r="101" spans="2:10" ht="12.75">
      <c r="F101" s="14"/>
      <c r="G101" s="14"/>
    </row>
    <row r="102" spans="2:10">
      <c r="B102" s="115"/>
      <c r="C102" s="109" t="s">
        <v>1</v>
      </c>
      <c r="D102" s="109" t="s">
        <v>2</v>
      </c>
      <c r="E102" s="109" t="s">
        <v>3</v>
      </c>
      <c r="F102" s="109" t="s">
        <v>4</v>
      </c>
      <c r="G102" s="109" t="s">
        <v>5</v>
      </c>
      <c r="H102" s="109" t="s">
        <v>6</v>
      </c>
      <c r="I102" s="109" t="s">
        <v>7</v>
      </c>
      <c r="J102" s="109" t="s">
        <v>8</v>
      </c>
    </row>
    <row r="103" spans="2:10">
      <c r="B103" s="114">
        <v>2019</v>
      </c>
      <c r="C103" s="113">
        <f t="shared" ref="C103:C116" si="14">J70</f>
        <v>38.690466732869908</v>
      </c>
      <c r="D103" s="324">
        <f>ROUND((C96)-(C96*$D$98),0)</f>
        <v>40</v>
      </c>
      <c r="E103" s="324">
        <f>ROUND((D96)-(D96*$E$98),0)</f>
        <v>41</v>
      </c>
      <c r="F103" s="324">
        <f>ROUND((E96)-(E96*$F$98),0)</f>
        <v>38</v>
      </c>
      <c r="G103" s="324">
        <f>ROUND((F96)-(F96*$G$98),0)</f>
        <v>33</v>
      </c>
      <c r="H103" s="324">
        <f>ROUND((G96)-(G96*$H$98),0)</f>
        <v>33</v>
      </c>
      <c r="I103" s="324">
        <f>ROUND((H96)-(H96*$I$98),0)</f>
        <v>21</v>
      </c>
      <c r="J103" s="111">
        <f t="shared" ref="J103:J116" si="15">SUM(C103:I103)</f>
        <v>244.69046673286991</v>
      </c>
    </row>
    <row r="104" spans="2:10">
      <c r="B104" s="114">
        <v>2020</v>
      </c>
      <c r="C104" s="113">
        <f t="shared" si="14"/>
        <v>42.091492883151275</v>
      </c>
      <c r="D104" s="324">
        <f>ROUND((C103-E50)-(C103*$D$98),0)</f>
        <v>36</v>
      </c>
      <c r="E104" s="112">
        <f t="shared" ref="E104:E116" si="16">ROUND((D103)-(D103*$E$98),0)</f>
        <v>37</v>
      </c>
      <c r="F104" s="112">
        <f t="shared" ref="F104:F116" si="17">ROUND((E103)-(E103*$F$98),0)</f>
        <v>38</v>
      </c>
      <c r="G104" s="112">
        <f t="shared" ref="G104:G116" si="18">ROUND((F103)-(F103*$G$98),0)</f>
        <v>35</v>
      </c>
      <c r="H104" s="112">
        <f t="shared" ref="H104:H116" si="19">ROUND((G103)-(G103*$H$98),0)</f>
        <v>35</v>
      </c>
      <c r="I104" s="112">
        <f t="shared" ref="I104:I116" si="20">ROUND((H103)-(H103*$I$98),0)</f>
        <v>31</v>
      </c>
      <c r="J104" s="111">
        <f t="shared" si="15"/>
        <v>254.09149288315126</v>
      </c>
    </row>
    <row r="105" spans="2:10">
      <c r="B105" s="114">
        <v>2021</v>
      </c>
      <c r="C105" s="113">
        <f t="shared" si="14"/>
        <v>25</v>
      </c>
      <c r="D105" s="324">
        <f>ROUND((C104-F50)-(C104*$D$98),0)</f>
        <v>39</v>
      </c>
      <c r="E105" s="112">
        <f t="shared" si="16"/>
        <v>34</v>
      </c>
      <c r="F105" s="112">
        <f t="shared" si="17"/>
        <v>34</v>
      </c>
      <c r="G105" s="112">
        <f t="shared" si="18"/>
        <v>35</v>
      </c>
      <c r="H105" s="112">
        <f t="shared" si="19"/>
        <v>37</v>
      </c>
      <c r="I105" s="112">
        <f t="shared" si="20"/>
        <v>33</v>
      </c>
      <c r="J105" s="111">
        <f t="shared" si="15"/>
        <v>237</v>
      </c>
    </row>
    <row r="106" spans="2:10">
      <c r="B106" s="114">
        <v>2022</v>
      </c>
      <c r="C106" s="113">
        <f t="shared" si="14"/>
        <v>30</v>
      </c>
      <c r="D106" s="324">
        <f>ROUND((C105-G50)-(C105*$D$98),0)</f>
        <v>23</v>
      </c>
      <c r="E106" s="112">
        <f t="shared" si="16"/>
        <v>36</v>
      </c>
      <c r="F106" s="112">
        <f t="shared" si="17"/>
        <v>31</v>
      </c>
      <c r="G106" s="112">
        <f t="shared" si="18"/>
        <v>32</v>
      </c>
      <c r="H106" s="112">
        <f t="shared" si="19"/>
        <v>37</v>
      </c>
      <c r="I106" s="112">
        <f t="shared" si="20"/>
        <v>35</v>
      </c>
      <c r="J106" s="111">
        <f t="shared" si="15"/>
        <v>224</v>
      </c>
    </row>
    <row r="107" spans="2:10">
      <c r="B107" s="114">
        <v>2023</v>
      </c>
      <c r="C107" s="113">
        <f t="shared" si="14"/>
        <v>34.609235352532274</v>
      </c>
      <c r="D107" s="324">
        <f>ROUND((C106-H50)-(C106*$D$98),0)</f>
        <v>28</v>
      </c>
      <c r="E107" s="112">
        <f t="shared" si="16"/>
        <v>21</v>
      </c>
      <c r="F107" s="112">
        <f t="shared" si="17"/>
        <v>33</v>
      </c>
      <c r="G107" s="112">
        <f t="shared" si="18"/>
        <v>29</v>
      </c>
      <c r="H107" s="112">
        <f t="shared" si="19"/>
        <v>34</v>
      </c>
      <c r="I107" s="112">
        <f t="shared" si="20"/>
        <v>35</v>
      </c>
      <c r="J107" s="111">
        <f t="shared" si="15"/>
        <v>214.60923535253227</v>
      </c>
    </row>
    <row r="108" spans="2:10">
      <c r="B108" s="114">
        <v>2024</v>
      </c>
      <c r="C108" s="113">
        <f t="shared" si="14"/>
        <v>34.609235352532274</v>
      </c>
      <c r="D108" s="324">
        <f>ROUND((C107-I50)-(C107*$D$98),0)</f>
        <v>32</v>
      </c>
      <c r="E108" s="112">
        <f t="shared" si="16"/>
        <v>26</v>
      </c>
      <c r="F108" s="112">
        <f t="shared" si="17"/>
        <v>19</v>
      </c>
      <c r="G108" s="112">
        <f t="shared" si="18"/>
        <v>31</v>
      </c>
      <c r="H108" s="112">
        <f t="shared" si="19"/>
        <v>31</v>
      </c>
      <c r="I108" s="112">
        <f t="shared" si="20"/>
        <v>32</v>
      </c>
      <c r="J108" s="111">
        <f t="shared" si="15"/>
        <v>205.60923535253227</v>
      </c>
    </row>
    <row r="109" spans="2:10">
      <c r="B109" s="114">
        <v>2025</v>
      </c>
      <c r="C109" s="113">
        <f t="shared" si="14"/>
        <v>35.289440582588547</v>
      </c>
      <c r="D109" s="324">
        <f>ROUND((C108-J50)-(C108*$D$98),0)</f>
        <v>32</v>
      </c>
      <c r="E109" s="112">
        <f t="shared" si="16"/>
        <v>30</v>
      </c>
      <c r="F109" s="112">
        <f t="shared" si="17"/>
        <v>24</v>
      </c>
      <c r="G109" s="112">
        <f t="shared" si="18"/>
        <v>18</v>
      </c>
      <c r="H109" s="112">
        <f t="shared" si="19"/>
        <v>33</v>
      </c>
      <c r="I109" s="112">
        <f t="shared" si="20"/>
        <v>29</v>
      </c>
      <c r="J109" s="111">
        <f t="shared" si="15"/>
        <v>201.28944058258855</v>
      </c>
    </row>
    <row r="110" spans="2:10">
      <c r="B110" s="114">
        <v>2026</v>
      </c>
      <c r="C110" s="113">
        <f t="shared" si="14"/>
        <v>35.289440582588547</v>
      </c>
      <c r="D110" s="324">
        <f>ROUND((C109-K50)-(C109*$D$98),0)</f>
        <v>33</v>
      </c>
      <c r="E110" s="112">
        <f t="shared" si="16"/>
        <v>30</v>
      </c>
      <c r="F110" s="112">
        <f t="shared" si="17"/>
        <v>28</v>
      </c>
      <c r="G110" s="112">
        <f t="shared" si="18"/>
        <v>22</v>
      </c>
      <c r="H110" s="112">
        <f t="shared" si="19"/>
        <v>19</v>
      </c>
      <c r="I110" s="112">
        <f t="shared" si="20"/>
        <v>31</v>
      </c>
      <c r="J110" s="111">
        <f t="shared" si="15"/>
        <v>198.28944058258855</v>
      </c>
    </row>
    <row r="111" spans="2:10">
      <c r="B111" s="114">
        <v>2027</v>
      </c>
      <c r="C111" s="113">
        <f t="shared" si="14"/>
        <v>35.969645812644821</v>
      </c>
      <c r="D111" s="324">
        <f>ROUND((C110-L50)-(C110*$D$98),0)</f>
        <v>33</v>
      </c>
      <c r="E111" s="112">
        <f t="shared" si="16"/>
        <v>31</v>
      </c>
      <c r="F111" s="112">
        <f t="shared" si="17"/>
        <v>28</v>
      </c>
      <c r="G111" s="112">
        <f t="shared" si="18"/>
        <v>26</v>
      </c>
      <c r="H111" s="112">
        <f t="shared" si="19"/>
        <v>23</v>
      </c>
      <c r="I111" s="112">
        <f t="shared" si="20"/>
        <v>18</v>
      </c>
      <c r="J111" s="111">
        <f t="shared" si="15"/>
        <v>194.96964581264481</v>
      </c>
    </row>
    <row r="112" spans="2:10">
      <c r="B112" s="114">
        <v>2028</v>
      </c>
      <c r="C112" s="113">
        <f t="shared" si="14"/>
        <v>35.969645812644821</v>
      </c>
      <c r="D112" s="324">
        <f>ROUND((C111-M50)-(C111*$D$98),0)</f>
        <v>34</v>
      </c>
      <c r="E112" s="112">
        <f t="shared" si="16"/>
        <v>31</v>
      </c>
      <c r="F112" s="112">
        <f t="shared" si="17"/>
        <v>29</v>
      </c>
      <c r="G112" s="112">
        <f t="shared" si="18"/>
        <v>26</v>
      </c>
      <c r="H112" s="112">
        <f t="shared" si="19"/>
        <v>28</v>
      </c>
      <c r="I112" s="112">
        <f t="shared" si="20"/>
        <v>21</v>
      </c>
      <c r="J112" s="111">
        <f t="shared" si="15"/>
        <v>204.96964581264481</v>
      </c>
    </row>
    <row r="113" spans="2:10" ht="15" customHeight="1">
      <c r="B113" s="114">
        <v>2029</v>
      </c>
      <c r="C113" s="113">
        <f t="shared" si="14"/>
        <v>35.969645812644821</v>
      </c>
      <c r="D113" s="324">
        <f>ROUND((C112-N50)-(C112*$D$98),0)</f>
        <v>34</v>
      </c>
      <c r="E113" s="112">
        <f t="shared" si="16"/>
        <v>32</v>
      </c>
      <c r="F113" s="112">
        <f t="shared" si="17"/>
        <v>29</v>
      </c>
      <c r="G113" s="112">
        <f t="shared" si="18"/>
        <v>27</v>
      </c>
      <c r="H113" s="112">
        <f t="shared" si="19"/>
        <v>28</v>
      </c>
      <c r="I113" s="112">
        <f t="shared" si="20"/>
        <v>26</v>
      </c>
      <c r="J113" s="111">
        <f t="shared" si="15"/>
        <v>211.96964581264481</v>
      </c>
    </row>
    <row r="114" spans="2:10" ht="15" customHeight="1">
      <c r="B114" s="114">
        <v>2030</v>
      </c>
      <c r="C114" s="113">
        <f t="shared" si="14"/>
        <v>35.969645812644821</v>
      </c>
      <c r="D114" s="324">
        <f>ROUND((C113-O50)-(C113*$D$98),0)</f>
        <v>34</v>
      </c>
      <c r="E114" s="112">
        <f t="shared" si="16"/>
        <v>32</v>
      </c>
      <c r="F114" s="112">
        <f t="shared" si="17"/>
        <v>29</v>
      </c>
      <c r="G114" s="112">
        <f t="shared" si="18"/>
        <v>27</v>
      </c>
      <c r="H114" s="112">
        <f t="shared" si="19"/>
        <v>29</v>
      </c>
      <c r="I114" s="112">
        <f t="shared" si="20"/>
        <v>26</v>
      </c>
      <c r="J114" s="111">
        <f t="shared" si="15"/>
        <v>212.96964581264481</v>
      </c>
    </row>
    <row r="115" spans="2:10" ht="15" customHeight="1">
      <c r="B115" s="114">
        <v>2031</v>
      </c>
      <c r="C115" s="113">
        <f t="shared" si="14"/>
        <v>35.969645812644821</v>
      </c>
      <c r="D115" s="324">
        <f>ROUND((C114-P50)-(C114*$D$98),0)</f>
        <v>34</v>
      </c>
      <c r="E115" s="112">
        <f t="shared" si="16"/>
        <v>32</v>
      </c>
      <c r="F115" s="112">
        <f t="shared" si="17"/>
        <v>29</v>
      </c>
      <c r="G115" s="112">
        <f t="shared" si="18"/>
        <v>27</v>
      </c>
      <c r="H115" s="112">
        <f t="shared" si="19"/>
        <v>29</v>
      </c>
      <c r="I115" s="112">
        <f t="shared" si="20"/>
        <v>27</v>
      </c>
      <c r="J115" s="111">
        <f t="shared" si="15"/>
        <v>213.96964581264481</v>
      </c>
    </row>
    <row r="116" spans="2:10" ht="15" customHeight="1">
      <c r="B116" s="114">
        <v>2032</v>
      </c>
      <c r="C116" s="113">
        <f t="shared" si="14"/>
        <v>35.969645812644821</v>
      </c>
      <c r="D116" s="324">
        <f>ROUND((C115-Q50)-(C115*$D$98),0)</f>
        <v>34</v>
      </c>
      <c r="E116" s="112">
        <f t="shared" si="16"/>
        <v>32</v>
      </c>
      <c r="F116" s="112">
        <f t="shared" si="17"/>
        <v>29</v>
      </c>
      <c r="G116" s="112">
        <f t="shared" si="18"/>
        <v>27</v>
      </c>
      <c r="H116" s="112">
        <f t="shared" si="19"/>
        <v>29</v>
      </c>
      <c r="I116" s="112">
        <f t="shared" si="20"/>
        <v>27</v>
      </c>
      <c r="J116" s="111">
        <f t="shared" si="15"/>
        <v>213.96964581264481</v>
      </c>
    </row>
    <row r="117" spans="2:10" ht="15" hidden="1" customHeight="1">
      <c r="F117" s="14"/>
      <c r="G117" s="14"/>
    </row>
    <row r="118" spans="2:10" ht="15" hidden="1" customHeight="1">
      <c r="B118" s="15" t="str">
        <f>"Table 4C: "&amp;E3&amp;" Projected Pupil Generation from Housing Development, 2019-2032"</f>
        <v>Table 4C: Sighthill Primary School Projected Pupil Generation from Housing Development, 2019-2032</v>
      </c>
      <c r="F118" s="14"/>
      <c r="G118" s="14"/>
    </row>
    <row r="119" spans="2:10" ht="15" hidden="1" customHeight="1">
      <c r="F119" s="14"/>
      <c r="G119" s="14"/>
    </row>
    <row r="120" spans="2:10" ht="15" hidden="1" customHeight="1">
      <c r="B120" s="115"/>
      <c r="C120" s="109" t="s">
        <v>1</v>
      </c>
      <c r="D120" s="109" t="s">
        <v>2</v>
      </c>
      <c r="E120" s="109" t="s">
        <v>3</v>
      </c>
      <c r="F120" s="109" t="s">
        <v>4</v>
      </c>
      <c r="G120" s="109" t="s">
        <v>5</v>
      </c>
      <c r="H120" s="109" t="s">
        <v>6</v>
      </c>
      <c r="I120" s="109" t="s">
        <v>7</v>
      </c>
      <c r="J120" s="109" t="s">
        <v>8</v>
      </c>
    </row>
    <row r="121" spans="2:10" ht="15" hidden="1" customHeight="1">
      <c r="B121" s="114">
        <v>2019</v>
      </c>
      <c r="C121" s="116" t="s">
        <v>97</v>
      </c>
      <c r="D121" s="112">
        <f>VLOOKUP($E$3,'Housing Generation'!$A$3:$BE$90,11,FALSE)</f>
        <v>1</v>
      </c>
      <c r="E121" s="112">
        <f>VLOOKUP($E$3,'Housing Generation'!$A$3:$BE$90,12,FALSE)</f>
        <v>1</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2</v>
      </c>
    </row>
    <row r="122" spans="2:10" ht="15" hidden="1" customHeight="1">
      <c r="B122" s="114">
        <v>2020</v>
      </c>
      <c r="C122" s="116" t="s">
        <v>97</v>
      </c>
      <c r="D122" s="112">
        <f>VLOOKUP($E$3,'Housing Generation'!$A$3:$BE$90,19,FALSE)</f>
        <v>1</v>
      </c>
      <c r="E122" s="112">
        <f>VLOOKUP($E$3,'Housing Generation'!$A$3:$BE$90,20,FALSE)</f>
        <v>1</v>
      </c>
      <c r="F122" s="112">
        <f>VLOOKUP($E$3,'Housing Generation'!$A$3:$BE$90,21,FALSE)</f>
        <v>1</v>
      </c>
      <c r="G122" s="112">
        <f>VLOOKUP($E$3,'Housing Generation'!$A$3:$BE$90,22,FALSE)</f>
        <v>1</v>
      </c>
      <c r="H122" s="112">
        <f>VLOOKUP($E$3,'Housing Generation'!$A$3:$BE$90,23,FALSE)</f>
        <v>1</v>
      </c>
      <c r="I122" s="112">
        <f>VLOOKUP($E$3,'Housing Generation'!$A$3:$BE$90,24,FALSE)</f>
        <v>1</v>
      </c>
      <c r="J122" s="111">
        <f t="shared" si="21"/>
        <v>6</v>
      </c>
    </row>
    <row r="123" spans="2:10" ht="15" hidden="1" customHeight="1">
      <c r="B123" s="114">
        <v>2021</v>
      </c>
      <c r="C123" s="116" t="s">
        <v>97</v>
      </c>
      <c r="D123" s="112">
        <f>VLOOKUP($E$3,'Housing Generation'!$A$3:$BE$90,27,FALSE)</f>
        <v>1</v>
      </c>
      <c r="E123" s="112">
        <f>VLOOKUP($E$3,'Housing Generation'!$A$3:$BE$90,28,FALSE)</f>
        <v>1</v>
      </c>
      <c r="F123" s="112">
        <f>VLOOKUP($E$3,'Housing Generation'!$A$3:$BE$90,29,FALSE)</f>
        <v>1</v>
      </c>
      <c r="G123" s="112">
        <f>VLOOKUP($E$3,'Housing Generation'!$A$3:$BE$90,30,FALSE)</f>
        <v>1</v>
      </c>
      <c r="H123" s="112">
        <f>VLOOKUP($E$3,'Housing Generation'!$A$3:$BE$90,31,FALSE)</f>
        <v>1</v>
      </c>
      <c r="I123" s="112">
        <f>VLOOKUP($E$3,'Housing Generation'!$A$3:$BE$90,32,FALSE)</f>
        <v>1</v>
      </c>
      <c r="J123" s="111">
        <f t="shared" si="21"/>
        <v>6</v>
      </c>
    </row>
    <row r="124" spans="2:10" ht="15" hidden="1" customHeight="1">
      <c r="B124" s="114">
        <v>2022</v>
      </c>
      <c r="C124" s="116" t="s">
        <v>97</v>
      </c>
      <c r="D124" s="112">
        <f>VLOOKUP($E$3,'Housing Generation'!$A$3:$BE$90,35,FALSE)</f>
        <v>1</v>
      </c>
      <c r="E124" s="112">
        <f>VLOOKUP($E$3,'Housing Generation'!$A$3:$BE$90,36,FALSE)</f>
        <v>1</v>
      </c>
      <c r="F124" s="112">
        <f>VLOOKUP($E$3,'Housing Generation'!$A$3:$BE$90,37,FALSE)</f>
        <v>1</v>
      </c>
      <c r="G124" s="112">
        <f>VLOOKUP($E$3,'Housing Generation'!$A$3:$BE$90,38,FALSE)</f>
        <v>1</v>
      </c>
      <c r="H124" s="112">
        <f>VLOOKUP($E$3,'Housing Generation'!$A$3:$BE$90,39,FALSE)</f>
        <v>1</v>
      </c>
      <c r="I124" s="112">
        <f>VLOOKUP($E$3,'Housing Generation'!$A$3:$BE$90,40,FALSE)</f>
        <v>1</v>
      </c>
      <c r="J124" s="111">
        <f t="shared" si="21"/>
        <v>6</v>
      </c>
    </row>
    <row r="125" spans="2:10" ht="15" hidden="1" customHeight="1">
      <c r="B125" s="114">
        <v>2023</v>
      </c>
      <c r="C125" s="116" t="s">
        <v>97</v>
      </c>
      <c r="D125" s="112">
        <f>VLOOKUP($E$3,'Housing Generation'!$A$3:$BE$90,43,FALSE)</f>
        <v>1</v>
      </c>
      <c r="E125" s="112">
        <f>VLOOKUP($E$3,'Housing Generation'!$A$3:$BE$90,44,FALSE)</f>
        <v>1</v>
      </c>
      <c r="F125" s="112">
        <f>VLOOKUP($E$3,'Housing Generation'!$A$3:$BE$90,45,FALSE)</f>
        <v>1</v>
      </c>
      <c r="G125" s="112">
        <f>VLOOKUP($E$3,'Housing Generation'!$A$3:$BE$90,46,FALSE)</f>
        <v>1</v>
      </c>
      <c r="H125" s="112">
        <f>VLOOKUP($E$3,'Housing Generation'!$A$3:$BE$90,47,FALSE)</f>
        <v>1</v>
      </c>
      <c r="I125" s="112">
        <f>VLOOKUP($E$3,'Housing Generation'!$A$3:$BE$90,48,FALSE)</f>
        <v>1</v>
      </c>
      <c r="J125" s="111">
        <f t="shared" si="21"/>
        <v>6</v>
      </c>
    </row>
    <row r="126" spans="2:10" ht="15" hidden="1" customHeight="1">
      <c r="B126" s="114">
        <v>2024</v>
      </c>
      <c r="C126" s="116" t="s">
        <v>97</v>
      </c>
      <c r="D126" s="112">
        <f>VLOOKUP($E$3,'Housing Generation'!$A$3:$BE$90,51,FALSE)</f>
        <v>1</v>
      </c>
      <c r="E126" s="112">
        <f>VLOOKUP($E$3,'Housing Generation'!$A$3:$BE$90,52,FALSE)</f>
        <v>1</v>
      </c>
      <c r="F126" s="112">
        <f>VLOOKUP($E$3,'Housing Generation'!$A$3:$BE$90,53,FALSE)</f>
        <v>1</v>
      </c>
      <c r="G126" s="112">
        <f>VLOOKUP($E$3,'Housing Generation'!$A$3:$BE$90,54,FALSE)</f>
        <v>1</v>
      </c>
      <c r="H126" s="112">
        <f>VLOOKUP($E$3,'Housing Generation'!$A$3:$BE$90,55,FALSE)</f>
        <v>1</v>
      </c>
      <c r="I126" s="112">
        <f>VLOOKUP($E$3,'Housing Generation'!$A$3:$BE$90,56,FALSE)</f>
        <v>1</v>
      </c>
      <c r="J126" s="111">
        <f t="shared" si="21"/>
        <v>6</v>
      </c>
    </row>
    <row r="127" spans="2:10" ht="15" hidden="1" customHeight="1">
      <c r="B127" s="114">
        <v>2025</v>
      </c>
      <c r="C127" s="240" t="s">
        <v>97</v>
      </c>
      <c r="D127" s="112">
        <f>VLOOKUP($E$3,'Housing Generation'!$A$3:$CK$90,59,FALSE)</f>
        <v>1</v>
      </c>
      <c r="E127" s="112">
        <f>VLOOKUP($E$3,'Housing Generation'!$A$3:$CK$90,60,FALSE)</f>
        <v>1</v>
      </c>
      <c r="F127" s="112">
        <f>VLOOKUP($E$3,'Housing Generation'!$A$3:$CK$90,61,FALSE)</f>
        <v>1</v>
      </c>
      <c r="G127" s="112">
        <f>VLOOKUP($E$3,'Housing Generation'!$A$3:$CK$90,62,FALSE)</f>
        <v>1</v>
      </c>
      <c r="H127" s="112">
        <f>VLOOKUP($E$3,'Housing Generation'!$A$3:$CK$90,63,FALSE)</f>
        <v>1</v>
      </c>
      <c r="I127" s="112">
        <f>VLOOKUP($E$3,'Housing Generation'!$A$3:$CK$90,64,FALSE)</f>
        <v>1</v>
      </c>
      <c r="J127" s="111">
        <f t="shared" si="21"/>
        <v>6</v>
      </c>
    </row>
    <row r="128" spans="2:10" ht="15" hidden="1" customHeight="1">
      <c r="B128" s="114">
        <v>2026</v>
      </c>
      <c r="C128" s="240" t="s">
        <v>97</v>
      </c>
      <c r="D128" s="112">
        <f>VLOOKUP($E$3,'Housing Generation'!$A$3:$CK$90,67,FALSE)</f>
        <v>1</v>
      </c>
      <c r="E128" s="112">
        <f>VLOOKUP($E$3,'Housing Generation'!$A$3:$CK$90,68,FALSE)</f>
        <v>1</v>
      </c>
      <c r="F128" s="112">
        <f>VLOOKUP($E$3,'Housing Generation'!$A$3:$CK$90,69,FALSE)</f>
        <v>1</v>
      </c>
      <c r="G128" s="112">
        <f>VLOOKUP($E$3,'Housing Generation'!$A$3:$CK$90,70,FALSE)</f>
        <v>1</v>
      </c>
      <c r="H128" s="112">
        <f>VLOOKUP($E$3,'Housing Generation'!$A$3:$CK$90,71,FALSE)</f>
        <v>1</v>
      </c>
      <c r="I128" s="112">
        <f>VLOOKUP($E$3,'Housing Generation'!$A$3:$CK$90,72,FALSE)</f>
        <v>1</v>
      </c>
      <c r="J128" s="111">
        <f t="shared" si="21"/>
        <v>6</v>
      </c>
    </row>
    <row r="129" spans="2:10" ht="15" hidden="1" customHeight="1">
      <c r="B129" s="114">
        <v>2027</v>
      </c>
      <c r="C129" s="240" t="s">
        <v>97</v>
      </c>
      <c r="D129" s="112">
        <f>VLOOKUP($E$3,'Housing Generation'!$A$3:$CK$90,75,FALSE)</f>
        <v>1</v>
      </c>
      <c r="E129" s="112">
        <f>VLOOKUP($E$3,'Housing Generation'!$A$3:$CK$90,76,FALSE)</f>
        <v>1</v>
      </c>
      <c r="F129" s="112">
        <f>VLOOKUP($E$3,'Housing Generation'!$A$3:$CK$90,77,FALSE)</f>
        <v>1</v>
      </c>
      <c r="G129" s="112">
        <f>VLOOKUP($E$3,'Housing Generation'!$A$3:$CK$90,78,FALSE)</f>
        <v>1</v>
      </c>
      <c r="H129" s="112">
        <f>VLOOKUP($E$3,'Housing Generation'!$A$3:$CK$90,79,FALSE)</f>
        <v>1</v>
      </c>
      <c r="I129" s="112">
        <f>VLOOKUP($E$3,'Housing Generation'!$A$3:$CK$90,80,FALSE)</f>
        <v>1</v>
      </c>
      <c r="J129" s="111">
        <f t="shared" si="21"/>
        <v>6</v>
      </c>
    </row>
    <row r="130" spans="2:10" ht="15" customHeight="1">
      <c r="B130" s="114">
        <v>2028</v>
      </c>
      <c r="C130" s="289" t="s">
        <v>97</v>
      </c>
      <c r="D130" s="112">
        <f>VLOOKUP($E$3,'Housing Generation'!$A$3:$CK$90,83,FALSE)</f>
        <v>1</v>
      </c>
      <c r="E130" s="112">
        <f>VLOOKUP($E$3,'Housing Generation'!$A$3:$CK$90,84,FALSE)</f>
        <v>1</v>
      </c>
      <c r="F130" s="112">
        <f>VLOOKUP($E$3,'Housing Generation'!$A$3:$CK$90,85,FALSE)</f>
        <v>1</v>
      </c>
      <c r="G130" s="112">
        <f>VLOOKUP($E$3,'Housing Generation'!$A$3:$CK$90,86,FALSE)</f>
        <v>1</v>
      </c>
      <c r="H130" s="112">
        <f>VLOOKUP($E$3,'Housing Generation'!$A$3:$CK$90,87,FALSE)</f>
        <v>1</v>
      </c>
      <c r="I130" s="112">
        <f>VLOOKUP($E$3,'Housing Generation'!$A$3:$CK$90,88,FALSE)</f>
        <v>1</v>
      </c>
      <c r="J130" s="111">
        <f t="shared" si="21"/>
        <v>6</v>
      </c>
    </row>
    <row r="131" spans="2:10" ht="15" customHeight="1">
      <c r="B131" s="114">
        <v>2029</v>
      </c>
      <c r="C131" s="289" t="s">
        <v>97</v>
      </c>
      <c r="D131" s="112">
        <f>VLOOKUP($E$3,'Housing Generation'!$A$3:$DQ$90,91,FALSE)</f>
        <v>1</v>
      </c>
      <c r="E131" s="112">
        <f>VLOOKUP($E$3,'Housing Generation'!$A$3:$DQ$90,92,FALSE)</f>
        <v>1</v>
      </c>
      <c r="F131" s="112">
        <f>VLOOKUP($E$3,'Housing Generation'!$A$3:$DQ$90,93,FALSE)</f>
        <v>1</v>
      </c>
      <c r="G131" s="112">
        <f>VLOOKUP($E$3,'Housing Generation'!$A$3:$DQ$90,94,FALSE)</f>
        <v>1</v>
      </c>
      <c r="H131" s="112">
        <f>VLOOKUP($E$3,'Housing Generation'!$A$3:$DQ$90,95,FALSE)</f>
        <v>1</v>
      </c>
      <c r="I131" s="112">
        <f>VLOOKUP($E$3,'Housing Generation'!$A$3:$DQ$90,96,FALSE)</f>
        <v>1</v>
      </c>
      <c r="J131" s="111">
        <f t="shared" si="21"/>
        <v>6</v>
      </c>
    </row>
    <row r="132" spans="2:10" ht="15" customHeight="1">
      <c r="B132" s="114">
        <v>2030</v>
      </c>
      <c r="C132" s="289" t="s">
        <v>97</v>
      </c>
      <c r="D132" s="112">
        <f>VLOOKUP($E$3,'Housing Generation'!$A$3:$DQ$90,99,FALSE)</f>
        <v>1</v>
      </c>
      <c r="E132" s="112">
        <f>VLOOKUP($E$3,'Housing Generation'!$A$3:$DQ$90,100,FALSE)</f>
        <v>1</v>
      </c>
      <c r="F132" s="112">
        <f>VLOOKUP($E$3,'Housing Generation'!$A$3:$DQ$90,101,FALSE)</f>
        <v>1</v>
      </c>
      <c r="G132" s="112">
        <f>VLOOKUP($E$3,'Housing Generation'!$A$3:$DQ$90,102,FALSE)</f>
        <v>1</v>
      </c>
      <c r="H132" s="112">
        <f>VLOOKUP($E$3,'Housing Generation'!$A$3:$DQ$90,103,FALSE)</f>
        <v>1</v>
      </c>
      <c r="I132" s="112">
        <f>VLOOKUP($E$3,'Housing Generation'!$A$3:$DQ$90,104,FALSE)</f>
        <v>1</v>
      </c>
      <c r="J132" s="111">
        <f t="shared" si="21"/>
        <v>6</v>
      </c>
    </row>
    <row r="133" spans="2:10" ht="15" customHeight="1">
      <c r="B133" s="114">
        <v>2031</v>
      </c>
      <c r="C133" s="289" t="s">
        <v>97</v>
      </c>
      <c r="D133" s="112">
        <f>VLOOKUP($E$3,'Housing Generation'!$A$3:$DQ$90,107,FALSE)</f>
        <v>1</v>
      </c>
      <c r="E133" s="112">
        <f>VLOOKUP($E$3,'Housing Generation'!$A$3:$DQ$90,108,FALSE)</f>
        <v>1</v>
      </c>
      <c r="F133" s="112">
        <f>VLOOKUP($E$3,'Housing Generation'!$A$3:$DQ$90,109,FALSE)</f>
        <v>1</v>
      </c>
      <c r="G133" s="112">
        <f>VLOOKUP($E$3,'Housing Generation'!$A$3:$DQ$90,110,FALSE)</f>
        <v>1</v>
      </c>
      <c r="H133" s="112">
        <f>VLOOKUP($E$3,'Housing Generation'!$A$3:$DQ$90,111,FALSE)</f>
        <v>1</v>
      </c>
      <c r="I133" s="112">
        <f>VLOOKUP($E$3,'Housing Generation'!$A$3:$DQ$90,112,FALSE)</f>
        <v>1</v>
      </c>
      <c r="J133" s="111">
        <f t="shared" si="21"/>
        <v>6</v>
      </c>
    </row>
    <row r="134" spans="2:10" ht="15" customHeight="1">
      <c r="B134" s="114">
        <v>2032</v>
      </c>
      <c r="C134" s="289" t="s">
        <v>97</v>
      </c>
      <c r="D134" s="112">
        <f>VLOOKUP($E$3,'Housing Generation'!$A$3:$DQ$90,115,FALSE)</f>
        <v>1</v>
      </c>
      <c r="E134" s="112">
        <f>VLOOKUP($E$3,'Housing Generation'!$A$3:$DQ$90,116,FALSE)</f>
        <v>1</v>
      </c>
      <c r="F134" s="112">
        <f>VLOOKUP($E$3,'Housing Generation'!$A$3:$DQ$90,117,FALSE)</f>
        <v>1</v>
      </c>
      <c r="G134" s="112">
        <f>VLOOKUP($E$3,'Housing Generation'!$A$3:$DQ$90,118,FALSE)</f>
        <v>1</v>
      </c>
      <c r="H134" s="112">
        <f>VLOOKUP($E$3,'Housing Generation'!$A$3:$DQ$90,119,FALSE)</f>
        <v>1</v>
      </c>
      <c r="I134" s="112">
        <f>VLOOKUP($E$3,'Housing Generation'!$A$3:$DQ$90,120,FALSE)</f>
        <v>1</v>
      </c>
      <c r="J134" s="111">
        <f t="shared" si="21"/>
        <v>6</v>
      </c>
    </row>
    <row r="135" spans="2:10" ht="15" hidden="1"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Sighthill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38.690466732869908</v>
      </c>
      <c r="D139" s="112">
        <f t="shared" ref="D139:I152" si="23">D121+D103</f>
        <v>41</v>
      </c>
      <c r="E139" s="112">
        <f t="shared" si="23"/>
        <v>42</v>
      </c>
      <c r="F139" s="112">
        <f t="shared" si="23"/>
        <v>38</v>
      </c>
      <c r="G139" s="112">
        <f t="shared" si="23"/>
        <v>33</v>
      </c>
      <c r="H139" s="112">
        <f t="shared" si="23"/>
        <v>33</v>
      </c>
      <c r="I139" s="112">
        <f t="shared" si="23"/>
        <v>21</v>
      </c>
      <c r="J139" s="111">
        <f t="shared" ref="J139:J147" si="24">SUM(C139:I139)</f>
        <v>246.69046673286991</v>
      </c>
    </row>
    <row r="140" spans="2:10" ht="15" customHeight="1">
      <c r="B140" s="114">
        <v>2020</v>
      </c>
      <c r="C140" s="113">
        <f t="shared" si="22"/>
        <v>42.091492883151275</v>
      </c>
      <c r="D140" s="112">
        <f t="shared" si="23"/>
        <v>37</v>
      </c>
      <c r="E140" s="112">
        <f t="shared" si="23"/>
        <v>38</v>
      </c>
      <c r="F140" s="112">
        <f t="shared" si="23"/>
        <v>39</v>
      </c>
      <c r="G140" s="112">
        <f t="shared" si="23"/>
        <v>36</v>
      </c>
      <c r="H140" s="112">
        <f t="shared" si="23"/>
        <v>36</v>
      </c>
      <c r="I140" s="112">
        <f t="shared" si="23"/>
        <v>32</v>
      </c>
      <c r="J140" s="111">
        <f t="shared" si="24"/>
        <v>260.09149288315126</v>
      </c>
    </row>
    <row r="141" spans="2:10" ht="15" customHeight="1">
      <c r="B141" s="114">
        <v>2021</v>
      </c>
      <c r="C141" s="113">
        <f t="shared" si="22"/>
        <v>25</v>
      </c>
      <c r="D141" s="112">
        <f t="shared" si="23"/>
        <v>40</v>
      </c>
      <c r="E141" s="112">
        <f t="shared" si="23"/>
        <v>35</v>
      </c>
      <c r="F141" s="112">
        <f t="shared" si="23"/>
        <v>35</v>
      </c>
      <c r="G141" s="112">
        <f t="shared" si="23"/>
        <v>36</v>
      </c>
      <c r="H141" s="112">
        <f t="shared" si="23"/>
        <v>38</v>
      </c>
      <c r="I141" s="112">
        <f t="shared" si="23"/>
        <v>34</v>
      </c>
      <c r="J141" s="111">
        <f t="shared" si="24"/>
        <v>243</v>
      </c>
    </row>
    <row r="142" spans="2:10" ht="15" customHeight="1">
      <c r="B142" s="114">
        <v>2022</v>
      </c>
      <c r="C142" s="113">
        <f t="shared" si="22"/>
        <v>30</v>
      </c>
      <c r="D142" s="112">
        <f t="shared" si="23"/>
        <v>24</v>
      </c>
      <c r="E142" s="112">
        <f t="shared" si="23"/>
        <v>37</v>
      </c>
      <c r="F142" s="112">
        <f t="shared" si="23"/>
        <v>32</v>
      </c>
      <c r="G142" s="112">
        <f t="shared" si="23"/>
        <v>33</v>
      </c>
      <c r="H142" s="112">
        <f t="shared" si="23"/>
        <v>38</v>
      </c>
      <c r="I142" s="112">
        <f t="shared" si="23"/>
        <v>36</v>
      </c>
      <c r="J142" s="111">
        <f t="shared" si="24"/>
        <v>230</v>
      </c>
    </row>
    <row r="143" spans="2:10" ht="15" customHeight="1">
      <c r="B143" s="114">
        <v>2023</v>
      </c>
      <c r="C143" s="113">
        <f t="shared" si="22"/>
        <v>34.609235352532274</v>
      </c>
      <c r="D143" s="112">
        <f t="shared" si="23"/>
        <v>29</v>
      </c>
      <c r="E143" s="112">
        <f t="shared" si="23"/>
        <v>22</v>
      </c>
      <c r="F143" s="112">
        <f t="shared" si="23"/>
        <v>34</v>
      </c>
      <c r="G143" s="112">
        <f t="shared" si="23"/>
        <v>30</v>
      </c>
      <c r="H143" s="112">
        <f t="shared" si="23"/>
        <v>35</v>
      </c>
      <c r="I143" s="112">
        <f t="shared" si="23"/>
        <v>36</v>
      </c>
      <c r="J143" s="111">
        <f t="shared" si="24"/>
        <v>220.60923535253227</v>
      </c>
    </row>
    <row r="144" spans="2:10" ht="15" customHeight="1">
      <c r="B144" s="114">
        <v>2024</v>
      </c>
      <c r="C144" s="113">
        <f t="shared" si="22"/>
        <v>34.609235352532274</v>
      </c>
      <c r="D144" s="112">
        <f t="shared" si="23"/>
        <v>33</v>
      </c>
      <c r="E144" s="112">
        <f t="shared" si="23"/>
        <v>27</v>
      </c>
      <c r="F144" s="112">
        <f t="shared" si="23"/>
        <v>20</v>
      </c>
      <c r="G144" s="112">
        <f t="shared" si="23"/>
        <v>32</v>
      </c>
      <c r="H144" s="112">
        <f t="shared" si="23"/>
        <v>32</v>
      </c>
      <c r="I144" s="112">
        <f t="shared" si="23"/>
        <v>33</v>
      </c>
      <c r="J144" s="111">
        <f t="shared" si="24"/>
        <v>211.60923535253227</v>
      </c>
    </row>
    <row r="145" spans="2:16" ht="15" customHeight="1">
      <c r="B145" s="114">
        <v>2025</v>
      </c>
      <c r="C145" s="113">
        <f t="shared" si="22"/>
        <v>35.289440582588547</v>
      </c>
      <c r="D145" s="112">
        <f t="shared" si="23"/>
        <v>33</v>
      </c>
      <c r="E145" s="112">
        <f t="shared" si="23"/>
        <v>31</v>
      </c>
      <c r="F145" s="112">
        <f t="shared" si="23"/>
        <v>25</v>
      </c>
      <c r="G145" s="112">
        <f t="shared" si="23"/>
        <v>19</v>
      </c>
      <c r="H145" s="112">
        <f t="shared" si="23"/>
        <v>34</v>
      </c>
      <c r="I145" s="112">
        <f t="shared" si="23"/>
        <v>30</v>
      </c>
      <c r="J145" s="111">
        <f t="shared" si="24"/>
        <v>207.28944058258855</v>
      </c>
    </row>
    <row r="146" spans="2:16" ht="15" customHeight="1">
      <c r="B146" s="114">
        <v>2026</v>
      </c>
      <c r="C146" s="113">
        <f t="shared" si="22"/>
        <v>35.289440582588547</v>
      </c>
      <c r="D146" s="112">
        <f t="shared" si="23"/>
        <v>34</v>
      </c>
      <c r="E146" s="112">
        <f t="shared" si="23"/>
        <v>31</v>
      </c>
      <c r="F146" s="112">
        <f t="shared" si="23"/>
        <v>29</v>
      </c>
      <c r="G146" s="112">
        <f t="shared" si="23"/>
        <v>23</v>
      </c>
      <c r="H146" s="112">
        <f t="shared" si="23"/>
        <v>20</v>
      </c>
      <c r="I146" s="112">
        <f t="shared" si="23"/>
        <v>32</v>
      </c>
      <c r="J146" s="111">
        <f t="shared" si="24"/>
        <v>204.28944058258855</v>
      </c>
    </row>
    <row r="147" spans="2:16" ht="15" customHeight="1">
      <c r="B147" s="114">
        <v>2027</v>
      </c>
      <c r="C147" s="113">
        <f t="shared" si="22"/>
        <v>35.969645812644821</v>
      </c>
      <c r="D147" s="112">
        <f t="shared" si="23"/>
        <v>34</v>
      </c>
      <c r="E147" s="112">
        <f t="shared" si="23"/>
        <v>32</v>
      </c>
      <c r="F147" s="112">
        <f t="shared" si="23"/>
        <v>29</v>
      </c>
      <c r="G147" s="112">
        <f t="shared" si="23"/>
        <v>27</v>
      </c>
      <c r="H147" s="112">
        <f t="shared" si="23"/>
        <v>24</v>
      </c>
      <c r="I147" s="112">
        <f t="shared" si="23"/>
        <v>19</v>
      </c>
      <c r="J147" s="111">
        <f t="shared" si="24"/>
        <v>200.96964581264481</v>
      </c>
    </row>
    <row r="148" spans="2:16" ht="15" customHeight="1">
      <c r="B148" s="114">
        <v>2028</v>
      </c>
      <c r="C148" s="113">
        <f t="shared" si="22"/>
        <v>35.969645812644821</v>
      </c>
      <c r="D148" s="112">
        <f t="shared" si="23"/>
        <v>35</v>
      </c>
      <c r="E148" s="112">
        <f t="shared" si="23"/>
        <v>32</v>
      </c>
      <c r="F148" s="112">
        <f t="shared" si="23"/>
        <v>30</v>
      </c>
      <c r="G148" s="112">
        <f t="shared" si="23"/>
        <v>27</v>
      </c>
      <c r="H148" s="112">
        <f t="shared" si="23"/>
        <v>29</v>
      </c>
      <c r="I148" s="112">
        <f t="shared" si="23"/>
        <v>22</v>
      </c>
      <c r="J148" s="111">
        <f t="shared" ref="J148:J152" si="25">SUM(C148:I148)</f>
        <v>210.96964581264481</v>
      </c>
    </row>
    <row r="149" spans="2:16" ht="15" customHeight="1">
      <c r="B149" s="114">
        <v>2029</v>
      </c>
      <c r="C149" s="113">
        <f t="shared" si="22"/>
        <v>35.969645812644821</v>
      </c>
      <c r="D149" s="112">
        <f t="shared" si="23"/>
        <v>35</v>
      </c>
      <c r="E149" s="112">
        <f t="shared" si="23"/>
        <v>33</v>
      </c>
      <c r="F149" s="112">
        <f t="shared" si="23"/>
        <v>30</v>
      </c>
      <c r="G149" s="112">
        <f t="shared" si="23"/>
        <v>28</v>
      </c>
      <c r="H149" s="112">
        <f t="shared" si="23"/>
        <v>29</v>
      </c>
      <c r="I149" s="112">
        <f t="shared" si="23"/>
        <v>27</v>
      </c>
      <c r="J149" s="111">
        <f t="shared" si="25"/>
        <v>217.96964581264481</v>
      </c>
    </row>
    <row r="150" spans="2:16" ht="15" customHeight="1">
      <c r="B150" s="114">
        <v>2030</v>
      </c>
      <c r="C150" s="113">
        <f t="shared" si="22"/>
        <v>35.969645812644821</v>
      </c>
      <c r="D150" s="112">
        <f t="shared" si="23"/>
        <v>35</v>
      </c>
      <c r="E150" s="112">
        <f t="shared" si="23"/>
        <v>33</v>
      </c>
      <c r="F150" s="112">
        <f t="shared" si="23"/>
        <v>30</v>
      </c>
      <c r="G150" s="112">
        <f t="shared" si="23"/>
        <v>28</v>
      </c>
      <c r="H150" s="112">
        <f t="shared" si="23"/>
        <v>30</v>
      </c>
      <c r="I150" s="112">
        <f t="shared" si="23"/>
        <v>27</v>
      </c>
      <c r="J150" s="111">
        <f t="shared" si="25"/>
        <v>218.96964581264481</v>
      </c>
    </row>
    <row r="151" spans="2:16" ht="15" customHeight="1">
      <c r="B151" s="114">
        <v>2031</v>
      </c>
      <c r="C151" s="113">
        <f t="shared" si="22"/>
        <v>35.969645812644821</v>
      </c>
      <c r="D151" s="112">
        <f t="shared" si="23"/>
        <v>35</v>
      </c>
      <c r="E151" s="112">
        <f t="shared" si="23"/>
        <v>33</v>
      </c>
      <c r="F151" s="112">
        <f t="shared" si="23"/>
        <v>30</v>
      </c>
      <c r="G151" s="112">
        <f t="shared" si="23"/>
        <v>28</v>
      </c>
      <c r="H151" s="112">
        <f t="shared" si="23"/>
        <v>30</v>
      </c>
      <c r="I151" s="112">
        <f t="shared" si="23"/>
        <v>28</v>
      </c>
      <c r="J151" s="111">
        <f t="shared" si="25"/>
        <v>219.96964581264481</v>
      </c>
    </row>
    <row r="152" spans="2:16" ht="15" customHeight="1">
      <c r="B152" s="114">
        <v>2032</v>
      </c>
      <c r="C152" s="113">
        <f t="shared" si="22"/>
        <v>35.969645812644821</v>
      </c>
      <c r="D152" s="112">
        <f t="shared" si="23"/>
        <v>35</v>
      </c>
      <c r="E152" s="112">
        <f t="shared" si="23"/>
        <v>33</v>
      </c>
      <c r="F152" s="112">
        <f t="shared" si="23"/>
        <v>30</v>
      </c>
      <c r="G152" s="112">
        <f t="shared" si="23"/>
        <v>28</v>
      </c>
      <c r="H152" s="112">
        <f t="shared" si="23"/>
        <v>30</v>
      </c>
      <c r="I152" s="112">
        <f t="shared" si="23"/>
        <v>28</v>
      </c>
      <c r="J152" s="111">
        <f t="shared" si="25"/>
        <v>219.96964581264481</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246.69046673286991</v>
      </c>
      <c r="D159" s="108">
        <f>J140</f>
        <v>260.09149288315126</v>
      </c>
      <c r="E159" s="108">
        <f>J141</f>
        <v>243</v>
      </c>
      <c r="F159" s="108">
        <f>J142</f>
        <v>230</v>
      </c>
      <c r="G159" s="108">
        <f>J143</f>
        <v>220.60923535253227</v>
      </c>
      <c r="H159" s="108">
        <f>J144</f>
        <v>211.60923535253227</v>
      </c>
      <c r="I159" s="108">
        <f>J145</f>
        <v>207.28944058258855</v>
      </c>
      <c r="J159" s="108">
        <f>J146</f>
        <v>204.28944058258855</v>
      </c>
      <c r="K159" s="108">
        <f>J147</f>
        <v>200.96964581264481</v>
      </c>
      <c r="L159" s="108">
        <f>J148</f>
        <v>210.96964581264481</v>
      </c>
      <c r="M159" s="108">
        <f>J149</f>
        <v>217.96964581264481</v>
      </c>
      <c r="N159" s="108">
        <f>J150</f>
        <v>218.96964581264481</v>
      </c>
      <c r="O159" s="108">
        <f>J151</f>
        <v>219.96964581264481</v>
      </c>
      <c r="P159" s="108">
        <f>J152</f>
        <v>219.96964581264481</v>
      </c>
    </row>
    <row r="160" spans="2:16" ht="15" customHeight="1">
      <c r="B160" s="107" t="s">
        <v>152</v>
      </c>
      <c r="C160" s="106">
        <f>VLOOKUP(C159,Capacity!$A$1:$C$645,2,TRUE)</f>
        <v>10</v>
      </c>
      <c r="D160" s="106">
        <f>VLOOKUP(D159,Capacity!$A$1:$C$645,2,TRUE)</f>
        <v>11</v>
      </c>
      <c r="E160" s="106">
        <f>VLOOKUP(E159,Capacity!$A$1:$C$645,2,TRUE)</f>
        <v>10</v>
      </c>
      <c r="F160" s="106">
        <f>VLOOKUP(F159,Capacity!$A$1:$C$645,2,TRUE)</f>
        <v>9</v>
      </c>
      <c r="G160" s="106">
        <f>VLOOKUP(G159,Capacity!$A$1:$C$645,2,TRUE)</f>
        <v>9</v>
      </c>
      <c r="H160" s="106">
        <f>VLOOKUP(H159,Capacity!$A$1:$C$645,2,TRUE)</f>
        <v>8</v>
      </c>
      <c r="I160" s="106">
        <f>VLOOKUP(I159,Capacity!$A$1:$C$645,2,TRUE)</f>
        <v>7</v>
      </c>
      <c r="J160" s="106">
        <f>VLOOKUP(J159,Capacity!$A$1:$C$645,2,TRUE)</f>
        <v>7</v>
      </c>
      <c r="K160" s="106">
        <f>VLOOKUP(K159,Capacity!$A$1:$C$645,2,TRUE)</f>
        <v>7</v>
      </c>
      <c r="L160" s="106">
        <f>VLOOKUP(L159,Capacity!$A$1:$C$645,2,TRUE)</f>
        <v>7</v>
      </c>
      <c r="M160" s="106">
        <f>VLOOKUP(M159,Capacity!$A$1:$C$645,2,TRUE)</f>
        <v>8</v>
      </c>
      <c r="N160" s="106">
        <f>VLOOKUP(N159,Capacity!$A$1:$C$645,2,TRUE)</f>
        <v>9</v>
      </c>
      <c r="O160" s="106">
        <f>VLOOKUP(O159,Capacity!$A$1:$C$645,2,TRUE)</f>
        <v>9</v>
      </c>
      <c r="P160" s="106">
        <f>VLOOKUP(P159,Capacity!$A$1:$C$645,2,TRUE)</f>
        <v>9</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61</v>
      </c>
      <c r="D169" s="97">
        <f>VLOOKUP($E$3,'Catchment Births'!$A$1:$U$90,11,FALSE)</f>
        <v>62</v>
      </c>
      <c r="E169" s="97">
        <f>VLOOKUP($E$3,'Catchment Births'!$A$1:$U$90,12,FALSE)</f>
        <v>73</v>
      </c>
      <c r="F169" s="97">
        <f>VLOOKUP($E$3,'Catchment Births'!$A$1:$U$90,13,FALSE)</f>
        <v>75</v>
      </c>
      <c r="G169" s="97">
        <f>VLOOKUP($E$3,'Catchment Births'!$A$1:$U$90,14,FALSE)</f>
        <v>55</v>
      </c>
      <c r="H169" s="97">
        <f>VLOOKUP($E$3,'Catchment Births'!$A$1:$U$90,15,FALSE)</f>
        <v>77</v>
      </c>
      <c r="I169" s="97">
        <f>VLOOKUP($E$3,'Catchment Births'!$A$1:$U$90,16,FALSE)</f>
        <v>81</v>
      </c>
      <c r="J169" s="97">
        <f>VLOOKUP($E$3,'Catchment Births'!$A$1:$U$90,17,FALSE)</f>
        <v>75</v>
      </c>
      <c r="K169" s="97">
        <f>VLOOKUP($E$3,'Catchment Births'!$A$1:$U$90,18,FALSE)</f>
        <v>85</v>
      </c>
      <c r="L169" s="97">
        <f>VLOOKUP($E$3,'Catchment Births'!$A$1:$U$90,19,FALSE)</f>
        <v>85</v>
      </c>
      <c r="M169" s="97">
        <f>VLOOKUP($E$3,'Catchment Births'!$A$1:$U$90,20,FALSE)</f>
        <v>71</v>
      </c>
      <c r="N169" s="97">
        <f>VLOOKUP($E$3,'Catchment Births'!$A$1:$U$90,21,FALSE)</f>
        <v>78</v>
      </c>
    </row>
    <row r="170" spans="2:14" ht="58.5" customHeight="1">
      <c r="B170" s="103" t="str">
        <f>"P1 "&amp;A35&amp;" Catchment Population (Actual)"</f>
        <v>P1 ND Catchment Population (Actual)</v>
      </c>
      <c r="C170" s="102" t="e">
        <v>#REF!</v>
      </c>
      <c r="D170" s="102">
        <v>41</v>
      </c>
      <c r="E170" s="102">
        <v>46</v>
      </c>
      <c r="F170" s="102">
        <v>62</v>
      </c>
      <c r="G170" s="102">
        <v>44</v>
      </c>
      <c r="H170" s="102">
        <v>58</v>
      </c>
      <c r="I170" s="102">
        <v>60</v>
      </c>
      <c r="J170" s="308">
        <f>VLOOKUP(E3,'Catchment Projections'!A1:BU92,42,FALSE)</f>
        <v>53</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60</v>
      </c>
      <c r="J172" s="96" t="e">
        <f>#REF!</f>
        <v>#REF!</v>
      </c>
      <c r="K172" s="96">
        <f>D51</f>
        <v>51</v>
      </c>
      <c r="L172" s="96">
        <f>E51</f>
        <v>56</v>
      </c>
      <c r="M172" s="96">
        <f>F51</f>
        <v>37</v>
      </c>
      <c r="N172" s="96">
        <f>G51</f>
        <v>41</v>
      </c>
    </row>
    <row r="173" spans="2:14" ht="12.75">
      <c r="B173" s="62"/>
      <c r="C173" s="62"/>
      <c r="D173" s="62"/>
      <c r="E173" s="62"/>
      <c r="F173" s="62"/>
      <c r="G173" s="62"/>
      <c r="H173" s="62"/>
      <c r="I173" s="62"/>
      <c r="J173" s="62"/>
      <c r="K173" s="62"/>
    </row>
    <row r="174" spans="2:14" ht="15" customHeight="1">
      <c r="B174" s="64" t="str">
        <f>"Table 5: "&amp;E3&amp;" Roll by Stage, 2002-2018"</f>
        <v>Table 5: Sighthill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22</v>
      </c>
      <c r="D177" s="93">
        <v>32</v>
      </c>
      <c r="E177" s="93">
        <v>33</v>
      </c>
      <c r="F177" s="93">
        <v>33</v>
      </c>
      <c r="G177" s="93">
        <v>32</v>
      </c>
      <c r="H177" s="93">
        <v>29</v>
      </c>
      <c r="I177" s="93">
        <v>26</v>
      </c>
      <c r="J177" s="92">
        <v>207</v>
      </c>
      <c r="K177" s="62"/>
    </row>
    <row r="178" spans="2:11" ht="15" customHeight="1">
      <c r="B178" s="94">
        <v>2003</v>
      </c>
      <c r="C178" s="93">
        <v>35</v>
      </c>
      <c r="D178" s="93">
        <v>23</v>
      </c>
      <c r="E178" s="93">
        <v>32</v>
      </c>
      <c r="F178" s="93">
        <v>25</v>
      </c>
      <c r="G178" s="93">
        <v>30</v>
      </c>
      <c r="H178" s="93">
        <v>31</v>
      </c>
      <c r="I178" s="93">
        <v>30</v>
      </c>
      <c r="J178" s="92">
        <v>206</v>
      </c>
      <c r="K178" s="62"/>
    </row>
    <row r="179" spans="2:11" customFormat="1" ht="15" customHeight="1">
      <c r="B179" s="94">
        <v>2004</v>
      </c>
      <c r="C179" s="95">
        <v>17</v>
      </c>
      <c r="D179" s="95">
        <v>35</v>
      </c>
      <c r="E179" s="95">
        <v>24</v>
      </c>
      <c r="F179" s="95">
        <v>33</v>
      </c>
      <c r="G179" s="95">
        <v>25</v>
      </c>
      <c r="H179" s="95">
        <v>27</v>
      </c>
      <c r="I179" s="95">
        <v>28</v>
      </c>
      <c r="J179" s="92">
        <v>189</v>
      </c>
      <c r="K179" s="62"/>
    </row>
    <row r="180" spans="2:11" customFormat="1" ht="15" customHeight="1">
      <c r="B180" s="94">
        <v>2005</v>
      </c>
      <c r="C180" s="93">
        <v>20</v>
      </c>
      <c r="D180" s="93">
        <v>17</v>
      </c>
      <c r="E180" s="93">
        <v>34</v>
      </c>
      <c r="F180" s="93">
        <v>25</v>
      </c>
      <c r="G180" s="93">
        <v>33</v>
      </c>
      <c r="H180" s="93">
        <v>28</v>
      </c>
      <c r="I180" s="93">
        <v>26</v>
      </c>
      <c r="J180" s="92">
        <v>183</v>
      </c>
      <c r="K180" s="62"/>
    </row>
    <row r="181" spans="2:11" customFormat="1" ht="15" customHeight="1">
      <c r="B181" s="94">
        <v>2006</v>
      </c>
      <c r="C181" s="93">
        <v>29</v>
      </c>
      <c r="D181" s="93">
        <v>19</v>
      </c>
      <c r="E181" s="93">
        <v>14</v>
      </c>
      <c r="F181" s="93">
        <v>35</v>
      </c>
      <c r="G181" s="93">
        <v>24</v>
      </c>
      <c r="H181" s="93">
        <v>33</v>
      </c>
      <c r="I181" s="93">
        <v>28</v>
      </c>
      <c r="J181" s="92">
        <v>182</v>
      </c>
      <c r="K181" s="62"/>
    </row>
    <row r="182" spans="2:11" customFormat="1" ht="15" customHeight="1">
      <c r="B182" s="94">
        <v>2007</v>
      </c>
      <c r="C182" s="93">
        <v>17</v>
      </c>
      <c r="D182" s="93">
        <v>26</v>
      </c>
      <c r="E182" s="93">
        <v>16</v>
      </c>
      <c r="F182" s="93">
        <v>17</v>
      </c>
      <c r="G182" s="93">
        <v>30</v>
      </c>
      <c r="H182" s="93">
        <v>21</v>
      </c>
      <c r="I182" s="93">
        <v>29</v>
      </c>
      <c r="J182" s="92">
        <v>156</v>
      </c>
      <c r="K182" s="62"/>
    </row>
    <row r="183" spans="2:11" customFormat="1" ht="15" customHeight="1">
      <c r="B183" s="94">
        <v>2008</v>
      </c>
      <c r="C183" s="93">
        <v>31</v>
      </c>
      <c r="D183" s="93">
        <v>18</v>
      </c>
      <c r="E183" s="93">
        <v>29</v>
      </c>
      <c r="F183" s="93">
        <v>14</v>
      </c>
      <c r="G183" s="93">
        <v>17</v>
      </c>
      <c r="H183" s="93">
        <v>28</v>
      </c>
      <c r="I183" s="93">
        <v>18</v>
      </c>
      <c r="J183" s="92">
        <v>155</v>
      </c>
      <c r="K183" s="62"/>
    </row>
    <row r="184" spans="2:11" customFormat="1" ht="15" customHeight="1">
      <c r="B184" s="94">
        <v>2009</v>
      </c>
      <c r="C184" s="93">
        <v>18</v>
      </c>
      <c r="D184" s="93">
        <v>30</v>
      </c>
      <c r="E184" s="93">
        <v>16</v>
      </c>
      <c r="F184" s="93">
        <v>31</v>
      </c>
      <c r="G184" s="93">
        <v>18</v>
      </c>
      <c r="H184" s="93">
        <v>19</v>
      </c>
      <c r="I184" s="93">
        <v>29</v>
      </c>
      <c r="J184" s="94">
        <v>161</v>
      </c>
      <c r="K184" s="62"/>
    </row>
    <row r="185" spans="2:11" customFormat="1" ht="15" customHeight="1">
      <c r="B185" s="94">
        <v>2010</v>
      </c>
      <c r="C185" s="93">
        <v>32</v>
      </c>
      <c r="D185" s="93">
        <v>21</v>
      </c>
      <c r="E185" s="93">
        <v>29</v>
      </c>
      <c r="F185" s="93">
        <v>22</v>
      </c>
      <c r="G185" s="93">
        <v>28</v>
      </c>
      <c r="H185" s="93">
        <v>16</v>
      </c>
      <c r="I185" s="93">
        <v>14</v>
      </c>
      <c r="J185" s="92">
        <v>162</v>
      </c>
      <c r="K185" s="62"/>
    </row>
    <row r="186" spans="2:11" customFormat="1" ht="15" customHeight="1">
      <c r="B186" s="94">
        <v>2011</v>
      </c>
      <c r="C186" s="93">
        <v>26</v>
      </c>
      <c r="D186" s="93">
        <v>29</v>
      </c>
      <c r="E186" s="93">
        <v>17</v>
      </c>
      <c r="F186" s="93">
        <v>27</v>
      </c>
      <c r="G186" s="93">
        <v>21</v>
      </c>
      <c r="H186" s="93">
        <v>28</v>
      </c>
      <c r="I186" s="93">
        <v>14</v>
      </c>
      <c r="J186" s="92">
        <v>162</v>
      </c>
      <c r="K186" s="62"/>
    </row>
    <row r="187" spans="2:11" customFormat="1" ht="15" customHeight="1">
      <c r="B187" s="94">
        <v>2012</v>
      </c>
      <c r="C187" s="93">
        <v>44</v>
      </c>
      <c r="D187" s="93">
        <v>22</v>
      </c>
      <c r="E187" s="93">
        <v>27</v>
      </c>
      <c r="F187" s="93">
        <v>18</v>
      </c>
      <c r="G187" s="93">
        <v>25</v>
      </c>
      <c r="H187" s="93">
        <v>15</v>
      </c>
      <c r="I187" s="93">
        <v>28</v>
      </c>
      <c r="J187" s="92">
        <v>179</v>
      </c>
      <c r="K187" s="62"/>
    </row>
    <row r="188" spans="2:11" customFormat="1" ht="15" customHeight="1">
      <c r="B188" s="94">
        <v>2013</v>
      </c>
      <c r="C188" s="93">
        <v>33</v>
      </c>
      <c r="D188" s="93">
        <v>39</v>
      </c>
      <c r="E188" s="93">
        <v>19</v>
      </c>
      <c r="F188" s="93">
        <v>29</v>
      </c>
      <c r="G188" s="93">
        <v>17</v>
      </c>
      <c r="H188" s="93">
        <v>21</v>
      </c>
      <c r="I188" s="93">
        <v>14</v>
      </c>
      <c r="J188" s="94">
        <v>172</v>
      </c>
      <c r="K188" s="62"/>
    </row>
    <row r="189" spans="2:11" customFormat="1" ht="15" customHeight="1">
      <c r="B189" s="94">
        <v>2014</v>
      </c>
      <c r="C189" s="93">
        <v>49</v>
      </c>
      <c r="D189" s="93">
        <v>36</v>
      </c>
      <c r="E189" s="93">
        <v>41</v>
      </c>
      <c r="F189" s="93">
        <v>23</v>
      </c>
      <c r="G189" s="93">
        <v>28</v>
      </c>
      <c r="H189" s="93">
        <v>18</v>
      </c>
      <c r="I189" s="93">
        <v>19</v>
      </c>
      <c r="J189" s="92">
        <v>214</v>
      </c>
      <c r="K189" s="65"/>
    </row>
    <row r="190" spans="2:11" customFormat="1" ht="15" customHeight="1">
      <c r="B190" s="94">
        <v>2015</v>
      </c>
      <c r="C190" s="93">
        <v>44</v>
      </c>
      <c r="D190" s="93">
        <v>47</v>
      </c>
      <c r="E190" s="93">
        <v>33</v>
      </c>
      <c r="F190" s="93">
        <v>34</v>
      </c>
      <c r="G190" s="93">
        <v>24</v>
      </c>
      <c r="H190" s="93">
        <v>30</v>
      </c>
      <c r="I190" s="93">
        <v>14</v>
      </c>
      <c r="J190" s="92">
        <v>226</v>
      </c>
      <c r="K190" s="65"/>
    </row>
    <row r="191" spans="2:11" customFormat="1" ht="15" customHeight="1">
      <c r="B191" s="94">
        <v>2016</v>
      </c>
      <c r="C191" s="93">
        <v>38</v>
      </c>
      <c r="D191" s="93">
        <v>35</v>
      </c>
      <c r="E191" s="93">
        <v>38</v>
      </c>
      <c r="F191" s="93">
        <v>28</v>
      </c>
      <c r="G191" s="93">
        <v>31</v>
      </c>
      <c r="H191" s="93">
        <v>20</v>
      </c>
      <c r="I191" s="93">
        <v>28</v>
      </c>
      <c r="J191" s="92">
        <v>218</v>
      </c>
      <c r="K191" s="65"/>
    </row>
    <row r="192" spans="2:11" ht="15" customHeight="1">
      <c r="B192" s="94">
        <v>2017</v>
      </c>
      <c r="C192" s="93">
        <f>VLOOKUP($E$3,Rolls!A1:FA90,42,FALSE)</f>
        <v>46</v>
      </c>
      <c r="D192" s="93">
        <f>VLOOKUP($E$3,Rolls!A1:FA90,43,FALSE)</f>
        <v>44</v>
      </c>
      <c r="E192" s="93">
        <f>VLOOKUP($E$3,Rolls!A1:FA90,44,FALSE)</f>
        <v>36</v>
      </c>
      <c r="F192" s="93">
        <f>VLOOKUP($E$3,Rolls!A1:FA90,45,FALSE)</f>
        <v>35</v>
      </c>
      <c r="G192" s="93">
        <f>VLOOKUP($E$3,Rolls!A1:FA90,46,FALSE)</f>
        <v>26</v>
      </c>
      <c r="H192" s="93">
        <f>VLOOKUP($E$3,Rolls!A1:FA90,47,FALSE)</f>
        <v>33</v>
      </c>
      <c r="I192" s="93">
        <f>VLOOKUP($E$3,Rolls!A1:FA90,48,FALSE)</f>
        <v>23</v>
      </c>
      <c r="J192" s="92">
        <f>VLOOKUP($E$3,Rolls!A1:FA90,49,FALSE)</f>
        <v>243</v>
      </c>
      <c r="K192" s="65"/>
    </row>
    <row r="193" spans="2:11" ht="15" customHeight="1">
      <c r="B193" s="94">
        <v>2018</v>
      </c>
      <c r="C193" s="93">
        <f>VLOOKUP($E$3,Rolls!A1:FA90,50,FALSE)</f>
        <v>42</v>
      </c>
      <c r="D193" s="93">
        <f>VLOOKUP($E$3,Rolls!A1:FA90,51,FALSE)</f>
        <v>44</v>
      </c>
      <c r="E193" s="93">
        <f>VLOOKUP($E$3,Rolls!A1:FA90,52,FALSE)</f>
        <v>41</v>
      </c>
      <c r="F193" s="93">
        <f>VLOOKUP($E$3,Rolls!A1:FA90,53,FALSE)</f>
        <v>35</v>
      </c>
      <c r="G193" s="93">
        <f>VLOOKUP($E$3,Rolls!A1:FA90,54,FALSE)</f>
        <v>31</v>
      </c>
      <c r="H193" s="93">
        <f>VLOOKUP($E$3,Rolls!A1:FA90,55,FALSE)</f>
        <v>23</v>
      </c>
      <c r="I193" s="93">
        <f>VLOOKUP($E$3,Rolls!A1:FA90,56,FALSE)</f>
        <v>32</v>
      </c>
      <c r="J193" s="92">
        <f>VLOOKUP($E$3,Rolls!A1:FA90,57,FALSE)</f>
        <v>248</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64</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South Morningside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630 Pupils (21 classes)</v>
      </c>
      <c r="G12" s="16"/>
      <c r="H12" s="16"/>
    </row>
    <row r="13" spans="2:10" ht="15" customHeight="1">
      <c r="C13" s="16"/>
      <c r="D13" s="16"/>
      <c r="E13" s="16"/>
      <c r="F13" s="16"/>
      <c r="G13" s="16"/>
      <c r="H13" s="16"/>
    </row>
    <row r="14" spans="2:10" ht="15" customHeight="1">
      <c r="B14" s="15" t="str">
        <f>"Figure 1: "&amp;E3&amp;" Roll, 2002-2015"</f>
        <v>Figure 1: South Morningside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South Morningside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87</v>
      </c>
      <c r="E49" s="108">
        <f>VLOOKUP($E$3,'Catchment Projections'!$A$1:$BU$90,46,FALSE)</f>
        <v>86</v>
      </c>
      <c r="F49" s="108">
        <f>VLOOKUP($E$3,'Catchment Projections'!$A$1:$BU$90,47,FALSE)</f>
        <v>105</v>
      </c>
      <c r="G49" s="108">
        <f>VLOOKUP($E$3,'Catchment Projections'!$A$1:$BU$90,48,FALSE)</f>
        <v>82</v>
      </c>
      <c r="H49" s="133">
        <f>VLOOKUP($E$3,'Catchment Projections'!$A$1:$BU$90,49,FALSE)</f>
        <v>92</v>
      </c>
      <c r="I49" s="133">
        <f>VLOOKUP($E$3,'Catchment Projections'!$A$1:$BU$90,50,FALSE)</f>
        <v>93</v>
      </c>
      <c r="J49" s="133">
        <f>VLOOKUP($E$3,'Catchment Projections'!$A$1:$BU$90,51,FALSE)</f>
        <v>94</v>
      </c>
      <c r="K49" s="133">
        <f>VLOOKUP($E$3,'Catchment Projections'!$A$1:$BU$90,52,FALSE)</f>
        <v>95</v>
      </c>
      <c r="L49" s="133">
        <f>VLOOKUP($E$3,'Catchment Projections'!$A$1:$BU$90,53,FALSE)</f>
        <v>96</v>
      </c>
      <c r="M49" s="133">
        <f>VLOOKUP($E$3,'Catchment Projections'!$A$1:$BU$90,54,FALSE)</f>
        <v>96</v>
      </c>
      <c r="N49" s="133">
        <f>VLOOKUP($E$3,'Catchment Projections'!$A$1:$BU$90,55,FALSE)</f>
        <v>96</v>
      </c>
      <c r="O49" s="133">
        <f>VLOOKUP($E$3,'Catchment Projections'!$A$1:$BU$90,56,FALSE)</f>
        <v>97</v>
      </c>
      <c r="P49" s="133">
        <f>VLOOKUP($E$3,'Catchment Projections'!$A$1:$BU$90,57,FALSE)</f>
        <v>97</v>
      </c>
      <c r="Q49" s="133">
        <f>VLOOKUP($E$3,'Catchment Projections'!$A$1:$BU$90,58,FALSE)</f>
        <v>97</v>
      </c>
    </row>
    <row r="50" spans="2:17" ht="15" customHeight="1" thickBot="1">
      <c r="B50" s="410" t="s">
        <v>141</v>
      </c>
      <c r="C50" s="411"/>
      <c r="D50" s="286">
        <f>VLOOKUP(E3,'Housing Generation'!$A$3:$DQ$90,10,FALSE)</f>
        <v>1</v>
      </c>
      <c r="E50" s="286">
        <f>VLOOKUP(E3,'Housing Generation'!$A$3:$DQ$90,18,FALSE)</f>
        <v>2</v>
      </c>
      <c r="F50" s="286">
        <f>VLOOKUP(E3,'Housing Generation'!$A$3:$DQ$90,26,FALSE)</f>
        <v>3</v>
      </c>
      <c r="G50" s="243">
        <f>VLOOKUP(E3,'Housing Generation'!$A$3:$DQ$90,34,FALSE)</f>
        <v>3</v>
      </c>
      <c r="H50" s="133">
        <f>VLOOKUP(E3,'Housing Generation'!$A$3:$DQ$90,42,FALSE)</f>
        <v>3</v>
      </c>
      <c r="I50" s="133">
        <f>VLOOKUP(E3,'Housing Generation'!$A$3:$DQ$90,50,FALSE)</f>
        <v>3</v>
      </c>
      <c r="J50" s="133">
        <f>VLOOKUP(E3,'Housing Generation'!$A$3:$CK$90,58,FALSE)</f>
        <v>3</v>
      </c>
      <c r="K50" s="133">
        <f>VLOOKUP(E3,'Housing Generation'!$A$3:$CK$90,66,FALSE)</f>
        <v>3</v>
      </c>
      <c r="L50" s="133">
        <f>VLOOKUP(E3,'Housing Generation'!$A$3:$DQ$90,74,FALSE)</f>
        <v>3</v>
      </c>
      <c r="M50" s="133">
        <f>VLOOKUP(E3,'Housing Generation'!$A$3:$DQ$90,82,FALSE)</f>
        <v>3</v>
      </c>
      <c r="N50" s="133">
        <f>VLOOKUP(E3,'Housing Generation'!$A$3:$DQ$90,90,FALSE)</f>
        <v>3</v>
      </c>
      <c r="O50" s="133">
        <f>VLOOKUP(E3,'Housing Generation'!$A$3:$DQ$90,98,FALSE)</f>
        <v>3</v>
      </c>
      <c r="P50" s="133">
        <f>VLOOKUP(E3,'Housing Generation'!$A$3:$DQ$90,106,FALSE)</f>
        <v>3</v>
      </c>
      <c r="Q50" s="133">
        <f>VLOOKUP(E3,'Housing Generation'!$A$3:$DQ$90,114,FALSE)</f>
        <v>3</v>
      </c>
    </row>
    <row r="51" spans="2:17" ht="15" customHeight="1" thickTop="1">
      <c r="B51" s="421" t="s">
        <v>130</v>
      </c>
      <c r="C51" s="422"/>
      <c r="D51" s="47">
        <f t="shared" ref="D51:Q51" si="0">SUM(D49:D50)</f>
        <v>88</v>
      </c>
      <c r="E51" s="47">
        <f t="shared" si="0"/>
        <v>88</v>
      </c>
      <c r="F51" s="80">
        <f t="shared" si="0"/>
        <v>108</v>
      </c>
      <c r="G51" s="244">
        <f t="shared" si="0"/>
        <v>85</v>
      </c>
      <c r="H51" s="71">
        <f t="shared" si="0"/>
        <v>95</v>
      </c>
      <c r="I51" s="71">
        <f t="shared" si="0"/>
        <v>96</v>
      </c>
      <c r="J51" s="71">
        <f t="shared" si="0"/>
        <v>97</v>
      </c>
      <c r="K51" s="71">
        <f t="shared" si="0"/>
        <v>98</v>
      </c>
      <c r="L51" s="71">
        <f t="shared" si="0"/>
        <v>99</v>
      </c>
      <c r="M51" s="71">
        <f t="shared" si="0"/>
        <v>99</v>
      </c>
      <c r="N51" s="71">
        <f t="shared" si="0"/>
        <v>99</v>
      </c>
      <c r="O51" s="71">
        <f t="shared" si="0"/>
        <v>100</v>
      </c>
      <c r="P51" s="71">
        <f t="shared" si="0"/>
        <v>100</v>
      </c>
      <c r="Q51" s="71">
        <f t="shared" si="0"/>
        <v>100</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96</v>
      </c>
      <c r="D60" s="358">
        <f>VLOOKUP($E$3,'Catchment Projections'!$A$1:$BZ$90,74,FALSE)</f>
        <v>95</v>
      </c>
      <c r="E60" s="303">
        <f>D60/C60</f>
        <v>0.98958333333333337</v>
      </c>
      <c r="G60" s="132">
        <v>2014</v>
      </c>
      <c r="H60" s="395">
        <f>VLOOKUP($G$60,$B$177:$C$215, 2, FALSE)</f>
        <v>96</v>
      </c>
      <c r="I60" s="120">
        <f>H60-D60</f>
        <v>1</v>
      </c>
      <c r="J60" s="121">
        <f>I60/H60</f>
        <v>1.0416666666666666E-2</v>
      </c>
    </row>
    <row r="61" spans="2:17" ht="15" customHeight="1">
      <c r="B61" s="132">
        <v>2015</v>
      </c>
      <c r="C61" s="359">
        <f>VLOOKUP($E$3,'Catchment Projections'!$A$1:$BZ$90,41,FALSE)</f>
        <v>95</v>
      </c>
      <c r="D61" s="358">
        <f>VLOOKUP($E$3,'Catchment Projections'!$A$1:$BZ$90,75,FALSE)</f>
        <v>91</v>
      </c>
      <c r="E61" s="303">
        <f>D61/C61</f>
        <v>0.95789473684210524</v>
      </c>
      <c r="G61" s="132">
        <v>2015</v>
      </c>
      <c r="H61" s="395">
        <f>VLOOKUP($G$61,$B$177:$C$215, 2, FALSE)</f>
        <v>93</v>
      </c>
      <c r="I61" s="120">
        <f>H61-D61</f>
        <v>2</v>
      </c>
      <c r="J61" s="121">
        <f>I61/H61</f>
        <v>2.1505376344086023E-2</v>
      </c>
    </row>
    <row r="62" spans="2:17" ht="15" customHeight="1">
      <c r="B62" s="131">
        <v>2016</v>
      </c>
      <c r="C62" s="359">
        <f>VLOOKUP($E$3,'Catchment Projections'!$A$1:$BZ$90,42,FALSE)</f>
        <v>85</v>
      </c>
      <c r="D62" s="358">
        <f>VLOOKUP($E$3,'Catchment Projections'!$A$1:$BZ$90,76,FALSE)</f>
        <v>85</v>
      </c>
      <c r="E62" s="57">
        <f>D62/C62</f>
        <v>1</v>
      </c>
      <c r="G62" s="131">
        <v>2016</v>
      </c>
      <c r="H62" s="395">
        <f>VLOOKUP($G$62,$B$177:$C$215, 2, FALSE)</f>
        <v>86</v>
      </c>
      <c r="I62" s="120">
        <f>H62-D62</f>
        <v>1</v>
      </c>
      <c r="J62" s="121">
        <f>I62/H62</f>
        <v>1.1627906976744186E-2</v>
      </c>
    </row>
    <row r="63" spans="2:17" ht="15" customHeight="1">
      <c r="B63" s="114">
        <v>2017</v>
      </c>
      <c r="C63" s="359">
        <f>VLOOKUP($E$3,'Catchment Projections'!$A$1:$BZ$90,43,FALSE)</f>
        <v>86</v>
      </c>
      <c r="D63" s="358">
        <f>VLOOKUP($E$3,'Catchment Projections'!$A$1:$BZ$90,77,FALSE)</f>
        <v>85</v>
      </c>
      <c r="E63" s="304">
        <f>D63/C63</f>
        <v>0.98837209302325579</v>
      </c>
      <c r="G63" s="114">
        <v>2017</v>
      </c>
      <c r="H63" s="395">
        <f>VLOOKUP($G$63,$B$177:$C$215, 2, FALSE)</f>
        <v>88</v>
      </c>
      <c r="I63" s="120">
        <f>H63-D63</f>
        <v>3</v>
      </c>
      <c r="J63" s="121">
        <f>I63/H63</f>
        <v>3.4090909090909088E-2</v>
      </c>
    </row>
    <row r="64" spans="2:17" ht="15" customHeight="1">
      <c r="B64" s="114">
        <v>2018</v>
      </c>
      <c r="C64" s="359">
        <f>VLOOKUP($E$3,'Catchment Projections'!$A$1:$BZ$90,44,FALSE)</f>
        <v>105</v>
      </c>
      <c r="D64" s="358">
        <f>VLOOKUP($E$3,'Catchment Projections'!$A$1:$BZ$90,78,FALSE)</f>
        <v>102</v>
      </c>
      <c r="E64" s="305">
        <f>D64/C64</f>
        <v>0.97142857142857142</v>
      </c>
      <c r="G64" s="114">
        <v>2018</v>
      </c>
      <c r="H64" s="395">
        <f>VLOOKUP($G$64,$B$177:$C$215, 2, FALSE)</f>
        <v>103</v>
      </c>
      <c r="I64" s="120">
        <f>H64-D64</f>
        <v>1</v>
      </c>
      <c r="J64" s="121">
        <f>I64/H64</f>
        <v>9.7087378640776691E-3</v>
      </c>
    </row>
    <row r="65" spans="2:10" ht="15" customHeight="1">
      <c r="B65" s="412" t="s">
        <v>136</v>
      </c>
      <c r="C65" s="413"/>
      <c r="D65" s="414"/>
      <c r="E65" s="137">
        <f>IF((AVERAGE(E62:E64))="#DIV/0!","n/a",(AVERAGE(E62:E64)))</f>
        <v>0.98660022148394244</v>
      </c>
      <c r="G65" s="415" t="s">
        <v>137</v>
      </c>
      <c r="H65" s="416"/>
      <c r="I65" s="138">
        <f>MEDIAN(I60:I64)</f>
        <v>1</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88</v>
      </c>
      <c r="D70" s="408"/>
      <c r="E70" s="122">
        <f>E65</f>
        <v>0.98660022148394244</v>
      </c>
      <c r="F70" s="120">
        <f t="shared" ref="F70:F83" si="1">C70*$E$65</f>
        <v>86.820819490586928</v>
      </c>
      <c r="G70" s="118">
        <f>IF(F70&lt;26,25,IF(F70&gt;135,140,IF(F70&gt;130,135,IF(F70&gt;125,130,IF(F70&gt;120,125,IF(F70&gt;115,120,IF(F70&gt;110,115,IF(F70&gt;105,110,IF(F70&gt;100,105,IF(F70&gt;99,100,IF(F70&gt;90,99,IF(F70&gt;75,90,IF(F70&gt;72,75,IF(F70&gt;66,72,IF(F70&gt;60,66,IF(F70&gt;50,60,IF(F70&gt;30,50,IF(F70&gt;25,30,0))))))))))))))))))</f>
        <v>90</v>
      </c>
      <c r="H70" s="119">
        <f t="shared" ref="H70:H83" si="2">G70-F70</f>
        <v>3.1791805094130723</v>
      </c>
      <c r="I70" s="118" t="str">
        <f>IF(I$65&lt;H70, "NO", "YES")</f>
        <v>NO</v>
      </c>
      <c r="J70" s="117">
        <f t="shared" ref="J70:J83" si="3">IF(I70="YES",G70,(MIN((SUM(F70,$I$65)),G70)))</f>
        <v>87.820819490586928</v>
      </c>
    </row>
    <row r="71" spans="2:10" ht="15" customHeight="1">
      <c r="B71" s="114">
        <v>2020</v>
      </c>
      <c r="C71" s="433">
        <f>E51</f>
        <v>88</v>
      </c>
      <c r="D71" s="408"/>
      <c r="E71" s="121">
        <f>E65</f>
        <v>0.98660022148394244</v>
      </c>
      <c r="F71" s="120">
        <f t="shared" si="1"/>
        <v>86.820819490586928</v>
      </c>
      <c r="G71" s="118">
        <f t="shared" ref="G71:G83" si="4">IF(F71&lt;26,25,IF(F71&gt;135,140,IF(F71&gt;130,135,IF(F71&gt;125,130,IF(F71&gt;120,125,IF(F71&gt;115,120,IF(F71&gt;110,115,IF(F71&gt;105,110,IF(F71&gt;100,105,IF(F71&gt;99,100,IF(F71&gt;90,99,IF(F71&gt;75,90,IF(F71&gt;72,75,IF(F71&gt;66,72,IF(F71&gt;60,66,IF(F71&gt;50,60,IF(F71&gt;30,50,IF(F71&gt;25,30,0))))))))))))))))))</f>
        <v>90</v>
      </c>
      <c r="H71" s="119">
        <f t="shared" si="2"/>
        <v>3.1791805094130723</v>
      </c>
      <c r="I71" s="118" t="str">
        <f t="shared" ref="I71:I83" si="5">IF(I$65&lt;H71, "NO", "YES")</f>
        <v>NO</v>
      </c>
      <c r="J71" s="117">
        <f t="shared" si="3"/>
        <v>87.820819490586928</v>
      </c>
    </row>
    <row r="72" spans="2:10" ht="15" customHeight="1">
      <c r="B72" s="114">
        <v>2021</v>
      </c>
      <c r="C72" s="430">
        <f>F51</f>
        <v>108</v>
      </c>
      <c r="D72" s="431"/>
      <c r="E72" s="121">
        <f>E65</f>
        <v>0.98660022148394244</v>
      </c>
      <c r="F72" s="120">
        <f t="shared" si="1"/>
        <v>106.55282392026578</v>
      </c>
      <c r="G72" s="118">
        <f t="shared" si="4"/>
        <v>110</v>
      </c>
      <c r="H72" s="119">
        <f t="shared" si="2"/>
        <v>3.4471760797342199</v>
      </c>
      <c r="I72" s="118" t="str">
        <f t="shared" si="5"/>
        <v>NO</v>
      </c>
      <c r="J72" s="117">
        <f t="shared" si="3"/>
        <v>107.55282392026578</v>
      </c>
    </row>
    <row r="73" spans="2:10" ht="15" customHeight="1">
      <c r="B73" s="114">
        <v>2022</v>
      </c>
      <c r="C73" s="430">
        <f>G51</f>
        <v>85</v>
      </c>
      <c r="D73" s="431"/>
      <c r="E73" s="121">
        <f>E65</f>
        <v>0.98660022148394244</v>
      </c>
      <c r="F73" s="120">
        <f t="shared" si="1"/>
        <v>83.861018826135108</v>
      </c>
      <c r="G73" s="118">
        <f t="shared" si="4"/>
        <v>90</v>
      </c>
      <c r="H73" s="119">
        <f t="shared" si="2"/>
        <v>6.1389811738648916</v>
      </c>
      <c r="I73" s="118" t="str">
        <f t="shared" si="5"/>
        <v>NO</v>
      </c>
      <c r="J73" s="117">
        <f t="shared" si="3"/>
        <v>84.861018826135108</v>
      </c>
    </row>
    <row r="74" spans="2:10" ht="15" customHeight="1">
      <c r="B74" s="114">
        <v>2023</v>
      </c>
      <c r="C74" s="430">
        <f>H51</f>
        <v>95</v>
      </c>
      <c r="D74" s="431"/>
      <c r="E74" s="121">
        <f>E65</f>
        <v>0.98660022148394244</v>
      </c>
      <c r="F74" s="120">
        <f t="shared" si="1"/>
        <v>93.727021040974535</v>
      </c>
      <c r="G74" s="118">
        <f t="shared" si="4"/>
        <v>99</v>
      </c>
      <c r="H74" s="119">
        <f t="shared" si="2"/>
        <v>5.2729789590254654</v>
      </c>
      <c r="I74" s="118" t="str">
        <f t="shared" si="5"/>
        <v>NO</v>
      </c>
      <c r="J74" s="117">
        <f t="shared" si="3"/>
        <v>94.727021040974535</v>
      </c>
    </row>
    <row r="75" spans="2:10" ht="15" customHeight="1">
      <c r="B75" s="114">
        <v>2024</v>
      </c>
      <c r="C75" s="430">
        <f>I51</f>
        <v>96</v>
      </c>
      <c r="D75" s="431"/>
      <c r="E75" s="121">
        <f>E65</f>
        <v>0.98660022148394244</v>
      </c>
      <c r="F75" s="120">
        <f t="shared" si="1"/>
        <v>94.713621262458474</v>
      </c>
      <c r="G75" s="118">
        <f t="shared" si="4"/>
        <v>99</v>
      </c>
      <c r="H75" s="119">
        <f t="shared" si="2"/>
        <v>4.2863787375415257</v>
      </c>
      <c r="I75" s="118" t="str">
        <f t="shared" si="5"/>
        <v>NO</v>
      </c>
      <c r="J75" s="117">
        <f t="shared" si="3"/>
        <v>95.713621262458474</v>
      </c>
    </row>
    <row r="76" spans="2:10" ht="15" customHeight="1">
      <c r="B76" s="114">
        <v>2025</v>
      </c>
      <c r="C76" s="430">
        <f>J51</f>
        <v>97</v>
      </c>
      <c r="D76" s="431"/>
      <c r="E76" s="121">
        <f>E65</f>
        <v>0.98660022148394244</v>
      </c>
      <c r="F76" s="120">
        <f t="shared" si="1"/>
        <v>95.700221483942414</v>
      </c>
      <c r="G76" s="118">
        <f t="shared" si="4"/>
        <v>99</v>
      </c>
      <c r="H76" s="119">
        <f t="shared" si="2"/>
        <v>3.2997785160575859</v>
      </c>
      <c r="I76" s="118" t="str">
        <f t="shared" si="5"/>
        <v>NO</v>
      </c>
      <c r="J76" s="117">
        <f t="shared" si="3"/>
        <v>96.700221483942414</v>
      </c>
    </row>
    <row r="77" spans="2:10" ht="15" customHeight="1">
      <c r="B77" s="114">
        <v>2026</v>
      </c>
      <c r="C77" s="430">
        <f>K51</f>
        <v>98</v>
      </c>
      <c r="D77" s="431"/>
      <c r="E77" s="121">
        <f>E65</f>
        <v>0.98660022148394244</v>
      </c>
      <c r="F77" s="120">
        <f t="shared" si="1"/>
        <v>96.686821705426354</v>
      </c>
      <c r="G77" s="118">
        <f t="shared" si="4"/>
        <v>99</v>
      </c>
      <c r="H77" s="119">
        <f t="shared" si="2"/>
        <v>2.3131782945736461</v>
      </c>
      <c r="I77" s="118" t="str">
        <f t="shared" si="5"/>
        <v>NO</v>
      </c>
      <c r="J77" s="117">
        <f t="shared" si="3"/>
        <v>97.686821705426354</v>
      </c>
    </row>
    <row r="78" spans="2:10" ht="15" customHeight="1">
      <c r="B78" s="114">
        <v>2027</v>
      </c>
      <c r="C78" s="430">
        <f>L51</f>
        <v>99</v>
      </c>
      <c r="D78" s="431"/>
      <c r="E78" s="121">
        <f>E65</f>
        <v>0.98660022148394244</v>
      </c>
      <c r="F78" s="120">
        <f t="shared" si="1"/>
        <v>97.673421926910308</v>
      </c>
      <c r="G78" s="118">
        <f t="shared" si="4"/>
        <v>99</v>
      </c>
      <c r="H78" s="119">
        <f t="shared" si="2"/>
        <v>1.3265780730896921</v>
      </c>
      <c r="I78" s="118" t="str">
        <f t="shared" si="5"/>
        <v>NO</v>
      </c>
      <c r="J78" s="117">
        <f t="shared" si="3"/>
        <v>98.673421926910308</v>
      </c>
    </row>
    <row r="79" spans="2:10" ht="15" customHeight="1">
      <c r="B79" s="114">
        <v>2028</v>
      </c>
      <c r="C79" s="430">
        <f>M51</f>
        <v>99</v>
      </c>
      <c r="D79" s="431"/>
      <c r="E79" s="121">
        <f t="shared" ref="E79:E83" si="6">$E$65</f>
        <v>0.98660022148394244</v>
      </c>
      <c r="F79" s="120">
        <f t="shared" si="1"/>
        <v>97.673421926910308</v>
      </c>
      <c r="G79" s="118">
        <f t="shared" si="4"/>
        <v>99</v>
      </c>
      <c r="H79" s="119">
        <f t="shared" si="2"/>
        <v>1.3265780730896921</v>
      </c>
      <c r="I79" s="118" t="str">
        <f t="shared" si="5"/>
        <v>NO</v>
      </c>
      <c r="J79" s="117">
        <f t="shared" si="3"/>
        <v>98.673421926910308</v>
      </c>
    </row>
    <row r="80" spans="2:10" ht="15" customHeight="1">
      <c r="B80" s="114">
        <v>2029</v>
      </c>
      <c r="C80" s="430">
        <f>N51</f>
        <v>99</v>
      </c>
      <c r="D80" s="431"/>
      <c r="E80" s="121">
        <f t="shared" si="6"/>
        <v>0.98660022148394244</v>
      </c>
      <c r="F80" s="120">
        <f t="shared" si="1"/>
        <v>97.673421926910308</v>
      </c>
      <c r="G80" s="118">
        <f t="shared" si="4"/>
        <v>99</v>
      </c>
      <c r="H80" s="119">
        <f t="shared" si="2"/>
        <v>1.3265780730896921</v>
      </c>
      <c r="I80" s="118" t="str">
        <f t="shared" si="5"/>
        <v>NO</v>
      </c>
      <c r="J80" s="117">
        <f t="shared" si="3"/>
        <v>98.673421926910308</v>
      </c>
    </row>
    <row r="81" spans="2:10" ht="15" customHeight="1">
      <c r="B81" s="114">
        <v>2030</v>
      </c>
      <c r="C81" s="430">
        <f>O51</f>
        <v>100</v>
      </c>
      <c r="D81" s="431"/>
      <c r="E81" s="121">
        <f t="shared" si="6"/>
        <v>0.98660022148394244</v>
      </c>
      <c r="F81" s="120">
        <f t="shared" si="1"/>
        <v>98.660022148394248</v>
      </c>
      <c r="G81" s="118">
        <f t="shared" si="4"/>
        <v>99</v>
      </c>
      <c r="H81" s="119">
        <f t="shared" si="2"/>
        <v>0.33997785160575233</v>
      </c>
      <c r="I81" s="118" t="str">
        <f t="shared" si="5"/>
        <v>YES</v>
      </c>
      <c r="J81" s="117">
        <f t="shared" si="3"/>
        <v>99</v>
      </c>
    </row>
    <row r="82" spans="2:10" ht="15" customHeight="1">
      <c r="B82" s="114">
        <v>2031</v>
      </c>
      <c r="C82" s="430">
        <f>P51</f>
        <v>100</v>
      </c>
      <c r="D82" s="431"/>
      <c r="E82" s="121">
        <f t="shared" si="6"/>
        <v>0.98660022148394244</v>
      </c>
      <c r="F82" s="120">
        <f t="shared" si="1"/>
        <v>98.660022148394248</v>
      </c>
      <c r="G82" s="118">
        <f t="shared" si="4"/>
        <v>99</v>
      </c>
      <c r="H82" s="119">
        <f t="shared" si="2"/>
        <v>0.33997785160575233</v>
      </c>
      <c r="I82" s="118" t="str">
        <f t="shared" si="5"/>
        <v>YES</v>
      </c>
      <c r="J82" s="117">
        <f t="shared" si="3"/>
        <v>99</v>
      </c>
    </row>
    <row r="83" spans="2:10" ht="15" customHeight="1">
      <c r="B83" s="114">
        <v>2032</v>
      </c>
      <c r="C83" s="430">
        <f>Q51</f>
        <v>100</v>
      </c>
      <c r="D83" s="431"/>
      <c r="E83" s="121">
        <f t="shared" si="6"/>
        <v>0.98660022148394244</v>
      </c>
      <c r="F83" s="120">
        <f t="shared" si="1"/>
        <v>98.660022148394248</v>
      </c>
      <c r="G83" s="118">
        <f t="shared" si="4"/>
        <v>99</v>
      </c>
      <c r="H83" s="119">
        <f t="shared" si="2"/>
        <v>0.33997785160575233</v>
      </c>
      <c r="I83" s="118" t="str">
        <f t="shared" si="5"/>
        <v>YES</v>
      </c>
      <c r="J83" s="117">
        <f t="shared" si="3"/>
        <v>99</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South Morningside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88</v>
      </c>
      <c r="D91" s="112">
        <f t="shared" ref="D91:J91" si="7">D188</f>
        <v>89</v>
      </c>
      <c r="E91" s="112">
        <f t="shared" si="7"/>
        <v>98</v>
      </c>
      <c r="F91" s="112">
        <f t="shared" si="7"/>
        <v>91</v>
      </c>
      <c r="G91" s="112">
        <f t="shared" si="7"/>
        <v>85</v>
      </c>
      <c r="H91" s="112">
        <f t="shared" si="7"/>
        <v>80</v>
      </c>
      <c r="I91" s="112">
        <f t="shared" si="7"/>
        <v>65</v>
      </c>
      <c r="J91" s="213">
        <f t="shared" si="7"/>
        <v>596</v>
      </c>
    </row>
    <row r="92" spans="2:10" ht="15" customHeight="1">
      <c r="B92" s="114">
        <v>2014</v>
      </c>
      <c r="C92" s="112">
        <f>C189</f>
        <v>96</v>
      </c>
      <c r="D92" s="112">
        <f t="shared" ref="D92:J92" si="8">D189</f>
        <v>90</v>
      </c>
      <c r="E92" s="112">
        <f t="shared" si="8"/>
        <v>89</v>
      </c>
      <c r="F92" s="112">
        <f t="shared" si="8"/>
        <v>98</v>
      </c>
      <c r="G92" s="112">
        <f t="shared" si="8"/>
        <v>91</v>
      </c>
      <c r="H92" s="112">
        <f t="shared" si="8"/>
        <v>86</v>
      </c>
      <c r="I92" s="112">
        <f t="shared" si="8"/>
        <v>77</v>
      </c>
      <c r="J92" s="213">
        <f t="shared" si="8"/>
        <v>627</v>
      </c>
    </row>
    <row r="93" spans="2:10" ht="15" customHeight="1">
      <c r="B93" s="114">
        <v>2015</v>
      </c>
      <c r="C93" s="112">
        <f>C190</f>
        <v>93</v>
      </c>
      <c r="D93" s="112">
        <f t="shared" ref="D93:J93" si="9">D190</f>
        <v>99</v>
      </c>
      <c r="E93" s="112">
        <f t="shared" si="9"/>
        <v>89</v>
      </c>
      <c r="F93" s="112">
        <f t="shared" si="9"/>
        <v>90</v>
      </c>
      <c r="G93" s="112">
        <f t="shared" si="9"/>
        <v>98</v>
      </c>
      <c r="H93" s="112">
        <f t="shared" si="9"/>
        <v>89</v>
      </c>
      <c r="I93" s="112">
        <f t="shared" si="9"/>
        <v>87</v>
      </c>
      <c r="J93" s="213">
        <f t="shared" si="9"/>
        <v>645</v>
      </c>
    </row>
    <row r="94" spans="2:10" ht="15" customHeight="1">
      <c r="B94" s="114">
        <v>2016</v>
      </c>
      <c r="C94" s="112">
        <f>C191</f>
        <v>86</v>
      </c>
      <c r="D94" s="112">
        <f t="shared" ref="D94:J94" si="10">D191</f>
        <v>94</v>
      </c>
      <c r="E94" s="112">
        <f t="shared" si="10"/>
        <v>98</v>
      </c>
      <c r="F94" s="112">
        <f t="shared" si="10"/>
        <v>91</v>
      </c>
      <c r="G94" s="112">
        <f t="shared" si="10"/>
        <v>91</v>
      </c>
      <c r="H94" s="112">
        <f t="shared" si="10"/>
        <v>99</v>
      </c>
      <c r="I94" s="112">
        <f t="shared" si="10"/>
        <v>83</v>
      </c>
      <c r="J94" s="213">
        <f t="shared" si="10"/>
        <v>642</v>
      </c>
    </row>
    <row r="95" spans="2:10" ht="15" customHeight="1">
      <c r="B95" s="114">
        <v>2017</v>
      </c>
      <c r="C95" s="112">
        <f>C192</f>
        <v>88</v>
      </c>
      <c r="D95" s="112">
        <f t="shared" ref="D95:J95" si="11">D192</f>
        <v>90</v>
      </c>
      <c r="E95" s="112">
        <f t="shared" si="11"/>
        <v>95</v>
      </c>
      <c r="F95" s="112">
        <f t="shared" si="11"/>
        <v>96</v>
      </c>
      <c r="G95" s="112">
        <f t="shared" si="11"/>
        <v>93</v>
      </c>
      <c r="H95" s="112">
        <f t="shared" si="11"/>
        <v>87</v>
      </c>
      <c r="I95" s="112">
        <f t="shared" si="11"/>
        <v>99</v>
      </c>
      <c r="J95" s="213">
        <f t="shared" si="11"/>
        <v>648</v>
      </c>
    </row>
    <row r="96" spans="2:10" ht="15" customHeight="1">
      <c r="B96" s="307">
        <v>2018</v>
      </c>
      <c r="C96" s="112">
        <f t="shared" ref="C96:J96" si="12">C193</f>
        <v>103</v>
      </c>
      <c r="D96" s="112">
        <f t="shared" si="12"/>
        <v>88</v>
      </c>
      <c r="E96" s="112">
        <f t="shared" si="12"/>
        <v>88</v>
      </c>
      <c r="F96" s="112">
        <f t="shared" si="12"/>
        <v>99</v>
      </c>
      <c r="G96" s="112">
        <f t="shared" si="12"/>
        <v>98</v>
      </c>
      <c r="H96" s="112">
        <f t="shared" si="12"/>
        <v>87</v>
      </c>
      <c r="I96" s="112">
        <f t="shared" si="12"/>
        <v>80</v>
      </c>
      <c r="J96" s="213">
        <f t="shared" si="12"/>
        <v>643</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-2.2727272727272728E-2</v>
      </c>
      <c r="E98" s="210">
        <f t="shared" ref="E98:I98" si="13">MEDIAN(((D91-E92)/D91),((D92-E93)/D92),((D93-E94)/D93),((D94-E95)/D94),((D95-E96)/D95))</f>
        <v>1.0101010101010102E-2</v>
      </c>
      <c r="F98" s="210">
        <f t="shared" si="13"/>
        <v>-1.1235955056179775E-2</v>
      </c>
      <c r="G98" s="210">
        <f t="shared" si="13"/>
        <v>-1.1111111111111112E-2</v>
      </c>
      <c r="H98" s="210">
        <f t="shared" si="13"/>
        <v>2.197802197802198E-2</v>
      </c>
      <c r="I98" s="210">
        <f t="shared" si="13"/>
        <v>3.7499999999999999E-2</v>
      </c>
    </row>
    <row r="99" spans="2:10" ht="18.75">
      <c r="B99" s="59"/>
      <c r="C99" s="60"/>
      <c r="D99" s="61"/>
      <c r="E99" s="61"/>
      <c r="F99" s="61"/>
      <c r="G99" s="61"/>
      <c r="H99" s="61"/>
      <c r="I99" s="61"/>
      <c r="J99" s="58"/>
    </row>
    <row r="100" spans="2:10">
      <c r="B100" s="15" t="str">
        <f>"Table 4B: "&amp;E3&amp;" Projected Roll by Stage (incorporating Projected P1 and Drop-Off Rates), 2019-2032"</f>
        <v>Table 4B: South Morningside Primary School Projected Roll by Stage (incorporating Projected P1 and Drop-Off Rates), 2019-2032</v>
      </c>
      <c r="F100" s="14"/>
      <c r="G100" s="14"/>
    </row>
    <row r="101" spans="2:10" ht="12.75">
      <c r="F101" s="14"/>
      <c r="G101" s="14"/>
    </row>
    <row r="102" spans="2:10">
      <c r="B102" s="115"/>
      <c r="C102" s="109" t="s">
        <v>1</v>
      </c>
      <c r="D102" s="109" t="s">
        <v>2</v>
      </c>
      <c r="E102" s="109" t="s">
        <v>3</v>
      </c>
      <c r="F102" s="109" t="s">
        <v>4</v>
      </c>
      <c r="G102" s="109" t="s">
        <v>5</v>
      </c>
      <c r="H102" s="109" t="s">
        <v>6</v>
      </c>
      <c r="I102" s="109" t="s">
        <v>7</v>
      </c>
      <c r="J102" s="109" t="s">
        <v>8</v>
      </c>
    </row>
    <row r="103" spans="2:10">
      <c r="B103" s="114">
        <v>2019</v>
      </c>
      <c r="C103" s="113">
        <f t="shared" ref="C103:C116" si="14">J70</f>
        <v>87.820819490586928</v>
      </c>
      <c r="D103" s="324">
        <f>ROUND((C96)-(C96*$D$98),0)</f>
        <v>105</v>
      </c>
      <c r="E103" s="324">
        <f>ROUND((D96)-(D96*$E$98),0)</f>
        <v>87</v>
      </c>
      <c r="F103" s="324">
        <f>ROUND((E96)-(E96*$F$98),0)</f>
        <v>89</v>
      </c>
      <c r="G103" s="324">
        <f>ROUND((F96)-(F96*$G$98),0)</f>
        <v>100</v>
      </c>
      <c r="H103" s="324">
        <f>ROUND((G96)-(G96*$H$98),0)</f>
        <v>96</v>
      </c>
      <c r="I103" s="324">
        <f>ROUND((H96)-(H96*$I$98),0)</f>
        <v>84</v>
      </c>
      <c r="J103" s="111">
        <f t="shared" ref="J103:J116" si="15">SUM(C103:I103)</f>
        <v>648.82081949058693</v>
      </c>
    </row>
    <row r="104" spans="2:10">
      <c r="B104" s="114">
        <v>2020</v>
      </c>
      <c r="C104" s="113">
        <f t="shared" si="14"/>
        <v>87.820819490586928</v>
      </c>
      <c r="D104" s="324">
        <f>ROUND((C103-E50)-(C103*$D$98),0)</f>
        <v>88</v>
      </c>
      <c r="E104" s="112">
        <f t="shared" ref="E104:E116" si="16">ROUND((D103)-(D103*$E$98),0)</f>
        <v>104</v>
      </c>
      <c r="F104" s="112">
        <f t="shared" ref="F104:F116" si="17">ROUND((E103)-(E103*$F$98),0)</f>
        <v>88</v>
      </c>
      <c r="G104" s="112">
        <f t="shared" ref="G104:G116" si="18">ROUND((F103)-(F103*$G$98),0)</f>
        <v>90</v>
      </c>
      <c r="H104" s="112">
        <f t="shared" ref="H104:H116" si="19">ROUND((G103)-(G103*$H$98),0)</f>
        <v>98</v>
      </c>
      <c r="I104" s="112">
        <f t="shared" ref="I104:I116" si="20">ROUND((H103)-(H103*$I$98),0)</f>
        <v>92</v>
      </c>
      <c r="J104" s="111">
        <f t="shared" si="15"/>
        <v>647.82081949058693</v>
      </c>
    </row>
    <row r="105" spans="2:10">
      <c r="B105" s="114">
        <v>2021</v>
      </c>
      <c r="C105" s="113">
        <f t="shared" si="14"/>
        <v>107.55282392026578</v>
      </c>
      <c r="D105" s="324">
        <f>ROUND((C104-F50)-(C104*$D$98),0)</f>
        <v>87</v>
      </c>
      <c r="E105" s="112">
        <f t="shared" si="16"/>
        <v>87</v>
      </c>
      <c r="F105" s="112">
        <f t="shared" si="17"/>
        <v>105</v>
      </c>
      <c r="G105" s="112">
        <f t="shared" si="18"/>
        <v>89</v>
      </c>
      <c r="H105" s="112">
        <f t="shared" si="19"/>
        <v>88</v>
      </c>
      <c r="I105" s="112">
        <f t="shared" si="20"/>
        <v>94</v>
      </c>
      <c r="J105" s="111">
        <f t="shared" si="15"/>
        <v>657.55282392026584</v>
      </c>
    </row>
    <row r="106" spans="2:10">
      <c r="B106" s="114">
        <v>2022</v>
      </c>
      <c r="C106" s="113">
        <f t="shared" si="14"/>
        <v>84.861018826135108</v>
      </c>
      <c r="D106" s="324">
        <f>ROUND((C105-G50)-(C105*$D$98),0)</f>
        <v>107</v>
      </c>
      <c r="E106" s="112">
        <f t="shared" si="16"/>
        <v>86</v>
      </c>
      <c r="F106" s="112">
        <f t="shared" si="17"/>
        <v>88</v>
      </c>
      <c r="G106" s="112">
        <f t="shared" si="18"/>
        <v>106</v>
      </c>
      <c r="H106" s="112">
        <f t="shared" si="19"/>
        <v>87</v>
      </c>
      <c r="I106" s="112">
        <f t="shared" si="20"/>
        <v>85</v>
      </c>
      <c r="J106" s="111">
        <f t="shared" si="15"/>
        <v>643.86101882613514</v>
      </c>
    </row>
    <row r="107" spans="2:10">
      <c r="B107" s="114">
        <v>2023</v>
      </c>
      <c r="C107" s="113">
        <f t="shared" si="14"/>
        <v>94.727021040974535</v>
      </c>
      <c r="D107" s="324">
        <f>ROUND((C106-H50)-(C106*$D$98),0)</f>
        <v>84</v>
      </c>
      <c r="E107" s="112">
        <f t="shared" si="16"/>
        <v>106</v>
      </c>
      <c r="F107" s="112">
        <f t="shared" si="17"/>
        <v>87</v>
      </c>
      <c r="G107" s="112">
        <f t="shared" si="18"/>
        <v>89</v>
      </c>
      <c r="H107" s="112">
        <f t="shared" si="19"/>
        <v>104</v>
      </c>
      <c r="I107" s="112">
        <f t="shared" si="20"/>
        <v>84</v>
      </c>
      <c r="J107" s="111">
        <f t="shared" si="15"/>
        <v>648.72702104097448</v>
      </c>
    </row>
    <row r="108" spans="2:10">
      <c r="B108" s="114">
        <v>2024</v>
      </c>
      <c r="C108" s="113">
        <f t="shared" si="14"/>
        <v>95.713621262458474</v>
      </c>
      <c r="D108" s="324">
        <f>ROUND((C107-I50)-(C107*$D$98),0)</f>
        <v>94</v>
      </c>
      <c r="E108" s="112">
        <f t="shared" si="16"/>
        <v>83</v>
      </c>
      <c r="F108" s="112">
        <f t="shared" si="17"/>
        <v>107</v>
      </c>
      <c r="G108" s="112">
        <f t="shared" si="18"/>
        <v>88</v>
      </c>
      <c r="H108" s="112">
        <f t="shared" si="19"/>
        <v>87</v>
      </c>
      <c r="I108" s="112">
        <f t="shared" si="20"/>
        <v>100</v>
      </c>
      <c r="J108" s="111">
        <f t="shared" si="15"/>
        <v>654.71362126245845</v>
      </c>
    </row>
    <row r="109" spans="2:10">
      <c r="B109" s="114">
        <v>2025</v>
      </c>
      <c r="C109" s="113">
        <f t="shared" si="14"/>
        <v>96.700221483942414</v>
      </c>
      <c r="D109" s="324">
        <f>ROUND((C108-J50)-(C108*$D$98),0)</f>
        <v>95</v>
      </c>
      <c r="E109" s="112">
        <f t="shared" si="16"/>
        <v>93</v>
      </c>
      <c r="F109" s="112">
        <f t="shared" si="17"/>
        <v>84</v>
      </c>
      <c r="G109" s="112">
        <f t="shared" si="18"/>
        <v>108</v>
      </c>
      <c r="H109" s="112">
        <f t="shared" si="19"/>
        <v>86</v>
      </c>
      <c r="I109" s="112">
        <f t="shared" si="20"/>
        <v>84</v>
      </c>
      <c r="J109" s="111">
        <f t="shared" si="15"/>
        <v>646.70022148394241</v>
      </c>
    </row>
    <row r="110" spans="2:10">
      <c r="B110" s="114">
        <v>2026</v>
      </c>
      <c r="C110" s="113">
        <f t="shared" si="14"/>
        <v>97.686821705426354</v>
      </c>
      <c r="D110" s="324">
        <f>ROUND((C109-K50)-(C109*$D$98),0)</f>
        <v>96</v>
      </c>
      <c r="E110" s="112">
        <f t="shared" si="16"/>
        <v>94</v>
      </c>
      <c r="F110" s="112">
        <f t="shared" si="17"/>
        <v>94</v>
      </c>
      <c r="G110" s="112">
        <f t="shared" si="18"/>
        <v>85</v>
      </c>
      <c r="H110" s="112">
        <f t="shared" si="19"/>
        <v>106</v>
      </c>
      <c r="I110" s="112">
        <f t="shared" si="20"/>
        <v>83</v>
      </c>
      <c r="J110" s="111">
        <f t="shared" si="15"/>
        <v>655.68682170542638</v>
      </c>
    </row>
    <row r="111" spans="2:10">
      <c r="B111" s="114">
        <v>2027</v>
      </c>
      <c r="C111" s="113">
        <f t="shared" si="14"/>
        <v>98.673421926910308</v>
      </c>
      <c r="D111" s="324">
        <f>ROUND((C110-L50)-(C110*$D$98),0)</f>
        <v>97</v>
      </c>
      <c r="E111" s="112">
        <f t="shared" si="16"/>
        <v>95</v>
      </c>
      <c r="F111" s="112">
        <f t="shared" si="17"/>
        <v>95</v>
      </c>
      <c r="G111" s="112">
        <f t="shared" si="18"/>
        <v>95</v>
      </c>
      <c r="H111" s="112">
        <f t="shared" si="19"/>
        <v>83</v>
      </c>
      <c r="I111" s="112">
        <f t="shared" si="20"/>
        <v>102</v>
      </c>
      <c r="J111" s="111">
        <f t="shared" si="15"/>
        <v>665.67342192691035</v>
      </c>
    </row>
    <row r="112" spans="2:10">
      <c r="B112" s="114">
        <v>2028</v>
      </c>
      <c r="C112" s="113">
        <f t="shared" si="14"/>
        <v>98.673421926910308</v>
      </c>
      <c r="D112" s="324">
        <f>ROUND((C111-M50)-(C111*$D$98),0)</f>
        <v>98</v>
      </c>
      <c r="E112" s="112">
        <f t="shared" si="16"/>
        <v>96</v>
      </c>
      <c r="F112" s="112">
        <f t="shared" si="17"/>
        <v>96</v>
      </c>
      <c r="G112" s="112">
        <f t="shared" si="18"/>
        <v>96</v>
      </c>
      <c r="H112" s="112">
        <f t="shared" si="19"/>
        <v>93</v>
      </c>
      <c r="I112" s="112">
        <f t="shared" si="20"/>
        <v>80</v>
      </c>
      <c r="J112" s="111">
        <f t="shared" si="15"/>
        <v>657.67342192691035</v>
      </c>
    </row>
    <row r="113" spans="2:10" ht="15" customHeight="1">
      <c r="B113" s="114">
        <v>2029</v>
      </c>
      <c r="C113" s="113">
        <f t="shared" si="14"/>
        <v>98.673421926910308</v>
      </c>
      <c r="D113" s="324">
        <f>ROUND((C112-N50)-(C112*$D$98),0)</f>
        <v>98</v>
      </c>
      <c r="E113" s="112">
        <f t="shared" si="16"/>
        <v>97</v>
      </c>
      <c r="F113" s="112">
        <f t="shared" si="17"/>
        <v>97</v>
      </c>
      <c r="G113" s="112">
        <f t="shared" si="18"/>
        <v>97</v>
      </c>
      <c r="H113" s="112">
        <f t="shared" si="19"/>
        <v>94</v>
      </c>
      <c r="I113" s="112">
        <f t="shared" si="20"/>
        <v>90</v>
      </c>
      <c r="J113" s="111">
        <f t="shared" si="15"/>
        <v>671.67342192691035</v>
      </c>
    </row>
    <row r="114" spans="2:10" ht="15" customHeight="1">
      <c r="B114" s="114">
        <v>2030</v>
      </c>
      <c r="C114" s="113">
        <f t="shared" si="14"/>
        <v>99</v>
      </c>
      <c r="D114" s="324">
        <f>ROUND((C113-O50)-(C113*$D$98),0)</f>
        <v>98</v>
      </c>
      <c r="E114" s="112">
        <f t="shared" si="16"/>
        <v>97</v>
      </c>
      <c r="F114" s="112">
        <f t="shared" si="17"/>
        <v>98</v>
      </c>
      <c r="G114" s="112">
        <f t="shared" si="18"/>
        <v>98</v>
      </c>
      <c r="H114" s="112">
        <f t="shared" si="19"/>
        <v>95</v>
      </c>
      <c r="I114" s="112">
        <f t="shared" si="20"/>
        <v>90</v>
      </c>
      <c r="J114" s="111">
        <f t="shared" si="15"/>
        <v>675</v>
      </c>
    </row>
    <row r="115" spans="2:10" ht="15" customHeight="1">
      <c r="B115" s="114">
        <v>2031</v>
      </c>
      <c r="C115" s="113">
        <f t="shared" si="14"/>
        <v>99</v>
      </c>
      <c r="D115" s="324">
        <f>ROUND((C114-P50)-(C114*$D$98),0)</f>
        <v>98</v>
      </c>
      <c r="E115" s="112">
        <f t="shared" si="16"/>
        <v>97</v>
      </c>
      <c r="F115" s="112">
        <f t="shared" si="17"/>
        <v>98</v>
      </c>
      <c r="G115" s="112">
        <f t="shared" si="18"/>
        <v>99</v>
      </c>
      <c r="H115" s="112">
        <f t="shared" si="19"/>
        <v>96</v>
      </c>
      <c r="I115" s="112">
        <f t="shared" si="20"/>
        <v>91</v>
      </c>
      <c r="J115" s="111">
        <f t="shared" si="15"/>
        <v>678</v>
      </c>
    </row>
    <row r="116" spans="2:10" ht="15" customHeight="1">
      <c r="B116" s="114">
        <v>2032</v>
      </c>
      <c r="C116" s="113">
        <f t="shared" si="14"/>
        <v>99</v>
      </c>
      <c r="D116" s="324">
        <f>ROUND((C115-Q50)-(C115*$D$98),0)</f>
        <v>98</v>
      </c>
      <c r="E116" s="112">
        <f t="shared" si="16"/>
        <v>97</v>
      </c>
      <c r="F116" s="112">
        <f t="shared" si="17"/>
        <v>98</v>
      </c>
      <c r="G116" s="112">
        <f t="shared" si="18"/>
        <v>99</v>
      </c>
      <c r="H116" s="112">
        <f t="shared" si="19"/>
        <v>97</v>
      </c>
      <c r="I116" s="112">
        <f t="shared" si="20"/>
        <v>92</v>
      </c>
      <c r="J116" s="111">
        <f t="shared" si="15"/>
        <v>680</v>
      </c>
    </row>
    <row r="117" spans="2:10" ht="15" hidden="1" customHeight="1">
      <c r="F117" s="14"/>
      <c r="G117" s="14"/>
    </row>
    <row r="118" spans="2:10" ht="15" hidden="1" customHeight="1">
      <c r="B118" s="15" t="str">
        <f>"Table 4C: "&amp;E3&amp;" Projected Pupil Generation from Housing Development, 2019-2032"</f>
        <v>Table 4C: South Morningside Primary School Projected Pupil Generation from Housing Development, 2019-2032</v>
      </c>
      <c r="F118" s="14"/>
      <c r="G118" s="14"/>
    </row>
    <row r="119" spans="2:10" ht="15" hidden="1" customHeight="1">
      <c r="F119" s="14"/>
      <c r="G119" s="14"/>
    </row>
    <row r="120" spans="2:10" ht="15" hidden="1" customHeight="1">
      <c r="B120" s="115"/>
      <c r="C120" s="109" t="s">
        <v>1</v>
      </c>
      <c r="D120" s="109" t="s">
        <v>2</v>
      </c>
      <c r="E120" s="109" t="s">
        <v>3</v>
      </c>
      <c r="F120" s="109" t="s">
        <v>4</v>
      </c>
      <c r="G120" s="109" t="s">
        <v>5</v>
      </c>
      <c r="H120" s="109" t="s">
        <v>6</v>
      </c>
      <c r="I120" s="109" t="s">
        <v>7</v>
      </c>
      <c r="J120" s="109" t="s">
        <v>8</v>
      </c>
    </row>
    <row r="121" spans="2:10" ht="15" hidden="1" customHeight="1">
      <c r="B121" s="114">
        <v>2019</v>
      </c>
      <c r="C121" s="116" t="s">
        <v>97</v>
      </c>
      <c r="D121" s="112">
        <f>VLOOKUP($E$3,'Housing Generation'!$A$3:$BE$90,11,FALSE)</f>
        <v>1</v>
      </c>
      <c r="E121" s="112">
        <f>VLOOKUP($E$3,'Housing Generation'!$A$3:$BE$90,12,FALSE)</f>
        <v>1</v>
      </c>
      <c r="F121" s="112">
        <f>VLOOKUP($E$3,'Housing Generation'!$A$3:$BE$90,13,FALSE)</f>
        <v>1</v>
      </c>
      <c r="G121" s="112">
        <f>VLOOKUP($E$3,'Housing Generation'!$A$3:$BE$90,14,FALSE)</f>
        <v>0</v>
      </c>
      <c r="H121" s="112">
        <f>VLOOKUP($E$3,'Housing Generation'!$A$3:$BE$90,15,FALSE)</f>
        <v>0</v>
      </c>
      <c r="I121" s="112">
        <f>VLOOKUP($E$3,'Housing Generation'!$A$3:$BE$90,16,FALSE)</f>
        <v>0</v>
      </c>
      <c r="J121" s="111">
        <f t="shared" ref="J121:J134" si="21">SUM(D121:I121)</f>
        <v>3</v>
      </c>
    </row>
    <row r="122" spans="2:10" ht="15" hidden="1" customHeight="1">
      <c r="B122" s="114">
        <v>2020</v>
      </c>
      <c r="C122" s="116" t="s">
        <v>97</v>
      </c>
      <c r="D122" s="112">
        <f>VLOOKUP($E$3,'Housing Generation'!$A$3:$BE$90,19,FALSE)</f>
        <v>2</v>
      </c>
      <c r="E122" s="112">
        <f>VLOOKUP($E$3,'Housing Generation'!$A$3:$BE$90,20,FALSE)</f>
        <v>2</v>
      </c>
      <c r="F122" s="112">
        <f>VLOOKUP($E$3,'Housing Generation'!$A$3:$BE$90,21,FALSE)</f>
        <v>1</v>
      </c>
      <c r="G122" s="112">
        <f>VLOOKUP($E$3,'Housing Generation'!$A$3:$BE$90,22,FALSE)</f>
        <v>1</v>
      </c>
      <c r="H122" s="112">
        <f>VLOOKUP($E$3,'Housing Generation'!$A$3:$BE$90,23,FALSE)</f>
        <v>1</v>
      </c>
      <c r="I122" s="112">
        <f>VLOOKUP($E$3,'Housing Generation'!$A$3:$BE$90,24,FALSE)</f>
        <v>1</v>
      </c>
      <c r="J122" s="111">
        <f t="shared" si="21"/>
        <v>8</v>
      </c>
    </row>
    <row r="123" spans="2:10" ht="15" hidden="1" customHeight="1">
      <c r="B123" s="114">
        <v>2021</v>
      </c>
      <c r="C123" s="116" t="s">
        <v>97</v>
      </c>
      <c r="D123" s="112">
        <f>VLOOKUP($E$3,'Housing Generation'!$A$3:$BE$90,27,FALSE)</f>
        <v>3</v>
      </c>
      <c r="E123" s="112">
        <f>VLOOKUP($E$3,'Housing Generation'!$A$3:$BE$90,28,FALSE)</f>
        <v>2</v>
      </c>
      <c r="F123" s="112">
        <f>VLOOKUP($E$3,'Housing Generation'!$A$3:$BE$90,29,FALSE)</f>
        <v>2</v>
      </c>
      <c r="G123" s="112">
        <f>VLOOKUP($E$3,'Housing Generation'!$A$3:$BE$90,30,FALSE)</f>
        <v>2</v>
      </c>
      <c r="H123" s="112">
        <f>VLOOKUP($E$3,'Housing Generation'!$A$3:$BE$90,31,FALSE)</f>
        <v>2</v>
      </c>
      <c r="I123" s="112">
        <f>VLOOKUP($E$3,'Housing Generation'!$A$3:$BE$90,32,FALSE)</f>
        <v>2</v>
      </c>
      <c r="J123" s="111">
        <f t="shared" si="21"/>
        <v>13</v>
      </c>
    </row>
    <row r="124" spans="2:10" ht="15" hidden="1" customHeight="1">
      <c r="B124" s="114">
        <v>2022</v>
      </c>
      <c r="C124" s="116" t="s">
        <v>97</v>
      </c>
      <c r="D124" s="112">
        <f>VLOOKUP($E$3,'Housing Generation'!$A$3:$BE$90,35,FALSE)</f>
        <v>3</v>
      </c>
      <c r="E124" s="112">
        <f>VLOOKUP($E$3,'Housing Generation'!$A$3:$BE$90,36,FALSE)</f>
        <v>3</v>
      </c>
      <c r="F124" s="112">
        <f>VLOOKUP($E$3,'Housing Generation'!$A$3:$BE$90,37,FALSE)</f>
        <v>3</v>
      </c>
      <c r="G124" s="112">
        <f>VLOOKUP($E$3,'Housing Generation'!$A$3:$BE$90,38,FALSE)</f>
        <v>2</v>
      </c>
      <c r="H124" s="112">
        <f>VLOOKUP($E$3,'Housing Generation'!$A$3:$BE$90,39,FALSE)</f>
        <v>2</v>
      </c>
      <c r="I124" s="112">
        <f>VLOOKUP($E$3,'Housing Generation'!$A$3:$BE$90,40,FALSE)</f>
        <v>2</v>
      </c>
      <c r="J124" s="111">
        <f t="shared" si="21"/>
        <v>15</v>
      </c>
    </row>
    <row r="125" spans="2:10" ht="15" hidden="1" customHeight="1">
      <c r="B125" s="114">
        <v>2023</v>
      </c>
      <c r="C125" s="116" t="s">
        <v>97</v>
      </c>
      <c r="D125" s="112">
        <f>VLOOKUP($E$3,'Housing Generation'!$A$3:$BE$90,43,FALSE)</f>
        <v>3</v>
      </c>
      <c r="E125" s="112">
        <f>VLOOKUP($E$3,'Housing Generation'!$A$3:$BE$90,44,FALSE)</f>
        <v>3</v>
      </c>
      <c r="F125" s="112">
        <f>VLOOKUP($E$3,'Housing Generation'!$A$3:$BE$90,45,FALSE)</f>
        <v>3</v>
      </c>
      <c r="G125" s="112">
        <f>VLOOKUP($E$3,'Housing Generation'!$A$3:$BE$90,46,FALSE)</f>
        <v>2</v>
      </c>
      <c r="H125" s="112">
        <f>VLOOKUP($E$3,'Housing Generation'!$A$3:$BE$90,47,FALSE)</f>
        <v>2</v>
      </c>
      <c r="I125" s="112">
        <f>VLOOKUP($E$3,'Housing Generation'!$A$3:$BE$90,48,FALSE)</f>
        <v>2</v>
      </c>
      <c r="J125" s="111">
        <f t="shared" si="21"/>
        <v>15</v>
      </c>
    </row>
    <row r="126" spans="2:10" ht="15" hidden="1" customHeight="1">
      <c r="B126" s="114">
        <v>2024</v>
      </c>
      <c r="C126" s="116" t="s">
        <v>97</v>
      </c>
      <c r="D126" s="112">
        <f>VLOOKUP($E$3,'Housing Generation'!$A$3:$BE$90,51,FALSE)</f>
        <v>3</v>
      </c>
      <c r="E126" s="112">
        <f>VLOOKUP($E$3,'Housing Generation'!$A$3:$BE$90,52,FALSE)</f>
        <v>3</v>
      </c>
      <c r="F126" s="112">
        <f>VLOOKUP($E$3,'Housing Generation'!$A$3:$BE$90,53,FALSE)</f>
        <v>3</v>
      </c>
      <c r="G126" s="112">
        <f>VLOOKUP($E$3,'Housing Generation'!$A$3:$BE$90,54,FALSE)</f>
        <v>2</v>
      </c>
      <c r="H126" s="112">
        <f>VLOOKUP($E$3,'Housing Generation'!$A$3:$BE$90,55,FALSE)</f>
        <v>2</v>
      </c>
      <c r="I126" s="112">
        <f>VLOOKUP($E$3,'Housing Generation'!$A$3:$BE$90,56,FALSE)</f>
        <v>2</v>
      </c>
      <c r="J126" s="111">
        <f t="shared" si="21"/>
        <v>15</v>
      </c>
    </row>
    <row r="127" spans="2:10" ht="15" hidden="1" customHeight="1">
      <c r="B127" s="114">
        <v>2025</v>
      </c>
      <c r="C127" s="240" t="s">
        <v>97</v>
      </c>
      <c r="D127" s="112">
        <f>VLOOKUP($E$3,'Housing Generation'!$A$3:$CK$90,59,FALSE)</f>
        <v>3</v>
      </c>
      <c r="E127" s="112">
        <f>VLOOKUP($E$3,'Housing Generation'!$A$3:$CK$90,60,FALSE)</f>
        <v>3</v>
      </c>
      <c r="F127" s="112">
        <f>VLOOKUP($E$3,'Housing Generation'!$A$3:$CK$90,61,FALSE)</f>
        <v>3</v>
      </c>
      <c r="G127" s="112">
        <f>VLOOKUP($E$3,'Housing Generation'!$A$3:$CK$90,62,FALSE)</f>
        <v>2</v>
      </c>
      <c r="H127" s="112">
        <f>VLOOKUP($E$3,'Housing Generation'!$A$3:$CK$90,63,FALSE)</f>
        <v>2</v>
      </c>
      <c r="I127" s="112">
        <f>VLOOKUP($E$3,'Housing Generation'!$A$3:$CK$90,64,FALSE)</f>
        <v>2</v>
      </c>
      <c r="J127" s="111">
        <f t="shared" si="21"/>
        <v>15</v>
      </c>
    </row>
    <row r="128" spans="2:10" ht="15" hidden="1" customHeight="1">
      <c r="B128" s="114">
        <v>2026</v>
      </c>
      <c r="C128" s="240" t="s">
        <v>97</v>
      </c>
      <c r="D128" s="112">
        <f>VLOOKUP($E$3,'Housing Generation'!$A$3:$CK$90,67,FALSE)</f>
        <v>3</v>
      </c>
      <c r="E128" s="112">
        <f>VLOOKUP($E$3,'Housing Generation'!$A$3:$CK$90,68,FALSE)</f>
        <v>3</v>
      </c>
      <c r="F128" s="112">
        <f>VLOOKUP($E$3,'Housing Generation'!$A$3:$CK$90,69,FALSE)</f>
        <v>3</v>
      </c>
      <c r="G128" s="112">
        <f>VLOOKUP($E$3,'Housing Generation'!$A$3:$CK$90,70,FALSE)</f>
        <v>2</v>
      </c>
      <c r="H128" s="112">
        <f>VLOOKUP($E$3,'Housing Generation'!$A$3:$CK$90,71,FALSE)</f>
        <v>2</v>
      </c>
      <c r="I128" s="112">
        <f>VLOOKUP($E$3,'Housing Generation'!$A$3:$CK$90,72,FALSE)</f>
        <v>2</v>
      </c>
      <c r="J128" s="111">
        <f t="shared" si="21"/>
        <v>15</v>
      </c>
    </row>
    <row r="129" spans="2:10" ht="15" hidden="1" customHeight="1">
      <c r="B129" s="114">
        <v>2027</v>
      </c>
      <c r="C129" s="240" t="s">
        <v>97</v>
      </c>
      <c r="D129" s="112">
        <f>VLOOKUP($E$3,'Housing Generation'!$A$3:$CK$90,75,FALSE)</f>
        <v>3</v>
      </c>
      <c r="E129" s="112">
        <f>VLOOKUP($E$3,'Housing Generation'!$A$3:$CK$90,76,FALSE)</f>
        <v>3</v>
      </c>
      <c r="F129" s="112">
        <f>VLOOKUP($E$3,'Housing Generation'!$A$3:$CK$90,77,FALSE)</f>
        <v>3</v>
      </c>
      <c r="G129" s="112">
        <f>VLOOKUP($E$3,'Housing Generation'!$A$3:$CK$90,78,FALSE)</f>
        <v>2</v>
      </c>
      <c r="H129" s="112">
        <f>VLOOKUP($E$3,'Housing Generation'!$A$3:$CK$90,79,FALSE)</f>
        <v>2</v>
      </c>
      <c r="I129" s="112">
        <f>VLOOKUP($E$3,'Housing Generation'!$A$3:$CK$90,80,FALSE)</f>
        <v>2</v>
      </c>
      <c r="J129" s="111">
        <f t="shared" si="21"/>
        <v>15</v>
      </c>
    </row>
    <row r="130" spans="2:10" ht="15" customHeight="1">
      <c r="B130" s="114">
        <v>2028</v>
      </c>
      <c r="C130" s="289" t="s">
        <v>97</v>
      </c>
      <c r="D130" s="112">
        <f>VLOOKUP($E$3,'Housing Generation'!$A$3:$CK$90,83,FALSE)</f>
        <v>3</v>
      </c>
      <c r="E130" s="112">
        <f>VLOOKUP($E$3,'Housing Generation'!$A$3:$CK$90,84,FALSE)</f>
        <v>3</v>
      </c>
      <c r="F130" s="112">
        <f>VLOOKUP($E$3,'Housing Generation'!$A$3:$CK$90,85,FALSE)</f>
        <v>3</v>
      </c>
      <c r="G130" s="112">
        <f>VLOOKUP($E$3,'Housing Generation'!$A$3:$CK$90,86,FALSE)</f>
        <v>2</v>
      </c>
      <c r="H130" s="112">
        <f>VLOOKUP($E$3,'Housing Generation'!$A$3:$CK$90,87,FALSE)</f>
        <v>2</v>
      </c>
      <c r="I130" s="112">
        <f>VLOOKUP($E$3,'Housing Generation'!$A$3:$CK$90,88,FALSE)</f>
        <v>2</v>
      </c>
      <c r="J130" s="111">
        <f t="shared" si="21"/>
        <v>15</v>
      </c>
    </row>
    <row r="131" spans="2:10" ht="15" customHeight="1">
      <c r="B131" s="114">
        <v>2029</v>
      </c>
      <c r="C131" s="289" t="s">
        <v>97</v>
      </c>
      <c r="D131" s="112">
        <f>VLOOKUP($E$3,'Housing Generation'!$A$3:$DQ$90,91,FALSE)</f>
        <v>3</v>
      </c>
      <c r="E131" s="112">
        <f>VLOOKUP($E$3,'Housing Generation'!$A$3:$DQ$90,92,FALSE)</f>
        <v>3</v>
      </c>
      <c r="F131" s="112">
        <f>VLOOKUP($E$3,'Housing Generation'!$A$3:$DQ$90,93,FALSE)</f>
        <v>3</v>
      </c>
      <c r="G131" s="112">
        <f>VLOOKUP($E$3,'Housing Generation'!$A$3:$DQ$90,94,FALSE)</f>
        <v>2</v>
      </c>
      <c r="H131" s="112">
        <f>VLOOKUP($E$3,'Housing Generation'!$A$3:$DQ$90,95,FALSE)</f>
        <v>2</v>
      </c>
      <c r="I131" s="112">
        <f>VLOOKUP($E$3,'Housing Generation'!$A$3:$DQ$90,96,FALSE)</f>
        <v>2</v>
      </c>
      <c r="J131" s="111">
        <f t="shared" si="21"/>
        <v>15</v>
      </c>
    </row>
    <row r="132" spans="2:10" ht="15" customHeight="1">
      <c r="B132" s="114">
        <v>2030</v>
      </c>
      <c r="C132" s="289" t="s">
        <v>97</v>
      </c>
      <c r="D132" s="112">
        <f>VLOOKUP($E$3,'Housing Generation'!$A$3:$DQ$90,99,FALSE)</f>
        <v>3</v>
      </c>
      <c r="E132" s="112">
        <f>VLOOKUP($E$3,'Housing Generation'!$A$3:$DQ$90,100,FALSE)</f>
        <v>3</v>
      </c>
      <c r="F132" s="112">
        <f>VLOOKUP($E$3,'Housing Generation'!$A$3:$DQ$90,101,FALSE)</f>
        <v>3</v>
      </c>
      <c r="G132" s="112">
        <f>VLOOKUP($E$3,'Housing Generation'!$A$3:$DQ$90,102,FALSE)</f>
        <v>2</v>
      </c>
      <c r="H132" s="112">
        <f>VLOOKUP($E$3,'Housing Generation'!$A$3:$DQ$90,103,FALSE)</f>
        <v>2</v>
      </c>
      <c r="I132" s="112">
        <f>VLOOKUP($E$3,'Housing Generation'!$A$3:$DQ$90,104,FALSE)</f>
        <v>2</v>
      </c>
      <c r="J132" s="111">
        <f t="shared" si="21"/>
        <v>15</v>
      </c>
    </row>
    <row r="133" spans="2:10" ht="15" customHeight="1">
      <c r="B133" s="114">
        <v>2031</v>
      </c>
      <c r="C133" s="289" t="s">
        <v>97</v>
      </c>
      <c r="D133" s="112">
        <f>VLOOKUP($E$3,'Housing Generation'!$A$3:$DQ$90,107,FALSE)</f>
        <v>3</v>
      </c>
      <c r="E133" s="112">
        <f>VLOOKUP($E$3,'Housing Generation'!$A$3:$DQ$90,108,FALSE)</f>
        <v>3</v>
      </c>
      <c r="F133" s="112">
        <f>VLOOKUP($E$3,'Housing Generation'!$A$3:$DQ$90,109,FALSE)</f>
        <v>3</v>
      </c>
      <c r="G133" s="112">
        <f>VLOOKUP($E$3,'Housing Generation'!$A$3:$DQ$90,110,FALSE)</f>
        <v>2</v>
      </c>
      <c r="H133" s="112">
        <f>VLOOKUP($E$3,'Housing Generation'!$A$3:$DQ$90,111,FALSE)</f>
        <v>2</v>
      </c>
      <c r="I133" s="112">
        <f>VLOOKUP($E$3,'Housing Generation'!$A$3:$DQ$90,112,FALSE)</f>
        <v>2</v>
      </c>
      <c r="J133" s="111">
        <f t="shared" si="21"/>
        <v>15</v>
      </c>
    </row>
    <row r="134" spans="2:10" ht="15" customHeight="1">
      <c r="B134" s="114">
        <v>2032</v>
      </c>
      <c r="C134" s="289" t="s">
        <v>97</v>
      </c>
      <c r="D134" s="112">
        <f>VLOOKUP($E$3,'Housing Generation'!$A$3:$DQ$90,115,FALSE)</f>
        <v>3</v>
      </c>
      <c r="E134" s="112">
        <f>VLOOKUP($E$3,'Housing Generation'!$A$3:$DQ$90,116,FALSE)</f>
        <v>3</v>
      </c>
      <c r="F134" s="112">
        <f>VLOOKUP($E$3,'Housing Generation'!$A$3:$DQ$90,117,FALSE)</f>
        <v>3</v>
      </c>
      <c r="G134" s="112">
        <f>VLOOKUP($E$3,'Housing Generation'!$A$3:$DQ$90,118,FALSE)</f>
        <v>2</v>
      </c>
      <c r="H134" s="112">
        <f>VLOOKUP($E$3,'Housing Generation'!$A$3:$DQ$90,119,FALSE)</f>
        <v>2</v>
      </c>
      <c r="I134" s="112">
        <f>VLOOKUP($E$3,'Housing Generation'!$A$3:$DQ$90,120,FALSE)</f>
        <v>2</v>
      </c>
      <c r="J134" s="111">
        <f t="shared" si="21"/>
        <v>15</v>
      </c>
    </row>
    <row r="135" spans="2:10" ht="15" hidden="1"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South Morningside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87.820819490586928</v>
      </c>
      <c r="D139" s="112">
        <f t="shared" ref="D139:I152" si="23">D121+D103</f>
        <v>106</v>
      </c>
      <c r="E139" s="112">
        <f t="shared" si="23"/>
        <v>88</v>
      </c>
      <c r="F139" s="112">
        <f t="shared" si="23"/>
        <v>90</v>
      </c>
      <c r="G139" s="112">
        <f t="shared" si="23"/>
        <v>100</v>
      </c>
      <c r="H139" s="112">
        <f t="shared" si="23"/>
        <v>96</v>
      </c>
      <c r="I139" s="112">
        <f t="shared" si="23"/>
        <v>84</v>
      </c>
      <c r="J139" s="111">
        <f t="shared" ref="J139:J147" si="24">SUM(C139:I139)</f>
        <v>651.82081949058693</v>
      </c>
    </row>
    <row r="140" spans="2:10" ht="15" customHeight="1">
      <c r="B140" s="114">
        <v>2020</v>
      </c>
      <c r="C140" s="113">
        <f t="shared" si="22"/>
        <v>87.820819490586928</v>
      </c>
      <c r="D140" s="112">
        <f t="shared" si="23"/>
        <v>90</v>
      </c>
      <c r="E140" s="112">
        <f t="shared" si="23"/>
        <v>106</v>
      </c>
      <c r="F140" s="112">
        <f t="shared" si="23"/>
        <v>89</v>
      </c>
      <c r="G140" s="112">
        <f t="shared" si="23"/>
        <v>91</v>
      </c>
      <c r="H140" s="112">
        <f t="shared" si="23"/>
        <v>99</v>
      </c>
      <c r="I140" s="112">
        <f t="shared" si="23"/>
        <v>93</v>
      </c>
      <c r="J140" s="111">
        <f t="shared" si="24"/>
        <v>655.82081949058693</v>
      </c>
    </row>
    <row r="141" spans="2:10" ht="15" customHeight="1">
      <c r="B141" s="114">
        <v>2021</v>
      </c>
      <c r="C141" s="113">
        <f t="shared" si="22"/>
        <v>107.55282392026578</v>
      </c>
      <c r="D141" s="112">
        <f t="shared" si="23"/>
        <v>90</v>
      </c>
      <c r="E141" s="112">
        <f t="shared" si="23"/>
        <v>89</v>
      </c>
      <c r="F141" s="112">
        <f t="shared" si="23"/>
        <v>107</v>
      </c>
      <c r="G141" s="112">
        <f t="shared" si="23"/>
        <v>91</v>
      </c>
      <c r="H141" s="112">
        <f t="shared" si="23"/>
        <v>90</v>
      </c>
      <c r="I141" s="112">
        <f t="shared" si="23"/>
        <v>96</v>
      </c>
      <c r="J141" s="111">
        <f t="shared" si="24"/>
        <v>670.55282392026584</v>
      </c>
    </row>
    <row r="142" spans="2:10" ht="15" customHeight="1">
      <c r="B142" s="114">
        <v>2022</v>
      </c>
      <c r="C142" s="113">
        <f t="shared" si="22"/>
        <v>84.861018826135108</v>
      </c>
      <c r="D142" s="112">
        <f t="shared" si="23"/>
        <v>110</v>
      </c>
      <c r="E142" s="112">
        <f t="shared" si="23"/>
        <v>89</v>
      </c>
      <c r="F142" s="112">
        <f t="shared" si="23"/>
        <v>91</v>
      </c>
      <c r="G142" s="112">
        <f t="shared" si="23"/>
        <v>108</v>
      </c>
      <c r="H142" s="112">
        <f t="shared" si="23"/>
        <v>89</v>
      </c>
      <c r="I142" s="112">
        <f t="shared" si="23"/>
        <v>87</v>
      </c>
      <c r="J142" s="111">
        <f t="shared" si="24"/>
        <v>658.86101882613514</v>
      </c>
    </row>
    <row r="143" spans="2:10" ht="15" customHeight="1">
      <c r="B143" s="114">
        <v>2023</v>
      </c>
      <c r="C143" s="113">
        <f t="shared" si="22"/>
        <v>94.727021040974535</v>
      </c>
      <c r="D143" s="112">
        <f t="shared" si="23"/>
        <v>87</v>
      </c>
      <c r="E143" s="112">
        <f t="shared" si="23"/>
        <v>109</v>
      </c>
      <c r="F143" s="112">
        <f t="shared" si="23"/>
        <v>90</v>
      </c>
      <c r="G143" s="112">
        <f t="shared" si="23"/>
        <v>91</v>
      </c>
      <c r="H143" s="112">
        <f t="shared" si="23"/>
        <v>106</v>
      </c>
      <c r="I143" s="112">
        <f t="shared" si="23"/>
        <v>86</v>
      </c>
      <c r="J143" s="111">
        <f t="shared" si="24"/>
        <v>663.72702104097448</v>
      </c>
    </row>
    <row r="144" spans="2:10" ht="15" customHeight="1">
      <c r="B144" s="114">
        <v>2024</v>
      </c>
      <c r="C144" s="113">
        <f t="shared" si="22"/>
        <v>95.713621262458474</v>
      </c>
      <c r="D144" s="112">
        <f t="shared" si="23"/>
        <v>97</v>
      </c>
      <c r="E144" s="112">
        <f t="shared" si="23"/>
        <v>86</v>
      </c>
      <c r="F144" s="112">
        <f t="shared" si="23"/>
        <v>110</v>
      </c>
      <c r="G144" s="112">
        <f t="shared" si="23"/>
        <v>90</v>
      </c>
      <c r="H144" s="112">
        <f t="shared" si="23"/>
        <v>89</v>
      </c>
      <c r="I144" s="112">
        <f t="shared" si="23"/>
        <v>102</v>
      </c>
      <c r="J144" s="111">
        <f t="shared" si="24"/>
        <v>669.71362126245845</v>
      </c>
    </row>
    <row r="145" spans="2:16" ht="15" customHeight="1">
      <c r="B145" s="114">
        <v>2025</v>
      </c>
      <c r="C145" s="113">
        <f t="shared" si="22"/>
        <v>96.700221483942414</v>
      </c>
      <c r="D145" s="112">
        <f t="shared" si="23"/>
        <v>98</v>
      </c>
      <c r="E145" s="112">
        <f t="shared" si="23"/>
        <v>96</v>
      </c>
      <c r="F145" s="112">
        <f t="shared" si="23"/>
        <v>87</v>
      </c>
      <c r="G145" s="112">
        <f t="shared" si="23"/>
        <v>110</v>
      </c>
      <c r="H145" s="112">
        <f t="shared" si="23"/>
        <v>88</v>
      </c>
      <c r="I145" s="112">
        <f t="shared" si="23"/>
        <v>86</v>
      </c>
      <c r="J145" s="111">
        <f t="shared" si="24"/>
        <v>661.70022148394241</v>
      </c>
    </row>
    <row r="146" spans="2:16" ht="15" customHeight="1">
      <c r="B146" s="114">
        <v>2026</v>
      </c>
      <c r="C146" s="113">
        <f t="shared" si="22"/>
        <v>97.686821705426354</v>
      </c>
      <c r="D146" s="112">
        <f t="shared" si="23"/>
        <v>99</v>
      </c>
      <c r="E146" s="112">
        <f t="shared" si="23"/>
        <v>97</v>
      </c>
      <c r="F146" s="112">
        <f t="shared" si="23"/>
        <v>97</v>
      </c>
      <c r="G146" s="112">
        <f t="shared" si="23"/>
        <v>87</v>
      </c>
      <c r="H146" s="112">
        <f t="shared" si="23"/>
        <v>108</v>
      </c>
      <c r="I146" s="112">
        <f t="shared" si="23"/>
        <v>85</v>
      </c>
      <c r="J146" s="111">
        <f t="shared" si="24"/>
        <v>670.68682170542638</v>
      </c>
    </row>
    <row r="147" spans="2:16" ht="15" customHeight="1">
      <c r="B147" s="114">
        <v>2027</v>
      </c>
      <c r="C147" s="113">
        <f t="shared" si="22"/>
        <v>98.673421926910308</v>
      </c>
      <c r="D147" s="112">
        <f t="shared" si="23"/>
        <v>100</v>
      </c>
      <c r="E147" s="112">
        <f t="shared" si="23"/>
        <v>98</v>
      </c>
      <c r="F147" s="112">
        <f t="shared" si="23"/>
        <v>98</v>
      </c>
      <c r="G147" s="112">
        <f t="shared" si="23"/>
        <v>97</v>
      </c>
      <c r="H147" s="112">
        <f t="shared" si="23"/>
        <v>85</v>
      </c>
      <c r="I147" s="112">
        <f t="shared" si="23"/>
        <v>104</v>
      </c>
      <c r="J147" s="111">
        <f t="shared" si="24"/>
        <v>680.67342192691035</v>
      </c>
    </row>
    <row r="148" spans="2:16" ht="15" customHeight="1">
      <c r="B148" s="114">
        <v>2028</v>
      </c>
      <c r="C148" s="113">
        <f t="shared" si="22"/>
        <v>98.673421926910308</v>
      </c>
      <c r="D148" s="112">
        <f t="shared" si="23"/>
        <v>101</v>
      </c>
      <c r="E148" s="112">
        <f t="shared" si="23"/>
        <v>99</v>
      </c>
      <c r="F148" s="112">
        <f t="shared" si="23"/>
        <v>99</v>
      </c>
      <c r="G148" s="112">
        <f t="shared" si="23"/>
        <v>98</v>
      </c>
      <c r="H148" s="112">
        <f t="shared" si="23"/>
        <v>95</v>
      </c>
      <c r="I148" s="112">
        <f t="shared" si="23"/>
        <v>82</v>
      </c>
      <c r="J148" s="111">
        <f t="shared" ref="J148:J152" si="25">SUM(C148:I148)</f>
        <v>672.67342192691035</v>
      </c>
    </row>
    <row r="149" spans="2:16" ht="15" customHeight="1">
      <c r="B149" s="114">
        <v>2029</v>
      </c>
      <c r="C149" s="113">
        <f t="shared" si="22"/>
        <v>98.673421926910308</v>
      </c>
      <c r="D149" s="112">
        <f t="shared" si="23"/>
        <v>101</v>
      </c>
      <c r="E149" s="112">
        <f t="shared" si="23"/>
        <v>100</v>
      </c>
      <c r="F149" s="112">
        <f t="shared" si="23"/>
        <v>100</v>
      </c>
      <c r="G149" s="112">
        <f t="shared" si="23"/>
        <v>99</v>
      </c>
      <c r="H149" s="112">
        <f t="shared" si="23"/>
        <v>96</v>
      </c>
      <c r="I149" s="112">
        <f t="shared" si="23"/>
        <v>92</v>
      </c>
      <c r="J149" s="111">
        <f t="shared" si="25"/>
        <v>686.67342192691035</v>
      </c>
    </row>
    <row r="150" spans="2:16" ht="15" customHeight="1">
      <c r="B150" s="114">
        <v>2030</v>
      </c>
      <c r="C150" s="113">
        <f t="shared" si="22"/>
        <v>99</v>
      </c>
      <c r="D150" s="112">
        <f t="shared" si="23"/>
        <v>101</v>
      </c>
      <c r="E150" s="112">
        <f t="shared" si="23"/>
        <v>100</v>
      </c>
      <c r="F150" s="112">
        <f t="shared" si="23"/>
        <v>101</v>
      </c>
      <c r="G150" s="112">
        <f t="shared" si="23"/>
        <v>100</v>
      </c>
      <c r="H150" s="112">
        <f t="shared" si="23"/>
        <v>97</v>
      </c>
      <c r="I150" s="112">
        <f t="shared" si="23"/>
        <v>92</v>
      </c>
      <c r="J150" s="111">
        <f t="shared" si="25"/>
        <v>690</v>
      </c>
    </row>
    <row r="151" spans="2:16" ht="15" customHeight="1">
      <c r="B151" s="114">
        <v>2031</v>
      </c>
      <c r="C151" s="113">
        <f t="shared" si="22"/>
        <v>99</v>
      </c>
      <c r="D151" s="112">
        <f t="shared" si="23"/>
        <v>101</v>
      </c>
      <c r="E151" s="112">
        <f t="shared" si="23"/>
        <v>100</v>
      </c>
      <c r="F151" s="112">
        <f t="shared" si="23"/>
        <v>101</v>
      </c>
      <c r="G151" s="112">
        <f t="shared" si="23"/>
        <v>101</v>
      </c>
      <c r="H151" s="112">
        <f t="shared" si="23"/>
        <v>98</v>
      </c>
      <c r="I151" s="112">
        <f t="shared" si="23"/>
        <v>93</v>
      </c>
      <c r="J151" s="111">
        <f t="shared" si="25"/>
        <v>693</v>
      </c>
    </row>
    <row r="152" spans="2:16" ht="15" customHeight="1">
      <c r="B152" s="114">
        <v>2032</v>
      </c>
      <c r="C152" s="113">
        <f t="shared" si="22"/>
        <v>99</v>
      </c>
      <c r="D152" s="112">
        <f t="shared" si="23"/>
        <v>101</v>
      </c>
      <c r="E152" s="112">
        <f t="shared" si="23"/>
        <v>100</v>
      </c>
      <c r="F152" s="112">
        <f t="shared" si="23"/>
        <v>101</v>
      </c>
      <c r="G152" s="112">
        <f t="shared" si="23"/>
        <v>101</v>
      </c>
      <c r="H152" s="112">
        <f t="shared" si="23"/>
        <v>99</v>
      </c>
      <c r="I152" s="112">
        <f t="shared" si="23"/>
        <v>94</v>
      </c>
      <c r="J152" s="111">
        <f t="shared" si="25"/>
        <v>695</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651.82081949058693</v>
      </c>
      <c r="D159" s="108">
        <f>J140</f>
        <v>655.82081949058693</v>
      </c>
      <c r="E159" s="108">
        <f>J141</f>
        <v>670.55282392026584</v>
      </c>
      <c r="F159" s="108">
        <f>J142</f>
        <v>658.86101882613514</v>
      </c>
      <c r="G159" s="108">
        <f>J143</f>
        <v>663.72702104097448</v>
      </c>
      <c r="H159" s="108">
        <f>J144</f>
        <v>669.71362126245845</v>
      </c>
      <c r="I159" s="108">
        <f>J145</f>
        <v>661.70022148394241</v>
      </c>
      <c r="J159" s="108">
        <f>J146</f>
        <v>670.68682170542638</v>
      </c>
      <c r="K159" s="108">
        <f>J147</f>
        <v>680.67342192691035</v>
      </c>
      <c r="L159" s="108">
        <f>J148</f>
        <v>672.67342192691035</v>
      </c>
      <c r="M159" s="108">
        <f>J149</f>
        <v>686.67342192691035</v>
      </c>
      <c r="N159" s="108">
        <f>J150</f>
        <v>690</v>
      </c>
      <c r="O159" s="108">
        <f>J151</f>
        <v>693</v>
      </c>
      <c r="P159" s="108">
        <f>J152</f>
        <v>695</v>
      </c>
    </row>
    <row r="160" spans="2:16" ht="15" customHeight="1">
      <c r="B160" s="107" t="s">
        <v>152</v>
      </c>
      <c r="C160" s="106">
        <f>VLOOKUP(C159,Capacity!$A$1:$C$645,2,TRUE)</f>
        <v>22</v>
      </c>
      <c r="D160" s="106">
        <f>VLOOKUP(D159,Capacity!$A$1:$C$645,2,TRUE)</f>
        <v>23</v>
      </c>
      <c r="E160" s="106">
        <f>VLOOKUP(E159,Capacity!$A$1:$C$645,2,TRUE)</f>
        <v>23</v>
      </c>
      <c r="F160" s="106">
        <f>VLOOKUP(F159,Capacity!$A$1:$C$645,2,TRUE)</f>
        <v>23</v>
      </c>
      <c r="G160" s="106">
        <f>VLOOKUP(G159,Capacity!$A$1:$C$645,2,TRUE)</f>
        <v>23</v>
      </c>
      <c r="H160" s="106">
        <f>VLOOKUP(H159,Capacity!$A$1:$C$645,2,TRUE)</f>
        <v>23</v>
      </c>
      <c r="I160" s="106">
        <f>VLOOKUP(I159,Capacity!$A$1:$C$645,2,TRUE)</f>
        <v>23</v>
      </c>
      <c r="J160" s="106">
        <f>VLOOKUP(J159,Capacity!$A$1:$C$645,2,TRUE)</f>
        <v>23</v>
      </c>
      <c r="K160" s="106">
        <f>VLOOKUP(K159,Capacity!$A$1:$C$645,2,TRUE)</f>
        <v>23</v>
      </c>
      <c r="L160" s="106">
        <f>VLOOKUP(L159,Capacity!$A$1:$C$645,2,TRUE)</f>
        <v>23</v>
      </c>
      <c r="M160" s="106">
        <f>VLOOKUP(M159,Capacity!$A$1:$C$645,2,TRUE)</f>
        <v>23</v>
      </c>
      <c r="N160" s="106">
        <f>VLOOKUP(N159,Capacity!$A$1:$C$645,2,TRUE)</f>
        <v>23</v>
      </c>
      <c r="O160" s="106">
        <f>VLOOKUP(O159,Capacity!$A$1:$C$645,2,TRUE)</f>
        <v>23</v>
      </c>
      <c r="P160" s="106">
        <f>VLOOKUP(P159,Capacity!$A$1:$C$645,2,TRUE)</f>
        <v>23</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81</v>
      </c>
      <c r="D169" s="97">
        <f>VLOOKUP($E$3,'Catchment Births'!$A$1:$U$90,11,FALSE)</f>
        <v>105</v>
      </c>
      <c r="E169" s="97">
        <f>VLOOKUP($E$3,'Catchment Births'!$A$1:$U$90,12,FALSE)</f>
        <v>94</v>
      </c>
      <c r="F169" s="97">
        <f>VLOOKUP($E$3,'Catchment Births'!$A$1:$U$90,13,FALSE)</f>
        <v>101</v>
      </c>
      <c r="G169" s="97">
        <f>VLOOKUP($E$3,'Catchment Births'!$A$1:$U$90,14,FALSE)</f>
        <v>97</v>
      </c>
      <c r="H169" s="97">
        <f>VLOOKUP($E$3,'Catchment Births'!$A$1:$U$90,15,FALSE)</f>
        <v>129</v>
      </c>
      <c r="I169" s="97">
        <f>VLOOKUP($E$3,'Catchment Births'!$A$1:$U$90,16,FALSE)</f>
        <v>105</v>
      </c>
      <c r="J169" s="97">
        <f>VLOOKUP($E$3,'Catchment Births'!$A$1:$U$90,17,FALSE)</f>
        <v>93</v>
      </c>
      <c r="K169" s="97">
        <f>VLOOKUP($E$3,'Catchment Births'!$A$1:$U$90,18,FALSE)</f>
        <v>108</v>
      </c>
      <c r="L169" s="97">
        <f>VLOOKUP($E$3,'Catchment Births'!$A$1:$U$90,19,FALSE)</f>
        <v>98</v>
      </c>
      <c r="M169" s="97">
        <f>VLOOKUP($E$3,'Catchment Births'!$A$1:$U$90,20,FALSE)</f>
        <v>97</v>
      </c>
      <c r="N169" s="97">
        <f>VLOOKUP($E$3,'Catchment Births'!$A$1:$U$90,21,FALSE)</f>
        <v>96</v>
      </c>
    </row>
    <row r="170" spans="2:14" ht="58.5" customHeight="1">
      <c r="B170" s="103" t="str">
        <f>"P1 "&amp;A35&amp;" Catchment Population (Actual)"</f>
        <v>P1 ND Catchment Population (Actual)</v>
      </c>
      <c r="C170" s="102" t="e">
        <v>#REF!</v>
      </c>
      <c r="D170" s="102">
        <v>83</v>
      </c>
      <c r="E170" s="102">
        <v>93</v>
      </c>
      <c r="F170" s="102">
        <v>73</v>
      </c>
      <c r="G170" s="102">
        <v>89</v>
      </c>
      <c r="H170" s="102">
        <v>96</v>
      </c>
      <c r="I170" s="102">
        <v>95</v>
      </c>
      <c r="J170" s="308">
        <f>VLOOKUP(E3,'Catchment Projections'!A1:BU92,42,FALSE)</f>
        <v>85</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95</v>
      </c>
      <c r="J172" s="96" t="e">
        <f>#REF!</f>
        <v>#REF!</v>
      </c>
      <c r="K172" s="96">
        <f>D51</f>
        <v>88</v>
      </c>
      <c r="L172" s="96">
        <f>E51</f>
        <v>88</v>
      </c>
      <c r="M172" s="96">
        <f>F51</f>
        <v>108</v>
      </c>
      <c r="N172" s="96">
        <f>G51</f>
        <v>85</v>
      </c>
    </row>
    <row r="173" spans="2:14" ht="12.75">
      <c r="B173" s="62"/>
      <c r="C173" s="62"/>
      <c r="D173" s="62"/>
      <c r="E173" s="62"/>
      <c r="F173" s="62"/>
      <c r="G173" s="62"/>
      <c r="H173" s="62"/>
      <c r="I173" s="62"/>
      <c r="J173" s="62"/>
      <c r="K173" s="62"/>
    </row>
    <row r="174" spans="2:14" ht="15" customHeight="1">
      <c r="B174" s="64" t="str">
        <f>"Table 5: "&amp;E3&amp;" Roll by Stage, 2002-2018"</f>
        <v>Table 5: South Morningside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90</v>
      </c>
      <c r="D177" s="93">
        <v>86</v>
      </c>
      <c r="E177" s="93">
        <v>99</v>
      </c>
      <c r="F177" s="93">
        <v>78</v>
      </c>
      <c r="G177" s="93">
        <v>95</v>
      </c>
      <c r="H177" s="93">
        <v>90</v>
      </c>
      <c r="I177" s="93">
        <v>89</v>
      </c>
      <c r="J177" s="92">
        <v>627</v>
      </c>
      <c r="K177" s="62"/>
    </row>
    <row r="178" spans="2:11" ht="15" customHeight="1">
      <c r="B178" s="94">
        <v>2003</v>
      </c>
      <c r="C178" s="93">
        <v>89</v>
      </c>
      <c r="D178" s="93">
        <v>89</v>
      </c>
      <c r="E178" s="93">
        <v>87</v>
      </c>
      <c r="F178" s="93">
        <v>99</v>
      </c>
      <c r="G178" s="93">
        <v>81</v>
      </c>
      <c r="H178" s="93">
        <v>98</v>
      </c>
      <c r="I178" s="93">
        <v>86</v>
      </c>
      <c r="J178" s="92">
        <v>629</v>
      </c>
      <c r="K178" s="62"/>
    </row>
    <row r="179" spans="2:11" customFormat="1" ht="15" customHeight="1">
      <c r="B179" s="94">
        <v>2004</v>
      </c>
      <c r="C179" s="95">
        <v>90</v>
      </c>
      <c r="D179" s="95">
        <v>89</v>
      </c>
      <c r="E179" s="95">
        <v>89</v>
      </c>
      <c r="F179" s="95">
        <v>82</v>
      </c>
      <c r="G179" s="95">
        <v>99</v>
      </c>
      <c r="H179" s="95">
        <v>79</v>
      </c>
      <c r="I179" s="95">
        <v>90</v>
      </c>
      <c r="J179" s="92">
        <v>618</v>
      </c>
      <c r="K179" s="62"/>
    </row>
    <row r="180" spans="2:11" customFormat="1" ht="15" customHeight="1">
      <c r="B180" s="94">
        <v>2005</v>
      </c>
      <c r="C180" s="93">
        <v>90</v>
      </c>
      <c r="D180" s="93">
        <v>86</v>
      </c>
      <c r="E180" s="93">
        <v>86</v>
      </c>
      <c r="F180" s="93">
        <v>90</v>
      </c>
      <c r="G180" s="93">
        <v>88</v>
      </c>
      <c r="H180" s="93">
        <v>91</v>
      </c>
      <c r="I180" s="93">
        <v>74</v>
      </c>
      <c r="J180" s="92">
        <v>605</v>
      </c>
      <c r="K180" s="62"/>
    </row>
    <row r="181" spans="2:11" customFormat="1" ht="15" customHeight="1">
      <c r="B181" s="94">
        <v>2006</v>
      </c>
      <c r="C181" s="93">
        <v>90</v>
      </c>
      <c r="D181" s="93">
        <v>90</v>
      </c>
      <c r="E181" s="93">
        <v>85</v>
      </c>
      <c r="F181" s="93">
        <v>87</v>
      </c>
      <c r="G181" s="93">
        <v>77</v>
      </c>
      <c r="H181" s="93">
        <v>84</v>
      </c>
      <c r="I181" s="93">
        <v>88</v>
      </c>
      <c r="J181" s="92">
        <v>601</v>
      </c>
      <c r="K181" s="62"/>
    </row>
    <row r="182" spans="2:11" customFormat="1" ht="15" customHeight="1">
      <c r="B182" s="94">
        <v>2007</v>
      </c>
      <c r="C182" s="93">
        <v>80</v>
      </c>
      <c r="D182" s="93">
        <v>90</v>
      </c>
      <c r="E182" s="93">
        <v>90</v>
      </c>
      <c r="F182" s="93">
        <v>87</v>
      </c>
      <c r="G182" s="93">
        <v>86</v>
      </c>
      <c r="H182" s="93">
        <v>81</v>
      </c>
      <c r="I182" s="93">
        <v>73</v>
      </c>
      <c r="J182" s="92">
        <v>587</v>
      </c>
      <c r="K182" s="62"/>
    </row>
    <row r="183" spans="2:11" customFormat="1" ht="15" customHeight="1">
      <c r="B183" s="94">
        <v>2008</v>
      </c>
      <c r="C183" s="93">
        <v>75</v>
      </c>
      <c r="D183" s="93">
        <v>83</v>
      </c>
      <c r="E183" s="93">
        <v>90</v>
      </c>
      <c r="F183" s="93">
        <v>93</v>
      </c>
      <c r="G183" s="93">
        <v>92</v>
      </c>
      <c r="H183" s="93">
        <v>85</v>
      </c>
      <c r="I183" s="93">
        <v>76</v>
      </c>
      <c r="J183" s="92">
        <v>594</v>
      </c>
      <c r="K183" s="62"/>
    </row>
    <row r="184" spans="2:11" customFormat="1" ht="15" customHeight="1">
      <c r="B184" s="94">
        <v>2009</v>
      </c>
      <c r="C184" s="93">
        <v>86</v>
      </c>
      <c r="D184" s="93">
        <v>82</v>
      </c>
      <c r="E184" s="93">
        <v>81</v>
      </c>
      <c r="F184" s="93">
        <v>91</v>
      </c>
      <c r="G184" s="93">
        <v>92</v>
      </c>
      <c r="H184" s="93">
        <v>93</v>
      </c>
      <c r="I184" s="93">
        <v>86</v>
      </c>
      <c r="J184" s="94">
        <v>611</v>
      </c>
      <c r="K184" s="62"/>
    </row>
    <row r="185" spans="2:11" customFormat="1" ht="15" customHeight="1">
      <c r="B185" s="94">
        <v>2010</v>
      </c>
      <c r="C185" s="93">
        <v>89</v>
      </c>
      <c r="D185" s="93">
        <v>86</v>
      </c>
      <c r="E185" s="93">
        <v>89</v>
      </c>
      <c r="F185" s="93">
        <v>82</v>
      </c>
      <c r="G185" s="93">
        <v>84</v>
      </c>
      <c r="H185" s="93">
        <v>92</v>
      </c>
      <c r="I185" s="93">
        <v>77</v>
      </c>
      <c r="J185" s="92">
        <v>599</v>
      </c>
      <c r="K185" s="62"/>
    </row>
    <row r="186" spans="2:11" customFormat="1" ht="15" customHeight="1">
      <c r="B186" s="94">
        <v>2011</v>
      </c>
      <c r="C186" s="93">
        <v>95</v>
      </c>
      <c r="D186" s="93">
        <v>87</v>
      </c>
      <c r="E186" s="93">
        <v>88</v>
      </c>
      <c r="F186" s="93">
        <v>83</v>
      </c>
      <c r="G186" s="93">
        <v>78</v>
      </c>
      <c r="H186" s="93">
        <v>84</v>
      </c>
      <c r="I186" s="93">
        <v>84</v>
      </c>
      <c r="J186" s="92">
        <v>599</v>
      </c>
      <c r="K186" s="62"/>
    </row>
    <row r="187" spans="2:11" customFormat="1" ht="15" customHeight="1">
      <c r="B187" s="94">
        <v>2012</v>
      </c>
      <c r="C187" s="93">
        <v>89</v>
      </c>
      <c r="D187" s="93">
        <v>97</v>
      </c>
      <c r="E187" s="93">
        <v>85</v>
      </c>
      <c r="F187" s="93">
        <v>85</v>
      </c>
      <c r="G187" s="93">
        <v>77</v>
      </c>
      <c r="H187" s="93">
        <v>74</v>
      </c>
      <c r="I187" s="93">
        <v>72</v>
      </c>
      <c r="J187" s="92">
        <v>579</v>
      </c>
      <c r="K187" s="62"/>
    </row>
    <row r="188" spans="2:11" customFormat="1" ht="15" customHeight="1">
      <c r="B188" s="94">
        <v>2013</v>
      </c>
      <c r="C188" s="93">
        <v>88</v>
      </c>
      <c r="D188" s="93">
        <v>89</v>
      </c>
      <c r="E188" s="93">
        <v>98</v>
      </c>
      <c r="F188" s="93">
        <v>91</v>
      </c>
      <c r="G188" s="93">
        <v>85</v>
      </c>
      <c r="H188" s="93">
        <v>80</v>
      </c>
      <c r="I188" s="93">
        <v>65</v>
      </c>
      <c r="J188" s="94">
        <v>596</v>
      </c>
      <c r="K188" s="62"/>
    </row>
    <row r="189" spans="2:11" customFormat="1" ht="15" customHeight="1">
      <c r="B189" s="94">
        <v>2014</v>
      </c>
      <c r="C189" s="93">
        <v>96</v>
      </c>
      <c r="D189" s="93">
        <v>90</v>
      </c>
      <c r="E189" s="93">
        <v>89</v>
      </c>
      <c r="F189" s="93">
        <v>98</v>
      </c>
      <c r="G189" s="93">
        <v>91</v>
      </c>
      <c r="H189" s="93">
        <v>86</v>
      </c>
      <c r="I189" s="93">
        <v>77</v>
      </c>
      <c r="J189" s="92">
        <v>627</v>
      </c>
      <c r="K189" s="65"/>
    </row>
    <row r="190" spans="2:11" customFormat="1" ht="15" customHeight="1">
      <c r="B190" s="94">
        <v>2015</v>
      </c>
      <c r="C190" s="93">
        <v>93</v>
      </c>
      <c r="D190" s="93">
        <v>99</v>
      </c>
      <c r="E190" s="93">
        <v>89</v>
      </c>
      <c r="F190" s="93">
        <v>90</v>
      </c>
      <c r="G190" s="93">
        <v>98</v>
      </c>
      <c r="H190" s="93">
        <v>89</v>
      </c>
      <c r="I190" s="93">
        <v>87</v>
      </c>
      <c r="J190" s="92">
        <v>645</v>
      </c>
      <c r="K190" s="65"/>
    </row>
    <row r="191" spans="2:11" customFormat="1" ht="15" customHeight="1">
      <c r="B191" s="94">
        <v>2016</v>
      </c>
      <c r="C191" s="93">
        <v>86</v>
      </c>
      <c r="D191" s="93">
        <v>94</v>
      </c>
      <c r="E191" s="93">
        <v>98</v>
      </c>
      <c r="F191" s="93">
        <v>91</v>
      </c>
      <c r="G191" s="93">
        <v>91</v>
      </c>
      <c r="H191" s="93">
        <v>99</v>
      </c>
      <c r="I191" s="93">
        <v>83</v>
      </c>
      <c r="J191" s="92">
        <v>642</v>
      </c>
      <c r="K191" s="65"/>
    </row>
    <row r="192" spans="2:11" ht="15" customHeight="1">
      <c r="B192" s="94">
        <v>2017</v>
      </c>
      <c r="C192" s="93">
        <f>VLOOKUP($E$3,Rolls!A1:FA90,42,FALSE)</f>
        <v>88</v>
      </c>
      <c r="D192" s="93">
        <f>VLOOKUP($E$3,Rolls!A1:FA90,43,FALSE)</f>
        <v>90</v>
      </c>
      <c r="E192" s="93">
        <f>VLOOKUP($E$3,Rolls!A1:FA90,44,FALSE)</f>
        <v>95</v>
      </c>
      <c r="F192" s="93">
        <f>VLOOKUP($E$3,Rolls!A1:FA90,45,FALSE)</f>
        <v>96</v>
      </c>
      <c r="G192" s="93">
        <f>VLOOKUP($E$3,Rolls!A1:FA90,46,FALSE)</f>
        <v>93</v>
      </c>
      <c r="H192" s="93">
        <f>VLOOKUP($E$3,Rolls!A1:FA90,47,FALSE)</f>
        <v>87</v>
      </c>
      <c r="I192" s="93">
        <f>VLOOKUP($E$3,Rolls!A1:FA90,48,FALSE)</f>
        <v>99</v>
      </c>
      <c r="J192" s="92">
        <f>VLOOKUP($E$3,Rolls!A1:FA90,49,FALSE)</f>
        <v>648</v>
      </c>
      <c r="K192" s="65"/>
    </row>
    <row r="193" spans="2:11" ht="15" customHeight="1">
      <c r="B193" s="94">
        <v>2018</v>
      </c>
      <c r="C193" s="93">
        <f>VLOOKUP($E$3,Rolls!A1:FA90,50,FALSE)</f>
        <v>103</v>
      </c>
      <c r="D193" s="93">
        <f>VLOOKUP($E$3,Rolls!A1:FA90,51,FALSE)</f>
        <v>88</v>
      </c>
      <c r="E193" s="93">
        <f>VLOOKUP($E$3,Rolls!A1:FA90,52,FALSE)</f>
        <v>88</v>
      </c>
      <c r="F193" s="93">
        <f>VLOOKUP($E$3,Rolls!A1:FA90,53,FALSE)</f>
        <v>99</v>
      </c>
      <c r="G193" s="93">
        <f>VLOOKUP($E$3,Rolls!A1:FA90,54,FALSE)</f>
        <v>98</v>
      </c>
      <c r="H193" s="93">
        <f>VLOOKUP($E$3,Rolls!A1:FA90,55,FALSE)</f>
        <v>87</v>
      </c>
      <c r="I193" s="93">
        <f>VLOOKUP($E$3,Rolls!A1:FA90,56,FALSE)</f>
        <v>80</v>
      </c>
      <c r="J193" s="92">
        <f>VLOOKUP($E$3,Rolls!A1:FA90,57,FALSE)</f>
        <v>643</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65</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St Catherine's RC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210 Pupils (7 classes)</v>
      </c>
      <c r="G12" s="16"/>
      <c r="H12" s="16"/>
    </row>
    <row r="13" spans="2:10" ht="15" customHeight="1">
      <c r="C13" s="16"/>
      <c r="D13" s="16"/>
      <c r="E13" s="16"/>
      <c r="F13" s="16"/>
      <c r="G13" s="16"/>
      <c r="H13" s="16"/>
    </row>
    <row r="14" spans="2:10" ht="15" customHeight="1">
      <c r="B14" s="15" t="str">
        <f>"Figure 1: "&amp;E3&amp;" Roll, 2002-2015"</f>
        <v>Figure 1: St Catherine's RC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2010-2020"</f>
        <v>Figure 2: Actual Catchment Births (from 5yrs prior),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St Catherine's RC Primary School</v>
      </c>
      <c r="K34" s="16"/>
    </row>
    <row r="35" spans="1:17" ht="15" customHeight="1">
      <c r="A35" s="1" t="str">
        <f>IF(ISNUMBER(SEARCH("RC",A34)),"RC", "ND")</f>
        <v>RC</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RC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28</v>
      </c>
      <c r="E49" s="108">
        <f>VLOOKUP($E$3,'Catchment Projections'!$A$1:$BU$90,46,FALSE)</f>
        <v>28</v>
      </c>
      <c r="F49" s="108">
        <f>VLOOKUP($E$3,'Catchment Projections'!$A$1:$BU$90,47,FALSE)</f>
        <v>32</v>
      </c>
      <c r="G49" s="108">
        <f>VLOOKUP($E$3,'Catchment Projections'!$A$1:$BU$90,48,FALSE)</f>
        <v>27</v>
      </c>
      <c r="H49" s="133">
        <f>VLOOKUP($E$3,'Catchment Projections'!$A$1:$BU$90,49,FALSE)</f>
        <v>29</v>
      </c>
      <c r="I49" s="133">
        <f>VLOOKUP($E$3,'Catchment Projections'!$A$1:$BU$90,50,FALSE)</f>
        <v>30</v>
      </c>
      <c r="J49" s="133">
        <f>VLOOKUP($E$3,'Catchment Projections'!$A$1:$BU$90,51,FALSE)</f>
        <v>30</v>
      </c>
      <c r="K49" s="133">
        <f>VLOOKUP($E$3,'Catchment Projections'!$A$1:$BU$90,52,FALSE)</f>
        <v>30</v>
      </c>
      <c r="L49" s="133">
        <f>VLOOKUP($E$3,'Catchment Projections'!$A$1:$BU$90,53,FALSE)</f>
        <v>30</v>
      </c>
      <c r="M49" s="133">
        <f>VLOOKUP($E$3,'Catchment Projections'!$A$1:$BU$90,54,FALSE)</f>
        <v>31</v>
      </c>
      <c r="N49" s="133">
        <f>VLOOKUP($E$3,'Catchment Projections'!$A$1:$BU$90,55,FALSE)</f>
        <v>31</v>
      </c>
      <c r="O49" s="133">
        <f>VLOOKUP($E$3,'Catchment Projections'!$A$1:$BU$90,56,FALSE)</f>
        <v>31</v>
      </c>
      <c r="P49" s="133">
        <f>VLOOKUP($E$3,'Catchment Projections'!$A$1:$BU$90,57,FALSE)</f>
        <v>31</v>
      </c>
      <c r="Q49" s="133">
        <f>VLOOKUP($E$3,'Catchment Projections'!$A$1:$BU$90,58,FALSE)</f>
        <v>31</v>
      </c>
    </row>
    <row r="50" spans="2:17" ht="15" customHeight="1" thickBot="1">
      <c r="B50" s="410" t="s">
        <v>141</v>
      </c>
      <c r="C50" s="411"/>
      <c r="D50" s="286">
        <f>VLOOKUP(E3,'Housing Generation'!$A$3:$DQ$90,10,FALSE)</f>
        <v>2</v>
      </c>
      <c r="E50" s="286">
        <f>VLOOKUP(E3,'Housing Generation'!$A$3:$DQ$90,18,FALSE)</f>
        <v>2</v>
      </c>
      <c r="F50" s="286">
        <f>VLOOKUP(E3,'Housing Generation'!$A$3:$DQ$90,26,FALSE)</f>
        <v>3</v>
      </c>
      <c r="G50" s="243">
        <f>VLOOKUP(E3,'Housing Generation'!$A$3:$DQ$90,34,FALSE)</f>
        <v>4</v>
      </c>
      <c r="H50" s="133">
        <f>VLOOKUP(E3,'Housing Generation'!$A$3:$DQ$90,42,FALSE)</f>
        <v>5</v>
      </c>
      <c r="I50" s="133">
        <f>VLOOKUP(E3,'Housing Generation'!$A$3:$DQ$90,50,FALSE)</f>
        <v>5</v>
      </c>
      <c r="J50" s="133">
        <f>VLOOKUP(E3,'Housing Generation'!$A$3:$CK$90,58,FALSE)</f>
        <v>6</v>
      </c>
      <c r="K50" s="133">
        <f>VLOOKUP(E3,'Housing Generation'!$A$3:$CK$90,66,FALSE)</f>
        <v>7</v>
      </c>
      <c r="L50" s="133">
        <f>VLOOKUP(E3,'Housing Generation'!$A$3:$DQ$90,74,FALSE)</f>
        <v>7</v>
      </c>
      <c r="M50" s="133">
        <f>VLOOKUP(E3,'Housing Generation'!$A$3:$DQ$90,82,FALSE)</f>
        <v>8</v>
      </c>
      <c r="N50" s="133">
        <f>VLOOKUP(E3,'Housing Generation'!$A$3:$DQ$90,90,FALSE)</f>
        <v>8</v>
      </c>
      <c r="O50" s="133">
        <f>VLOOKUP(E3,'Housing Generation'!$A$3:$DQ$90,98,FALSE)</f>
        <v>8</v>
      </c>
      <c r="P50" s="133">
        <f>VLOOKUP(E3,'Housing Generation'!$A$3:$DQ$90,106,FALSE)</f>
        <v>8</v>
      </c>
      <c r="Q50" s="133">
        <f>VLOOKUP(E3,'Housing Generation'!$A$3:$DQ$90,114,FALSE)</f>
        <v>8</v>
      </c>
    </row>
    <row r="51" spans="2:17" ht="15" customHeight="1" thickTop="1">
      <c r="B51" s="421" t="s">
        <v>130</v>
      </c>
      <c r="C51" s="422"/>
      <c r="D51" s="47">
        <f t="shared" ref="D51:Q51" si="0">SUM(D49:D50)</f>
        <v>30</v>
      </c>
      <c r="E51" s="47">
        <f t="shared" si="0"/>
        <v>30</v>
      </c>
      <c r="F51" s="80">
        <f t="shared" si="0"/>
        <v>35</v>
      </c>
      <c r="G51" s="244">
        <f t="shared" si="0"/>
        <v>31</v>
      </c>
      <c r="H51" s="71">
        <f t="shared" si="0"/>
        <v>34</v>
      </c>
      <c r="I51" s="71">
        <f t="shared" si="0"/>
        <v>35</v>
      </c>
      <c r="J51" s="71">
        <f t="shared" si="0"/>
        <v>36</v>
      </c>
      <c r="K51" s="71">
        <f t="shared" si="0"/>
        <v>37</v>
      </c>
      <c r="L51" s="71">
        <f t="shared" si="0"/>
        <v>37</v>
      </c>
      <c r="M51" s="71">
        <f t="shared" si="0"/>
        <v>39</v>
      </c>
      <c r="N51" s="71">
        <f t="shared" si="0"/>
        <v>39</v>
      </c>
      <c r="O51" s="71">
        <f t="shared" si="0"/>
        <v>39</v>
      </c>
      <c r="P51" s="71">
        <f t="shared" si="0"/>
        <v>39</v>
      </c>
      <c r="Q51" s="71">
        <f t="shared" si="0"/>
        <v>39</v>
      </c>
    </row>
    <row r="52" spans="2:17" ht="15" customHeight="1">
      <c r="C52" s="36"/>
      <c r="D52" s="48"/>
      <c r="E52" s="48"/>
      <c r="F52" s="48"/>
      <c r="G52" s="48"/>
      <c r="H52" s="48"/>
    </row>
    <row r="53" spans="2:17" ht="31.5" customHeight="1">
      <c r="B53" s="423" t="s">
        <v>292</v>
      </c>
      <c r="C53" s="424"/>
      <c r="D53" s="87">
        <v>0</v>
      </c>
      <c r="E53" s="139" t="s">
        <v>181</v>
      </c>
      <c r="F53" s="140">
        <v>19</v>
      </c>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RC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26</v>
      </c>
      <c r="D60" s="358">
        <f>VLOOKUP($E$3,'Catchment Projections'!$A$1:$BZ$90,74,FALSE)</f>
        <v>26</v>
      </c>
      <c r="E60" s="303">
        <f>D60/C60</f>
        <v>1</v>
      </c>
      <c r="G60" s="132">
        <v>2014</v>
      </c>
      <c r="H60" s="395">
        <f>VLOOKUP($G$60,$B$177:$C$215, 2, FALSE)</f>
        <v>26</v>
      </c>
      <c r="I60" s="120">
        <f>H60-D60</f>
        <v>0</v>
      </c>
      <c r="J60" s="121">
        <f>I60/H60</f>
        <v>0</v>
      </c>
    </row>
    <row r="61" spans="2:17" ht="15" customHeight="1">
      <c r="B61" s="132">
        <v>2015</v>
      </c>
      <c r="C61" s="359">
        <f>VLOOKUP($E$3,'Catchment Projections'!$A$1:$BZ$90,41,FALSE)</f>
        <v>30</v>
      </c>
      <c r="D61" s="358">
        <f>VLOOKUP($E$3,'Catchment Projections'!$A$1:$BZ$90,75,FALSE)</f>
        <v>29</v>
      </c>
      <c r="E61" s="303">
        <f>D61/C61</f>
        <v>0.96666666666666667</v>
      </c>
      <c r="G61" s="132">
        <v>2015</v>
      </c>
      <c r="H61" s="395">
        <f>VLOOKUP($G$61,$B$177:$C$215, 2, FALSE)</f>
        <v>30</v>
      </c>
      <c r="I61" s="120">
        <f>H61-D61</f>
        <v>1</v>
      </c>
      <c r="J61" s="121">
        <f>I61/H61</f>
        <v>3.3333333333333333E-2</v>
      </c>
    </row>
    <row r="62" spans="2:17" ht="15" customHeight="1">
      <c r="B62" s="131">
        <v>2016</v>
      </c>
      <c r="C62" s="359">
        <f>VLOOKUP($E$3,'Catchment Projections'!$A$1:$BZ$90,42,FALSE)</f>
        <v>25</v>
      </c>
      <c r="D62" s="358">
        <f>VLOOKUP($E$3,'Catchment Projections'!$A$1:$BZ$90,76,FALSE)</f>
        <v>24</v>
      </c>
      <c r="E62" s="57">
        <f>D62/C62</f>
        <v>0.96</v>
      </c>
      <c r="G62" s="131">
        <v>2016</v>
      </c>
      <c r="H62" s="395">
        <f>VLOOKUP($G$62,$B$177:$C$215, 2, FALSE)</f>
        <v>26</v>
      </c>
      <c r="I62" s="120">
        <f>H62-D62</f>
        <v>2</v>
      </c>
      <c r="J62" s="121">
        <f>I62/H62</f>
        <v>7.6923076923076927E-2</v>
      </c>
    </row>
    <row r="63" spans="2:17" ht="15" customHeight="1">
      <c r="B63" s="114">
        <v>2017</v>
      </c>
      <c r="C63" s="359">
        <f>VLOOKUP($E$3,'Catchment Projections'!$A$1:$BZ$90,43,FALSE)</f>
        <v>27</v>
      </c>
      <c r="D63" s="358">
        <f>VLOOKUP($E$3,'Catchment Projections'!$A$1:$BZ$90,77,FALSE)</f>
        <v>26</v>
      </c>
      <c r="E63" s="304">
        <f>D63/C63</f>
        <v>0.96296296296296291</v>
      </c>
      <c r="G63" s="114">
        <v>2017</v>
      </c>
      <c r="H63" s="395">
        <f>VLOOKUP($G$63,$B$177:$C$215, 2, FALSE)</f>
        <v>27</v>
      </c>
      <c r="I63" s="120">
        <f>H63-D63</f>
        <v>1</v>
      </c>
      <c r="J63" s="121">
        <f>I63/H63</f>
        <v>3.7037037037037035E-2</v>
      </c>
    </row>
    <row r="64" spans="2:17" ht="15" customHeight="1">
      <c r="B64" s="114">
        <v>2018</v>
      </c>
      <c r="C64" s="359">
        <f>VLOOKUP($E$3,'Catchment Projections'!$A$1:$BZ$90,44,FALSE)</f>
        <v>29</v>
      </c>
      <c r="D64" s="358">
        <f>VLOOKUP($E$3,'Catchment Projections'!$A$1:$BZ$90,78,FALSE)</f>
        <v>25</v>
      </c>
      <c r="E64" s="305">
        <f>D64/C64</f>
        <v>0.86206896551724133</v>
      </c>
      <c r="G64" s="114">
        <v>2018</v>
      </c>
      <c r="H64" s="395">
        <f>VLOOKUP($G$64,$B$177:$C$215, 2, FALSE)</f>
        <v>25</v>
      </c>
      <c r="I64" s="120">
        <f>H64-D64</f>
        <v>0</v>
      </c>
      <c r="J64" s="121">
        <f>I64/H64</f>
        <v>0</v>
      </c>
    </row>
    <row r="65" spans="2:10" ht="15" customHeight="1">
      <c r="B65" s="412" t="s">
        <v>136</v>
      </c>
      <c r="C65" s="413"/>
      <c r="D65" s="414"/>
      <c r="E65" s="137">
        <f>IF((AVERAGE(E62:E64))="#DIV/0!","n/a",(AVERAGE(E62:E64)))</f>
        <v>0.92834397616006792</v>
      </c>
      <c r="G65" s="415" t="s">
        <v>137</v>
      </c>
      <c r="H65" s="416"/>
      <c r="I65" s="138">
        <f>MEDIAN(I60:I64)</f>
        <v>1</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179</v>
      </c>
      <c r="D69" s="408"/>
      <c r="E69" s="125" t="s">
        <v>158</v>
      </c>
      <c r="F69" s="126" t="s">
        <v>133</v>
      </c>
      <c r="G69" s="124" t="s">
        <v>183</v>
      </c>
      <c r="H69" s="125" t="s">
        <v>138</v>
      </c>
      <c r="I69" s="124" t="s">
        <v>142</v>
      </c>
      <c r="J69" s="123" t="s">
        <v>139</v>
      </c>
    </row>
    <row r="70" spans="2:10" ht="15" customHeight="1">
      <c r="B70" s="114">
        <v>2019</v>
      </c>
      <c r="C70" s="433">
        <f>D51</f>
        <v>30</v>
      </c>
      <c r="D70" s="408"/>
      <c r="E70" s="122">
        <f>E65</f>
        <v>0.92834397616006792</v>
      </c>
      <c r="F70" s="120">
        <f t="shared" ref="F70:F83" si="1">C70*$E$65</f>
        <v>27.850319284802037</v>
      </c>
      <c r="G70" s="118">
        <f>IF(F70&lt;26,25,IF(F70&gt;135,140,IF(F70&gt;130,135,IF(F70&gt;125,130,IF(F70&gt;120,125,IF(F70&gt;115,120,IF(F70&gt;110,115,IF(F70&gt;105,110,IF(F70&gt;100,105,IF(F70&gt;99,100,IF(F70&gt;90,99,IF(F70&gt;75,90,IF(F70&gt;72,75,IF(F70&gt;66,72,IF(F70&gt;60,66,IF(F70&gt;50,60,IF(F70&gt;30,50,IF(F70&gt;25,30,0))))))))))))))))))</f>
        <v>30</v>
      </c>
      <c r="H70" s="119">
        <f t="shared" ref="H70:H83" si="2">G70-F70</f>
        <v>2.1496807151979631</v>
      </c>
      <c r="I70" s="118" t="str">
        <f>IF(I$65&lt;H70, "NO", "YES")</f>
        <v>NO</v>
      </c>
      <c r="J70" s="117">
        <f t="shared" ref="J70:J83" si="3">IF(I70="YES",G70,(MIN((SUM(F70,$I$65)),G70)))</f>
        <v>28.850319284802037</v>
      </c>
    </row>
    <row r="71" spans="2:10" ht="15" customHeight="1">
      <c r="B71" s="114">
        <v>2020</v>
      </c>
      <c r="C71" s="433">
        <f>E51</f>
        <v>30</v>
      </c>
      <c r="D71" s="408"/>
      <c r="E71" s="121">
        <f>E65</f>
        <v>0.92834397616006792</v>
      </c>
      <c r="F71" s="120">
        <f t="shared" si="1"/>
        <v>27.850319284802037</v>
      </c>
      <c r="G71" s="118">
        <f t="shared" ref="G71:G83" si="4">IF(F71&lt;26,25,IF(F71&gt;135,140,IF(F71&gt;130,135,IF(F71&gt;125,130,IF(F71&gt;120,125,IF(F71&gt;115,120,IF(F71&gt;110,115,IF(F71&gt;105,110,IF(F71&gt;100,105,IF(F71&gt;99,100,IF(F71&gt;90,99,IF(F71&gt;75,90,IF(F71&gt;72,75,IF(F71&gt;66,72,IF(F71&gt;60,66,IF(F71&gt;50,60,IF(F71&gt;30,50,IF(F71&gt;25,30,0))))))))))))))))))</f>
        <v>30</v>
      </c>
      <c r="H71" s="119">
        <f t="shared" si="2"/>
        <v>2.1496807151979631</v>
      </c>
      <c r="I71" s="118" t="str">
        <f t="shared" ref="I71:I83" si="5">IF(I$65&lt;H71, "NO", "YES")</f>
        <v>NO</v>
      </c>
      <c r="J71" s="117">
        <f t="shared" si="3"/>
        <v>28.850319284802037</v>
      </c>
    </row>
    <row r="72" spans="2:10" ht="15" customHeight="1">
      <c r="B72" s="114">
        <v>2021</v>
      </c>
      <c r="C72" s="430">
        <f>F51</f>
        <v>35</v>
      </c>
      <c r="D72" s="431"/>
      <c r="E72" s="121">
        <f>E65</f>
        <v>0.92834397616006792</v>
      </c>
      <c r="F72" s="120">
        <f t="shared" si="1"/>
        <v>32.492039165602378</v>
      </c>
      <c r="G72" s="118">
        <f t="shared" si="4"/>
        <v>50</v>
      </c>
      <c r="H72" s="119">
        <f t="shared" si="2"/>
        <v>17.507960834397622</v>
      </c>
      <c r="I72" s="118" t="str">
        <f t="shared" si="5"/>
        <v>NO</v>
      </c>
      <c r="J72" s="117">
        <f t="shared" si="3"/>
        <v>33.492039165602378</v>
      </c>
    </row>
    <row r="73" spans="2:10" ht="15" customHeight="1">
      <c r="B73" s="114">
        <v>2022</v>
      </c>
      <c r="C73" s="430">
        <f>G51</f>
        <v>31</v>
      </c>
      <c r="D73" s="431"/>
      <c r="E73" s="121">
        <f>E65</f>
        <v>0.92834397616006792</v>
      </c>
      <c r="F73" s="120">
        <f t="shared" si="1"/>
        <v>28.778663260962105</v>
      </c>
      <c r="G73" s="118">
        <f t="shared" si="4"/>
        <v>30</v>
      </c>
      <c r="H73" s="119">
        <f t="shared" si="2"/>
        <v>1.2213367390378949</v>
      </c>
      <c r="I73" s="118" t="str">
        <f t="shared" si="5"/>
        <v>NO</v>
      </c>
      <c r="J73" s="117">
        <f t="shared" si="3"/>
        <v>29.778663260962105</v>
      </c>
    </row>
    <row r="74" spans="2:10" ht="15" customHeight="1">
      <c r="B74" s="114">
        <v>2023</v>
      </c>
      <c r="C74" s="430">
        <f>H51</f>
        <v>34</v>
      </c>
      <c r="D74" s="431"/>
      <c r="E74" s="121">
        <f>E65</f>
        <v>0.92834397616006792</v>
      </c>
      <c r="F74" s="120">
        <f t="shared" si="1"/>
        <v>31.56369518944231</v>
      </c>
      <c r="G74" s="118">
        <f t="shared" si="4"/>
        <v>50</v>
      </c>
      <c r="H74" s="119">
        <f t="shared" si="2"/>
        <v>18.43630481055769</v>
      </c>
      <c r="I74" s="118" t="str">
        <f t="shared" si="5"/>
        <v>NO</v>
      </c>
      <c r="J74" s="117">
        <f t="shared" si="3"/>
        <v>32.563695189442313</v>
      </c>
    </row>
    <row r="75" spans="2:10" ht="15" customHeight="1">
      <c r="B75" s="114">
        <v>2024</v>
      </c>
      <c r="C75" s="430">
        <f>I51</f>
        <v>35</v>
      </c>
      <c r="D75" s="431"/>
      <c r="E75" s="121">
        <f>E65</f>
        <v>0.92834397616006792</v>
      </c>
      <c r="F75" s="120">
        <f t="shared" si="1"/>
        <v>32.492039165602378</v>
      </c>
      <c r="G75" s="118">
        <f t="shared" si="4"/>
        <v>50</v>
      </c>
      <c r="H75" s="119">
        <f t="shared" si="2"/>
        <v>17.507960834397622</v>
      </c>
      <c r="I75" s="118" t="str">
        <f t="shared" si="5"/>
        <v>NO</v>
      </c>
      <c r="J75" s="117">
        <f t="shared" si="3"/>
        <v>33.492039165602378</v>
      </c>
    </row>
    <row r="76" spans="2:10" ht="15" customHeight="1">
      <c r="B76" s="114">
        <v>2025</v>
      </c>
      <c r="C76" s="430">
        <f>J51</f>
        <v>36</v>
      </c>
      <c r="D76" s="431"/>
      <c r="E76" s="121">
        <f>E65</f>
        <v>0.92834397616006792</v>
      </c>
      <c r="F76" s="120">
        <f t="shared" si="1"/>
        <v>33.420383141762443</v>
      </c>
      <c r="G76" s="118">
        <f t="shared" si="4"/>
        <v>50</v>
      </c>
      <c r="H76" s="119">
        <f t="shared" si="2"/>
        <v>16.579616858237557</v>
      </c>
      <c r="I76" s="118" t="str">
        <f t="shared" si="5"/>
        <v>NO</v>
      </c>
      <c r="J76" s="117">
        <f t="shared" si="3"/>
        <v>34.420383141762443</v>
      </c>
    </row>
    <row r="77" spans="2:10" ht="15" customHeight="1">
      <c r="B77" s="114">
        <v>2026</v>
      </c>
      <c r="C77" s="430">
        <f>K51</f>
        <v>37</v>
      </c>
      <c r="D77" s="431"/>
      <c r="E77" s="121">
        <f>E65</f>
        <v>0.92834397616006792</v>
      </c>
      <c r="F77" s="120">
        <f t="shared" si="1"/>
        <v>34.348727117922515</v>
      </c>
      <c r="G77" s="118">
        <f t="shared" si="4"/>
        <v>50</v>
      </c>
      <c r="H77" s="119">
        <f t="shared" si="2"/>
        <v>15.651272882077485</v>
      </c>
      <c r="I77" s="118" t="str">
        <f t="shared" si="5"/>
        <v>NO</v>
      </c>
      <c r="J77" s="117">
        <f t="shared" si="3"/>
        <v>35.348727117922515</v>
      </c>
    </row>
    <row r="78" spans="2:10" ht="15" customHeight="1">
      <c r="B78" s="114">
        <v>2027</v>
      </c>
      <c r="C78" s="430">
        <f>L51</f>
        <v>37</v>
      </c>
      <c r="D78" s="431"/>
      <c r="E78" s="121">
        <f>E65</f>
        <v>0.92834397616006792</v>
      </c>
      <c r="F78" s="120">
        <f t="shared" si="1"/>
        <v>34.348727117922515</v>
      </c>
      <c r="G78" s="118">
        <f t="shared" si="4"/>
        <v>50</v>
      </c>
      <c r="H78" s="119">
        <f t="shared" si="2"/>
        <v>15.651272882077485</v>
      </c>
      <c r="I78" s="118" t="str">
        <f t="shared" si="5"/>
        <v>NO</v>
      </c>
      <c r="J78" s="117">
        <f t="shared" si="3"/>
        <v>35.348727117922515</v>
      </c>
    </row>
    <row r="79" spans="2:10" ht="15" customHeight="1">
      <c r="B79" s="114">
        <v>2028</v>
      </c>
      <c r="C79" s="430">
        <f>M51</f>
        <v>39</v>
      </c>
      <c r="D79" s="431"/>
      <c r="E79" s="121">
        <f t="shared" ref="E79:E83" si="6">$E$65</f>
        <v>0.92834397616006792</v>
      </c>
      <c r="F79" s="120">
        <f t="shared" si="1"/>
        <v>36.205415070242651</v>
      </c>
      <c r="G79" s="118">
        <f t="shared" si="4"/>
        <v>50</v>
      </c>
      <c r="H79" s="119">
        <f t="shared" si="2"/>
        <v>13.794584929757349</v>
      </c>
      <c r="I79" s="118" t="str">
        <f t="shared" si="5"/>
        <v>NO</v>
      </c>
      <c r="J79" s="117">
        <f t="shared" si="3"/>
        <v>37.205415070242651</v>
      </c>
    </row>
    <row r="80" spans="2:10" ht="15" customHeight="1">
      <c r="B80" s="114">
        <v>2029</v>
      </c>
      <c r="C80" s="430">
        <f>N51</f>
        <v>39</v>
      </c>
      <c r="D80" s="431"/>
      <c r="E80" s="121">
        <f t="shared" si="6"/>
        <v>0.92834397616006792</v>
      </c>
      <c r="F80" s="120">
        <f t="shared" si="1"/>
        <v>36.205415070242651</v>
      </c>
      <c r="G80" s="118">
        <f t="shared" si="4"/>
        <v>50</v>
      </c>
      <c r="H80" s="119">
        <f t="shared" si="2"/>
        <v>13.794584929757349</v>
      </c>
      <c r="I80" s="118" t="str">
        <f t="shared" si="5"/>
        <v>NO</v>
      </c>
      <c r="J80" s="117">
        <f t="shared" si="3"/>
        <v>37.205415070242651</v>
      </c>
    </row>
    <row r="81" spans="2:10" ht="15" customHeight="1">
      <c r="B81" s="114">
        <v>2030</v>
      </c>
      <c r="C81" s="430">
        <f>O51</f>
        <v>39</v>
      </c>
      <c r="D81" s="431"/>
      <c r="E81" s="121">
        <f t="shared" si="6"/>
        <v>0.92834397616006792</v>
      </c>
      <c r="F81" s="120">
        <f t="shared" si="1"/>
        <v>36.205415070242651</v>
      </c>
      <c r="G81" s="118">
        <f t="shared" si="4"/>
        <v>50</v>
      </c>
      <c r="H81" s="119">
        <f t="shared" si="2"/>
        <v>13.794584929757349</v>
      </c>
      <c r="I81" s="118" t="str">
        <f t="shared" si="5"/>
        <v>NO</v>
      </c>
      <c r="J81" s="117">
        <f t="shared" si="3"/>
        <v>37.205415070242651</v>
      </c>
    </row>
    <row r="82" spans="2:10" ht="15" customHeight="1">
      <c r="B82" s="114">
        <v>2031</v>
      </c>
      <c r="C82" s="430">
        <f>P51</f>
        <v>39</v>
      </c>
      <c r="D82" s="431"/>
      <c r="E82" s="121">
        <f t="shared" si="6"/>
        <v>0.92834397616006792</v>
      </c>
      <c r="F82" s="120">
        <f t="shared" si="1"/>
        <v>36.205415070242651</v>
      </c>
      <c r="G82" s="118">
        <f t="shared" si="4"/>
        <v>50</v>
      </c>
      <c r="H82" s="119">
        <f t="shared" si="2"/>
        <v>13.794584929757349</v>
      </c>
      <c r="I82" s="118" t="str">
        <f t="shared" si="5"/>
        <v>NO</v>
      </c>
      <c r="J82" s="117">
        <f t="shared" si="3"/>
        <v>37.205415070242651</v>
      </c>
    </row>
    <row r="83" spans="2:10" ht="15" customHeight="1">
      <c r="B83" s="114">
        <v>2032</v>
      </c>
      <c r="C83" s="430">
        <f>Q51</f>
        <v>39</v>
      </c>
      <c r="D83" s="431"/>
      <c r="E83" s="121">
        <f t="shared" si="6"/>
        <v>0.92834397616006792</v>
      </c>
      <c r="F83" s="120">
        <f t="shared" si="1"/>
        <v>36.205415070242651</v>
      </c>
      <c r="G83" s="118">
        <f t="shared" si="4"/>
        <v>50</v>
      </c>
      <c r="H83" s="119">
        <f t="shared" si="2"/>
        <v>13.794584929757349</v>
      </c>
      <c r="I83" s="118" t="str">
        <f t="shared" si="5"/>
        <v>NO</v>
      </c>
      <c r="J83" s="117">
        <f t="shared" si="3"/>
        <v>37.205415070242651</v>
      </c>
    </row>
    <row r="84" spans="2:10" ht="15" customHeight="1">
      <c r="C84" s="16"/>
      <c r="D84" s="16"/>
      <c r="E84" s="16"/>
      <c r="F84" s="16"/>
      <c r="G84" s="16"/>
      <c r="H84" s="16"/>
    </row>
    <row r="85" spans="2:10" ht="15" customHeight="1">
      <c r="B85" s="11" t="s">
        <v>186</v>
      </c>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St Catherine's RC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35</v>
      </c>
      <c r="D91" s="112">
        <f t="shared" ref="D91:J91" si="7">D188</f>
        <v>30</v>
      </c>
      <c r="E91" s="112">
        <f t="shared" si="7"/>
        <v>29</v>
      </c>
      <c r="F91" s="112">
        <f t="shared" si="7"/>
        <v>33</v>
      </c>
      <c r="G91" s="112">
        <f t="shared" si="7"/>
        <v>27</v>
      </c>
      <c r="H91" s="112">
        <f t="shared" si="7"/>
        <v>31</v>
      </c>
      <c r="I91" s="112">
        <f t="shared" si="7"/>
        <v>32</v>
      </c>
      <c r="J91" s="213">
        <f t="shared" si="7"/>
        <v>217</v>
      </c>
    </row>
    <row r="92" spans="2:10" ht="15" customHeight="1">
      <c r="B92" s="114">
        <v>2014</v>
      </c>
      <c r="C92" s="112">
        <f>C189</f>
        <v>26</v>
      </c>
      <c r="D92" s="112">
        <f t="shared" ref="D92:J92" si="8">D189</f>
        <v>34</v>
      </c>
      <c r="E92" s="112">
        <f t="shared" si="8"/>
        <v>30</v>
      </c>
      <c r="F92" s="112">
        <f t="shared" si="8"/>
        <v>31</v>
      </c>
      <c r="G92" s="112">
        <f t="shared" si="8"/>
        <v>33</v>
      </c>
      <c r="H92" s="112">
        <f t="shared" si="8"/>
        <v>30</v>
      </c>
      <c r="I92" s="112">
        <f t="shared" si="8"/>
        <v>31</v>
      </c>
      <c r="J92" s="213">
        <f t="shared" si="8"/>
        <v>215</v>
      </c>
    </row>
    <row r="93" spans="2:10" ht="15" customHeight="1">
      <c r="B93" s="114">
        <v>2015</v>
      </c>
      <c r="C93" s="112">
        <f>C190</f>
        <v>30</v>
      </c>
      <c r="D93" s="112">
        <f t="shared" ref="D93:J93" si="9">D190</f>
        <v>30</v>
      </c>
      <c r="E93" s="112">
        <f t="shared" si="9"/>
        <v>32</v>
      </c>
      <c r="F93" s="112">
        <f t="shared" si="9"/>
        <v>32</v>
      </c>
      <c r="G93" s="112">
        <f t="shared" si="9"/>
        <v>30</v>
      </c>
      <c r="H93" s="112">
        <f t="shared" si="9"/>
        <v>33</v>
      </c>
      <c r="I93" s="112">
        <f t="shared" si="9"/>
        <v>27</v>
      </c>
      <c r="J93" s="213">
        <f t="shared" si="9"/>
        <v>214</v>
      </c>
    </row>
    <row r="94" spans="2:10" ht="15" customHeight="1">
      <c r="B94" s="114">
        <v>2016</v>
      </c>
      <c r="C94" s="112">
        <f>C191</f>
        <v>26</v>
      </c>
      <c r="D94" s="112">
        <f t="shared" ref="D94:J94" si="10">D191</f>
        <v>30</v>
      </c>
      <c r="E94" s="112">
        <f t="shared" si="10"/>
        <v>30</v>
      </c>
      <c r="F94" s="112">
        <f t="shared" si="10"/>
        <v>31</v>
      </c>
      <c r="G94" s="112">
        <f t="shared" si="10"/>
        <v>33</v>
      </c>
      <c r="H94" s="112">
        <f t="shared" si="10"/>
        <v>29</v>
      </c>
      <c r="I94" s="112">
        <f t="shared" si="10"/>
        <v>31</v>
      </c>
      <c r="J94" s="213">
        <f t="shared" si="10"/>
        <v>210</v>
      </c>
    </row>
    <row r="95" spans="2:10" ht="15" customHeight="1">
      <c r="B95" s="114">
        <v>2017</v>
      </c>
      <c r="C95" s="112">
        <f>C192</f>
        <v>27</v>
      </c>
      <c r="D95" s="112">
        <f t="shared" ref="D95:J95" si="11">D192</f>
        <v>30</v>
      </c>
      <c r="E95" s="112">
        <f t="shared" si="11"/>
        <v>30</v>
      </c>
      <c r="F95" s="112">
        <f t="shared" si="11"/>
        <v>33</v>
      </c>
      <c r="G95" s="112">
        <f t="shared" si="11"/>
        <v>32</v>
      </c>
      <c r="H95" s="112">
        <f t="shared" si="11"/>
        <v>33</v>
      </c>
      <c r="I95" s="112">
        <f t="shared" si="11"/>
        <v>29</v>
      </c>
      <c r="J95" s="213">
        <f t="shared" si="11"/>
        <v>214</v>
      </c>
    </row>
    <row r="96" spans="2:10" ht="15" customHeight="1">
      <c r="B96" s="307">
        <v>2018</v>
      </c>
      <c r="C96" s="112">
        <f t="shared" ref="C96:J96" si="12">C193</f>
        <v>25</v>
      </c>
      <c r="D96" s="112">
        <f t="shared" si="12"/>
        <v>29</v>
      </c>
      <c r="E96" s="112">
        <f t="shared" si="12"/>
        <v>29</v>
      </c>
      <c r="F96" s="112">
        <f t="shared" si="12"/>
        <v>33</v>
      </c>
      <c r="G96" s="112">
        <f t="shared" si="12"/>
        <v>33</v>
      </c>
      <c r="H96" s="112">
        <f t="shared" si="12"/>
        <v>33</v>
      </c>
      <c r="I96" s="112">
        <f t="shared" si="12"/>
        <v>32</v>
      </c>
      <c r="J96" s="213">
        <f t="shared" si="12"/>
        <v>214</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-7.407407407407407E-2</v>
      </c>
      <c r="E98" s="210">
        <f t="shared" ref="E98:I98" si="13">MEDIAN(((D91-E92)/D91),((D92-E93)/D92),((D93-E94)/D93),((D94-E95)/D94),((D95-E96)/D95))</f>
        <v>0</v>
      </c>
      <c r="F98" s="210">
        <f t="shared" si="13"/>
        <v>-6.8965517241379309E-2</v>
      </c>
      <c r="G98" s="210">
        <f t="shared" si="13"/>
        <v>0</v>
      </c>
      <c r="H98" s="210">
        <f t="shared" si="13"/>
        <v>0</v>
      </c>
      <c r="I98" s="210">
        <f t="shared" si="13"/>
        <v>3.0303030303030304E-2</v>
      </c>
    </row>
    <row r="99" spans="2:10" ht="18.75">
      <c r="B99" s="59"/>
      <c r="C99" s="60"/>
      <c r="D99" s="61"/>
      <c r="E99" s="61"/>
      <c r="F99" s="61"/>
      <c r="G99" s="61"/>
      <c r="H99" s="61"/>
      <c r="I99" s="61"/>
      <c r="J99" s="58"/>
    </row>
    <row r="100" spans="2:10">
      <c r="B100" s="15" t="str">
        <f>"Table 4B: "&amp;E3&amp;" Projected Roll by Stage (incorporating Projected P1 and Drop-Off Rates), 2019-2032"</f>
        <v>Table 4B: St Catherine's RC Primary School Projected Roll by Stage (incorporating Projected P1 and Drop-Off Rates), 2019-2032</v>
      </c>
      <c r="F100" s="14"/>
      <c r="G100" s="14"/>
    </row>
    <row r="101" spans="2:10" ht="12.75">
      <c r="F101" s="14"/>
      <c r="G101" s="14"/>
    </row>
    <row r="102" spans="2:10">
      <c r="B102" s="115"/>
      <c r="C102" s="109" t="s">
        <v>1</v>
      </c>
      <c r="D102" s="109" t="s">
        <v>2</v>
      </c>
      <c r="E102" s="109" t="s">
        <v>3</v>
      </c>
      <c r="F102" s="109" t="s">
        <v>4</v>
      </c>
      <c r="G102" s="109" t="s">
        <v>5</v>
      </c>
      <c r="H102" s="109" t="s">
        <v>6</v>
      </c>
      <c r="I102" s="109" t="s">
        <v>7</v>
      </c>
      <c r="J102" s="109" t="s">
        <v>8</v>
      </c>
    </row>
    <row r="103" spans="2:10">
      <c r="B103" s="114">
        <v>2019</v>
      </c>
      <c r="C103" s="113">
        <f t="shared" ref="C103:C116" si="14">J70</f>
        <v>28.850319284802037</v>
      </c>
      <c r="D103" s="324">
        <f>ROUND((C96)-(C96*$D$98),0)</f>
        <v>27</v>
      </c>
      <c r="E103" s="324">
        <f>ROUND((D96)-(D96*$E$98),0)</f>
        <v>29</v>
      </c>
      <c r="F103" s="324">
        <f>ROUND((E96)-(E96*$F$98),0)</f>
        <v>31</v>
      </c>
      <c r="G103" s="324">
        <f>ROUND((F96)-(F96*$G$98),0)</f>
        <v>33</v>
      </c>
      <c r="H103" s="324">
        <f>ROUND((G96)-(G96*$H$98),0)</f>
        <v>33</v>
      </c>
      <c r="I103" s="324">
        <f>ROUND((H96)-(H96*$I$98),0)</f>
        <v>32</v>
      </c>
      <c r="J103" s="111">
        <f t="shared" ref="J103:J116" si="15">SUM(C103:I103)</f>
        <v>213.85031928480203</v>
      </c>
    </row>
    <row r="104" spans="2:10">
      <c r="B104" s="114">
        <v>2020</v>
      </c>
      <c r="C104" s="113">
        <f t="shared" si="14"/>
        <v>28.850319284802037</v>
      </c>
      <c r="D104" s="324">
        <f>ROUND((C103-E50)-(C103*$D$98),0)</f>
        <v>29</v>
      </c>
      <c r="E104" s="112">
        <f t="shared" ref="E104:E116" si="16">ROUND((D103)-(D103*$E$98),0)</f>
        <v>27</v>
      </c>
      <c r="F104" s="112">
        <f t="shared" ref="F104:F116" si="17">ROUND((E103)-(E103*$F$98),0)</f>
        <v>31</v>
      </c>
      <c r="G104" s="112">
        <f t="shared" ref="G104:G116" si="18">ROUND((F103)-(F103*$G$98),0)</f>
        <v>31</v>
      </c>
      <c r="H104" s="112">
        <f t="shared" ref="H104:H116" si="19">ROUND((G103)-(G103*$H$98),0)</f>
        <v>33</v>
      </c>
      <c r="I104" s="112">
        <f t="shared" ref="I104:I116" si="20">ROUND((H103)-(H103*$I$98),0)</f>
        <v>32</v>
      </c>
      <c r="J104" s="111">
        <f t="shared" si="15"/>
        <v>211.85031928480203</v>
      </c>
    </row>
    <row r="105" spans="2:10">
      <c r="B105" s="114">
        <v>2021</v>
      </c>
      <c r="C105" s="113">
        <f t="shared" si="14"/>
        <v>33.492039165602378</v>
      </c>
      <c r="D105" s="324">
        <f>ROUND((C104-F50)-(C104*$D$98),0)</f>
        <v>28</v>
      </c>
      <c r="E105" s="112">
        <f t="shared" si="16"/>
        <v>29</v>
      </c>
      <c r="F105" s="112">
        <f t="shared" si="17"/>
        <v>29</v>
      </c>
      <c r="G105" s="112">
        <f t="shared" si="18"/>
        <v>31</v>
      </c>
      <c r="H105" s="112">
        <f t="shared" si="19"/>
        <v>31</v>
      </c>
      <c r="I105" s="112">
        <f t="shared" si="20"/>
        <v>32</v>
      </c>
      <c r="J105" s="111">
        <f t="shared" si="15"/>
        <v>213.49203916560236</v>
      </c>
    </row>
    <row r="106" spans="2:10">
      <c r="B106" s="114">
        <v>2022</v>
      </c>
      <c r="C106" s="113">
        <f t="shared" si="14"/>
        <v>29.778663260962105</v>
      </c>
      <c r="D106" s="324">
        <f>ROUND((C105-G50)-(C105*$D$98),0)</f>
        <v>32</v>
      </c>
      <c r="E106" s="112">
        <f t="shared" si="16"/>
        <v>28</v>
      </c>
      <c r="F106" s="112">
        <f t="shared" si="17"/>
        <v>31</v>
      </c>
      <c r="G106" s="112">
        <f t="shared" si="18"/>
        <v>29</v>
      </c>
      <c r="H106" s="112">
        <f t="shared" si="19"/>
        <v>31</v>
      </c>
      <c r="I106" s="112">
        <f t="shared" si="20"/>
        <v>30</v>
      </c>
      <c r="J106" s="111">
        <f t="shared" si="15"/>
        <v>210.77866326096211</v>
      </c>
    </row>
    <row r="107" spans="2:10">
      <c r="B107" s="114">
        <v>2023</v>
      </c>
      <c r="C107" s="113">
        <f t="shared" si="14"/>
        <v>32.563695189442313</v>
      </c>
      <c r="D107" s="324">
        <f>ROUND((C106-H50)-(C106*$D$98),0)</f>
        <v>27</v>
      </c>
      <c r="E107" s="112">
        <f t="shared" si="16"/>
        <v>32</v>
      </c>
      <c r="F107" s="112">
        <f t="shared" si="17"/>
        <v>30</v>
      </c>
      <c r="G107" s="112">
        <f t="shared" si="18"/>
        <v>31</v>
      </c>
      <c r="H107" s="112">
        <f t="shared" si="19"/>
        <v>29</v>
      </c>
      <c r="I107" s="112">
        <f t="shared" si="20"/>
        <v>30</v>
      </c>
      <c r="J107" s="111">
        <f t="shared" si="15"/>
        <v>211.56369518944231</v>
      </c>
    </row>
    <row r="108" spans="2:10">
      <c r="B108" s="114">
        <v>2024</v>
      </c>
      <c r="C108" s="113">
        <f t="shared" si="14"/>
        <v>33.492039165602378</v>
      </c>
      <c r="D108" s="324">
        <f>ROUND((C107-I50)-(C107*$D$98),0)</f>
        <v>30</v>
      </c>
      <c r="E108" s="112">
        <f t="shared" si="16"/>
        <v>27</v>
      </c>
      <c r="F108" s="112">
        <f t="shared" si="17"/>
        <v>34</v>
      </c>
      <c r="G108" s="112">
        <f t="shared" si="18"/>
        <v>30</v>
      </c>
      <c r="H108" s="112">
        <f t="shared" si="19"/>
        <v>31</v>
      </c>
      <c r="I108" s="112">
        <f t="shared" si="20"/>
        <v>28</v>
      </c>
      <c r="J108" s="111">
        <f t="shared" si="15"/>
        <v>213.49203916560236</v>
      </c>
    </row>
    <row r="109" spans="2:10">
      <c r="B109" s="114">
        <v>2025</v>
      </c>
      <c r="C109" s="113">
        <f t="shared" si="14"/>
        <v>34.420383141762443</v>
      </c>
      <c r="D109" s="324">
        <f>ROUND((C108-J50)-(C108*$D$98),0)</f>
        <v>30</v>
      </c>
      <c r="E109" s="112">
        <f t="shared" si="16"/>
        <v>30</v>
      </c>
      <c r="F109" s="112">
        <f t="shared" si="17"/>
        <v>29</v>
      </c>
      <c r="G109" s="112">
        <f t="shared" si="18"/>
        <v>34</v>
      </c>
      <c r="H109" s="112">
        <f t="shared" si="19"/>
        <v>30</v>
      </c>
      <c r="I109" s="112">
        <f t="shared" si="20"/>
        <v>30</v>
      </c>
      <c r="J109" s="111">
        <f t="shared" si="15"/>
        <v>217.42038314176244</v>
      </c>
    </row>
    <row r="110" spans="2:10">
      <c r="B110" s="114">
        <v>2026</v>
      </c>
      <c r="C110" s="113">
        <f t="shared" si="14"/>
        <v>35.348727117922515</v>
      </c>
      <c r="D110" s="324">
        <f>ROUND((C109-K50)-(C109*$D$98),0)</f>
        <v>30</v>
      </c>
      <c r="E110" s="112">
        <f t="shared" si="16"/>
        <v>30</v>
      </c>
      <c r="F110" s="112">
        <f t="shared" si="17"/>
        <v>32</v>
      </c>
      <c r="G110" s="112">
        <f t="shared" si="18"/>
        <v>29</v>
      </c>
      <c r="H110" s="112">
        <f t="shared" si="19"/>
        <v>34</v>
      </c>
      <c r="I110" s="112">
        <f t="shared" si="20"/>
        <v>29</v>
      </c>
      <c r="J110" s="111">
        <f t="shared" si="15"/>
        <v>219.34872711792252</v>
      </c>
    </row>
    <row r="111" spans="2:10">
      <c r="B111" s="114">
        <v>2027</v>
      </c>
      <c r="C111" s="113">
        <f t="shared" si="14"/>
        <v>35.348727117922515</v>
      </c>
      <c r="D111" s="324">
        <f>ROUND((C110-L50)-(C110*$D$98),0)</f>
        <v>31</v>
      </c>
      <c r="E111" s="112">
        <f t="shared" si="16"/>
        <v>30</v>
      </c>
      <c r="F111" s="112">
        <f t="shared" si="17"/>
        <v>32</v>
      </c>
      <c r="G111" s="112">
        <f t="shared" si="18"/>
        <v>32</v>
      </c>
      <c r="H111" s="112">
        <f t="shared" si="19"/>
        <v>29</v>
      </c>
      <c r="I111" s="112">
        <f t="shared" si="20"/>
        <v>33</v>
      </c>
      <c r="J111" s="111">
        <f t="shared" si="15"/>
        <v>222.34872711792252</v>
      </c>
    </row>
    <row r="112" spans="2:10">
      <c r="B112" s="114">
        <v>2028</v>
      </c>
      <c r="C112" s="113">
        <f t="shared" si="14"/>
        <v>37.205415070242651</v>
      </c>
      <c r="D112" s="324">
        <f>ROUND((C111-M50)-(C111*$D$98),0)</f>
        <v>30</v>
      </c>
      <c r="E112" s="112">
        <f t="shared" si="16"/>
        <v>31</v>
      </c>
      <c r="F112" s="112">
        <f t="shared" si="17"/>
        <v>32</v>
      </c>
      <c r="G112" s="112">
        <f t="shared" si="18"/>
        <v>32</v>
      </c>
      <c r="H112" s="112">
        <f t="shared" si="19"/>
        <v>32</v>
      </c>
      <c r="I112" s="112">
        <f t="shared" si="20"/>
        <v>28</v>
      </c>
      <c r="J112" s="111">
        <f t="shared" si="15"/>
        <v>222.20541507024265</v>
      </c>
    </row>
    <row r="113" spans="2:10" ht="15" customHeight="1">
      <c r="B113" s="114">
        <v>2029</v>
      </c>
      <c r="C113" s="113">
        <f t="shared" si="14"/>
        <v>37.205415070242651</v>
      </c>
      <c r="D113" s="324">
        <f>ROUND((C112-N50)-(C112*$D$98),0)</f>
        <v>32</v>
      </c>
      <c r="E113" s="112">
        <f t="shared" si="16"/>
        <v>30</v>
      </c>
      <c r="F113" s="112">
        <f t="shared" si="17"/>
        <v>33</v>
      </c>
      <c r="G113" s="112">
        <f t="shared" si="18"/>
        <v>32</v>
      </c>
      <c r="H113" s="112">
        <f t="shared" si="19"/>
        <v>32</v>
      </c>
      <c r="I113" s="112">
        <f t="shared" si="20"/>
        <v>31</v>
      </c>
      <c r="J113" s="111">
        <f t="shared" si="15"/>
        <v>227.20541507024265</v>
      </c>
    </row>
    <row r="114" spans="2:10" ht="15" customHeight="1">
      <c r="B114" s="114">
        <v>2030</v>
      </c>
      <c r="C114" s="113">
        <f t="shared" si="14"/>
        <v>37.205415070242651</v>
      </c>
      <c r="D114" s="324">
        <f>ROUND((C113-O50)-(C113*$D$98),0)</f>
        <v>32</v>
      </c>
      <c r="E114" s="112">
        <f t="shared" si="16"/>
        <v>32</v>
      </c>
      <c r="F114" s="112">
        <f t="shared" si="17"/>
        <v>32</v>
      </c>
      <c r="G114" s="112">
        <f t="shared" si="18"/>
        <v>33</v>
      </c>
      <c r="H114" s="112">
        <f t="shared" si="19"/>
        <v>32</v>
      </c>
      <c r="I114" s="112">
        <f t="shared" si="20"/>
        <v>31</v>
      </c>
      <c r="J114" s="111">
        <f t="shared" si="15"/>
        <v>229.20541507024265</v>
      </c>
    </row>
    <row r="115" spans="2:10" ht="15" customHeight="1">
      <c r="B115" s="114">
        <v>2031</v>
      </c>
      <c r="C115" s="113">
        <f t="shared" si="14"/>
        <v>37.205415070242651</v>
      </c>
      <c r="D115" s="324">
        <f>ROUND((C114-P50)-(C114*$D$98),0)</f>
        <v>32</v>
      </c>
      <c r="E115" s="112">
        <f t="shared" si="16"/>
        <v>32</v>
      </c>
      <c r="F115" s="112">
        <f t="shared" si="17"/>
        <v>34</v>
      </c>
      <c r="G115" s="112">
        <f t="shared" si="18"/>
        <v>32</v>
      </c>
      <c r="H115" s="112">
        <f t="shared" si="19"/>
        <v>33</v>
      </c>
      <c r="I115" s="112">
        <f t="shared" si="20"/>
        <v>31</v>
      </c>
      <c r="J115" s="111">
        <f t="shared" si="15"/>
        <v>231.20541507024265</v>
      </c>
    </row>
    <row r="116" spans="2:10" ht="15" customHeight="1">
      <c r="B116" s="114">
        <v>2032</v>
      </c>
      <c r="C116" s="113">
        <f t="shared" si="14"/>
        <v>37.205415070242651</v>
      </c>
      <c r="D116" s="324">
        <f>ROUND((C115-Q50)-(C115*$D$98),0)</f>
        <v>32</v>
      </c>
      <c r="E116" s="112">
        <f t="shared" si="16"/>
        <v>32</v>
      </c>
      <c r="F116" s="112">
        <f t="shared" si="17"/>
        <v>34</v>
      </c>
      <c r="G116" s="112">
        <f t="shared" si="18"/>
        <v>34</v>
      </c>
      <c r="H116" s="112">
        <f t="shared" si="19"/>
        <v>32</v>
      </c>
      <c r="I116" s="112">
        <f t="shared" si="20"/>
        <v>32</v>
      </c>
      <c r="J116" s="111">
        <f t="shared" si="15"/>
        <v>233.20541507024265</v>
      </c>
    </row>
    <row r="117" spans="2:10" ht="15" hidden="1" customHeight="1">
      <c r="F117" s="14"/>
      <c r="G117" s="14"/>
    </row>
    <row r="118" spans="2:10" ht="15" hidden="1" customHeight="1">
      <c r="B118" s="15" t="str">
        <f>"Table 4C: "&amp;E3&amp;" Projected Pupil Generation from Housing Development, 2019-2032"</f>
        <v>Table 4C: St Catherine's RC Primary School Projected Pupil Generation from Housing Development, 2019-2032</v>
      </c>
      <c r="F118" s="14"/>
      <c r="G118" s="14"/>
    </row>
    <row r="119" spans="2:10" ht="15" hidden="1" customHeight="1">
      <c r="F119" s="14"/>
      <c r="G119" s="14"/>
    </row>
    <row r="120" spans="2:10" ht="15" hidden="1" customHeight="1">
      <c r="B120" s="115"/>
      <c r="C120" s="109" t="s">
        <v>1</v>
      </c>
      <c r="D120" s="109" t="s">
        <v>2</v>
      </c>
      <c r="E120" s="109" t="s">
        <v>3</v>
      </c>
      <c r="F120" s="109" t="s">
        <v>4</v>
      </c>
      <c r="G120" s="109" t="s">
        <v>5</v>
      </c>
      <c r="H120" s="109" t="s">
        <v>6</v>
      </c>
      <c r="I120" s="109" t="s">
        <v>7</v>
      </c>
      <c r="J120" s="109" t="s">
        <v>8</v>
      </c>
    </row>
    <row r="121" spans="2:10" ht="15" hidden="1" customHeight="1">
      <c r="B121" s="114">
        <v>2019</v>
      </c>
      <c r="C121" s="116" t="s">
        <v>97</v>
      </c>
      <c r="D121" s="112">
        <f>VLOOKUP($E$3,'Housing Generation'!$A$3:$BE$90,11,FALSE)</f>
        <v>1</v>
      </c>
      <c r="E121" s="112">
        <f>VLOOKUP($E$3,'Housing Generation'!$A$3:$BE$90,12,FALSE)</f>
        <v>1</v>
      </c>
      <c r="F121" s="112">
        <f>VLOOKUP($E$3,'Housing Generation'!$A$3:$BE$90,13,FALSE)</f>
        <v>1</v>
      </c>
      <c r="G121" s="112">
        <f>VLOOKUP($E$3,'Housing Generation'!$A$3:$BE$90,14,FALSE)</f>
        <v>1</v>
      </c>
      <c r="H121" s="112">
        <f>VLOOKUP($E$3,'Housing Generation'!$A$3:$BE$90,15,FALSE)</f>
        <v>1</v>
      </c>
      <c r="I121" s="112">
        <f>VLOOKUP($E$3,'Housing Generation'!$A$3:$BE$90,16,FALSE)</f>
        <v>1</v>
      </c>
      <c r="J121" s="111">
        <f t="shared" ref="J121:J134" si="21">SUM(D121:I121)</f>
        <v>6</v>
      </c>
    </row>
    <row r="122" spans="2:10" ht="15" hidden="1" customHeight="1">
      <c r="B122" s="114">
        <v>2020</v>
      </c>
      <c r="C122" s="116" t="s">
        <v>97</v>
      </c>
      <c r="D122" s="112">
        <f>VLOOKUP($E$3,'Housing Generation'!$A$3:$BE$90,19,FALSE)</f>
        <v>2</v>
      </c>
      <c r="E122" s="112">
        <f>VLOOKUP($E$3,'Housing Generation'!$A$3:$BE$90,20,FALSE)</f>
        <v>2</v>
      </c>
      <c r="F122" s="112">
        <f>VLOOKUP($E$3,'Housing Generation'!$A$3:$BE$90,21,FALSE)</f>
        <v>2</v>
      </c>
      <c r="G122" s="112">
        <f>VLOOKUP($E$3,'Housing Generation'!$A$3:$BE$90,22,FALSE)</f>
        <v>2</v>
      </c>
      <c r="H122" s="112">
        <f>VLOOKUP($E$3,'Housing Generation'!$A$3:$BE$90,23,FALSE)</f>
        <v>2</v>
      </c>
      <c r="I122" s="112">
        <f>VLOOKUP($E$3,'Housing Generation'!$A$3:$BE$90,24,FALSE)</f>
        <v>2</v>
      </c>
      <c r="J122" s="111">
        <f t="shared" si="21"/>
        <v>12</v>
      </c>
    </row>
    <row r="123" spans="2:10" ht="15" hidden="1" customHeight="1">
      <c r="B123" s="114">
        <v>2021</v>
      </c>
      <c r="C123" s="116" t="s">
        <v>97</v>
      </c>
      <c r="D123" s="112">
        <f>VLOOKUP($E$3,'Housing Generation'!$A$3:$BE$90,27,FALSE)</f>
        <v>3</v>
      </c>
      <c r="E123" s="112">
        <f>VLOOKUP($E$3,'Housing Generation'!$A$3:$BE$90,28,FALSE)</f>
        <v>3</v>
      </c>
      <c r="F123" s="112">
        <f>VLOOKUP($E$3,'Housing Generation'!$A$3:$BE$90,29,FALSE)</f>
        <v>3</v>
      </c>
      <c r="G123" s="112">
        <f>VLOOKUP($E$3,'Housing Generation'!$A$3:$BE$90,30,FALSE)</f>
        <v>3</v>
      </c>
      <c r="H123" s="112">
        <f>VLOOKUP($E$3,'Housing Generation'!$A$3:$BE$90,31,FALSE)</f>
        <v>3</v>
      </c>
      <c r="I123" s="112">
        <f>VLOOKUP($E$3,'Housing Generation'!$A$3:$BE$90,32,FALSE)</f>
        <v>3</v>
      </c>
      <c r="J123" s="111">
        <f t="shared" si="21"/>
        <v>18</v>
      </c>
    </row>
    <row r="124" spans="2:10" ht="15" hidden="1" customHeight="1">
      <c r="B124" s="114">
        <v>2022</v>
      </c>
      <c r="C124" s="116" t="s">
        <v>97</v>
      </c>
      <c r="D124" s="112">
        <f>VLOOKUP($E$3,'Housing Generation'!$A$3:$BE$90,35,FALSE)</f>
        <v>4</v>
      </c>
      <c r="E124" s="112">
        <f>VLOOKUP($E$3,'Housing Generation'!$A$3:$BE$90,36,FALSE)</f>
        <v>4</v>
      </c>
      <c r="F124" s="112">
        <f>VLOOKUP($E$3,'Housing Generation'!$A$3:$BE$90,37,FALSE)</f>
        <v>4</v>
      </c>
      <c r="G124" s="112">
        <f>VLOOKUP($E$3,'Housing Generation'!$A$3:$BE$90,38,FALSE)</f>
        <v>3</v>
      </c>
      <c r="H124" s="112">
        <f>VLOOKUP($E$3,'Housing Generation'!$A$3:$BE$90,39,FALSE)</f>
        <v>3</v>
      </c>
      <c r="I124" s="112">
        <f>VLOOKUP($E$3,'Housing Generation'!$A$3:$BE$90,40,FALSE)</f>
        <v>3</v>
      </c>
      <c r="J124" s="111">
        <f t="shared" si="21"/>
        <v>21</v>
      </c>
    </row>
    <row r="125" spans="2:10" ht="15" hidden="1" customHeight="1">
      <c r="B125" s="114">
        <v>2023</v>
      </c>
      <c r="C125" s="116" t="s">
        <v>97</v>
      </c>
      <c r="D125" s="112">
        <f>VLOOKUP($E$3,'Housing Generation'!$A$3:$BE$90,43,FALSE)</f>
        <v>4</v>
      </c>
      <c r="E125" s="112">
        <f>VLOOKUP($E$3,'Housing Generation'!$A$3:$BE$90,44,FALSE)</f>
        <v>4</v>
      </c>
      <c r="F125" s="112">
        <f>VLOOKUP($E$3,'Housing Generation'!$A$3:$BE$90,45,FALSE)</f>
        <v>4</v>
      </c>
      <c r="G125" s="112">
        <f>VLOOKUP($E$3,'Housing Generation'!$A$3:$BE$90,46,FALSE)</f>
        <v>4</v>
      </c>
      <c r="H125" s="112">
        <f>VLOOKUP($E$3,'Housing Generation'!$A$3:$BE$90,47,FALSE)</f>
        <v>4</v>
      </c>
      <c r="I125" s="112">
        <f>VLOOKUP($E$3,'Housing Generation'!$A$3:$BE$90,48,FALSE)</f>
        <v>4</v>
      </c>
      <c r="J125" s="111">
        <f t="shared" si="21"/>
        <v>24</v>
      </c>
    </row>
    <row r="126" spans="2:10" ht="15" hidden="1" customHeight="1">
      <c r="B126" s="114">
        <v>2024</v>
      </c>
      <c r="C126" s="116" t="s">
        <v>97</v>
      </c>
      <c r="D126" s="112">
        <f>VLOOKUP($E$3,'Housing Generation'!$A$3:$BE$90,51,FALSE)</f>
        <v>5</v>
      </c>
      <c r="E126" s="112">
        <f>VLOOKUP($E$3,'Housing Generation'!$A$3:$BE$90,52,FALSE)</f>
        <v>5</v>
      </c>
      <c r="F126" s="112">
        <f>VLOOKUP($E$3,'Housing Generation'!$A$3:$BE$90,53,FALSE)</f>
        <v>5</v>
      </c>
      <c r="G126" s="112">
        <f>VLOOKUP($E$3,'Housing Generation'!$A$3:$BE$90,54,FALSE)</f>
        <v>5</v>
      </c>
      <c r="H126" s="112">
        <f>VLOOKUP($E$3,'Housing Generation'!$A$3:$BE$90,55,FALSE)</f>
        <v>5</v>
      </c>
      <c r="I126" s="112">
        <f>VLOOKUP($E$3,'Housing Generation'!$A$3:$BE$90,56,FALSE)</f>
        <v>5</v>
      </c>
      <c r="J126" s="111">
        <f t="shared" si="21"/>
        <v>30</v>
      </c>
    </row>
    <row r="127" spans="2:10" ht="15" hidden="1" customHeight="1">
      <c r="B127" s="114">
        <v>2025</v>
      </c>
      <c r="C127" s="240" t="s">
        <v>97</v>
      </c>
      <c r="D127" s="112">
        <f>VLOOKUP($E$3,'Housing Generation'!$A$3:$CK$90,59,FALSE)</f>
        <v>6</v>
      </c>
      <c r="E127" s="112">
        <f>VLOOKUP($E$3,'Housing Generation'!$A$3:$CK$90,60,FALSE)</f>
        <v>6</v>
      </c>
      <c r="F127" s="112">
        <f>VLOOKUP($E$3,'Housing Generation'!$A$3:$CK$90,61,FALSE)</f>
        <v>6</v>
      </c>
      <c r="G127" s="112">
        <f>VLOOKUP($E$3,'Housing Generation'!$A$3:$CK$90,62,FALSE)</f>
        <v>6</v>
      </c>
      <c r="H127" s="112">
        <f>VLOOKUP($E$3,'Housing Generation'!$A$3:$CK$90,63,FALSE)</f>
        <v>5</v>
      </c>
      <c r="I127" s="112">
        <f>VLOOKUP($E$3,'Housing Generation'!$A$3:$CK$90,64,FALSE)</f>
        <v>5</v>
      </c>
      <c r="J127" s="111">
        <f t="shared" si="21"/>
        <v>34</v>
      </c>
    </row>
    <row r="128" spans="2:10" ht="15" hidden="1" customHeight="1">
      <c r="B128" s="114">
        <v>2026</v>
      </c>
      <c r="C128" s="240" t="s">
        <v>97</v>
      </c>
      <c r="D128" s="112">
        <f>VLOOKUP($E$3,'Housing Generation'!$A$3:$CK$90,67,FALSE)</f>
        <v>7</v>
      </c>
      <c r="E128" s="112">
        <f>VLOOKUP($E$3,'Housing Generation'!$A$3:$CK$90,68,FALSE)</f>
        <v>6</v>
      </c>
      <c r="F128" s="112">
        <f>VLOOKUP($E$3,'Housing Generation'!$A$3:$CK$90,69,FALSE)</f>
        <v>6</v>
      </c>
      <c r="G128" s="112">
        <f>VLOOKUP($E$3,'Housing Generation'!$A$3:$CK$90,70,FALSE)</f>
        <v>6</v>
      </c>
      <c r="H128" s="112">
        <f>VLOOKUP($E$3,'Housing Generation'!$A$3:$CK$90,71,FALSE)</f>
        <v>6</v>
      </c>
      <c r="I128" s="112">
        <f>VLOOKUP($E$3,'Housing Generation'!$A$3:$CK$90,72,FALSE)</f>
        <v>6</v>
      </c>
      <c r="J128" s="111">
        <f t="shared" si="21"/>
        <v>37</v>
      </c>
    </row>
    <row r="129" spans="2:10" ht="15" hidden="1" customHeight="1">
      <c r="B129" s="114">
        <v>2027</v>
      </c>
      <c r="C129" s="240" t="s">
        <v>97</v>
      </c>
      <c r="D129" s="112">
        <f>VLOOKUP($E$3,'Housing Generation'!$A$3:$CK$90,75,FALSE)</f>
        <v>7</v>
      </c>
      <c r="E129" s="112">
        <f>VLOOKUP($E$3,'Housing Generation'!$A$3:$CK$90,76,FALSE)</f>
        <v>7</v>
      </c>
      <c r="F129" s="112">
        <f>VLOOKUP($E$3,'Housing Generation'!$A$3:$CK$90,77,FALSE)</f>
        <v>7</v>
      </c>
      <c r="G129" s="112">
        <f>VLOOKUP($E$3,'Housing Generation'!$A$3:$CK$90,78,FALSE)</f>
        <v>7</v>
      </c>
      <c r="H129" s="112">
        <f>VLOOKUP($E$3,'Housing Generation'!$A$3:$CK$90,79,FALSE)</f>
        <v>7</v>
      </c>
      <c r="I129" s="112">
        <f>VLOOKUP($E$3,'Housing Generation'!$A$3:$CK$90,80,FALSE)</f>
        <v>7</v>
      </c>
      <c r="J129" s="111">
        <f t="shared" si="21"/>
        <v>42</v>
      </c>
    </row>
    <row r="130" spans="2:10" ht="15" customHeight="1">
      <c r="B130" s="114">
        <v>2028</v>
      </c>
      <c r="C130" s="289" t="s">
        <v>97</v>
      </c>
      <c r="D130" s="112">
        <f>VLOOKUP($E$3,'Housing Generation'!$A$3:$CK$90,83,FALSE)</f>
        <v>8</v>
      </c>
      <c r="E130" s="112">
        <f>VLOOKUP($E$3,'Housing Generation'!$A$3:$CK$90,84,FALSE)</f>
        <v>8</v>
      </c>
      <c r="F130" s="112">
        <f>VLOOKUP($E$3,'Housing Generation'!$A$3:$CK$90,85,FALSE)</f>
        <v>7</v>
      </c>
      <c r="G130" s="112">
        <f>VLOOKUP($E$3,'Housing Generation'!$A$3:$CK$90,86,FALSE)</f>
        <v>7</v>
      </c>
      <c r="H130" s="112">
        <f>VLOOKUP($E$3,'Housing Generation'!$A$3:$CK$90,87,FALSE)</f>
        <v>7</v>
      </c>
      <c r="I130" s="112">
        <f>VLOOKUP($E$3,'Housing Generation'!$A$3:$CK$90,88,FALSE)</f>
        <v>7</v>
      </c>
      <c r="J130" s="111">
        <f t="shared" si="21"/>
        <v>44</v>
      </c>
    </row>
    <row r="131" spans="2:10" ht="15" customHeight="1">
      <c r="B131" s="114">
        <v>2029</v>
      </c>
      <c r="C131" s="289" t="s">
        <v>97</v>
      </c>
      <c r="D131" s="112">
        <f>VLOOKUP($E$3,'Housing Generation'!$A$3:$DQ$90,91,FALSE)</f>
        <v>8</v>
      </c>
      <c r="E131" s="112">
        <f>VLOOKUP($E$3,'Housing Generation'!$A$3:$DQ$90,92,FALSE)</f>
        <v>8</v>
      </c>
      <c r="F131" s="112">
        <f>VLOOKUP($E$3,'Housing Generation'!$A$3:$DQ$90,93,FALSE)</f>
        <v>8</v>
      </c>
      <c r="G131" s="112">
        <f>VLOOKUP($E$3,'Housing Generation'!$A$3:$DQ$90,94,FALSE)</f>
        <v>7</v>
      </c>
      <c r="H131" s="112">
        <f>VLOOKUP($E$3,'Housing Generation'!$A$3:$DQ$90,95,FALSE)</f>
        <v>7</v>
      </c>
      <c r="I131" s="112">
        <f>VLOOKUP($E$3,'Housing Generation'!$A$3:$DQ$90,96,FALSE)</f>
        <v>7</v>
      </c>
      <c r="J131" s="111">
        <f t="shared" si="21"/>
        <v>45</v>
      </c>
    </row>
    <row r="132" spans="2:10" ht="15" customHeight="1">
      <c r="B132" s="114">
        <v>2030</v>
      </c>
      <c r="C132" s="289" t="s">
        <v>97</v>
      </c>
      <c r="D132" s="112">
        <f>VLOOKUP($E$3,'Housing Generation'!$A$3:$DQ$90,99,FALSE)</f>
        <v>8</v>
      </c>
      <c r="E132" s="112">
        <f>VLOOKUP($E$3,'Housing Generation'!$A$3:$DQ$90,100,FALSE)</f>
        <v>8</v>
      </c>
      <c r="F132" s="112">
        <f>VLOOKUP($E$3,'Housing Generation'!$A$3:$DQ$90,101,FALSE)</f>
        <v>8</v>
      </c>
      <c r="G132" s="112">
        <f>VLOOKUP($E$3,'Housing Generation'!$A$3:$DQ$90,102,FALSE)</f>
        <v>8</v>
      </c>
      <c r="H132" s="112">
        <f>VLOOKUP($E$3,'Housing Generation'!$A$3:$DQ$90,103,FALSE)</f>
        <v>7</v>
      </c>
      <c r="I132" s="112">
        <f>VLOOKUP($E$3,'Housing Generation'!$A$3:$DQ$90,104,FALSE)</f>
        <v>7</v>
      </c>
      <c r="J132" s="111">
        <f t="shared" si="21"/>
        <v>46</v>
      </c>
    </row>
    <row r="133" spans="2:10" ht="15" customHeight="1">
      <c r="B133" s="114">
        <v>2031</v>
      </c>
      <c r="C133" s="289" t="s">
        <v>97</v>
      </c>
      <c r="D133" s="112">
        <f>VLOOKUP($E$3,'Housing Generation'!$A$3:$DQ$90,107,FALSE)</f>
        <v>8</v>
      </c>
      <c r="E133" s="112">
        <f>VLOOKUP($E$3,'Housing Generation'!$A$3:$DQ$90,108,FALSE)</f>
        <v>8</v>
      </c>
      <c r="F133" s="112">
        <f>VLOOKUP($E$3,'Housing Generation'!$A$3:$DQ$90,109,FALSE)</f>
        <v>8</v>
      </c>
      <c r="G133" s="112">
        <f>VLOOKUP($E$3,'Housing Generation'!$A$3:$DQ$90,110,FALSE)</f>
        <v>8</v>
      </c>
      <c r="H133" s="112">
        <f>VLOOKUP($E$3,'Housing Generation'!$A$3:$DQ$90,111,FALSE)</f>
        <v>8</v>
      </c>
      <c r="I133" s="112">
        <f>VLOOKUP($E$3,'Housing Generation'!$A$3:$DQ$90,112,FALSE)</f>
        <v>7</v>
      </c>
      <c r="J133" s="111">
        <f t="shared" si="21"/>
        <v>47</v>
      </c>
    </row>
    <row r="134" spans="2:10" ht="15" customHeight="1">
      <c r="B134" s="114">
        <v>2032</v>
      </c>
      <c r="C134" s="289" t="s">
        <v>97</v>
      </c>
      <c r="D134" s="112">
        <f>VLOOKUP($E$3,'Housing Generation'!$A$3:$DQ$90,115,FALSE)</f>
        <v>8</v>
      </c>
      <c r="E134" s="112">
        <f>VLOOKUP($E$3,'Housing Generation'!$A$3:$DQ$90,116,FALSE)</f>
        <v>8</v>
      </c>
      <c r="F134" s="112">
        <f>VLOOKUP($E$3,'Housing Generation'!$A$3:$DQ$90,117,FALSE)</f>
        <v>8</v>
      </c>
      <c r="G134" s="112">
        <f>VLOOKUP($E$3,'Housing Generation'!$A$3:$DQ$90,118,FALSE)</f>
        <v>8</v>
      </c>
      <c r="H134" s="112">
        <f>VLOOKUP($E$3,'Housing Generation'!$A$3:$DQ$90,119,FALSE)</f>
        <v>8</v>
      </c>
      <c r="I134" s="112">
        <f>VLOOKUP($E$3,'Housing Generation'!$A$3:$DQ$90,120,FALSE)</f>
        <v>8</v>
      </c>
      <c r="J134" s="111">
        <f t="shared" si="21"/>
        <v>48</v>
      </c>
    </row>
    <row r="135" spans="2:10" ht="15" hidden="1"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St Catherine's RC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28.850319284802037</v>
      </c>
      <c r="D139" s="112">
        <f t="shared" ref="D139:I152" si="23">D121+D103</f>
        <v>28</v>
      </c>
      <c r="E139" s="112">
        <f t="shared" si="23"/>
        <v>30</v>
      </c>
      <c r="F139" s="112">
        <f t="shared" si="23"/>
        <v>32</v>
      </c>
      <c r="G139" s="112">
        <f t="shared" si="23"/>
        <v>34</v>
      </c>
      <c r="H139" s="112">
        <f t="shared" si="23"/>
        <v>34</v>
      </c>
      <c r="I139" s="112">
        <f t="shared" si="23"/>
        <v>33</v>
      </c>
      <c r="J139" s="111">
        <f t="shared" ref="J139:J147" si="24">SUM(C139:I139)</f>
        <v>219.85031928480203</v>
      </c>
    </row>
    <row r="140" spans="2:10" ht="15" customHeight="1">
      <c r="B140" s="114">
        <v>2020</v>
      </c>
      <c r="C140" s="113">
        <f t="shared" si="22"/>
        <v>28.850319284802037</v>
      </c>
      <c r="D140" s="112">
        <f t="shared" si="23"/>
        <v>31</v>
      </c>
      <c r="E140" s="112">
        <f t="shared" si="23"/>
        <v>29</v>
      </c>
      <c r="F140" s="112">
        <f t="shared" si="23"/>
        <v>33</v>
      </c>
      <c r="G140" s="112">
        <f t="shared" si="23"/>
        <v>33</v>
      </c>
      <c r="H140" s="112">
        <f t="shared" si="23"/>
        <v>35</v>
      </c>
      <c r="I140" s="112">
        <f t="shared" si="23"/>
        <v>34</v>
      </c>
      <c r="J140" s="111">
        <f t="shared" si="24"/>
        <v>223.85031928480203</v>
      </c>
    </row>
    <row r="141" spans="2:10" ht="15" customHeight="1">
      <c r="B141" s="114">
        <v>2021</v>
      </c>
      <c r="C141" s="113">
        <f t="shared" si="22"/>
        <v>33.492039165602378</v>
      </c>
      <c r="D141" s="112">
        <f t="shared" si="23"/>
        <v>31</v>
      </c>
      <c r="E141" s="112">
        <f t="shared" si="23"/>
        <v>32</v>
      </c>
      <c r="F141" s="112">
        <f t="shared" si="23"/>
        <v>32</v>
      </c>
      <c r="G141" s="112">
        <f t="shared" si="23"/>
        <v>34</v>
      </c>
      <c r="H141" s="112">
        <f t="shared" si="23"/>
        <v>34</v>
      </c>
      <c r="I141" s="112">
        <f t="shared" si="23"/>
        <v>35</v>
      </c>
      <c r="J141" s="111">
        <f t="shared" si="24"/>
        <v>231.49203916560236</v>
      </c>
    </row>
    <row r="142" spans="2:10" ht="15" customHeight="1">
      <c r="B142" s="114">
        <v>2022</v>
      </c>
      <c r="C142" s="113">
        <f t="shared" si="22"/>
        <v>29.778663260962105</v>
      </c>
      <c r="D142" s="112">
        <f t="shared" si="23"/>
        <v>36</v>
      </c>
      <c r="E142" s="112">
        <f t="shared" si="23"/>
        <v>32</v>
      </c>
      <c r="F142" s="112">
        <f t="shared" si="23"/>
        <v>35</v>
      </c>
      <c r="G142" s="112">
        <f t="shared" si="23"/>
        <v>32</v>
      </c>
      <c r="H142" s="112">
        <f t="shared" si="23"/>
        <v>34</v>
      </c>
      <c r="I142" s="112">
        <f t="shared" si="23"/>
        <v>33</v>
      </c>
      <c r="J142" s="111">
        <f t="shared" si="24"/>
        <v>231.77866326096211</v>
      </c>
    </row>
    <row r="143" spans="2:10" ht="15" customHeight="1">
      <c r="B143" s="114">
        <v>2023</v>
      </c>
      <c r="C143" s="113">
        <f t="shared" si="22"/>
        <v>32.563695189442313</v>
      </c>
      <c r="D143" s="112">
        <f t="shared" si="23"/>
        <v>31</v>
      </c>
      <c r="E143" s="112">
        <f t="shared" si="23"/>
        <v>36</v>
      </c>
      <c r="F143" s="112">
        <f t="shared" si="23"/>
        <v>34</v>
      </c>
      <c r="G143" s="112">
        <f t="shared" si="23"/>
        <v>35</v>
      </c>
      <c r="H143" s="112">
        <f t="shared" si="23"/>
        <v>33</v>
      </c>
      <c r="I143" s="112">
        <f t="shared" si="23"/>
        <v>34</v>
      </c>
      <c r="J143" s="111">
        <f t="shared" si="24"/>
        <v>235.56369518944231</v>
      </c>
    </row>
    <row r="144" spans="2:10" ht="15" customHeight="1">
      <c r="B144" s="114">
        <v>2024</v>
      </c>
      <c r="C144" s="113">
        <f t="shared" si="22"/>
        <v>33.492039165602378</v>
      </c>
      <c r="D144" s="112">
        <f t="shared" si="23"/>
        <v>35</v>
      </c>
      <c r="E144" s="112">
        <f t="shared" si="23"/>
        <v>32</v>
      </c>
      <c r="F144" s="112">
        <f t="shared" si="23"/>
        <v>39</v>
      </c>
      <c r="G144" s="112">
        <f t="shared" si="23"/>
        <v>35</v>
      </c>
      <c r="H144" s="112">
        <f t="shared" si="23"/>
        <v>36</v>
      </c>
      <c r="I144" s="112">
        <f t="shared" si="23"/>
        <v>33</v>
      </c>
      <c r="J144" s="111">
        <f t="shared" si="24"/>
        <v>243.49203916560236</v>
      </c>
    </row>
    <row r="145" spans="2:16" ht="15" customHeight="1">
      <c r="B145" s="114">
        <v>2025</v>
      </c>
      <c r="C145" s="113">
        <f t="shared" si="22"/>
        <v>34.420383141762443</v>
      </c>
      <c r="D145" s="112">
        <f t="shared" si="23"/>
        <v>36</v>
      </c>
      <c r="E145" s="112">
        <f t="shared" si="23"/>
        <v>36</v>
      </c>
      <c r="F145" s="112">
        <f t="shared" si="23"/>
        <v>35</v>
      </c>
      <c r="G145" s="112">
        <f t="shared" si="23"/>
        <v>40</v>
      </c>
      <c r="H145" s="112">
        <f t="shared" si="23"/>
        <v>35</v>
      </c>
      <c r="I145" s="112">
        <f t="shared" si="23"/>
        <v>35</v>
      </c>
      <c r="J145" s="111">
        <f t="shared" si="24"/>
        <v>251.42038314176244</v>
      </c>
    </row>
    <row r="146" spans="2:16" ht="15" customHeight="1">
      <c r="B146" s="114">
        <v>2026</v>
      </c>
      <c r="C146" s="113">
        <f t="shared" si="22"/>
        <v>35.348727117922515</v>
      </c>
      <c r="D146" s="112">
        <f t="shared" si="23"/>
        <v>37</v>
      </c>
      <c r="E146" s="112">
        <f t="shared" si="23"/>
        <v>36</v>
      </c>
      <c r="F146" s="112">
        <f t="shared" si="23"/>
        <v>38</v>
      </c>
      <c r="G146" s="112">
        <f t="shared" si="23"/>
        <v>35</v>
      </c>
      <c r="H146" s="112">
        <f t="shared" si="23"/>
        <v>40</v>
      </c>
      <c r="I146" s="112">
        <f t="shared" si="23"/>
        <v>35</v>
      </c>
      <c r="J146" s="111">
        <f t="shared" si="24"/>
        <v>256.34872711792252</v>
      </c>
    </row>
    <row r="147" spans="2:16" ht="15" customHeight="1">
      <c r="B147" s="114">
        <v>2027</v>
      </c>
      <c r="C147" s="113">
        <f t="shared" si="22"/>
        <v>35.348727117922515</v>
      </c>
      <c r="D147" s="112">
        <f t="shared" si="23"/>
        <v>38</v>
      </c>
      <c r="E147" s="112">
        <f t="shared" si="23"/>
        <v>37</v>
      </c>
      <c r="F147" s="112">
        <f t="shared" si="23"/>
        <v>39</v>
      </c>
      <c r="G147" s="112">
        <f t="shared" si="23"/>
        <v>39</v>
      </c>
      <c r="H147" s="112">
        <f t="shared" si="23"/>
        <v>36</v>
      </c>
      <c r="I147" s="112">
        <f t="shared" si="23"/>
        <v>40</v>
      </c>
      <c r="J147" s="111">
        <f t="shared" si="24"/>
        <v>264.34872711792252</v>
      </c>
    </row>
    <row r="148" spans="2:16" ht="15" customHeight="1">
      <c r="B148" s="114">
        <v>2028</v>
      </c>
      <c r="C148" s="113">
        <f t="shared" si="22"/>
        <v>37.205415070242651</v>
      </c>
      <c r="D148" s="112">
        <f t="shared" si="23"/>
        <v>38</v>
      </c>
      <c r="E148" s="112">
        <f t="shared" si="23"/>
        <v>39</v>
      </c>
      <c r="F148" s="112">
        <f t="shared" si="23"/>
        <v>39</v>
      </c>
      <c r="G148" s="112">
        <f t="shared" si="23"/>
        <v>39</v>
      </c>
      <c r="H148" s="112">
        <f t="shared" si="23"/>
        <v>39</v>
      </c>
      <c r="I148" s="112">
        <f t="shared" si="23"/>
        <v>35</v>
      </c>
      <c r="J148" s="111">
        <f t="shared" ref="J148:J152" si="25">SUM(C148:I148)</f>
        <v>266.20541507024268</v>
      </c>
    </row>
    <row r="149" spans="2:16" ht="15" customHeight="1">
      <c r="B149" s="114">
        <v>2029</v>
      </c>
      <c r="C149" s="113">
        <f t="shared" si="22"/>
        <v>37.205415070242651</v>
      </c>
      <c r="D149" s="112">
        <f t="shared" si="23"/>
        <v>40</v>
      </c>
      <c r="E149" s="112">
        <f t="shared" si="23"/>
        <v>38</v>
      </c>
      <c r="F149" s="112">
        <f t="shared" si="23"/>
        <v>41</v>
      </c>
      <c r="G149" s="112">
        <f t="shared" si="23"/>
        <v>39</v>
      </c>
      <c r="H149" s="112">
        <f t="shared" si="23"/>
        <v>39</v>
      </c>
      <c r="I149" s="112">
        <f t="shared" si="23"/>
        <v>38</v>
      </c>
      <c r="J149" s="111">
        <f t="shared" si="25"/>
        <v>272.20541507024268</v>
      </c>
    </row>
    <row r="150" spans="2:16" ht="15" customHeight="1">
      <c r="B150" s="114">
        <v>2030</v>
      </c>
      <c r="C150" s="113">
        <f t="shared" si="22"/>
        <v>37.205415070242651</v>
      </c>
      <c r="D150" s="112">
        <f t="shared" si="23"/>
        <v>40</v>
      </c>
      <c r="E150" s="112">
        <f t="shared" si="23"/>
        <v>40</v>
      </c>
      <c r="F150" s="112">
        <f t="shared" si="23"/>
        <v>40</v>
      </c>
      <c r="G150" s="112">
        <f t="shared" si="23"/>
        <v>41</v>
      </c>
      <c r="H150" s="112">
        <f t="shared" si="23"/>
        <v>39</v>
      </c>
      <c r="I150" s="112">
        <f t="shared" si="23"/>
        <v>38</v>
      </c>
      <c r="J150" s="111">
        <f t="shared" si="25"/>
        <v>275.20541507024268</v>
      </c>
    </row>
    <row r="151" spans="2:16" ht="15" customHeight="1">
      <c r="B151" s="114">
        <v>2031</v>
      </c>
      <c r="C151" s="113">
        <f t="shared" si="22"/>
        <v>37.205415070242651</v>
      </c>
      <c r="D151" s="112">
        <f t="shared" si="23"/>
        <v>40</v>
      </c>
      <c r="E151" s="112">
        <f t="shared" si="23"/>
        <v>40</v>
      </c>
      <c r="F151" s="112">
        <f t="shared" si="23"/>
        <v>42</v>
      </c>
      <c r="G151" s="112">
        <f t="shared" si="23"/>
        <v>40</v>
      </c>
      <c r="H151" s="112">
        <f t="shared" si="23"/>
        <v>41</v>
      </c>
      <c r="I151" s="112">
        <f t="shared" si="23"/>
        <v>38</v>
      </c>
      <c r="J151" s="111">
        <f t="shared" si="25"/>
        <v>278.20541507024268</v>
      </c>
    </row>
    <row r="152" spans="2:16" ht="15" customHeight="1">
      <c r="B152" s="114">
        <v>2032</v>
      </c>
      <c r="C152" s="113">
        <f t="shared" si="22"/>
        <v>37.205415070242651</v>
      </c>
      <c r="D152" s="112">
        <f t="shared" si="23"/>
        <v>40</v>
      </c>
      <c r="E152" s="112">
        <f t="shared" si="23"/>
        <v>40</v>
      </c>
      <c r="F152" s="112">
        <f t="shared" si="23"/>
        <v>42</v>
      </c>
      <c r="G152" s="112">
        <f t="shared" si="23"/>
        <v>42</v>
      </c>
      <c r="H152" s="112">
        <f t="shared" si="23"/>
        <v>40</v>
      </c>
      <c r="I152" s="112">
        <f t="shared" si="23"/>
        <v>40</v>
      </c>
      <c r="J152" s="111">
        <f t="shared" si="25"/>
        <v>281.20541507024268</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219.85031928480203</v>
      </c>
      <c r="D159" s="108">
        <f>J140</f>
        <v>223.85031928480203</v>
      </c>
      <c r="E159" s="108">
        <f>J141</f>
        <v>231.49203916560236</v>
      </c>
      <c r="F159" s="108">
        <f>J142</f>
        <v>231.77866326096211</v>
      </c>
      <c r="G159" s="108">
        <f>J143</f>
        <v>235.56369518944231</v>
      </c>
      <c r="H159" s="108">
        <f>J144</f>
        <v>243.49203916560236</v>
      </c>
      <c r="I159" s="108">
        <f>J145</f>
        <v>251.42038314176244</v>
      </c>
      <c r="J159" s="108">
        <f>J146</f>
        <v>256.34872711792252</v>
      </c>
      <c r="K159" s="108">
        <f>J147</f>
        <v>264.34872711792252</v>
      </c>
      <c r="L159" s="108">
        <f>J148</f>
        <v>266.20541507024268</v>
      </c>
      <c r="M159" s="108">
        <f>J149</f>
        <v>272.20541507024268</v>
      </c>
      <c r="N159" s="108">
        <f>J150</f>
        <v>275.20541507024268</v>
      </c>
      <c r="O159" s="108">
        <f>J151</f>
        <v>278.20541507024268</v>
      </c>
      <c r="P159" s="108">
        <f>J152</f>
        <v>281.20541507024268</v>
      </c>
    </row>
    <row r="160" spans="2:16" ht="15" customHeight="1">
      <c r="B160" s="107" t="s">
        <v>152</v>
      </c>
      <c r="C160" s="106">
        <f>VLOOKUP(C159,Capacity!$A$1:$C$645,2,TRUE)</f>
        <v>9</v>
      </c>
      <c r="D160" s="106">
        <f>VLOOKUP(D159,Capacity!$A$1:$C$645,2,TRUE)</f>
        <v>9</v>
      </c>
      <c r="E160" s="106">
        <f>VLOOKUP(E159,Capacity!$A$1:$C$645,2,TRUE)</f>
        <v>9</v>
      </c>
      <c r="F160" s="106">
        <f>VLOOKUP(F159,Capacity!$A$1:$C$645,2,TRUE)</f>
        <v>9</v>
      </c>
      <c r="G160" s="106">
        <f>VLOOKUP(G159,Capacity!$A$1:$C$645,2,TRUE)</f>
        <v>10</v>
      </c>
      <c r="H160" s="106">
        <f>VLOOKUP(H159,Capacity!$A$1:$C$645,2,TRUE)</f>
        <v>10</v>
      </c>
      <c r="I160" s="106">
        <f>VLOOKUP(I159,Capacity!$A$1:$C$645,2,TRUE)</f>
        <v>10</v>
      </c>
      <c r="J160" s="106">
        <f>VLOOKUP(J159,Capacity!$A$1:$C$645,2,TRUE)</f>
        <v>10</v>
      </c>
      <c r="K160" s="106">
        <f>VLOOKUP(K159,Capacity!$A$1:$C$645,2,TRUE)</f>
        <v>11</v>
      </c>
      <c r="L160" s="106">
        <f>VLOOKUP(L159,Capacity!$A$1:$C$645,2,TRUE)</f>
        <v>11</v>
      </c>
      <c r="M160" s="106">
        <f>VLOOKUP(M159,Capacity!$A$1:$C$645,2,TRUE)</f>
        <v>11</v>
      </c>
      <c r="N160" s="106">
        <f>VLOOKUP(N159,Capacity!$A$1:$C$645,2,TRUE)</f>
        <v>11</v>
      </c>
      <c r="O160" s="106">
        <f>VLOOKUP(O159,Capacity!$A$1:$C$645,2,TRUE)</f>
        <v>11</v>
      </c>
      <c r="P160" s="106">
        <f>VLOOKUP(P159,Capacity!$A$1:$C$645,2,TRUE)</f>
        <v>11</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186</v>
      </c>
      <c r="D169" s="97">
        <f>VLOOKUP($E$3,'Catchment Births'!$A$1:$U$90,11,FALSE)</f>
        <v>211</v>
      </c>
      <c r="E169" s="97">
        <f>VLOOKUP($E$3,'Catchment Births'!$A$1:$U$90,12,FALSE)</f>
        <v>190</v>
      </c>
      <c r="F169" s="97">
        <f>VLOOKUP($E$3,'Catchment Births'!$A$1:$U$90,13,FALSE)</f>
        <v>175</v>
      </c>
      <c r="G169" s="97">
        <f>VLOOKUP($E$3,'Catchment Births'!$A$1:$U$90,14,FALSE)</f>
        <v>182</v>
      </c>
      <c r="H169" s="97">
        <f>VLOOKUP($E$3,'Catchment Births'!$A$1:$U$90,15,FALSE)</f>
        <v>164</v>
      </c>
      <c r="I169" s="97">
        <f>VLOOKUP($E$3,'Catchment Births'!$A$1:$U$90,16,FALSE)</f>
        <v>185</v>
      </c>
      <c r="J169" s="97">
        <f>VLOOKUP($E$3,'Catchment Births'!$A$1:$U$90,17,FALSE)</f>
        <v>159</v>
      </c>
      <c r="K169" s="97">
        <f>VLOOKUP($E$3,'Catchment Births'!$A$1:$U$90,18,FALSE)</f>
        <v>163</v>
      </c>
      <c r="L169" s="97">
        <f>VLOOKUP($E$3,'Catchment Births'!$A$1:$U$90,19,FALSE)</f>
        <v>184</v>
      </c>
      <c r="M169" s="97">
        <f>VLOOKUP($E$3,'Catchment Births'!$A$1:$U$90,20,FALSE)</f>
        <v>175</v>
      </c>
      <c r="N169" s="97">
        <f>VLOOKUP($E$3,'Catchment Births'!$A$1:$U$90,21,FALSE)</f>
        <v>173</v>
      </c>
    </row>
    <row r="170" spans="2:14" ht="58.5" customHeight="1">
      <c r="B170" s="103" t="str">
        <f>"P1 "&amp;A35&amp;" Catchment Population (Actual)"</f>
        <v>P1 RC Catchment Population (Actual)</v>
      </c>
      <c r="C170" s="102" t="e">
        <v>#REF!</v>
      </c>
      <c r="D170" s="102">
        <v>36</v>
      </c>
      <c r="E170" s="102">
        <v>29</v>
      </c>
      <c r="F170" s="102">
        <v>30</v>
      </c>
      <c r="G170" s="102">
        <v>37</v>
      </c>
      <c r="H170" s="102">
        <v>26</v>
      </c>
      <c r="I170" s="102">
        <v>30</v>
      </c>
      <c r="J170" s="308">
        <f>VLOOKUP(E3,'Catchment Projections'!A1:BU92,42,FALSE)</f>
        <v>25</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180</v>
      </c>
      <c r="C172" s="99"/>
      <c r="D172" s="98"/>
      <c r="E172" s="98"/>
      <c r="F172" s="98"/>
      <c r="G172" s="97"/>
      <c r="H172" s="96"/>
      <c r="I172" s="96">
        <f>I170</f>
        <v>30</v>
      </c>
      <c r="J172" s="96" t="e">
        <f>#REF!</f>
        <v>#REF!</v>
      </c>
      <c r="K172" s="96">
        <f>D51</f>
        <v>30</v>
      </c>
      <c r="L172" s="96">
        <f>E51</f>
        <v>30</v>
      </c>
      <c r="M172" s="96">
        <f>F51</f>
        <v>35</v>
      </c>
      <c r="N172" s="96">
        <f>G51</f>
        <v>31</v>
      </c>
    </row>
    <row r="173" spans="2:14" ht="12.75">
      <c r="B173" s="62"/>
      <c r="C173" s="62"/>
      <c r="D173" s="62"/>
      <c r="E173" s="62"/>
      <c r="F173" s="62"/>
      <c r="G173" s="62"/>
      <c r="H173" s="62"/>
      <c r="I173" s="62"/>
      <c r="J173" s="62"/>
      <c r="K173" s="62"/>
    </row>
    <row r="174" spans="2:14" ht="15" customHeight="1">
      <c r="B174" s="64" t="str">
        <f>"Table 5: "&amp;E3&amp;" Roll by Stage, 2002-2018"</f>
        <v>Table 5: St Catherine's RC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24</v>
      </c>
      <c r="D177" s="93">
        <v>18</v>
      </c>
      <c r="E177" s="93">
        <v>30</v>
      </c>
      <c r="F177" s="93">
        <v>25</v>
      </c>
      <c r="G177" s="93">
        <v>32</v>
      </c>
      <c r="H177" s="93">
        <v>25</v>
      </c>
      <c r="I177" s="93">
        <v>28</v>
      </c>
      <c r="J177" s="92">
        <v>182</v>
      </c>
      <c r="K177" s="62"/>
    </row>
    <row r="178" spans="2:11" ht="15" customHeight="1">
      <c r="B178" s="94">
        <v>2003</v>
      </c>
      <c r="C178" s="93">
        <v>8</v>
      </c>
      <c r="D178" s="93">
        <v>22</v>
      </c>
      <c r="E178" s="93">
        <v>22</v>
      </c>
      <c r="F178" s="93">
        <v>22</v>
      </c>
      <c r="G178" s="93">
        <v>23</v>
      </c>
      <c r="H178" s="93">
        <v>27</v>
      </c>
      <c r="I178" s="93">
        <v>22</v>
      </c>
      <c r="J178" s="92">
        <v>146</v>
      </c>
      <c r="K178" s="62"/>
    </row>
    <row r="179" spans="2:11" customFormat="1" ht="15" customHeight="1">
      <c r="B179" s="94">
        <v>2004</v>
      </c>
      <c r="C179" s="95">
        <v>23</v>
      </c>
      <c r="D179" s="95">
        <v>9</v>
      </c>
      <c r="E179" s="95">
        <v>21</v>
      </c>
      <c r="F179" s="95">
        <v>23</v>
      </c>
      <c r="G179" s="95">
        <v>19</v>
      </c>
      <c r="H179" s="95">
        <v>21</v>
      </c>
      <c r="I179" s="95">
        <v>26</v>
      </c>
      <c r="J179" s="92">
        <v>142</v>
      </c>
      <c r="K179" s="62"/>
    </row>
    <row r="180" spans="2:11" customFormat="1" ht="15" customHeight="1">
      <c r="B180" s="94">
        <v>2005</v>
      </c>
      <c r="C180" s="93">
        <v>20</v>
      </c>
      <c r="D180" s="93">
        <v>21</v>
      </c>
      <c r="E180" s="93">
        <v>11</v>
      </c>
      <c r="F180" s="93">
        <v>21</v>
      </c>
      <c r="G180" s="93">
        <v>22</v>
      </c>
      <c r="H180" s="93">
        <v>23</v>
      </c>
      <c r="I180" s="93">
        <v>22</v>
      </c>
      <c r="J180" s="92">
        <v>140</v>
      </c>
      <c r="K180" s="62"/>
    </row>
    <row r="181" spans="2:11" customFormat="1" ht="15" customHeight="1">
      <c r="B181" s="94">
        <v>2006</v>
      </c>
      <c r="C181" s="93">
        <v>24</v>
      </c>
      <c r="D181" s="93">
        <v>23</v>
      </c>
      <c r="E181" s="93">
        <v>20</v>
      </c>
      <c r="F181" s="93">
        <v>10</v>
      </c>
      <c r="G181" s="93">
        <v>22</v>
      </c>
      <c r="H181" s="93">
        <v>25</v>
      </c>
      <c r="I181" s="93">
        <v>20</v>
      </c>
      <c r="J181" s="92">
        <v>144</v>
      </c>
      <c r="K181" s="62"/>
    </row>
    <row r="182" spans="2:11" customFormat="1" ht="15" customHeight="1">
      <c r="B182" s="94">
        <v>2007</v>
      </c>
      <c r="C182" s="93">
        <v>24</v>
      </c>
      <c r="D182" s="93">
        <v>23</v>
      </c>
      <c r="E182" s="93">
        <v>24</v>
      </c>
      <c r="F182" s="93">
        <v>16</v>
      </c>
      <c r="G182" s="93">
        <v>11</v>
      </c>
      <c r="H182" s="93">
        <v>23</v>
      </c>
      <c r="I182" s="93">
        <v>24</v>
      </c>
      <c r="J182" s="92">
        <v>145</v>
      </c>
      <c r="K182" s="62"/>
    </row>
    <row r="183" spans="2:11" customFormat="1" ht="15" customHeight="1">
      <c r="B183" s="94">
        <v>2008</v>
      </c>
      <c r="C183" s="93">
        <v>19</v>
      </c>
      <c r="D183" s="93">
        <v>28</v>
      </c>
      <c r="E183" s="93">
        <v>24</v>
      </c>
      <c r="F183" s="93">
        <v>24</v>
      </c>
      <c r="G183" s="93">
        <v>18</v>
      </c>
      <c r="H183" s="93">
        <v>17</v>
      </c>
      <c r="I183" s="93">
        <v>25</v>
      </c>
      <c r="J183" s="92">
        <v>155</v>
      </c>
      <c r="K183" s="62"/>
    </row>
    <row r="184" spans="2:11" customFormat="1" ht="15" customHeight="1">
      <c r="B184" s="94">
        <v>2009</v>
      </c>
      <c r="C184" s="93">
        <v>23</v>
      </c>
      <c r="D184" s="93">
        <v>21</v>
      </c>
      <c r="E184" s="93">
        <v>28</v>
      </c>
      <c r="F184" s="93">
        <v>28</v>
      </c>
      <c r="G184" s="93">
        <v>23</v>
      </c>
      <c r="H184" s="93">
        <v>18</v>
      </c>
      <c r="I184" s="93">
        <v>18</v>
      </c>
      <c r="J184" s="94">
        <v>159</v>
      </c>
      <c r="K184" s="62"/>
    </row>
    <row r="185" spans="2:11" customFormat="1" ht="15" customHeight="1">
      <c r="B185" s="94">
        <v>2010</v>
      </c>
      <c r="C185" s="93">
        <v>35</v>
      </c>
      <c r="D185" s="93">
        <v>26</v>
      </c>
      <c r="E185" s="93">
        <v>20</v>
      </c>
      <c r="F185" s="93">
        <v>32</v>
      </c>
      <c r="G185" s="93">
        <v>32</v>
      </c>
      <c r="H185" s="93">
        <v>31</v>
      </c>
      <c r="I185" s="93">
        <v>26</v>
      </c>
      <c r="J185" s="92">
        <v>202</v>
      </c>
      <c r="K185" s="62"/>
    </row>
    <row r="186" spans="2:11" customFormat="1" ht="15" customHeight="1">
      <c r="B186" s="94">
        <v>2011</v>
      </c>
      <c r="C186" s="93">
        <v>29</v>
      </c>
      <c r="D186" s="93">
        <v>34</v>
      </c>
      <c r="E186" s="93">
        <v>29</v>
      </c>
      <c r="F186" s="93">
        <v>21</v>
      </c>
      <c r="G186" s="93">
        <v>30</v>
      </c>
      <c r="H186" s="93">
        <v>32</v>
      </c>
      <c r="I186" s="93">
        <v>32</v>
      </c>
      <c r="J186" s="92">
        <v>207</v>
      </c>
      <c r="K186" s="62"/>
    </row>
    <row r="187" spans="2:11" customFormat="1" ht="15" customHeight="1">
      <c r="B187" s="94">
        <v>2012</v>
      </c>
      <c r="C187" s="93">
        <v>30</v>
      </c>
      <c r="D187" s="93">
        <v>29</v>
      </c>
      <c r="E187" s="93">
        <v>33</v>
      </c>
      <c r="F187" s="93">
        <v>25</v>
      </c>
      <c r="G187" s="93">
        <v>26</v>
      </c>
      <c r="H187" s="93">
        <v>32</v>
      </c>
      <c r="I187" s="93">
        <v>29</v>
      </c>
      <c r="J187" s="92">
        <v>204</v>
      </c>
      <c r="K187" s="62"/>
    </row>
    <row r="188" spans="2:11" customFormat="1" ht="15" customHeight="1">
      <c r="B188" s="94">
        <v>2013</v>
      </c>
      <c r="C188" s="93">
        <v>35</v>
      </c>
      <c r="D188" s="93">
        <v>30</v>
      </c>
      <c r="E188" s="93">
        <v>29</v>
      </c>
      <c r="F188" s="93">
        <v>33</v>
      </c>
      <c r="G188" s="93">
        <v>27</v>
      </c>
      <c r="H188" s="93">
        <v>31</v>
      </c>
      <c r="I188" s="93">
        <v>32</v>
      </c>
      <c r="J188" s="94">
        <v>217</v>
      </c>
      <c r="K188" s="62"/>
    </row>
    <row r="189" spans="2:11" customFormat="1" ht="15" customHeight="1">
      <c r="B189" s="94">
        <v>2014</v>
      </c>
      <c r="C189" s="93">
        <v>26</v>
      </c>
      <c r="D189" s="93">
        <v>34</v>
      </c>
      <c r="E189" s="93">
        <v>30</v>
      </c>
      <c r="F189" s="93">
        <v>31</v>
      </c>
      <c r="G189" s="93">
        <v>33</v>
      </c>
      <c r="H189" s="93">
        <v>30</v>
      </c>
      <c r="I189" s="93">
        <v>31</v>
      </c>
      <c r="J189" s="92">
        <v>215</v>
      </c>
      <c r="K189" s="65"/>
    </row>
    <row r="190" spans="2:11" customFormat="1" ht="15" customHeight="1">
      <c r="B190" s="94">
        <v>2015</v>
      </c>
      <c r="C190" s="93">
        <v>30</v>
      </c>
      <c r="D190" s="93">
        <v>30</v>
      </c>
      <c r="E190" s="93">
        <v>32</v>
      </c>
      <c r="F190" s="93">
        <v>32</v>
      </c>
      <c r="G190" s="93">
        <v>30</v>
      </c>
      <c r="H190" s="93">
        <v>33</v>
      </c>
      <c r="I190" s="93">
        <v>27</v>
      </c>
      <c r="J190" s="92">
        <v>214</v>
      </c>
      <c r="K190" s="65"/>
    </row>
    <row r="191" spans="2:11" customFormat="1" ht="15" customHeight="1">
      <c r="B191" s="94">
        <v>2016</v>
      </c>
      <c r="C191" s="93">
        <v>26</v>
      </c>
      <c r="D191" s="93">
        <v>30</v>
      </c>
      <c r="E191" s="93">
        <v>30</v>
      </c>
      <c r="F191" s="93">
        <v>31</v>
      </c>
      <c r="G191" s="93">
        <v>33</v>
      </c>
      <c r="H191" s="93">
        <v>29</v>
      </c>
      <c r="I191" s="93">
        <v>31</v>
      </c>
      <c r="J191" s="92">
        <v>210</v>
      </c>
      <c r="K191" s="65"/>
    </row>
    <row r="192" spans="2:11" ht="15" customHeight="1">
      <c r="B192" s="94">
        <v>2017</v>
      </c>
      <c r="C192" s="93">
        <f>VLOOKUP($E$3,Rolls!A1:FA90,42,FALSE)</f>
        <v>27</v>
      </c>
      <c r="D192" s="93">
        <f>VLOOKUP($E$3,Rolls!A1:FA90,43,FALSE)</f>
        <v>30</v>
      </c>
      <c r="E192" s="93">
        <f>VLOOKUP($E$3,Rolls!A1:FA90,44,FALSE)</f>
        <v>30</v>
      </c>
      <c r="F192" s="93">
        <f>VLOOKUP($E$3,Rolls!A1:FA90,45,FALSE)</f>
        <v>33</v>
      </c>
      <c r="G192" s="93">
        <f>VLOOKUP($E$3,Rolls!A1:FA90,46,FALSE)</f>
        <v>32</v>
      </c>
      <c r="H192" s="93">
        <f>VLOOKUP($E$3,Rolls!A1:FA90,47,FALSE)</f>
        <v>33</v>
      </c>
      <c r="I192" s="93">
        <f>VLOOKUP($E$3,Rolls!A1:FA90,48,FALSE)</f>
        <v>29</v>
      </c>
      <c r="J192" s="92">
        <f>VLOOKUP($E$3,Rolls!A1:FA90,49,FALSE)</f>
        <v>214</v>
      </c>
      <c r="K192" s="65"/>
    </row>
    <row r="193" spans="2:11" ht="15" customHeight="1">
      <c r="B193" s="94">
        <v>2018</v>
      </c>
      <c r="C193" s="93">
        <f>VLOOKUP($E$3,Rolls!A1:FA90,50,FALSE)</f>
        <v>25</v>
      </c>
      <c r="D193" s="93">
        <f>VLOOKUP($E$3,Rolls!A1:FA90,51,FALSE)</f>
        <v>29</v>
      </c>
      <c r="E193" s="93">
        <f>VLOOKUP($E$3,Rolls!A1:FA90,52,FALSE)</f>
        <v>29</v>
      </c>
      <c r="F193" s="93">
        <f>VLOOKUP($E$3,Rolls!A1:FA90,53,FALSE)</f>
        <v>33</v>
      </c>
      <c r="G193" s="93">
        <f>VLOOKUP($E$3,Rolls!A1:FA90,54,FALSE)</f>
        <v>33</v>
      </c>
      <c r="H193" s="93">
        <f>VLOOKUP($E$3,Rolls!A1:FA90,55,FALSE)</f>
        <v>33</v>
      </c>
      <c r="I193" s="93">
        <f>VLOOKUP($E$3,Rolls!A1:FA90,56,FALSE)</f>
        <v>32</v>
      </c>
      <c r="J193" s="92">
        <f>VLOOKUP($E$3,Rolls!A1:FA90,57,FALSE)</f>
        <v>214</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85</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St Cuthbert's RC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210 Pupils (7 classes)</v>
      </c>
      <c r="G12" s="16"/>
      <c r="H12" s="16"/>
    </row>
    <row r="13" spans="2:10" ht="15" customHeight="1">
      <c r="C13" s="16"/>
      <c r="D13" s="16"/>
      <c r="E13" s="16"/>
      <c r="F13" s="16"/>
      <c r="G13" s="16"/>
      <c r="H13" s="16"/>
    </row>
    <row r="14" spans="2:10" ht="15" customHeight="1">
      <c r="B14" s="15" t="str">
        <f>"Figure 1: "&amp;E3&amp;" Roll, 2002-2015"</f>
        <v>Figure 1: St Cuthbert's RC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2010-2020"</f>
        <v>Figure 2: Actual Catchment Births (from 5yrs prior),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St Cuthbert's RC Primary School</v>
      </c>
      <c r="K34" s="16"/>
    </row>
    <row r="35" spans="1:17" ht="15" customHeight="1">
      <c r="A35" s="1" t="str">
        <f>IF(ISNUMBER(SEARCH("RC",A34)),"RC", "ND")</f>
        <v>RC</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RC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28</v>
      </c>
      <c r="E49" s="108">
        <f>VLOOKUP($E$3,'Catchment Projections'!$A$1:$BU$90,46,FALSE)</f>
        <v>27</v>
      </c>
      <c r="F49" s="108">
        <f>VLOOKUP($E$3,'Catchment Projections'!$A$1:$BU$90,47,FALSE)</f>
        <v>25</v>
      </c>
      <c r="G49" s="108">
        <f>VLOOKUP($E$3,'Catchment Projections'!$A$1:$BU$90,48,FALSE)</f>
        <v>24</v>
      </c>
      <c r="H49" s="133">
        <f>VLOOKUP($E$3,'Catchment Projections'!$A$1:$BU$90,49,FALSE)</f>
        <v>25</v>
      </c>
      <c r="I49" s="133">
        <f>VLOOKUP($E$3,'Catchment Projections'!$A$1:$BU$90,50,FALSE)</f>
        <v>26</v>
      </c>
      <c r="J49" s="133">
        <f>VLOOKUP($E$3,'Catchment Projections'!$A$1:$BU$90,51,FALSE)</f>
        <v>26</v>
      </c>
      <c r="K49" s="133">
        <f>VLOOKUP($E$3,'Catchment Projections'!$A$1:$BU$90,52,FALSE)</f>
        <v>26</v>
      </c>
      <c r="L49" s="133">
        <f>VLOOKUP($E$3,'Catchment Projections'!$A$1:$BU$90,53,FALSE)</f>
        <v>27</v>
      </c>
      <c r="M49" s="133">
        <f>VLOOKUP($E$3,'Catchment Projections'!$A$1:$BU$90,54,FALSE)</f>
        <v>27</v>
      </c>
      <c r="N49" s="133">
        <f>VLOOKUP($E$3,'Catchment Projections'!$A$1:$BU$90,55,FALSE)</f>
        <v>27</v>
      </c>
      <c r="O49" s="133">
        <f>VLOOKUP($E$3,'Catchment Projections'!$A$1:$BU$90,56,FALSE)</f>
        <v>27</v>
      </c>
      <c r="P49" s="133">
        <f>VLOOKUP($E$3,'Catchment Projections'!$A$1:$BU$90,57,FALSE)</f>
        <v>27</v>
      </c>
      <c r="Q49" s="133">
        <f>VLOOKUP($E$3,'Catchment Projections'!$A$1:$BU$90,58,FALSE)</f>
        <v>27</v>
      </c>
    </row>
    <row r="50" spans="2:17" ht="15" customHeight="1" thickBot="1">
      <c r="B50" s="410" t="s">
        <v>141</v>
      </c>
      <c r="C50" s="411"/>
      <c r="D50" s="286">
        <f>VLOOKUP(E3,'Housing Generation'!$A$3:$DQ$90,10,FALSE)</f>
        <v>1</v>
      </c>
      <c r="E50" s="286">
        <f>VLOOKUP(E3,'Housing Generation'!$A$3:$DQ$90,18,FALSE)</f>
        <v>1</v>
      </c>
      <c r="F50" s="286">
        <f>VLOOKUP(E3,'Housing Generation'!$A$3:$DQ$90,26,FALSE)</f>
        <v>2</v>
      </c>
      <c r="G50" s="243">
        <f>VLOOKUP(E3,'Housing Generation'!$A$3:$DQ$90,34,FALSE)</f>
        <v>3</v>
      </c>
      <c r="H50" s="133">
        <f>VLOOKUP(E3,'Housing Generation'!$A$3:$DQ$90,42,FALSE)</f>
        <v>3</v>
      </c>
      <c r="I50" s="133">
        <f>VLOOKUP(E3,'Housing Generation'!$A$3:$DQ$90,50,FALSE)</f>
        <v>4</v>
      </c>
      <c r="J50" s="133">
        <f>VLOOKUP(E3,'Housing Generation'!$A$3:$CK$90,58,FALSE)</f>
        <v>4</v>
      </c>
      <c r="K50" s="133">
        <f>VLOOKUP(E3,'Housing Generation'!$A$3:$CK$90,66,FALSE)</f>
        <v>5</v>
      </c>
      <c r="L50" s="133">
        <f>VLOOKUP(E3,'Housing Generation'!$A$3:$DQ$90,74,FALSE)</f>
        <v>5</v>
      </c>
      <c r="M50" s="133">
        <f>VLOOKUP(E3,'Housing Generation'!$A$3:$DQ$90,82,FALSE)</f>
        <v>5</v>
      </c>
      <c r="N50" s="133">
        <f>VLOOKUP(E3,'Housing Generation'!$A$3:$DQ$90,90,FALSE)</f>
        <v>5</v>
      </c>
      <c r="O50" s="133">
        <f>VLOOKUP(E3,'Housing Generation'!$A$3:$DQ$90,98,FALSE)</f>
        <v>5</v>
      </c>
      <c r="P50" s="133">
        <f>VLOOKUP(E3,'Housing Generation'!$A$3:$DQ$90,106,FALSE)</f>
        <v>5</v>
      </c>
      <c r="Q50" s="133">
        <f>VLOOKUP(E3,'Housing Generation'!$A$3:$DQ$90,114,FALSE)</f>
        <v>5</v>
      </c>
    </row>
    <row r="51" spans="2:17" ht="15" customHeight="1" thickTop="1">
      <c r="B51" s="421" t="s">
        <v>130</v>
      </c>
      <c r="C51" s="422"/>
      <c r="D51" s="47">
        <f t="shared" ref="D51:Q51" si="0">SUM(D49:D50)</f>
        <v>29</v>
      </c>
      <c r="E51" s="47">
        <f t="shared" si="0"/>
        <v>28</v>
      </c>
      <c r="F51" s="80">
        <f t="shared" si="0"/>
        <v>27</v>
      </c>
      <c r="G51" s="244">
        <f t="shared" si="0"/>
        <v>27</v>
      </c>
      <c r="H51" s="71">
        <f t="shared" si="0"/>
        <v>28</v>
      </c>
      <c r="I51" s="71">
        <f t="shared" si="0"/>
        <v>30</v>
      </c>
      <c r="J51" s="71">
        <f t="shared" si="0"/>
        <v>30</v>
      </c>
      <c r="K51" s="71">
        <f t="shared" si="0"/>
        <v>31</v>
      </c>
      <c r="L51" s="71">
        <f t="shared" si="0"/>
        <v>32</v>
      </c>
      <c r="M51" s="71">
        <f t="shared" si="0"/>
        <v>32</v>
      </c>
      <c r="N51" s="71">
        <f t="shared" si="0"/>
        <v>32</v>
      </c>
      <c r="O51" s="71">
        <f t="shared" si="0"/>
        <v>32</v>
      </c>
      <c r="P51" s="71">
        <f t="shared" si="0"/>
        <v>32</v>
      </c>
      <c r="Q51" s="71">
        <f t="shared" si="0"/>
        <v>32</v>
      </c>
    </row>
    <row r="52" spans="2:17" ht="15" customHeight="1">
      <c r="C52" s="36"/>
      <c r="D52" s="48"/>
      <c r="E52" s="48"/>
      <c r="F52" s="48"/>
      <c r="G52" s="48"/>
      <c r="H52" s="48"/>
    </row>
    <row r="53" spans="2:17" ht="31.5" customHeight="1">
      <c r="B53" s="423" t="s">
        <v>292</v>
      </c>
      <c r="C53" s="424"/>
      <c r="D53" s="87">
        <v>0</v>
      </c>
      <c r="E53" s="139" t="s">
        <v>181</v>
      </c>
      <c r="F53" s="140">
        <v>18</v>
      </c>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RC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26</v>
      </c>
      <c r="D60" s="358">
        <f>VLOOKUP($E$3,'Catchment Projections'!$A$1:$BZ$90,74,FALSE)</f>
        <v>25</v>
      </c>
      <c r="E60" s="303">
        <f>D60/C60</f>
        <v>0.96153846153846156</v>
      </c>
      <c r="G60" s="132">
        <v>2014</v>
      </c>
      <c r="H60" s="395">
        <f>VLOOKUP($G$60,$B$177:$C$215, 2, FALSE)</f>
        <v>25</v>
      </c>
      <c r="I60" s="120">
        <f>H60-D60</f>
        <v>0</v>
      </c>
      <c r="J60" s="121">
        <f>I60/H60</f>
        <v>0</v>
      </c>
    </row>
    <row r="61" spans="2:17" ht="15" customHeight="1">
      <c r="B61" s="132">
        <v>2015</v>
      </c>
      <c r="C61" s="359">
        <f>VLOOKUP($E$3,'Catchment Projections'!$A$1:$BZ$90,41,FALSE)</f>
        <v>28</v>
      </c>
      <c r="D61" s="358">
        <f>VLOOKUP($E$3,'Catchment Projections'!$A$1:$BZ$90,75,FALSE)</f>
        <v>23</v>
      </c>
      <c r="E61" s="303">
        <f>D61/C61</f>
        <v>0.8214285714285714</v>
      </c>
      <c r="G61" s="132">
        <v>2015</v>
      </c>
      <c r="H61" s="395">
        <f>VLOOKUP($G$61,$B$177:$C$215, 2, FALSE)</f>
        <v>25</v>
      </c>
      <c r="I61" s="120">
        <f>H61-D61</f>
        <v>2</v>
      </c>
      <c r="J61" s="121">
        <f>I61/H61</f>
        <v>0.08</v>
      </c>
    </row>
    <row r="62" spans="2:17" ht="15" customHeight="1">
      <c r="B62" s="131">
        <v>2016</v>
      </c>
      <c r="C62" s="359">
        <f>VLOOKUP($E$3,'Catchment Projections'!$A$1:$BZ$90,42,FALSE)</f>
        <v>32</v>
      </c>
      <c r="D62" s="358">
        <f>VLOOKUP($E$3,'Catchment Projections'!$A$1:$BZ$90,76,FALSE)</f>
        <v>28</v>
      </c>
      <c r="E62" s="57">
        <f>D62/C62</f>
        <v>0.875</v>
      </c>
      <c r="G62" s="131">
        <v>2016</v>
      </c>
      <c r="H62" s="395">
        <f>VLOOKUP($G$62,$B$177:$C$215, 2, FALSE)</f>
        <v>29</v>
      </c>
      <c r="I62" s="120">
        <f>H62-D62</f>
        <v>1</v>
      </c>
      <c r="J62" s="121">
        <f>I62/H62</f>
        <v>3.4482758620689655E-2</v>
      </c>
    </row>
    <row r="63" spans="2:17" ht="15" customHeight="1">
      <c r="B63" s="114">
        <v>2017</v>
      </c>
      <c r="C63" s="359">
        <f>VLOOKUP($E$3,'Catchment Projections'!$A$1:$BZ$90,43,FALSE)</f>
        <v>24</v>
      </c>
      <c r="D63" s="358">
        <f>VLOOKUP($E$3,'Catchment Projections'!$A$1:$BZ$90,77,FALSE)</f>
        <v>24</v>
      </c>
      <c r="E63" s="304">
        <f>D63/C63</f>
        <v>1</v>
      </c>
      <c r="G63" s="114">
        <v>2017</v>
      </c>
      <c r="H63" s="395">
        <f>VLOOKUP($G$63,$B$177:$C$215, 2, FALSE)</f>
        <v>25</v>
      </c>
      <c r="I63" s="120">
        <f>H63-D63</f>
        <v>1</v>
      </c>
      <c r="J63" s="121">
        <f>I63/H63</f>
        <v>0.04</v>
      </c>
    </row>
    <row r="64" spans="2:17" ht="15" customHeight="1">
      <c r="B64" s="114">
        <v>2018</v>
      </c>
      <c r="C64" s="359">
        <f>VLOOKUP($E$3,'Catchment Projections'!$A$1:$BZ$90,44,FALSE)</f>
        <v>29</v>
      </c>
      <c r="D64" s="358">
        <f>VLOOKUP($E$3,'Catchment Projections'!$A$1:$BZ$90,78,FALSE)</f>
        <v>28</v>
      </c>
      <c r="E64" s="305">
        <f>D64/C64</f>
        <v>0.96551724137931039</v>
      </c>
      <c r="G64" s="114">
        <v>2018</v>
      </c>
      <c r="H64" s="395">
        <f>VLOOKUP($G$64,$B$177:$C$215, 2, FALSE)</f>
        <v>30</v>
      </c>
      <c r="I64" s="120">
        <f>H64-D64</f>
        <v>2</v>
      </c>
      <c r="J64" s="121">
        <f>I64/H64</f>
        <v>6.6666666666666666E-2</v>
      </c>
    </row>
    <row r="65" spans="2:10" ht="15" customHeight="1">
      <c r="B65" s="412" t="s">
        <v>136</v>
      </c>
      <c r="C65" s="413"/>
      <c r="D65" s="414"/>
      <c r="E65" s="137">
        <f>IF((AVERAGE(E62:E64))="#DIV/0!","n/a",(AVERAGE(E62:E64)))</f>
        <v>0.94683908045977017</v>
      </c>
      <c r="G65" s="415" t="s">
        <v>137</v>
      </c>
      <c r="H65" s="416"/>
      <c r="I65" s="138">
        <f>MEDIAN(I60:I64)</f>
        <v>1</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179</v>
      </c>
      <c r="D69" s="408"/>
      <c r="E69" s="125" t="s">
        <v>158</v>
      </c>
      <c r="F69" s="126" t="s">
        <v>133</v>
      </c>
      <c r="G69" s="124" t="s">
        <v>183</v>
      </c>
      <c r="H69" s="125" t="s">
        <v>138</v>
      </c>
      <c r="I69" s="124" t="s">
        <v>142</v>
      </c>
      <c r="J69" s="123" t="s">
        <v>139</v>
      </c>
    </row>
    <row r="70" spans="2:10" ht="15" customHeight="1">
      <c r="B70" s="114">
        <v>2019</v>
      </c>
      <c r="C70" s="433">
        <f>D51</f>
        <v>29</v>
      </c>
      <c r="D70" s="408"/>
      <c r="E70" s="122">
        <f>E65</f>
        <v>0.94683908045977017</v>
      </c>
      <c r="F70" s="120">
        <f t="shared" ref="F70:F83" si="1">C70*$E$65</f>
        <v>27.458333333333336</v>
      </c>
      <c r="G70" s="118">
        <f>IF(F70&lt;26,25,IF(F70&gt;135,140,IF(F70&gt;130,135,IF(F70&gt;125,130,IF(F70&gt;120,125,IF(F70&gt;115,120,IF(F70&gt;110,115,IF(F70&gt;105,110,IF(F70&gt;100,105,IF(F70&gt;99,100,IF(F70&gt;90,99,IF(F70&gt;75,90,IF(F70&gt;72,75,IF(F70&gt;66,72,IF(F70&gt;60,66,IF(F70&gt;50,60,IF(F70&gt;30,50,IF(F70&gt;25,30,0))))))))))))))))))</f>
        <v>30</v>
      </c>
      <c r="H70" s="119">
        <f t="shared" ref="H70:H83" si="2">G70-F70</f>
        <v>2.5416666666666643</v>
      </c>
      <c r="I70" s="118" t="str">
        <f>IF(I$65&lt;H70, "NO", "YES")</f>
        <v>NO</v>
      </c>
      <c r="J70" s="117">
        <f t="shared" ref="J70:J83" si="3">IF(I70="YES",G70,(MIN((SUM(F70,$I$65)),G70)))</f>
        <v>28.458333333333336</v>
      </c>
    </row>
    <row r="71" spans="2:10" ht="15" customHeight="1">
      <c r="B71" s="114">
        <v>2020</v>
      </c>
      <c r="C71" s="433">
        <f>E51</f>
        <v>28</v>
      </c>
      <c r="D71" s="408"/>
      <c r="E71" s="121">
        <f>E65</f>
        <v>0.94683908045977017</v>
      </c>
      <c r="F71" s="120">
        <f t="shared" si="1"/>
        <v>26.511494252873565</v>
      </c>
      <c r="G71" s="118">
        <f t="shared" ref="G71:G83" si="4">IF(F71&lt;26,25,IF(F71&gt;135,140,IF(F71&gt;130,135,IF(F71&gt;125,130,IF(F71&gt;120,125,IF(F71&gt;115,120,IF(F71&gt;110,115,IF(F71&gt;105,110,IF(F71&gt;100,105,IF(F71&gt;99,100,IF(F71&gt;90,99,IF(F71&gt;75,90,IF(F71&gt;72,75,IF(F71&gt;66,72,IF(F71&gt;60,66,IF(F71&gt;50,60,IF(F71&gt;30,50,IF(F71&gt;25,30,0))))))))))))))))))</f>
        <v>30</v>
      </c>
      <c r="H71" s="119">
        <f t="shared" si="2"/>
        <v>3.4885057471264354</v>
      </c>
      <c r="I71" s="118" t="str">
        <f t="shared" ref="I71:I83" si="5">IF(I$65&lt;H71, "NO", "YES")</f>
        <v>NO</v>
      </c>
      <c r="J71" s="117">
        <f t="shared" si="3"/>
        <v>27.511494252873565</v>
      </c>
    </row>
    <row r="72" spans="2:10" ht="15" customHeight="1">
      <c r="B72" s="114">
        <v>2021</v>
      </c>
      <c r="C72" s="430">
        <f>F51</f>
        <v>27</v>
      </c>
      <c r="D72" s="431"/>
      <c r="E72" s="121">
        <f>E65</f>
        <v>0.94683908045977017</v>
      </c>
      <c r="F72" s="120">
        <f t="shared" si="1"/>
        <v>25.564655172413794</v>
      </c>
      <c r="G72" s="118">
        <f t="shared" si="4"/>
        <v>25</v>
      </c>
      <c r="H72" s="119">
        <f t="shared" si="2"/>
        <v>-0.56465517241379359</v>
      </c>
      <c r="I72" s="118" t="str">
        <f t="shared" si="5"/>
        <v>YES</v>
      </c>
      <c r="J72" s="117">
        <f t="shared" si="3"/>
        <v>25</v>
      </c>
    </row>
    <row r="73" spans="2:10" ht="15" customHeight="1">
      <c r="B73" s="114">
        <v>2022</v>
      </c>
      <c r="C73" s="430">
        <f>G51</f>
        <v>27</v>
      </c>
      <c r="D73" s="431"/>
      <c r="E73" s="121">
        <f>E65</f>
        <v>0.94683908045977017</v>
      </c>
      <c r="F73" s="120">
        <f t="shared" si="1"/>
        <v>25.564655172413794</v>
      </c>
      <c r="G73" s="118">
        <f t="shared" si="4"/>
        <v>25</v>
      </c>
      <c r="H73" s="119">
        <f t="shared" si="2"/>
        <v>-0.56465517241379359</v>
      </c>
      <c r="I73" s="118" t="str">
        <f t="shared" si="5"/>
        <v>YES</v>
      </c>
      <c r="J73" s="117">
        <f t="shared" si="3"/>
        <v>25</v>
      </c>
    </row>
    <row r="74" spans="2:10" ht="15" customHeight="1">
      <c r="B74" s="114">
        <v>2023</v>
      </c>
      <c r="C74" s="430">
        <f>H51</f>
        <v>28</v>
      </c>
      <c r="D74" s="431"/>
      <c r="E74" s="121">
        <f>E65</f>
        <v>0.94683908045977017</v>
      </c>
      <c r="F74" s="120">
        <f t="shared" si="1"/>
        <v>26.511494252873565</v>
      </c>
      <c r="G74" s="118">
        <f t="shared" si="4"/>
        <v>30</v>
      </c>
      <c r="H74" s="119">
        <f t="shared" si="2"/>
        <v>3.4885057471264354</v>
      </c>
      <c r="I74" s="118" t="str">
        <f t="shared" si="5"/>
        <v>NO</v>
      </c>
      <c r="J74" s="117">
        <f t="shared" si="3"/>
        <v>27.511494252873565</v>
      </c>
    </row>
    <row r="75" spans="2:10" ht="15" customHeight="1">
      <c r="B75" s="114">
        <v>2024</v>
      </c>
      <c r="C75" s="430">
        <f>I51</f>
        <v>30</v>
      </c>
      <c r="D75" s="431"/>
      <c r="E75" s="121">
        <f>E65</f>
        <v>0.94683908045977017</v>
      </c>
      <c r="F75" s="120">
        <f t="shared" si="1"/>
        <v>28.405172413793103</v>
      </c>
      <c r="G75" s="118">
        <f t="shared" si="4"/>
        <v>30</v>
      </c>
      <c r="H75" s="119">
        <f t="shared" si="2"/>
        <v>1.5948275862068968</v>
      </c>
      <c r="I75" s="118" t="str">
        <f t="shared" si="5"/>
        <v>NO</v>
      </c>
      <c r="J75" s="117">
        <f t="shared" si="3"/>
        <v>29.405172413793103</v>
      </c>
    </row>
    <row r="76" spans="2:10" ht="15" customHeight="1">
      <c r="B76" s="114">
        <v>2025</v>
      </c>
      <c r="C76" s="430">
        <f>J51</f>
        <v>30</v>
      </c>
      <c r="D76" s="431"/>
      <c r="E76" s="121">
        <f>E65</f>
        <v>0.94683908045977017</v>
      </c>
      <c r="F76" s="120">
        <f t="shared" si="1"/>
        <v>28.405172413793103</v>
      </c>
      <c r="G76" s="118">
        <f t="shared" si="4"/>
        <v>30</v>
      </c>
      <c r="H76" s="119">
        <f t="shared" si="2"/>
        <v>1.5948275862068968</v>
      </c>
      <c r="I76" s="118" t="str">
        <f t="shared" si="5"/>
        <v>NO</v>
      </c>
      <c r="J76" s="117">
        <f t="shared" si="3"/>
        <v>29.405172413793103</v>
      </c>
    </row>
    <row r="77" spans="2:10" ht="15" customHeight="1">
      <c r="B77" s="114">
        <v>2026</v>
      </c>
      <c r="C77" s="430">
        <f>K51</f>
        <v>31</v>
      </c>
      <c r="D77" s="431"/>
      <c r="E77" s="121">
        <f>E65</f>
        <v>0.94683908045977017</v>
      </c>
      <c r="F77" s="120">
        <f t="shared" si="1"/>
        <v>29.352011494252874</v>
      </c>
      <c r="G77" s="118">
        <f t="shared" si="4"/>
        <v>30</v>
      </c>
      <c r="H77" s="119">
        <f t="shared" si="2"/>
        <v>0.64798850574712574</v>
      </c>
      <c r="I77" s="118" t="str">
        <f t="shared" si="5"/>
        <v>YES</v>
      </c>
      <c r="J77" s="117">
        <f t="shared" si="3"/>
        <v>30</v>
      </c>
    </row>
    <row r="78" spans="2:10" ht="15" customHeight="1">
      <c r="B78" s="114">
        <v>2027</v>
      </c>
      <c r="C78" s="430">
        <f>L51</f>
        <v>32</v>
      </c>
      <c r="D78" s="431"/>
      <c r="E78" s="121">
        <f>E65</f>
        <v>0.94683908045977017</v>
      </c>
      <c r="F78" s="120">
        <f t="shared" si="1"/>
        <v>30.298850574712645</v>
      </c>
      <c r="G78" s="118">
        <f t="shared" si="4"/>
        <v>50</v>
      </c>
      <c r="H78" s="119">
        <f t="shared" si="2"/>
        <v>19.701149425287355</v>
      </c>
      <c r="I78" s="118" t="str">
        <f t="shared" si="5"/>
        <v>NO</v>
      </c>
      <c r="J78" s="117">
        <f t="shared" si="3"/>
        <v>31.298850574712645</v>
      </c>
    </row>
    <row r="79" spans="2:10" ht="15" customHeight="1">
      <c r="B79" s="114">
        <v>2028</v>
      </c>
      <c r="C79" s="430">
        <f>M51</f>
        <v>32</v>
      </c>
      <c r="D79" s="431"/>
      <c r="E79" s="121">
        <f t="shared" ref="E79:E83" si="6">$E$65</f>
        <v>0.94683908045977017</v>
      </c>
      <c r="F79" s="120">
        <f t="shared" si="1"/>
        <v>30.298850574712645</v>
      </c>
      <c r="G79" s="118">
        <f t="shared" si="4"/>
        <v>50</v>
      </c>
      <c r="H79" s="119">
        <f t="shared" si="2"/>
        <v>19.701149425287355</v>
      </c>
      <c r="I79" s="118" t="str">
        <f t="shared" si="5"/>
        <v>NO</v>
      </c>
      <c r="J79" s="117">
        <f t="shared" si="3"/>
        <v>31.298850574712645</v>
      </c>
    </row>
    <row r="80" spans="2:10" ht="15" customHeight="1">
      <c r="B80" s="114">
        <v>2029</v>
      </c>
      <c r="C80" s="430">
        <f>N51</f>
        <v>32</v>
      </c>
      <c r="D80" s="431"/>
      <c r="E80" s="121">
        <f t="shared" si="6"/>
        <v>0.94683908045977017</v>
      </c>
      <c r="F80" s="120">
        <f t="shared" si="1"/>
        <v>30.298850574712645</v>
      </c>
      <c r="G80" s="118">
        <f t="shared" si="4"/>
        <v>50</v>
      </c>
      <c r="H80" s="119">
        <f t="shared" si="2"/>
        <v>19.701149425287355</v>
      </c>
      <c r="I80" s="118" t="str">
        <f t="shared" si="5"/>
        <v>NO</v>
      </c>
      <c r="J80" s="117">
        <f t="shared" si="3"/>
        <v>31.298850574712645</v>
      </c>
    </row>
    <row r="81" spans="2:10" ht="15" customHeight="1">
      <c r="B81" s="114">
        <v>2030</v>
      </c>
      <c r="C81" s="430">
        <f>O51</f>
        <v>32</v>
      </c>
      <c r="D81" s="431"/>
      <c r="E81" s="121">
        <f t="shared" si="6"/>
        <v>0.94683908045977017</v>
      </c>
      <c r="F81" s="120">
        <f t="shared" si="1"/>
        <v>30.298850574712645</v>
      </c>
      <c r="G81" s="118">
        <f t="shared" si="4"/>
        <v>50</v>
      </c>
      <c r="H81" s="119">
        <f t="shared" si="2"/>
        <v>19.701149425287355</v>
      </c>
      <c r="I81" s="118" t="str">
        <f t="shared" si="5"/>
        <v>NO</v>
      </c>
      <c r="J81" s="117">
        <f t="shared" si="3"/>
        <v>31.298850574712645</v>
      </c>
    </row>
    <row r="82" spans="2:10" ht="15" customHeight="1">
      <c r="B82" s="114">
        <v>2031</v>
      </c>
      <c r="C82" s="430">
        <f>P51</f>
        <v>32</v>
      </c>
      <c r="D82" s="431"/>
      <c r="E82" s="121">
        <f t="shared" si="6"/>
        <v>0.94683908045977017</v>
      </c>
      <c r="F82" s="120">
        <f t="shared" si="1"/>
        <v>30.298850574712645</v>
      </c>
      <c r="G82" s="118">
        <f t="shared" si="4"/>
        <v>50</v>
      </c>
      <c r="H82" s="119">
        <f t="shared" si="2"/>
        <v>19.701149425287355</v>
      </c>
      <c r="I82" s="118" t="str">
        <f t="shared" si="5"/>
        <v>NO</v>
      </c>
      <c r="J82" s="117">
        <f t="shared" si="3"/>
        <v>31.298850574712645</v>
      </c>
    </row>
    <row r="83" spans="2:10" ht="15" customHeight="1">
      <c r="B83" s="114">
        <v>2032</v>
      </c>
      <c r="C83" s="430">
        <f>Q51</f>
        <v>32</v>
      </c>
      <c r="D83" s="431"/>
      <c r="E83" s="121">
        <f t="shared" si="6"/>
        <v>0.94683908045977017</v>
      </c>
      <c r="F83" s="120">
        <f t="shared" si="1"/>
        <v>30.298850574712645</v>
      </c>
      <c r="G83" s="118">
        <f t="shared" si="4"/>
        <v>50</v>
      </c>
      <c r="H83" s="119">
        <f t="shared" si="2"/>
        <v>19.701149425287355</v>
      </c>
      <c r="I83" s="118" t="str">
        <f t="shared" si="5"/>
        <v>NO</v>
      </c>
      <c r="J83" s="117">
        <f t="shared" si="3"/>
        <v>31.298850574712645</v>
      </c>
    </row>
    <row r="84" spans="2:10" ht="15" customHeight="1">
      <c r="C84" s="16"/>
      <c r="D84" s="16"/>
      <c r="E84" s="16"/>
      <c r="F84" s="16"/>
      <c r="G84" s="16"/>
      <c r="H84" s="16"/>
    </row>
    <row r="85" spans="2:10" ht="15" customHeight="1">
      <c r="B85" s="11" t="s">
        <v>186</v>
      </c>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St Cuthbert's RC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28</v>
      </c>
      <c r="D91" s="112">
        <f t="shared" ref="D91:J91" si="7">D188</f>
        <v>25</v>
      </c>
      <c r="E91" s="112">
        <f t="shared" si="7"/>
        <v>31</v>
      </c>
      <c r="F91" s="112">
        <f t="shared" si="7"/>
        <v>26</v>
      </c>
      <c r="G91" s="112">
        <f t="shared" si="7"/>
        <v>21</v>
      </c>
      <c r="H91" s="112">
        <f t="shared" si="7"/>
        <v>25</v>
      </c>
      <c r="I91" s="112">
        <f t="shared" si="7"/>
        <v>25</v>
      </c>
      <c r="J91" s="213">
        <f t="shared" si="7"/>
        <v>181</v>
      </c>
    </row>
    <row r="92" spans="2:10" ht="15" customHeight="1">
      <c r="B92" s="114">
        <v>2014</v>
      </c>
      <c r="C92" s="112">
        <f>C189</f>
        <v>25</v>
      </c>
      <c r="D92" s="112">
        <f t="shared" ref="D92:J92" si="8">D189</f>
        <v>33</v>
      </c>
      <c r="E92" s="112">
        <f t="shared" si="8"/>
        <v>30</v>
      </c>
      <c r="F92" s="112">
        <f t="shared" si="8"/>
        <v>28</v>
      </c>
      <c r="G92" s="112">
        <f t="shared" si="8"/>
        <v>28</v>
      </c>
      <c r="H92" s="112">
        <f t="shared" si="8"/>
        <v>19</v>
      </c>
      <c r="I92" s="112">
        <f t="shared" si="8"/>
        <v>24</v>
      </c>
      <c r="J92" s="213">
        <f t="shared" si="8"/>
        <v>187</v>
      </c>
    </row>
    <row r="93" spans="2:10" ht="15" customHeight="1">
      <c r="B93" s="114">
        <v>2015</v>
      </c>
      <c r="C93" s="112">
        <f>C190</f>
        <v>25</v>
      </c>
      <c r="D93" s="112">
        <f t="shared" ref="D93:J93" si="9">D190</f>
        <v>23</v>
      </c>
      <c r="E93" s="112">
        <f t="shared" si="9"/>
        <v>33</v>
      </c>
      <c r="F93" s="112">
        <f t="shared" si="9"/>
        <v>34</v>
      </c>
      <c r="G93" s="112">
        <f t="shared" si="9"/>
        <v>29</v>
      </c>
      <c r="H93" s="112">
        <f t="shared" si="9"/>
        <v>25</v>
      </c>
      <c r="I93" s="112">
        <f t="shared" si="9"/>
        <v>17</v>
      </c>
      <c r="J93" s="213">
        <f t="shared" si="9"/>
        <v>186</v>
      </c>
    </row>
    <row r="94" spans="2:10" ht="15" customHeight="1">
      <c r="B94" s="114">
        <v>2016</v>
      </c>
      <c r="C94" s="112">
        <f>C191</f>
        <v>29</v>
      </c>
      <c r="D94" s="112">
        <f t="shared" ref="D94:J94" si="10">D191</f>
        <v>30</v>
      </c>
      <c r="E94" s="112">
        <f t="shared" si="10"/>
        <v>26</v>
      </c>
      <c r="F94" s="112">
        <f t="shared" si="10"/>
        <v>35</v>
      </c>
      <c r="G94" s="112">
        <f t="shared" si="10"/>
        <v>33</v>
      </c>
      <c r="H94" s="112">
        <f t="shared" si="10"/>
        <v>32</v>
      </c>
      <c r="I94" s="112">
        <f t="shared" si="10"/>
        <v>29</v>
      </c>
      <c r="J94" s="213">
        <f t="shared" si="10"/>
        <v>214</v>
      </c>
    </row>
    <row r="95" spans="2:10" ht="15" customHeight="1">
      <c r="B95" s="114">
        <v>2017</v>
      </c>
      <c r="C95" s="112">
        <f>C192</f>
        <v>25</v>
      </c>
      <c r="D95" s="112">
        <f t="shared" ref="D95:J95" si="11">D192</f>
        <v>29</v>
      </c>
      <c r="E95" s="112">
        <f t="shared" si="11"/>
        <v>32</v>
      </c>
      <c r="F95" s="112">
        <f t="shared" si="11"/>
        <v>27</v>
      </c>
      <c r="G95" s="112">
        <f t="shared" si="11"/>
        <v>37</v>
      </c>
      <c r="H95" s="112">
        <f t="shared" si="11"/>
        <v>31</v>
      </c>
      <c r="I95" s="112">
        <f t="shared" si="11"/>
        <v>31</v>
      </c>
      <c r="J95" s="213">
        <f t="shared" si="11"/>
        <v>212</v>
      </c>
    </row>
    <row r="96" spans="2:10" ht="15" customHeight="1">
      <c r="B96" s="307">
        <v>2018</v>
      </c>
      <c r="C96" s="112">
        <f t="shared" ref="C96:J96" si="12">C193</f>
        <v>30</v>
      </c>
      <c r="D96" s="112">
        <f t="shared" si="12"/>
        <v>24</v>
      </c>
      <c r="E96" s="112">
        <f t="shared" si="12"/>
        <v>28</v>
      </c>
      <c r="F96" s="112">
        <f t="shared" si="12"/>
        <v>36</v>
      </c>
      <c r="G96" s="112">
        <f t="shared" si="12"/>
        <v>29</v>
      </c>
      <c r="H96" s="112">
        <f t="shared" si="12"/>
        <v>36</v>
      </c>
      <c r="I96" s="112">
        <f t="shared" si="12"/>
        <v>26</v>
      </c>
      <c r="J96" s="213">
        <f t="shared" si="12"/>
        <v>209</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0</v>
      </c>
      <c r="E98" s="210">
        <f t="shared" ref="E98:I98" si="13">MEDIAN(((D91-E92)/D91),((D92-E93)/D92),((D93-E94)/D93),((D94-E95)/D94),((D95-E96)/D95))</f>
        <v>-6.6666666666666666E-2</v>
      </c>
      <c r="F98" s="210">
        <f t="shared" si="13"/>
        <v>-6.0606060606060608E-2</v>
      </c>
      <c r="G98" s="210">
        <f t="shared" si="13"/>
        <v>-5.7142857142857141E-2</v>
      </c>
      <c r="H98" s="210">
        <f t="shared" si="13"/>
        <v>6.0606060606060608E-2</v>
      </c>
      <c r="I98" s="210">
        <f t="shared" si="13"/>
        <v>0.04</v>
      </c>
    </row>
    <row r="99" spans="2:10" ht="18.75">
      <c r="B99" s="59"/>
      <c r="C99" s="60"/>
      <c r="D99" s="61"/>
      <c r="E99" s="61"/>
      <c r="F99" s="61"/>
      <c r="G99" s="61"/>
      <c r="H99" s="61"/>
      <c r="I99" s="61"/>
      <c r="J99" s="58"/>
    </row>
    <row r="100" spans="2:10">
      <c r="B100" s="15" t="str">
        <f>"Table 4B: "&amp;E3&amp;" Projected Roll by Stage (incorporating Projected P1 and Drop-Off Rates), 2019-2032"</f>
        <v>Table 4B: St Cuthbert's RC Primary School Projected Roll by Stage (incorporating Projected P1 and Drop-Off Rates), 2019-2032</v>
      </c>
      <c r="F100" s="14"/>
      <c r="G100" s="14"/>
    </row>
    <row r="101" spans="2:10" ht="12.75">
      <c r="F101" s="14"/>
      <c r="G101" s="14"/>
    </row>
    <row r="102" spans="2:10">
      <c r="B102" s="115"/>
      <c r="C102" s="109" t="s">
        <v>1</v>
      </c>
      <c r="D102" s="109" t="s">
        <v>2</v>
      </c>
      <c r="E102" s="109" t="s">
        <v>3</v>
      </c>
      <c r="F102" s="109" t="s">
        <v>4</v>
      </c>
      <c r="G102" s="109" t="s">
        <v>5</v>
      </c>
      <c r="H102" s="109" t="s">
        <v>6</v>
      </c>
      <c r="I102" s="109" t="s">
        <v>7</v>
      </c>
      <c r="J102" s="109" t="s">
        <v>8</v>
      </c>
    </row>
    <row r="103" spans="2:10">
      <c r="B103" s="114">
        <v>2019</v>
      </c>
      <c r="C103" s="113">
        <f t="shared" ref="C103:C116" si="14">J70</f>
        <v>28.458333333333336</v>
      </c>
      <c r="D103" s="324">
        <f>ROUND((C96)-(C96*$D$98),0)</f>
        <v>30</v>
      </c>
      <c r="E103" s="324">
        <f>ROUND((D96)-(D96*$E$98),0)</f>
        <v>26</v>
      </c>
      <c r="F103" s="324">
        <f>ROUND((E96)-(E96*$F$98),0)</f>
        <v>30</v>
      </c>
      <c r="G103" s="324">
        <f>ROUND((F96)-(F96*$G$98),0)</f>
        <v>38</v>
      </c>
      <c r="H103" s="324">
        <f>ROUND((G96)-(G96*$H$98),0)</f>
        <v>27</v>
      </c>
      <c r="I103" s="324">
        <f>ROUND((H96)-(H96*$I$98),0)</f>
        <v>35</v>
      </c>
      <c r="J103" s="111">
        <f t="shared" ref="J103:J116" si="15">SUM(C103:I103)</f>
        <v>214.45833333333334</v>
      </c>
    </row>
    <row r="104" spans="2:10">
      <c r="B104" s="114">
        <v>2020</v>
      </c>
      <c r="C104" s="113">
        <f t="shared" si="14"/>
        <v>27.511494252873565</v>
      </c>
      <c r="D104" s="324">
        <f>ROUND((C103-E50)-(C103*$D$98),0)</f>
        <v>27</v>
      </c>
      <c r="E104" s="112">
        <f t="shared" ref="E104:E116" si="16">ROUND((D103)-(D103*$E$98),0)</f>
        <v>32</v>
      </c>
      <c r="F104" s="112">
        <f t="shared" ref="F104:F116" si="17">ROUND((E103)-(E103*$F$98),0)</f>
        <v>28</v>
      </c>
      <c r="G104" s="112">
        <f t="shared" ref="G104:G116" si="18">ROUND((F103)-(F103*$G$98),0)</f>
        <v>32</v>
      </c>
      <c r="H104" s="112">
        <f t="shared" ref="H104:H116" si="19">ROUND((G103)-(G103*$H$98),0)</f>
        <v>36</v>
      </c>
      <c r="I104" s="112">
        <f t="shared" ref="I104:I116" si="20">ROUND((H103)-(H103*$I$98),0)</f>
        <v>26</v>
      </c>
      <c r="J104" s="111">
        <f t="shared" si="15"/>
        <v>208.51149425287355</v>
      </c>
    </row>
    <row r="105" spans="2:10">
      <c r="B105" s="114">
        <v>2021</v>
      </c>
      <c r="C105" s="113">
        <f t="shared" si="14"/>
        <v>25</v>
      </c>
      <c r="D105" s="324">
        <f>ROUND((C104-F50)-(C104*$D$98),0)</f>
        <v>26</v>
      </c>
      <c r="E105" s="112">
        <f t="shared" si="16"/>
        <v>29</v>
      </c>
      <c r="F105" s="112">
        <f t="shared" si="17"/>
        <v>34</v>
      </c>
      <c r="G105" s="112">
        <f t="shared" si="18"/>
        <v>30</v>
      </c>
      <c r="H105" s="112">
        <f t="shared" si="19"/>
        <v>30</v>
      </c>
      <c r="I105" s="112">
        <f t="shared" si="20"/>
        <v>35</v>
      </c>
      <c r="J105" s="111">
        <f t="shared" si="15"/>
        <v>209</v>
      </c>
    </row>
    <row r="106" spans="2:10">
      <c r="B106" s="114">
        <v>2022</v>
      </c>
      <c r="C106" s="113">
        <f t="shared" si="14"/>
        <v>25</v>
      </c>
      <c r="D106" s="324">
        <f>ROUND((C105-G50)-(C105*$D$98),0)</f>
        <v>22</v>
      </c>
      <c r="E106" s="112">
        <f t="shared" si="16"/>
        <v>28</v>
      </c>
      <c r="F106" s="112">
        <f t="shared" si="17"/>
        <v>31</v>
      </c>
      <c r="G106" s="112">
        <f t="shared" si="18"/>
        <v>36</v>
      </c>
      <c r="H106" s="112">
        <f t="shared" si="19"/>
        <v>28</v>
      </c>
      <c r="I106" s="112">
        <f t="shared" si="20"/>
        <v>29</v>
      </c>
      <c r="J106" s="111">
        <f t="shared" si="15"/>
        <v>199</v>
      </c>
    </row>
    <row r="107" spans="2:10">
      <c r="B107" s="114">
        <v>2023</v>
      </c>
      <c r="C107" s="113">
        <f t="shared" si="14"/>
        <v>27.511494252873565</v>
      </c>
      <c r="D107" s="324">
        <f>ROUND((C106-H50)-(C106*$D$98),0)</f>
        <v>22</v>
      </c>
      <c r="E107" s="112">
        <f t="shared" si="16"/>
        <v>23</v>
      </c>
      <c r="F107" s="112">
        <f t="shared" si="17"/>
        <v>30</v>
      </c>
      <c r="G107" s="112">
        <f t="shared" si="18"/>
        <v>33</v>
      </c>
      <c r="H107" s="112">
        <f t="shared" si="19"/>
        <v>34</v>
      </c>
      <c r="I107" s="112">
        <f t="shared" si="20"/>
        <v>27</v>
      </c>
      <c r="J107" s="111">
        <f t="shared" si="15"/>
        <v>196.51149425287355</v>
      </c>
    </row>
    <row r="108" spans="2:10">
      <c r="B108" s="114">
        <v>2024</v>
      </c>
      <c r="C108" s="113">
        <f t="shared" si="14"/>
        <v>29.405172413793103</v>
      </c>
      <c r="D108" s="324">
        <f>ROUND((C107-I50)-(C107*$D$98),0)</f>
        <v>24</v>
      </c>
      <c r="E108" s="112">
        <f t="shared" si="16"/>
        <v>23</v>
      </c>
      <c r="F108" s="112">
        <f t="shared" si="17"/>
        <v>24</v>
      </c>
      <c r="G108" s="112">
        <f t="shared" si="18"/>
        <v>32</v>
      </c>
      <c r="H108" s="112">
        <f t="shared" si="19"/>
        <v>31</v>
      </c>
      <c r="I108" s="112">
        <f t="shared" si="20"/>
        <v>33</v>
      </c>
      <c r="J108" s="111">
        <f t="shared" si="15"/>
        <v>196.40517241379311</v>
      </c>
    </row>
    <row r="109" spans="2:10">
      <c r="B109" s="114">
        <v>2025</v>
      </c>
      <c r="C109" s="113">
        <f t="shared" si="14"/>
        <v>29.405172413793103</v>
      </c>
      <c r="D109" s="324">
        <f>ROUND((C108-J50)-(C108*$D$98),0)</f>
        <v>25</v>
      </c>
      <c r="E109" s="112">
        <f t="shared" si="16"/>
        <v>26</v>
      </c>
      <c r="F109" s="112">
        <f t="shared" si="17"/>
        <v>24</v>
      </c>
      <c r="G109" s="112">
        <f t="shared" si="18"/>
        <v>25</v>
      </c>
      <c r="H109" s="112">
        <f t="shared" si="19"/>
        <v>30</v>
      </c>
      <c r="I109" s="112">
        <f t="shared" si="20"/>
        <v>30</v>
      </c>
      <c r="J109" s="111">
        <f t="shared" si="15"/>
        <v>189.40517241379311</v>
      </c>
    </row>
    <row r="110" spans="2:10">
      <c r="B110" s="114">
        <v>2026</v>
      </c>
      <c r="C110" s="113">
        <f t="shared" si="14"/>
        <v>30</v>
      </c>
      <c r="D110" s="324">
        <f>ROUND((C109-K50)-(C109*$D$98),0)</f>
        <v>24</v>
      </c>
      <c r="E110" s="112">
        <f t="shared" si="16"/>
        <v>27</v>
      </c>
      <c r="F110" s="112">
        <f t="shared" si="17"/>
        <v>28</v>
      </c>
      <c r="G110" s="112">
        <f t="shared" si="18"/>
        <v>25</v>
      </c>
      <c r="H110" s="112">
        <f t="shared" si="19"/>
        <v>23</v>
      </c>
      <c r="I110" s="112">
        <f t="shared" si="20"/>
        <v>29</v>
      </c>
      <c r="J110" s="111">
        <f t="shared" si="15"/>
        <v>186</v>
      </c>
    </row>
    <row r="111" spans="2:10">
      <c r="B111" s="114">
        <v>2027</v>
      </c>
      <c r="C111" s="113">
        <f t="shared" si="14"/>
        <v>31.298850574712645</v>
      </c>
      <c r="D111" s="324">
        <f>ROUND((C110-L50)-(C110*$D$98),0)</f>
        <v>25</v>
      </c>
      <c r="E111" s="112">
        <f t="shared" si="16"/>
        <v>26</v>
      </c>
      <c r="F111" s="112">
        <f t="shared" si="17"/>
        <v>29</v>
      </c>
      <c r="G111" s="112">
        <f t="shared" si="18"/>
        <v>30</v>
      </c>
      <c r="H111" s="112">
        <f t="shared" si="19"/>
        <v>23</v>
      </c>
      <c r="I111" s="112">
        <f t="shared" si="20"/>
        <v>22</v>
      </c>
      <c r="J111" s="111">
        <f t="shared" si="15"/>
        <v>186.29885057471265</v>
      </c>
    </row>
    <row r="112" spans="2:10">
      <c r="B112" s="114">
        <v>2028</v>
      </c>
      <c r="C112" s="113">
        <f t="shared" si="14"/>
        <v>31.298850574712645</v>
      </c>
      <c r="D112" s="324">
        <f>ROUND((C111-M50)-(C111*$D$98),0)</f>
        <v>26</v>
      </c>
      <c r="E112" s="112">
        <f t="shared" si="16"/>
        <v>27</v>
      </c>
      <c r="F112" s="112">
        <f t="shared" si="17"/>
        <v>28</v>
      </c>
      <c r="G112" s="112">
        <f t="shared" si="18"/>
        <v>31</v>
      </c>
      <c r="H112" s="112">
        <f t="shared" si="19"/>
        <v>28</v>
      </c>
      <c r="I112" s="112">
        <f t="shared" si="20"/>
        <v>22</v>
      </c>
      <c r="J112" s="111">
        <f t="shared" si="15"/>
        <v>193.29885057471265</v>
      </c>
    </row>
    <row r="113" spans="2:10" ht="15" customHeight="1">
      <c r="B113" s="114">
        <v>2029</v>
      </c>
      <c r="C113" s="113">
        <f t="shared" si="14"/>
        <v>31.298850574712645</v>
      </c>
      <c r="D113" s="324">
        <f>ROUND((C112-N50)-(C112*$D$98),0)</f>
        <v>26</v>
      </c>
      <c r="E113" s="112">
        <f t="shared" si="16"/>
        <v>28</v>
      </c>
      <c r="F113" s="112">
        <f t="shared" si="17"/>
        <v>29</v>
      </c>
      <c r="G113" s="112">
        <f t="shared" si="18"/>
        <v>30</v>
      </c>
      <c r="H113" s="112">
        <f t="shared" si="19"/>
        <v>29</v>
      </c>
      <c r="I113" s="112">
        <f t="shared" si="20"/>
        <v>27</v>
      </c>
      <c r="J113" s="111">
        <f t="shared" si="15"/>
        <v>200.29885057471265</v>
      </c>
    </row>
    <row r="114" spans="2:10" ht="15" customHeight="1">
      <c r="B114" s="114">
        <v>2030</v>
      </c>
      <c r="C114" s="113">
        <f t="shared" si="14"/>
        <v>31.298850574712645</v>
      </c>
      <c r="D114" s="324">
        <f>ROUND((C113-O50)-(C113*$D$98),0)</f>
        <v>26</v>
      </c>
      <c r="E114" s="112">
        <f t="shared" si="16"/>
        <v>28</v>
      </c>
      <c r="F114" s="112">
        <f t="shared" si="17"/>
        <v>30</v>
      </c>
      <c r="G114" s="112">
        <f t="shared" si="18"/>
        <v>31</v>
      </c>
      <c r="H114" s="112">
        <f t="shared" si="19"/>
        <v>28</v>
      </c>
      <c r="I114" s="112">
        <f t="shared" si="20"/>
        <v>28</v>
      </c>
      <c r="J114" s="111">
        <f t="shared" si="15"/>
        <v>202.29885057471265</v>
      </c>
    </row>
    <row r="115" spans="2:10" ht="15" customHeight="1">
      <c r="B115" s="114">
        <v>2031</v>
      </c>
      <c r="C115" s="113">
        <f t="shared" si="14"/>
        <v>31.298850574712645</v>
      </c>
      <c r="D115" s="324">
        <f>ROUND((C114-P50)-(C114*$D$98),0)</f>
        <v>26</v>
      </c>
      <c r="E115" s="112">
        <f t="shared" si="16"/>
        <v>28</v>
      </c>
      <c r="F115" s="112">
        <f t="shared" si="17"/>
        <v>30</v>
      </c>
      <c r="G115" s="112">
        <f t="shared" si="18"/>
        <v>32</v>
      </c>
      <c r="H115" s="112">
        <f t="shared" si="19"/>
        <v>29</v>
      </c>
      <c r="I115" s="112">
        <f t="shared" si="20"/>
        <v>27</v>
      </c>
      <c r="J115" s="111">
        <f t="shared" si="15"/>
        <v>203.29885057471265</v>
      </c>
    </row>
    <row r="116" spans="2:10" ht="15" customHeight="1">
      <c r="B116" s="114">
        <v>2032</v>
      </c>
      <c r="C116" s="113">
        <f t="shared" si="14"/>
        <v>31.298850574712645</v>
      </c>
      <c r="D116" s="324">
        <f>ROUND((C115-Q50)-(C115*$D$98),0)</f>
        <v>26</v>
      </c>
      <c r="E116" s="112">
        <f t="shared" si="16"/>
        <v>28</v>
      </c>
      <c r="F116" s="112">
        <f t="shared" si="17"/>
        <v>30</v>
      </c>
      <c r="G116" s="112">
        <f t="shared" si="18"/>
        <v>32</v>
      </c>
      <c r="H116" s="112">
        <f t="shared" si="19"/>
        <v>30</v>
      </c>
      <c r="I116" s="112">
        <f t="shared" si="20"/>
        <v>28</v>
      </c>
      <c r="J116" s="111">
        <f t="shared" si="15"/>
        <v>205.29885057471265</v>
      </c>
    </row>
    <row r="117" spans="2:10" ht="15" hidden="1" customHeight="1">
      <c r="F117" s="14"/>
      <c r="G117" s="14"/>
    </row>
    <row r="118" spans="2:10" ht="15" hidden="1" customHeight="1">
      <c r="B118" s="15" t="str">
        <f>"Table 4C: "&amp;E3&amp;" Projected Pupil Generation from Housing Development, 2019-2032"</f>
        <v>Table 4C: St Cuthbert's RC Primary School Projected Pupil Generation from Housing Development, 2019-2032</v>
      </c>
      <c r="F118" s="14"/>
      <c r="G118" s="14"/>
    </row>
    <row r="119" spans="2:10" ht="15" hidden="1" customHeight="1">
      <c r="F119" s="14"/>
      <c r="G119" s="14"/>
    </row>
    <row r="120" spans="2:10" ht="15" hidden="1" customHeight="1">
      <c r="B120" s="115"/>
      <c r="C120" s="109" t="s">
        <v>1</v>
      </c>
      <c r="D120" s="109" t="s">
        <v>2</v>
      </c>
      <c r="E120" s="109" t="s">
        <v>3</v>
      </c>
      <c r="F120" s="109" t="s">
        <v>4</v>
      </c>
      <c r="G120" s="109" t="s">
        <v>5</v>
      </c>
      <c r="H120" s="109" t="s">
        <v>6</v>
      </c>
      <c r="I120" s="109" t="s">
        <v>7</v>
      </c>
      <c r="J120" s="109" t="s">
        <v>8</v>
      </c>
    </row>
    <row r="121" spans="2:10" ht="15" hidden="1" customHeight="1">
      <c r="B121" s="114">
        <v>2019</v>
      </c>
      <c r="C121" s="116" t="s">
        <v>97</v>
      </c>
      <c r="D121" s="112">
        <f>VLOOKUP($E$3,'Housing Generation'!$A$3:$BE$90,11,FALSE)</f>
        <v>1</v>
      </c>
      <c r="E121" s="112">
        <f>VLOOKUP($E$3,'Housing Generation'!$A$3:$BE$90,12,FALSE)</f>
        <v>1</v>
      </c>
      <c r="F121" s="112">
        <f>VLOOKUP($E$3,'Housing Generation'!$A$3:$BE$90,13,FALSE)</f>
        <v>1</v>
      </c>
      <c r="G121" s="112">
        <f>VLOOKUP($E$3,'Housing Generation'!$A$3:$BE$90,14,FALSE)</f>
        <v>0</v>
      </c>
      <c r="H121" s="112">
        <f>VLOOKUP($E$3,'Housing Generation'!$A$3:$BE$90,15,FALSE)</f>
        <v>0</v>
      </c>
      <c r="I121" s="112">
        <f>VLOOKUP($E$3,'Housing Generation'!$A$3:$BE$90,16,FALSE)</f>
        <v>0</v>
      </c>
      <c r="J121" s="111">
        <f t="shared" ref="J121:J134" si="21">SUM(D121:I121)</f>
        <v>3</v>
      </c>
    </row>
    <row r="122" spans="2:10" ht="15" hidden="1" customHeight="1">
      <c r="B122" s="114">
        <v>2020</v>
      </c>
      <c r="C122" s="116" t="s">
        <v>97</v>
      </c>
      <c r="D122" s="112">
        <f>VLOOKUP($E$3,'Housing Generation'!$A$3:$BE$90,19,FALSE)</f>
        <v>1</v>
      </c>
      <c r="E122" s="112">
        <f>VLOOKUP($E$3,'Housing Generation'!$A$3:$BE$90,20,FALSE)</f>
        <v>1</v>
      </c>
      <c r="F122" s="112">
        <f>VLOOKUP($E$3,'Housing Generation'!$A$3:$BE$90,21,FALSE)</f>
        <v>1</v>
      </c>
      <c r="G122" s="112">
        <f>VLOOKUP($E$3,'Housing Generation'!$A$3:$BE$90,22,FALSE)</f>
        <v>1</v>
      </c>
      <c r="H122" s="112">
        <f>VLOOKUP($E$3,'Housing Generation'!$A$3:$BE$90,23,FALSE)</f>
        <v>1</v>
      </c>
      <c r="I122" s="112">
        <f>VLOOKUP($E$3,'Housing Generation'!$A$3:$BE$90,24,FALSE)</f>
        <v>1</v>
      </c>
      <c r="J122" s="111">
        <f t="shared" si="21"/>
        <v>6</v>
      </c>
    </row>
    <row r="123" spans="2:10" ht="15" hidden="1" customHeight="1">
      <c r="B123" s="114">
        <v>2021</v>
      </c>
      <c r="C123" s="116" t="s">
        <v>97</v>
      </c>
      <c r="D123" s="112">
        <f>VLOOKUP($E$3,'Housing Generation'!$A$3:$BE$90,27,FALSE)</f>
        <v>2</v>
      </c>
      <c r="E123" s="112">
        <f>VLOOKUP($E$3,'Housing Generation'!$A$3:$BE$90,28,FALSE)</f>
        <v>2</v>
      </c>
      <c r="F123" s="112">
        <f>VLOOKUP($E$3,'Housing Generation'!$A$3:$BE$90,29,FALSE)</f>
        <v>2</v>
      </c>
      <c r="G123" s="112">
        <f>VLOOKUP($E$3,'Housing Generation'!$A$3:$BE$90,30,FALSE)</f>
        <v>1</v>
      </c>
      <c r="H123" s="112">
        <f>VLOOKUP($E$3,'Housing Generation'!$A$3:$BE$90,31,FALSE)</f>
        <v>1</v>
      </c>
      <c r="I123" s="112">
        <f>VLOOKUP($E$3,'Housing Generation'!$A$3:$BE$90,32,FALSE)</f>
        <v>1</v>
      </c>
      <c r="J123" s="111">
        <f t="shared" si="21"/>
        <v>9</v>
      </c>
    </row>
    <row r="124" spans="2:10" ht="15" hidden="1" customHeight="1">
      <c r="B124" s="114">
        <v>2022</v>
      </c>
      <c r="C124" s="116" t="s">
        <v>97</v>
      </c>
      <c r="D124" s="112">
        <f>VLOOKUP($E$3,'Housing Generation'!$A$3:$BE$90,35,FALSE)</f>
        <v>3</v>
      </c>
      <c r="E124" s="112">
        <f>VLOOKUP($E$3,'Housing Generation'!$A$3:$BE$90,36,FALSE)</f>
        <v>2</v>
      </c>
      <c r="F124" s="112">
        <f>VLOOKUP($E$3,'Housing Generation'!$A$3:$BE$90,37,FALSE)</f>
        <v>2</v>
      </c>
      <c r="G124" s="112">
        <f>VLOOKUP($E$3,'Housing Generation'!$A$3:$BE$90,38,FALSE)</f>
        <v>2</v>
      </c>
      <c r="H124" s="112">
        <f>VLOOKUP($E$3,'Housing Generation'!$A$3:$BE$90,39,FALSE)</f>
        <v>2</v>
      </c>
      <c r="I124" s="112">
        <f>VLOOKUP($E$3,'Housing Generation'!$A$3:$BE$90,40,FALSE)</f>
        <v>2</v>
      </c>
      <c r="J124" s="111">
        <f t="shared" si="21"/>
        <v>13</v>
      </c>
    </row>
    <row r="125" spans="2:10" ht="15" hidden="1" customHeight="1">
      <c r="B125" s="114">
        <v>2023</v>
      </c>
      <c r="C125" s="116" t="s">
        <v>97</v>
      </c>
      <c r="D125" s="112">
        <f>VLOOKUP($E$3,'Housing Generation'!$A$3:$BE$90,43,FALSE)</f>
        <v>3</v>
      </c>
      <c r="E125" s="112">
        <f>VLOOKUP($E$3,'Housing Generation'!$A$3:$BE$90,44,FALSE)</f>
        <v>3</v>
      </c>
      <c r="F125" s="112">
        <f>VLOOKUP($E$3,'Housing Generation'!$A$3:$BE$90,45,FALSE)</f>
        <v>3</v>
      </c>
      <c r="G125" s="112">
        <f>VLOOKUP($E$3,'Housing Generation'!$A$3:$BE$90,46,FALSE)</f>
        <v>3</v>
      </c>
      <c r="H125" s="112">
        <f>VLOOKUP($E$3,'Housing Generation'!$A$3:$BE$90,47,FALSE)</f>
        <v>3</v>
      </c>
      <c r="I125" s="112">
        <f>VLOOKUP($E$3,'Housing Generation'!$A$3:$BE$90,48,FALSE)</f>
        <v>2</v>
      </c>
      <c r="J125" s="111">
        <f t="shared" si="21"/>
        <v>17</v>
      </c>
    </row>
    <row r="126" spans="2:10" ht="15" hidden="1" customHeight="1">
      <c r="B126" s="114">
        <v>2024</v>
      </c>
      <c r="C126" s="116" t="s">
        <v>97</v>
      </c>
      <c r="D126" s="112">
        <f>VLOOKUP($E$3,'Housing Generation'!$A$3:$BE$90,51,FALSE)</f>
        <v>4</v>
      </c>
      <c r="E126" s="112">
        <f>VLOOKUP($E$3,'Housing Generation'!$A$3:$BE$90,52,FALSE)</f>
        <v>4</v>
      </c>
      <c r="F126" s="112">
        <f>VLOOKUP($E$3,'Housing Generation'!$A$3:$BE$90,53,FALSE)</f>
        <v>3</v>
      </c>
      <c r="G126" s="112">
        <f>VLOOKUP($E$3,'Housing Generation'!$A$3:$BE$90,54,FALSE)</f>
        <v>3</v>
      </c>
      <c r="H126" s="112">
        <f>VLOOKUP($E$3,'Housing Generation'!$A$3:$BE$90,55,FALSE)</f>
        <v>3</v>
      </c>
      <c r="I126" s="112">
        <f>VLOOKUP($E$3,'Housing Generation'!$A$3:$BE$90,56,FALSE)</f>
        <v>3</v>
      </c>
      <c r="J126" s="111">
        <f t="shared" si="21"/>
        <v>20</v>
      </c>
    </row>
    <row r="127" spans="2:10" ht="15" hidden="1" customHeight="1">
      <c r="B127" s="114">
        <v>2025</v>
      </c>
      <c r="C127" s="240" t="s">
        <v>97</v>
      </c>
      <c r="D127" s="112">
        <f>VLOOKUP($E$3,'Housing Generation'!$A$3:$CK$90,59,FALSE)</f>
        <v>4</v>
      </c>
      <c r="E127" s="112">
        <f>VLOOKUP($E$3,'Housing Generation'!$A$3:$CK$90,60,FALSE)</f>
        <v>4</v>
      </c>
      <c r="F127" s="112">
        <f>VLOOKUP($E$3,'Housing Generation'!$A$3:$CK$90,61,FALSE)</f>
        <v>4</v>
      </c>
      <c r="G127" s="112">
        <f>VLOOKUP($E$3,'Housing Generation'!$A$3:$CK$90,62,FALSE)</f>
        <v>4</v>
      </c>
      <c r="H127" s="112">
        <f>VLOOKUP($E$3,'Housing Generation'!$A$3:$CK$90,63,FALSE)</f>
        <v>4</v>
      </c>
      <c r="I127" s="112">
        <f>VLOOKUP($E$3,'Housing Generation'!$A$3:$CK$90,64,FALSE)</f>
        <v>4</v>
      </c>
      <c r="J127" s="111">
        <f t="shared" si="21"/>
        <v>24</v>
      </c>
    </row>
    <row r="128" spans="2:10" ht="15" hidden="1" customHeight="1">
      <c r="B128" s="114">
        <v>2026</v>
      </c>
      <c r="C128" s="240" t="s">
        <v>97</v>
      </c>
      <c r="D128" s="112">
        <f>VLOOKUP($E$3,'Housing Generation'!$A$3:$CK$90,67,FALSE)</f>
        <v>5</v>
      </c>
      <c r="E128" s="112">
        <f>VLOOKUP($E$3,'Housing Generation'!$A$3:$CK$90,68,FALSE)</f>
        <v>5</v>
      </c>
      <c r="F128" s="112">
        <f>VLOOKUP($E$3,'Housing Generation'!$A$3:$CK$90,69,FALSE)</f>
        <v>4</v>
      </c>
      <c r="G128" s="112">
        <f>VLOOKUP($E$3,'Housing Generation'!$A$3:$CK$90,70,FALSE)</f>
        <v>4</v>
      </c>
      <c r="H128" s="112">
        <f>VLOOKUP($E$3,'Housing Generation'!$A$3:$CK$90,71,FALSE)</f>
        <v>4</v>
      </c>
      <c r="I128" s="112">
        <f>VLOOKUP($E$3,'Housing Generation'!$A$3:$CK$90,72,FALSE)</f>
        <v>4</v>
      </c>
      <c r="J128" s="111">
        <f t="shared" si="21"/>
        <v>26</v>
      </c>
    </row>
    <row r="129" spans="2:10" ht="15" hidden="1" customHeight="1">
      <c r="B129" s="114">
        <v>2027</v>
      </c>
      <c r="C129" s="240" t="s">
        <v>97</v>
      </c>
      <c r="D129" s="112">
        <f>VLOOKUP($E$3,'Housing Generation'!$A$3:$CK$90,75,FALSE)</f>
        <v>5</v>
      </c>
      <c r="E129" s="112">
        <f>VLOOKUP($E$3,'Housing Generation'!$A$3:$CK$90,76,FALSE)</f>
        <v>5</v>
      </c>
      <c r="F129" s="112">
        <f>VLOOKUP($E$3,'Housing Generation'!$A$3:$CK$90,77,FALSE)</f>
        <v>5</v>
      </c>
      <c r="G129" s="112">
        <f>VLOOKUP($E$3,'Housing Generation'!$A$3:$CK$90,78,FALSE)</f>
        <v>5</v>
      </c>
      <c r="H129" s="112">
        <f>VLOOKUP($E$3,'Housing Generation'!$A$3:$CK$90,79,FALSE)</f>
        <v>4</v>
      </c>
      <c r="I129" s="112">
        <f>VLOOKUP($E$3,'Housing Generation'!$A$3:$CK$90,80,FALSE)</f>
        <v>4</v>
      </c>
      <c r="J129" s="111">
        <f t="shared" si="21"/>
        <v>28</v>
      </c>
    </row>
    <row r="130" spans="2:10" ht="15" customHeight="1">
      <c r="B130" s="114">
        <v>2028</v>
      </c>
      <c r="C130" s="289" t="s">
        <v>97</v>
      </c>
      <c r="D130" s="112">
        <f>VLOOKUP($E$3,'Housing Generation'!$A$3:$CK$90,83,FALSE)</f>
        <v>5</v>
      </c>
      <c r="E130" s="112">
        <f>VLOOKUP($E$3,'Housing Generation'!$A$3:$CK$90,84,FALSE)</f>
        <v>5</v>
      </c>
      <c r="F130" s="112">
        <f>VLOOKUP($E$3,'Housing Generation'!$A$3:$CK$90,85,FALSE)</f>
        <v>5</v>
      </c>
      <c r="G130" s="112">
        <f>VLOOKUP($E$3,'Housing Generation'!$A$3:$CK$90,86,FALSE)</f>
        <v>5</v>
      </c>
      <c r="H130" s="112">
        <f>VLOOKUP($E$3,'Housing Generation'!$A$3:$CK$90,87,FALSE)</f>
        <v>5</v>
      </c>
      <c r="I130" s="112">
        <f>VLOOKUP($E$3,'Housing Generation'!$A$3:$CK$90,88,FALSE)</f>
        <v>4</v>
      </c>
      <c r="J130" s="111">
        <f t="shared" si="21"/>
        <v>29</v>
      </c>
    </row>
    <row r="131" spans="2:10" ht="15" customHeight="1">
      <c r="B131" s="114">
        <v>2029</v>
      </c>
      <c r="C131" s="289" t="s">
        <v>97</v>
      </c>
      <c r="D131" s="112">
        <f>VLOOKUP($E$3,'Housing Generation'!$A$3:$DQ$90,91,FALSE)</f>
        <v>5</v>
      </c>
      <c r="E131" s="112">
        <f>VLOOKUP($E$3,'Housing Generation'!$A$3:$DQ$90,92,FALSE)</f>
        <v>5</v>
      </c>
      <c r="F131" s="112">
        <f>VLOOKUP($E$3,'Housing Generation'!$A$3:$DQ$90,93,FALSE)</f>
        <v>5</v>
      </c>
      <c r="G131" s="112">
        <f>VLOOKUP($E$3,'Housing Generation'!$A$3:$DQ$90,94,FALSE)</f>
        <v>5</v>
      </c>
      <c r="H131" s="112">
        <f>VLOOKUP($E$3,'Housing Generation'!$A$3:$DQ$90,95,FALSE)</f>
        <v>5</v>
      </c>
      <c r="I131" s="112">
        <f>VLOOKUP($E$3,'Housing Generation'!$A$3:$DQ$90,96,FALSE)</f>
        <v>4</v>
      </c>
      <c r="J131" s="111">
        <f t="shared" si="21"/>
        <v>29</v>
      </c>
    </row>
    <row r="132" spans="2:10" ht="15" customHeight="1">
      <c r="B132" s="114">
        <v>2030</v>
      </c>
      <c r="C132" s="289" t="s">
        <v>97</v>
      </c>
      <c r="D132" s="112">
        <f>VLOOKUP($E$3,'Housing Generation'!$A$3:$DQ$90,99,FALSE)</f>
        <v>5</v>
      </c>
      <c r="E132" s="112">
        <f>VLOOKUP($E$3,'Housing Generation'!$A$3:$DQ$90,100,FALSE)</f>
        <v>5</v>
      </c>
      <c r="F132" s="112">
        <f>VLOOKUP($E$3,'Housing Generation'!$A$3:$DQ$90,101,FALSE)</f>
        <v>5</v>
      </c>
      <c r="G132" s="112">
        <f>VLOOKUP($E$3,'Housing Generation'!$A$3:$DQ$90,102,FALSE)</f>
        <v>5</v>
      </c>
      <c r="H132" s="112">
        <f>VLOOKUP($E$3,'Housing Generation'!$A$3:$DQ$90,103,FALSE)</f>
        <v>5</v>
      </c>
      <c r="I132" s="112">
        <f>VLOOKUP($E$3,'Housing Generation'!$A$3:$DQ$90,104,FALSE)</f>
        <v>4</v>
      </c>
      <c r="J132" s="111">
        <f t="shared" si="21"/>
        <v>29</v>
      </c>
    </row>
    <row r="133" spans="2:10" ht="15" customHeight="1">
      <c r="B133" s="114">
        <v>2031</v>
      </c>
      <c r="C133" s="289" t="s">
        <v>97</v>
      </c>
      <c r="D133" s="112">
        <f>VLOOKUP($E$3,'Housing Generation'!$A$3:$DQ$90,107,FALSE)</f>
        <v>5</v>
      </c>
      <c r="E133" s="112">
        <f>VLOOKUP($E$3,'Housing Generation'!$A$3:$DQ$90,108,FALSE)</f>
        <v>5</v>
      </c>
      <c r="F133" s="112">
        <f>VLOOKUP($E$3,'Housing Generation'!$A$3:$DQ$90,109,FALSE)</f>
        <v>5</v>
      </c>
      <c r="G133" s="112">
        <f>VLOOKUP($E$3,'Housing Generation'!$A$3:$DQ$90,110,FALSE)</f>
        <v>5</v>
      </c>
      <c r="H133" s="112">
        <f>VLOOKUP($E$3,'Housing Generation'!$A$3:$DQ$90,111,FALSE)</f>
        <v>5</v>
      </c>
      <c r="I133" s="112">
        <f>VLOOKUP($E$3,'Housing Generation'!$A$3:$DQ$90,112,FALSE)</f>
        <v>4</v>
      </c>
      <c r="J133" s="111">
        <f t="shared" si="21"/>
        <v>29</v>
      </c>
    </row>
    <row r="134" spans="2:10" ht="15" customHeight="1">
      <c r="B134" s="114">
        <v>2032</v>
      </c>
      <c r="C134" s="289" t="s">
        <v>97</v>
      </c>
      <c r="D134" s="112">
        <f>VLOOKUP($E$3,'Housing Generation'!$A$3:$DQ$90,115,FALSE)</f>
        <v>5</v>
      </c>
      <c r="E134" s="112">
        <f>VLOOKUP($E$3,'Housing Generation'!$A$3:$DQ$90,116,FALSE)</f>
        <v>5</v>
      </c>
      <c r="F134" s="112">
        <f>VLOOKUP($E$3,'Housing Generation'!$A$3:$DQ$90,117,FALSE)</f>
        <v>5</v>
      </c>
      <c r="G134" s="112">
        <f>VLOOKUP($E$3,'Housing Generation'!$A$3:$DQ$90,118,FALSE)</f>
        <v>5</v>
      </c>
      <c r="H134" s="112">
        <f>VLOOKUP($E$3,'Housing Generation'!$A$3:$DQ$90,119,FALSE)</f>
        <v>5</v>
      </c>
      <c r="I134" s="112">
        <f>VLOOKUP($E$3,'Housing Generation'!$A$3:$DQ$90,120,FALSE)</f>
        <v>4</v>
      </c>
      <c r="J134" s="111">
        <f t="shared" si="21"/>
        <v>29</v>
      </c>
    </row>
    <row r="135" spans="2:10" ht="15" hidden="1"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St Cuthbert's RC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28.458333333333336</v>
      </c>
      <c r="D139" s="112">
        <f t="shared" ref="D139:I152" si="23">D121+D103</f>
        <v>31</v>
      </c>
      <c r="E139" s="112">
        <f t="shared" si="23"/>
        <v>27</v>
      </c>
      <c r="F139" s="112">
        <f t="shared" si="23"/>
        <v>31</v>
      </c>
      <c r="G139" s="112">
        <f t="shared" si="23"/>
        <v>38</v>
      </c>
      <c r="H139" s="112">
        <f t="shared" si="23"/>
        <v>27</v>
      </c>
      <c r="I139" s="112">
        <f t="shared" si="23"/>
        <v>35</v>
      </c>
      <c r="J139" s="111">
        <f t="shared" ref="J139:J147" si="24">SUM(C139:I139)</f>
        <v>217.45833333333334</v>
      </c>
    </row>
    <row r="140" spans="2:10" ht="15" customHeight="1">
      <c r="B140" s="114">
        <v>2020</v>
      </c>
      <c r="C140" s="113">
        <f t="shared" si="22"/>
        <v>27.511494252873565</v>
      </c>
      <c r="D140" s="112">
        <f t="shared" si="23"/>
        <v>28</v>
      </c>
      <c r="E140" s="112">
        <f t="shared" si="23"/>
        <v>33</v>
      </c>
      <c r="F140" s="112">
        <f t="shared" si="23"/>
        <v>29</v>
      </c>
      <c r="G140" s="112">
        <f t="shared" si="23"/>
        <v>33</v>
      </c>
      <c r="H140" s="112">
        <f t="shared" si="23"/>
        <v>37</v>
      </c>
      <c r="I140" s="112">
        <f t="shared" si="23"/>
        <v>27</v>
      </c>
      <c r="J140" s="111">
        <f t="shared" si="24"/>
        <v>214.51149425287355</v>
      </c>
    </row>
    <row r="141" spans="2:10" ht="15" customHeight="1">
      <c r="B141" s="114">
        <v>2021</v>
      </c>
      <c r="C141" s="113">
        <f t="shared" si="22"/>
        <v>25</v>
      </c>
      <c r="D141" s="112">
        <f t="shared" si="23"/>
        <v>28</v>
      </c>
      <c r="E141" s="112">
        <f t="shared" si="23"/>
        <v>31</v>
      </c>
      <c r="F141" s="112">
        <f t="shared" si="23"/>
        <v>36</v>
      </c>
      <c r="G141" s="112">
        <f t="shared" si="23"/>
        <v>31</v>
      </c>
      <c r="H141" s="112">
        <f t="shared" si="23"/>
        <v>31</v>
      </c>
      <c r="I141" s="112">
        <f t="shared" si="23"/>
        <v>36</v>
      </c>
      <c r="J141" s="111">
        <f t="shared" si="24"/>
        <v>218</v>
      </c>
    </row>
    <row r="142" spans="2:10" ht="15" customHeight="1">
      <c r="B142" s="114">
        <v>2022</v>
      </c>
      <c r="C142" s="113">
        <f t="shared" si="22"/>
        <v>25</v>
      </c>
      <c r="D142" s="112">
        <f t="shared" si="23"/>
        <v>25</v>
      </c>
      <c r="E142" s="112">
        <f t="shared" si="23"/>
        <v>30</v>
      </c>
      <c r="F142" s="112">
        <f t="shared" si="23"/>
        <v>33</v>
      </c>
      <c r="G142" s="112">
        <f t="shared" si="23"/>
        <v>38</v>
      </c>
      <c r="H142" s="112">
        <f t="shared" si="23"/>
        <v>30</v>
      </c>
      <c r="I142" s="112">
        <f t="shared" si="23"/>
        <v>31</v>
      </c>
      <c r="J142" s="111">
        <f t="shared" si="24"/>
        <v>212</v>
      </c>
    </row>
    <row r="143" spans="2:10" ht="15" customHeight="1">
      <c r="B143" s="114">
        <v>2023</v>
      </c>
      <c r="C143" s="113">
        <f t="shared" si="22"/>
        <v>27.511494252873565</v>
      </c>
      <c r="D143" s="112">
        <f t="shared" si="23"/>
        <v>25</v>
      </c>
      <c r="E143" s="112">
        <f t="shared" si="23"/>
        <v>26</v>
      </c>
      <c r="F143" s="112">
        <f t="shared" si="23"/>
        <v>33</v>
      </c>
      <c r="G143" s="112">
        <f t="shared" si="23"/>
        <v>36</v>
      </c>
      <c r="H143" s="112">
        <f t="shared" si="23"/>
        <v>37</v>
      </c>
      <c r="I143" s="112">
        <f t="shared" si="23"/>
        <v>29</v>
      </c>
      <c r="J143" s="111">
        <f t="shared" si="24"/>
        <v>213.51149425287355</v>
      </c>
    </row>
    <row r="144" spans="2:10" ht="15" customHeight="1">
      <c r="B144" s="114">
        <v>2024</v>
      </c>
      <c r="C144" s="113">
        <f t="shared" si="22"/>
        <v>29.405172413793103</v>
      </c>
      <c r="D144" s="112">
        <f t="shared" si="23"/>
        <v>28</v>
      </c>
      <c r="E144" s="112">
        <f t="shared" si="23"/>
        <v>27</v>
      </c>
      <c r="F144" s="112">
        <f t="shared" si="23"/>
        <v>27</v>
      </c>
      <c r="G144" s="112">
        <f t="shared" si="23"/>
        <v>35</v>
      </c>
      <c r="H144" s="112">
        <f t="shared" si="23"/>
        <v>34</v>
      </c>
      <c r="I144" s="112">
        <f t="shared" si="23"/>
        <v>36</v>
      </c>
      <c r="J144" s="111">
        <f t="shared" si="24"/>
        <v>216.40517241379311</v>
      </c>
    </row>
    <row r="145" spans="2:16" ht="15" customHeight="1">
      <c r="B145" s="114">
        <v>2025</v>
      </c>
      <c r="C145" s="113">
        <f t="shared" si="22"/>
        <v>29.405172413793103</v>
      </c>
      <c r="D145" s="112">
        <f t="shared" si="23"/>
        <v>29</v>
      </c>
      <c r="E145" s="112">
        <f t="shared" si="23"/>
        <v>30</v>
      </c>
      <c r="F145" s="112">
        <f t="shared" si="23"/>
        <v>28</v>
      </c>
      <c r="G145" s="112">
        <f t="shared" si="23"/>
        <v>29</v>
      </c>
      <c r="H145" s="112">
        <f t="shared" si="23"/>
        <v>34</v>
      </c>
      <c r="I145" s="112">
        <f t="shared" si="23"/>
        <v>34</v>
      </c>
      <c r="J145" s="111">
        <f t="shared" si="24"/>
        <v>213.40517241379311</v>
      </c>
    </row>
    <row r="146" spans="2:16" ht="15" customHeight="1">
      <c r="B146" s="114">
        <v>2026</v>
      </c>
      <c r="C146" s="113">
        <f t="shared" si="22"/>
        <v>30</v>
      </c>
      <c r="D146" s="112">
        <f t="shared" si="23"/>
        <v>29</v>
      </c>
      <c r="E146" s="112">
        <f t="shared" si="23"/>
        <v>32</v>
      </c>
      <c r="F146" s="112">
        <f t="shared" si="23"/>
        <v>32</v>
      </c>
      <c r="G146" s="112">
        <f t="shared" si="23"/>
        <v>29</v>
      </c>
      <c r="H146" s="112">
        <f t="shared" si="23"/>
        <v>27</v>
      </c>
      <c r="I146" s="112">
        <f t="shared" si="23"/>
        <v>33</v>
      </c>
      <c r="J146" s="111">
        <f t="shared" si="24"/>
        <v>212</v>
      </c>
    </row>
    <row r="147" spans="2:16" ht="15" customHeight="1">
      <c r="B147" s="114">
        <v>2027</v>
      </c>
      <c r="C147" s="113">
        <f t="shared" si="22"/>
        <v>31.298850574712645</v>
      </c>
      <c r="D147" s="112">
        <f t="shared" si="23"/>
        <v>30</v>
      </c>
      <c r="E147" s="112">
        <f t="shared" si="23"/>
        <v>31</v>
      </c>
      <c r="F147" s="112">
        <f t="shared" si="23"/>
        <v>34</v>
      </c>
      <c r="G147" s="112">
        <f t="shared" si="23"/>
        <v>35</v>
      </c>
      <c r="H147" s="112">
        <f t="shared" si="23"/>
        <v>27</v>
      </c>
      <c r="I147" s="112">
        <f t="shared" si="23"/>
        <v>26</v>
      </c>
      <c r="J147" s="111">
        <f t="shared" si="24"/>
        <v>214.29885057471265</v>
      </c>
    </row>
    <row r="148" spans="2:16" ht="15" customHeight="1">
      <c r="B148" s="114">
        <v>2028</v>
      </c>
      <c r="C148" s="113">
        <f t="shared" si="22"/>
        <v>31.298850574712645</v>
      </c>
      <c r="D148" s="112">
        <f t="shared" si="23"/>
        <v>31</v>
      </c>
      <c r="E148" s="112">
        <f t="shared" si="23"/>
        <v>32</v>
      </c>
      <c r="F148" s="112">
        <f t="shared" si="23"/>
        <v>33</v>
      </c>
      <c r="G148" s="112">
        <f t="shared" si="23"/>
        <v>36</v>
      </c>
      <c r="H148" s="112">
        <f t="shared" si="23"/>
        <v>33</v>
      </c>
      <c r="I148" s="112">
        <f t="shared" si="23"/>
        <v>26</v>
      </c>
      <c r="J148" s="111">
        <f t="shared" ref="J148:J152" si="25">SUM(C148:I148)</f>
        <v>222.29885057471265</v>
      </c>
    </row>
    <row r="149" spans="2:16" ht="15" customHeight="1">
      <c r="B149" s="114">
        <v>2029</v>
      </c>
      <c r="C149" s="113">
        <f t="shared" si="22"/>
        <v>31.298850574712645</v>
      </c>
      <c r="D149" s="112">
        <f t="shared" si="23"/>
        <v>31</v>
      </c>
      <c r="E149" s="112">
        <f t="shared" si="23"/>
        <v>33</v>
      </c>
      <c r="F149" s="112">
        <f t="shared" si="23"/>
        <v>34</v>
      </c>
      <c r="G149" s="112">
        <f t="shared" si="23"/>
        <v>35</v>
      </c>
      <c r="H149" s="112">
        <f t="shared" si="23"/>
        <v>34</v>
      </c>
      <c r="I149" s="112">
        <f t="shared" si="23"/>
        <v>31</v>
      </c>
      <c r="J149" s="111">
        <f t="shared" si="25"/>
        <v>229.29885057471265</v>
      </c>
    </row>
    <row r="150" spans="2:16" ht="15" customHeight="1">
      <c r="B150" s="114">
        <v>2030</v>
      </c>
      <c r="C150" s="113">
        <f t="shared" si="22"/>
        <v>31.298850574712645</v>
      </c>
      <c r="D150" s="112">
        <f t="shared" si="23"/>
        <v>31</v>
      </c>
      <c r="E150" s="112">
        <f t="shared" si="23"/>
        <v>33</v>
      </c>
      <c r="F150" s="112">
        <f t="shared" si="23"/>
        <v>35</v>
      </c>
      <c r="G150" s="112">
        <f t="shared" si="23"/>
        <v>36</v>
      </c>
      <c r="H150" s="112">
        <f t="shared" si="23"/>
        <v>33</v>
      </c>
      <c r="I150" s="112">
        <f t="shared" si="23"/>
        <v>32</v>
      </c>
      <c r="J150" s="111">
        <f t="shared" si="25"/>
        <v>231.29885057471265</v>
      </c>
    </row>
    <row r="151" spans="2:16" ht="15" customHeight="1">
      <c r="B151" s="114">
        <v>2031</v>
      </c>
      <c r="C151" s="113">
        <f t="shared" si="22"/>
        <v>31.298850574712645</v>
      </c>
      <c r="D151" s="112">
        <f t="shared" si="23"/>
        <v>31</v>
      </c>
      <c r="E151" s="112">
        <f t="shared" si="23"/>
        <v>33</v>
      </c>
      <c r="F151" s="112">
        <f t="shared" si="23"/>
        <v>35</v>
      </c>
      <c r="G151" s="112">
        <f t="shared" si="23"/>
        <v>37</v>
      </c>
      <c r="H151" s="112">
        <f t="shared" si="23"/>
        <v>34</v>
      </c>
      <c r="I151" s="112">
        <f t="shared" si="23"/>
        <v>31</v>
      </c>
      <c r="J151" s="111">
        <f t="shared" si="25"/>
        <v>232.29885057471265</v>
      </c>
    </row>
    <row r="152" spans="2:16" ht="15" customHeight="1">
      <c r="B152" s="114">
        <v>2032</v>
      </c>
      <c r="C152" s="113">
        <f t="shared" si="22"/>
        <v>31.298850574712645</v>
      </c>
      <c r="D152" s="112">
        <f t="shared" si="23"/>
        <v>31</v>
      </c>
      <c r="E152" s="112">
        <f t="shared" si="23"/>
        <v>33</v>
      </c>
      <c r="F152" s="112">
        <f t="shared" si="23"/>
        <v>35</v>
      </c>
      <c r="G152" s="112">
        <f t="shared" si="23"/>
        <v>37</v>
      </c>
      <c r="H152" s="112">
        <f t="shared" si="23"/>
        <v>35</v>
      </c>
      <c r="I152" s="112">
        <f t="shared" si="23"/>
        <v>32</v>
      </c>
      <c r="J152" s="111">
        <f t="shared" si="25"/>
        <v>234.29885057471265</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217.45833333333334</v>
      </c>
      <c r="D159" s="108">
        <f>J140</f>
        <v>214.51149425287355</v>
      </c>
      <c r="E159" s="108">
        <f>J141</f>
        <v>218</v>
      </c>
      <c r="F159" s="108">
        <f>J142</f>
        <v>212</v>
      </c>
      <c r="G159" s="108">
        <f>J143</f>
        <v>213.51149425287355</v>
      </c>
      <c r="H159" s="108">
        <f>J144</f>
        <v>216.40517241379311</v>
      </c>
      <c r="I159" s="108">
        <f>J145</f>
        <v>213.40517241379311</v>
      </c>
      <c r="J159" s="108">
        <f>J146</f>
        <v>212</v>
      </c>
      <c r="K159" s="108">
        <f>J147</f>
        <v>214.29885057471265</v>
      </c>
      <c r="L159" s="108">
        <f>J148</f>
        <v>222.29885057471265</v>
      </c>
      <c r="M159" s="108">
        <f>J149</f>
        <v>229.29885057471265</v>
      </c>
      <c r="N159" s="108">
        <f>J150</f>
        <v>231.29885057471265</v>
      </c>
      <c r="O159" s="108">
        <f>J151</f>
        <v>232.29885057471265</v>
      </c>
      <c r="P159" s="108">
        <f>J152</f>
        <v>234.29885057471265</v>
      </c>
    </row>
    <row r="160" spans="2:16" ht="15" customHeight="1">
      <c r="B160" s="107" t="s">
        <v>152</v>
      </c>
      <c r="C160" s="106">
        <f>VLOOKUP(C159,Capacity!$A$1:$C$645,2,TRUE)</f>
        <v>8</v>
      </c>
      <c r="D160" s="106">
        <f>VLOOKUP(D159,Capacity!$A$1:$C$645,2,TRUE)</f>
        <v>8</v>
      </c>
      <c r="E160" s="106">
        <f>VLOOKUP(E159,Capacity!$A$1:$C$645,2,TRUE)</f>
        <v>9</v>
      </c>
      <c r="F160" s="106">
        <f>VLOOKUP(F159,Capacity!$A$1:$C$645,2,TRUE)</f>
        <v>8</v>
      </c>
      <c r="G160" s="106">
        <f>VLOOKUP(G159,Capacity!$A$1:$C$645,2,TRUE)</f>
        <v>8</v>
      </c>
      <c r="H160" s="106">
        <f>VLOOKUP(H159,Capacity!$A$1:$C$645,2,TRUE)</f>
        <v>8</v>
      </c>
      <c r="I160" s="106">
        <f>VLOOKUP(I159,Capacity!$A$1:$C$645,2,TRUE)</f>
        <v>8</v>
      </c>
      <c r="J160" s="106">
        <f>VLOOKUP(J159,Capacity!$A$1:$C$645,2,TRUE)</f>
        <v>8</v>
      </c>
      <c r="K160" s="106">
        <f>VLOOKUP(K159,Capacity!$A$1:$C$645,2,TRUE)</f>
        <v>8</v>
      </c>
      <c r="L160" s="106">
        <f>VLOOKUP(L159,Capacity!$A$1:$C$645,2,TRUE)</f>
        <v>9</v>
      </c>
      <c r="M160" s="106">
        <f>VLOOKUP(M159,Capacity!$A$1:$C$645,2,TRUE)</f>
        <v>9</v>
      </c>
      <c r="N160" s="106">
        <f>VLOOKUP(N159,Capacity!$A$1:$C$645,2,TRUE)</f>
        <v>9</v>
      </c>
      <c r="O160" s="106">
        <f>VLOOKUP(O159,Capacity!$A$1:$C$645,2,TRUE)</f>
        <v>10</v>
      </c>
      <c r="P160" s="106">
        <f>VLOOKUP(P159,Capacity!$A$1:$C$645,2,TRUE)</f>
        <v>10</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437</v>
      </c>
      <c r="D169" s="97">
        <f>VLOOKUP($E$3,'Catchment Births'!$A$1:$U$90,11,FALSE)</f>
        <v>487</v>
      </c>
      <c r="E169" s="97">
        <f>VLOOKUP($E$3,'Catchment Births'!$A$1:$U$90,12,FALSE)</f>
        <v>536</v>
      </c>
      <c r="F169" s="97">
        <f>VLOOKUP($E$3,'Catchment Births'!$A$1:$U$90,13,FALSE)</f>
        <v>563</v>
      </c>
      <c r="G169" s="97">
        <f>VLOOKUP($E$3,'Catchment Births'!$A$1:$U$90,14,FALSE)</f>
        <v>579</v>
      </c>
      <c r="H169" s="97">
        <f>VLOOKUP($E$3,'Catchment Births'!$A$1:$U$90,15,FALSE)</f>
        <v>591</v>
      </c>
      <c r="I169" s="97">
        <f>VLOOKUP($E$3,'Catchment Births'!$A$1:$U$90,16,FALSE)</f>
        <v>633</v>
      </c>
      <c r="J169" s="97">
        <f>VLOOKUP($E$3,'Catchment Births'!$A$1:$U$90,17,FALSE)</f>
        <v>596</v>
      </c>
      <c r="K169" s="97">
        <f>VLOOKUP($E$3,'Catchment Births'!$A$1:$U$90,18,FALSE)</f>
        <v>659</v>
      </c>
      <c r="L169" s="97">
        <f>VLOOKUP($E$3,'Catchment Births'!$A$1:$U$90,19,FALSE)</f>
        <v>575</v>
      </c>
      <c r="M169" s="97">
        <f>VLOOKUP($E$3,'Catchment Births'!$A$1:$U$90,20,FALSE)</f>
        <v>616</v>
      </c>
      <c r="N169" s="97">
        <f>VLOOKUP($E$3,'Catchment Births'!$A$1:$U$90,21,FALSE)</f>
        <v>597</v>
      </c>
    </row>
    <row r="170" spans="2:14" ht="58.5" customHeight="1">
      <c r="B170" s="103" t="str">
        <f>"P1 "&amp;A35&amp;" Catchment Population (Actual)"</f>
        <v>P1 RC Catchment Population (Actual)</v>
      </c>
      <c r="C170" s="102" t="e">
        <v>#REF!</v>
      </c>
      <c r="D170" s="102">
        <v>23</v>
      </c>
      <c r="E170" s="102">
        <v>25</v>
      </c>
      <c r="F170" s="102">
        <v>22</v>
      </c>
      <c r="G170" s="102">
        <v>28</v>
      </c>
      <c r="H170" s="102">
        <v>26</v>
      </c>
      <c r="I170" s="102">
        <v>28</v>
      </c>
      <c r="J170" s="308">
        <f>VLOOKUP(E3,'Catchment Projections'!A1:BU92,42,FALSE)</f>
        <v>32</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180</v>
      </c>
      <c r="C172" s="99"/>
      <c r="D172" s="98"/>
      <c r="E172" s="98"/>
      <c r="F172" s="98"/>
      <c r="G172" s="97"/>
      <c r="H172" s="96"/>
      <c r="I172" s="96">
        <f>I170</f>
        <v>28</v>
      </c>
      <c r="J172" s="96" t="e">
        <f>#REF!</f>
        <v>#REF!</v>
      </c>
      <c r="K172" s="96">
        <f>D51</f>
        <v>29</v>
      </c>
      <c r="L172" s="96">
        <f>E51</f>
        <v>28</v>
      </c>
      <c r="M172" s="96">
        <f>F51</f>
        <v>27</v>
      </c>
      <c r="N172" s="96">
        <f>G51</f>
        <v>27</v>
      </c>
    </row>
    <row r="173" spans="2:14" ht="12.75">
      <c r="B173" s="62"/>
      <c r="C173" s="62"/>
      <c r="D173" s="62"/>
      <c r="E173" s="62"/>
      <c r="F173" s="62"/>
      <c r="G173" s="62"/>
      <c r="H173" s="62"/>
      <c r="I173" s="62"/>
      <c r="J173" s="62"/>
      <c r="K173" s="62"/>
    </row>
    <row r="174" spans="2:14" ht="15" customHeight="1">
      <c r="B174" s="64" t="str">
        <f>"Table 5: "&amp;E3&amp;" Roll by Stage, 2002-2018"</f>
        <v>Table 5: St Cuthbert's RC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24</v>
      </c>
      <c r="D177" s="93">
        <v>30</v>
      </c>
      <c r="E177" s="93">
        <v>25</v>
      </c>
      <c r="F177" s="93">
        <v>22</v>
      </c>
      <c r="G177" s="93">
        <v>28</v>
      </c>
      <c r="H177" s="93">
        <v>44</v>
      </c>
      <c r="I177" s="93">
        <v>31</v>
      </c>
      <c r="J177" s="92">
        <v>204</v>
      </c>
      <c r="K177" s="62"/>
    </row>
    <row r="178" spans="2:11" ht="15" customHeight="1">
      <c r="B178" s="94">
        <v>2003</v>
      </c>
      <c r="C178" s="93">
        <v>29</v>
      </c>
      <c r="D178" s="93">
        <v>25</v>
      </c>
      <c r="E178" s="93">
        <v>31</v>
      </c>
      <c r="F178" s="93">
        <v>22</v>
      </c>
      <c r="G178" s="93">
        <v>22</v>
      </c>
      <c r="H178" s="93">
        <v>28</v>
      </c>
      <c r="I178" s="93">
        <v>40</v>
      </c>
      <c r="J178" s="92">
        <v>197</v>
      </c>
      <c r="K178" s="62"/>
    </row>
    <row r="179" spans="2:11" customFormat="1" ht="15" customHeight="1">
      <c r="B179" s="94">
        <v>2004</v>
      </c>
      <c r="C179" s="95">
        <v>21</v>
      </c>
      <c r="D179" s="95">
        <v>30</v>
      </c>
      <c r="E179" s="95">
        <v>23</v>
      </c>
      <c r="F179" s="95">
        <v>31</v>
      </c>
      <c r="G179" s="95">
        <v>25</v>
      </c>
      <c r="H179" s="95">
        <v>22</v>
      </c>
      <c r="I179" s="95">
        <v>25</v>
      </c>
      <c r="J179" s="92">
        <v>177</v>
      </c>
      <c r="K179" s="62"/>
    </row>
    <row r="180" spans="2:11" customFormat="1" ht="15" customHeight="1">
      <c r="B180" s="94">
        <v>2005</v>
      </c>
      <c r="C180" s="93">
        <v>25</v>
      </c>
      <c r="D180" s="93">
        <v>21</v>
      </c>
      <c r="E180" s="93">
        <v>31</v>
      </c>
      <c r="F180" s="93">
        <v>21</v>
      </c>
      <c r="G180" s="93">
        <v>30</v>
      </c>
      <c r="H180" s="93">
        <v>23</v>
      </c>
      <c r="I180" s="93">
        <v>23</v>
      </c>
      <c r="J180" s="92">
        <v>174</v>
      </c>
      <c r="K180" s="62"/>
    </row>
    <row r="181" spans="2:11" customFormat="1" ht="15" customHeight="1">
      <c r="B181" s="94">
        <v>2006</v>
      </c>
      <c r="C181" s="93">
        <v>21</v>
      </c>
      <c r="D181" s="93">
        <v>23</v>
      </c>
      <c r="E181" s="93">
        <v>19</v>
      </c>
      <c r="F181" s="93">
        <v>29</v>
      </c>
      <c r="G181" s="93">
        <v>19</v>
      </c>
      <c r="H181" s="93">
        <v>30</v>
      </c>
      <c r="I181" s="93">
        <v>23</v>
      </c>
      <c r="J181" s="92">
        <v>164</v>
      </c>
      <c r="K181" s="62"/>
    </row>
    <row r="182" spans="2:11" customFormat="1" ht="15" customHeight="1">
      <c r="B182" s="94">
        <v>2007</v>
      </c>
      <c r="C182" s="93">
        <v>26</v>
      </c>
      <c r="D182" s="93">
        <v>19</v>
      </c>
      <c r="E182" s="93">
        <v>20</v>
      </c>
      <c r="F182" s="93">
        <v>19</v>
      </c>
      <c r="G182" s="93">
        <v>29</v>
      </c>
      <c r="H182" s="93">
        <v>20</v>
      </c>
      <c r="I182" s="93">
        <v>28</v>
      </c>
      <c r="J182" s="92">
        <v>161</v>
      </c>
      <c r="K182" s="62"/>
    </row>
    <row r="183" spans="2:11" customFormat="1" ht="15" customHeight="1">
      <c r="B183" s="94">
        <v>2008</v>
      </c>
      <c r="C183" s="93">
        <v>25</v>
      </c>
      <c r="D183" s="93">
        <v>22</v>
      </c>
      <c r="E183" s="93">
        <v>21</v>
      </c>
      <c r="F183" s="93">
        <v>17</v>
      </c>
      <c r="G183" s="93">
        <v>18</v>
      </c>
      <c r="H183" s="93">
        <v>31</v>
      </c>
      <c r="I183" s="93">
        <v>20</v>
      </c>
      <c r="J183" s="92">
        <v>154</v>
      </c>
      <c r="K183" s="62"/>
    </row>
    <row r="184" spans="2:11" customFormat="1" ht="15" customHeight="1">
      <c r="B184" s="94">
        <v>2009</v>
      </c>
      <c r="C184" s="93">
        <v>23</v>
      </c>
      <c r="D184" s="93">
        <v>25</v>
      </c>
      <c r="E184" s="93">
        <v>19</v>
      </c>
      <c r="F184" s="93">
        <v>17</v>
      </c>
      <c r="G184" s="93">
        <v>17</v>
      </c>
      <c r="H184" s="93">
        <v>16</v>
      </c>
      <c r="I184" s="93">
        <v>29</v>
      </c>
      <c r="J184" s="94">
        <v>146</v>
      </c>
      <c r="K184" s="62"/>
    </row>
    <row r="185" spans="2:11" customFormat="1" ht="15" customHeight="1">
      <c r="B185" s="94">
        <v>2010</v>
      </c>
      <c r="C185" s="93">
        <v>27</v>
      </c>
      <c r="D185" s="93">
        <v>24</v>
      </c>
      <c r="E185" s="93">
        <v>24</v>
      </c>
      <c r="F185" s="93">
        <v>21</v>
      </c>
      <c r="G185" s="93">
        <v>17</v>
      </c>
      <c r="H185" s="93">
        <v>19</v>
      </c>
      <c r="I185" s="93">
        <v>17</v>
      </c>
      <c r="J185" s="92">
        <v>149</v>
      </c>
      <c r="K185" s="62"/>
    </row>
    <row r="186" spans="2:11" customFormat="1" ht="15" customHeight="1">
      <c r="B186" s="94">
        <v>2011</v>
      </c>
      <c r="C186" s="93">
        <v>25</v>
      </c>
      <c r="D186" s="93">
        <v>25</v>
      </c>
      <c r="E186" s="93">
        <v>23</v>
      </c>
      <c r="F186" s="93">
        <v>22</v>
      </c>
      <c r="G186" s="93">
        <v>19</v>
      </c>
      <c r="H186" s="93">
        <v>16</v>
      </c>
      <c r="I186" s="93">
        <v>16</v>
      </c>
      <c r="J186" s="92">
        <v>146</v>
      </c>
      <c r="K186" s="62"/>
    </row>
    <row r="187" spans="2:11" customFormat="1" ht="15" customHeight="1">
      <c r="B187" s="94">
        <v>2012</v>
      </c>
      <c r="C187" s="93">
        <v>24</v>
      </c>
      <c r="D187" s="93">
        <v>25</v>
      </c>
      <c r="E187" s="93">
        <v>24</v>
      </c>
      <c r="F187" s="93">
        <v>21</v>
      </c>
      <c r="G187" s="93">
        <v>22</v>
      </c>
      <c r="H187" s="93">
        <v>23</v>
      </c>
      <c r="I187" s="93">
        <v>14</v>
      </c>
      <c r="J187" s="92">
        <v>153</v>
      </c>
      <c r="K187" s="62"/>
    </row>
    <row r="188" spans="2:11" customFormat="1" ht="15" customHeight="1">
      <c r="B188" s="94">
        <v>2013</v>
      </c>
      <c r="C188" s="93">
        <v>28</v>
      </c>
      <c r="D188" s="93">
        <v>25</v>
      </c>
      <c r="E188" s="93">
        <v>31</v>
      </c>
      <c r="F188" s="93">
        <v>26</v>
      </c>
      <c r="G188" s="93">
        <v>21</v>
      </c>
      <c r="H188" s="93">
        <v>25</v>
      </c>
      <c r="I188" s="93">
        <v>25</v>
      </c>
      <c r="J188" s="94">
        <v>181</v>
      </c>
      <c r="K188" s="62"/>
    </row>
    <row r="189" spans="2:11" customFormat="1" ht="15" customHeight="1">
      <c r="B189" s="94">
        <v>2014</v>
      </c>
      <c r="C189" s="93">
        <v>25</v>
      </c>
      <c r="D189" s="93">
        <v>33</v>
      </c>
      <c r="E189" s="93">
        <v>30</v>
      </c>
      <c r="F189" s="93">
        <v>28</v>
      </c>
      <c r="G189" s="93">
        <v>28</v>
      </c>
      <c r="H189" s="93">
        <v>19</v>
      </c>
      <c r="I189" s="93">
        <v>24</v>
      </c>
      <c r="J189" s="92">
        <v>187</v>
      </c>
      <c r="K189" s="65"/>
    </row>
    <row r="190" spans="2:11" customFormat="1" ht="15" customHeight="1">
      <c r="B190" s="94">
        <v>2015</v>
      </c>
      <c r="C190" s="93">
        <v>25</v>
      </c>
      <c r="D190" s="93">
        <v>23</v>
      </c>
      <c r="E190" s="93">
        <v>33</v>
      </c>
      <c r="F190" s="93">
        <v>34</v>
      </c>
      <c r="G190" s="93">
        <v>29</v>
      </c>
      <c r="H190" s="93">
        <v>25</v>
      </c>
      <c r="I190" s="93">
        <v>17</v>
      </c>
      <c r="J190" s="92">
        <v>186</v>
      </c>
      <c r="K190" s="65"/>
    </row>
    <row r="191" spans="2:11" customFormat="1" ht="15" customHeight="1">
      <c r="B191" s="94">
        <v>2016</v>
      </c>
      <c r="C191" s="93">
        <v>29</v>
      </c>
      <c r="D191" s="93">
        <v>30</v>
      </c>
      <c r="E191" s="93">
        <v>26</v>
      </c>
      <c r="F191" s="93">
        <v>35</v>
      </c>
      <c r="G191" s="93">
        <v>33</v>
      </c>
      <c r="H191" s="93">
        <v>32</v>
      </c>
      <c r="I191" s="93">
        <v>29</v>
      </c>
      <c r="J191" s="92">
        <v>214</v>
      </c>
      <c r="K191" s="65"/>
    </row>
    <row r="192" spans="2:11" ht="15" customHeight="1">
      <c r="B192" s="94">
        <v>2017</v>
      </c>
      <c r="C192" s="93">
        <f>VLOOKUP($E$3,Rolls!A1:FA90,42,FALSE)</f>
        <v>25</v>
      </c>
      <c r="D192" s="93">
        <f>VLOOKUP($E$3,Rolls!A1:FA90,43,FALSE)</f>
        <v>29</v>
      </c>
      <c r="E192" s="93">
        <f>VLOOKUP($E$3,Rolls!A1:FA90,44,FALSE)</f>
        <v>32</v>
      </c>
      <c r="F192" s="93">
        <f>VLOOKUP($E$3,Rolls!A1:FA90,45,FALSE)</f>
        <v>27</v>
      </c>
      <c r="G192" s="93">
        <f>VLOOKUP($E$3,Rolls!A1:FA90,46,FALSE)</f>
        <v>37</v>
      </c>
      <c r="H192" s="93">
        <f>VLOOKUP($E$3,Rolls!A1:FA90,47,FALSE)</f>
        <v>31</v>
      </c>
      <c r="I192" s="93">
        <f>VLOOKUP($E$3,Rolls!A1:FA90,48,FALSE)</f>
        <v>31</v>
      </c>
      <c r="J192" s="92">
        <f>VLOOKUP($E$3,Rolls!A1:FA90,49,FALSE)</f>
        <v>212</v>
      </c>
      <c r="K192" s="65"/>
    </row>
    <row r="193" spans="2:11" ht="15" customHeight="1">
      <c r="B193" s="94">
        <v>2018</v>
      </c>
      <c r="C193" s="93">
        <f>VLOOKUP($E$3,Rolls!A1:FA90,50,FALSE)</f>
        <v>30</v>
      </c>
      <c r="D193" s="93">
        <f>VLOOKUP($E$3,Rolls!A1:FA90,51,FALSE)</f>
        <v>24</v>
      </c>
      <c r="E193" s="93">
        <f>VLOOKUP($E$3,Rolls!A1:FA90,52,FALSE)</f>
        <v>28</v>
      </c>
      <c r="F193" s="93">
        <f>VLOOKUP($E$3,Rolls!A1:FA90,53,FALSE)</f>
        <v>36</v>
      </c>
      <c r="G193" s="93">
        <f>VLOOKUP($E$3,Rolls!A1:FA90,54,FALSE)</f>
        <v>29</v>
      </c>
      <c r="H193" s="93">
        <f>VLOOKUP($E$3,Rolls!A1:FA90,55,FALSE)</f>
        <v>36</v>
      </c>
      <c r="I193" s="93">
        <f>VLOOKUP($E$3,Rolls!A1:FA90,56,FALSE)</f>
        <v>26</v>
      </c>
      <c r="J193" s="92">
        <f>VLOOKUP($E$3,Rolls!A1:FA90,57,FALSE)</f>
        <v>209</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86</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St David's RC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329 Pupils (13 classes)</v>
      </c>
      <c r="G12" s="16"/>
      <c r="H12" s="16"/>
    </row>
    <row r="13" spans="2:10" ht="15" customHeight="1">
      <c r="C13" s="16"/>
      <c r="D13" s="16"/>
      <c r="E13" s="16"/>
      <c r="F13" s="16"/>
      <c r="G13" s="16"/>
      <c r="H13" s="16"/>
    </row>
    <row r="14" spans="2:10" ht="15" customHeight="1">
      <c r="B14" s="15" t="str">
        <f>"Figure 1: "&amp;E3&amp;" Roll, 2002-2015"</f>
        <v>Figure 1: St David's RC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2010-2020"</f>
        <v>Figure 2: Actual Catchment Births (from 5yrs prior),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St David's RC Primary School</v>
      </c>
      <c r="K34" s="16"/>
    </row>
    <row r="35" spans="1:17" ht="15" customHeight="1">
      <c r="A35" s="1" t="str">
        <f>IF(ISNUMBER(SEARCH("RC",A34)),"RC", "ND")</f>
        <v>RC</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RC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48</v>
      </c>
      <c r="E49" s="108">
        <f>VLOOKUP($E$3,'Catchment Projections'!$A$1:$BU$90,46,FALSE)</f>
        <v>55</v>
      </c>
      <c r="F49" s="108">
        <f>VLOOKUP($E$3,'Catchment Projections'!$A$1:$BU$90,47,FALSE)</f>
        <v>47</v>
      </c>
      <c r="G49" s="108">
        <f>VLOOKUP($E$3,'Catchment Projections'!$A$1:$BU$90,48,FALSE)</f>
        <v>52</v>
      </c>
      <c r="H49" s="133">
        <f>VLOOKUP($E$3,'Catchment Projections'!$A$1:$BU$90,49,FALSE)</f>
        <v>52</v>
      </c>
      <c r="I49" s="133">
        <f>VLOOKUP($E$3,'Catchment Projections'!$A$1:$BU$90,50,FALSE)</f>
        <v>53</v>
      </c>
      <c r="J49" s="133">
        <f>VLOOKUP($E$3,'Catchment Projections'!$A$1:$BU$90,51,FALSE)</f>
        <v>54</v>
      </c>
      <c r="K49" s="133">
        <f>VLOOKUP($E$3,'Catchment Projections'!$A$1:$BU$90,52,FALSE)</f>
        <v>54</v>
      </c>
      <c r="L49" s="133">
        <f>VLOOKUP($E$3,'Catchment Projections'!$A$1:$BU$90,53,FALSE)</f>
        <v>54</v>
      </c>
      <c r="M49" s="133">
        <f>VLOOKUP($E$3,'Catchment Projections'!$A$1:$BU$90,54,FALSE)</f>
        <v>55</v>
      </c>
      <c r="N49" s="133">
        <f>VLOOKUP($E$3,'Catchment Projections'!$A$1:$BU$90,55,FALSE)</f>
        <v>55</v>
      </c>
      <c r="O49" s="133">
        <f>VLOOKUP($E$3,'Catchment Projections'!$A$1:$BU$90,56,FALSE)</f>
        <v>55</v>
      </c>
      <c r="P49" s="133">
        <f>VLOOKUP($E$3,'Catchment Projections'!$A$1:$BU$90,57,FALSE)</f>
        <v>55</v>
      </c>
      <c r="Q49" s="133">
        <f>VLOOKUP($E$3,'Catchment Projections'!$A$1:$BU$90,58,FALSE)</f>
        <v>55</v>
      </c>
    </row>
    <row r="50" spans="2:17" ht="15" customHeight="1" thickBot="1">
      <c r="B50" s="410" t="s">
        <v>141</v>
      </c>
      <c r="C50" s="411"/>
      <c r="D50" s="286">
        <f>VLOOKUP(E3,'Housing Generation'!$A$3:$DQ$90,10,FALSE)</f>
        <v>1</v>
      </c>
      <c r="E50" s="286">
        <f>VLOOKUP(E3,'Housing Generation'!$A$3:$DQ$90,18,FALSE)</f>
        <v>1</v>
      </c>
      <c r="F50" s="286">
        <f>VLOOKUP(E3,'Housing Generation'!$A$3:$DQ$90,26,FALSE)</f>
        <v>1</v>
      </c>
      <c r="G50" s="243">
        <f>VLOOKUP(E3,'Housing Generation'!$A$3:$DQ$90,34,FALSE)</f>
        <v>2</v>
      </c>
      <c r="H50" s="133">
        <f>VLOOKUP(E3,'Housing Generation'!$A$3:$DQ$90,42,FALSE)</f>
        <v>2</v>
      </c>
      <c r="I50" s="133">
        <f>VLOOKUP(E3,'Housing Generation'!$A$3:$DQ$90,50,FALSE)</f>
        <v>3</v>
      </c>
      <c r="J50" s="133">
        <f>VLOOKUP(E3,'Housing Generation'!$A$3:$CK$90,58,FALSE)</f>
        <v>4</v>
      </c>
      <c r="K50" s="133">
        <f>VLOOKUP(E3,'Housing Generation'!$A$3:$CK$90,66,FALSE)</f>
        <v>5</v>
      </c>
      <c r="L50" s="133">
        <f>VLOOKUP(E3,'Housing Generation'!$A$3:$DQ$90,74,FALSE)</f>
        <v>5</v>
      </c>
      <c r="M50" s="133">
        <f>VLOOKUP(E3,'Housing Generation'!$A$3:$DQ$90,82,FALSE)</f>
        <v>6</v>
      </c>
      <c r="N50" s="133">
        <f>VLOOKUP(E3,'Housing Generation'!$A$3:$DQ$90,90,FALSE)</f>
        <v>7</v>
      </c>
      <c r="O50" s="133">
        <f>VLOOKUP(E3,'Housing Generation'!$A$3:$DQ$90,98,FALSE)</f>
        <v>7</v>
      </c>
      <c r="P50" s="133">
        <f>VLOOKUP(E3,'Housing Generation'!$A$3:$DQ$90,106,FALSE)</f>
        <v>8</v>
      </c>
      <c r="Q50" s="133">
        <f>VLOOKUP(E3,'Housing Generation'!$A$3:$DQ$90,114,FALSE)</f>
        <v>8</v>
      </c>
    </row>
    <row r="51" spans="2:17" ht="15" customHeight="1" thickTop="1">
      <c r="B51" s="421" t="s">
        <v>130</v>
      </c>
      <c r="C51" s="422"/>
      <c r="D51" s="47">
        <f t="shared" ref="D51:Q51" si="0">SUM(D49:D50)</f>
        <v>49</v>
      </c>
      <c r="E51" s="47">
        <f t="shared" si="0"/>
        <v>56</v>
      </c>
      <c r="F51" s="80">
        <f t="shared" si="0"/>
        <v>48</v>
      </c>
      <c r="G51" s="244">
        <f t="shared" si="0"/>
        <v>54</v>
      </c>
      <c r="H51" s="71">
        <f t="shared" si="0"/>
        <v>54</v>
      </c>
      <c r="I51" s="71">
        <f t="shared" si="0"/>
        <v>56</v>
      </c>
      <c r="J51" s="71">
        <f t="shared" si="0"/>
        <v>58</v>
      </c>
      <c r="K51" s="71">
        <f t="shared" si="0"/>
        <v>59</v>
      </c>
      <c r="L51" s="71">
        <f t="shared" si="0"/>
        <v>59</v>
      </c>
      <c r="M51" s="71">
        <f t="shared" si="0"/>
        <v>61</v>
      </c>
      <c r="N51" s="71">
        <f t="shared" si="0"/>
        <v>62</v>
      </c>
      <c r="O51" s="71">
        <f t="shared" si="0"/>
        <v>62</v>
      </c>
      <c r="P51" s="71">
        <f t="shared" si="0"/>
        <v>63</v>
      </c>
      <c r="Q51" s="71">
        <f t="shared" si="0"/>
        <v>63</v>
      </c>
    </row>
    <row r="52" spans="2:17" ht="15" customHeight="1">
      <c r="C52" s="36"/>
      <c r="D52" s="48"/>
      <c r="E52" s="48"/>
      <c r="F52" s="48"/>
      <c r="G52" s="48"/>
      <c r="H52" s="48"/>
    </row>
    <row r="53" spans="2:17" ht="31.5" customHeight="1">
      <c r="B53" s="423" t="s">
        <v>292</v>
      </c>
      <c r="C53" s="424"/>
      <c r="D53" s="87">
        <v>0</v>
      </c>
      <c r="E53" s="139" t="s">
        <v>181</v>
      </c>
      <c r="F53" s="140">
        <v>47</v>
      </c>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RC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35</v>
      </c>
      <c r="D60" s="358">
        <f>VLOOKUP($E$3,'Catchment Projections'!$A$1:$BZ$90,74,FALSE)</f>
        <v>29</v>
      </c>
      <c r="E60" s="303">
        <f>D60/C60</f>
        <v>0.82857142857142863</v>
      </c>
      <c r="G60" s="132">
        <v>2014</v>
      </c>
      <c r="H60" s="395">
        <f>VLOOKUP($G$60,$B$177:$C$215, 2, FALSE)</f>
        <v>30</v>
      </c>
      <c r="I60" s="120">
        <f>H60-D60</f>
        <v>1</v>
      </c>
      <c r="J60" s="121">
        <f>I60/H60</f>
        <v>3.3333333333333333E-2</v>
      </c>
    </row>
    <row r="61" spans="2:17" ht="15" customHeight="1">
      <c r="B61" s="132">
        <v>2015</v>
      </c>
      <c r="C61" s="359">
        <f>VLOOKUP($E$3,'Catchment Projections'!$A$1:$BZ$90,41,FALSE)</f>
        <v>59</v>
      </c>
      <c r="D61" s="358">
        <f>VLOOKUP($E$3,'Catchment Projections'!$A$1:$BZ$90,75,FALSE)</f>
        <v>50</v>
      </c>
      <c r="E61" s="303">
        <f>D61/C61</f>
        <v>0.84745762711864403</v>
      </c>
      <c r="G61" s="132">
        <v>2015</v>
      </c>
      <c r="H61" s="395">
        <f>VLOOKUP($G$61,$B$177:$C$215, 2, FALSE)</f>
        <v>50</v>
      </c>
      <c r="I61" s="120">
        <f>H61-D61</f>
        <v>0</v>
      </c>
      <c r="J61" s="121">
        <f>I61/H61</f>
        <v>0</v>
      </c>
    </row>
    <row r="62" spans="2:17" ht="15" customHeight="1">
      <c r="B62" s="131">
        <v>2016</v>
      </c>
      <c r="C62" s="359">
        <f>VLOOKUP($E$3,'Catchment Projections'!$A$1:$BZ$90,42,FALSE)</f>
        <v>51</v>
      </c>
      <c r="D62" s="358">
        <f>VLOOKUP($E$3,'Catchment Projections'!$A$1:$BZ$90,76,FALSE)</f>
        <v>47</v>
      </c>
      <c r="E62" s="57">
        <f>D62/C62</f>
        <v>0.92156862745098034</v>
      </c>
      <c r="G62" s="131">
        <v>2016</v>
      </c>
      <c r="H62" s="395">
        <f>VLOOKUP($G$62,$B$177:$C$215, 2, FALSE)</f>
        <v>47</v>
      </c>
      <c r="I62" s="120">
        <f>H62-D62</f>
        <v>0</v>
      </c>
      <c r="J62" s="121">
        <f>I62/H62</f>
        <v>0</v>
      </c>
    </row>
    <row r="63" spans="2:17" ht="15" customHeight="1">
      <c r="B63" s="114">
        <v>2017</v>
      </c>
      <c r="C63" s="359">
        <f>VLOOKUP($E$3,'Catchment Projections'!$A$1:$BZ$90,43,FALSE)</f>
        <v>55</v>
      </c>
      <c r="D63" s="358">
        <f>VLOOKUP($E$3,'Catchment Projections'!$A$1:$BZ$90,77,FALSE)</f>
        <v>55</v>
      </c>
      <c r="E63" s="304">
        <f>D63/C63</f>
        <v>1</v>
      </c>
      <c r="G63" s="114">
        <v>2017</v>
      </c>
      <c r="H63" s="395">
        <f>VLOOKUP($G$63,$B$177:$C$215, 2, FALSE)</f>
        <v>57</v>
      </c>
      <c r="I63" s="120">
        <f>H63-D63</f>
        <v>2</v>
      </c>
      <c r="J63" s="121">
        <f>I63/H63</f>
        <v>3.5087719298245612E-2</v>
      </c>
    </row>
    <row r="64" spans="2:17" ht="15" customHeight="1">
      <c r="B64" s="114">
        <v>2018</v>
      </c>
      <c r="C64" s="359">
        <f>VLOOKUP($E$3,'Catchment Projections'!$A$1:$BZ$90,44,FALSE)</f>
        <v>46</v>
      </c>
      <c r="D64" s="358">
        <f>VLOOKUP($E$3,'Catchment Projections'!$A$1:$BZ$90,78,FALSE)</f>
        <v>44</v>
      </c>
      <c r="E64" s="305">
        <f>D64/C64</f>
        <v>0.95652173913043481</v>
      </c>
      <c r="G64" s="114">
        <v>2018</v>
      </c>
      <c r="H64" s="395">
        <f>VLOOKUP($G$64,$B$177:$C$215, 2, FALSE)</f>
        <v>46</v>
      </c>
      <c r="I64" s="120">
        <f>H64-D64</f>
        <v>2</v>
      </c>
      <c r="J64" s="121">
        <f>I64/H64</f>
        <v>4.3478260869565216E-2</v>
      </c>
    </row>
    <row r="65" spans="2:10" ht="15" customHeight="1">
      <c r="B65" s="412" t="s">
        <v>136</v>
      </c>
      <c r="C65" s="413"/>
      <c r="D65" s="414"/>
      <c r="E65" s="137">
        <f>IF((AVERAGE(E62:E64))="#DIV/0!","n/a",(AVERAGE(E62:E64)))</f>
        <v>0.95936345552713842</v>
      </c>
      <c r="G65" s="415" t="s">
        <v>137</v>
      </c>
      <c r="H65" s="416"/>
      <c r="I65" s="138">
        <f>MEDIAN(I60:I64)</f>
        <v>1</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179</v>
      </c>
      <c r="D69" s="408"/>
      <c r="E69" s="125" t="s">
        <v>158</v>
      </c>
      <c r="F69" s="126" t="s">
        <v>133</v>
      </c>
      <c r="G69" s="124" t="s">
        <v>183</v>
      </c>
      <c r="H69" s="125" t="s">
        <v>138</v>
      </c>
      <c r="I69" s="124" t="s">
        <v>142</v>
      </c>
      <c r="J69" s="123" t="s">
        <v>139</v>
      </c>
    </row>
    <row r="70" spans="2:10" ht="15" customHeight="1">
      <c r="B70" s="114">
        <v>2019</v>
      </c>
      <c r="C70" s="433">
        <f>D51</f>
        <v>49</v>
      </c>
      <c r="D70" s="408"/>
      <c r="E70" s="122">
        <f>E65</f>
        <v>0.95936345552713842</v>
      </c>
      <c r="F70" s="120">
        <f t="shared" ref="F70:F83" si="1">C70*$E$65</f>
        <v>47.008809320829783</v>
      </c>
      <c r="G70" s="118">
        <f>IF(F70&lt;26,25,IF(F70&gt;135,140,IF(F70&gt;130,135,IF(F70&gt;125,130,IF(F70&gt;120,125,IF(F70&gt;115,120,IF(F70&gt;110,115,IF(F70&gt;105,110,IF(F70&gt;100,105,IF(F70&gt;99,100,IF(F70&gt;90,99,IF(F70&gt;75,90,IF(F70&gt;72,75,IF(F70&gt;66,72,IF(F70&gt;60,66,IF(F70&gt;50,60,IF(F70&gt;30,50,IF(F70&gt;25,30,0))))))))))))))))))</f>
        <v>50</v>
      </c>
      <c r="H70" s="119">
        <f t="shared" ref="H70:H83" si="2">G70-F70</f>
        <v>2.9911906791702165</v>
      </c>
      <c r="I70" s="118" t="str">
        <f>IF(I$65&lt;H70, "NO", "YES")</f>
        <v>NO</v>
      </c>
      <c r="J70" s="117">
        <f t="shared" ref="J70:J83" si="3">IF(I70="YES",G70,(MIN((SUM(F70,$I$65)),G70)))</f>
        <v>48.008809320829783</v>
      </c>
    </row>
    <row r="71" spans="2:10" ht="15" customHeight="1">
      <c r="B71" s="114">
        <v>2020</v>
      </c>
      <c r="C71" s="433">
        <f>E51</f>
        <v>56</v>
      </c>
      <c r="D71" s="408"/>
      <c r="E71" s="121">
        <f>E65</f>
        <v>0.95936345552713842</v>
      </c>
      <c r="F71" s="120">
        <f t="shared" si="1"/>
        <v>53.724353509519752</v>
      </c>
      <c r="G71" s="118">
        <f t="shared" ref="G71:G83" si="4">IF(F71&lt;26,25,IF(F71&gt;135,140,IF(F71&gt;130,135,IF(F71&gt;125,130,IF(F71&gt;120,125,IF(F71&gt;115,120,IF(F71&gt;110,115,IF(F71&gt;105,110,IF(F71&gt;100,105,IF(F71&gt;99,100,IF(F71&gt;90,99,IF(F71&gt;75,90,IF(F71&gt;72,75,IF(F71&gt;66,72,IF(F71&gt;60,66,IF(F71&gt;50,60,IF(F71&gt;30,50,IF(F71&gt;25,30,0))))))))))))))))))</f>
        <v>60</v>
      </c>
      <c r="H71" s="119">
        <f t="shared" si="2"/>
        <v>6.2756464904802485</v>
      </c>
      <c r="I71" s="118" t="str">
        <f t="shared" ref="I71:I83" si="5">IF(I$65&lt;H71, "NO", "YES")</f>
        <v>NO</v>
      </c>
      <c r="J71" s="117">
        <f t="shared" si="3"/>
        <v>54.724353509519752</v>
      </c>
    </row>
    <row r="72" spans="2:10" ht="15" customHeight="1">
      <c r="B72" s="114">
        <v>2021</v>
      </c>
      <c r="C72" s="430">
        <f>F51</f>
        <v>48</v>
      </c>
      <c r="D72" s="431"/>
      <c r="E72" s="121">
        <f>E65</f>
        <v>0.95936345552713842</v>
      </c>
      <c r="F72" s="120">
        <f t="shared" si="1"/>
        <v>46.049445865302644</v>
      </c>
      <c r="G72" s="118">
        <f t="shared" si="4"/>
        <v>50</v>
      </c>
      <c r="H72" s="119">
        <f t="shared" si="2"/>
        <v>3.9505541346973558</v>
      </c>
      <c r="I72" s="118" t="str">
        <f t="shared" si="5"/>
        <v>NO</v>
      </c>
      <c r="J72" s="117">
        <f t="shared" si="3"/>
        <v>47.049445865302644</v>
      </c>
    </row>
    <row r="73" spans="2:10" ht="15" customHeight="1">
      <c r="B73" s="114">
        <v>2022</v>
      </c>
      <c r="C73" s="430">
        <f>G51</f>
        <v>54</v>
      </c>
      <c r="D73" s="431"/>
      <c r="E73" s="121">
        <f>E65</f>
        <v>0.95936345552713842</v>
      </c>
      <c r="F73" s="120">
        <f t="shared" si="1"/>
        <v>51.805626598465473</v>
      </c>
      <c r="G73" s="118">
        <f t="shared" si="4"/>
        <v>60</v>
      </c>
      <c r="H73" s="119">
        <f t="shared" si="2"/>
        <v>8.1943734015345271</v>
      </c>
      <c r="I73" s="118" t="str">
        <f t="shared" si="5"/>
        <v>NO</v>
      </c>
      <c r="J73" s="117">
        <f t="shared" si="3"/>
        <v>52.805626598465473</v>
      </c>
    </row>
    <row r="74" spans="2:10" ht="15" customHeight="1">
      <c r="B74" s="114">
        <v>2023</v>
      </c>
      <c r="C74" s="430">
        <f>H51</f>
        <v>54</v>
      </c>
      <c r="D74" s="431"/>
      <c r="E74" s="121">
        <f>E65</f>
        <v>0.95936345552713842</v>
      </c>
      <c r="F74" s="120">
        <f t="shared" si="1"/>
        <v>51.805626598465473</v>
      </c>
      <c r="G74" s="118">
        <f t="shared" si="4"/>
        <v>60</v>
      </c>
      <c r="H74" s="119">
        <f t="shared" si="2"/>
        <v>8.1943734015345271</v>
      </c>
      <c r="I74" s="118" t="str">
        <f t="shared" si="5"/>
        <v>NO</v>
      </c>
      <c r="J74" s="117">
        <f t="shared" si="3"/>
        <v>52.805626598465473</v>
      </c>
    </row>
    <row r="75" spans="2:10" ht="15" customHeight="1">
      <c r="B75" s="114">
        <v>2024</v>
      </c>
      <c r="C75" s="430">
        <f>I51</f>
        <v>56</v>
      </c>
      <c r="D75" s="431"/>
      <c r="E75" s="121">
        <f>E65</f>
        <v>0.95936345552713842</v>
      </c>
      <c r="F75" s="120">
        <f t="shared" si="1"/>
        <v>53.724353509519752</v>
      </c>
      <c r="G75" s="118">
        <f t="shared" si="4"/>
        <v>60</v>
      </c>
      <c r="H75" s="119">
        <f t="shared" si="2"/>
        <v>6.2756464904802485</v>
      </c>
      <c r="I75" s="118" t="str">
        <f t="shared" si="5"/>
        <v>NO</v>
      </c>
      <c r="J75" s="117">
        <f t="shared" si="3"/>
        <v>54.724353509519752</v>
      </c>
    </row>
    <row r="76" spans="2:10" ht="15" customHeight="1">
      <c r="B76" s="114">
        <v>2025</v>
      </c>
      <c r="C76" s="430">
        <f>J51</f>
        <v>58</v>
      </c>
      <c r="D76" s="431"/>
      <c r="E76" s="121">
        <f>E65</f>
        <v>0.95936345552713842</v>
      </c>
      <c r="F76" s="120">
        <f t="shared" si="1"/>
        <v>55.64308042057403</v>
      </c>
      <c r="G76" s="118">
        <f t="shared" si="4"/>
        <v>60</v>
      </c>
      <c r="H76" s="119">
        <f t="shared" si="2"/>
        <v>4.3569195794259699</v>
      </c>
      <c r="I76" s="118" t="str">
        <f t="shared" si="5"/>
        <v>NO</v>
      </c>
      <c r="J76" s="117">
        <f t="shared" si="3"/>
        <v>56.64308042057403</v>
      </c>
    </row>
    <row r="77" spans="2:10" ht="15" customHeight="1">
      <c r="B77" s="114">
        <v>2026</v>
      </c>
      <c r="C77" s="430">
        <f>K51</f>
        <v>59</v>
      </c>
      <c r="D77" s="431"/>
      <c r="E77" s="121">
        <f>E65</f>
        <v>0.95936345552713842</v>
      </c>
      <c r="F77" s="120">
        <f t="shared" si="1"/>
        <v>56.602443876101169</v>
      </c>
      <c r="G77" s="118">
        <f t="shared" si="4"/>
        <v>60</v>
      </c>
      <c r="H77" s="119">
        <f t="shared" si="2"/>
        <v>3.3975561238988305</v>
      </c>
      <c r="I77" s="118" t="str">
        <f t="shared" si="5"/>
        <v>NO</v>
      </c>
      <c r="J77" s="117">
        <f t="shared" si="3"/>
        <v>57.602443876101169</v>
      </c>
    </row>
    <row r="78" spans="2:10" ht="15" customHeight="1">
      <c r="B78" s="114">
        <v>2027</v>
      </c>
      <c r="C78" s="430">
        <f>L51</f>
        <v>59</v>
      </c>
      <c r="D78" s="431"/>
      <c r="E78" s="121">
        <f>E65</f>
        <v>0.95936345552713842</v>
      </c>
      <c r="F78" s="120">
        <f t="shared" si="1"/>
        <v>56.602443876101169</v>
      </c>
      <c r="G78" s="118">
        <f t="shared" si="4"/>
        <v>60</v>
      </c>
      <c r="H78" s="119">
        <f t="shared" si="2"/>
        <v>3.3975561238988305</v>
      </c>
      <c r="I78" s="118" t="str">
        <f t="shared" si="5"/>
        <v>NO</v>
      </c>
      <c r="J78" s="117">
        <f t="shared" si="3"/>
        <v>57.602443876101169</v>
      </c>
    </row>
    <row r="79" spans="2:10" ht="15" customHeight="1">
      <c r="B79" s="114">
        <v>2028</v>
      </c>
      <c r="C79" s="430">
        <f>M51</f>
        <v>61</v>
      </c>
      <c r="D79" s="431"/>
      <c r="E79" s="121">
        <f t="shared" ref="E79:E83" si="6">$E$65</f>
        <v>0.95936345552713842</v>
      </c>
      <c r="F79" s="120">
        <f t="shared" si="1"/>
        <v>58.521170787155441</v>
      </c>
      <c r="G79" s="118">
        <f t="shared" si="4"/>
        <v>60</v>
      </c>
      <c r="H79" s="119">
        <f t="shared" si="2"/>
        <v>1.478829212844559</v>
      </c>
      <c r="I79" s="118" t="str">
        <f t="shared" si="5"/>
        <v>NO</v>
      </c>
      <c r="J79" s="117">
        <f t="shared" si="3"/>
        <v>59.521170787155441</v>
      </c>
    </row>
    <row r="80" spans="2:10" ht="15" customHeight="1">
      <c r="B80" s="114">
        <v>2029</v>
      </c>
      <c r="C80" s="430">
        <f>N51</f>
        <v>62</v>
      </c>
      <c r="D80" s="431"/>
      <c r="E80" s="121">
        <f t="shared" si="6"/>
        <v>0.95936345552713842</v>
      </c>
      <c r="F80" s="120">
        <f t="shared" si="1"/>
        <v>59.48053424268258</v>
      </c>
      <c r="G80" s="118">
        <f t="shared" si="4"/>
        <v>60</v>
      </c>
      <c r="H80" s="119">
        <f t="shared" si="2"/>
        <v>0.51946575731741973</v>
      </c>
      <c r="I80" s="118" t="str">
        <f t="shared" si="5"/>
        <v>YES</v>
      </c>
      <c r="J80" s="117">
        <f t="shared" si="3"/>
        <v>60</v>
      </c>
    </row>
    <row r="81" spans="2:10" ht="15" customHeight="1">
      <c r="B81" s="114">
        <v>2030</v>
      </c>
      <c r="C81" s="430">
        <f>O51</f>
        <v>62</v>
      </c>
      <c r="D81" s="431"/>
      <c r="E81" s="121">
        <f t="shared" si="6"/>
        <v>0.95936345552713842</v>
      </c>
      <c r="F81" s="120">
        <f t="shared" si="1"/>
        <v>59.48053424268258</v>
      </c>
      <c r="G81" s="118">
        <f t="shared" si="4"/>
        <v>60</v>
      </c>
      <c r="H81" s="119">
        <f t="shared" si="2"/>
        <v>0.51946575731741973</v>
      </c>
      <c r="I81" s="118" t="str">
        <f t="shared" si="5"/>
        <v>YES</v>
      </c>
      <c r="J81" s="117">
        <f t="shared" si="3"/>
        <v>60</v>
      </c>
    </row>
    <row r="82" spans="2:10" ht="15" customHeight="1">
      <c r="B82" s="114">
        <v>2031</v>
      </c>
      <c r="C82" s="430">
        <f>P51</f>
        <v>63</v>
      </c>
      <c r="D82" s="431"/>
      <c r="E82" s="121">
        <f t="shared" si="6"/>
        <v>0.95936345552713842</v>
      </c>
      <c r="F82" s="120">
        <f t="shared" si="1"/>
        <v>60.43989769820972</v>
      </c>
      <c r="G82" s="118">
        <f t="shared" si="4"/>
        <v>66</v>
      </c>
      <c r="H82" s="119">
        <f t="shared" si="2"/>
        <v>5.5601023017902804</v>
      </c>
      <c r="I82" s="118" t="str">
        <f t="shared" si="5"/>
        <v>NO</v>
      </c>
      <c r="J82" s="117">
        <f t="shared" si="3"/>
        <v>61.43989769820972</v>
      </c>
    </row>
    <row r="83" spans="2:10" ht="15" customHeight="1">
      <c r="B83" s="114">
        <v>2032</v>
      </c>
      <c r="C83" s="430">
        <f>Q51</f>
        <v>63</v>
      </c>
      <c r="D83" s="431"/>
      <c r="E83" s="121">
        <f t="shared" si="6"/>
        <v>0.95936345552713842</v>
      </c>
      <c r="F83" s="120">
        <f t="shared" si="1"/>
        <v>60.43989769820972</v>
      </c>
      <c r="G83" s="118">
        <f t="shared" si="4"/>
        <v>66</v>
      </c>
      <c r="H83" s="119">
        <f t="shared" si="2"/>
        <v>5.5601023017902804</v>
      </c>
      <c r="I83" s="118" t="str">
        <f t="shared" si="5"/>
        <v>NO</v>
      </c>
      <c r="J83" s="117">
        <f t="shared" si="3"/>
        <v>61.43989769820972</v>
      </c>
    </row>
    <row r="84" spans="2:10" ht="15" customHeight="1">
      <c r="C84" s="16"/>
      <c r="D84" s="16"/>
      <c r="E84" s="16"/>
      <c r="F84" s="16"/>
      <c r="G84" s="16"/>
      <c r="H84" s="16"/>
    </row>
    <row r="85" spans="2:10" ht="15" customHeight="1">
      <c r="B85" s="11" t="s">
        <v>186</v>
      </c>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St David's RC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48</v>
      </c>
      <c r="D91" s="112">
        <f t="shared" ref="D91:J91" si="7">D188</f>
        <v>35</v>
      </c>
      <c r="E91" s="112">
        <f t="shared" si="7"/>
        <v>48</v>
      </c>
      <c r="F91" s="112">
        <f t="shared" si="7"/>
        <v>31</v>
      </c>
      <c r="G91" s="112">
        <f t="shared" si="7"/>
        <v>33</v>
      </c>
      <c r="H91" s="112">
        <f t="shared" si="7"/>
        <v>40</v>
      </c>
      <c r="I91" s="112">
        <f t="shared" si="7"/>
        <v>25</v>
      </c>
      <c r="J91" s="213">
        <f t="shared" si="7"/>
        <v>260</v>
      </c>
    </row>
    <row r="92" spans="2:10" ht="15" customHeight="1">
      <c r="B92" s="114">
        <v>2014</v>
      </c>
      <c r="C92" s="112">
        <f>C189</f>
        <v>30</v>
      </c>
      <c r="D92" s="112">
        <f t="shared" ref="D92:J92" si="8">D189</f>
        <v>50</v>
      </c>
      <c r="E92" s="112">
        <f t="shared" si="8"/>
        <v>34</v>
      </c>
      <c r="F92" s="112">
        <f t="shared" si="8"/>
        <v>47</v>
      </c>
      <c r="G92" s="112">
        <f t="shared" si="8"/>
        <v>31</v>
      </c>
      <c r="H92" s="112">
        <f t="shared" si="8"/>
        <v>30</v>
      </c>
      <c r="I92" s="112">
        <f t="shared" si="8"/>
        <v>35</v>
      </c>
      <c r="J92" s="213">
        <f t="shared" si="8"/>
        <v>257</v>
      </c>
    </row>
    <row r="93" spans="2:10" ht="15" customHeight="1">
      <c r="B93" s="114">
        <v>2015</v>
      </c>
      <c r="C93" s="112">
        <f>C190</f>
        <v>50</v>
      </c>
      <c r="D93" s="112">
        <f t="shared" ref="D93:J93" si="9">D190</f>
        <v>28</v>
      </c>
      <c r="E93" s="112">
        <f t="shared" si="9"/>
        <v>48</v>
      </c>
      <c r="F93" s="112">
        <f t="shared" si="9"/>
        <v>36</v>
      </c>
      <c r="G93" s="112">
        <f t="shared" si="9"/>
        <v>44</v>
      </c>
      <c r="H93" s="112">
        <f t="shared" si="9"/>
        <v>33</v>
      </c>
      <c r="I93" s="112">
        <f t="shared" si="9"/>
        <v>29</v>
      </c>
      <c r="J93" s="213">
        <f t="shared" si="9"/>
        <v>268</v>
      </c>
    </row>
    <row r="94" spans="2:10" ht="15" customHeight="1">
      <c r="B94" s="114">
        <v>2016</v>
      </c>
      <c r="C94" s="112">
        <f>C191</f>
        <v>47</v>
      </c>
      <c r="D94" s="112">
        <f t="shared" ref="D94:J94" si="10">D191</f>
        <v>50</v>
      </c>
      <c r="E94" s="112">
        <f t="shared" si="10"/>
        <v>27</v>
      </c>
      <c r="F94" s="112">
        <f t="shared" si="10"/>
        <v>46</v>
      </c>
      <c r="G94" s="112">
        <f t="shared" si="10"/>
        <v>37</v>
      </c>
      <c r="H94" s="112">
        <f t="shared" si="10"/>
        <v>41</v>
      </c>
      <c r="I94" s="112">
        <f t="shared" si="10"/>
        <v>32</v>
      </c>
      <c r="J94" s="213">
        <f t="shared" si="10"/>
        <v>280</v>
      </c>
    </row>
    <row r="95" spans="2:10" ht="15" customHeight="1">
      <c r="B95" s="114">
        <v>2017</v>
      </c>
      <c r="C95" s="112">
        <f>C192</f>
        <v>57</v>
      </c>
      <c r="D95" s="112">
        <f t="shared" ref="D95:J95" si="11">D192</f>
        <v>46</v>
      </c>
      <c r="E95" s="112">
        <f t="shared" si="11"/>
        <v>48</v>
      </c>
      <c r="F95" s="112">
        <f t="shared" si="11"/>
        <v>25</v>
      </c>
      <c r="G95" s="112">
        <f t="shared" si="11"/>
        <v>51</v>
      </c>
      <c r="H95" s="112">
        <f t="shared" si="11"/>
        <v>40</v>
      </c>
      <c r="I95" s="112">
        <f t="shared" si="11"/>
        <v>49</v>
      </c>
      <c r="J95" s="213">
        <f t="shared" si="11"/>
        <v>316</v>
      </c>
    </row>
    <row r="96" spans="2:10" ht="15" customHeight="1">
      <c r="B96" s="307">
        <v>2018</v>
      </c>
      <c r="C96" s="112">
        <f t="shared" ref="C96:J96" si="12">C193</f>
        <v>46</v>
      </c>
      <c r="D96" s="112">
        <f t="shared" si="12"/>
        <v>55</v>
      </c>
      <c r="E96" s="112">
        <f t="shared" si="12"/>
        <v>42</v>
      </c>
      <c r="F96" s="112">
        <f t="shared" si="12"/>
        <v>46</v>
      </c>
      <c r="G96" s="112">
        <f t="shared" si="12"/>
        <v>30</v>
      </c>
      <c r="H96" s="112">
        <f t="shared" si="12"/>
        <v>47</v>
      </c>
      <c r="I96" s="112">
        <f t="shared" si="12"/>
        <v>37</v>
      </c>
      <c r="J96" s="213">
        <f t="shared" si="12"/>
        <v>303</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2.1276595744680851E-2</v>
      </c>
      <c r="E98" s="210">
        <f t="shared" ref="E98:I98" si="13">MEDIAN(((D91-E92)/D91),((D92-E93)/D92),((D93-E94)/D93),((D94-E95)/D94),((D95-E96)/D95))</f>
        <v>0.04</v>
      </c>
      <c r="F98" s="210">
        <f t="shared" si="13"/>
        <v>4.1666666666666664E-2</v>
      </c>
      <c r="G98" s="210">
        <f t="shared" si="13"/>
        <v>-2.7777777777777776E-2</v>
      </c>
      <c r="H98" s="210">
        <f t="shared" si="13"/>
        <v>6.8181818181818177E-2</v>
      </c>
      <c r="I98" s="210">
        <f t="shared" si="13"/>
        <v>3.3333333333333333E-2</v>
      </c>
    </row>
    <row r="99" spans="2:10" ht="18.75">
      <c r="B99" s="59"/>
      <c r="C99" s="60"/>
      <c r="D99" s="61"/>
      <c r="E99" s="61"/>
      <c r="F99" s="61"/>
      <c r="G99" s="61"/>
      <c r="H99" s="61"/>
      <c r="I99" s="61"/>
      <c r="J99" s="58"/>
    </row>
    <row r="100" spans="2:10">
      <c r="B100" s="15" t="str">
        <f>"Table 4B: "&amp;E3&amp;" Projected Roll by Stage (incorporating Projected P1 and Drop-Off Rates), 2019-2032"</f>
        <v>Table 4B: St David's RC Primary School Projected Roll by Stage (incorporating Projected P1 and Drop-Off Rates), 2019-2032</v>
      </c>
      <c r="F100" s="14"/>
      <c r="G100" s="14"/>
    </row>
    <row r="101" spans="2:10" ht="12.75">
      <c r="F101" s="14"/>
      <c r="G101" s="14"/>
    </row>
    <row r="102" spans="2:10">
      <c r="B102" s="115"/>
      <c r="C102" s="109" t="s">
        <v>1</v>
      </c>
      <c r="D102" s="109" t="s">
        <v>2</v>
      </c>
      <c r="E102" s="109" t="s">
        <v>3</v>
      </c>
      <c r="F102" s="109" t="s">
        <v>4</v>
      </c>
      <c r="G102" s="109" t="s">
        <v>5</v>
      </c>
      <c r="H102" s="109" t="s">
        <v>6</v>
      </c>
      <c r="I102" s="109" t="s">
        <v>7</v>
      </c>
      <c r="J102" s="109" t="s">
        <v>8</v>
      </c>
    </row>
    <row r="103" spans="2:10">
      <c r="B103" s="114">
        <v>2019</v>
      </c>
      <c r="C103" s="113">
        <f t="shared" ref="C103:C116" si="14">J70</f>
        <v>48.008809320829783</v>
      </c>
      <c r="D103" s="324">
        <f>ROUND((C96)-(C96*$D$98),0)</f>
        <v>45</v>
      </c>
      <c r="E103" s="324">
        <f>ROUND((D96)-(D96*$E$98),0)</f>
        <v>53</v>
      </c>
      <c r="F103" s="324">
        <f>ROUND((E96)-(E96*$F$98),0)</f>
        <v>40</v>
      </c>
      <c r="G103" s="324">
        <f>ROUND((F96)-(F96*$G$98),0)</f>
        <v>47</v>
      </c>
      <c r="H103" s="324">
        <f>ROUND((G96)-(G96*$H$98),0)</f>
        <v>28</v>
      </c>
      <c r="I103" s="324">
        <f>ROUND((H96)-(H96*$I$98),0)</f>
        <v>45</v>
      </c>
      <c r="J103" s="111">
        <f t="shared" ref="J103:J116" si="15">SUM(C103:I103)</f>
        <v>306.00880932082976</v>
      </c>
    </row>
    <row r="104" spans="2:10">
      <c r="B104" s="114">
        <v>2020</v>
      </c>
      <c r="C104" s="113">
        <f t="shared" si="14"/>
        <v>54.724353509519752</v>
      </c>
      <c r="D104" s="324">
        <f>ROUND((C103-E50)-(C103*$D$98),0)</f>
        <v>46</v>
      </c>
      <c r="E104" s="112">
        <f t="shared" ref="E104:E116" si="16">ROUND((D103)-(D103*$E$98),0)</f>
        <v>43</v>
      </c>
      <c r="F104" s="112">
        <f t="shared" ref="F104:F116" si="17">ROUND((E103)-(E103*$F$98),0)</f>
        <v>51</v>
      </c>
      <c r="G104" s="112">
        <f t="shared" ref="G104:G116" si="18">ROUND((F103)-(F103*$G$98),0)</f>
        <v>41</v>
      </c>
      <c r="H104" s="112">
        <f t="shared" ref="H104:H116" si="19">ROUND((G103)-(G103*$H$98),0)</f>
        <v>44</v>
      </c>
      <c r="I104" s="112">
        <f t="shared" ref="I104:I116" si="20">ROUND((H103)-(H103*$I$98),0)</f>
        <v>27</v>
      </c>
      <c r="J104" s="111">
        <f t="shared" si="15"/>
        <v>306.72435350951974</v>
      </c>
    </row>
    <row r="105" spans="2:10">
      <c r="B105" s="114">
        <v>2021</v>
      </c>
      <c r="C105" s="113">
        <f t="shared" si="14"/>
        <v>47.049445865302644</v>
      </c>
      <c r="D105" s="324">
        <f>ROUND((C104-F50)-(C104*$D$98),0)</f>
        <v>53</v>
      </c>
      <c r="E105" s="112">
        <f t="shared" si="16"/>
        <v>44</v>
      </c>
      <c r="F105" s="112">
        <f t="shared" si="17"/>
        <v>41</v>
      </c>
      <c r="G105" s="112">
        <f t="shared" si="18"/>
        <v>52</v>
      </c>
      <c r="H105" s="112">
        <f t="shared" si="19"/>
        <v>38</v>
      </c>
      <c r="I105" s="112">
        <f t="shared" si="20"/>
        <v>43</v>
      </c>
      <c r="J105" s="111">
        <f t="shared" si="15"/>
        <v>318.04944586530263</v>
      </c>
    </row>
    <row r="106" spans="2:10">
      <c r="B106" s="114">
        <v>2022</v>
      </c>
      <c r="C106" s="113">
        <f t="shared" si="14"/>
        <v>52.805626598465473</v>
      </c>
      <c r="D106" s="324">
        <f>ROUND((C105-G50)-(C105*$D$98),0)</f>
        <v>44</v>
      </c>
      <c r="E106" s="112">
        <f t="shared" si="16"/>
        <v>51</v>
      </c>
      <c r="F106" s="112">
        <f t="shared" si="17"/>
        <v>42</v>
      </c>
      <c r="G106" s="112">
        <f t="shared" si="18"/>
        <v>42</v>
      </c>
      <c r="H106" s="112">
        <f t="shared" si="19"/>
        <v>48</v>
      </c>
      <c r="I106" s="112">
        <f t="shared" si="20"/>
        <v>37</v>
      </c>
      <c r="J106" s="111">
        <f t="shared" si="15"/>
        <v>316.80562659846544</v>
      </c>
    </row>
    <row r="107" spans="2:10">
      <c r="B107" s="114">
        <v>2023</v>
      </c>
      <c r="C107" s="113">
        <f t="shared" si="14"/>
        <v>52.805626598465473</v>
      </c>
      <c r="D107" s="324">
        <f>ROUND((C106-H50)-(C106*$D$98),0)</f>
        <v>50</v>
      </c>
      <c r="E107" s="112">
        <f t="shared" si="16"/>
        <v>42</v>
      </c>
      <c r="F107" s="112">
        <f t="shared" si="17"/>
        <v>49</v>
      </c>
      <c r="G107" s="112">
        <f t="shared" si="18"/>
        <v>43</v>
      </c>
      <c r="H107" s="112">
        <f t="shared" si="19"/>
        <v>39</v>
      </c>
      <c r="I107" s="112">
        <f t="shared" si="20"/>
        <v>46</v>
      </c>
      <c r="J107" s="111">
        <f t="shared" si="15"/>
        <v>321.80562659846544</v>
      </c>
    </row>
    <row r="108" spans="2:10">
      <c r="B108" s="114">
        <v>2024</v>
      </c>
      <c r="C108" s="113">
        <f t="shared" si="14"/>
        <v>54.724353509519752</v>
      </c>
      <c r="D108" s="324">
        <f>ROUND((C107-I50)-(C107*$D$98),0)</f>
        <v>49</v>
      </c>
      <c r="E108" s="112">
        <f t="shared" si="16"/>
        <v>48</v>
      </c>
      <c r="F108" s="112">
        <f t="shared" si="17"/>
        <v>40</v>
      </c>
      <c r="G108" s="112">
        <f t="shared" si="18"/>
        <v>50</v>
      </c>
      <c r="H108" s="112">
        <f t="shared" si="19"/>
        <v>40</v>
      </c>
      <c r="I108" s="112">
        <f t="shared" si="20"/>
        <v>38</v>
      </c>
      <c r="J108" s="111">
        <f t="shared" si="15"/>
        <v>319.72435350951974</v>
      </c>
    </row>
    <row r="109" spans="2:10">
      <c r="B109" s="114">
        <v>2025</v>
      </c>
      <c r="C109" s="113">
        <f t="shared" si="14"/>
        <v>56.64308042057403</v>
      </c>
      <c r="D109" s="324">
        <f>ROUND((C108-J50)-(C108*$D$98),0)</f>
        <v>50</v>
      </c>
      <c r="E109" s="112">
        <f t="shared" si="16"/>
        <v>47</v>
      </c>
      <c r="F109" s="112">
        <f t="shared" si="17"/>
        <v>46</v>
      </c>
      <c r="G109" s="112">
        <f t="shared" si="18"/>
        <v>41</v>
      </c>
      <c r="H109" s="112">
        <f t="shared" si="19"/>
        <v>47</v>
      </c>
      <c r="I109" s="112">
        <f t="shared" si="20"/>
        <v>39</v>
      </c>
      <c r="J109" s="111">
        <f t="shared" si="15"/>
        <v>326.64308042057405</v>
      </c>
    </row>
    <row r="110" spans="2:10">
      <c r="B110" s="114">
        <v>2026</v>
      </c>
      <c r="C110" s="113">
        <f t="shared" si="14"/>
        <v>57.602443876101169</v>
      </c>
      <c r="D110" s="324">
        <f>ROUND((C109-K50)-(C109*$D$98),0)</f>
        <v>50</v>
      </c>
      <c r="E110" s="112">
        <f t="shared" si="16"/>
        <v>48</v>
      </c>
      <c r="F110" s="112">
        <f t="shared" si="17"/>
        <v>45</v>
      </c>
      <c r="G110" s="112">
        <f t="shared" si="18"/>
        <v>47</v>
      </c>
      <c r="H110" s="112">
        <f t="shared" si="19"/>
        <v>38</v>
      </c>
      <c r="I110" s="112">
        <f t="shared" si="20"/>
        <v>45</v>
      </c>
      <c r="J110" s="111">
        <f t="shared" si="15"/>
        <v>330.60244387610118</v>
      </c>
    </row>
    <row r="111" spans="2:10">
      <c r="B111" s="114">
        <v>2027</v>
      </c>
      <c r="C111" s="113">
        <f t="shared" si="14"/>
        <v>57.602443876101169</v>
      </c>
      <c r="D111" s="324">
        <f>ROUND((C110-L50)-(C110*$D$98),0)</f>
        <v>51</v>
      </c>
      <c r="E111" s="112">
        <f t="shared" si="16"/>
        <v>48</v>
      </c>
      <c r="F111" s="112">
        <f t="shared" si="17"/>
        <v>46</v>
      </c>
      <c r="G111" s="112">
        <f t="shared" si="18"/>
        <v>46</v>
      </c>
      <c r="H111" s="112">
        <f t="shared" si="19"/>
        <v>44</v>
      </c>
      <c r="I111" s="112">
        <f t="shared" si="20"/>
        <v>37</v>
      </c>
      <c r="J111" s="111">
        <f t="shared" si="15"/>
        <v>329.60244387610118</v>
      </c>
    </row>
    <row r="112" spans="2:10">
      <c r="B112" s="114">
        <v>2028</v>
      </c>
      <c r="C112" s="113">
        <f t="shared" si="14"/>
        <v>59.521170787155441</v>
      </c>
      <c r="D112" s="324">
        <f>ROUND((C111-M50)-(C111*$D$98),0)</f>
        <v>50</v>
      </c>
      <c r="E112" s="112">
        <f t="shared" si="16"/>
        <v>49</v>
      </c>
      <c r="F112" s="112">
        <f t="shared" si="17"/>
        <v>46</v>
      </c>
      <c r="G112" s="112">
        <f t="shared" si="18"/>
        <v>47</v>
      </c>
      <c r="H112" s="112">
        <f t="shared" si="19"/>
        <v>43</v>
      </c>
      <c r="I112" s="112">
        <f t="shared" si="20"/>
        <v>43</v>
      </c>
      <c r="J112" s="111">
        <f t="shared" si="15"/>
        <v>337.52117078715543</v>
      </c>
    </row>
    <row r="113" spans="2:10" ht="15" customHeight="1">
      <c r="B113" s="114">
        <v>2029</v>
      </c>
      <c r="C113" s="113">
        <f t="shared" si="14"/>
        <v>60</v>
      </c>
      <c r="D113" s="324">
        <f>ROUND((C112-N50)-(C112*$D$98),0)</f>
        <v>51</v>
      </c>
      <c r="E113" s="112">
        <f t="shared" si="16"/>
        <v>48</v>
      </c>
      <c r="F113" s="112">
        <f t="shared" si="17"/>
        <v>47</v>
      </c>
      <c r="G113" s="112">
        <f t="shared" si="18"/>
        <v>47</v>
      </c>
      <c r="H113" s="112">
        <f t="shared" si="19"/>
        <v>44</v>
      </c>
      <c r="I113" s="112">
        <f t="shared" si="20"/>
        <v>42</v>
      </c>
      <c r="J113" s="111">
        <f t="shared" si="15"/>
        <v>339</v>
      </c>
    </row>
    <row r="114" spans="2:10" ht="15" customHeight="1">
      <c r="B114" s="114">
        <v>2030</v>
      </c>
      <c r="C114" s="113">
        <f t="shared" si="14"/>
        <v>60</v>
      </c>
      <c r="D114" s="324">
        <f>ROUND((C113-O50)-(C113*$D$98),0)</f>
        <v>52</v>
      </c>
      <c r="E114" s="112">
        <f t="shared" si="16"/>
        <v>49</v>
      </c>
      <c r="F114" s="112">
        <f t="shared" si="17"/>
        <v>46</v>
      </c>
      <c r="G114" s="112">
        <f t="shared" si="18"/>
        <v>48</v>
      </c>
      <c r="H114" s="112">
        <f t="shared" si="19"/>
        <v>44</v>
      </c>
      <c r="I114" s="112">
        <f t="shared" si="20"/>
        <v>43</v>
      </c>
      <c r="J114" s="111">
        <f t="shared" si="15"/>
        <v>342</v>
      </c>
    </row>
    <row r="115" spans="2:10" ht="15" customHeight="1">
      <c r="B115" s="114">
        <v>2031</v>
      </c>
      <c r="C115" s="113">
        <f t="shared" si="14"/>
        <v>61.43989769820972</v>
      </c>
      <c r="D115" s="324">
        <f>ROUND((C114-P50)-(C114*$D$98),0)</f>
        <v>51</v>
      </c>
      <c r="E115" s="112">
        <f t="shared" si="16"/>
        <v>50</v>
      </c>
      <c r="F115" s="112">
        <f t="shared" si="17"/>
        <v>47</v>
      </c>
      <c r="G115" s="112">
        <f t="shared" si="18"/>
        <v>47</v>
      </c>
      <c r="H115" s="112">
        <f t="shared" si="19"/>
        <v>45</v>
      </c>
      <c r="I115" s="112">
        <f t="shared" si="20"/>
        <v>43</v>
      </c>
      <c r="J115" s="111">
        <f t="shared" si="15"/>
        <v>344.43989769820973</v>
      </c>
    </row>
    <row r="116" spans="2:10" ht="15" customHeight="1">
      <c r="B116" s="114">
        <v>2032</v>
      </c>
      <c r="C116" s="113">
        <f t="shared" si="14"/>
        <v>61.43989769820972</v>
      </c>
      <c r="D116" s="324">
        <f>ROUND((C115-Q50)-(C115*$D$98),0)</f>
        <v>52</v>
      </c>
      <c r="E116" s="112">
        <f t="shared" si="16"/>
        <v>49</v>
      </c>
      <c r="F116" s="112">
        <f t="shared" si="17"/>
        <v>48</v>
      </c>
      <c r="G116" s="112">
        <f t="shared" si="18"/>
        <v>48</v>
      </c>
      <c r="H116" s="112">
        <f t="shared" si="19"/>
        <v>44</v>
      </c>
      <c r="I116" s="112">
        <f t="shared" si="20"/>
        <v>44</v>
      </c>
      <c r="J116" s="111">
        <f t="shared" si="15"/>
        <v>346.43989769820973</v>
      </c>
    </row>
    <row r="117" spans="2:10" ht="15" hidden="1" customHeight="1">
      <c r="F117" s="14"/>
      <c r="G117" s="14"/>
    </row>
    <row r="118" spans="2:10" ht="15" hidden="1" customHeight="1">
      <c r="B118" s="15" t="str">
        <f>"Table 4C: "&amp;E3&amp;" Projected Pupil Generation from Housing Development, 2019-2032"</f>
        <v>Table 4C: St David's RC Primary School Projected Pupil Generation from Housing Development, 2019-2032</v>
      </c>
      <c r="F118" s="14"/>
      <c r="G118" s="14"/>
    </row>
    <row r="119" spans="2:10" ht="15" hidden="1" customHeight="1">
      <c r="F119" s="14"/>
      <c r="G119" s="14"/>
    </row>
    <row r="120" spans="2:10" ht="15" hidden="1" customHeight="1">
      <c r="B120" s="115"/>
      <c r="C120" s="109" t="s">
        <v>1</v>
      </c>
      <c r="D120" s="109" t="s">
        <v>2</v>
      </c>
      <c r="E120" s="109" t="s">
        <v>3</v>
      </c>
      <c r="F120" s="109" t="s">
        <v>4</v>
      </c>
      <c r="G120" s="109" t="s">
        <v>5</v>
      </c>
      <c r="H120" s="109" t="s">
        <v>6</v>
      </c>
      <c r="I120" s="109" t="s">
        <v>7</v>
      </c>
      <c r="J120" s="109" t="s">
        <v>8</v>
      </c>
    </row>
    <row r="121" spans="2:10" ht="15" hidden="1" customHeight="1">
      <c r="B121" s="114">
        <v>2019</v>
      </c>
      <c r="C121" s="116" t="s">
        <v>97</v>
      </c>
      <c r="D121" s="112">
        <f>VLOOKUP($E$3,'Housing Generation'!$A$3:$BE$90,11,FALSE)</f>
        <v>1</v>
      </c>
      <c r="E121" s="112">
        <f>VLOOKUP($E$3,'Housing Generation'!$A$3:$BE$90,12,FALSE)</f>
        <v>1</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2</v>
      </c>
    </row>
    <row r="122" spans="2:10" ht="15" hidden="1" customHeight="1">
      <c r="B122" s="114">
        <v>2020</v>
      </c>
      <c r="C122" s="116" t="s">
        <v>97</v>
      </c>
      <c r="D122" s="112">
        <f>VLOOKUP($E$3,'Housing Generation'!$A$3:$BE$90,19,FALSE)</f>
        <v>1</v>
      </c>
      <c r="E122" s="112">
        <f>VLOOKUP($E$3,'Housing Generation'!$A$3:$BE$90,20,FALSE)</f>
        <v>1</v>
      </c>
      <c r="F122" s="112">
        <f>VLOOKUP($E$3,'Housing Generation'!$A$3:$BE$90,21,FALSE)</f>
        <v>1</v>
      </c>
      <c r="G122" s="112">
        <f>VLOOKUP($E$3,'Housing Generation'!$A$3:$BE$90,22,FALSE)</f>
        <v>0</v>
      </c>
      <c r="H122" s="112">
        <f>VLOOKUP($E$3,'Housing Generation'!$A$3:$BE$90,23,FALSE)</f>
        <v>0</v>
      </c>
      <c r="I122" s="112">
        <f>VLOOKUP($E$3,'Housing Generation'!$A$3:$BE$90,24,FALSE)</f>
        <v>0</v>
      </c>
      <c r="J122" s="111">
        <f t="shared" si="21"/>
        <v>3</v>
      </c>
    </row>
    <row r="123" spans="2:10" ht="15" hidden="1" customHeight="1">
      <c r="B123" s="114">
        <v>2021</v>
      </c>
      <c r="C123" s="116" t="s">
        <v>97</v>
      </c>
      <c r="D123" s="112">
        <f>VLOOKUP($E$3,'Housing Generation'!$A$3:$BE$90,27,FALSE)</f>
        <v>1</v>
      </c>
      <c r="E123" s="112">
        <f>VLOOKUP($E$3,'Housing Generation'!$A$3:$BE$90,28,FALSE)</f>
        <v>1</v>
      </c>
      <c r="F123" s="112">
        <f>VLOOKUP($E$3,'Housing Generation'!$A$3:$BE$90,29,FALSE)</f>
        <v>1</v>
      </c>
      <c r="G123" s="112">
        <f>VLOOKUP($E$3,'Housing Generation'!$A$3:$BE$90,30,FALSE)</f>
        <v>1</v>
      </c>
      <c r="H123" s="112">
        <f>VLOOKUP($E$3,'Housing Generation'!$A$3:$BE$90,31,FALSE)</f>
        <v>1</v>
      </c>
      <c r="I123" s="112">
        <f>VLOOKUP($E$3,'Housing Generation'!$A$3:$BE$90,32,FALSE)</f>
        <v>1</v>
      </c>
      <c r="J123" s="111">
        <f t="shared" si="21"/>
        <v>6</v>
      </c>
    </row>
    <row r="124" spans="2:10" ht="15" hidden="1" customHeight="1">
      <c r="B124" s="114">
        <v>2022</v>
      </c>
      <c r="C124" s="116" t="s">
        <v>97</v>
      </c>
      <c r="D124" s="112">
        <f>VLOOKUP($E$3,'Housing Generation'!$A$3:$BE$90,35,FALSE)</f>
        <v>2</v>
      </c>
      <c r="E124" s="112">
        <f>VLOOKUP($E$3,'Housing Generation'!$A$3:$BE$90,36,FALSE)</f>
        <v>2</v>
      </c>
      <c r="F124" s="112">
        <f>VLOOKUP($E$3,'Housing Generation'!$A$3:$BE$90,37,FALSE)</f>
        <v>2</v>
      </c>
      <c r="G124" s="112">
        <f>VLOOKUP($E$3,'Housing Generation'!$A$3:$BE$90,38,FALSE)</f>
        <v>1</v>
      </c>
      <c r="H124" s="112">
        <f>VLOOKUP($E$3,'Housing Generation'!$A$3:$BE$90,39,FALSE)</f>
        <v>1</v>
      </c>
      <c r="I124" s="112">
        <f>VLOOKUP($E$3,'Housing Generation'!$A$3:$BE$90,40,FALSE)</f>
        <v>1</v>
      </c>
      <c r="J124" s="111">
        <f t="shared" si="21"/>
        <v>9</v>
      </c>
    </row>
    <row r="125" spans="2:10" ht="15" hidden="1" customHeight="1">
      <c r="B125" s="114">
        <v>2023</v>
      </c>
      <c r="C125" s="116" t="s">
        <v>97</v>
      </c>
      <c r="D125" s="112">
        <f>VLOOKUP($E$3,'Housing Generation'!$A$3:$BE$90,43,FALSE)</f>
        <v>2</v>
      </c>
      <c r="E125" s="112">
        <f>VLOOKUP($E$3,'Housing Generation'!$A$3:$BE$90,44,FALSE)</f>
        <v>2</v>
      </c>
      <c r="F125" s="112">
        <f>VLOOKUP($E$3,'Housing Generation'!$A$3:$BE$90,45,FALSE)</f>
        <v>2</v>
      </c>
      <c r="G125" s="112">
        <f>VLOOKUP($E$3,'Housing Generation'!$A$3:$BE$90,46,FALSE)</f>
        <v>2</v>
      </c>
      <c r="H125" s="112">
        <f>VLOOKUP($E$3,'Housing Generation'!$A$3:$BE$90,47,FALSE)</f>
        <v>2</v>
      </c>
      <c r="I125" s="112">
        <f>VLOOKUP($E$3,'Housing Generation'!$A$3:$BE$90,48,FALSE)</f>
        <v>1</v>
      </c>
      <c r="J125" s="111">
        <f t="shared" si="21"/>
        <v>11</v>
      </c>
    </row>
    <row r="126" spans="2:10" ht="15" hidden="1" customHeight="1">
      <c r="B126" s="114">
        <v>2024</v>
      </c>
      <c r="C126" s="116" t="s">
        <v>97</v>
      </c>
      <c r="D126" s="112">
        <f>VLOOKUP($E$3,'Housing Generation'!$A$3:$BE$90,51,FALSE)</f>
        <v>3</v>
      </c>
      <c r="E126" s="112">
        <f>VLOOKUP($E$3,'Housing Generation'!$A$3:$BE$90,52,FALSE)</f>
        <v>3</v>
      </c>
      <c r="F126" s="112">
        <f>VLOOKUP($E$3,'Housing Generation'!$A$3:$BE$90,53,FALSE)</f>
        <v>3</v>
      </c>
      <c r="G126" s="112">
        <f>VLOOKUP($E$3,'Housing Generation'!$A$3:$BE$90,54,FALSE)</f>
        <v>3</v>
      </c>
      <c r="H126" s="112">
        <f>VLOOKUP($E$3,'Housing Generation'!$A$3:$BE$90,55,FALSE)</f>
        <v>2</v>
      </c>
      <c r="I126" s="112">
        <f>VLOOKUP($E$3,'Housing Generation'!$A$3:$BE$90,56,FALSE)</f>
        <v>2</v>
      </c>
      <c r="J126" s="111">
        <f t="shared" si="21"/>
        <v>16</v>
      </c>
    </row>
    <row r="127" spans="2:10" ht="15" hidden="1" customHeight="1">
      <c r="B127" s="114">
        <v>2025</v>
      </c>
      <c r="C127" s="240" t="s">
        <v>97</v>
      </c>
      <c r="D127" s="112">
        <f>VLOOKUP($E$3,'Housing Generation'!$A$3:$CK$90,59,FALSE)</f>
        <v>4</v>
      </c>
      <c r="E127" s="112">
        <f>VLOOKUP($E$3,'Housing Generation'!$A$3:$CK$90,60,FALSE)</f>
        <v>4</v>
      </c>
      <c r="F127" s="112">
        <f>VLOOKUP($E$3,'Housing Generation'!$A$3:$CK$90,61,FALSE)</f>
        <v>3</v>
      </c>
      <c r="G127" s="112">
        <f>VLOOKUP($E$3,'Housing Generation'!$A$3:$CK$90,62,FALSE)</f>
        <v>3</v>
      </c>
      <c r="H127" s="112">
        <f>VLOOKUP($E$3,'Housing Generation'!$A$3:$CK$90,63,FALSE)</f>
        <v>3</v>
      </c>
      <c r="I127" s="112">
        <f>VLOOKUP($E$3,'Housing Generation'!$A$3:$CK$90,64,FALSE)</f>
        <v>3</v>
      </c>
      <c r="J127" s="111">
        <f t="shared" si="21"/>
        <v>20</v>
      </c>
    </row>
    <row r="128" spans="2:10" ht="15" hidden="1" customHeight="1">
      <c r="B128" s="114">
        <v>2026</v>
      </c>
      <c r="C128" s="240" t="s">
        <v>97</v>
      </c>
      <c r="D128" s="112">
        <f>VLOOKUP($E$3,'Housing Generation'!$A$3:$CK$90,67,FALSE)</f>
        <v>4</v>
      </c>
      <c r="E128" s="112">
        <f>VLOOKUP($E$3,'Housing Generation'!$A$3:$CK$90,68,FALSE)</f>
        <v>4</v>
      </c>
      <c r="F128" s="112">
        <f>VLOOKUP($E$3,'Housing Generation'!$A$3:$CK$90,69,FALSE)</f>
        <v>4</v>
      </c>
      <c r="G128" s="112">
        <f>VLOOKUP($E$3,'Housing Generation'!$A$3:$CK$90,70,FALSE)</f>
        <v>4</v>
      </c>
      <c r="H128" s="112">
        <f>VLOOKUP($E$3,'Housing Generation'!$A$3:$CK$90,71,FALSE)</f>
        <v>4</v>
      </c>
      <c r="I128" s="112">
        <f>VLOOKUP($E$3,'Housing Generation'!$A$3:$CK$90,72,FALSE)</f>
        <v>4</v>
      </c>
      <c r="J128" s="111">
        <f t="shared" si="21"/>
        <v>24</v>
      </c>
    </row>
    <row r="129" spans="2:10" ht="15" hidden="1" customHeight="1">
      <c r="B129" s="114">
        <v>2027</v>
      </c>
      <c r="C129" s="240" t="s">
        <v>97</v>
      </c>
      <c r="D129" s="112">
        <f>VLOOKUP($E$3,'Housing Generation'!$A$3:$CK$90,75,FALSE)</f>
        <v>5</v>
      </c>
      <c r="E129" s="112">
        <f>VLOOKUP($E$3,'Housing Generation'!$A$3:$CK$90,76,FALSE)</f>
        <v>5</v>
      </c>
      <c r="F129" s="112">
        <f>VLOOKUP($E$3,'Housing Generation'!$A$3:$CK$90,77,FALSE)</f>
        <v>5</v>
      </c>
      <c r="G129" s="112">
        <f>VLOOKUP($E$3,'Housing Generation'!$A$3:$CK$90,78,FALSE)</f>
        <v>5</v>
      </c>
      <c r="H129" s="112">
        <f>VLOOKUP($E$3,'Housing Generation'!$A$3:$CK$90,79,FALSE)</f>
        <v>5</v>
      </c>
      <c r="I129" s="112">
        <f>VLOOKUP($E$3,'Housing Generation'!$A$3:$CK$90,80,FALSE)</f>
        <v>5</v>
      </c>
      <c r="J129" s="111">
        <f t="shared" si="21"/>
        <v>30</v>
      </c>
    </row>
    <row r="130" spans="2:10" ht="15" customHeight="1">
      <c r="B130" s="114">
        <v>2028</v>
      </c>
      <c r="C130" s="289" t="s">
        <v>97</v>
      </c>
      <c r="D130" s="112">
        <f>VLOOKUP($E$3,'Housing Generation'!$A$3:$CK$90,83,FALSE)</f>
        <v>6</v>
      </c>
      <c r="E130" s="112">
        <f>VLOOKUP($E$3,'Housing Generation'!$A$3:$CK$90,84,FALSE)</f>
        <v>6</v>
      </c>
      <c r="F130" s="112">
        <f>VLOOKUP($E$3,'Housing Generation'!$A$3:$CK$90,85,FALSE)</f>
        <v>6</v>
      </c>
      <c r="G130" s="112">
        <f>VLOOKUP($E$3,'Housing Generation'!$A$3:$CK$90,86,FALSE)</f>
        <v>6</v>
      </c>
      <c r="H130" s="112">
        <f>VLOOKUP($E$3,'Housing Generation'!$A$3:$CK$90,87,FALSE)</f>
        <v>5</v>
      </c>
      <c r="I130" s="112">
        <f>VLOOKUP($E$3,'Housing Generation'!$A$3:$CK$90,88,FALSE)</f>
        <v>5</v>
      </c>
      <c r="J130" s="111">
        <f t="shared" si="21"/>
        <v>34</v>
      </c>
    </row>
    <row r="131" spans="2:10" ht="15" customHeight="1">
      <c r="B131" s="114">
        <v>2029</v>
      </c>
      <c r="C131" s="289" t="s">
        <v>97</v>
      </c>
      <c r="D131" s="112">
        <f>VLOOKUP($E$3,'Housing Generation'!$A$3:$DQ$90,91,FALSE)</f>
        <v>6</v>
      </c>
      <c r="E131" s="112">
        <f>VLOOKUP($E$3,'Housing Generation'!$A$3:$DQ$90,92,FALSE)</f>
        <v>6</v>
      </c>
      <c r="F131" s="112">
        <f>VLOOKUP($E$3,'Housing Generation'!$A$3:$DQ$90,93,FALSE)</f>
        <v>6</v>
      </c>
      <c r="G131" s="112">
        <f>VLOOKUP($E$3,'Housing Generation'!$A$3:$DQ$90,94,FALSE)</f>
        <v>6</v>
      </c>
      <c r="H131" s="112">
        <f>VLOOKUP($E$3,'Housing Generation'!$A$3:$DQ$90,95,FALSE)</f>
        <v>6</v>
      </c>
      <c r="I131" s="112">
        <f>VLOOKUP($E$3,'Housing Generation'!$A$3:$DQ$90,96,FALSE)</f>
        <v>6</v>
      </c>
      <c r="J131" s="111">
        <f t="shared" si="21"/>
        <v>36</v>
      </c>
    </row>
    <row r="132" spans="2:10" ht="15" customHeight="1">
      <c r="B132" s="114">
        <v>2030</v>
      </c>
      <c r="C132" s="289" t="s">
        <v>97</v>
      </c>
      <c r="D132" s="112">
        <f>VLOOKUP($E$3,'Housing Generation'!$A$3:$DQ$90,99,FALSE)</f>
        <v>7</v>
      </c>
      <c r="E132" s="112">
        <f>VLOOKUP($E$3,'Housing Generation'!$A$3:$DQ$90,100,FALSE)</f>
        <v>7</v>
      </c>
      <c r="F132" s="112">
        <f>VLOOKUP($E$3,'Housing Generation'!$A$3:$DQ$90,101,FALSE)</f>
        <v>7</v>
      </c>
      <c r="G132" s="112">
        <f>VLOOKUP($E$3,'Housing Generation'!$A$3:$DQ$90,102,FALSE)</f>
        <v>7</v>
      </c>
      <c r="H132" s="112">
        <f>VLOOKUP($E$3,'Housing Generation'!$A$3:$DQ$90,103,FALSE)</f>
        <v>6</v>
      </c>
      <c r="I132" s="112">
        <f>VLOOKUP($E$3,'Housing Generation'!$A$3:$DQ$90,104,FALSE)</f>
        <v>6</v>
      </c>
      <c r="J132" s="111">
        <f t="shared" si="21"/>
        <v>40</v>
      </c>
    </row>
    <row r="133" spans="2:10" ht="15" customHeight="1">
      <c r="B133" s="114">
        <v>2031</v>
      </c>
      <c r="C133" s="289" t="s">
        <v>97</v>
      </c>
      <c r="D133" s="112">
        <f>VLOOKUP($E$3,'Housing Generation'!$A$3:$DQ$90,107,FALSE)</f>
        <v>7</v>
      </c>
      <c r="E133" s="112">
        <f>VLOOKUP($E$3,'Housing Generation'!$A$3:$DQ$90,108,FALSE)</f>
        <v>7</v>
      </c>
      <c r="F133" s="112">
        <f>VLOOKUP($E$3,'Housing Generation'!$A$3:$DQ$90,109,FALSE)</f>
        <v>7</v>
      </c>
      <c r="G133" s="112">
        <f>VLOOKUP($E$3,'Housing Generation'!$A$3:$DQ$90,110,FALSE)</f>
        <v>7</v>
      </c>
      <c r="H133" s="112">
        <f>VLOOKUP($E$3,'Housing Generation'!$A$3:$DQ$90,111,FALSE)</f>
        <v>7</v>
      </c>
      <c r="I133" s="112">
        <f>VLOOKUP($E$3,'Housing Generation'!$A$3:$DQ$90,112,FALSE)</f>
        <v>7</v>
      </c>
      <c r="J133" s="111">
        <f t="shared" si="21"/>
        <v>42</v>
      </c>
    </row>
    <row r="134" spans="2:10" ht="15" customHeight="1">
      <c r="B134" s="114">
        <v>2032</v>
      </c>
      <c r="C134" s="289" t="s">
        <v>97</v>
      </c>
      <c r="D134" s="112">
        <f>VLOOKUP($E$3,'Housing Generation'!$A$3:$DQ$90,115,FALSE)</f>
        <v>8</v>
      </c>
      <c r="E134" s="112">
        <f>VLOOKUP($E$3,'Housing Generation'!$A$3:$DQ$90,116,FALSE)</f>
        <v>8</v>
      </c>
      <c r="F134" s="112">
        <f>VLOOKUP($E$3,'Housing Generation'!$A$3:$DQ$90,117,FALSE)</f>
        <v>8</v>
      </c>
      <c r="G134" s="112">
        <f>VLOOKUP($E$3,'Housing Generation'!$A$3:$DQ$90,118,FALSE)</f>
        <v>8</v>
      </c>
      <c r="H134" s="112">
        <f>VLOOKUP($E$3,'Housing Generation'!$A$3:$DQ$90,119,FALSE)</f>
        <v>7</v>
      </c>
      <c r="I134" s="112">
        <f>VLOOKUP($E$3,'Housing Generation'!$A$3:$DQ$90,120,FALSE)</f>
        <v>7</v>
      </c>
      <c r="J134" s="111">
        <f t="shared" si="21"/>
        <v>46</v>
      </c>
    </row>
    <row r="135" spans="2:10" ht="15" hidden="1"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St David's RC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48.008809320829783</v>
      </c>
      <c r="D139" s="112">
        <f t="shared" ref="D139:I152" si="23">D121+D103</f>
        <v>46</v>
      </c>
      <c r="E139" s="112">
        <f t="shared" si="23"/>
        <v>54</v>
      </c>
      <c r="F139" s="112">
        <f t="shared" si="23"/>
        <v>40</v>
      </c>
      <c r="G139" s="112">
        <f t="shared" si="23"/>
        <v>47</v>
      </c>
      <c r="H139" s="112">
        <f t="shared" si="23"/>
        <v>28</v>
      </c>
      <c r="I139" s="112">
        <f t="shared" si="23"/>
        <v>45</v>
      </c>
      <c r="J139" s="111">
        <f t="shared" ref="J139:J144" si="24">SUM(C139:I139)</f>
        <v>308.00880932082976</v>
      </c>
    </row>
    <row r="140" spans="2:10" ht="15" customHeight="1">
      <c r="B140" s="114">
        <v>2020</v>
      </c>
      <c r="C140" s="113">
        <f t="shared" si="22"/>
        <v>54.724353509519752</v>
      </c>
      <c r="D140" s="112">
        <f t="shared" si="23"/>
        <v>47</v>
      </c>
      <c r="E140" s="112">
        <f t="shared" si="23"/>
        <v>44</v>
      </c>
      <c r="F140" s="112">
        <f t="shared" si="23"/>
        <v>52</v>
      </c>
      <c r="G140" s="112">
        <f t="shared" si="23"/>
        <v>41</v>
      </c>
      <c r="H140" s="112">
        <f t="shared" si="23"/>
        <v>44</v>
      </c>
      <c r="I140" s="112">
        <f t="shared" si="23"/>
        <v>27</v>
      </c>
      <c r="J140" s="111">
        <f t="shared" si="24"/>
        <v>309.72435350951974</v>
      </c>
    </row>
    <row r="141" spans="2:10" ht="15" customHeight="1">
      <c r="B141" s="114">
        <v>2021</v>
      </c>
      <c r="C141" s="113">
        <f t="shared" si="22"/>
        <v>47.049445865302644</v>
      </c>
      <c r="D141" s="112">
        <f t="shared" si="23"/>
        <v>54</v>
      </c>
      <c r="E141" s="112">
        <f t="shared" si="23"/>
        <v>45</v>
      </c>
      <c r="F141" s="112">
        <f t="shared" si="23"/>
        <v>42</v>
      </c>
      <c r="G141" s="112">
        <f t="shared" si="23"/>
        <v>53</v>
      </c>
      <c r="H141" s="112">
        <f t="shared" si="23"/>
        <v>39</v>
      </c>
      <c r="I141" s="112">
        <f t="shared" si="23"/>
        <v>44</v>
      </c>
      <c r="J141" s="111">
        <f t="shared" si="24"/>
        <v>324.04944586530263</v>
      </c>
    </row>
    <row r="142" spans="2:10" ht="15" customHeight="1">
      <c r="B142" s="114">
        <v>2022</v>
      </c>
      <c r="C142" s="113">
        <f t="shared" si="22"/>
        <v>52.805626598465473</v>
      </c>
      <c r="D142" s="112">
        <f t="shared" si="23"/>
        <v>46</v>
      </c>
      <c r="E142" s="112">
        <f t="shared" si="23"/>
        <v>53</v>
      </c>
      <c r="F142" s="112">
        <f t="shared" si="23"/>
        <v>44</v>
      </c>
      <c r="G142" s="112">
        <f t="shared" si="23"/>
        <v>43</v>
      </c>
      <c r="H142" s="112">
        <f t="shared" si="23"/>
        <v>49</v>
      </c>
      <c r="I142" s="112">
        <f t="shared" si="23"/>
        <v>38</v>
      </c>
      <c r="J142" s="111">
        <f t="shared" si="24"/>
        <v>325.80562659846544</v>
      </c>
    </row>
    <row r="143" spans="2:10" ht="15" customHeight="1">
      <c r="B143" s="114">
        <v>2023</v>
      </c>
      <c r="C143" s="113">
        <f t="shared" si="22"/>
        <v>52.805626598465473</v>
      </c>
      <c r="D143" s="112">
        <f t="shared" si="23"/>
        <v>52</v>
      </c>
      <c r="E143" s="112">
        <f t="shared" si="23"/>
        <v>44</v>
      </c>
      <c r="F143" s="112">
        <f t="shared" si="23"/>
        <v>51</v>
      </c>
      <c r="G143" s="112">
        <f t="shared" si="23"/>
        <v>45</v>
      </c>
      <c r="H143" s="112">
        <f t="shared" si="23"/>
        <v>41</v>
      </c>
      <c r="I143" s="112">
        <f t="shared" si="23"/>
        <v>47</v>
      </c>
      <c r="J143" s="111">
        <f t="shared" si="24"/>
        <v>332.80562659846544</v>
      </c>
    </row>
    <row r="144" spans="2:10" ht="15" customHeight="1">
      <c r="B144" s="114">
        <v>2024</v>
      </c>
      <c r="C144" s="113">
        <f t="shared" si="22"/>
        <v>54.724353509519752</v>
      </c>
      <c r="D144" s="112">
        <f t="shared" si="23"/>
        <v>52</v>
      </c>
      <c r="E144" s="112">
        <f t="shared" si="23"/>
        <v>51</v>
      </c>
      <c r="F144" s="112">
        <f t="shared" si="23"/>
        <v>43</v>
      </c>
      <c r="G144" s="112">
        <f t="shared" si="23"/>
        <v>53</v>
      </c>
      <c r="H144" s="112">
        <f t="shared" si="23"/>
        <v>42</v>
      </c>
      <c r="I144" s="112">
        <f t="shared" si="23"/>
        <v>40</v>
      </c>
      <c r="J144" s="111">
        <f t="shared" si="24"/>
        <v>335.72435350951974</v>
      </c>
    </row>
    <row r="145" spans="2:16" ht="15" customHeight="1">
      <c r="B145" s="114">
        <v>2025</v>
      </c>
      <c r="C145" s="113">
        <f t="shared" si="22"/>
        <v>56.64308042057403</v>
      </c>
      <c r="D145" s="112">
        <f t="shared" si="23"/>
        <v>54</v>
      </c>
      <c r="E145" s="112">
        <f t="shared" si="23"/>
        <v>51</v>
      </c>
      <c r="F145" s="112">
        <f t="shared" si="23"/>
        <v>49</v>
      </c>
      <c r="G145" s="112">
        <f t="shared" si="23"/>
        <v>44</v>
      </c>
      <c r="H145" s="112">
        <f t="shared" si="23"/>
        <v>50</v>
      </c>
      <c r="I145" s="112">
        <f t="shared" si="23"/>
        <v>42</v>
      </c>
      <c r="J145" s="111">
        <f t="shared" ref="J145:J152" si="25">SUM(C145:I145)</f>
        <v>346.64308042057405</v>
      </c>
    </row>
    <row r="146" spans="2:16" ht="15" customHeight="1">
      <c r="B146" s="114">
        <v>2026</v>
      </c>
      <c r="C146" s="113">
        <f t="shared" si="22"/>
        <v>57.602443876101169</v>
      </c>
      <c r="D146" s="112">
        <f t="shared" si="23"/>
        <v>54</v>
      </c>
      <c r="E146" s="112">
        <f t="shared" si="23"/>
        <v>52</v>
      </c>
      <c r="F146" s="112">
        <f t="shared" si="23"/>
        <v>49</v>
      </c>
      <c r="G146" s="112">
        <f t="shared" si="23"/>
        <v>51</v>
      </c>
      <c r="H146" s="112">
        <f t="shared" si="23"/>
        <v>42</v>
      </c>
      <c r="I146" s="112">
        <f t="shared" si="23"/>
        <v>49</v>
      </c>
      <c r="J146" s="111">
        <f t="shared" si="25"/>
        <v>354.60244387610118</v>
      </c>
    </row>
    <row r="147" spans="2:16" ht="15" customHeight="1">
      <c r="B147" s="114">
        <v>2027</v>
      </c>
      <c r="C147" s="113">
        <f t="shared" si="22"/>
        <v>57.602443876101169</v>
      </c>
      <c r="D147" s="112">
        <f t="shared" si="23"/>
        <v>56</v>
      </c>
      <c r="E147" s="112">
        <f t="shared" si="23"/>
        <v>53</v>
      </c>
      <c r="F147" s="112">
        <f t="shared" si="23"/>
        <v>51</v>
      </c>
      <c r="G147" s="112">
        <f t="shared" si="23"/>
        <v>51</v>
      </c>
      <c r="H147" s="112">
        <f t="shared" si="23"/>
        <v>49</v>
      </c>
      <c r="I147" s="112">
        <f t="shared" si="23"/>
        <v>42</v>
      </c>
      <c r="J147" s="111">
        <f t="shared" si="25"/>
        <v>359.60244387610118</v>
      </c>
    </row>
    <row r="148" spans="2:16" ht="15" customHeight="1">
      <c r="B148" s="114">
        <v>2028</v>
      </c>
      <c r="C148" s="113">
        <f t="shared" si="22"/>
        <v>59.521170787155441</v>
      </c>
      <c r="D148" s="112">
        <f t="shared" si="23"/>
        <v>56</v>
      </c>
      <c r="E148" s="112">
        <f t="shared" si="23"/>
        <v>55</v>
      </c>
      <c r="F148" s="112">
        <f t="shared" si="23"/>
        <v>52</v>
      </c>
      <c r="G148" s="112">
        <f t="shared" si="23"/>
        <v>53</v>
      </c>
      <c r="H148" s="112">
        <f t="shared" si="23"/>
        <v>48</v>
      </c>
      <c r="I148" s="112">
        <f t="shared" si="23"/>
        <v>48</v>
      </c>
      <c r="J148" s="111">
        <f t="shared" si="25"/>
        <v>371.52117078715543</v>
      </c>
    </row>
    <row r="149" spans="2:16" ht="15" customHeight="1">
      <c r="B149" s="114">
        <v>2029</v>
      </c>
      <c r="C149" s="113">
        <f t="shared" si="22"/>
        <v>60</v>
      </c>
      <c r="D149" s="112">
        <f t="shared" si="23"/>
        <v>57</v>
      </c>
      <c r="E149" s="112">
        <f t="shared" si="23"/>
        <v>54</v>
      </c>
      <c r="F149" s="112">
        <f t="shared" si="23"/>
        <v>53</v>
      </c>
      <c r="G149" s="112">
        <f t="shared" si="23"/>
        <v>53</v>
      </c>
      <c r="H149" s="112">
        <f t="shared" si="23"/>
        <v>50</v>
      </c>
      <c r="I149" s="112">
        <f t="shared" si="23"/>
        <v>48</v>
      </c>
      <c r="J149" s="111">
        <f t="shared" si="25"/>
        <v>375</v>
      </c>
    </row>
    <row r="150" spans="2:16" ht="15" customHeight="1">
      <c r="B150" s="114">
        <v>2030</v>
      </c>
      <c r="C150" s="113">
        <f t="shared" si="22"/>
        <v>60</v>
      </c>
      <c r="D150" s="112">
        <f t="shared" si="23"/>
        <v>59</v>
      </c>
      <c r="E150" s="112">
        <f t="shared" si="23"/>
        <v>56</v>
      </c>
      <c r="F150" s="112">
        <f t="shared" si="23"/>
        <v>53</v>
      </c>
      <c r="G150" s="112">
        <f t="shared" si="23"/>
        <v>55</v>
      </c>
      <c r="H150" s="112">
        <f t="shared" si="23"/>
        <v>50</v>
      </c>
      <c r="I150" s="112">
        <f t="shared" si="23"/>
        <v>49</v>
      </c>
      <c r="J150" s="111">
        <f t="shared" si="25"/>
        <v>382</v>
      </c>
    </row>
    <row r="151" spans="2:16" ht="15" customHeight="1">
      <c r="B151" s="114">
        <v>2031</v>
      </c>
      <c r="C151" s="113">
        <f t="shared" si="22"/>
        <v>61.43989769820972</v>
      </c>
      <c r="D151" s="112">
        <f t="shared" si="23"/>
        <v>58</v>
      </c>
      <c r="E151" s="112">
        <f t="shared" si="23"/>
        <v>57</v>
      </c>
      <c r="F151" s="112">
        <f t="shared" si="23"/>
        <v>54</v>
      </c>
      <c r="G151" s="112">
        <f t="shared" si="23"/>
        <v>54</v>
      </c>
      <c r="H151" s="112">
        <f t="shared" si="23"/>
        <v>52</v>
      </c>
      <c r="I151" s="112">
        <f t="shared" si="23"/>
        <v>50</v>
      </c>
      <c r="J151" s="111">
        <f t="shared" si="25"/>
        <v>386.43989769820973</v>
      </c>
    </row>
    <row r="152" spans="2:16" ht="15" customHeight="1">
      <c r="B152" s="114">
        <v>2032</v>
      </c>
      <c r="C152" s="113">
        <f t="shared" si="22"/>
        <v>61.43989769820972</v>
      </c>
      <c r="D152" s="112">
        <f t="shared" si="23"/>
        <v>60</v>
      </c>
      <c r="E152" s="112">
        <f t="shared" si="23"/>
        <v>57</v>
      </c>
      <c r="F152" s="112">
        <f t="shared" si="23"/>
        <v>56</v>
      </c>
      <c r="G152" s="112">
        <f t="shared" si="23"/>
        <v>56</v>
      </c>
      <c r="H152" s="112">
        <f t="shared" si="23"/>
        <v>51</v>
      </c>
      <c r="I152" s="112">
        <f t="shared" si="23"/>
        <v>51</v>
      </c>
      <c r="J152" s="111">
        <f t="shared" si="25"/>
        <v>392.43989769820973</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308.00880932082976</v>
      </c>
      <c r="D159" s="108">
        <f>J140</f>
        <v>309.72435350951974</v>
      </c>
      <c r="E159" s="108">
        <f>J141</f>
        <v>324.04944586530263</v>
      </c>
      <c r="F159" s="108">
        <f>J142</f>
        <v>325.80562659846544</v>
      </c>
      <c r="G159" s="108">
        <f>J143</f>
        <v>332.80562659846544</v>
      </c>
      <c r="H159" s="108">
        <f>J144</f>
        <v>335.72435350951974</v>
      </c>
      <c r="I159" s="108">
        <f>J145</f>
        <v>346.64308042057405</v>
      </c>
      <c r="J159" s="108">
        <f>J146</f>
        <v>354.60244387610118</v>
      </c>
      <c r="K159" s="108">
        <f>J147</f>
        <v>359.60244387610118</v>
      </c>
      <c r="L159" s="108">
        <f>J148</f>
        <v>371.52117078715543</v>
      </c>
      <c r="M159" s="108">
        <f>J149</f>
        <v>375</v>
      </c>
      <c r="N159" s="108">
        <f>J150</f>
        <v>382</v>
      </c>
      <c r="O159" s="108">
        <f>J151</f>
        <v>386.43989769820973</v>
      </c>
      <c r="P159" s="108">
        <f>J152</f>
        <v>392.43989769820973</v>
      </c>
    </row>
    <row r="160" spans="2:16" ht="15" customHeight="1">
      <c r="B160" s="107" t="s">
        <v>152</v>
      </c>
      <c r="C160" s="106">
        <f>VLOOKUP(C159,Capacity!$A$1:$C$645,2,TRUE)</f>
        <v>12</v>
      </c>
      <c r="D160" s="106">
        <f>VLOOKUP(D159,Capacity!$A$1:$C$645,2,TRUE)</f>
        <v>12</v>
      </c>
      <c r="E160" s="106">
        <f>VLOOKUP(E159,Capacity!$A$1:$C$645,2,TRUE)</f>
        <v>13</v>
      </c>
      <c r="F160" s="106">
        <f>VLOOKUP(F159,Capacity!$A$1:$C$645,2,TRUE)</f>
        <v>13</v>
      </c>
      <c r="G160" s="106">
        <f>VLOOKUP(G159,Capacity!$A$1:$C$645,2,TRUE)</f>
        <v>14</v>
      </c>
      <c r="H160" s="106">
        <f>VLOOKUP(H159,Capacity!$A$1:$C$645,2,TRUE)</f>
        <v>14</v>
      </c>
      <c r="I160" s="106">
        <f>VLOOKUP(I159,Capacity!$A$1:$C$645,2,TRUE)</f>
        <v>14</v>
      </c>
      <c r="J160" s="106">
        <f>VLOOKUP(J159,Capacity!$A$1:$C$645,2,TRUE)</f>
        <v>14</v>
      </c>
      <c r="K160" s="106">
        <f>VLOOKUP(K159,Capacity!$A$1:$C$645,2,TRUE)</f>
        <v>14</v>
      </c>
      <c r="L160" s="106">
        <f>VLOOKUP(L159,Capacity!$A$1:$C$645,2,TRUE)</f>
        <v>14</v>
      </c>
      <c r="M160" s="106">
        <f>VLOOKUP(M159,Capacity!$A$1:$C$645,2,TRUE)</f>
        <v>14</v>
      </c>
      <c r="N160" s="106">
        <f>VLOOKUP(N159,Capacity!$A$1:$C$645,2,TRUE)</f>
        <v>14</v>
      </c>
      <c r="O160" s="106">
        <f>VLOOKUP(O159,Capacity!$A$1:$C$645,2,TRUE)</f>
        <v>14</v>
      </c>
      <c r="P160" s="106">
        <f>VLOOKUP(P159,Capacity!$A$1:$C$645,2,TRUE)</f>
        <v>14</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293</v>
      </c>
      <c r="D169" s="97">
        <f>VLOOKUP($E$3,'Catchment Births'!$A$1:$U$90,11,FALSE)</f>
        <v>284</v>
      </c>
      <c r="E169" s="97">
        <f>VLOOKUP($E$3,'Catchment Births'!$A$1:$U$90,12,FALSE)</f>
        <v>327</v>
      </c>
      <c r="F169" s="97">
        <f>VLOOKUP($E$3,'Catchment Births'!$A$1:$U$90,13,FALSE)</f>
        <v>315</v>
      </c>
      <c r="G169" s="97">
        <f>VLOOKUP($E$3,'Catchment Births'!$A$1:$U$90,14,FALSE)</f>
        <v>343</v>
      </c>
      <c r="H169" s="97">
        <f>VLOOKUP($E$3,'Catchment Births'!$A$1:$U$90,15,FALSE)</f>
        <v>348</v>
      </c>
      <c r="I169" s="97">
        <f>VLOOKUP($E$3,'Catchment Births'!$A$1:$U$90,16,FALSE)</f>
        <v>337</v>
      </c>
      <c r="J169" s="97">
        <f>VLOOKUP($E$3,'Catchment Births'!$A$1:$U$90,17,FALSE)</f>
        <v>400</v>
      </c>
      <c r="K169" s="97">
        <f>VLOOKUP($E$3,'Catchment Births'!$A$1:$U$90,18,FALSE)</f>
        <v>378</v>
      </c>
      <c r="L169" s="97">
        <f>VLOOKUP($E$3,'Catchment Births'!$A$1:$U$90,19,FALSE)</f>
        <v>383</v>
      </c>
      <c r="M169" s="97">
        <f>VLOOKUP($E$3,'Catchment Births'!$A$1:$U$90,20,FALSE)</f>
        <v>358</v>
      </c>
      <c r="N169" s="97">
        <f>VLOOKUP($E$3,'Catchment Births'!$A$1:$U$90,21,FALSE)</f>
        <v>416</v>
      </c>
    </row>
    <row r="170" spans="2:14" ht="58.5" customHeight="1">
      <c r="B170" s="103" t="str">
        <f>"P1 "&amp;A35&amp;" Catchment Population (Actual)"</f>
        <v>P1 RC Catchment Population (Actual)</v>
      </c>
      <c r="C170" s="102" t="e">
        <v>#REF!</v>
      </c>
      <c r="D170" s="102">
        <v>32</v>
      </c>
      <c r="E170" s="102">
        <v>52</v>
      </c>
      <c r="F170" s="102">
        <v>37</v>
      </c>
      <c r="G170" s="102">
        <v>50</v>
      </c>
      <c r="H170" s="102">
        <v>35</v>
      </c>
      <c r="I170" s="102">
        <v>59</v>
      </c>
      <c r="J170" s="308">
        <f>VLOOKUP(E3,'Catchment Projections'!A1:BU92,42,FALSE)</f>
        <v>51</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180</v>
      </c>
      <c r="C172" s="99"/>
      <c r="D172" s="98"/>
      <c r="E172" s="98"/>
      <c r="F172" s="98"/>
      <c r="G172" s="97"/>
      <c r="H172" s="96"/>
      <c r="I172" s="96">
        <f>I170</f>
        <v>59</v>
      </c>
      <c r="J172" s="96" t="e">
        <f>#REF!</f>
        <v>#REF!</v>
      </c>
      <c r="K172" s="96">
        <f>D51</f>
        <v>49</v>
      </c>
      <c r="L172" s="96">
        <f>E51</f>
        <v>56</v>
      </c>
      <c r="M172" s="96">
        <f>F51</f>
        <v>48</v>
      </c>
      <c r="N172" s="96">
        <f>G51</f>
        <v>54</v>
      </c>
    </row>
    <row r="173" spans="2:14" ht="12.75">
      <c r="B173" s="62"/>
      <c r="C173" s="62"/>
      <c r="D173" s="62"/>
      <c r="E173" s="62"/>
      <c r="F173" s="62"/>
      <c r="G173" s="62"/>
      <c r="H173" s="62"/>
      <c r="I173" s="62"/>
      <c r="J173" s="62"/>
      <c r="K173" s="62"/>
    </row>
    <row r="174" spans="2:14" ht="15" customHeight="1">
      <c r="B174" s="64" t="str">
        <f>"Table 5: "&amp;E3&amp;" Roll by Stage, 2002-2018"</f>
        <v>Table 5: St David's RC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20</v>
      </c>
      <c r="D177" s="93">
        <v>13</v>
      </c>
      <c r="E177" s="93">
        <v>17</v>
      </c>
      <c r="F177" s="93">
        <v>22</v>
      </c>
      <c r="G177" s="93">
        <v>19</v>
      </c>
      <c r="H177" s="93">
        <v>22</v>
      </c>
      <c r="I177" s="93">
        <v>25</v>
      </c>
      <c r="J177" s="92">
        <v>138</v>
      </c>
      <c r="K177" s="62"/>
    </row>
    <row r="178" spans="2:11" ht="15" customHeight="1">
      <c r="B178" s="94">
        <v>2003</v>
      </c>
      <c r="C178" s="93">
        <v>14</v>
      </c>
      <c r="D178" s="93">
        <v>18</v>
      </c>
      <c r="E178" s="93">
        <v>16</v>
      </c>
      <c r="F178" s="93">
        <v>16</v>
      </c>
      <c r="G178" s="93">
        <v>22</v>
      </c>
      <c r="H178" s="93">
        <v>19</v>
      </c>
      <c r="I178" s="93">
        <v>21</v>
      </c>
      <c r="J178" s="92">
        <v>126</v>
      </c>
      <c r="K178" s="62"/>
    </row>
    <row r="179" spans="2:11" customFormat="1" ht="15" customHeight="1">
      <c r="B179" s="94">
        <v>2004</v>
      </c>
      <c r="C179" s="95">
        <v>19</v>
      </c>
      <c r="D179" s="95">
        <v>16</v>
      </c>
      <c r="E179" s="95">
        <v>21</v>
      </c>
      <c r="F179" s="95">
        <v>15</v>
      </c>
      <c r="G179" s="95">
        <v>18</v>
      </c>
      <c r="H179" s="95">
        <v>19</v>
      </c>
      <c r="I179" s="95">
        <v>20</v>
      </c>
      <c r="J179" s="92">
        <v>128</v>
      </c>
      <c r="K179" s="62"/>
    </row>
    <row r="180" spans="2:11" customFormat="1" ht="15" customHeight="1">
      <c r="B180" s="94">
        <v>2005</v>
      </c>
      <c r="C180" s="93">
        <v>18</v>
      </c>
      <c r="D180" s="93">
        <v>22</v>
      </c>
      <c r="E180" s="93">
        <v>17</v>
      </c>
      <c r="F180" s="93">
        <v>22</v>
      </c>
      <c r="G180" s="93">
        <v>19</v>
      </c>
      <c r="H180" s="93">
        <v>16</v>
      </c>
      <c r="I180" s="93">
        <v>23</v>
      </c>
      <c r="J180" s="92">
        <v>137</v>
      </c>
      <c r="K180" s="62"/>
    </row>
    <row r="181" spans="2:11" customFormat="1" ht="15" customHeight="1">
      <c r="B181" s="94">
        <v>2006</v>
      </c>
      <c r="C181" s="93">
        <v>19</v>
      </c>
      <c r="D181" s="93">
        <v>16</v>
      </c>
      <c r="E181" s="93">
        <v>25</v>
      </c>
      <c r="F181" s="93">
        <v>18</v>
      </c>
      <c r="G181" s="93">
        <v>23</v>
      </c>
      <c r="H181" s="93">
        <v>16</v>
      </c>
      <c r="I181" s="93">
        <v>17</v>
      </c>
      <c r="J181" s="92">
        <v>134</v>
      </c>
      <c r="K181" s="62"/>
    </row>
    <row r="182" spans="2:11" customFormat="1" ht="15" customHeight="1">
      <c r="B182" s="94">
        <v>2007</v>
      </c>
      <c r="C182" s="93">
        <v>23</v>
      </c>
      <c r="D182" s="93">
        <v>26</v>
      </c>
      <c r="E182" s="93">
        <v>17</v>
      </c>
      <c r="F182" s="93">
        <v>23</v>
      </c>
      <c r="G182" s="93">
        <v>18</v>
      </c>
      <c r="H182" s="93">
        <v>25</v>
      </c>
      <c r="I182" s="93">
        <v>16</v>
      </c>
      <c r="J182" s="92">
        <v>148</v>
      </c>
      <c r="K182" s="62"/>
    </row>
    <row r="183" spans="2:11" customFormat="1" ht="15" customHeight="1">
      <c r="B183" s="94">
        <v>2008</v>
      </c>
      <c r="C183" s="93">
        <v>28</v>
      </c>
      <c r="D183" s="93">
        <v>27</v>
      </c>
      <c r="E183" s="93">
        <v>29</v>
      </c>
      <c r="F183" s="93">
        <v>18</v>
      </c>
      <c r="G183" s="93">
        <v>25</v>
      </c>
      <c r="H183" s="93">
        <v>19</v>
      </c>
      <c r="I183" s="93">
        <v>26</v>
      </c>
      <c r="J183" s="92">
        <v>172</v>
      </c>
      <c r="K183" s="62"/>
    </row>
    <row r="184" spans="2:11" customFormat="1" ht="15" customHeight="1">
      <c r="B184" s="94">
        <v>2009</v>
      </c>
      <c r="C184" s="93">
        <v>28</v>
      </c>
      <c r="D184" s="93">
        <v>32</v>
      </c>
      <c r="E184" s="93">
        <v>28</v>
      </c>
      <c r="F184" s="93">
        <v>27</v>
      </c>
      <c r="G184" s="93">
        <v>18</v>
      </c>
      <c r="H184" s="93">
        <v>23</v>
      </c>
      <c r="I184" s="93">
        <v>22</v>
      </c>
      <c r="J184" s="94">
        <v>178</v>
      </c>
      <c r="K184" s="62"/>
    </row>
    <row r="185" spans="2:11" customFormat="1" ht="15" customHeight="1">
      <c r="B185" s="94">
        <v>2010</v>
      </c>
      <c r="C185" s="93">
        <v>27</v>
      </c>
      <c r="D185" s="93">
        <v>29</v>
      </c>
      <c r="E185" s="93">
        <v>38</v>
      </c>
      <c r="F185" s="93">
        <v>29</v>
      </c>
      <c r="G185" s="93">
        <v>33</v>
      </c>
      <c r="H185" s="93">
        <v>21</v>
      </c>
      <c r="I185" s="93">
        <v>26</v>
      </c>
      <c r="J185" s="92">
        <v>203</v>
      </c>
      <c r="K185" s="62"/>
    </row>
    <row r="186" spans="2:11" customFormat="1" ht="15" customHeight="1">
      <c r="B186" s="94">
        <v>2011</v>
      </c>
      <c r="C186" s="93">
        <v>46</v>
      </c>
      <c r="D186" s="93">
        <v>27</v>
      </c>
      <c r="E186" s="93">
        <v>32</v>
      </c>
      <c r="F186" s="93">
        <v>39</v>
      </c>
      <c r="G186" s="93">
        <v>28</v>
      </c>
      <c r="H186" s="93">
        <v>32</v>
      </c>
      <c r="I186" s="93">
        <v>19</v>
      </c>
      <c r="J186" s="92">
        <v>223</v>
      </c>
      <c r="K186" s="62"/>
    </row>
    <row r="187" spans="2:11" customFormat="1" ht="15" customHeight="1">
      <c r="B187" s="94">
        <v>2012</v>
      </c>
      <c r="C187" s="93">
        <v>33</v>
      </c>
      <c r="D187" s="93">
        <v>47</v>
      </c>
      <c r="E187" s="93">
        <v>33</v>
      </c>
      <c r="F187" s="93">
        <v>32</v>
      </c>
      <c r="G187" s="93">
        <v>38</v>
      </c>
      <c r="H187" s="93">
        <v>26</v>
      </c>
      <c r="I187" s="93">
        <v>33</v>
      </c>
      <c r="J187" s="92">
        <v>242</v>
      </c>
      <c r="K187" s="62"/>
    </row>
    <row r="188" spans="2:11" customFormat="1" ht="15" customHeight="1">
      <c r="B188" s="94">
        <v>2013</v>
      </c>
      <c r="C188" s="93">
        <v>48</v>
      </c>
      <c r="D188" s="93">
        <v>35</v>
      </c>
      <c r="E188" s="93">
        <v>48</v>
      </c>
      <c r="F188" s="93">
        <v>31</v>
      </c>
      <c r="G188" s="93">
        <v>33</v>
      </c>
      <c r="H188" s="93">
        <v>40</v>
      </c>
      <c r="I188" s="93">
        <v>25</v>
      </c>
      <c r="J188" s="94">
        <v>260</v>
      </c>
      <c r="K188" s="62"/>
    </row>
    <row r="189" spans="2:11" customFormat="1" ht="15" customHeight="1">
      <c r="B189" s="94">
        <v>2014</v>
      </c>
      <c r="C189" s="93">
        <v>30</v>
      </c>
      <c r="D189" s="93">
        <v>50</v>
      </c>
      <c r="E189" s="93">
        <v>34</v>
      </c>
      <c r="F189" s="93">
        <v>47</v>
      </c>
      <c r="G189" s="93">
        <v>31</v>
      </c>
      <c r="H189" s="93">
        <v>30</v>
      </c>
      <c r="I189" s="93">
        <v>35</v>
      </c>
      <c r="J189" s="92">
        <v>257</v>
      </c>
      <c r="K189" s="65"/>
    </row>
    <row r="190" spans="2:11" customFormat="1" ht="15" customHeight="1">
      <c r="B190" s="94">
        <v>2015</v>
      </c>
      <c r="C190" s="93">
        <v>50</v>
      </c>
      <c r="D190" s="93">
        <v>28</v>
      </c>
      <c r="E190" s="93">
        <v>48</v>
      </c>
      <c r="F190" s="93">
        <v>36</v>
      </c>
      <c r="G190" s="93">
        <v>44</v>
      </c>
      <c r="H190" s="93">
        <v>33</v>
      </c>
      <c r="I190" s="93">
        <v>29</v>
      </c>
      <c r="J190" s="92">
        <v>268</v>
      </c>
      <c r="K190" s="65"/>
    </row>
    <row r="191" spans="2:11" customFormat="1" ht="15" customHeight="1">
      <c r="B191" s="94">
        <v>2016</v>
      </c>
      <c r="C191" s="93">
        <v>47</v>
      </c>
      <c r="D191" s="93">
        <v>50</v>
      </c>
      <c r="E191" s="93">
        <v>27</v>
      </c>
      <c r="F191" s="93">
        <v>46</v>
      </c>
      <c r="G191" s="93">
        <v>37</v>
      </c>
      <c r="H191" s="93">
        <v>41</v>
      </c>
      <c r="I191" s="93">
        <v>32</v>
      </c>
      <c r="J191" s="92">
        <v>280</v>
      </c>
      <c r="K191" s="65"/>
    </row>
    <row r="192" spans="2:11" ht="15" customHeight="1">
      <c r="B192" s="94">
        <v>2017</v>
      </c>
      <c r="C192" s="93">
        <f>VLOOKUP($E$3,Rolls!A1:FA90,42,FALSE)</f>
        <v>57</v>
      </c>
      <c r="D192" s="93">
        <f>VLOOKUP($E$3,Rolls!A1:FA90,43,FALSE)</f>
        <v>46</v>
      </c>
      <c r="E192" s="93">
        <f>VLOOKUP($E$3,Rolls!A1:FA90,44,FALSE)</f>
        <v>48</v>
      </c>
      <c r="F192" s="93">
        <f>VLOOKUP($E$3,Rolls!A1:FA90,45,FALSE)</f>
        <v>25</v>
      </c>
      <c r="G192" s="93">
        <f>VLOOKUP($E$3,Rolls!A1:FA90,46,FALSE)</f>
        <v>51</v>
      </c>
      <c r="H192" s="93">
        <f>VLOOKUP($E$3,Rolls!A1:FA90,47,FALSE)</f>
        <v>40</v>
      </c>
      <c r="I192" s="93">
        <f>VLOOKUP($E$3,Rolls!A1:FA90,48,FALSE)</f>
        <v>49</v>
      </c>
      <c r="J192" s="92">
        <f>VLOOKUP($E$3,Rolls!A1:FA90,49,FALSE)</f>
        <v>316</v>
      </c>
      <c r="K192" s="65"/>
    </row>
    <row r="193" spans="2:11" ht="15" customHeight="1">
      <c r="B193" s="94">
        <v>2018</v>
      </c>
      <c r="C193" s="93">
        <f>VLOOKUP($E$3,Rolls!A1:FA90,50,FALSE)</f>
        <v>46</v>
      </c>
      <c r="D193" s="93">
        <f>VLOOKUP($E$3,Rolls!A1:FA90,51,FALSE)</f>
        <v>55</v>
      </c>
      <c r="E193" s="93">
        <f>VLOOKUP($E$3,Rolls!A1:FA90,52,FALSE)</f>
        <v>42</v>
      </c>
      <c r="F193" s="93">
        <f>VLOOKUP($E$3,Rolls!A1:FA90,53,FALSE)</f>
        <v>46</v>
      </c>
      <c r="G193" s="93">
        <f>VLOOKUP($E$3,Rolls!A1:FA90,54,FALSE)</f>
        <v>30</v>
      </c>
      <c r="H193" s="93">
        <f>VLOOKUP($E$3,Rolls!A1:FA90,55,FALSE)</f>
        <v>47</v>
      </c>
      <c r="I193" s="93">
        <f>VLOOKUP($E$3,Rolls!A1:FA90,56,FALSE)</f>
        <v>37</v>
      </c>
      <c r="J193" s="92">
        <f>VLOOKUP($E$3,Rolls!A1:FA90,57,FALSE)</f>
        <v>303</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87</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St Francis' RC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315 Pupils (12 classes)</v>
      </c>
      <c r="G12" s="16"/>
      <c r="H12" s="16"/>
    </row>
    <row r="13" spans="2:10" ht="15" customHeight="1">
      <c r="C13" s="16"/>
      <c r="D13" s="16"/>
      <c r="E13" s="16"/>
      <c r="F13" s="16"/>
      <c r="G13" s="16"/>
      <c r="H13" s="16"/>
    </row>
    <row r="14" spans="2:10" ht="15" customHeight="1">
      <c r="B14" s="15" t="str">
        <f>"Figure 1: "&amp;E3&amp;" Roll, 2002-2015"</f>
        <v>Figure 1: St Francis' RC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2010-2020"</f>
        <v>Figure 2: Actual Catchment Births (from 5yrs prior),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St Francis' RC Primary School</v>
      </c>
      <c r="K34" s="16"/>
    </row>
    <row r="35" spans="1:17" ht="15" customHeight="1">
      <c r="A35" s="1" t="str">
        <f>IF(ISNUMBER(SEARCH("RC",A34)),"RC", "ND")</f>
        <v>RC</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RC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41</v>
      </c>
      <c r="E49" s="108">
        <f>VLOOKUP($E$3,'Catchment Projections'!$A$1:$BU$90,46,FALSE)</f>
        <v>42</v>
      </c>
      <c r="F49" s="108">
        <f>VLOOKUP($E$3,'Catchment Projections'!$A$1:$BU$90,47,FALSE)</f>
        <v>46</v>
      </c>
      <c r="G49" s="108">
        <f>VLOOKUP($E$3,'Catchment Projections'!$A$1:$BU$90,48,FALSE)</f>
        <v>48</v>
      </c>
      <c r="H49" s="133">
        <f>VLOOKUP($E$3,'Catchment Projections'!$A$1:$BU$90,49,FALSE)</f>
        <v>46</v>
      </c>
      <c r="I49" s="133">
        <f>VLOOKUP($E$3,'Catchment Projections'!$A$1:$BU$90,50,FALSE)</f>
        <v>46</v>
      </c>
      <c r="J49" s="133">
        <f>VLOOKUP($E$3,'Catchment Projections'!$A$1:$BU$90,51,FALSE)</f>
        <v>47</v>
      </c>
      <c r="K49" s="133">
        <f>VLOOKUP($E$3,'Catchment Projections'!$A$1:$BU$90,52,FALSE)</f>
        <v>47</v>
      </c>
      <c r="L49" s="133">
        <f>VLOOKUP($E$3,'Catchment Projections'!$A$1:$BU$90,53,FALSE)</f>
        <v>48</v>
      </c>
      <c r="M49" s="133">
        <f>VLOOKUP($E$3,'Catchment Projections'!$A$1:$BU$90,54,FALSE)</f>
        <v>48</v>
      </c>
      <c r="N49" s="133">
        <f>VLOOKUP($E$3,'Catchment Projections'!$A$1:$BU$90,55,FALSE)</f>
        <v>48</v>
      </c>
      <c r="O49" s="133">
        <f>VLOOKUP($E$3,'Catchment Projections'!$A$1:$BU$90,56,FALSE)</f>
        <v>48</v>
      </c>
      <c r="P49" s="133">
        <f>VLOOKUP($E$3,'Catchment Projections'!$A$1:$BU$90,57,FALSE)</f>
        <v>48</v>
      </c>
      <c r="Q49" s="133">
        <f>VLOOKUP($E$3,'Catchment Projections'!$A$1:$BU$90,58,FALSE)</f>
        <v>48</v>
      </c>
    </row>
    <row r="50" spans="2:17" ht="15" customHeight="1" thickBot="1">
      <c r="B50" s="410" t="s">
        <v>141</v>
      </c>
      <c r="C50" s="411"/>
      <c r="D50" s="286">
        <f>VLOOKUP(E3,'Housing Generation'!$A$3:$DQ$90,10,FALSE)</f>
        <v>2</v>
      </c>
      <c r="E50" s="286">
        <f>VLOOKUP(E3,'Housing Generation'!$A$3:$DQ$90,18,FALSE)</f>
        <v>3</v>
      </c>
      <c r="F50" s="286">
        <f>VLOOKUP(E3,'Housing Generation'!$A$3:$DQ$90,26,FALSE)</f>
        <v>4</v>
      </c>
      <c r="G50" s="243">
        <f>VLOOKUP(E3,'Housing Generation'!$A$3:$DQ$90,34,FALSE)</f>
        <v>4</v>
      </c>
      <c r="H50" s="133">
        <f>VLOOKUP(E3,'Housing Generation'!$A$3:$DQ$90,42,FALSE)</f>
        <v>5</v>
      </c>
      <c r="I50" s="133">
        <f>VLOOKUP(E3,'Housing Generation'!$A$3:$DQ$90,50,FALSE)</f>
        <v>6</v>
      </c>
      <c r="J50" s="133">
        <f>VLOOKUP(E3,'Housing Generation'!$A$3:$CK$90,58,FALSE)</f>
        <v>6</v>
      </c>
      <c r="K50" s="133">
        <f>VLOOKUP(E3,'Housing Generation'!$A$3:$CK$90,66,FALSE)</f>
        <v>6</v>
      </c>
      <c r="L50" s="133">
        <f>VLOOKUP(E3,'Housing Generation'!$A$3:$DQ$90,74,FALSE)</f>
        <v>7</v>
      </c>
      <c r="M50" s="133">
        <f>VLOOKUP(E3,'Housing Generation'!$A$3:$DQ$90,82,FALSE)</f>
        <v>7</v>
      </c>
      <c r="N50" s="133">
        <f>VLOOKUP(E3,'Housing Generation'!$A$3:$DQ$90,90,FALSE)</f>
        <v>7</v>
      </c>
      <c r="O50" s="133">
        <f>VLOOKUP(E3,'Housing Generation'!$A$3:$DQ$90,98,FALSE)</f>
        <v>7</v>
      </c>
      <c r="P50" s="133">
        <f>VLOOKUP(E3,'Housing Generation'!$A$3:$DQ$90,106,FALSE)</f>
        <v>7</v>
      </c>
      <c r="Q50" s="133">
        <f>VLOOKUP(E3,'Housing Generation'!$A$3:$DQ$90,114,FALSE)</f>
        <v>7</v>
      </c>
    </row>
    <row r="51" spans="2:17" ht="15" customHeight="1" thickTop="1">
      <c r="B51" s="421" t="s">
        <v>130</v>
      </c>
      <c r="C51" s="422"/>
      <c r="D51" s="47">
        <f t="shared" ref="D51:Q51" si="0">SUM(D49:D50)</f>
        <v>43</v>
      </c>
      <c r="E51" s="47">
        <f t="shared" si="0"/>
        <v>45</v>
      </c>
      <c r="F51" s="80">
        <f t="shared" si="0"/>
        <v>50</v>
      </c>
      <c r="G51" s="244">
        <f t="shared" si="0"/>
        <v>52</v>
      </c>
      <c r="H51" s="71">
        <f t="shared" si="0"/>
        <v>51</v>
      </c>
      <c r="I51" s="71">
        <f t="shared" si="0"/>
        <v>52</v>
      </c>
      <c r="J51" s="71">
        <f t="shared" si="0"/>
        <v>53</v>
      </c>
      <c r="K51" s="71">
        <f t="shared" si="0"/>
        <v>53</v>
      </c>
      <c r="L51" s="71">
        <f t="shared" si="0"/>
        <v>55</v>
      </c>
      <c r="M51" s="71">
        <f t="shared" si="0"/>
        <v>55</v>
      </c>
      <c r="N51" s="71">
        <f t="shared" si="0"/>
        <v>55</v>
      </c>
      <c r="O51" s="71">
        <f t="shared" si="0"/>
        <v>55</v>
      </c>
      <c r="P51" s="71">
        <f t="shared" si="0"/>
        <v>55</v>
      </c>
      <c r="Q51" s="71">
        <f t="shared" si="0"/>
        <v>55</v>
      </c>
    </row>
    <row r="52" spans="2:17" ht="15" customHeight="1">
      <c r="C52" s="36"/>
      <c r="D52" s="48"/>
      <c r="E52" s="48"/>
      <c r="F52" s="48"/>
      <c r="G52" s="48"/>
      <c r="H52" s="48"/>
    </row>
    <row r="53" spans="2:17" ht="31.5" customHeight="1">
      <c r="B53" s="423" t="s">
        <v>292</v>
      </c>
      <c r="C53" s="424"/>
      <c r="D53" s="87">
        <v>0</v>
      </c>
      <c r="E53" s="139" t="s">
        <v>181</v>
      </c>
      <c r="F53" s="140">
        <v>24</v>
      </c>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RC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37</v>
      </c>
      <c r="D60" s="358">
        <f>VLOOKUP($E$3,'Catchment Projections'!$A$1:$BZ$90,74,FALSE)</f>
        <v>33</v>
      </c>
      <c r="E60" s="303">
        <f>D60/C60</f>
        <v>0.89189189189189189</v>
      </c>
      <c r="G60" s="132">
        <v>2014</v>
      </c>
      <c r="H60" s="395">
        <f>VLOOKUP($G$60,$B$177:$C$215, 2, FALSE)</f>
        <v>33</v>
      </c>
      <c r="I60" s="120">
        <f>H60-D60</f>
        <v>0</v>
      </c>
      <c r="J60" s="121">
        <f>I60/H60</f>
        <v>0</v>
      </c>
    </row>
    <row r="61" spans="2:17" ht="15" customHeight="1">
      <c r="B61" s="132">
        <v>2015</v>
      </c>
      <c r="C61" s="359">
        <f>VLOOKUP($E$3,'Catchment Projections'!$A$1:$BZ$90,41,FALSE)</f>
        <v>27</v>
      </c>
      <c r="D61" s="358">
        <f>VLOOKUP($E$3,'Catchment Projections'!$A$1:$BZ$90,75,FALSE)</f>
        <v>22</v>
      </c>
      <c r="E61" s="303">
        <f>D61/C61</f>
        <v>0.81481481481481477</v>
      </c>
      <c r="G61" s="132">
        <v>2015</v>
      </c>
      <c r="H61" s="395">
        <f>VLOOKUP($G$61,$B$177:$C$215, 2, FALSE)</f>
        <v>22</v>
      </c>
      <c r="I61" s="120">
        <f>H61-D61</f>
        <v>0</v>
      </c>
      <c r="J61" s="121">
        <f>I61/H61</f>
        <v>0</v>
      </c>
    </row>
    <row r="62" spans="2:17" ht="15" customHeight="1">
      <c r="B62" s="131">
        <v>2016</v>
      </c>
      <c r="C62" s="359">
        <f>VLOOKUP($E$3,'Catchment Projections'!$A$1:$BZ$90,42,FALSE)</f>
        <v>28</v>
      </c>
      <c r="D62" s="358">
        <f>VLOOKUP($E$3,'Catchment Projections'!$A$1:$BZ$90,76,FALSE)</f>
        <v>27</v>
      </c>
      <c r="E62" s="57">
        <f>D62/C62</f>
        <v>0.9642857142857143</v>
      </c>
      <c r="G62" s="131">
        <v>2016</v>
      </c>
      <c r="H62" s="395">
        <f>VLOOKUP($G$62,$B$177:$C$215, 2, FALSE)</f>
        <v>27</v>
      </c>
      <c r="I62" s="120">
        <f>H62-D62</f>
        <v>0</v>
      </c>
      <c r="J62" s="121">
        <f>I62/H62</f>
        <v>0</v>
      </c>
    </row>
    <row r="63" spans="2:17" ht="15" customHeight="1">
      <c r="B63" s="114">
        <v>2017</v>
      </c>
      <c r="C63" s="359">
        <f>VLOOKUP($E$3,'Catchment Projections'!$A$1:$BZ$90,43,FALSE)</f>
        <v>47</v>
      </c>
      <c r="D63" s="358">
        <f>VLOOKUP($E$3,'Catchment Projections'!$A$1:$BZ$90,77,FALSE)</f>
        <v>43</v>
      </c>
      <c r="E63" s="304">
        <f>D63/C63</f>
        <v>0.91489361702127658</v>
      </c>
      <c r="G63" s="114">
        <v>2017</v>
      </c>
      <c r="H63" s="395">
        <f>VLOOKUP($G$63,$B$177:$C$215, 2, FALSE)</f>
        <v>45</v>
      </c>
      <c r="I63" s="120">
        <f>H63-D63</f>
        <v>2</v>
      </c>
      <c r="J63" s="121">
        <f>I63/H63</f>
        <v>4.4444444444444446E-2</v>
      </c>
    </row>
    <row r="64" spans="2:17" ht="15" customHeight="1">
      <c r="B64" s="114">
        <v>2018</v>
      </c>
      <c r="C64" s="359">
        <f>VLOOKUP($E$3,'Catchment Projections'!$A$1:$BZ$90,44,FALSE)</f>
        <v>54</v>
      </c>
      <c r="D64" s="358">
        <f>VLOOKUP($E$3,'Catchment Projections'!$A$1:$BZ$90,78,FALSE)</f>
        <v>46</v>
      </c>
      <c r="E64" s="305">
        <f>D64/C64</f>
        <v>0.85185185185185186</v>
      </c>
      <c r="G64" s="114">
        <v>2018</v>
      </c>
      <c r="H64" s="395">
        <f>VLOOKUP($G$64,$B$177:$C$215, 2, FALSE)</f>
        <v>47</v>
      </c>
      <c r="I64" s="120">
        <f>H64-D64</f>
        <v>1</v>
      </c>
      <c r="J64" s="121">
        <f>I64/H64</f>
        <v>2.1276595744680851E-2</v>
      </c>
    </row>
    <row r="65" spans="2:10" ht="15" customHeight="1">
      <c r="B65" s="412" t="s">
        <v>136</v>
      </c>
      <c r="C65" s="413"/>
      <c r="D65" s="414"/>
      <c r="E65" s="137">
        <f>IF((AVERAGE(E62:E64))="#DIV/0!","n/a",(AVERAGE(E62:E64)))</f>
        <v>0.91034372771961414</v>
      </c>
      <c r="G65" s="415" t="s">
        <v>137</v>
      </c>
      <c r="H65" s="416"/>
      <c r="I65" s="138">
        <f>MEDIAN(I60:I64)</f>
        <v>0</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179</v>
      </c>
      <c r="D69" s="408"/>
      <c r="E69" s="125" t="s">
        <v>158</v>
      </c>
      <c r="F69" s="126" t="s">
        <v>133</v>
      </c>
      <c r="G69" s="124" t="s">
        <v>183</v>
      </c>
      <c r="H69" s="125" t="s">
        <v>138</v>
      </c>
      <c r="I69" s="124" t="s">
        <v>142</v>
      </c>
      <c r="J69" s="123" t="s">
        <v>139</v>
      </c>
    </row>
    <row r="70" spans="2:10" ht="15" customHeight="1">
      <c r="B70" s="114">
        <v>2019</v>
      </c>
      <c r="C70" s="433">
        <f>D51</f>
        <v>43</v>
      </c>
      <c r="D70" s="408"/>
      <c r="E70" s="122">
        <f>E65</f>
        <v>0.91034372771961414</v>
      </c>
      <c r="F70" s="120">
        <f t="shared" ref="F70:F83" si="1">C70*$E$65</f>
        <v>39.144780291943405</v>
      </c>
      <c r="G70" s="118">
        <f>IF(F70&lt;26,25,IF(F70&gt;135,140,IF(F70&gt;130,135,IF(F70&gt;125,130,IF(F70&gt;120,125,IF(F70&gt;115,120,IF(F70&gt;110,115,IF(F70&gt;105,110,IF(F70&gt;100,105,IF(F70&gt;99,100,IF(F70&gt;90,99,IF(F70&gt;75,90,IF(F70&gt;72,75,IF(F70&gt;66,72,IF(F70&gt;60,66,IF(F70&gt;50,60,IF(F70&gt;30,50,IF(F70&gt;25,30,0))))))))))))))))))</f>
        <v>50</v>
      </c>
      <c r="H70" s="119">
        <f t="shared" ref="H70:H83" si="2">G70-F70</f>
        <v>10.855219708056595</v>
      </c>
      <c r="I70" s="118" t="str">
        <f>IF(I$65&lt;H70, "NO", "YES")</f>
        <v>NO</v>
      </c>
      <c r="J70" s="117">
        <f t="shared" ref="J70:J83" si="3">IF(I70="YES",G70,(MIN((SUM(F70,$I$65)),G70)))</f>
        <v>39.144780291943405</v>
      </c>
    </row>
    <row r="71" spans="2:10" ht="15" customHeight="1">
      <c r="B71" s="114">
        <v>2020</v>
      </c>
      <c r="C71" s="433">
        <f>E51</f>
        <v>45</v>
      </c>
      <c r="D71" s="408"/>
      <c r="E71" s="121">
        <f>E65</f>
        <v>0.91034372771961414</v>
      </c>
      <c r="F71" s="120">
        <f t="shared" si="1"/>
        <v>40.96546774738264</v>
      </c>
      <c r="G71" s="118">
        <f t="shared" ref="G71:G83" si="4">IF(F71&lt;26,25,IF(F71&gt;135,140,IF(F71&gt;130,135,IF(F71&gt;125,130,IF(F71&gt;120,125,IF(F71&gt;115,120,IF(F71&gt;110,115,IF(F71&gt;105,110,IF(F71&gt;100,105,IF(F71&gt;99,100,IF(F71&gt;90,99,IF(F71&gt;75,90,IF(F71&gt;72,75,IF(F71&gt;66,72,IF(F71&gt;60,66,IF(F71&gt;50,60,IF(F71&gt;30,50,IF(F71&gt;25,30,0))))))))))))))))))</f>
        <v>50</v>
      </c>
      <c r="H71" s="119">
        <f t="shared" si="2"/>
        <v>9.0345322526173604</v>
      </c>
      <c r="I71" s="118" t="str">
        <f t="shared" ref="I71:I83" si="5">IF(I$65&lt;H71, "NO", "YES")</f>
        <v>NO</v>
      </c>
      <c r="J71" s="117">
        <f t="shared" si="3"/>
        <v>40.96546774738264</v>
      </c>
    </row>
    <row r="72" spans="2:10" ht="15" customHeight="1">
      <c r="B72" s="114">
        <v>2021</v>
      </c>
      <c r="C72" s="430">
        <f>F51</f>
        <v>50</v>
      </c>
      <c r="D72" s="431"/>
      <c r="E72" s="121">
        <f>E65</f>
        <v>0.91034372771961414</v>
      </c>
      <c r="F72" s="120">
        <f t="shared" si="1"/>
        <v>45.517186385980708</v>
      </c>
      <c r="G72" s="118">
        <f t="shared" si="4"/>
        <v>50</v>
      </c>
      <c r="H72" s="119">
        <f t="shared" si="2"/>
        <v>4.4828136140192925</v>
      </c>
      <c r="I72" s="118" t="str">
        <f t="shared" si="5"/>
        <v>NO</v>
      </c>
      <c r="J72" s="117">
        <f t="shared" si="3"/>
        <v>45.517186385980708</v>
      </c>
    </row>
    <row r="73" spans="2:10" ht="15" customHeight="1">
      <c r="B73" s="114">
        <v>2022</v>
      </c>
      <c r="C73" s="430">
        <f>G51</f>
        <v>52</v>
      </c>
      <c r="D73" s="431"/>
      <c r="E73" s="121">
        <f>E65</f>
        <v>0.91034372771961414</v>
      </c>
      <c r="F73" s="120">
        <f t="shared" si="1"/>
        <v>47.337873841419935</v>
      </c>
      <c r="G73" s="118">
        <f t="shared" si="4"/>
        <v>50</v>
      </c>
      <c r="H73" s="119">
        <f t="shared" si="2"/>
        <v>2.6621261585800653</v>
      </c>
      <c r="I73" s="118" t="str">
        <f t="shared" si="5"/>
        <v>NO</v>
      </c>
      <c r="J73" s="117">
        <f t="shared" si="3"/>
        <v>47.337873841419935</v>
      </c>
    </row>
    <row r="74" spans="2:10" ht="15" customHeight="1">
      <c r="B74" s="114">
        <v>2023</v>
      </c>
      <c r="C74" s="430">
        <f>H51</f>
        <v>51</v>
      </c>
      <c r="D74" s="431"/>
      <c r="E74" s="121">
        <f>E65</f>
        <v>0.91034372771961414</v>
      </c>
      <c r="F74" s="120">
        <f t="shared" si="1"/>
        <v>46.427530113700321</v>
      </c>
      <c r="G74" s="118">
        <f t="shared" si="4"/>
        <v>50</v>
      </c>
      <c r="H74" s="119">
        <f t="shared" si="2"/>
        <v>3.5724698862996789</v>
      </c>
      <c r="I74" s="118" t="str">
        <f t="shared" si="5"/>
        <v>NO</v>
      </c>
      <c r="J74" s="117">
        <f t="shared" si="3"/>
        <v>46.427530113700321</v>
      </c>
    </row>
    <row r="75" spans="2:10" ht="15" customHeight="1">
      <c r="B75" s="114">
        <v>2024</v>
      </c>
      <c r="C75" s="430">
        <f>I51</f>
        <v>52</v>
      </c>
      <c r="D75" s="431"/>
      <c r="E75" s="121">
        <f>E65</f>
        <v>0.91034372771961414</v>
      </c>
      <c r="F75" s="120">
        <f t="shared" si="1"/>
        <v>47.337873841419935</v>
      </c>
      <c r="G75" s="118">
        <f t="shared" si="4"/>
        <v>50</v>
      </c>
      <c r="H75" s="119">
        <f t="shared" si="2"/>
        <v>2.6621261585800653</v>
      </c>
      <c r="I75" s="118" t="str">
        <f t="shared" si="5"/>
        <v>NO</v>
      </c>
      <c r="J75" s="117">
        <f t="shared" si="3"/>
        <v>47.337873841419935</v>
      </c>
    </row>
    <row r="76" spans="2:10" ht="15" customHeight="1">
      <c r="B76" s="114">
        <v>2025</v>
      </c>
      <c r="C76" s="430">
        <f>J51</f>
        <v>53</v>
      </c>
      <c r="D76" s="431"/>
      <c r="E76" s="121">
        <f>E65</f>
        <v>0.91034372771961414</v>
      </c>
      <c r="F76" s="120">
        <f t="shared" si="1"/>
        <v>48.248217569139548</v>
      </c>
      <c r="G76" s="118">
        <f t="shared" si="4"/>
        <v>50</v>
      </c>
      <c r="H76" s="119">
        <f t="shared" si="2"/>
        <v>1.7517824308604517</v>
      </c>
      <c r="I76" s="118" t="str">
        <f t="shared" si="5"/>
        <v>NO</v>
      </c>
      <c r="J76" s="117">
        <f t="shared" si="3"/>
        <v>48.248217569139548</v>
      </c>
    </row>
    <row r="77" spans="2:10" ht="15" customHeight="1">
      <c r="B77" s="114">
        <v>2026</v>
      </c>
      <c r="C77" s="430">
        <f>K51</f>
        <v>53</v>
      </c>
      <c r="D77" s="431"/>
      <c r="E77" s="121">
        <f>E65</f>
        <v>0.91034372771961414</v>
      </c>
      <c r="F77" s="120">
        <f t="shared" si="1"/>
        <v>48.248217569139548</v>
      </c>
      <c r="G77" s="118">
        <f t="shared" si="4"/>
        <v>50</v>
      </c>
      <c r="H77" s="119">
        <f t="shared" si="2"/>
        <v>1.7517824308604517</v>
      </c>
      <c r="I77" s="118" t="str">
        <f t="shared" si="5"/>
        <v>NO</v>
      </c>
      <c r="J77" s="117">
        <f t="shared" si="3"/>
        <v>48.248217569139548</v>
      </c>
    </row>
    <row r="78" spans="2:10" ht="15" customHeight="1">
      <c r="B78" s="114">
        <v>2027</v>
      </c>
      <c r="C78" s="430">
        <f>L51</f>
        <v>55</v>
      </c>
      <c r="D78" s="431"/>
      <c r="E78" s="121">
        <f>E65</f>
        <v>0.91034372771961414</v>
      </c>
      <c r="F78" s="120">
        <f t="shared" si="1"/>
        <v>50.068905024578775</v>
      </c>
      <c r="G78" s="118">
        <f t="shared" si="4"/>
        <v>60</v>
      </c>
      <c r="H78" s="119">
        <f t="shared" si="2"/>
        <v>9.9310949754212245</v>
      </c>
      <c r="I78" s="118" t="str">
        <f t="shared" si="5"/>
        <v>NO</v>
      </c>
      <c r="J78" s="117">
        <f t="shared" si="3"/>
        <v>50.068905024578775</v>
      </c>
    </row>
    <row r="79" spans="2:10" ht="15" customHeight="1">
      <c r="B79" s="114">
        <v>2028</v>
      </c>
      <c r="C79" s="430">
        <f>M51</f>
        <v>55</v>
      </c>
      <c r="D79" s="431"/>
      <c r="E79" s="121">
        <f t="shared" ref="E79:E83" si="6">$E$65</f>
        <v>0.91034372771961414</v>
      </c>
      <c r="F79" s="120">
        <f t="shared" si="1"/>
        <v>50.068905024578775</v>
      </c>
      <c r="G79" s="118">
        <f t="shared" si="4"/>
        <v>60</v>
      </c>
      <c r="H79" s="119">
        <f t="shared" si="2"/>
        <v>9.9310949754212245</v>
      </c>
      <c r="I79" s="118" t="str">
        <f t="shared" si="5"/>
        <v>NO</v>
      </c>
      <c r="J79" s="117">
        <f t="shared" si="3"/>
        <v>50.068905024578775</v>
      </c>
    </row>
    <row r="80" spans="2:10" ht="15" customHeight="1">
      <c r="B80" s="114">
        <v>2029</v>
      </c>
      <c r="C80" s="430">
        <f>N51</f>
        <v>55</v>
      </c>
      <c r="D80" s="431"/>
      <c r="E80" s="121">
        <f t="shared" si="6"/>
        <v>0.91034372771961414</v>
      </c>
      <c r="F80" s="120">
        <f t="shared" si="1"/>
        <v>50.068905024578775</v>
      </c>
      <c r="G80" s="118">
        <f t="shared" si="4"/>
        <v>60</v>
      </c>
      <c r="H80" s="119">
        <f t="shared" si="2"/>
        <v>9.9310949754212245</v>
      </c>
      <c r="I80" s="118" t="str">
        <f t="shared" si="5"/>
        <v>NO</v>
      </c>
      <c r="J80" s="117">
        <f t="shared" si="3"/>
        <v>50.068905024578775</v>
      </c>
    </row>
    <row r="81" spans="2:10" ht="15" customHeight="1">
      <c r="B81" s="114">
        <v>2030</v>
      </c>
      <c r="C81" s="430">
        <f>O51</f>
        <v>55</v>
      </c>
      <c r="D81" s="431"/>
      <c r="E81" s="121">
        <f t="shared" si="6"/>
        <v>0.91034372771961414</v>
      </c>
      <c r="F81" s="120">
        <f t="shared" si="1"/>
        <v>50.068905024578775</v>
      </c>
      <c r="G81" s="118">
        <f t="shared" si="4"/>
        <v>60</v>
      </c>
      <c r="H81" s="119">
        <f t="shared" si="2"/>
        <v>9.9310949754212245</v>
      </c>
      <c r="I81" s="118" t="str">
        <f t="shared" si="5"/>
        <v>NO</v>
      </c>
      <c r="J81" s="117">
        <f t="shared" si="3"/>
        <v>50.068905024578775</v>
      </c>
    </row>
    <row r="82" spans="2:10" ht="15" customHeight="1">
      <c r="B82" s="114">
        <v>2031</v>
      </c>
      <c r="C82" s="430">
        <f>P51</f>
        <v>55</v>
      </c>
      <c r="D82" s="431"/>
      <c r="E82" s="121">
        <f t="shared" si="6"/>
        <v>0.91034372771961414</v>
      </c>
      <c r="F82" s="120">
        <f t="shared" si="1"/>
        <v>50.068905024578775</v>
      </c>
      <c r="G82" s="118">
        <f t="shared" si="4"/>
        <v>60</v>
      </c>
      <c r="H82" s="119">
        <f t="shared" si="2"/>
        <v>9.9310949754212245</v>
      </c>
      <c r="I82" s="118" t="str">
        <f t="shared" si="5"/>
        <v>NO</v>
      </c>
      <c r="J82" s="117">
        <f t="shared" si="3"/>
        <v>50.068905024578775</v>
      </c>
    </row>
    <row r="83" spans="2:10" ht="15" customHeight="1">
      <c r="B83" s="114">
        <v>2032</v>
      </c>
      <c r="C83" s="430">
        <f>Q51</f>
        <v>55</v>
      </c>
      <c r="D83" s="431"/>
      <c r="E83" s="121">
        <f t="shared" si="6"/>
        <v>0.91034372771961414</v>
      </c>
      <c r="F83" s="120">
        <f t="shared" si="1"/>
        <v>50.068905024578775</v>
      </c>
      <c r="G83" s="118">
        <f t="shared" si="4"/>
        <v>60</v>
      </c>
      <c r="H83" s="119">
        <f t="shared" si="2"/>
        <v>9.9310949754212245</v>
      </c>
      <c r="I83" s="118" t="str">
        <f t="shared" si="5"/>
        <v>NO</v>
      </c>
      <c r="J83" s="117">
        <f t="shared" si="3"/>
        <v>50.068905024578775</v>
      </c>
    </row>
    <row r="84" spans="2:10" ht="15" customHeight="1">
      <c r="C84" s="16"/>
      <c r="D84" s="16"/>
      <c r="E84" s="16"/>
      <c r="F84" s="16"/>
      <c r="G84" s="16"/>
      <c r="H84" s="16"/>
    </row>
    <row r="85" spans="2:10" ht="15" customHeight="1">
      <c r="B85" s="11" t="s">
        <v>186</v>
      </c>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St Francis' RC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48</v>
      </c>
      <c r="D91" s="112">
        <f t="shared" ref="D91:J91" si="7">D188</f>
        <v>35</v>
      </c>
      <c r="E91" s="112">
        <f t="shared" si="7"/>
        <v>29</v>
      </c>
      <c r="F91" s="112">
        <f t="shared" si="7"/>
        <v>21</v>
      </c>
      <c r="G91" s="112">
        <f t="shared" si="7"/>
        <v>24</v>
      </c>
      <c r="H91" s="112">
        <f t="shared" si="7"/>
        <v>24</v>
      </c>
      <c r="I91" s="112">
        <f t="shared" si="7"/>
        <v>21</v>
      </c>
      <c r="J91" s="213">
        <f t="shared" si="7"/>
        <v>202</v>
      </c>
    </row>
    <row r="92" spans="2:10" ht="15" customHeight="1">
      <c r="B92" s="114">
        <v>2014</v>
      </c>
      <c r="C92" s="112">
        <f>C189</f>
        <v>33</v>
      </c>
      <c r="D92" s="112">
        <f t="shared" ref="D92:J92" si="8">D189</f>
        <v>44</v>
      </c>
      <c r="E92" s="112">
        <f t="shared" si="8"/>
        <v>28</v>
      </c>
      <c r="F92" s="112">
        <f t="shared" si="8"/>
        <v>28</v>
      </c>
      <c r="G92" s="112">
        <f t="shared" si="8"/>
        <v>21</v>
      </c>
      <c r="H92" s="112">
        <f t="shared" si="8"/>
        <v>24</v>
      </c>
      <c r="I92" s="112">
        <f t="shared" si="8"/>
        <v>22</v>
      </c>
      <c r="J92" s="213">
        <f t="shared" si="8"/>
        <v>200</v>
      </c>
    </row>
    <row r="93" spans="2:10" ht="15" customHeight="1">
      <c r="B93" s="114">
        <v>2015</v>
      </c>
      <c r="C93" s="112">
        <f>C190</f>
        <v>22</v>
      </c>
      <c r="D93" s="112">
        <f t="shared" ref="D93:J93" si="9">D190</f>
        <v>35</v>
      </c>
      <c r="E93" s="112">
        <f t="shared" si="9"/>
        <v>43</v>
      </c>
      <c r="F93" s="112">
        <f t="shared" si="9"/>
        <v>27</v>
      </c>
      <c r="G93" s="112">
        <f t="shared" si="9"/>
        <v>29</v>
      </c>
      <c r="H93" s="112">
        <f t="shared" si="9"/>
        <v>19</v>
      </c>
      <c r="I93" s="112">
        <f t="shared" si="9"/>
        <v>23</v>
      </c>
      <c r="J93" s="213">
        <f t="shared" si="9"/>
        <v>198</v>
      </c>
    </row>
    <row r="94" spans="2:10" ht="15" customHeight="1">
      <c r="B94" s="114">
        <v>2016</v>
      </c>
      <c r="C94" s="112">
        <f>C191</f>
        <v>27</v>
      </c>
      <c r="D94" s="112">
        <f t="shared" ref="D94:J94" si="10">D191</f>
        <v>23</v>
      </c>
      <c r="E94" s="112">
        <f t="shared" si="10"/>
        <v>32</v>
      </c>
      <c r="F94" s="112">
        <f t="shared" si="10"/>
        <v>42</v>
      </c>
      <c r="G94" s="112">
        <f t="shared" si="10"/>
        <v>26</v>
      </c>
      <c r="H94" s="112">
        <f t="shared" si="10"/>
        <v>28</v>
      </c>
      <c r="I94" s="112">
        <f t="shared" si="10"/>
        <v>17</v>
      </c>
      <c r="J94" s="213">
        <f t="shared" si="10"/>
        <v>195</v>
      </c>
    </row>
    <row r="95" spans="2:10" ht="15" customHeight="1">
      <c r="B95" s="114">
        <v>2017</v>
      </c>
      <c r="C95" s="112">
        <f>C192</f>
        <v>45</v>
      </c>
      <c r="D95" s="112">
        <f t="shared" ref="D95:J95" si="11">D192</f>
        <v>26</v>
      </c>
      <c r="E95" s="112">
        <f t="shared" si="11"/>
        <v>22</v>
      </c>
      <c r="F95" s="112">
        <f t="shared" si="11"/>
        <v>29</v>
      </c>
      <c r="G95" s="112">
        <f t="shared" si="11"/>
        <v>41</v>
      </c>
      <c r="H95" s="112">
        <f t="shared" si="11"/>
        <v>26</v>
      </c>
      <c r="I95" s="112">
        <f t="shared" si="11"/>
        <v>26</v>
      </c>
      <c r="J95" s="213">
        <f t="shared" si="11"/>
        <v>215</v>
      </c>
    </row>
    <row r="96" spans="2:10" ht="15" customHeight="1">
      <c r="B96" s="307">
        <v>2018</v>
      </c>
      <c r="C96" s="112">
        <f t="shared" ref="C96:J96" si="12">C193</f>
        <v>47</v>
      </c>
      <c r="D96" s="112">
        <f t="shared" si="12"/>
        <v>47</v>
      </c>
      <c r="E96" s="112">
        <f t="shared" si="12"/>
        <v>31</v>
      </c>
      <c r="F96" s="112">
        <f t="shared" si="12"/>
        <v>25</v>
      </c>
      <c r="G96" s="112">
        <f t="shared" si="12"/>
        <v>30</v>
      </c>
      <c r="H96" s="112">
        <f t="shared" si="12"/>
        <v>42</v>
      </c>
      <c r="I96" s="112">
        <f t="shared" si="12"/>
        <v>29</v>
      </c>
      <c r="J96" s="213">
        <f t="shared" si="12"/>
        <v>251</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-4.4444444444444446E-2</v>
      </c>
      <c r="E98" s="210">
        <f t="shared" ref="E98:I98" si="13">MEDIAN(((D91-E92)/D91),((D92-E93)/D92),((D93-E94)/D93),((D94-E95)/D94),((D95-E96)/D95))</f>
        <v>4.3478260869565216E-2</v>
      </c>
      <c r="F98" s="210">
        <f t="shared" si="13"/>
        <v>3.4482758620689655E-2</v>
      </c>
      <c r="G98" s="210">
        <f t="shared" si="13"/>
        <v>0</v>
      </c>
      <c r="H98" s="210">
        <f t="shared" si="13"/>
        <v>0</v>
      </c>
      <c r="I98" s="210">
        <f t="shared" si="13"/>
        <v>7.1428571428571425E-2</v>
      </c>
    </row>
    <row r="99" spans="2:10" ht="18.75">
      <c r="B99" s="59"/>
      <c r="C99" s="60"/>
      <c r="D99" s="61"/>
      <c r="E99" s="61"/>
      <c r="F99" s="61"/>
      <c r="G99" s="61"/>
      <c r="H99" s="61"/>
      <c r="I99" s="61"/>
      <c r="J99" s="58"/>
    </row>
    <row r="100" spans="2:10">
      <c r="B100" s="15" t="str">
        <f>"Table 4B: "&amp;E3&amp;" Projected Roll by Stage (incorporating Projected P1 and Drop-Off Rates), 2019-2032"</f>
        <v>Table 4B: St Francis' RC Primary School Projected Roll by Stage (incorporating Projected P1 and Drop-Off Rates), 2019-2032</v>
      </c>
      <c r="F100" s="14"/>
      <c r="G100" s="14"/>
    </row>
    <row r="101" spans="2:10" ht="12.75">
      <c r="F101" s="14"/>
      <c r="G101" s="14"/>
    </row>
    <row r="102" spans="2:10">
      <c r="B102" s="115"/>
      <c r="C102" s="109" t="s">
        <v>1</v>
      </c>
      <c r="D102" s="109" t="s">
        <v>2</v>
      </c>
      <c r="E102" s="109" t="s">
        <v>3</v>
      </c>
      <c r="F102" s="109" t="s">
        <v>4</v>
      </c>
      <c r="G102" s="109" t="s">
        <v>5</v>
      </c>
      <c r="H102" s="109" t="s">
        <v>6</v>
      </c>
      <c r="I102" s="109" t="s">
        <v>7</v>
      </c>
      <c r="J102" s="109" t="s">
        <v>8</v>
      </c>
    </row>
    <row r="103" spans="2:10">
      <c r="B103" s="114">
        <v>2019</v>
      </c>
      <c r="C103" s="113">
        <f t="shared" ref="C103:C116" si="14">J70</f>
        <v>39.144780291943405</v>
      </c>
      <c r="D103" s="324">
        <f>ROUND((C96)-(C96*$D$98),0)</f>
        <v>49</v>
      </c>
      <c r="E103" s="324">
        <f>ROUND((D96)-(D96*$E$98),0)</f>
        <v>45</v>
      </c>
      <c r="F103" s="324">
        <f>ROUND((E96)-(E96*$F$98),0)</f>
        <v>30</v>
      </c>
      <c r="G103" s="324">
        <f>ROUND((F96)-(F96*$G$98),0)</f>
        <v>25</v>
      </c>
      <c r="H103" s="324">
        <f>ROUND((G96)-(G96*$H$98),0)</f>
        <v>30</v>
      </c>
      <c r="I103" s="324">
        <f>ROUND((H96)-(H96*$I$98),0)</f>
        <v>39</v>
      </c>
      <c r="J103" s="111">
        <f t="shared" ref="J103:J116" si="15">SUM(C103:I103)</f>
        <v>257.14478029194339</v>
      </c>
    </row>
    <row r="104" spans="2:10">
      <c r="B104" s="114">
        <v>2020</v>
      </c>
      <c r="C104" s="113">
        <f t="shared" si="14"/>
        <v>40.96546774738264</v>
      </c>
      <c r="D104" s="324">
        <f>ROUND((C103-E50)-(C103*$D$98),0)</f>
        <v>38</v>
      </c>
      <c r="E104" s="112">
        <f t="shared" ref="E104:E116" si="16">ROUND((D103)-(D103*$E$98),0)</f>
        <v>47</v>
      </c>
      <c r="F104" s="112">
        <f t="shared" ref="F104:F116" si="17">ROUND((E103)-(E103*$F$98),0)</f>
        <v>43</v>
      </c>
      <c r="G104" s="112">
        <f t="shared" ref="G104:G116" si="18">ROUND((F103)-(F103*$G$98),0)</f>
        <v>30</v>
      </c>
      <c r="H104" s="112">
        <f t="shared" ref="H104:H116" si="19">ROUND((G103)-(G103*$H$98),0)</f>
        <v>25</v>
      </c>
      <c r="I104" s="112">
        <f t="shared" ref="I104:I116" si="20">ROUND((H103)-(H103*$I$98),0)</f>
        <v>28</v>
      </c>
      <c r="J104" s="111">
        <f t="shared" si="15"/>
        <v>251.96546774738263</v>
      </c>
    </row>
    <row r="105" spans="2:10">
      <c r="B105" s="114">
        <v>2021</v>
      </c>
      <c r="C105" s="113">
        <f t="shared" si="14"/>
        <v>45.517186385980708</v>
      </c>
      <c r="D105" s="324">
        <f>ROUND((C104-F50)-(C104*$D$98),0)</f>
        <v>39</v>
      </c>
      <c r="E105" s="112">
        <f t="shared" si="16"/>
        <v>36</v>
      </c>
      <c r="F105" s="112">
        <f t="shared" si="17"/>
        <v>45</v>
      </c>
      <c r="G105" s="112">
        <f t="shared" si="18"/>
        <v>43</v>
      </c>
      <c r="H105" s="112">
        <f t="shared" si="19"/>
        <v>30</v>
      </c>
      <c r="I105" s="112">
        <f t="shared" si="20"/>
        <v>23</v>
      </c>
      <c r="J105" s="111">
        <f t="shared" si="15"/>
        <v>261.51718638598072</v>
      </c>
    </row>
    <row r="106" spans="2:10">
      <c r="B106" s="114">
        <v>2022</v>
      </c>
      <c r="C106" s="113">
        <f t="shared" si="14"/>
        <v>47.337873841419935</v>
      </c>
      <c r="D106" s="324">
        <f>ROUND((C105-G50)-(C105*$D$98),0)</f>
        <v>44</v>
      </c>
      <c r="E106" s="112">
        <f t="shared" si="16"/>
        <v>37</v>
      </c>
      <c r="F106" s="112">
        <f t="shared" si="17"/>
        <v>35</v>
      </c>
      <c r="G106" s="112">
        <f t="shared" si="18"/>
        <v>45</v>
      </c>
      <c r="H106" s="112">
        <f t="shared" si="19"/>
        <v>43</v>
      </c>
      <c r="I106" s="112">
        <f t="shared" si="20"/>
        <v>28</v>
      </c>
      <c r="J106" s="111">
        <f t="shared" si="15"/>
        <v>279.33787384141993</v>
      </c>
    </row>
    <row r="107" spans="2:10">
      <c r="B107" s="114">
        <v>2023</v>
      </c>
      <c r="C107" s="113">
        <f t="shared" si="14"/>
        <v>46.427530113700321</v>
      </c>
      <c r="D107" s="324">
        <f>ROUND((C106-H50)-(C106*$D$98),0)</f>
        <v>44</v>
      </c>
      <c r="E107" s="112">
        <f t="shared" si="16"/>
        <v>42</v>
      </c>
      <c r="F107" s="112">
        <f t="shared" si="17"/>
        <v>36</v>
      </c>
      <c r="G107" s="112">
        <f t="shared" si="18"/>
        <v>35</v>
      </c>
      <c r="H107" s="112">
        <f t="shared" si="19"/>
        <v>45</v>
      </c>
      <c r="I107" s="112">
        <f t="shared" si="20"/>
        <v>40</v>
      </c>
      <c r="J107" s="111">
        <f t="shared" si="15"/>
        <v>288.4275301137003</v>
      </c>
    </row>
    <row r="108" spans="2:10">
      <c r="B108" s="114">
        <v>2024</v>
      </c>
      <c r="C108" s="113">
        <f t="shared" si="14"/>
        <v>47.337873841419935</v>
      </c>
      <c r="D108" s="324">
        <f>ROUND((C107-I50)-(C107*$D$98),0)</f>
        <v>42</v>
      </c>
      <c r="E108" s="112">
        <f t="shared" si="16"/>
        <v>42</v>
      </c>
      <c r="F108" s="112">
        <f t="shared" si="17"/>
        <v>41</v>
      </c>
      <c r="G108" s="112">
        <f t="shared" si="18"/>
        <v>36</v>
      </c>
      <c r="H108" s="112">
        <f t="shared" si="19"/>
        <v>35</v>
      </c>
      <c r="I108" s="112">
        <f t="shared" si="20"/>
        <v>42</v>
      </c>
      <c r="J108" s="111">
        <f t="shared" si="15"/>
        <v>285.33787384141993</v>
      </c>
    </row>
    <row r="109" spans="2:10">
      <c r="B109" s="114">
        <v>2025</v>
      </c>
      <c r="C109" s="113">
        <f t="shared" si="14"/>
        <v>48.248217569139548</v>
      </c>
      <c r="D109" s="324">
        <f>ROUND((C108-J50)-(C108*$D$98),0)</f>
        <v>43</v>
      </c>
      <c r="E109" s="112">
        <f t="shared" si="16"/>
        <v>40</v>
      </c>
      <c r="F109" s="112">
        <f t="shared" si="17"/>
        <v>41</v>
      </c>
      <c r="G109" s="112">
        <f t="shared" si="18"/>
        <v>41</v>
      </c>
      <c r="H109" s="112">
        <f t="shared" si="19"/>
        <v>36</v>
      </c>
      <c r="I109" s="112">
        <f t="shared" si="20"/>
        <v>33</v>
      </c>
      <c r="J109" s="111">
        <f t="shared" si="15"/>
        <v>282.24821756913957</v>
      </c>
    </row>
    <row r="110" spans="2:10">
      <c r="B110" s="114">
        <v>2026</v>
      </c>
      <c r="C110" s="113">
        <f t="shared" si="14"/>
        <v>48.248217569139548</v>
      </c>
      <c r="D110" s="324">
        <f>ROUND((C109-K50)-(C109*$D$98),0)</f>
        <v>44</v>
      </c>
      <c r="E110" s="112">
        <f t="shared" si="16"/>
        <v>41</v>
      </c>
      <c r="F110" s="112">
        <f t="shared" si="17"/>
        <v>39</v>
      </c>
      <c r="G110" s="112">
        <f t="shared" si="18"/>
        <v>41</v>
      </c>
      <c r="H110" s="112">
        <f t="shared" si="19"/>
        <v>41</v>
      </c>
      <c r="I110" s="112">
        <f t="shared" si="20"/>
        <v>33</v>
      </c>
      <c r="J110" s="111">
        <f t="shared" si="15"/>
        <v>287.24821756913957</v>
      </c>
    </row>
    <row r="111" spans="2:10">
      <c r="B111" s="114">
        <v>2027</v>
      </c>
      <c r="C111" s="113">
        <f t="shared" si="14"/>
        <v>50.068905024578775</v>
      </c>
      <c r="D111" s="324">
        <f>ROUND((C110-L50)-(C110*$D$98),0)</f>
        <v>43</v>
      </c>
      <c r="E111" s="112">
        <f t="shared" si="16"/>
        <v>42</v>
      </c>
      <c r="F111" s="112">
        <f t="shared" si="17"/>
        <v>40</v>
      </c>
      <c r="G111" s="112">
        <f t="shared" si="18"/>
        <v>39</v>
      </c>
      <c r="H111" s="112">
        <f t="shared" si="19"/>
        <v>41</v>
      </c>
      <c r="I111" s="112">
        <f t="shared" si="20"/>
        <v>38</v>
      </c>
      <c r="J111" s="111">
        <f t="shared" si="15"/>
        <v>293.06890502457878</v>
      </c>
    </row>
    <row r="112" spans="2:10">
      <c r="B112" s="114">
        <v>2028</v>
      </c>
      <c r="C112" s="113">
        <f t="shared" si="14"/>
        <v>50.068905024578775</v>
      </c>
      <c r="D112" s="324">
        <f>ROUND((C111-M50)-(C111*$D$98),0)</f>
        <v>45</v>
      </c>
      <c r="E112" s="112">
        <f t="shared" si="16"/>
        <v>41</v>
      </c>
      <c r="F112" s="112">
        <f t="shared" si="17"/>
        <v>41</v>
      </c>
      <c r="G112" s="112">
        <f t="shared" si="18"/>
        <v>40</v>
      </c>
      <c r="H112" s="112">
        <f t="shared" si="19"/>
        <v>39</v>
      </c>
      <c r="I112" s="112">
        <f t="shared" si="20"/>
        <v>38</v>
      </c>
      <c r="J112" s="111">
        <f t="shared" si="15"/>
        <v>294.06890502457878</v>
      </c>
    </row>
    <row r="113" spans="2:10" ht="15" customHeight="1">
      <c r="B113" s="114">
        <v>2029</v>
      </c>
      <c r="C113" s="113">
        <f t="shared" si="14"/>
        <v>50.068905024578775</v>
      </c>
      <c r="D113" s="324">
        <f>ROUND((C112-N50)-(C112*$D$98),0)</f>
        <v>45</v>
      </c>
      <c r="E113" s="112">
        <f t="shared" si="16"/>
        <v>43</v>
      </c>
      <c r="F113" s="112">
        <f t="shared" si="17"/>
        <v>40</v>
      </c>
      <c r="G113" s="112">
        <f t="shared" si="18"/>
        <v>41</v>
      </c>
      <c r="H113" s="112">
        <f t="shared" si="19"/>
        <v>40</v>
      </c>
      <c r="I113" s="112">
        <f t="shared" si="20"/>
        <v>36</v>
      </c>
      <c r="J113" s="111">
        <f t="shared" si="15"/>
        <v>295.06890502457878</v>
      </c>
    </row>
    <row r="114" spans="2:10" ht="15" customHeight="1">
      <c r="B114" s="114">
        <v>2030</v>
      </c>
      <c r="C114" s="113">
        <f t="shared" si="14"/>
        <v>50.068905024578775</v>
      </c>
      <c r="D114" s="324">
        <f>ROUND((C113-O50)-(C113*$D$98),0)</f>
        <v>45</v>
      </c>
      <c r="E114" s="112">
        <f t="shared" si="16"/>
        <v>43</v>
      </c>
      <c r="F114" s="112">
        <f t="shared" si="17"/>
        <v>42</v>
      </c>
      <c r="G114" s="112">
        <f t="shared" si="18"/>
        <v>40</v>
      </c>
      <c r="H114" s="112">
        <f t="shared" si="19"/>
        <v>41</v>
      </c>
      <c r="I114" s="112">
        <f t="shared" si="20"/>
        <v>37</v>
      </c>
      <c r="J114" s="111">
        <f t="shared" si="15"/>
        <v>298.06890502457878</v>
      </c>
    </row>
    <row r="115" spans="2:10" ht="15" customHeight="1">
      <c r="B115" s="114">
        <v>2031</v>
      </c>
      <c r="C115" s="113">
        <f t="shared" si="14"/>
        <v>50.068905024578775</v>
      </c>
      <c r="D115" s="324">
        <f>ROUND((C114-P50)-(C114*$D$98),0)</f>
        <v>45</v>
      </c>
      <c r="E115" s="112">
        <f t="shared" si="16"/>
        <v>43</v>
      </c>
      <c r="F115" s="112">
        <f t="shared" si="17"/>
        <v>42</v>
      </c>
      <c r="G115" s="112">
        <f t="shared" si="18"/>
        <v>42</v>
      </c>
      <c r="H115" s="112">
        <f t="shared" si="19"/>
        <v>40</v>
      </c>
      <c r="I115" s="112">
        <f t="shared" si="20"/>
        <v>38</v>
      </c>
      <c r="J115" s="111">
        <f t="shared" si="15"/>
        <v>300.06890502457878</v>
      </c>
    </row>
    <row r="116" spans="2:10" ht="15" customHeight="1">
      <c r="B116" s="114">
        <v>2032</v>
      </c>
      <c r="C116" s="113">
        <f t="shared" si="14"/>
        <v>50.068905024578775</v>
      </c>
      <c r="D116" s="324">
        <f>ROUND((C115-Q50)-(C115*$D$98),0)</f>
        <v>45</v>
      </c>
      <c r="E116" s="112">
        <f t="shared" si="16"/>
        <v>43</v>
      </c>
      <c r="F116" s="112">
        <f t="shared" si="17"/>
        <v>42</v>
      </c>
      <c r="G116" s="112">
        <f t="shared" si="18"/>
        <v>42</v>
      </c>
      <c r="H116" s="112">
        <f t="shared" si="19"/>
        <v>42</v>
      </c>
      <c r="I116" s="112">
        <f t="shared" si="20"/>
        <v>37</v>
      </c>
      <c r="J116" s="111">
        <f t="shared" si="15"/>
        <v>301.06890502457878</v>
      </c>
    </row>
    <row r="117" spans="2:10" ht="15" hidden="1" customHeight="1">
      <c r="F117" s="14"/>
      <c r="G117" s="14"/>
    </row>
    <row r="118" spans="2:10" ht="15" hidden="1" customHeight="1">
      <c r="B118" s="15" t="str">
        <f>"Table 4C: "&amp;E3&amp;" Projected Pupil Generation from Housing Development, 2019-2032"</f>
        <v>Table 4C: St Francis' RC Primary School Projected Pupil Generation from Housing Development, 2019-2032</v>
      </c>
      <c r="F118" s="14"/>
      <c r="G118" s="14"/>
    </row>
    <row r="119" spans="2:10" ht="15" hidden="1" customHeight="1">
      <c r="F119" s="14"/>
      <c r="G119" s="14"/>
    </row>
    <row r="120" spans="2:10" ht="15" hidden="1" customHeight="1">
      <c r="B120" s="115"/>
      <c r="C120" s="109" t="s">
        <v>1</v>
      </c>
      <c r="D120" s="109" t="s">
        <v>2</v>
      </c>
      <c r="E120" s="109" t="s">
        <v>3</v>
      </c>
      <c r="F120" s="109" t="s">
        <v>4</v>
      </c>
      <c r="G120" s="109" t="s">
        <v>5</v>
      </c>
      <c r="H120" s="109" t="s">
        <v>6</v>
      </c>
      <c r="I120" s="109" t="s">
        <v>7</v>
      </c>
      <c r="J120" s="109" t="s">
        <v>8</v>
      </c>
    </row>
    <row r="121" spans="2:10" ht="15" hidden="1" customHeight="1">
      <c r="B121" s="114">
        <v>2019</v>
      </c>
      <c r="C121" s="116" t="s">
        <v>97</v>
      </c>
      <c r="D121" s="112">
        <f>VLOOKUP($E$3,'Housing Generation'!$A$3:$BE$90,11,FALSE)</f>
        <v>2</v>
      </c>
      <c r="E121" s="112">
        <f>VLOOKUP($E$3,'Housing Generation'!$A$3:$BE$90,12,FALSE)</f>
        <v>1</v>
      </c>
      <c r="F121" s="112">
        <f>VLOOKUP($E$3,'Housing Generation'!$A$3:$BE$90,13,FALSE)</f>
        <v>1</v>
      </c>
      <c r="G121" s="112">
        <f>VLOOKUP($E$3,'Housing Generation'!$A$3:$BE$90,14,FALSE)</f>
        <v>1</v>
      </c>
      <c r="H121" s="112">
        <f>VLOOKUP($E$3,'Housing Generation'!$A$3:$BE$90,15,FALSE)</f>
        <v>1</v>
      </c>
      <c r="I121" s="112">
        <f>VLOOKUP($E$3,'Housing Generation'!$A$3:$BE$90,16,FALSE)</f>
        <v>1</v>
      </c>
      <c r="J121" s="111">
        <f t="shared" ref="J121:J134" si="21">SUM(D121:I121)</f>
        <v>7</v>
      </c>
    </row>
    <row r="122" spans="2:10" ht="15" hidden="1" customHeight="1">
      <c r="B122" s="114">
        <v>2020</v>
      </c>
      <c r="C122" s="116" t="s">
        <v>97</v>
      </c>
      <c r="D122" s="112">
        <f>VLOOKUP($E$3,'Housing Generation'!$A$3:$BE$90,19,FALSE)</f>
        <v>3</v>
      </c>
      <c r="E122" s="112">
        <f>VLOOKUP($E$3,'Housing Generation'!$A$3:$BE$90,20,FALSE)</f>
        <v>3</v>
      </c>
      <c r="F122" s="112">
        <f>VLOOKUP($E$3,'Housing Generation'!$A$3:$BE$90,21,FALSE)</f>
        <v>2</v>
      </c>
      <c r="G122" s="112">
        <f>VLOOKUP($E$3,'Housing Generation'!$A$3:$BE$90,22,FALSE)</f>
        <v>2</v>
      </c>
      <c r="H122" s="112">
        <f>VLOOKUP($E$3,'Housing Generation'!$A$3:$BE$90,23,FALSE)</f>
        <v>2</v>
      </c>
      <c r="I122" s="112">
        <f>VLOOKUP($E$3,'Housing Generation'!$A$3:$BE$90,24,FALSE)</f>
        <v>2</v>
      </c>
      <c r="J122" s="111">
        <f t="shared" si="21"/>
        <v>14</v>
      </c>
    </row>
    <row r="123" spans="2:10" ht="15" hidden="1" customHeight="1">
      <c r="B123" s="114">
        <v>2021</v>
      </c>
      <c r="C123" s="116" t="s">
        <v>97</v>
      </c>
      <c r="D123" s="112">
        <f>VLOOKUP($E$3,'Housing Generation'!$A$3:$BE$90,27,FALSE)</f>
        <v>4</v>
      </c>
      <c r="E123" s="112">
        <f>VLOOKUP($E$3,'Housing Generation'!$A$3:$BE$90,28,FALSE)</f>
        <v>4</v>
      </c>
      <c r="F123" s="112">
        <f>VLOOKUP($E$3,'Housing Generation'!$A$3:$BE$90,29,FALSE)</f>
        <v>3</v>
      </c>
      <c r="G123" s="112">
        <f>VLOOKUP($E$3,'Housing Generation'!$A$3:$BE$90,30,FALSE)</f>
        <v>3</v>
      </c>
      <c r="H123" s="112">
        <f>VLOOKUP($E$3,'Housing Generation'!$A$3:$BE$90,31,FALSE)</f>
        <v>3</v>
      </c>
      <c r="I123" s="112">
        <f>VLOOKUP($E$3,'Housing Generation'!$A$3:$BE$90,32,FALSE)</f>
        <v>3</v>
      </c>
      <c r="J123" s="111">
        <f t="shared" si="21"/>
        <v>20</v>
      </c>
    </row>
    <row r="124" spans="2:10" ht="15" hidden="1" customHeight="1">
      <c r="B124" s="114">
        <v>2022</v>
      </c>
      <c r="C124" s="116" t="s">
        <v>97</v>
      </c>
      <c r="D124" s="112">
        <f>VLOOKUP($E$3,'Housing Generation'!$A$3:$BE$90,35,FALSE)</f>
        <v>4</v>
      </c>
      <c r="E124" s="112">
        <f>VLOOKUP($E$3,'Housing Generation'!$A$3:$BE$90,36,FALSE)</f>
        <v>4</v>
      </c>
      <c r="F124" s="112">
        <f>VLOOKUP($E$3,'Housing Generation'!$A$3:$BE$90,37,FALSE)</f>
        <v>4</v>
      </c>
      <c r="G124" s="112">
        <f>VLOOKUP($E$3,'Housing Generation'!$A$3:$BE$90,38,FALSE)</f>
        <v>4</v>
      </c>
      <c r="H124" s="112">
        <f>VLOOKUP($E$3,'Housing Generation'!$A$3:$BE$90,39,FALSE)</f>
        <v>4</v>
      </c>
      <c r="I124" s="112">
        <f>VLOOKUP($E$3,'Housing Generation'!$A$3:$BE$90,40,FALSE)</f>
        <v>4</v>
      </c>
      <c r="J124" s="111">
        <f t="shared" si="21"/>
        <v>24</v>
      </c>
    </row>
    <row r="125" spans="2:10" ht="15" hidden="1" customHeight="1">
      <c r="B125" s="114">
        <v>2023</v>
      </c>
      <c r="C125" s="116" t="s">
        <v>97</v>
      </c>
      <c r="D125" s="112">
        <f>VLOOKUP($E$3,'Housing Generation'!$A$3:$BE$90,43,FALSE)</f>
        <v>5</v>
      </c>
      <c r="E125" s="112">
        <f>VLOOKUP($E$3,'Housing Generation'!$A$3:$BE$90,44,FALSE)</f>
        <v>5</v>
      </c>
      <c r="F125" s="112">
        <f>VLOOKUP($E$3,'Housing Generation'!$A$3:$BE$90,45,FALSE)</f>
        <v>5</v>
      </c>
      <c r="G125" s="112">
        <f>VLOOKUP($E$3,'Housing Generation'!$A$3:$BE$90,46,FALSE)</f>
        <v>5</v>
      </c>
      <c r="H125" s="112">
        <f>VLOOKUP($E$3,'Housing Generation'!$A$3:$BE$90,47,FALSE)</f>
        <v>4</v>
      </c>
      <c r="I125" s="112">
        <f>VLOOKUP($E$3,'Housing Generation'!$A$3:$BE$90,48,FALSE)</f>
        <v>4</v>
      </c>
      <c r="J125" s="111">
        <f t="shared" si="21"/>
        <v>28</v>
      </c>
    </row>
    <row r="126" spans="2:10" ht="15" hidden="1" customHeight="1">
      <c r="B126" s="114">
        <v>2024</v>
      </c>
      <c r="C126" s="116" t="s">
        <v>97</v>
      </c>
      <c r="D126" s="112">
        <f>VLOOKUP($E$3,'Housing Generation'!$A$3:$BE$90,51,FALSE)</f>
        <v>5</v>
      </c>
      <c r="E126" s="112">
        <f>VLOOKUP($E$3,'Housing Generation'!$A$3:$BE$90,52,FALSE)</f>
        <v>5</v>
      </c>
      <c r="F126" s="112">
        <f>VLOOKUP($E$3,'Housing Generation'!$A$3:$BE$90,53,FALSE)</f>
        <v>5</v>
      </c>
      <c r="G126" s="112">
        <f>VLOOKUP($E$3,'Housing Generation'!$A$3:$BE$90,54,FALSE)</f>
        <v>5</v>
      </c>
      <c r="H126" s="112">
        <f>VLOOKUP($E$3,'Housing Generation'!$A$3:$BE$90,55,FALSE)</f>
        <v>5</v>
      </c>
      <c r="I126" s="112">
        <f>VLOOKUP($E$3,'Housing Generation'!$A$3:$BE$90,56,FALSE)</f>
        <v>5</v>
      </c>
      <c r="J126" s="111">
        <f t="shared" si="21"/>
        <v>30</v>
      </c>
    </row>
    <row r="127" spans="2:10" ht="15" hidden="1" customHeight="1">
      <c r="B127" s="114">
        <v>2025</v>
      </c>
      <c r="C127" s="240" t="s">
        <v>97</v>
      </c>
      <c r="D127" s="112">
        <f>VLOOKUP($E$3,'Housing Generation'!$A$3:$CK$90,59,FALSE)</f>
        <v>6</v>
      </c>
      <c r="E127" s="112">
        <f>VLOOKUP($E$3,'Housing Generation'!$A$3:$CK$90,60,FALSE)</f>
        <v>6</v>
      </c>
      <c r="F127" s="112">
        <f>VLOOKUP($E$3,'Housing Generation'!$A$3:$CK$90,61,FALSE)</f>
        <v>5</v>
      </c>
      <c r="G127" s="112">
        <f>VLOOKUP($E$3,'Housing Generation'!$A$3:$CK$90,62,FALSE)</f>
        <v>5</v>
      </c>
      <c r="H127" s="112">
        <f>VLOOKUP($E$3,'Housing Generation'!$A$3:$CK$90,63,FALSE)</f>
        <v>5</v>
      </c>
      <c r="I127" s="112">
        <f>VLOOKUP($E$3,'Housing Generation'!$A$3:$CK$90,64,FALSE)</f>
        <v>5</v>
      </c>
      <c r="J127" s="111">
        <f t="shared" si="21"/>
        <v>32</v>
      </c>
    </row>
    <row r="128" spans="2:10" ht="15" hidden="1" customHeight="1">
      <c r="B128" s="114">
        <v>2026</v>
      </c>
      <c r="C128" s="240" t="s">
        <v>97</v>
      </c>
      <c r="D128" s="112">
        <f>VLOOKUP($E$3,'Housing Generation'!$A$3:$CK$90,67,FALSE)</f>
        <v>6</v>
      </c>
      <c r="E128" s="112">
        <f>VLOOKUP($E$3,'Housing Generation'!$A$3:$CK$90,68,FALSE)</f>
        <v>6</v>
      </c>
      <c r="F128" s="112">
        <f>VLOOKUP($E$3,'Housing Generation'!$A$3:$CK$90,69,FALSE)</f>
        <v>6</v>
      </c>
      <c r="G128" s="112">
        <f>VLOOKUP($E$3,'Housing Generation'!$A$3:$CK$90,70,FALSE)</f>
        <v>6</v>
      </c>
      <c r="H128" s="112">
        <f>VLOOKUP($E$3,'Housing Generation'!$A$3:$CK$90,71,FALSE)</f>
        <v>6</v>
      </c>
      <c r="I128" s="112">
        <f>VLOOKUP($E$3,'Housing Generation'!$A$3:$CK$90,72,FALSE)</f>
        <v>5</v>
      </c>
      <c r="J128" s="111">
        <f t="shared" si="21"/>
        <v>35</v>
      </c>
    </row>
    <row r="129" spans="2:10" ht="15" hidden="1" customHeight="1">
      <c r="B129" s="114">
        <v>2027</v>
      </c>
      <c r="C129" s="240" t="s">
        <v>97</v>
      </c>
      <c r="D129" s="112">
        <f>VLOOKUP($E$3,'Housing Generation'!$A$3:$CK$90,75,FALSE)</f>
        <v>7</v>
      </c>
      <c r="E129" s="112">
        <f>VLOOKUP($E$3,'Housing Generation'!$A$3:$CK$90,76,FALSE)</f>
        <v>6</v>
      </c>
      <c r="F129" s="112">
        <f>VLOOKUP($E$3,'Housing Generation'!$A$3:$CK$90,77,FALSE)</f>
        <v>6</v>
      </c>
      <c r="G129" s="112">
        <f>VLOOKUP($E$3,'Housing Generation'!$A$3:$CK$90,78,FALSE)</f>
        <v>6</v>
      </c>
      <c r="H129" s="112">
        <f>VLOOKUP($E$3,'Housing Generation'!$A$3:$CK$90,79,FALSE)</f>
        <v>6</v>
      </c>
      <c r="I129" s="112">
        <f>VLOOKUP($E$3,'Housing Generation'!$A$3:$CK$90,80,FALSE)</f>
        <v>6</v>
      </c>
      <c r="J129" s="111">
        <f t="shared" si="21"/>
        <v>37</v>
      </c>
    </row>
    <row r="130" spans="2:10" ht="15" customHeight="1">
      <c r="B130" s="114">
        <v>2028</v>
      </c>
      <c r="C130" s="289" t="s">
        <v>97</v>
      </c>
      <c r="D130" s="112">
        <f>VLOOKUP($E$3,'Housing Generation'!$A$3:$CK$90,83,FALSE)</f>
        <v>7</v>
      </c>
      <c r="E130" s="112">
        <f>VLOOKUP($E$3,'Housing Generation'!$A$3:$CK$90,84,FALSE)</f>
        <v>7</v>
      </c>
      <c r="F130" s="112">
        <f>VLOOKUP($E$3,'Housing Generation'!$A$3:$CK$90,85,FALSE)</f>
        <v>7</v>
      </c>
      <c r="G130" s="112">
        <f>VLOOKUP($E$3,'Housing Generation'!$A$3:$CK$90,86,FALSE)</f>
        <v>6</v>
      </c>
      <c r="H130" s="112">
        <f>VLOOKUP($E$3,'Housing Generation'!$A$3:$CK$90,87,FALSE)</f>
        <v>6</v>
      </c>
      <c r="I130" s="112">
        <f>VLOOKUP($E$3,'Housing Generation'!$A$3:$CK$90,88,FALSE)</f>
        <v>6</v>
      </c>
      <c r="J130" s="111">
        <f t="shared" si="21"/>
        <v>39</v>
      </c>
    </row>
    <row r="131" spans="2:10" ht="15" customHeight="1">
      <c r="B131" s="114">
        <v>2029</v>
      </c>
      <c r="C131" s="289" t="s">
        <v>97</v>
      </c>
      <c r="D131" s="112">
        <f>VLOOKUP($E$3,'Housing Generation'!$A$3:$DQ$90,91,FALSE)</f>
        <v>7</v>
      </c>
      <c r="E131" s="112">
        <f>VLOOKUP($E$3,'Housing Generation'!$A$3:$DQ$90,92,FALSE)</f>
        <v>7</v>
      </c>
      <c r="F131" s="112">
        <f>VLOOKUP($E$3,'Housing Generation'!$A$3:$DQ$90,93,FALSE)</f>
        <v>7</v>
      </c>
      <c r="G131" s="112">
        <f>VLOOKUP($E$3,'Housing Generation'!$A$3:$DQ$90,94,FALSE)</f>
        <v>7</v>
      </c>
      <c r="H131" s="112">
        <f>VLOOKUP($E$3,'Housing Generation'!$A$3:$DQ$90,95,FALSE)</f>
        <v>6</v>
      </c>
      <c r="I131" s="112">
        <f>VLOOKUP($E$3,'Housing Generation'!$A$3:$DQ$90,96,FALSE)</f>
        <v>6</v>
      </c>
      <c r="J131" s="111">
        <f t="shared" si="21"/>
        <v>40</v>
      </c>
    </row>
    <row r="132" spans="2:10" ht="15" customHeight="1">
      <c r="B132" s="114">
        <v>2030</v>
      </c>
      <c r="C132" s="289" t="s">
        <v>97</v>
      </c>
      <c r="D132" s="112">
        <f>VLOOKUP($E$3,'Housing Generation'!$A$3:$DQ$90,99,FALSE)</f>
        <v>7</v>
      </c>
      <c r="E132" s="112">
        <f>VLOOKUP($E$3,'Housing Generation'!$A$3:$DQ$90,100,FALSE)</f>
        <v>7</v>
      </c>
      <c r="F132" s="112">
        <f>VLOOKUP($E$3,'Housing Generation'!$A$3:$DQ$90,101,FALSE)</f>
        <v>7</v>
      </c>
      <c r="G132" s="112">
        <f>VLOOKUP($E$3,'Housing Generation'!$A$3:$DQ$90,102,FALSE)</f>
        <v>7</v>
      </c>
      <c r="H132" s="112">
        <f>VLOOKUP($E$3,'Housing Generation'!$A$3:$DQ$90,103,FALSE)</f>
        <v>6</v>
      </c>
      <c r="I132" s="112">
        <f>VLOOKUP($E$3,'Housing Generation'!$A$3:$DQ$90,104,FALSE)</f>
        <v>6</v>
      </c>
      <c r="J132" s="111">
        <f t="shared" si="21"/>
        <v>40</v>
      </c>
    </row>
    <row r="133" spans="2:10" ht="15" customHeight="1">
      <c r="B133" s="114">
        <v>2031</v>
      </c>
      <c r="C133" s="289" t="s">
        <v>97</v>
      </c>
      <c r="D133" s="112">
        <f>VLOOKUP($E$3,'Housing Generation'!$A$3:$DQ$90,107,FALSE)</f>
        <v>7</v>
      </c>
      <c r="E133" s="112">
        <f>VLOOKUP($E$3,'Housing Generation'!$A$3:$DQ$90,108,FALSE)</f>
        <v>7</v>
      </c>
      <c r="F133" s="112">
        <f>VLOOKUP($E$3,'Housing Generation'!$A$3:$DQ$90,109,FALSE)</f>
        <v>7</v>
      </c>
      <c r="G133" s="112">
        <f>VLOOKUP($E$3,'Housing Generation'!$A$3:$DQ$90,110,FALSE)</f>
        <v>7</v>
      </c>
      <c r="H133" s="112">
        <f>VLOOKUP($E$3,'Housing Generation'!$A$3:$DQ$90,111,FALSE)</f>
        <v>7</v>
      </c>
      <c r="I133" s="112">
        <f>VLOOKUP($E$3,'Housing Generation'!$A$3:$DQ$90,112,FALSE)</f>
        <v>6</v>
      </c>
      <c r="J133" s="111">
        <f t="shared" si="21"/>
        <v>41</v>
      </c>
    </row>
    <row r="134" spans="2:10" ht="15" customHeight="1">
      <c r="B134" s="114">
        <v>2032</v>
      </c>
      <c r="C134" s="289" t="s">
        <v>97</v>
      </c>
      <c r="D134" s="112">
        <f>VLOOKUP($E$3,'Housing Generation'!$A$3:$DQ$90,115,FALSE)</f>
        <v>7</v>
      </c>
      <c r="E134" s="112">
        <f>VLOOKUP($E$3,'Housing Generation'!$A$3:$DQ$90,116,FALSE)</f>
        <v>7</v>
      </c>
      <c r="F134" s="112">
        <f>VLOOKUP($E$3,'Housing Generation'!$A$3:$DQ$90,117,FALSE)</f>
        <v>7</v>
      </c>
      <c r="G134" s="112">
        <f>VLOOKUP($E$3,'Housing Generation'!$A$3:$DQ$90,118,FALSE)</f>
        <v>7</v>
      </c>
      <c r="H134" s="112">
        <f>VLOOKUP($E$3,'Housing Generation'!$A$3:$DQ$90,119,FALSE)</f>
        <v>7</v>
      </c>
      <c r="I134" s="112">
        <f>VLOOKUP($E$3,'Housing Generation'!$A$3:$DQ$90,120,FALSE)</f>
        <v>6</v>
      </c>
      <c r="J134" s="111">
        <f t="shared" si="21"/>
        <v>41</v>
      </c>
    </row>
    <row r="135" spans="2:10" ht="15" hidden="1"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St Francis' RC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39.144780291943405</v>
      </c>
      <c r="D139" s="112">
        <f t="shared" ref="D139:I152" si="23">D121+D103</f>
        <v>51</v>
      </c>
      <c r="E139" s="112">
        <f t="shared" si="23"/>
        <v>46</v>
      </c>
      <c r="F139" s="112">
        <f t="shared" si="23"/>
        <v>31</v>
      </c>
      <c r="G139" s="112">
        <f t="shared" si="23"/>
        <v>26</v>
      </c>
      <c r="H139" s="112">
        <f t="shared" si="23"/>
        <v>31</v>
      </c>
      <c r="I139" s="112">
        <f t="shared" si="23"/>
        <v>40</v>
      </c>
      <c r="J139" s="111">
        <f t="shared" ref="J139:J147" si="24">SUM(C139:I139)</f>
        <v>264.14478029194339</v>
      </c>
    </row>
    <row r="140" spans="2:10" ht="15" customHeight="1">
      <c r="B140" s="114">
        <v>2020</v>
      </c>
      <c r="C140" s="113">
        <f t="shared" si="22"/>
        <v>40.96546774738264</v>
      </c>
      <c r="D140" s="112">
        <f t="shared" si="23"/>
        <v>41</v>
      </c>
      <c r="E140" s="112">
        <f t="shared" si="23"/>
        <v>50</v>
      </c>
      <c r="F140" s="112">
        <f t="shared" si="23"/>
        <v>45</v>
      </c>
      <c r="G140" s="112">
        <f t="shared" si="23"/>
        <v>32</v>
      </c>
      <c r="H140" s="112">
        <f t="shared" si="23"/>
        <v>27</v>
      </c>
      <c r="I140" s="112">
        <f t="shared" si="23"/>
        <v>30</v>
      </c>
      <c r="J140" s="111">
        <f t="shared" si="24"/>
        <v>265.9654677473826</v>
      </c>
    </row>
    <row r="141" spans="2:10" ht="15" customHeight="1">
      <c r="B141" s="114">
        <v>2021</v>
      </c>
      <c r="C141" s="113">
        <f t="shared" si="22"/>
        <v>45.517186385980708</v>
      </c>
      <c r="D141" s="112">
        <f t="shared" si="23"/>
        <v>43</v>
      </c>
      <c r="E141" s="112">
        <f t="shared" si="23"/>
        <v>40</v>
      </c>
      <c r="F141" s="112">
        <f t="shared" si="23"/>
        <v>48</v>
      </c>
      <c r="G141" s="112">
        <f t="shared" si="23"/>
        <v>46</v>
      </c>
      <c r="H141" s="112">
        <f t="shared" si="23"/>
        <v>33</v>
      </c>
      <c r="I141" s="112">
        <f t="shared" si="23"/>
        <v>26</v>
      </c>
      <c r="J141" s="111">
        <f t="shared" si="24"/>
        <v>281.51718638598072</v>
      </c>
    </row>
    <row r="142" spans="2:10" ht="15" customHeight="1">
      <c r="B142" s="114">
        <v>2022</v>
      </c>
      <c r="C142" s="113">
        <f t="shared" si="22"/>
        <v>47.337873841419935</v>
      </c>
      <c r="D142" s="112">
        <f t="shared" si="23"/>
        <v>48</v>
      </c>
      <c r="E142" s="112">
        <f t="shared" si="23"/>
        <v>41</v>
      </c>
      <c r="F142" s="112">
        <f t="shared" si="23"/>
        <v>39</v>
      </c>
      <c r="G142" s="112">
        <f t="shared" si="23"/>
        <v>49</v>
      </c>
      <c r="H142" s="112">
        <f t="shared" si="23"/>
        <v>47</v>
      </c>
      <c r="I142" s="112">
        <f t="shared" si="23"/>
        <v>32</v>
      </c>
      <c r="J142" s="111">
        <f t="shared" si="24"/>
        <v>303.33787384141993</v>
      </c>
    </row>
    <row r="143" spans="2:10" ht="15" customHeight="1">
      <c r="B143" s="114">
        <v>2023</v>
      </c>
      <c r="C143" s="113">
        <f t="shared" si="22"/>
        <v>46.427530113700321</v>
      </c>
      <c r="D143" s="112">
        <f t="shared" si="23"/>
        <v>49</v>
      </c>
      <c r="E143" s="112">
        <f t="shared" si="23"/>
        <v>47</v>
      </c>
      <c r="F143" s="112">
        <f t="shared" si="23"/>
        <v>41</v>
      </c>
      <c r="G143" s="112">
        <f t="shared" si="23"/>
        <v>40</v>
      </c>
      <c r="H143" s="112">
        <f t="shared" si="23"/>
        <v>49</v>
      </c>
      <c r="I143" s="112">
        <f t="shared" si="23"/>
        <v>44</v>
      </c>
      <c r="J143" s="111">
        <f t="shared" si="24"/>
        <v>316.4275301137003</v>
      </c>
    </row>
    <row r="144" spans="2:10" ht="15" customHeight="1">
      <c r="B144" s="114">
        <v>2024</v>
      </c>
      <c r="C144" s="113">
        <f t="shared" si="22"/>
        <v>47.337873841419935</v>
      </c>
      <c r="D144" s="112">
        <f t="shared" si="23"/>
        <v>47</v>
      </c>
      <c r="E144" s="112">
        <f t="shared" si="23"/>
        <v>47</v>
      </c>
      <c r="F144" s="112">
        <f t="shared" si="23"/>
        <v>46</v>
      </c>
      <c r="G144" s="112">
        <f t="shared" si="23"/>
        <v>41</v>
      </c>
      <c r="H144" s="112">
        <f t="shared" si="23"/>
        <v>40</v>
      </c>
      <c r="I144" s="112">
        <f t="shared" si="23"/>
        <v>47</v>
      </c>
      <c r="J144" s="111">
        <f t="shared" si="24"/>
        <v>315.33787384141993</v>
      </c>
    </row>
    <row r="145" spans="2:16" ht="15" customHeight="1">
      <c r="B145" s="114">
        <v>2025</v>
      </c>
      <c r="C145" s="113">
        <f t="shared" si="22"/>
        <v>48.248217569139548</v>
      </c>
      <c r="D145" s="112">
        <f t="shared" si="23"/>
        <v>49</v>
      </c>
      <c r="E145" s="112">
        <f t="shared" si="23"/>
        <v>46</v>
      </c>
      <c r="F145" s="112">
        <f t="shared" si="23"/>
        <v>46</v>
      </c>
      <c r="G145" s="112">
        <f t="shared" si="23"/>
        <v>46</v>
      </c>
      <c r="H145" s="112">
        <f t="shared" si="23"/>
        <v>41</v>
      </c>
      <c r="I145" s="112">
        <f t="shared" si="23"/>
        <v>38</v>
      </c>
      <c r="J145" s="111">
        <f t="shared" si="24"/>
        <v>314.24821756913957</v>
      </c>
    </row>
    <row r="146" spans="2:16" ht="15" customHeight="1">
      <c r="B146" s="114">
        <v>2026</v>
      </c>
      <c r="C146" s="113">
        <f t="shared" si="22"/>
        <v>48.248217569139548</v>
      </c>
      <c r="D146" s="112">
        <f t="shared" si="23"/>
        <v>50</v>
      </c>
      <c r="E146" s="112">
        <f t="shared" si="23"/>
        <v>47</v>
      </c>
      <c r="F146" s="112">
        <f t="shared" si="23"/>
        <v>45</v>
      </c>
      <c r="G146" s="112">
        <f t="shared" si="23"/>
        <v>47</v>
      </c>
      <c r="H146" s="112">
        <f t="shared" si="23"/>
        <v>47</v>
      </c>
      <c r="I146" s="112">
        <f t="shared" si="23"/>
        <v>38</v>
      </c>
      <c r="J146" s="111">
        <f t="shared" si="24"/>
        <v>322.24821756913957</v>
      </c>
    </row>
    <row r="147" spans="2:16" ht="15" customHeight="1">
      <c r="B147" s="114">
        <v>2027</v>
      </c>
      <c r="C147" s="113">
        <f t="shared" si="22"/>
        <v>50.068905024578775</v>
      </c>
      <c r="D147" s="112">
        <f t="shared" si="23"/>
        <v>50</v>
      </c>
      <c r="E147" s="112">
        <f t="shared" si="23"/>
        <v>48</v>
      </c>
      <c r="F147" s="112">
        <f t="shared" si="23"/>
        <v>46</v>
      </c>
      <c r="G147" s="112">
        <f t="shared" si="23"/>
        <v>45</v>
      </c>
      <c r="H147" s="112">
        <f t="shared" si="23"/>
        <v>47</v>
      </c>
      <c r="I147" s="112">
        <f t="shared" si="23"/>
        <v>44</v>
      </c>
      <c r="J147" s="111">
        <f t="shared" si="24"/>
        <v>330.06890502457878</v>
      </c>
    </row>
    <row r="148" spans="2:16" ht="15" customHeight="1">
      <c r="B148" s="114">
        <v>2028</v>
      </c>
      <c r="C148" s="113">
        <f t="shared" si="22"/>
        <v>50.068905024578775</v>
      </c>
      <c r="D148" s="112">
        <f t="shared" si="23"/>
        <v>52</v>
      </c>
      <c r="E148" s="112">
        <f t="shared" si="23"/>
        <v>48</v>
      </c>
      <c r="F148" s="112">
        <f t="shared" si="23"/>
        <v>48</v>
      </c>
      <c r="G148" s="112">
        <f t="shared" si="23"/>
        <v>46</v>
      </c>
      <c r="H148" s="112">
        <f t="shared" si="23"/>
        <v>45</v>
      </c>
      <c r="I148" s="112">
        <f t="shared" si="23"/>
        <v>44</v>
      </c>
      <c r="J148" s="111">
        <f t="shared" ref="J148:J152" si="25">SUM(C148:I148)</f>
        <v>333.06890502457878</v>
      </c>
    </row>
    <row r="149" spans="2:16" ht="15" customHeight="1">
      <c r="B149" s="114">
        <v>2029</v>
      </c>
      <c r="C149" s="113">
        <f t="shared" si="22"/>
        <v>50.068905024578775</v>
      </c>
      <c r="D149" s="112">
        <f t="shared" si="23"/>
        <v>52</v>
      </c>
      <c r="E149" s="112">
        <f t="shared" si="23"/>
        <v>50</v>
      </c>
      <c r="F149" s="112">
        <f t="shared" si="23"/>
        <v>47</v>
      </c>
      <c r="G149" s="112">
        <f t="shared" si="23"/>
        <v>48</v>
      </c>
      <c r="H149" s="112">
        <f t="shared" si="23"/>
        <v>46</v>
      </c>
      <c r="I149" s="112">
        <f t="shared" si="23"/>
        <v>42</v>
      </c>
      <c r="J149" s="111">
        <f t="shared" si="25"/>
        <v>335.06890502457878</v>
      </c>
    </row>
    <row r="150" spans="2:16" ht="15" customHeight="1">
      <c r="B150" s="114">
        <v>2030</v>
      </c>
      <c r="C150" s="113">
        <f t="shared" si="22"/>
        <v>50.068905024578775</v>
      </c>
      <c r="D150" s="112">
        <f t="shared" si="23"/>
        <v>52</v>
      </c>
      <c r="E150" s="112">
        <f t="shared" si="23"/>
        <v>50</v>
      </c>
      <c r="F150" s="112">
        <f t="shared" si="23"/>
        <v>49</v>
      </c>
      <c r="G150" s="112">
        <f t="shared" si="23"/>
        <v>47</v>
      </c>
      <c r="H150" s="112">
        <f t="shared" si="23"/>
        <v>47</v>
      </c>
      <c r="I150" s="112">
        <f t="shared" si="23"/>
        <v>43</v>
      </c>
      <c r="J150" s="111">
        <f t="shared" si="25"/>
        <v>338.06890502457878</v>
      </c>
    </row>
    <row r="151" spans="2:16" ht="15" customHeight="1">
      <c r="B151" s="114">
        <v>2031</v>
      </c>
      <c r="C151" s="113">
        <f t="shared" si="22"/>
        <v>50.068905024578775</v>
      </c>
      <c r="D151" s="112">
        <f t="shared" si="23"/>
        <v>52</v>
      </c>
      <c r="E151" s="112">
        <f t="shared" si="23"/>
        <v>50</v>
      </c>
      <c r="F151" s="112">
        <f t="shared" si="23"/>
        <v>49</v>
      </c>
      <c r="G151" s="112">
        <f t="shared" si="23"/>
        <v>49</v>
      </c>
      <c r="H151" s="112">
        <f t="shared" si="23"/>
        <v>47</v>
      </c>
      <c r="I151" s="112">
        <f t="shared" si="23"/>
        <v>44</v>
      </c>
      <c r="J151" s="111">
        <f t="shared" si="25"/>
        <v>341.06890502457878</v>
      </c>
    </row>
    <row r="152" spans="2:16" ht="15" customHeight="1">
      <c r="B152" s="114">
        <v>2032</v>
      </c>
      <c r="C152" s="113">
        <f t="shared" si="22"/>
        <v>50.068905024578775</v>
      </c>
      <c r="D152" s="112">
        <f t="shared" si="23"/>
        <v>52</v>
      </c>
      <c r="E152" s="112">
        <f t="shared" si="23"/>
        <v>50</v>
      </c>
      <c r="F152" s="112">
        <f t="shared" si="23"/>
        <v>49</v>
      </c>
      <c r="G152" s="112">
        <f t="shared" si="23"/>
        <v>49</v>
      </c>
      <c r="H152" s="112">
        <f t="shared" si="23"/>
        <v>49</v>
      </c>
      <c r="I152" s="112">
        <f t="shared" si="23"/>
        <v>43</v>
      </c>
      <c r="J152" s="111">
        <f t="shared" si="25"/>
        <v>342.06890502457878</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264.14478029194339</v>
      </c>
      <c r="D159" s="108">
        <f>J140</f>
        <v>265.9654677473826</v>
      </c>
      <c r="E159" s="108">
        <f>J141</f>
        <v>281.51718638598072</v>
      </c>
      <c r="F159" s="108">
        <f>J142</f>
        <v>303.33787384141993</v>
      </c>
      <c r="G159" s="108">
        <f>J143</f>
        <v>316.4275301137003</v>
      </c>
      <c r="H159" s="108">
        <f>J144</f>
        <v>315.33787384141993</v>
      </c>
      <c r="I159" s="108">
        <f>J145</f>
        <v>314.24821756913957</v>
      </c>
      <c r="J159" s="108">
        <f>J146</f>
        <v>322.24821756913957</v>
      </c>
      <c r="K159" s="108">
        <f>J147</f>
        <v>330.06890502457878</v>
      </c>
      <c r="L159" s="108">
        <f>J148</f>
        <v>333.06890502457878</v>
      </c>
      <c r="M159" s="108">
        <f>J149</f>
        <v>335.06890502457878</v>
      </c>
      <c r="N159" s="108">
        <f>J150</f>
        <v>338.06890502457878</v>
      </c>
      <c r="O159" s="108">
        <f>J151</f>
        <v>341.06890502457878</v>
      </c>
      <c r="P159" s="108">
        <f>J152</f>
        <v>342.06890502457878</v>
      </c>
    </row>
    <row r="160" spans="2:16" ht="15" customHeight="1">
      <c r="B160" s="107" t="s">
        <v>152</v>
      </c>
      <c r="C160" s="106">
        <f>VLOOKUP(C159,Capacity!$A$1:$C$645,2,TRUE)</f>
        <v>11</v>
      </c>
      <c r="D160" s="106">
        <f>VLOOKUP(D159,Capacity!$A$1:$C$645,2,TRUE)</f>
        <v>11</v>
      </c>
      <c r="E160" s="106">
        <f>VLOOKUP(E159,Capacity!$A$1:$C$645,2,TRUE)</f>
        <v>11</v>
      </c>
      <c r="F160" s="106">
        <f>VLOOKUP(F159,Capacity!$A$1:$C$645,2,TRUE)</f>
        <v>12</v>
      </c>
      <c r="G160" s="106">
        <f>VLOOKUP(G159,Capacity!$A$1:$C$645,2,TRUE)</f>
        <v>13</v>
      </c>
      <c r="H160" s="106">
        <f>VLOOKUP(H159,Capacity!$A$1:$C$645,2,TRUE)</f>
        <v>12</v>
      </c>
      <c r="I160" s="106">
        <f>VLOOKUP(I159,Capacity!$A$1:$C$645,2,TRUE)</f>
        <v>12</v>
      </c>
      <c r="J160" s="106">
        <f>VLOOKUP(J159,Capacity!$A$1:$C$645,2,TRUE)</f>
        <v>13</v>
      </c>
      <c r="K160" s="106">
        <f>VLOOKUP(K159,Capacity!$A$1:$C$645,2,TRUE)</f>
        <v>14</v>
      </c>
      <c r="L160" s="106">
        <f>VLOOKUP(L159,Capacity!$A$1:$C$645,2,TRUE)</f>
        <v>14</v>
      </c>
      <c r="M160" s="106">
        <f>VLOOKUP(M159,Capacity!$A$1:$C$645,2,TRUE)</f>
        <v>14</v>
      </c>
      <c r="N160" s="106">
        <f>VLOOKUP(N159,Capacity!$A$1:$C$645,2,TRUE)</f>
        <v>14</v>
      </c>
      <c r="O160" s="106">
        <f>VLOOKUP(O159,Capacity!$A$1:$C$645,2,TRUE)</f>
        <v>14</v>
      </c>
      <c r="P160" s="106">
        <f>VLOOKUP(P159,Capacity!$A$1:$C$645,2,TRUE)</f>
        <v>14</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113</v>
      </c>
      <c r="D169" s="97">
        <f>VLOOKUP($E$3,'Catchment Births'!$A$1:$U$90,11,FALSE)</f>
        <v>151</v>
      </c>
      <c r="E169" s="97">
        <f>VLOOKUP($E$3,'Catchment Births'!$A$1:$U$90,12,FALSE)</f>
        <v>141</v>
      </c>
      <c r="F169" s="97">
        <f>VLOOKUP($E$3,'Catchment Births'!$A$1:$U$90,13,FALSE)</f>
        <v>156</v>
      </c>
      <c r="G169" s="97">
        <f>VLOOKUP($E$3,'Catchment Births'!$A$1:$U$90,14,FALSE)</f>
        <v>162</v>
      </c>
      <c r="H169" s="97">
        <f>VLOOKUP($E$3,'Catchment Births'!$A$1:$U$90,15,FALSE)</f>
        <v>177</v>
      </c>
      <c r="I169" s="97">
        <f>VLOOKUP($E$3,'Catchment Births'!$A$1:$U$90,16,FALSE)</f>
        <v>150</v>
      </c>
      <c r="J169" s="97">
        <f>VLOOKUP($E$3,'Catchment Births'!$A$1:$U$90,17,FALSE)</f>
        <v>153</v>
      </c>
      <c r="K169" s="97">
        <f>VLOOKUP($E$3,'Catchment Births'!$A$1:$U$90,18,FALSE)</f>
        <v>161</v>
      </c>
      <c r="L169" s="97">
        <f>VLOOKUP($E$3,'Catchment Births'!$A$1:$U$90,19,FALSE)</f>
        <v>181</v>
      </c>
      <c r="M169" s="97">
        <f>VLOOKUP($E$3,'Catchment Births'!$A$1:$U$90,20,FALSE)</f>
        <v>160</v>
      </c>
      <c r="N169" s="97">
        <f>VLOOKUP($E$3,'Catchment Births'!$A$1:$U$90,21,FALSE)</f>
        <v>165</v>
      </c>
    </row>
    <row r="170" spans="2:14" ht="58.5" customHeight="1">
      <c r="B170" s="103" t="str">
        <f>"P1 "&amp;A35&amp;" Catchment Population (Actual)"</f>
        <v>P1 RC Catchment Population (Actual)</v>
      </c>
      <c r="C170" s="102" t="e">
        <v>#REF!</v>
      </c>
      <c r="D170" s="102">
        <v>27</v>
      </c>
      <c r="E170" s="102">
        <v>31</v>
      </c>
      <c r="F170" s="102">
        <v>38</v>
      </c>
      <c r="G170" s="102">
        <v>46</v>
      </c>
      <c r="H170" s="102">
        <v>37</v>
      </c>
      <c r="I170" s="102">
        <v>27</v>
      </c>
      <c r="J170" s="308">
        <f>VLOOKUP(E3,'Catchment Projections'!A1:BU92,42,FALSE)</f>
        <v>28</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180</v>
      </c>
      <c r="C172" s="99"/>
      <c r="D172" s="98"/>
      <c r="E172" s="98"/>
      <c r="F172" s="98"/>
      <c r="G172" s="97"/>
      <c r="H172" s="96"/>
      <c r="I172" s="96">
        <f>I170</f>
        <v>27</v>
      </c>
      <c r="J172" s="96" t="e">
        <f>#REF!</f>
        <v>#REF!</v>
      </c>
      <c r="K172" s="96">
        <f>D51</f>
        <v>43</v>
      </c>
      <c r="L172" s="96">
        <f>E51</f>
        <v>45</v>
      </c>
      <c r="M172" s="96">
        <f>F51</f>
        <v>50</v>
      </c>
      <c r="N172" s="96">
        <f>G51</f>
        <v>52</v>
      </c>
    </row>
    <row r="173" spans="2:14" ht="12.75">
      <c r="B173" s="62"/>
      <c r="C173" s="62"/>
      <c r="D173" s="62"/>
      <c r="E173" s="62"/>
      <c r="F173" s="62"/>
      <c r="G173" s="62"/>
      <c r="H173" s="62"/>
      <c r="I173" s="62"/>
      <c r="J173" s="62"/>
      <c r="K173" s="62"/>
    </row>
    <row r="174" spans="2:14" ht="15" customHeight="1">
      <c r="B174" s="64" t="str">
        <f>"Table 5: "&amp;E3&amp;" Roll by Stage, 2002-2018"</f>
        <v>Table 5: St Francis' RC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32</v>
      </c>
      <c r="D177" s="93">
        <v>21</v>
      </c>
      <c r="E177" s="93">
        <v>30</v>
      </c>
      <c r="F177" s="93">
        <v>16</v>
      </c>
      <c r="G177" s="93">
        <v>24</v>
      </c>
      <c r="H177" s="93">
        <v>26</v>
      </c>
      <c r="I177" s="93">
        <v>29</v>
      </c>
      <c r="J177" s="92">
        <v>178</v>
      </c>
      <c r="K177" s="62"/>
    </row>
    <row r="178" spans="2:11" ht="15" customHeight="1">
      <c r="B178" s="94">
        <v>2003</v>
      </c>
      <c r="C178" s="93">
        <v>30</v>
      </c>
      <c r="D178" s="93">
        <v>31</v>
      </c>
      <c r="E178" s="93">
        <v>23</v>
      </c>
      <c r="F178" s="93">
        <v>30</v>
      </c>
      <c r="G178" s="93">
        <v>18</v>
      </c>
      <c r="H178" s="93">
        <v>25</v>
      </c>
      <c r="I178" s="93">
        <v>32</v>
      </c>
      <c r="J178" s="92">
        <v>189</v>
      </c>
      <c r="K178" s="62"/>
    </row>
    <row r="179" spans="2:11" customFormat="1" ht="15" customHeight="1">
      <c r="B179" s="94">
        <v>2004</v>
      </c>
      <c r="C179" s="95">
        <v>22</v>
      </c>
      <c r="D179" s="95">
        <v>24</v>
      </c>
      <c r="E179" s="95">
        <v>31</v>
      </c>
      <c r="F179" s="95">
        <v>21</v>
      </c>
      <c r="G179" s="95">
        <v>29</v>
      </c>
      <c r="H179" s="95">
        <v>13</v>
      </c>
      <c r="I179" s="95">
        <v>25</v>
      </c>
      <c r="J179" s="92">
        <v>165</v>
      </c>
      <c r="K179" s="62"/>
    </row>
    <row r="180" spans="2:11" customFormat="1" ht="15" customHeight="1">
      <c r="B180" s="94">
        <v>2005</v>
      </c>
      <c r="C180" s="93">
        <v>15</v>
      </c>
      <c r="D180" s="93">
        <v>20</v>
      </c>
      <c r="E180" s="93">
        <v>24</v>
      </c>
      <c r="F180" s="93">
        <v>25</v>
      </c>
      <c r="G180" s="93">
        <v>19</v>
      </c>
      <c r="H180" s="93">
        <v>27</v>
      </c>
      <c r="I180" s="93">
        <v>14</v>
      </c>
      <c r="J180" s="92">
        <v>144</v>
      </c>
      <c r="K180" s="62"/>
    </row>
    <row r="181" spans="2:11" customFormat="1" ht="15" customHeight="1">
      <c r="B181" s="94">
        <v>2006</v>
      </c>
      <c r="C181" s="93">
        <v>19</v>
      </c>
      <c r="D181" s="93">
        <v>16</v>
      </c>
      <c r="E181" s="93">
        <v>22</v>
      </c>
      <c r="F181" s="93">
        <v>22</v>
      </c>
      <c r="G181" s="93">
        <v>22</v>
      </c>
      <c r="H181" s="93">
        <v>19</v>
      </c>
      <c r="I181" s="93">
        <v>29</v>
      </c>
      <c r="J181" s="92">
        <v>149</v>
      </c>
      <c r="K181" s="62"/>
    </row>
    <row r="182" spans="2:11" customFormat="1" ht="15" customHeight="1">
      <c r="B182" s="94">
        <v>2007</v>
      </c>
      <c r="C182" s="93">
        <v>15</v>
      </c>
      <c r="D182" s="93">
        <v>19</v>
      </c>
      <c r="E182" s="93">
        <v>20</v>
      </c>
      <c r="F182" s="93">
        <v>24</v>
      </c>
      <c r="G182" s="93">
        <v>21</v>
      </c>
      <c r="H182" s="93">
        <v>21</v>
      </c>
      <c r="I182" s="93">
        <v>18</v>
      </c>
      <c r="J182" s="92">
        <v>138</v>
      </c>
      <c r="K182" s="62"/>
    </row>
    <row r="183" spans="2:11" customFormat="1" ht="15" customHeight="1">
      <c r="B183" s="94">
        <v>2008</v>
      </c>
      <c r="C183" s="93">
        <v>28</v>
      </c>
      <c r="D183" s="93">
        <v>14</v>
      </c>
      <c r="E183" s="93">
        <v>22</v>
      </c>
      <c r="F183" s="93">
        <v>18</v>
      </c>
      <c r="G183" s="93">
        <v>24</v>
      </c>
      <c r="H183" s="93">
        <v>22</v>
      </c>
      <c r="I183" s="93">
        <v>24</v>
      </c>
      <c r="J183" s="92">
        <v>152</v>
      </c>
      <c r="K183" s="62"/>
    </row>
    <row r="184" spans="2:11" customFormat="1" ht="15" customHeight="1">
      <c r="B184" s="94">
        <v>2009</v>
      </c>
      <c r="C184" s="93">
        <v>21</v>
      </c>
      <c r="D184" s="93">
        <v>23</v>
      </c>
      <c r="E184" s="93">
        <v>15</v>
      </c>
      <c r="F184" s="93">
        <v>23</v>
      </c>
      <c r="G184" s="93">
        <v>22</v>
      </c>
      <c r="H184" s="93">
        <v>23</v>
      </c>
      <c r="I184" s="93">
        <v>21</v>
      </c>
      <c r="J184" s="94">
        <v>148</v>
      </c>
      <c r="K184" s="62"/>
    </row>
    <row r="185" spans="2:11" customFormat="1" ht="15" customHeight="1">
      <c r="B185" s="94">
        <v>2010</v>
      </c>
      <c r="C185" s="93">
        <v>20</v>
      </c>
      <c r="D185" s="93">
        <v>20</v>
      </c>
      <c r="E185" s="93">
        <v>23</v>
      </c>
      <c r="F185" s="93">
        <v>16</v>
      </c>
      <c r="G185" s="93">
        <v>23</v>
      </c>
      <c r="H185" s="93">
        <v>21</v>
      </c>
      <c r="I185" s="93">
        <v>22</v>
      </c>
      <c r="J185" s="92">
        <v>145</v>
      </c>
      <c r="K185" s="62"/>
    </row>
    <row r="186" spans="2:11" customFormat="1" ht="15" customHeight="1">
      <c r="B186" s="94">
        <v>2011</v>
      </c>
      <c r="C186" s="93">
        <v>26</v>
      </c>
      <c r="D186" s="93">
        <v>20</v>
      </c>
      <c r="E186" s="93">
        <v>19</v>
      </c>
      <c r="F186" s="93">
        <v>20</v>
      </c>
      <c r="G186" s="93">
        <v>22</v>
      </c>
      <c r="H186" s="93">
        <v>25</v>
      </c>
      <c r="I186" s="93">
        <v>19</v>
      </c>
      <c r="J186" s="92">
        <v>151</v>
      </c>
      <c r="K186" s="62"/>
    </row>
    <row r="187" spans="2:11" customFormat="1" ht="15" customHeight="1">
      <c r="B187" s="94">
        <v>2012</v>
      </c>
      <c r="C187" s="93">
        <v>40</v>
      </c>
      <c r="D187" s="93">
        <v>28</v>
      </c>
      <c r="E187" s="93">
        <v>20</v>
      </c>
      <c r="F187" s="93">
        <v>25</v>
      </c>
      <c r="G187" s="93">
        <v>20</v>
      </c>
      <c r="H187" s="93">
        <v>18</v>
      </c>
      <c r="I187" s="93">
        <v>24</v>
      </c>
      <c r="J187" s="92">
        <v>175</v>
      </c>
      <c r="K187" s="62"/>
    </row>
    <row r="188" spans="2:11" customFormat="1" ht="15" customHeight="1">
      <c r="B188" s="94">
        <v>2013</v>
      </c>
      <c r="C188" s="93">
        <v>48</v>
      </c>
      <c r="D188" s="93">
        <v>35</v>
      </c>
      <c r="E188" s="93">
        <v>29</v>
      </c>
      <c r="F188" s="93">
        <v>21</v>
      </c>
      <c r="G188" s="93">
        <v>24</v>
      </c>
      <c r="H188" s="93">
        <v>24</v>
      </c>
      <c r="I188" s="93">
        <v>21</v>
      </c>
      <c r="J188" s="94">
        <v>202</v>
      </c>
      <c r="K188" s="62"/>
    </row>
    <row r="189" spans="2:11" customFormat="1" ht="15" customHeight="1">
      <c r="B189" s="94">
        <v>2014</v>
      </c>
      <c r="C189" s="93">
        <v>33</v>
      </c>
      <c r="D189" s="93">
        <v>44</v>
      </c>
      <c r="E189" s="93">
        <v>28</v>
      </c>
      <c r="F189" s="93">
        <v>28</v>
      </c>
      <c r="G189" s="93">
        <v>21</v>
      </c>
      <c r="H189" s="93">
        <v>24</v>
      </c>
      <c r="I189" s="93">
        <v>22</v>
      </c>
      <c r="J189" s="92">
        <v>200</v>
      </c>
      <c r="K189" s="65"/>
    </row>
    <row r="190" spans="2:11" customFormat="1" ht="15" customHeight="1">
      <c r="B190" s="94">
        <v>2015</v>
      </c>
      <c r="C190" s="93">
        <v>22</v>
      </c>
      <c r="D190" s="93">
        <v>35</v>
      </c>
      <c r="E190" s="93">
        <v>43</v>
      </c>
      <c r="F190" s="93">
        <v>27</v>
      </c>
      <c r="G190" s="93">
        <v>29</v>
      </c>
      <c r="H190" s="93">
        <v>19</v>
      </c>
      <c r="I190" s="93">
        <v>23</v>
      </c>
      <c r="J190" s="92">
        <v>198</v>
      </c>
      <c r="K190" s="65"/>
    </row>
    <row r="191" spans="2:11" customFormat="1" ht="15" customHeight="1">
      <c r="B191" s="94">
        <v>2016</v>
      </c>
      <c r="C191" s="93">
        <v>27</v>
      </c>
      <c r="D191" s="93">
        <v>23</v>
      </c>
      <c r="E191" s="93">
        <v>32</v>
      </c>
      <c r="F191" s="93">
        <v>42</v>
      </c>
      <c r="G191" s="93">
        <v>26</v>
      </c>
      <c r="H191" s="93">
        <v>28</v>
      </c>
      <c r="I191" s="93">
        <v>17</v>
      </c>
      <c r="J191" s="92">
        <v>195</v>
      </c>
      <c r="K191" s="65"/>
    </row>
    <row r="192" spans="2:11" ht="15" customHeight="1">
      <c r="B192" s="94">
        <v>2017</v>
      </c>
      <c r="C192" s="93">
        <f>VLOOKUP($E$3,Rolls!A1:FA90,42,FALSE)</f>
        <v>45</v>
      </c>
      <c r="D192" s="93">
        <f>VLOOKUP($E$3,Rolls!A1:FA90,43,FALSE)</f>
        <v>26</v>
      </c>
      <c r="E192" s="93">
        <f>VLOOKUP($E$3,Rolls!A1:FA90,44,FALSE)</f>
        <v>22</v>
      </c>
      <c r="F192" s="93">
        <f>VLOOKUP($E$3,Rolls!A1:FA90,45,FALSE)</f>
        <v>29</v>
      </c>
      <c r="G192" s="93">
        <f>VLOOKUP($E$3,Rolls!A1:FA90,46,FALSE)</f>
        <v>41</v>
      </c>
      <c r="H192" s="93">
        <f>VLOOKUP($E$3,Rolls!A1:FA90,47,FALSE)</f>
        <v>26</v>
      </c>
      <c r="I192" s="93">
        <f>VLOOKUP($E$3,Rolls!A1:FA90,48,FALSE)</f>
        <v>26</v>
      </c>
      <c r="J192" s="92">
        <f>VLOOKUP($E$3,Rolls!A1:FA90,49,FALSE)</f>
        <v>215</v>
      </c>
      <c r="K192" s="65"/>
    </row>
    <row r="193" spans="2:11" ht="15" customHeight="1">
      <c r="B193" s="94">
        <v>2018</v>
      </c>
      <c r="C193" s="93">
        <f>VLOOKUP($E$3,Rolls!A1:FA90,50,FALSE)</f>
        <v>47</v>
      </c>
      <c r="D193" s="93">
        <f>VLOOKUP($E$3,Rolls!A1:FA90,51,FALSE)</f>
        <v>47</v>
      </c>
      <c r="E193" s="93">
        <f>VLOOKUP($E$3,Rolls!A1:FA90,52,FALSE)</f>
        <v>31</v>
      </c>
      <c r="F193" s="93">
        <f>VLOOKUP($E$3,Rolls!A1:FA90,53,FALSE)</f>
        <v>25</v>
      </c>
      <c r="G193" s="93">
        <f>VLOOKUP($E$3,Rolls!A1:FA90,54,FALSE)</f>
        <v>30</v>
      </c>
      <c r="H193" s="93">
        <f>VLOOKUP($E$3,Rolls!A1:FA90,55,FALSE)</f>
        <v>42</v>
      </c>
      <c r="I193" s="93">
        <f>VLOOKUP($E$3,Rolls!A1:FA90,56,FALSE)</f>
        <v>29</v>
      </c>
      <c r="J193" s="92">
        <f>VLOOKUP($E$3,Rolls!A1:FA90,57,FALSE)</f>
        <v>251</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88</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St John Vianney RC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259 Pupils (10 classes)</v>
      </c>
      <c r="G12" s="16"/>
      <c r="H12" s="16"/>
    </row>
    <row r="13" spans="2:10" ht="15" customHeight="1">
      <c r="C13" s="16"/>
      <c r="D13" s="16"/>
      <c r="E13" s="16"/>
      <c r="F13" s="16"/>
      <c r="G13" s="16"/>
      <c r="H13" s="16"/>
    </row>
    <row r="14" spans="2:10" ht="15" customHeight="1">
      <c r="B14" s="15" t="str">
        <f>"Figure 1: "&amp;E3&amp;" Roll, 2002-2015"</f>
        <v>Figure 1: St John Vianney RC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2010-2020"</f>
        <v>Figure 2: Actual Catchment Births (from 5yrs prior),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St John Vianney RC Primary School</v>
      </c>
      <c r="K34" s="16"/>
    </row>
    <row r="35" spans="1:17" ht="15" customHeight="1">
      <c r="A35" s="1" t="str">
        <f>IF(ISNUMBER(SEARCH("RC",A34)),"RC", "ND")</f>
        <v>RC</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RC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37</v>
      </c>
      <c r="E49" s="108">
        <f>VLOOKUP($E$3,'Catchment Projections'!$A$1:$BU$90,46,FALSE)</f>
        <v>37</v>
      </c>
      <c r="F49" s="108">
        <f>VLOOKUP($E$3,'Catchment Projections'!$A$1:$BU$90,47,FALSE)</f>
        <v>36</v>
      </c>
      <c r="G49" s="108">
        <f>VLOOKUP($E$3,'Catchment Projections'!$A$1:$BU$90,48,FALSE)</f>
        <v>37</v>
      </c>
      <c r="H49" s="133">
        <f>VLOOKUP($E$3,'Catchment Projections'!$A$1:$BU$90,49,FALSE)</f>
        <v>37</v>
      </c>
      <c r="I49" s="133">
        <f>VLOOKUP($E$3,'Catchment Projections'!$A$1:$BU$90,50,FALSE)</f>
        <v>38</v>
      </c>
      <c r="J49" s="133">
        <f>VLOOKUP($E$3,'Catchment Projections'!$A$1:$BU$90,51,FALSE)</f>
        <v>38</v>
      </c>
      <c r="K49" s="133">
        <f>VLOOKUP($E$3,'Catchment Projections'!$A$1:$BU$90,52,FALSE)</f>
        <v>38</v>
      </c>
      <c r="L49" s="133">
        <f>VLOOKUP($E$3,'Catchment Projections'!$A$1:$BU$90,53,FALSE)</f>
        <v>39</v>
      </c>
      <c r="M49" s="133">
        <f>VLOOKUP($E$3,'Catchment Projections'!$A$1:$BU$90,54,FALSE)</f>
        <v>39</v>
      </c>
      <c r="N49" s="133">
        <f>VLOOKUP($E$3,'Catchment Projections'!$A$1:$BU$90,55,FALSE)</f>
        <v>39</v>
      </c>
      <c r="O49" s="133">
        <f>VLOOKUP($E$3,'Catchment Projections'!$A$1:$BU$90,56,FALSE)</f>
        <v>39</v>
      </c>
      <c r="P49" s="133">
        <f>VLOOKUP($E$3,'Catchment Projections'!$A$1:$BU$90,57,FALSE)</f>
        <v>39</v>
      </c>
      <c r="Q49" s="133">
        <f>VLOOKUP($E$3,'Catchment Projections'!$A$1:$BU$90,58,FALSE)</f>
        <v>39</v>
      </c>
    </row>
    <row r="50" spans="2:17" ht="15" customHeight="1" thickBot="1">
      <c r="B50" s="410" t="s">
        <v>141</v>
      </c>
      <c r="C50" s="411"/>
      <c r="D50" s="286">
        <f>VLOOKUP(E3,'Housing Generation'!$A$3:$DQ$90,10,FALSE)</f>
        <v>2</v>
      </c>
      <c r="E50" s="286">
        <f>VLOOKUP(E3,'Housing Generation'!$A$3:$DQ$90,18,FALSE)</f>
        <v>3</v>
      </c>
      <c r="F50" s="286">
        <f>VLOOKUP(E3,'Housing Generation'!$A$3:$DQ$90,26,FALSE)</f>
        <v>4</v>
      </c>
      <c r="G50" s="243">
        <f>VLOOKUP(E3,'Housing Generation'!$A$3:$DQ$90,34,FALSE)</f>
        <v>6</v>
      </c>
      <c r="H50" s="133">
        <f>VLOOKUP(E3,'Housing Generation'!$A$3:$DQ$90,42,FALSE)</f>
        <v>8</v>
      </c>
      <c r="I50" s="133">
        <f>VLOOKUP(E3,'Housing Generation'!$A$3:$DQ$90,50,FALSE)</f>
        <v>9</v>
      </c>
      <c r="J50" s="133">
        <f>VLOOKUP(E3,'Housing Generation'!$A$3:$CK$90,58,FALSE)</f>
        <v>11</v>
      </c>
      <c r="K50" s="133">
        <f>VLOOKUP(E3,'Housing Generation'!$A$3:$CK$90,66,FALSE)</f>
        <v>12</v>
      </c>
      <c r="L50" s="133">
        <f>VLOOKUP(E3,'Housing Generation'!$A$3:$DQ$90,74,FALSE)</f>
        <v>13</v>
      </c>
      <c r="M50" s="133">
        <f>VLOOKUP(E3,'Housing Generation'!$A$3:$DQ$90,82,FALSE)</f>
        <v>13</v>
      </c>
      <c r="N50" s="133">
        <f>VLOOKUP(E3,'Housing Generation'!$A$3:$DQ$90,90,FALSE)</f>
        <v>14</v>
      </c>
      <c r="O50" s="133">
        <f>VLOOKUP(E3,'Housing Generation'!$A$3:$DQ$90,98,FALSE)</f>
        <v>14</v>
      </c>
      <c r="P50" s="133">
        <f>VLOOKUP(E3,'Housing Generation'!$A$3:$DQ$90,106,FALSE)</f>
        <v>14</v>
      </c>
      <c r="Q50" s="133">
        <f>VLOOKUP(E3,'Housing Generation'!$A$3:$DQ$90,114,FALSE)</f>
        <v>14</v>
      </c>
    </row>
    <row r="51" spans="2:17" ht="15" customHeight="1" thickTop="1">
      <c r="B51" s="421" t="s">
        <v>130</v>
      </c>
      <c r="C51" s="422"/>
      <c r="D51" s="47">
        <f t="shared" ref="D51:Q51" si="0">SUM(D49:D50)</f>
        <v>39</v>
      </c>
      <c r="E51" s="47">
        <f t="shared" si="0"/>
        <v>40</v>
      </c>
      <c r="F51" s="80">
        <f t="shared" si="0"/>
        <v>40</v>
      </c>
      <c r="G51" s="244">
        <f t="shared" si="0"/>
        <v>43</v>
      </c>
      <c r="H51" s="71">
        <f t="shared" si="0"/>
        <v>45</v>
      </c>
      <c r="I51" s="71">
        <f t="shared" si="0"/>
        <v>47</v>
      </c>
      <c r="J51" s="71">
        <f t="shared" si="0"/>
        <v>49</v>
      </c>
      <c r="K51" s="71">
        <f t="shared" si="0"/>
        <v>50</v>
      </c>
      <c r="L51" s="71">
        <f t="shared" si="0"/>
        <v>52</v>
      </c>
      <c r="M51" s="71">
        <f t="shared" si="0"/>
        <v>52</v>
      </c>
      <c r="N51" s="71">
        <f t="shared" si="0"/>
        <v>53</v>
      </c>
      <c r="O51" s="71">
        <f t="shared" si="0"/>
        <v>53</v>
      </c>
      <c r="P51" s="71">
        <f t="shared" si="0"/>
        <v>53</v>
      </c>
      <c r="Q51" s="71">
        <f t="shared" si="0"/>
        <v>53</v>
      </c>
    </row>
    <row r="52" spans="2:17" ht="15" customHeight="1">
      <c r="C52" s="36"/>
      <c r="D52" s="48"/>
      <c r="E52" s="48"/>
      <c r="F52" s="48"/>
      <c r="G52" s="48"/>
      <c r="H52" s="48"/>
    </row>
    <row r="53" spans="2:17" ht="31.5" customHeight="1">
      <c r="B53" s="423" t="s">
        <v>292</v>
      </c>
      <c r="C53" s="424"/>
      <c r="D53" s="87">
        <v>0</v>
      </c>
      <c r="E53" s="139" t="s">
        <v>181</v>
      </c>
      <c r="F53" s="140">
        <v>22</v>
      </c>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RC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39</v>
      </c>
      <c r="D60" s="358">
        <f>VLOOKUP($E$3,'Catchment Projections'!$A$1:$BZ$90,74,FALSE)</f>
        <v>36</v>
      </c>
      <c r="E60" s="303">
        <f>D60/C60</f>
        <v>0.92307692307692313</v>
      </c>
      <c r="G60" s="132">
        <v>2014</v>
      </c>
      <c r="H60" s="395">
        <f>VLOOKUP($G$60,$B$177:$C$215, 2, FALSE)</f>
        <v>37</v>
      </c>
      <c r="I60" s="120">
        <f>H60-D60</f>
        <v>1</v>
      </c>
      <c r="J60" s="121">
        <f>I60/H60</f>
        <v>2.7027027027027029E-2</v>
      </c>
    </row>
    <row r="61" spans="2:17" ht="15" customHeight="1">
      <c r="B61" s="132">
        <v>2015</v>
      </c>
      <c r="C61" s="359">
        <f>VLOOKUP($E$3,'Catchment Projections'!$A$1:$BZ$90,41,FALSE)</f>
        <v>28</v>
      </c>
      <c r="D61" s="358">
        <f>VLOOKUP($E$3,'Catchment Projections'!$A$1:$BZ$90,75,FALSE)</f>
        <v>26</v>
      </c>
      <c r="E61" s="303">
        <f>D61/C61</f>
        <v>0.9285714285714286</v>
      </c>
      <c r="G61" s="132">
        <v>2015</v>
      </c>
      <c r="H61" s="395">
        <f>VLOOKUP($G$61,$B$177:$C$215, 2, FALSE)</f>
        <v>26</v>
      </c>
      <c r="I61" s="120">
        <f>H61-D61</f>
        <v>0</v>
      </c>
      <c r="J61" s="121">
        <f>I61/H61</f>
        <v>0</v>
      </c>
    </row>
    <row r="62" spans="2:17" ht="15" customHeight="1">
      <c r="B62" s="131">
        <v>2016</v>
      </c>
      <c r="C62" s="359">
        <f>VLOOKUP($E$3,'Catchment Projections'!$A$1:$BZ$90,42,FALSE)</f>
        <v>28</v>
      </c>
      <c r="D62" s="358">
        <f>VLOOKUP($E$3,'Catchment Projections'!$A$1:$BZ$90,76,FALSE)</f>
        <v>24</v>
      </c>
      <c r="E62" s="57">
        <f>D62/C62</f>
        <v>0.8571428571428571</v>
      </c>
      <c r="G62" s="131">
        <v>2016</v>
      </c>
      <c r="H62" s="395">
        <f>VLOOKUP($G$62,$B$177:$C$215, 2, FALSE)</f>
        <v>26</v>
      </c>
      <c r="I62" s="120">
        <f>H62-D62</f>
        <v>2</v>
      </c>
      <c r="J62" s="121">
        <f>I62/H62</f>
        <v>7.6923076923076927E-2</v>
      </c>
    </row>
    <row r="63" spans="2:17" ht="15" customHeight="1">
      <c r="B63" s="114">
        <v>2017</v>
      </c>
      <c r="C63" s="359">
        <f>VLOOKUP($E$3,'Catchment Projections'!$A$1:$BZ$90,43,FALSE)</f>
        <v>31</v>
      </c>
      <c r="D63" s="358">
        <f>VLOOKUP($E$3,'Catchment Projections'!$A$1:$BZ$90,77,FALSE)</f>
        <v>29</v>
      </c>
      <c r="E63" s="304">
        <f>D63/C63</f>
        <v>0.93548387096774188</v>
      </c>
      <c r="G63" s="114">
        <v>2017</v>
      </c>
      <c r="H63" s="395">
        <f>VLOOKUP($G$63,$B$177:$C$215, 2, FALSE)</f>
        <v>29</v>
      </c>
      <c r="I63" s="120">
        <f>H63-D63</f>
        <v>0</v>
      </c>
      <c r="J63" s="121">
        <f>I63/H63</f>
        <v>0</v>
      </c>
    </row>
    <row r="64" spans="2:17" ht="15" customHeight="1">
      <c r="B64" s="114">
        <v>2018</v>
      </c>
      <c r="C64" s="359">
        <f>VLOOKUP($E$3,'Catchment Projections'!$A$1:$BZ$90,44,FALSE)</f>
        <v>50</v>
      </c>
      <c r="D64" s="358">
        <f>VLOOKUP($E$3,'Catchment Projections'!$A$1:$BZ$90,78,FALSE)</f>
        <v>43</v>
      </c>
      <c r="E64" s="305">
        <f>D64/C64</f>
        <v>0.86</v>
      </c>
      <c r="G64" s="114">
        <v>2018</v>
      </c>
      <c r="H64" s="395">
        <f>VLOOKUP($G$64,$B$177:$C$215, 2, FALSE)</f>
        <v>46</v>
      </c>
      <c r="I64" s="120">
        <f>H64-D64</f>
        <v>3</v>
      </c>
      <c r="J64" s="121">
        <f>I64/H64</f>
        <v>6.5217391304347824E-2</v>
      </c>
    </row>
    <row r="65" spans="2:10" ht="15" customHeight="1">
      <c r="B65" s="412" t="s">
        <v>136</v>
      </c>
      <c r="C65" s="413"/>
      <c r="D65" s="414"/>
      <c r="E65" s="137">
        <f>IF((AVERAGE(E62:E64))="#DIV/0!","n/a",(AVERAGE(E62:E64)))</f>
        <v>0.88420890937019969</v>
      </c>
      <c r="G65" s="415" t="s">
        <v>137</v>
      </c>
      <c r="H65" s="416"/>
      <c r="I65" s="138">
        <f>MEDIAN(I60:I64)</f>
        <v>1</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179</v>
      </c>
      <c r="D69" s="408"/>
      <c r="E69" s="125" t="s">
        <v>158</v>
      </c>
      <c r="F69" s="126" t="s">
        <v>133</v>
      </c>
      <c r="G69" s="124" t="s">
        <v>183</v>
      </c>
      <c r="H69" s="125" t="s">
        <v>138</v>
      </c>
      <c r="I69" s="124" t="s">
        <v>142</v>
      </c>
      <c r="J69" s="123" t="s">
        <v>139</v>
      </c>
    </row>
    <row r="70" spans="2:10" ht="15" customHeight="1">
      <c r="B70" s="114">
        <v>2019</v>
      </c>
      <c r="C70" s="433">
        <f>D51</f>
        <v>39</v>
      </c>
      <c r="D70" s="408"/>
      <c r="E70" s="122">
        <f>E65</f>
        <v>0.88420890937019969</v>
      </c>
      <c r="F70" s="120">
        <f t="shared" ref="F70:F83" si="1">C70*$E$65</f>
        <v>34.484147465437786</v>
      </c>
      <c r="G70" s="118">
        <f>IF(F70&lt;26,25,IF(F70&gt;135,140,IF(F70&gt;130,135,IF(F70&gt;125,130,IF(F70&gt;120,125,IF(F70&gt;115,120,IF(F70&gt;110,115,IF(F70&gt;105,110,IF(F70&gt;100,105,IF(F70&gt;99,100,IF(F70&gt;90,99,IF(F70&gt;75,90,IF(F70&gt;72,75,IF(F70&gt;66,72,IF(F70&gt;60,66,IF(F70&gt;50,60,IF(F70&gt;30,50,IF(F70&gt;25,30,0))))))))))))))))))</f>
        <v>50</v>
      </c>
      <c r="H70" s="119">
        <f t="shared" ref="H70:H83" si="2">G70-F70</f>
        <v>15.515852534562214</v>
      </c>
      <c r="I70" s="118" t="str">
        <f>IF(I$65&lt;H70, "NO", "YES")</f>
        <v>NO</v>
      </c>
      <c r="J70" s="117">
        <f t="shared" ref="J70:J83" si="3">IF(I70="YES",G70,(MIN((SUM(F70,$I$65)),G70)))</f>
        <v>35.484147465437786</v>
      </c>
    </row>
    <row r="71" spans="2:10" ht="15" customHeight="1">
      <c r="B71" s="114">
        <v>2020</v>
      </c>
      <c r="C71" s="433">
        <f>E51</f>
        <v>40</v>
      </c>
      <c r="D71" s="408"/>
      <c r="E71" s="121">
        <f>E65</f>
        <v>0.88420890937019969</v>
      </c>
      <c r="F71" s="120">
        <f t="shared" si="1"/>
        <v>35.368356374807988</v>
      </c>
      <c r="G71" s="118">
        <f t="shared" ref="G71:G83" si="4">IF(F71&lt;26,25,IF(F71&gt;135,140,IF(F71&gt;130,135,IF(F71&gt;125,130,IF(F71&gt;120,125,IF(F71&gt;115,120,IF(F71&gt;110,115,IF(F71&gt;105,110,IF(F71&gt;100,105,IF(F71&gt;99,100,IF(F71&gt;90,99,IF(F71&gt;75,90,IF(F71&gt;72,75,IF(F71&gt;66,72,IF(F71&gt;60,66,IF(F71&gt;50,60,IF(F71&gt;30,50,IF(F71&gt;25,30,0))))))))))))))))))</f>
        <v>50</v>
      </c>
      <c r="H71" s="119">
        <f t="shared" si="2"/>
        <v>14.631643625192012</v>
      </c>
      <c r="I71" s="118" t="str">
        <f t="shared" ref="I71:I83" si="5">IF(I$65&lt;H71, "NO", "YES")</f>
        <v>NO</v>
      </c>
      <c r="J71" s="117">
        <f t="shared" si="3"/>
        <v>36.368356374807988</v>
      </c>
    </row>
    <row r="72" spans="2:10" ht="15" customHeight="1">
      <c r="B72" s="114">
        <v>2021</v>
      </c>
      <c r="C72" s="430">
        <f>F51</f>
        <v>40</v>
      </c>
      <c r="D72" s="431"/>
      <c r="E72" s="121">
        <f>E65</f>
        <v>0.88420890937019969</v>
      </c>
      <c r="F72" s="120">
        <f t="shared" si="1"/>
        <v>35.368356374807988</v>
      </c>
      <c r="G72" s="118">
        <f t="shared" si="4"/>
        <v>50</v>
      </c>
      <c r="H72" s="119">
        <f t="shared" si="2"/>
        <v>14.631643625192012</v>
      </c>
      <c r="I72" s="118" t="str">
        <f t="shared" si="5"/>
        <v>NO</v>
      </c>
      <c r="J72" s="117">
        <f t="shared" si="3"/>
        <v>36.368356374807988</v>
      </c>
    </row>
    <row r="73" spans="2:10" ht="15" customHeight="1">
      <c r="B73" s="114">
        <v>2022</v>
      </c>
      <c r="C73" s="430">
        <f>G51</f>
        <v>43</v>
      </c>
      <c r="D73" s="431"/>
      <c r="E73" s="121">
        <f>E65</f>
        <v>0.88420890937019969</v>
      </c>
      <c r="F73" s="120">
        <f t="shared" si="1"/>
        <v>38.020983102918585</v>
      </c>
      <c r="G73" s="118">
        <f t="shared" si="4"/>
        <v>50</v>
      </c>
      <c r="H73" s="119">
        <f t="shared" si="2"/>
        <v>11.979016897081415</v>
      </c>
      <c r="I73" s="118" t="str">
        <f t="shared" si="5"/>
        <v>NO</v>
      </c>
      <c r="J73" s="117">
        <f t="shared" si="3"/>
        <v>39.020983102918585</v>
      </c>
    </row>
    <row r="74" spans="2:10" ht="15" customHeight="1">
      <c r="B74" s="114">
        <v>2023</v>
      </c>
      <c r="C74" s="430">
        <f>H51</f>
        <v>45</v>
      </c>
      <c r="D74" s="431"/>
      <c r="E74" s="121">
        <f>E65</f>
        <v>0.88420890937019969</v>
      </c>
      <c r="F74" s="120">
        <f t="shared" si="1"/>
        <v>39.789400921658988</v>
      </c>
      <c r="G74" s="118">
        <f t="shared" si="4"/>
        <v>50</v>
      </c>
      <c r="H74" s="119">
        <f t="shared" si="2"/>
        <v>10.210599078341012</v>
      </c>
      <c r="I74" s="118" t="str">
        <f t="shared" si="5"/>
        <v>NO</v>
      </c>
      <c r="J74" s="117">
        <f t="shared" si="3"/>
        <v>40.789400921658988</v>
      </c>
    </row>
    <row r="75" spans="2:10" ht="15" customHeight="1">
      <c r="B75" s="114">
        <v>2024</v>
      </c>
      <c r="C75" s="430">
        <f>I51</f>
        <v>47</v>
      </c>
      <c r="D75" s="431"/>
      <c r="E75" s="121">
        <f>E65</f>
        <v>0.88420890937019969</v>
      </c>
      <c r="F75" s="120">
        <f t="shared" si="1"/>
        <v>41.557818740399384</v>
      </c>
      <c r="G75" s="118">
        <f t="shared" si="4"/>
        <v>50</v>
      </c>
      <c r="H75" s="119">
        <f t="shared" si="2"/>
        <v>8.4421812596006163</v>
      </c>
      <c r="I75" s="118" t="str">
        <f t="shared" si="5"/>
        <v>NO</v>
      </c>
      <c r="J75" s="117">
        <f t="shared" si="3"/>
        <v>42.557818740399384</v>
      </c>
    </row>
    <row r="76" spans="2:10" ht="15" customHeight="1">
      <c r="B76" s="114">
        <v>2025</v>
      </c>
      <c r="C76" s="430">
        <f>J51</f>
        <v>49</v>
      </c>
      <c r="D76" s="431"/>
      <c r="E76" s="121">
        <f>E65</f>
        <v>0.88420890937019969</v>
      </c>
      <c r="F76" s="120">
        <f t="shared" si="1"/>
        <v>43.326236559139787</v>
      </c>
      <c r="G76" s="118">
        <f t="shared" si="4"/>
        <v>50</v>
      </c>
      <c r="H76" s="119">
        <f t="shared" si="2"/>
        <v>6.6737634408602133</v>
      </c>
      <c r="I76" s="118" t="str">
        <f t="shared" si="5"/>
        <v>NO</v>
      </c>
      <c r="J76" s="117">
        <f t="shared" si="3"/>
        <v>44.326236559139787</v>
      </c>
    </row>
    <row r="77" spans="2:10" ht="15" customHeight="1">
      <c r="B77" s="114">
        <v>2026</v>
      </c>
      <c r="C77" s="430">
        <f>K51</f>
        <v>50</v>
      </c>
      <c r="D77" s="431"/>
      <c r="E77" s="121">
        <f>E65</f>
        <v>0.88420890937019969</v>
      </c>
      <c r="F77" s="120">
        <f t="shared" si="1"/>
        <v>44.210445468509988</v>
      </c>
      <c r="G77" s="118">
        <f t="shared" si="4"/>
        <v>50</v>
      </c>
      <c r="H77" s="119">
        <f t="shared" si="2"/>
        <v>5.7895545314900119</v>
      </c>
      <c r="I77" s="118" t="str">
        <f t="shared" si="5"/>
        <v>NO</v>
      </c>
      <c r="J77" s="117">
        <f t="shared" si="3"/>
        <v>45.210445468509988</v>
      </c>
    </row>
    <row r="78" spans="2:10" ht="15" customHeight="1">
      <c r="B78" s="114">
        <v>2027</v>
      </c>
      <c r="C78" s="430">
        <f>L51</f>
        <v>52</v>
      </c>
      <c r="D78" s="431"/>
      <c r="E78" s="121">
        <f>E65</f>
        <v>0.88420890937019969</v>
      </c>
      <c r="F78" s="120">
        <f t="shared" si="1"/>
        <v>45.978863287250384</v>
      </c>
      <c r="G78" s="118">
        <f t="shared" si="4"/>
        <v>50</v>
      </c>
      <c r="H78" s="119">
        <f t="shared" si="2"/>
        <v>4.021136712749616</v>
      </c>
      <c r="I78" s="118" t="str">
        <f t="shared" si="5"/>
        <v>NO</v>
      </c>
      <c r="J78" s="117">
        <f t="shared" si="3"/>
        <v>46.978863287250384</v>
      </c>
    </row>
    <row r="79" spans="2:10" ht="15" customHeight="1">
      <c r="B79" s="114">
        <v>2028</v>
      </c>
      <c r="C79" s="430">
        <f>M51</f>
        <v>52</v>
      </c>
      <c r="D79" s="431"/>
      <c r="E79" s="121">
        <f t="shared" ref="E79:E83" si="6">$E$65</f>
        <v>0.88420890937019969</v>
      </c>
      <c r="F79" s="120">
        <f t="shared" si="1"/>
        <v>45.978863287250384</v>
      </c>
      <c r="G79" s="118">
        <f t="shared" si="4"/>
        <v>50</v>
      </c>
      <c r="H79" s="119">
        <f t="shared" si="2"/>
        <v>4.021136712749616</v>
      </c>
      <c r="I79" s="118" t="str">
        <f t="shared" si="5"/>
        <v>NO</v>
      </c>
      <c r="J79" s="117">
        <f t="shared" si="3"/>
        <v>46.978863287250384</v>
      </c>
    </row>
    <row r="80" spans="2:10" ht="15" customHeight="1">
      <c r="B80" s="114">
        <v>2029</v>
      </c>
      <c r="C80" s="430">
        <f>N51</f>
        <v>53</v>
      </c>
      <c r="D80" s="431"/>
      <c r="E80" s="121">
        <f t="shared" si="6"/>
        <v>0.88420890937019969</v>
      </c>
      <c r="F80" s="120">
        <f t="shared" si="1"/>
        <v>46.863072196620585</v>
      </c>
      <c r="G80" s="118">
        <f t="shared" si="4"/>
        <v>50</v>
      </c>
      <c r="H80" s="119">
        <f t="shared" si="2"/>
        <v>3.1369278033794146</v>
      </c>
      <c r="I80" s="118" t="str">
        <f t="shared" si="5"/>
        <v>NO</v>
      </c>
      <c r="J80" s="117">
        <f t="shared" si="3"/>
        <v>47.863072196620585</v>
      </c>
    </row>
    <row r="81" spans="2:10" ht="15" customHeight="1">
      <c r="B81" s="114">
        <v>2030</v>
      </c>
      <c r="C81" s="430">
        <f>O51</f>
        <v>53</v>
      </c>
      <c r="D81" s="431"/>
      <c r="E81" s="121">
        <f t="shared" si="6"/>
        <v>0.88420890937019969</v>
      </c>
      <c r="F81" s="120">
        <f t="shared" si="1"/>
        <v>46.863072196620585</v>
      </c>
      <c r="G81" s="118">
        <f t="shared" si="4"/>
        <v>50</v>
      </c>
      <c r="H81" s="119">
        <f t="shared" si="2"/>
        <v>3.1369278033794146</v>
      </c>
      <c r="I81" s="118" t="str">
        <f t="shared" si="5"/>
        <v>NO</v>
      </c>
      <c r="J81" s="117">
        <f t="shared" si="3"/>
        <v>47.863072196620585</v>
      </c>
    </row>
    <row r="82" spans="2:10" ht="15" customHeight="1">
      <c r="B82" s="114">
        <v>2031</v>
      </c>
      <c r="C82" s="430">
        <f>P51</f>
        <v>53</v>
      </c>
      <c r="D82" s="431"/>
      <c r="E82" s="121">
        <f t="shared" si="6"/>
        <v>0.88420890937019969</v>
      </c>
      <c r="F82" s="120">
        <f t="shared" si="1"/>
        <v>46.863072196620585</v>
      </c>
      <c r="G82" s="118">
        <f t="shared" si="4"/>
        <v>50</v>
      </c>
      <c r="H82" s="119">
        <f t="shared" si="2"/>
        <v>3.1369278033794146</v>
      </c>
      <c r="I82" s="118" t="str">
        <f t="shared" si="5"/>
        <v>NO</v>
      </c>
      <c r="J82" s="117">
        <f t="shared" si="3"/>
        <v>47.863072196620585</v>
      </c>
    </row>
    <row r="83" spans="2:10" ht="15" customHeight="1">
      <c r="B83" s="114">
        <v>2032</v>
      </c>
      <c r="C83" s="430">
        <f>Q51</f>
        <v>53</v>
      </c>
      <c r="D83" s="431"/>
      <c r="E83" s="121">
        <f t="shared" si="6"/>
        <v>0.88420890937019969</v>
      </c>
      <c r="F83" s="120">
        <f t="shared" si="1"/>
        <v>46.863072196620585</v>
      </c>
      <c r="G83" s="118">
        <f t="shared" si="4"/>
        <v>50</v>
      </c>
      <c r="H83" s="119">
        <f t="shared" si="2"/>
        <v>3.1369278033794146</v>
      </c>
      <c r="I83" s="118" t="str">
        <f t="shared" si="5"/>
        <v>NO</v>
      </c>
      <c r="J83" s="117">
        <f t="shared" si="3"/>
        <v>47.863072196620585</v>
      </c>
    </row>
    <row r="84" spans="2:10" ht="15" customHeight="1">
      <c r="C84" s="16"/>
      <c r="D84" s="16"/>
      <c r="E84" s="16"/>
      <c r="F84" s="16"/>
      <c r="G84" s="16"/>
      <c r="H84" s="16"/>
    </row>
    <row r="85" spans="2:10" ht="15" customHeight="1">
      <c r="B85" s="11" t="s">
        <v>186</v>
      </c>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St John Vianney RC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48</v>
      </c>
      <c r="D91" s="112">
        <f t="shared" ref="D91:J91" si="7">D188</f>
        <v>52</v>
      </c>
      <c r="E91" s="112">
        <f t="shared" si="7"/>
        <v>36</v>
      </c>
      <c r="F91" s="112">
        <f t="shared" si="7"/>
        <v>50</v>
      </c>
      <c r="G91" s="112">
        <f t="shared" si="7"/>
        <v>31</v>
      </c>
      <c r="H91" s="112">
        <f t="shared" si="7"/>
        <v>33</v>
      </c>
      <c r="I91" s="112">
        <f t="shared" si="7"/>
        <v>33</v>
      </c>
      <c r="J91" s="213">
        <f t="shared" si="7"/>
        <v>283</v>
      </c>
    </row>
    <row r="92" spans="2:10" ht="15" customHeight="1">
      <c r="B92" s="114">
        <v>2014</v>
      </c>
      <c r="C92" s="112">
        <f>C189</f>
        <v>37</v>
      </c>
      <c r="D92" s="112">
        <f t="shared" ref="D92:J92" si="8">D189</f>
        <v>48</v>
      </c>
      <c r="E92" s="112">
        <f t="shared" si="8"/>
        <v>51</v>
      </c>
      <c r="F92" s="112">
        <f t="shared" si="8"/>
        <v>37</v>
      </c>
      <c r="G92" s="112">
        <f t="shared" si="8"/>
        <v>46</v>
      </c>
      <c r="H92" s="112">
        <f t="shared" si="8"/>
        <v>28</v>
      </c>
      <c r="I92" s="112">
        <f t="shared" si="8"/>
        <v>33</v>
      </c>
      <c r="J92" s="213">
        <f t="shared" si="8"/>
        <v>280</v>
      </c>
    </row>
    <row r="93" spans="2:10" ht="15" customHeight="1">
      <c r="B93" s="114">
        <v>2015</v>
      </c>
      <c r="C93" s="112">
        <f>C190</f>
        <v>26</v>
      </c>
      <c r="D93" s="112">
        <f t="shared" ref="D93:J93" si="9">D190</f>
        <v>36</v>
      </c>
      <c r="E93" s="112">
        <f t="shared" si="9"/>
        <v>49</v>
      </c>
      <c r="F93" s="112">
        <f t="shared" si="9"/>
        <v>51</v>
      </c>
      <c r="G93" s="112">
        <f t="shared" si="9"/>
        <v>38</v>
      </c>
      <c r="H93" s="112">
        <f t="shared" si="9"/>
        <v>45</v>
      </c>
      <c r="I93" s="112">
        <f t="shared" si="9"/>
        <v>24</v>
      </c>
      <c r="J93" s="213">
        <f t="shared" si="9"/>
        <v>269</v>
      </c>
    </row>
    <row r="94" spans="2:10" ht="15" customHeight="1">
      <c r="B94" s="114">
        <v>2016</v>
      </c>
      <c r="C94" s="112">
        <f>C191</f>
        <v>26</v>
      </c>
      <c r="D94" s="112">
        <f t="shared" ref="D94:J94" si="10">D191</f>
        <v>30</v>
      </c>
      <c r="E94" s="112">
        <f t="shared" si="10"/>
        <v>33</v>
      </c>
      <c r="F94" s="112">
        <f t="shared" si="10"/>
        <v>47</v>
      </c>
      <c r="G94" s="112">
        <f t="shared" si="10"/>
        <v>51</v>
      </c>
      <c r="H94" s="112">
        <f t="shared" si="10"/>
        <v>38</v>
      </c>
      <c r="I94" s="112">
        <f t="shared" si="10"/>
        <v>45</v>
      </c>
      <c r="J94" s="213">
        <f t="shared" si="10"/>
        <v>270</v>
      </c>
    </row>
    <row r="95" spans="2:10" ht="15" customHeight="1">
      <c r="B95" s="114">
        <v>2017</v>
      </c>
      <c r="C95" s="112">
        <f>C192</f>
        <v>29</v>
      </c>
      <c r="D95" s="112">
        <f t="shared" ref="D95:J95" si="11">D192</f>
        <v>30</v>
      </c>
      <c r="E95" s="112">
        <f t="shared" si="11"/>
        <v>29</v>
      </c>
      <c r="F95" s="112">
        <f t="shared" si="11"/>
        <v>35</v>
      </c>
      <c r="G95" s="112">
        <f t="shared" si="11"/>
        <v>48</v>
      </c>
      <c r="H95" s="112">
        <f t="shared" si="11"/>
        <v>49</v>
      </c>
      <c r="I95" s="112">
        <f t="shared" si="11"/>
        <v>35</v>
      </c>
      <c r="J95" s="213">
        <f t="shared" si="11"/>
        <v>255</v>
      </c>
    </row>
    <row r="96" spans="2:10" ht="15" customHeight="1">
      <c r="B96" s="307">
        <v>2018</v>
      </c>
      <c r="C96" s="112">
        <f t="shared" ref="C96:J96" si="12">C193</f>
        <v>46</v>
      </c>
      <c r="D96" s="112">
        <f t="shared" si="12"/>
        <v>29</v>
      </c>
      <c r="E96" s="112">
        <f t="shared" si="12"/>
        <v>30</v>
      </c>
      <c r="F96" s="112">
        <f t="shared" si="12"/>
        <v>30</v>
      </c>
      <c r="G96" s="112">
        <f t="shared" si="12"/>
        <v>37</v>
      </c>
      <c r="H96" s="112">
        <f t="shared" si="12"/>
        <v>53</v>
      </c>
      <c r="I96" s="112">
        <f t="shared" si="12"/>
        <v>47</v>
      </c>
      <c r="J96" s="213">
        <f t="shared" si="12"/>
        <v>272</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0</v>
      </c>
      <c r="E98" s="210">
        <f t="shared" ref="E98:I98" si="13">MEDIAN(((D91-E92)/D91),((D92-E93)/D92),((D93-E94)/D93),((D94-E95)/D94),((D95-E96)/D95))</f>
        <v>1.9230769230769232E-2</v>
      </c>
      <c r="F98" s="210">
        <f t="shared" si="13"/>
        <v>-2.7777777777777776E-2</v>
      </c>
      <c r="G98" s="210">
        <f t="shared" si="13"/>
        <v>-2.1276595744680851E-2</v>
      </c>
      <c r="H98" s="210">
        <f t="shared" si="13"/>
        <v>2.1739130434782608E-2</v>
      </c>
      <c r="I98" s="210">
        <f t="shared" si="13"/>
        <v>4.0816326530612242E-2</v>
      </c>
    </row>
    <row r="99" spans="2:10" ht="18.75">
      <c r="B99" s="59"/>
      <c r="C99" s="60"/>
      <c r="D99" s="61"/>
      <c r="E99" s="61"/>
      <c r="F99" s="61"/>
      <c r="G99" s="61"/>
      <c r="H99" s="61"/>
      <c r="I99" s="61"/>
      <c r="J99" s="58"/>
    </row>
    <row r="100" spans="2:10">
      <c r="B100" s="15" t="str">
        <f>"Table 4B: "&amp;E3&amp;" Projected Roll by Stage (incorporating Projected P1 and Drop-Off Rates), 2019-2032"</f>
        <v>Table 4B: St John Vianney RC Primary School Projected Roll by Stage (incorporating Projected P1 and Drop-Off Rates), 2019-2032</v>
      </c>
      <c r="F100" s="14"/>
      <c r="G100" s="14"/>
    </row>
    <row r="101" spans="2:10" ht="12.75">
      <c r="F101" s="14"/>
      <c r="G101" s="14"/>
    </row>
    <row r="102" spans="2:10">
      <c r="B102" s="115"/>
      <c r="C102" s="109" t="s">
        <v>1</v>
      </c>
      <c r="D102" s="109" t="s">
        <v>2</v>
      </c>
      <c r="E102" s="109" t="s">
        <v>3</v>
      </c>
      <c r="F102" s="109" t="s">
        <v>4</v>
      </c>
      <c r="G102" s="109" t="s">
        <v>5</v>
      </c>
      <c r="H102" s="109" t="s">
        <v>6</v>
      </c>
      <c r="I102" s="109" t="s">
        <v>7</v>
      </c>
      <c r="J102" s="109" t="s">
        <v>8</v>
      </c>
    </row>
    <row r="103" spans="2:10">
      <c r="B103" s="114">
        <v>2019</v>
      </c>
      <c r="C103" s="113">
        <f t="shared" ref="C103:C116" si="14">J70</f>
        <v>35.484147465437786</v>
      </c>
      <c r="D103" s="324">
        <f>ROUND((C96)-(C96*$D$98),0)</f>
        <v>46</v>
      </c>
      <c r="E103" s="324">
        <f>ROUND((D96)-(D96*$E$98),0)</f>
        <v>28</v>
      </c>
      <c r="F103" s="324">
        <f>ROUND((E96)-(E96*$F$98),0)</f>
        <v>31</v>
      </c>
      <c r="G103" s="324">
        <f>ROUND((F96)-(F96*$G$98),0)</f>
        <v>31</v>
      </c>
      <c r="H103" s="324">
        <f>ROUND((G96)-(G96*$H$98),0)</f>
        <v>36</v>
      </c>
      <c r="I103" s="324">
        <f>ROUND((H96)-(H96*$I$98),0)</f>
        <v>51</v>
      </c>
      <c r="J103" s="111">
        <f t="shared" ref="J103:J116" si="15">SUM(C103:I103)</f>
        <v>258.48414746543779</v>
      </c>
    </row>
    <row r="104" spans="2:10">
      <c r="B104" s="114">
        <v>2020</v>
      </c>
      <c r="C104" s="113">
        <f t="shared" si="14"/>
        <v>36.368356374807988</v>
      </c>
      <c r="D104" s="324">
        <f>ROUND((C103-E50)-(C103*$D$98),0)</f>
        <v>32</v>
      </c>
      <c r="E104" s="112">
        <f t="shared" ref="E104:E116" si="16">ROUND((D103)-(D103*$E$98),0)</f>
        <v>45</v>
      </c>
      <c r="F104" s="112">
        <f t="shared" ref="F104:F116" si="17">ROUND((E103)-(E103*$F$98),0)</f>
        <v>29</v>
      </c>
      <c r="G104" s="112">
        <f t="shared" ref="G104:G116" si="18">ROUND((F103)-(F103*$G$98),0)</f>
        <v>32</v>
      </c>
      <c r="H104" s="112">
        <f t="shared" ref="H104:H116" si="19">ROUND((G103)-(G103*$H$98),0)</f>
        <v>30</v>
      </c>
      <c r="I104" s="112">
        <f t="shared" ref="I104:I116" si="20">ROUND((H103)-(H103*$I$98),0)</f>
        <v>35</v>
      </c>
      <c r="J104" s="111">
        <f t="shared" si="15"/>
        <v>239.368356374808</v>
      </c>
    </row>
    <row r="105" spans="2:10">
      <c r="B105" s="114">
        <v>2021</v>
      </c>
      <c r="C105" s="113">
        <f t="shared" si="14"/>
        <v>36.368356374807988</v>
      </c>
      <c r="D105" s="324">
        <f>ROUND((C104-F50)-(C104*$D$98),0)</f>
        <v>32</v>
      </c>
      <c r="E105" s="112">
        <f t="shared" si="16"/>
        <v>31</v>
      </c>
      <c r="F105" s="112">
        <f t="shared" si="17"/>
        <v>46</v>
      </c>
      <c r="G105" s="112">
        <f t="shared" si="18"/>
        <v>30</v>
      </c>
      <c r="H105" s="112">
        <f t="shared" si="19"/>
        <v>31</v>
      </c>
      <c r="I105" s="112">
        <f t="shared" si="20"/>
        <v>29</v>
      </c>
      <c r="J105" s="111">
        <f t="shared" si="15"/>
        <v>235.368356374808</v>
      </c>
    </row>
    <row r="106" spans="2:10">
      <c r="B106" s="114">
        <v>2022</v>
      </c>
      <c r="C106" s="113">
        <f t="shared" si="14"/>
        <v>39.020983102918585</v>
      </c>
      <c r="D106" s="324">
        <f>ROUND((C105-G50)-(C105*$D$98),0)</f>
        <v>30</v>
      </c>
      <c r="E106" s="112">
        <f t="shared" si="16"/>
        <v>31</v>
      </c>
      <c r="F106" s="112">
        <f t="shared" si="17"/>
        <v>32</v>
      </c>
      <c r="G106" s="112">
        <f t="shared" si="18"/>
        <v>47</v>
      </c>
      <c r="H106" s="112">
        <f t="shared" si="19"/>
        <v>29</v>
      </c>
      <c r="I106" s="112">
        <f t="shared" si="20"/>
        <v>30</v>
      </c>
      <c r="J106" s="111">
        <f t="shared" si="15"/>
        <v>238.02098310291859</v>
      </c>
    </row>
    <row r="107" spans="2:10">
      <c r="B107" s="114">
        <v>2023</v>
      </c>
      <c r="C107" s="113">
        <f t="shared" si="14"/>
        <v>40.789400921658988</v>
      </c>
      <c r="D107" s="324">
        <f>ROUND((C106-H50)-(C106*$D$98),0)</f>
        <v>31</v>
      </c>
      <c r="E107" s="112">
        <f t="shared" si="16"/>
        <v>29</v>
      </c>
      <c r="F107" s="112">
        <f t="shared" si="17"/>
        <v>32</v>
      </c>
      <c r="G107" s="112">
        <f t="shared" si="18"/>
        <v>33</v>
      </c>
      <c r="H107" s="112">
        <f t="shared" si="19"/>
        <v>46</v>
      </c>
      <c r="I107" s="112">
        <f t="shared" si="20"/>
        <v>28</v>
      </c>
      <c r="J107" s="111">
        <f t="shared" si="15"/>
        <v>239.789400921659</v>
      </c>
    </row>
    <row r="108" spans="2:10">
      <c r="B108" s="114">
        <v>2024</v>
      </c>
      <c r="C108" s="113">
        <f t="shared" si="14"/>
        <v>42.557818740399384</v>
      </c>
      <c r="D108" s="324">
        <f>ROUND((C107-I50)-(C107*$D$98),0)</f>
        <v>32</v>
      </c>
      <c r="E108" s="112">
        <f t="shared" si="16"/>
        <v>30</v>
      </c>
      <c r="F108" s="112">
        <f t="shared" si="17"/>
        <v>30</v>
      </c>
      <c r="G108" s="112">
        <f t="shared" si="18"/>
        <v>33</v>
      </c>
      <c r="H108" s="112">
        <f t="shared" si="19"/>
        <v>32</v>
      </c>
      <c r="I108" s="112">
        <f t="shared" si="20"/>
        <v>44</v>
      </c>
      <c r="J108" s="111">
        <f t="shared" si="15"/>
        <v>243.5578187403994</v>
      </c>
    </row>
    <row r="109" spans="2:10">
      <c r="B109" s="114">
        <v>2025</v>
      </c>
      <c r="C109" s="113">
        <f t="shared" si="14"/>
        <v>44.326236559139787</v>
      </c>
      <c r="D109" s="324">
        <f>ROUND((C108-J50)-(C108*$D$98),0)</f>
        <v>32</v>
      </c>
      <c r="E109" s="112">
        <f t="shared" si="16"/>
        <v>31</v>
      </c>
      <c r="F109" s="112">
        <f t="shared" si="17"/>
        <v>31</v>
      </c>
      <c r="G109" s="112">
        <f t="shared" si="18"/>
        <v>31</v>
      </c>
      <c r="H109" s="112">
        <f t="shared" si="19"/>
        <v>32</v>
      </c>
      <c r="I109" s="112">
        <f t="shared" si="20"/>
        <v>31</v>
      </c>
      <c r="J109" s="111">
        <f t="shared" si="15"/>
        <v>232.32623655913977</v>
      </c>
    </row>
    <row r="110" spans="2:10">
      <c r="B110" s="114">
        <v>2026</v>
      </c>
      <c r="C110" s="113">
        <f t="shared" si="14"/>
        <v>45.210445468509988</v>
      </c>
      <c r="D110" s="324">
        <f>ROUND((C109-K50)-(C109*$D$98),0)</f>
        <v>32</v>
      </c>
      <c r="E110" s="112">
        <f t="shared" si="16"/>
        <v>31</v>
      </c>
      <c r="F110" s="112">
        <f t="shared" si="17"/>
        <v>32</v>
      </c>
      <c r="G110" s="112">
        <f t="shared" si="18"/>
        <v>32</v>
      </c>
      <c r="H110" s="112">
        <f t="shared" si="19"/>
        <v>30</v>
      </c>
      <c r="I110" s="112">
        <f t="shared" si="20"/>
        <v>31</v>
      </c>
      <c r="J110" s="111">
        <f t="shared" si="15"/>
        <v>233.21044546850999</v>
      </c>
    </row>
    <row r="111" spans="2:10">
      <c r="B111" s="114">
        <v>2027</v>
      </c>
      <c r="C111" s="113">
        <f t="shared" si="14"/>
        <v>46.978863287250384</v>
      </c>
      <c r="D111" s="324">
        <f>ROUND((C110-L50)-(C110*$D$98),0)</f>
        <v>32</v>
      </c>
      <c r="E111" s="112">
        <f t="shared" si="16"/>
        <v>31</v>
      </c>
      <c r="F111" s="112">
        <f t="shared" si="17"/>
        <v>32</v>
      </c>
      <c r="G111" s="112">
        <f t="shared" si="18"/>
        <v>33</v>
      </c>
      <c r="H111" s="112">
        <f t="shared" si="19"/>
        <v>31</v>
      </c>
      <c r="I111" s="112">
        <f t="shared" si="20"/>
        <v>29</v>
      </c>
      <c r="J111" s="111">
        <f t="shared" si="15"/>
        <v>234.97886328725039</v>
      </c>
    </row>
    <row r="112" spans="2:10">
      <c r="B112" s="114">
        <v>2028</v>
      </c>
      <c r="C112" s="113">
        <f t="shared" si="14"/>
        <v>46.978863287250384</v>
      </c>
      <c r="D112" s="324">
        <f>ROUND((C111-M50)-(C111*$D$98),0)</f>
        <v>34</v>
      </c>
      <c r="E112" s="112">
        <f t="shared" si="16"/>
        <v>31</v>
      </c>
      <c r="F112" s="112">
        <f t="shared" si="17"/>
        <v>32</v>
      </c>
      <c r="G112" s="112">
        <f t="shared" si="18"/>
        <v>33</v>
      </c>
      <c r="H112" s="112">
        <f t="shared" si="19"/>
        <v>32</v>
      </c>
      <c r="I112" s="112">
        <f t="shared" si="20"/>
        <v>30</v>
      </c>
      <c r="J112" s="111">
        <f t="shared" si="15"/>
        <v>238.97886328725039</v>
      </c>
    </row>
    <row r="113" spans="2:10" ht="15" customHeight="1">
      <c r="B113" s="114">
        <v>2029</v>
      </c>
      <c r="C113" s="113">
        <f t="shared" si="14"/>
        <v>47.863072196620585</v>
      </c>
      <c r="D113" s="324">
        <f>ROUND((C112-N50)-(C112*$D$98),0)</f>
        <v>33</v>
      </c>
      <c r="E113" s="112">
        <f t="shared" si="16"/>
        <v>33</v>
      </c>
      <c r="F113" s="112">
        <f t="shared" si="17"/>
        <v>32</v>
      </c>
      <c r="G113" s="112">
        <f t="shared" si="18"/>
        <v>33</v>
      </c>
      <c r="H113" s="112">
        <f t="shared" si="19"/>
        <v>32</v>
      </c>
      <c r="I113" s="112">
        <f t="shared" si="20"/>
        <v>31</v>
      </c>
      <c r="J113" s="111">
        <f t="shared" si="15"/>
        <v>241.86307219662058</v>
      </c>
    </row>
    <row r="114" spans="2:10" ht="15" customHeight="1">
      <c r="B114" s="114">
        <v>2030</v>
      </c>
      <c r="C114" s="113">
        <f t="shared" si="14"/>
        <v>47.863072196620585</v>
      </c>
      <c r="D114" s="324">
        <f>ROUND((C113-O50)-(C113*$D$98),0)</f>
        <v>34</v>
      </c>
      <c r="E114" s="112">
        <f t="shared" si="16"/>
        <v>32</v>
      </c>
      <c r="F114" s="112">
        <f t="shared" si="17"/>
        <v>34</v>
      </c>
      <c r="G114" s="112">
        <f t="shared" si="18"/>
        <v>33</v>
      </c>
      <c r="H114" s="112">
        <f t="shared" si="19"/>
        <v>32</v>
      </c>
      <c r="I114" s="112">
        <f t="shared" si="20"/>
        <v>31</v>
      </c>
      <c r="J114" s="111">
        <f t="shared" si="15"/>
        <v>243.86307219662058</v>
      </c>
    </row>
    <row r="115" spans="2:10" ht="15" customHeight="1">
      <c r="B115" s="114">
        <v>2031</v>
      </c>
      <c r="C115" s="113">
        <f t="shared" si="14"/>
        <v>47.863072196620585</v>
      </c>
      <c r="D115" s="324">
        <f>ROUND((C114-P50)-(C114*$D$98),0)</f>
        <v>34</v>
      </c>
      <c r="E115" s="112">
        <f t="shared" si="16"/>
        <v>33</v>
      </c>
      <c r="F115" s="112">
        <f t="shared" si="17"/>
        <v>33</v>
      </c>
      <c r="G115" s="112">
        <f t="shared" si="18"/>
        <v>35</v>
      </c>
      <c r="H115" s="112">
        <f t="shared" si="19"/>
        <v>32</v>
      </c>
      <c r="I115" s="112">
        <f t="shared" si="20"/>
        <v>31</v>
      </c>
      <c r="J115" s="111">
        <f t="shared" si="15"/>
        <v>245.86307219662058</v>
      </c>
    </row>
    <row r="116" spans="2:10" ht="15" customHeight="1">
      <c r="B116" s="114">
        <v>2032</v>
      </c>
      <c r="C116" s="113">
        <f t="shared" si="14"/>
        <v>47.863072196620585</v>
      </c>
      <c r="D116" s="324">
        <f>ROUND((C115-Q50)-(C115*$D$98),0)</f>
        <v>34</v>
      </c>
      <c r="E116" s="112">
        <f t="shared" si="16"/>
        <v>33</v>
      </c>
      <c r="F116" s="112">
        <f t="shared" si="17"/>
        <v>34</v>
      </c>
      <c r="G116" s="112">
        <f t="shared" si="18"/>
        <v>34</v>
      </c>
      <c r="H116" s="112">
        <f t="shared" si="19"/>
        <v>34</v>
      </c>
      <c r="I116" s="112">
        <f t="shared" si="20"/>
        <v>31</v>
      </c>
      <c r="J116" s="111">
        <f t="shared" si="15"/>
        <v>247.86307219662058</v>
      </c>
    </row>
    <row r="117" spans="2:10" ht="15" hidden="1" customHeight="1">
      <c r="F117" s="14"/>
      <c r="G117" s="14"/>
    </row>
    <row r="118" spans="2:10" ht="15" hidden="1" customHeight="1">
      <c r="B118" s="15" t="str">
        <f>"Table 4C: "&amp;E3&amp;" Projected Pupil Generation from Housing Development, 2019-2032"</f>
        <v>Table 4C: St John Vianney RC Primary School Projected Pupil Generation from Housing Development, 2019-2032</v>
      </c>
      <c r="F118" s="14"/>
      <c r="G118" s="14"/>
    </row>
    <row r="119" spans="2:10" ht="15" hidden="1" customHeight="1">
      <c r="F119" s="14"/>
      <c r="G119" s="14"/>
    </row>
    <row r="120" spans="2:10" ht="15" hidden="1" customHeight="1">
      <c r="B120" s="115"/>
      <c r="C120" s="109" t="s">
        <v>1</v>
      </c>
      <c r="D120" s="109" t="s">
        <v>2</v>
      </c>
      <c r="E120" s="109" t="s">
        <v>3</v>
      </c>
      <c r="F120" s="109" t="s">
        <v>4</v>
      </c>
      <c r="G120" s="109" t="s">
        <v>5</v>
      </c>
      <c r="H120" s="109" t="s">
        <v>6</v>
      </c>
      <c r="I120" s="109" t="s">
        <v>7</v>
      </c>
      <c r="J120" s="109" t="s">
        <v>8</v>
      </c>
    </row>
    <row r="121" spans="2:10" ht="15" hidden="1" customHeight="1">
      <c r="B121" s="114">
        <v>2019</v>
      </c>
      <c r="C121" s="116" t="s">
        <v>97</v>
      </c>
      <c r="D121" s="112">
        <f>VLOOKUP($E$3,'Housing Generation'!$A$3:$BE$90,11,FALSE)</f>
        <v>1</v>
      </c>
      <c r="E121" s="112">
        <f>VLOOKUP($E$3,'Housing Generation'!$A$3:$BE$90,12,FALSE)</f>
        <v>1</v>
      </c>
      <c r="F121" s="112">
        <f>VLOOKUP($E$3,'Housing Generation'!$A$3:$BE$90,13,FALSE)</f>
        <v>1</v>
      </c>
      <c r="G121" s="112">
        <f>VLOOKUP($E$3,'Housing Generation'!$A$3:$BE$90,14,FALSE)</f>
        <v>1</v>
      </c>
      <c r="H121" s="112">
        <f>VLOOKUP($E$3,'Housing Generation'!$A$3:$BE$90,15,FALSE)</f>
        <v>1</v>
      </c>
      <c r="I121" s="112">
        <f>VLOOKUP($E$3,'Housing Generation'!$A$3:$BE$90,16,FALSE)</f>
        <v>1</v>
      </c>
      <c r="J121" s="111">
        <f t="shared" ref="J121:J134" si="21">SUM(D121:I121)</f>
        <v>6</v>
      </c>
    </row>
    <row r="122" spans="2:10" ht="15" hidden="1" customHeight="1">
      <c r="B122" s="114">
        <v>2020</v>
      </c>
      <c r="C122" s="116" t="s">
        <v>97</v>
      </c>
      <c r="D122" s="112">
        <f>VLOOKUP($E$3,'Housing Generation'!$A$3:$BE$90,19,FALSE)</f>
        <v>3</v>
      </c>
      <c r="E122" s="112">
        <f>VLOOKUP($E$3,'Housing Generation'!$A$3:$BE$90,20,FALSE)</f>
        <v>2</v>
      </c>
      <c r="F122" s="112">
        <f>VLOOKUP($E$3,'Housing Generation'!$A$3:$BE$90,21,FALSE)</f>
        <v>2</v>
      </c>
      <c r="G122" s="112">
        <f>VLOOKUP($E$3,'Housing Generation'!$A$3:$BE$90,22,FALSE)</f>
        <v>2</v>
      </c>
      <c r="H122" s="112">
        <f>VLOOKUP($E$3,'Housing Generation'!$A$3:$BE$90,23,FALSE)</f>
        <v>2</v>
      </c>
      <c r="I122" s="112">
        <f>VLOOKUP($E$3,'Housing Generation'!$A$3:$BE$90,24,FALSE)</f>
        <v>2</v>
      </c>
      <c r="J122" s="111">
        <f t="shared" si="21"/>
        <v>13</v>
      </c>
    </row>
    <row r="123" spans="2:10" ht="15" hidden="1" customHeight="1">
      <c r="B123" s="114">
        <v>2021</v>
      </c>
      <c r="C123" s="116" t="s">
        <v>97</v>
      </c>
      <c r="D123" s="112">
        <f>VLOOKUP($E$3,'Housing Generation'!$A$3:$BE$90,27,FALSE)</f>
        <v>4</v>
      </c>
      <c r="E123" s="112">
        <f>VLOOKUP($E$3,'Housing Generation'!$A$3:$BE$90,28,FALSE)</f>
        <v>4</v>
      </c>
      <c r="F123" s="112">
        <f>VLOOKUP($E$3,'Housing Generation'!$A$3:$BE$90,29,FALSE)</f>
        <v>4</v>
      </c>
      <c r="G123" s="112">
        <f>VLOOKUP($E$3,'Housing Generation'!$A$3:$BE$90,30,FALSE)</f>
        <v>4</v>
      </c>
      <c r="H123" s="112">
        <f>VLOOKUP($E$3,'Housing Generation'!$A$3:$BE$90,31,FALSE)</f>
        <v>4</v>
      </c>
      <c r="I123" s="112">
        <f>VLOOKUP($E$3,'Housing Generation'!$A$3:$BE$90,32,FALSE)</f>
        <v>4</v>
      </c>
      <c r="J123" s="111">
        <f t="shared" si="21"/>
        <v>24</v>
      </c>
    </row>
    <row r="124" spans="2:10" ht="15" hidden="1" customHeight="1">
      <c r="B124" s="114">
        <v>2022</v>
      </c>
      <c r="C124" s="116" t="s">
        <v>97</v>
      </c>
      <c r="D124" s="112">
        <f>VLOOKUP($E$3,'Housing Generation'!$A$3:$BE$90,35,FALSE)</f>
        <v>6</v>
      </c>
      <c r="E124" s="112">
        <f>VLOOKUP($E$3,'Housing Generation'!$A$3:$BE$90,36,FALSE)</f>
        <v>6</v>
      </c>
      <c r="F124" s="112">
        <f>VLOOKUP($E$3,'Housing Generation'!$A$3:$BE$90,37,FALSE)</f>
        <v>6</v>
      </c>
      <c r="G124" s="112">
        <f>VLOOKUP($E$3,'Housing Generation'!$A$3:$BE$90,38,FALSE)</f>
        <v>6</v>
      </c>
      <c r="H124" s="112">
        <f>VLOOKUP($E$3,'Housing Generation'!$A$3:$BE$90,39,FALSE)</f>
        <v>6</v>
      </c>
      <c r="I124" s="112">
        <f>VLOOKUP($E$3,'Housing Generation'!$A$3:$BE$90,40,FALSE)</f>
        <v>6</v>
      </c>
      <c r="J124" s="111">
        <f t="shared" si="21"/>
        <v>36</v>
      </c>
    </row>
    <row r="125" spans="2:10" ht="15" hidden="1" customHeight="1">
      <c r="B125" s="114">
        <v>2023</v>
      </c>
      <c r="C125" s="116" t="s">
        <v>97</v>
      </c>
      <c r="D125" s="112">
        <f>VLOOKUP($E$3,'Housing Generation'!$A$3:$BE$90,43,FALSE)</f>
        <v>8</v>
      </c>
      <c r="E125" s="112">
        <f>VLOOKUP($E$3,'Housing Generation'!$A$3:$BE$90,44,FALSE)</f>
        <v>8</v>
      </c>
      <c r="F125" s="112">
        <f>VLOOKUP($E$3,'Housing Generation'!$A$3:$BE$90,45,FALSE)</f>
        <v>8</v>
      </c>
      <c r="G125" s="112">
        <f>VLOOKUP($E$3,'Housing Generation'!$A$3:$BE$90,46,FALSE)</f>
        <v>7</v>
      </c>
      <c r="H125" s="112">
        <f>VLOOKUP($E$3,'Housing Generation'!$A$3:$BE$90,47,FALSE)</f>
        <v>7</v>
      </c>
      <c r="I125" s="112">
        <f>VLOOKUP($E$3,'Housing Generation'!$A$3:$BE$90,48,FALSE)</f>
        <v>7</v>
      </c>
      <c r="J125" s="111">
        <f t="shared" si="21"/>
        <v>45</v>
      </c>
    </row>
    <row r="126" spans="2:10" ht="15" hidden="1" customHeight="1">
      <c r="B126" s="114">
        <v>2024</v>
      </c>
      <c r="C126" s="116" t="s">
        <v>97</v>
      </c>
      <c r="D126" s="112">
        <f>VLOOKUP($E$3,'Housing Generation'!$A$3:$BE$90,51,FALSE)</f>
        <v>9</v>
      </c>
      <c r="E126" s="112">
        <f>VLOOKUP($E$3,'Housing Generation'!$A$3:$BE$90,52,FALSE)</f>
        <v>9</v>
      </c>
      <c r="F126" s="112">
        <f>VLOOKUP($E$3,'Housing Generation'!$A$3:$BE$90,53,FALSE)</f>
        <v>9</v>
      </c>
      <c r="G126" s="112">
        <f>VLOOKUP($E$3,'Housing Generation'!$A$3:$BE$90,54,FALSE)</f>
        <v>9</v>
      </c>
      <c r="H126" s="112">
        <f>VLOOKUP($E$3,'Housing Generation'!$A$3:$BE$90,55,FALSE)</f>
        <v>9</v>
      </c>
      <c r="I126" s="112">
        <f>VLOOKUP($E$3,'Housing Generation'!$A$3:$BE$90,56,FALSE)</f>
        <v>9</v>
      </c>
      <c r="J126" s="111">
        <f t="shared" si="21"/>
        <v>54</v>
      </c>
    </row>
    <row r="127" spans="2:10" ht="15" hidden="1" customHeight="1">
      <c r="B127" s="114">
        <v>2025</v>
      </c>
      <c r="C127" s="240" t="s">
        <v>97</v>
      </c>
      <c r="D127" s="112">
        <f>VLOOKUP($E$3,'Housing Generation'!$A$3:$CK$90,59,FALSE)</f>
        <v>11</v>
      </c>
      <c r="E127" s="112">
        <f>VLOOKUP($E$3,'Housing Generation'!$A$3:$CK$90,60,FALSE)</f>
        <v>11</v>
      </c>
      <c r="F127" s="112">
        <f>VLOOKUP($E$3,'Housing Generation'!$A$3:$CK$90,61,FALSE)</f>
        <v>10</v>
      </c>
      <c r="G127" s="112">
        <f>VLOOKUP($E$3,'Housing Generation'!$A$3:$CK$90,62,FALSE)</f>
        <v>10</v>
      </c>
      <c r="H127" s="112">
        <f>VLOOKUP($E$3,'Housing Generation'!$A$3:$CK$90,63,FALSE)</f>
        <v>10</v>
      </c>
      <c r="I127" s="112">
        <f>VLOOKUP($E$3,'Housing Generation'!$A$3:$CK$90,64,FALSE)</f>
        <v>10</v>
      </c>
      <c r="J127" s="111">
        <f t="shared" si="21"/>
        <v>62</v>
      </c>
    </row>
    <row r="128" spans="2:10" ht="15" hidden="1" customHeight="1">
      <c r="B128" s="114">
        <v>2026</v>
      </c>
      <c r="C128" s="240" t="s">
        <v>97</v>
      </c>
      <c r="D128" s="112">
        <f>VLOOKUP($E$3,'Housing Generation'!$A$3:$CK$90,67,FALSE)</f>
        <v>12</v>
      </c>
      <c r="E128" s="112">
        <f>VLOOKUP($E$3,'Housing Generation'!$A$3:$CK$90,68,FALSE)</f>
        <v>12</v>
      </c>
      <c r="F128" s="112">
        <f>VLOOKUP($E$3,'Housing Generation'!$A$3:$CK$90,69,FALSE)</f>
        <v>12</v>
      </c>
      <c r="G128" s="112">
        <f>VLOOKUP($E$3,'Housing Generation'!$A$3:$CK$90,70,FALSE)</f>
        <v>12</v>
      </c>
      <c r="H128" s="112">
        <f>VLOOKUP($E$3,'Housing Generation'!$A$3:$CK$90,71,FALSE)</f>
        <v>12</v>
      </c>
      <c r="I128" s="112">
        <f>VLOOKUP($E$3,'Housing Generation'!$A$3:$CK$90,72,FALSE)</f>
        <v>11</v>
      </c>
      <c r="J128" s="111">
        <f t="shared" si="21"/>
        <v>71</v>
      </c>
    </row>
    <row r="129" spans="2:10" ht="15" hidden="1" customHeight="1">
      <c r="B129" s="114">
        <v>2027</v>
      </c>
      <c r="C129" s="240" t="s">
        <v>97</v>
      </c>
      <c r="D129" s="112">
        <f>VLOOKUP($E$3,'Housing Generation'!$A$3:$CK$90,75,FALSE)</f>
        <v>13</v>
      </c>
      <c r="E129" s="112">
        <f>VLOOKUP($E$3,'Housing Generation'!$A$3:$CK$90,76,FALSE)</f>
        <v>13</v>
      </c>
      <c r="F129" s="112">
        <f>VLOOKUP($E$3,'Housing Generation'!$A$3:$CK$90,77,FALSE)</f>
        <v>13</v>
      </c>
      <c r="G129" s="112">
        <f>VLOOKUP($E$3,'Housing Generation'!$A$3:$CK$90,78,FALSE)</f>
        <v>13</v>
      </c>
      <c r="H129" s="112">
        <f>VLOOKUP($E$3,'Housing Generation'!$A$3:$CK$90,79,FALSE)</f>
        <v>13</v>
      </c>
      <c r="I129" s="112">
        <f>VLOOKUP($E$3,'Housing Generation'!$A$3:$CK$90,80,FALSE)</f>
        <v>12</v>
      </c>
      <c r="J129" s="111">
        <f t="shared" si="21"/>
        <v>77</v>
      </c>
    </row>
    <row r="130" spans="2:10" ht="15" customHeight="1">
      <c r="B130" s="114">
        <v>2028</v>
      </c>
      <c r="C130" s="289" t="s">
        <v>97</v>
      </c>
      <c r="D130" s="112">
        <f>VLOOKUP($E$3,'Housing Generation'!$A$3:$CK$90,83,FALSE)</f>
        <v>13</v>
      </c>
      <c r="E130" s="112">
        <f>VLOOKUP($E$3,'Housing Generation'!$A$3:$CK$90,84,FALSE)</f>
        <v>13</v>
      </c>
      <c r="F130" s="112">
        <f>VLOOKUP($E$3,'Housing Generation'!$A$3:$CK$90,85,FALSE)</f>
        <v>13</v>
      </c>
      <c r="G130" s="112">
        <f>VLOOKUP($E$3,'Housing Generation'!$A$3:$CK$90,86,FALSE)</f>
        <v>13</v>
      </c>
      <c r="H130" s="112">
        <f>VLOOKUP($E$3,'Housing Generation'!$A$3:$CK$90,87,FALSE)</f>
        <v>13</v>
      </c>
      <c r="I130" s="112">
        <f>VLOOKUP($E$3,'Housing Generation'!$A$3:$CK$90,88,FALSE)</f>
        <v>13</v>
      </c>
      <c r="J130" s="111">
        <f t="shared" si="21"/>
        <v>78</v>
      </c>
    </row>
    <row r="131" spans="2:10" ht="15" customHeight="1">
      <c r="B131" s="114">
        <v>2029</v>
      </c>
      <c r="C131" s="289" t="s">
        <v>97</v>
      </c>
      <c r="D131" s="112">
        <f>VLOOKUP($E$3,'Housing Generation'!$A$3:$DQ$90,91,FALSE)</f>
        <v>13</v>
      </c>
      <c r="E131" s="112">
        <f>VLOOKUP($E$3,'Housing Generation'!$A$3:$DQ$90,92,FALSE)</f>
        <v>13</v>
      </c>
      <c r="F131" s="112">
        <f>VLOOKUP($E$3,'Housing Generation'!$A$3:$DQ$90,93,FALSE)</f>
        <v>13</v>
      </c>
      <c r="G131" s="112">
        <f>VLOOKUP($E$3,'Housing Generation'!$A$3:$DQ$90,94,FALSE)</f>
        <v>13</v>
      </c>
      <c r="H131" s="112">
        <f>VLOOKUP($E$3,'Housing Generation'!$A$3:$DQ$90,95,FALSE)</f>
        <v>13</v>
      </c>
      <c r="I131" s="112">
        <f>VLOOKUP($E$3,'Housing Generation'!$A$3:$DQ$90,96,FALSE)</f>
        <v>13</v>
      </c>
      <c r="J131" s="111">
        <f t="shared" si="21"/>
        <v>78</v>
      </c>
    </row>
    <row r="132" spans="2:10" ht="15" customHeight="1">
      <c r="B132" s="114">
        <v>2030</v>
      </c>
      <c r="C132" s="289" t="s">
        <v>97</v>
      </c>
      <c r="D132" s="112">
        <f>VLOOKUP($E$3,'Housing Generation'!$A$3:$DQ$90,99,FALSE)</f>
        <v>13</v>
      </c>
      <c r="E132" s="112">
        <f>VLOOKUP($E$3,'Housing Generation'!$A$3:$DQ$90,100,FALSE)</f>
        <v>13</v>
      </c>
      <c r="F132" s="112">
        <f>VLOOKUP($E$3,'Housing Generation'!$A$3:$DQ$90,101,FALSE)</f>
        <v>13</v>
      </c>
      <c r="G132" s="112">
        <f>VLOOKUP($E$3,'Housing Generation'!$A$3:$DQ$90,102,FALSE)</f>
        <v>13</v>
      </c>
      <c r="H132" s="112">
        <f>VLOOKUP($E$3,'Housing Generation'!$A$3:$DQ$90,103,FALSE)</f>
        <v>13</v>
      </c>
      <c r="I132" s="112">
        <f>VLOOKUP($E$3,'Housing Generation'!$A$3:$DQ$90,104,FALSE)</f>
        <v>13</v>
      </c>
      <c r="J132" s="111">
        <f t="shared" si="21"/>
        <v>78</v>
      </c>
    </row>
    <row r="133" spans="2:10" ht="15" customHeight="1">
      <c r="B133" s="114">
        <v>2031</v>
      </c>
      <c r="C133" s="289" t="s">
        <v>97</v>
      </c>
      <c r="D133" s="112">
        <f>VLOOKUP($E$3,'Housing Generation'!$A$3:$DQ$90,107,FALSE)</f>
        <v>13</v>
      </c>
      <c r="E133" s="112">
        <f>VLOOKUP($E$3,'Housing Generation'!$A$3:$DQ$90,108,FALSE)</f>
        <v>13</v>
      </c>
      <c r="F133" s="112">
        <f>VLOOKUP($E$3,'Housing Generation'!$A$3:$DQ$90,109,FALSE)</f>
        <v>13</v>
      </c>
      <c r="G133" s="112">
        <f>VLOOKUP($E$3,'Housing Generation'!$A$3:$DQ$90,110,FALSE)</f>
        <v>13</v>
      </c>
      <c r="H133" s="112">
        <f>VLOOKUP($E$3,'Housing Generation'!$A$3:$DQ$90,111,FALSE)</f>
        <v>13</v>
      </c>
      <c r="I133" s="112">
        <f>VLOOKUP($E$3,'Housing Generation'!$A$3:$DQ$90,112,FALSE)</f>
        <v>13</v>
      </c>
      <c r="J133" s="111">
        <f t="shared" si="21"/>
        <v>78</v>
      </c>
    </row>
    <row r="134" spans="2:10" ht="15" customHeight="1">
      <c r="B134" s="114">
        <v>2032</v>
      </c>
      <c r="C134" s="289" t="s">
        <v>97</v>
      </c>
      <c r="D134" s="112">
        <f>VLOOKUP($E$3,'Housing Generation'!$A$3:$DQ$90,115,FALSE)</f>
        <v>13</v>
      </c>
      <c r="E134" s="112">
        <f>VLOOKUP($E$3,'Housing Generation'!$A$3:$DQ$90,116,FALSE)</f>
        <v>13</v>
      </c>
      <c r="F134" s="112">
        <f>VLOOKUP($E$3,'Housing Generation'!$A$3:$DQ$90,117,FALSE)</f>
        <v>13</v>
      </c>
      <c r="G134" s="112">
        <f>VLOOKUP($E$3,'Housing Generation'!$A$3:$DQ$90,118,FALSE)</f>
        <v>13</v>
      </c>
      <c r="H134" s="112">
        <f>VLOOKUP($E$3,'Housing Generation'!$A$3:$DQ$90,119,FALSE)</f>
        <v>13</v>
      </c>
      <c r="I134" s="112">
        <f>VLOOKUP($E$3,'Housing Generation'!$A$3:$DQ$90,120,FALSE)</f>
        <v>13</v>
      </c>
      <c r="J134" s="111">
        <f t="shared" si="21"/>
        <v>78</v>
      </c>
    </row>
    <row r="135" spans="2:10" ht="15" hidden="1"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St John Vianney RC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35.484147465437786</v>
      </c>
      <c r="D139" s="112">
        <f t="shared" ref="D139:I152" si="23">D121+D103</f>
        <v>47</v>
      </c>
      <c r="E139" s="112">
        <f t="shared" si="23"/>
        <v>29</v>
      </c>
      <c r="F139" s="112">
        <f t="shared" si="23"/>
        <v>32</v>
      </c>
      <c r="G139" s="112">
        <f t="shared" si="23"/>
        <v>32</v>
      </c>
      <c r="H139" s="112">
        <f t="shared" si="23"/>
        <v>37</v>
      </c>
      <c r="I139" s="112">
        <f t="shared" si="23"/>
        <v>52</v>
      </c>
      <c r="J139" s="111">
        <f t="shared" ref="J139:J147" si="24">SUM(C139:I139)</f>
        <v>264.48414746543779</v>
      </c>
    </row>
    <row r="140" spans="2:10" ht="15" customHeight="1">
      <c r="B140" s="114">
        <v>2020</v>
      </c>
      <c r="C140" s="113">
        <f t="shared" si="22"/>
        <v>36.368356374807988</v>
      </c>
      <c r="D140" s="112">
        <f t="shared" si="23"/>
        <v>35</v>
      </c>
      <c r="E140" s="112">
        <f t="shared" si="23"/>
        <v>47</v>
      </c>
      <c r="F140" s="112">
        <f t="shared" si="23"/>
        <v>31</v>
      </c>
      <c r="G140" s="112">
        <f t="shared" si="23"/>
        <v>34</v>
      </c>
      <c r="H140" s="112">
        <f t="shared" si="23"/>
        <v>32</v>
      </c>
      <c r="I140" s="112">
        <f t="shared" si="23"/>
        <v>37</v>
      </c>
      <c r="J140" s="111">
        <f t="shared" si="24"/>
        <v>252.368356374808</v>
      </c>
    </row>
    <row r="141" spans="2:10" ht="15" customHeight="1">
      <c r="B141" s="114">
        <v>2021</v>
      </c>
      <c r="C141" s="113">
        <f t="shared" si="22"/>
        <v>36.368356374807988</v>
      </c>
      <c r="D141" s="112">
        <f t="shared" si="23"/>
        <v>36</v>
      </c>
      <c r="E141" s="112">
        <f t="shared" si="23"/>
        <v>35</v>
      </c>
      <c r="F141" s="112">
        <f t="shared" si="23"/>
        <v>50</v>
      </c>
      <c r="G141" s="112">
        <f t="shared" si="23"/>
        <v>34</v>
      </c>
      <c r="H141" s="112">
        <f t="shared" si="23"/>
        <v>35</v>
      </c>
      <c r="I141" s="112">
        <f t="shared" si="23"/>
        <v>33</v>
      </c>
      <c r="J141" s="111">
        <f t="shared" si="24"/>
        <v>259.368356374808</v>
      </c>
    </row>
    <row r="142" spans="2:10" ht="15" customHeight="1">
      <c r="B142" s="114">
        <v>2022</v>
      </c>
      <c r="C142" s="113">
        <f t="shared" si="22"/>
        <v>39.020983102918585</v>
      </c>
      <c r="D142" s="112">
        <f t="shared" si="23"/>
        <v>36</v>
      </c>
      <c r="E142" s="112">
        <f t="shared" si="23"/>
        <v>37</v>
      </c>
      <c r="F142" s="112">
        <f t="shared" si="23"/>
        <v>38</v>
      </c>
      <c r="G142" s="112">
        <f t="shared" si="23"/>
        <v>53</v>
      </c>
      <c r="H142" s="112">
        <f t="shared" si="23"/>
        <v>35</v>
      </c>
      <c r="I142" s="112">
        <f t="shared" si="23"/>
        <v>36</v>
      </c>
      <c r="J142" s="111">
        <f t="shared" si="24"/>
        <v>274.02098310291859</v>
      </c>
    </row>
    <row r="143" spans="2:10" ht="15" customHeight="1">
      <c r="B143" s="114">
        <v>2023</v>
      </c>
      <c r="C143" s="113">
        <f t="shared" si="22"/>
        <v>40.789400921658988</v>
      </c>
      <c r="D143" s="112">
        <f t="shared" si="23"/>
        <v>39</v>
      </c>
      <c r="E143" s="112">
        <f t="shared" si="23"/>
        <v>37</v>
      </c>
      <c r="F143" s="112">
        <f t="shared" si="23"/>
        <v>40</v>
      </c>
      <c r="G143" s="112">
        <f t="shared" si="23"/>
        <v>40</v>
      </c>
      <c r="H143" s="112">
        <f t="shared" si="23"/>
        <v>53</v>
      </c>
      <c r="I143" s="112">
        <f t="shared" si="23"/>
        <v>35</v>
      </c>
      <c r="J143" s="111">
        <f t="shared" si="24"/>
        <v>284.78940092165897</v>
      </c>
    </row>
    <row r="144" spans="2:10" ht="15" customHeight="1">
      <c r="B144" s="114">
        <v>2024</v>
      </c>
      <c r="C144" s="113">
        <f t="shared" si="22"/>
        <v>42.557818740399384</v>
      </c>
      <c r="D144" s="112">
        <f t="shared" si="23"/>
        <v>41</v>
      </c>
      <c r="E144" s="112">
        <f t="shared" si="23"/>
        <v>39</v>
      </c>
      <c r="F144" s="112">
        <f t="shared" si="23"/>
        <v>39</v>
      </c>
      <c r="G144" s="112">
        <f t="shared" si="23"/>
        <v>42</v>
      </c>
      <c r="H144" s="112">
        <f t="shared" si="23"/>
        <v>41</v>
      </c>
      <c r="I144" s="112">
        <f t="shared" si="23"/>
        <v>53</v>
      </c>
      <c r="J144" s="111">
        <f t="shared" si="24"/>
        <v>297.5578187403994</v>
      </c>
    </row>
    <row r="145" spans="2:16" ht="15" customHeight="1">
      <c r="B145" s="114">
        <v>2025</v>
      </c>
      <c r="C145" s="113">
        <f t="shared" si="22"/>
        <v>44.326236559139787</v>
      </c>
      <c r="D145" s="112">
        <f t="shared" si="23"/>
        <v>43</v>
      </c>
      <c r="E145" s="112">
        <f t="shared" si="23"/>
        <v>42</v>
      </c>
      <c r="F145" s="112">
        <f t="shared" si="23"/>
        <v>41</v>
      </c>
      <c r="G145" s="112">
        <f t="shared" si="23"/>
        <v>41</v>
      </c>
      <c r="H145" s="112">
        <f t="shared" si="23"/>
        <v>42</v>
      </c>
      <c r="I145" s="112">
        <f t="shared" si="23"/>
        <v>41</v>
      </c>
      <c r="J145" s="111">
        <f t="shared" si="24"/>
        <v>294.32623655913977</v>
      </c>
    </row>
    <row r="146" spans="2:16" ht="15" customHeight="1">
      <c r="B146" s="114">
        <v>2026</v>
      </c>
      <c r="C146" s="113">
        <f t="shared" si="22"/>
        <v>45.210445468509988</v>
      </c>
      <c r="D146" s="112">
        <f t="shared" si="23"/>
        <v>44</v>
      </c>
      <c r="E146" s="112">
        <f t="shared" si="23"/>
        <v>43</v>
      </c>
      <c r="F146" s="112">
        <f t="shared" si="23"/>
        <v>44</v>
      </c>
      <c r="G146" s="112">
        <f t="shared" si="23"/>
        <v>44</v>
      </c>
      <c r="H146" s="112">
        <f t="shared" si="23"/>
        <v>42</v>
      </c>
      <c r="I146" s="112">
        <f t="shared" si="23"/>
        <v>42</v>
      </c>
      <c r="J146" s="111">
        <f t="shared" si="24"/>
        <v>304.21044546850999</v>
      </c>
    </row>
    <row r="147" spans="2:16" ht="15" customHeight="1">
      <c r="B147" s="114">
        <v>2027</v>
      </c>
      <c r="C147" s="113">
        <f t="shared" si="22"/>
        <v>46.978863287250384</v>
      </c>
      <c r="D147" s="112">
        <f t="shared" si="23"/>
        <v>45</v>
      </c>
      <c r="E147" s="112">
        <f t="shared" si="23"/>
        <v>44</v>
      </c>
      <c r="F147" s="112">
        <f t="shared" si="23"/>
        <v>45</v>
      </c>
      <c r="G147" s="112">
        <f t="shared" si="23"/>
        <v>46</v>
      </c>
      <c r="H147" s="112">
        <f t="shared" si="23"/>
        <v>44</v>
      </c>
      <c r="I147" s="112">
        <f t="shared" si="23"/>
        <v>41</v>
      </c>
      <c r="J147" s="111">
        <f t="shared" si="24"/>
        <v>311.97886328725042</v>
      </c>
    </row>
    <row r="148" spans="2:16" ht="15" customHeight="1">
      <c r="B148" s="114">
        <v>2028</v>
      </c>
      <c r="C148" s="113">
        <f t="shared" si="22"/>
        <v>46.978863287250384</v>
      </c>
      <c r="D148" s="112">
        <f t="shared" si="23"/>
        <v>47</v>
      </c>
      <c r="E148" s="112">
        <f t="shared" si="23"/>
        <v>44</v>
      </c>
      <c r="F148" s="112">
        <f t="shared" si="23"/>
        <v>45</v>
      </c>
      <c r="G148" s="112">
        <f t="shared" si="23"/>
        <v>46</v>
      </c>
      <c r="H148" s="112">
        <f t="shared" si="23"/>
        <v>45</v>
      </c>
      <c r="I148" s="112">
        <f t="shared" si="23"/>
        <v>43</v>
      </c>
      <c r="J148" s="111">
        <f t="shared" ref="J148:J152" si="25">SUM(C148:I148)</f>
        <v>316.97886328725042</v>
      </c>
    </row>
    <row r="149" spans="2:16" ht="15" customHeight="1">
      <c r="B149" s="114">
        <v>2029</v>
      </c>
      <c r="C149" s="113">
        <f t="shared" si="22"/>
        <v>47.863072196620585</v>
      </c>
      <c r="D149" s="112">
        <f t="shared" si="23"/>
        <v>46</v>
      </c>
      <c r="E149" s="112">
        <f t="shared" si="23"/>
        <v>46</v>
      </c>
      <c r="F149" s="112">
        <f t="shared" si="23"/>
        <v>45</v>
      </c>
      <c r="G149" s="112">
        <f t="shared" si="23"/>
        <v>46</v>
      </c>
      <c r="H149" s="112">
        <f t="shared" si="23"/>
        <v>45</v>
      </c>
      <c r="I149" s="112">
        <f t="shared" si="23"/>
        <v>44</v>
      </c>
      <c r="J149" s="111">
        <f t="shared" si="25"/>
        <v>319.86307219662058</v>
      </c>
    </row>
    <row r="150" spans="2:16" ht="15" customHeight="1">
      <c r="B150" s="114">
        <v>2030</v>
      </c>
      <c r="C150" s="113">
        <f t="shared" si="22"/>
        <v>47.863072196620585</v>
      </c>
      <c r="D150" s="112">
        <f t="shared" si="23"/>
        <v>47</v>
      </c>
      <c r="E150" s="112">
        <f t="shared" si="23"/>
        <v>45</v>
      </c>
      <c r="F150" s="112">
        <f t="shared" si="23"/>
        <v>47</v>
      </c>
      <c r="G150" s="112">
        <f t="shared" si="23"/>
        <v>46</v>
      </c>
      <c r="H150" s="112">
        <f t="shared" si="23"/>
        <v>45</v>
      </c>
      <c r="I150" s="112">
        <f t="shared" si="23"/>
        <v>44</v>
      </c>
      <c r="J150" s="111">
        <f t="shared" si="25"/>
        <v>321.86307219662058</v>
      </c>
    </row>
    <row r="151" spans="2:16" ht="15" customHeight="1">
      <c r="B151" s="114">
        <v>2031</v>
      </c>
      <c r="C151" s="113">
        <f t="shared" si="22"/>
        <v>47.863072196620585</v>
      </c>
      <c r="D151" s="112">
        <f t="shared" si="23"/>
        <v>47</v>
      </c>
      <c r="E151" s="112">
        <f t="shared" si="23"/>
        <v>46</v>
      </c>
      <c r="F151" s="112">
        <f t="shared" si="23"/>
        <v>46</v>
      </c>
      <c r="G151" s="112">
        <f t="shared" si="23"/>
        <v>48</v>
      </c>
      <c r="H151" s="112">
        <f t="shared" si="23"/>
        <v>45</v>
      </c>
      <c r="I151" s="112">
        <f t="shared" si="23"/>
        <v>44</v>
      </c>
      <c r="J151" s="111">
        <f t="shared" si="25"/>
        <v>323.86307219662058</v>
      </c>
    </row>
    <row r="152" spans="2:16" ht="15" customHeight="1">
      <c r="B152" s="114">
        <v>2032</v>
      </c>
      <c r="C152" s="113">
        <f t="shared" si="22"/>
        <v>47.863072196620585</v>
      </c>
      <c r="D152" s="112">
        <f t="shared" si="23"/>
        <v>47</v>
      </c>
      <c r="E152" s="112">
        <f t="shared" si="23"/>
        <v>46</v>
      </c>
      <c r="F152" s="112">
        <f t="shared" si="23"/>
        <v>47</v>
      </c>
      <c r="G152" s="112">
        <f t="shared" si="23"/>
        <v>47</v>
      </c>
      <c r="H152" s="112">
        <f t="shared" si="23"/>
        <v>47</v>
      </c>
      <c r="I152" s="112">
        <f t="shared" si="23"/>
        <v>44</v>
      </c>
      <c r="J152" s="111">
        <f t="shared" si="25"/>
        <v>325.86307219662058</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264.48414746543779</v>
      </c>
      <c r="D159" s="108">
        <f>J140</f>
        <v>252.368356374808</v>
      </c>
      <c r="E159" s="108">
        <f>J141</f>
        <v>259.368356374808</v>
      </c>
      <c r="F159" s="108">
        <f>J142</f>
        <v>274.02098310291859</v>
      </c>
      <c r="G159" s="108">
        <f>J143</f>
        <v>284.78940092165897</v>
      </c>
      <c r="H159" s="108">
        <f>J144</f>
        <v>297.5578187403994</v>
      </c>
      <c r="I159" s="108">
        <f>J145</f>
        <v>294.32623655913977</v>
      </c>
      <c r="J159" s="108">
        <f>J146</f>
        <v>304.21044546850999</v>
      </c>
      <c r="K159" s="108">
        <f>J147</f>
        <v>311.97886328725042</v>
      </c>
      <c r="L159" s="108">
        <f>J148</f>
        <v>316.97886328725042</v>
      </c>
      <c r="M159" s="108">
        <f>J149</f>
        <v>319.86307219662058</v>
      </c>
      <c r="N159" s="108">
        <f>J150</f>
        <v>321.86307219662058</v>
      </c>
      <c r="O159" s="108">
        <f>J151</f>
        <v>323.86307219662058</v>
      </c>
      <c r="P159" s="108">
        <f>J152</f>
        <v>325.86307219662058</v>
      </c>
    </row>
    <row r="160" spans="2:16" ht="15" customHeight="1">
      <c r="B160" s="107" t="s">
        <v>152</v>
      </c>
      <c r="C160" s="106">
        <f>VLOOKUP(C159,Capacity!$A$1:$C$645,2,TRUE)</f>
        <v>11</v>
      </c>
      <c r="D160" s="106">
        <f>VLOOKUP(D159,Capacity!$A$1:$C$645,2,TRUE)</f>
        <v>10</v>
      </c>
      <c r="E160" s="106">
        <f>VLOOKUP(E159,Capacity!$A$1:$C$645,2,TRUE)</f>
        <v>10</v>
      </c>
      <c r="F160" s="106">
        <f>VLOOKUP(F159,Capacity!$A$1:$C$645,2,TRUE)</f>
        <v>11</v>
      </c>
      <c r="G160" s="106">
        <f>VLOOKUP(G159,Capacity!$A$1:$C$645,2,TRUE)</f>
        <v>11</v>
      </c>
      <c r="H160" s="106">
        <f>VLOOKUP(H159,Capacity!$A$1:$C$645,2,TRUE)</f>
        <v>12</v>
      </c>
      <c r="I160" s="106">
        <f>VLOOKUP(I159,Capacity!$A$1:$C$645,2,TRUE)</f>
        <v>11</v>
      </c>
      <c r="J160" s="106">
        <f>VLOOKUP(J159,Capacity!$A$1:$C$645,2,TRUE)</f>
        <v>12</v>
      </c>
      <c r="K160" s="106">
        <f>VLOOKUP(K159,Capacity!$A$1:$C$645,2,TRUE)</f>
        <v>12</v>
      </c>
      <c r="L160" s="106">
        <f>VLOOKUP(L159,Capacity!$A$1:$C$645,2,TRUE)</f>
        <v>13</v>
      </c>
      <c r="M160" s="106">
        <f>VLOOKUP(M159,Capacity!$A$1:$C$645,2,TRUE)</f>
        <v>13</v>
      </c>
      <c r="N160" s="106">
        <f>VLOOKUP(N159,Capacity!$A$1:$C$645,2,TRUE)</f>
        <v>13</v>
      </c>
      <c r="O160" s="106">
        <f>VLOOKUP(O159,Capacity!$A$1:$C$645,2,TRUE)</f>
        <v>13</v>
      </c>
      <c r="P160" s="106">
        <f>VLOOKUP(P159,Capacity!$A$1:$C$645,2,TRUE)</f>
        <v>13</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234</v>
      </c>
      <c r="D169" s="97">
        <f>VLOOKUP($E$3,'Catchment Births'!$A$1:$U$90,11,FALSE)</f>
        <v>246</v>
      </c>
      <c r="E169" s="97">
        <f>VLOOKUP($E$3,'Catchment Births'!$A$1:$U$90,12,FALSE)</f>
        <v>244</v>
      </c>
      <c r="F169" s="97">
        <f>VLOOKUP($E$3,'Catchment Births'!$A$1:$U$90,13,FALSE)</f>
        <v>218</v>
      </c>
      <c r="G169" s="97">
        <f>VLOOKUP($E$3,'Catchment Births'!$A$1:$U$90,14,FALSE)</f>
        <v>267</v>
      </c>
      <c r="H169" s="97">
        <f>VLOOKUP($E$3,'Catchment Births'!$A$1:$U$90,15,FALSE)</f>
        <v>260</v>
      </c>
      <c r="I169" s="97">
        <f>VLOOKUP($E$3,'Catchment Births'!$A$1:$U$90,16,FALSE)</f>
        <v>271</v>
      </c>
      <c r="J169" s="97">
        <f>VLOOKUP($E$3,'Catchment Births'!$A$1:$U$90,17,FALSE)</f>
        <v>237</v>
      </c>
      <c r="K169" s="97">
        <f>VLOOKUP($E$3,'Catchment Births'!$A$1:$U$90,18,FALSE)</f>
        <v>289</v>
      </c>
      <c r="L169" s="97">
        <f>VLOOKUP($E$3,'Catchment Births'!$A$1:$U$90,19,FALSE)</f>
        <v>257</v>
      </c>
      <c r="M169" s="97">
        <f>VLOOKUP($E$3,'Catchment Births'!$A$1:$U$90,20,FALSE)</f>
        <v>265</v>
      </c>
      <c r="N169" s="97">
        <f>VLOOKUP($E$3,'Catchment Births'!$A$1:$U$90,21,FALSE)</f>
        <v>265</v>
      </c>
    </row>
    <row r="170" spans="2:14" ht="58.5" customHeight="1">
      <c r="B170" s="103" t="str">
        <f>"P1 "&amp;A35&amp;" Catchment Population (Actual)"</f>
        <v>P1 RC Catchment Population (Actual)</v>
      </c>
      <c r="C170" s="102" t="e">
        <v>#REF!</v>
      </c>
      <c r="D170" s="102">
        <v>46</v>
      </c>
      <c r="E170" s="102">
        <v>46</v>
      </c>
      <c r="F170" s="102">
        <v>55</v>
      </c>
      <c r="G170" s="102">
        <v>43</v>
      </c>
      <c r="H170" s="102">
        <v>39</v>
      </c>
      <c r="I170" s="102">
        <v>28</v>
      </c>
      <c r="J170" s="308">
        <f>VLOOKUP(E3,'Catchment Projections'!A1:BU92,42,FALSE)</f>
        <v>28</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180</v>
      </c>
      <c r="C172" s="99"/>
      <c r="D172" s="98"/>
      <c r="E172" s="98"/>
      <c r="F172" s="98"/>
      <c r="G172" s="97"/>
      <c r="H172" s="96"/>
      <c r="I172" s="96">
        <f>I170</f>
        <v>28</v>
      </c>
      <c r="J172" s="96" t="e">
        <f>#REF!</f>
        <v>#REF!</v>
      </c>
      <c r="K172" s="96">
        <f>D51</f>
        <v>39</v>
      </c>
      <c r="L172" s="96">
        <f>E51</f>
        <v>40</v>
      </c>
      <c r="M172" s="96">
        <f>F51</f>
        <v>40</v>
      </c>
      <c r="N172" s="96">
        <f>G51</f>
        <v>43</v>
      </c>
    </row>
    <row r="173" spans="2:14" ht="12.75">
      <c r="B173" s="62"/>
      <c r="C173" s="62"/>
      <c r="D173" s="62"/>
      <c r="E173" s="62"/>
      <c r="F173" s="62"/>
      <c r="G173" s="62"/>
      <c r="H173" s="62"/>
      <c r="I173" s="62"/>
      <c r="J173" s="62"/>
      <c r="K173" s="62"/>
    </row>
    <row r="174" spans="2:14" ht="15" customHeight="1">
      <c r="B174" s="64" t="str">
        <f>"Table 5: "&amp;E3&amp;" Roll by Stage, 2002-2018"</f>
        <v>Table 5: St John Vianney RC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30</v>
      </c>
      <c r="D177" s="93">
        <v>32</v>
      </c>
      <c r="E177" s="93">
        <v>34</v>
      </c>
      <c r="F177" s="93">
        <v>24</v>
      </c>
      <c r="G177" s="93">
        <v>38</v>
      </c>
      <c r="H177" s="93">
        <v>40</v>
      </c>
      <c r="I177" s="93">
        <v>32</v>
      </c>
      <c r="J177" s="92">
        <v>230</v>
      </c>
      <c r="K177" s="62"/>
    </row>
    <row r="178" spans="2:11" ht="15" customHeight="1">
      <c r="B178" s="94">
        <v>2003</v>
      </c>
      <c r="C178" s="93">
        <v>34</v>
      </c>
      <c r="D178" s="93">
        <v>30</v>
      </c>
      <c r="E178" s="93">
        <v>35</v>
      </c>
      <c r="F178" s="93">
        <v>38</v>
      </c>
      <c r="G178" s="93">
        <v>26</v>
      </c>
      <c r="H178" s="93">
        <v>61</v>
      </c>
      <c r="I178" s="93">
        <v>13</v>
      </c>
      <c r="J178" s="92">
        <v>237</v>
      </c>
      <c r="K178" s="62"/>
    </row>
    <row r="179" spans="2:11" customFormat="1" ht="15" customHeight="1">
      <c r="B179" s="94">
        <v>2004</v>
      </c>
      <c r="C179" s="95">
        <v>33</v>
      </c>
      <c r="D179" s="95">
        <v>28</v>
      </c>
      <c r="E179" s="95">
        <v>30</v>
      </c>
      <c r="F179" s="95">
        <v>34</v>
      </c>
      <c r="G179" s="95">
        <v>38</v>
      </c>
      <c r="H179" s="95">
        <v>23</v>
      </c>
      <c r="I179" s="95">
        <v>32</v>
      </c>
      <c r="J179" s="92">
        <v>218</v>
      </c>
      <c r="K179" s="62"/>
    </row>
    <row r="180" spans="2:11" customFormat="1" ht="15" customHeight="1">
      <c r="B180" s="94">
        <v>2005</v>
      </c>
      <c r="C180" s="93">
        <v>35</v>
      </c>
      <c r="D180" s="93">
        <v>37</v>
      </c>
      <c r="E180" s="93">
        <v>32</v>
      </c>
      <c r="F180" s="93">
        <v>33</v>
      </c>
      <c r="G180" s="93">
        <v>36</v>
      </c>
      <c r="H180" s="93">
        <v>39</v>
      </c>
      <c r="I180" s="93">
        <v>23</v>
      </c>
      <c r="J180" s="92">
        <v>235</v>
      </c>
      <c r="K180" s="62"/>
    </row>
    <row r="181" spans="2:11" customFormat="1" ht="15" customHeight="1">
      <c r="B181" s="94">
        <v>2006</v>
      </c>
      <c r="C181" s="93">
        <v>31</v>
      </c>
      <c r="D181" s="93">
        <v>37</v>
      </c>
      <c r="E181" s="93">
        <v>35</v>
      </c>
      <c r="F181" s="93">
        <v>34</v>
      </c>
      <c r="G181" s="93">
        <v>33</v>
      </c>
      <c r="H181" s="93">
        <v>35</v>
      </c>
      <c r="I181" s="93">
        <v>37</v>
      </c>
      <c r="J181" s="92">
        <v>242</v>
      </c>
      <c r="K181" s="62"/>
    </row>
    <row r="182" spans="2:11" customFormat="1" ht="15" customHeight="1">
      <c r="B182" s="94">
        <v>2007</v>
      </c>
      <c r="C182" s="93">
        <v>34</v>
      </c>
      <c r="D182" s="93">
        <v>30</v>
      </c>
      <c r="E182" s="93">
        <v>38</v>
      </c>
      <c r="F182" s="93">
        <v>36</v>
      </c>
      <c r="G182" s="93">
        <v>38</v>
      </c>
      <c r="H182" s="93">
        <v>29</v>
      </c>
      <c r="I182" s="93">
        <v>34</v>
      </c>
      <c r="J182" s="92">
        <v>239</v>
      </c>
      <c r="K182" s="62"/>
    </row>
    <row r="183" spans="2:11" customFormat="1" ht="15" customHeight="1">
      <c r="B183" s="94">
        <v>2008</v>
      </c>
      <c r="C183" s="93">
        <v>32</v>
      </c>
      <c r="D183" s="93">
        <v>31</v>
      </c>
      <c r="E183" s="93">
        <v>28</v>
      </c>
      <c r="F183" s="93">
        <v>39</v>
      </c>
      <c r="G183" s="93">
        <v>36</v>
      </c>
      <c r="H183" s="93">
        <v>38</v>
      </c>
      <c r="I183" s="93">
        <v>25</v>
      </c>
      <c r="J183" s="92">
        <v>229</v>
      </c>
      <c r="K183" s="62"/>
    </row>
    <row r="184" spans="2:11" customFormat="1" ht="15" customHeight="1">
      <c r="B184" s="94">
        <v>2009</v>
      </c>
      <c r="C184" s="93">
        <v>37</v>
      </c>
      <c r="D184" s="93">
        <v>31</v>
      </c>
      <c r="E184" s="93">
        <v>36</v>
      </c>
      <c r="F184" s="93">
        <v>30</v>
      </c>
      <c r="G184" s="93">
        <v>38</v>
      </c>
      <c r="H184" s="93">
        <v>36</v>
      </c>
      <c r="I184" s="93">
        <v>39</v>
      </c>
      <c r="J184" s="94">
        <v>247</v>
      </c>
      <c r="K184" s="62"/>
    </row>
    <row r="185" spans="2:11" customFormat="1" ht="15" customHeight="1">
      <c r="B185" s="94">
        <v>2010</v>
      </c>
      <c r="C185" s="93">
        <v>48</v>
      </c>
      <c r="D185" s="93">
        <v>34</v>
      </c>
      <c r="E185" s="93">
        <v>28</v>
      </c>
      <c r="F185" s="93">
        <v>33</v>
      </c>
      <c r="G185" s="93">
        <v>32</v>
      </c>
      <c r="H185" s="93">
        <v>36</v>
      </c>
      <c r="I185" s="93">
        <v>35</v>
      </c>
      <c r="J185" s="92">
        <v>246</v>
      </c>
      <c r="K185" s="62"/>
    </row>
    <row r="186" spans="2:11" customFormat="1" ht="15" customHeight="1">
      <c r="B186" s="94">
        <v>2011</v>
      </c>
      <c r="C186" s="93">
        <v>42</v>
      </c>
      <c r="D186" s="93">
        <v>49</v>
      </c>
      <c r="E186" s="93">
        <v>29</v>
      </c>
      <c r="F186" s="93">
        <v>31</v>
      </c>
      <c r="G186" s="93">
        <v>31</v>
      </c>
      <c r="H186" s="93">
        <v>32</v>
      </c>
      <c r="I186" s="93">
        <v>42</v>
      </c>
      <c r="J186" s="92">
        <v>256</v>
      </c>
      <c r="K186" s="62"/>
    </row>
    <row r="187" spans="2:11" customFormat="1" ht="15" customHeight="1">
      <c r="B187" s="94">
        <v>2012</v>
      </c>
      <c r="C187" s="93">
        <v>53</v>
      </c>
      <c r="D187" s="93">
        <v>40</v>
      </c>
      <c r="E187" s="93">
        <v>51</v>
      </c>
      <c r="F187" s="93">
        <v>29</v>
      </c>
      <c r="G187" s="93">
        <v>31</v>
      </c>
      <c r="H187" s="93">
        <v>32</v>
      </c>
      <c r="I187" s="93">
        <v>32</v>
      </c>
      <c r="J187" s="92">
        <v>268</v>
      </c>
      <c r="K187" s="62"/>
    </row>
    <row r="188" spans="2:11" customFormat="1" ht="15" customHeight="1">
      <c r="B188" s="94">
        <v>2013</v>
      </c>
      <c r="C188" s="93">
        <v>48</v>
      </c>
      <c r="D188" s="93">
        <v>52</v>
      </c>
      <c r="E188" s="93">
        <v>36</v>
      </c>
      <c r="F188" s="93">
        <v>50</v>
      </c>
      <c r="G188" s="93">
        <v>31</v>
      </c>
      <c r="H188" s="93">
        <v>33</v>
      </c>
      <c r="I188" s="93">
        <v>33</v>
      </c>
      <c r="J188" s="94">
        <v>283</v>
      </c>
      <c r="K188" s="62"/>
    </row>
    <row r="189" spans="2:11" customFormat="1" ht="15" customHeight="1">
      <c r="B189" s="94">
        <v>2014</v>
      </c>
      <c r="C189" s="93">
        <v>37</v>
      </c>
      <c r="D189" s="93">
        <v>48</v>
      </c>
      <c r="E189" s="93">
        <v>51</v>
      </c>
      <c r="F189" s="93">
        <v>37</v>
      </c>
      <c r="G189" s="93">
        <v>46</v>
      </c>
      <c r="H189" s="93">
        <v>28</v>
      </c>
      <c r="I189" s="93">
        <v>33</v>
      </c>
      <c r="J189" s="92">
        <v>280</v>
      </c>
      <c r="K189" s="65"/>
    </row>
    <row r="190" spans="2:11" customFormat="1" ht="15" customHeight="1">
      <c r="B190" s="94">
        <v>2015</v>
      </c>
      <c r="C190" s="93">
        <v>26</v>
      </c>
      <c r="D190" s="93">
        <v>36</v>
      </c>
      <c r="E190" s="93">
        <v>49</v>
      </c>
      <c r="F190" s="93">
        <v>51</v>
      </c>
      <c r="G190" s="93">
        <v>38</v>
      </c>
      <c r="H190" s="93">
        <v>45</v>
      </c>
      <c r="I190" s="93">
        <v>24</v>
      </c>
      <c r="J190" s="92">
        <v>269</v>
      </c>
      <c r="K190" s="65"/>
    </row>
    <row r="191" spans="2:11" customFormat="1" ht="15" customHeight="1">
      <c r="B191" s="94">
        <v>2016</v>
      </c>
      <c r="C191" s="93">
        <v>26</v>
      </c>
      <c r="D191" s="93">
        <v>30</v>
      </c>
      <c r="E191" s="93">
        <v>33</v>
      </c>
      <c r="F191" s="93">
        <v>47</v>
      </c>
      <c r="G191" s="93">
        <v>51</v>
      </c>
      <c r="H191" s="93">
        <v>38</v>
      </c>
      <c r="I191" s="93">
        <v>45</v>
      </c>
      <c r="J191" s="92">
        <v>270</v>
      </c>
      <c r="K191" s="65"/>
    </row>
    <row r="192" spans="2:11" ht="15" customHeight="1">
      <c r="B192" s="94">
        <v>2017</v>
      </c>
      <c r="C192" s="93">
        <f>VLOOKUP($E$3,Rolls!A1:FA90,42,FALSE)</f>
        <v>29</v>
      </c>
      <c r="D192" s="93">
        <f>VLOOKUP($E$3,Rolls!A1:FA90,43,FALSE)</f>
        <v>30</v>
      </c>
      <c r="E192" s="93">
        <f>VLOOKUP($E$3,Rolls!A1:FA90,44,FALSE)</f>
        <v>29</v>
      </c>
      <c r="F192" s="93">
        <f>VLOOKUP($E$3,Rolls!A1:FA90,45,FALSE)</f>
        <v>35</v>
      </c>
      <c r="G192" s="93">
        <f>VLOOKUP($E$3,Rolls!A1:FA90,46,FALSE)</f>
        <v>48</v>
      </c>
      <c r="H192" s="93">
        <f>VLOOKUP($E$3,Rolls!A1:FA90,47,FALSE)</f>
        <v>49</v>
      </c>
      <c r="I192" s="93">
        <f>VLOOKUP($E$3,Rolls!A1:FA90,48,FALSE)</f>
        <v>35</v>
      </c>
      <c r="J192" s="92">
        <f>VLOOKUP($E$3,Rolls!A1:FA90,49,FALSE)</f>
        <v>255</v>
      </c>
      <c r="K192" s="65"/>
    </row>
    <row r="193" spans="2:11" ht="15" customHeight="1">
      <c r="B193" s="94">
        <v>2018</v>
      </c>
      <c r="C193" s="93">
        <f>VLOOKUP($E$3,Rolls!A1:FA90,50,FALSE)</f>
        <v>46</v>
      </c>
      <c r="D193" s="93">
        <f>VLOOKUP($E$3,Rolls!A1:FA90,51,FALSE)</f>
        <v>29</v>
      </c>
      <c r="E193" s="93">
        <f>VLOOKUP($E$3,Rolls!A1:FA90,52,FALSE)</f>
        <v>30</v>
      </c>
      <c r="F193" s="93">
        <f>VLOOKUP($E$3,Rolls!A1:FA90,53,FALSE)</f>
        <v>30</v>
      </c>
      <c r="G193" s="93">
        <f>VLOOKUP($E$3,Rolls!A1:FA90,54,FALSE)</f>
        <v>37</v>
      </c>
      <c r="H193" s="93">
        <f>VLOOKUP($E$3,Rolls!A1:FA90,55,FALSE)</f>
        <v>53</v>
      </c>
      <c r="I193" s="93">
        <f>VLOOKUP($E$3,Rolls!A1:FA90,56,FALSE)</f>
        <v>47</v>
      </c>
      <c r="J193" s="92">
        <f>VLOOKUP($E$3,Rolls!A1:FA90,57,FALSE)</f>
        <v>272</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89</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St John's RC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434 Pupils (15 classes)</v>
      </c>
      <c r="G12" s="16"/>
      <c r="H12" s="16"/>
    </row>
    <row r="13" spans="2:10" ht="15" customHeight="1">
      <c r="C13" s="16"/>
      <c r="D13" s="16"/>
      <c r="E13" s="16"/>
      <c r="F13" s="16"/>
      <c r="G13" s="16"/>
      <c r="H13" s="16"/>
    </row>
    <row r="14" spans="2:10" ht="15" customHeight="1">
      <c r="B14" s="15" t="str">
        <f>"Figure 1: "&amp;E3&amp;" Roll, 2002-2015"</f>
        <v>Figure 1: St John's RC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2010-2020"</f>
        <v>Figure 2: Actual Catchment Births (from 5yrs prior),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St John's RC Primary School</v>
      </c>
      <c r="K34" s="16"/>
    </row>
    <row r="35" spans="1:17" ht="15" customHeight="1">
      <c r="A35" s="1" t="str">
        <f>IF(ISNUMBER(SEARCH("RC",A34)),"RC", "ND")</f>
        <v>RC</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RC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44</v>
      </c>
      <c r="E49" s="108">
        <f>VLOOKUP($E$3,'Catchment Projections'!$A$1:$BU$90,46,FALSE)</f>
        <v>43</v>
      </c>
      <c r="F49" s="108">
        <f>VLOOKUP($E$3,'Catchment Projections'!$A$1:$BU$90,47,FALSE)</f>
        <v>48</v>
      </c>
      <c r="G49" s="108">
        <f>VLOOKUP($E$3,'Catchment Projections'!$A$1:$BU$90,48,FALSE)</f>
        <v>46</v>
      </c>
      <c r="H49" s="133">
        <f>VLOOKUP($E$3,'Catchment Projections'!$A$1:$BU$90,49,FALSE)</f>
        <v>46</v>
      </c>
      <c r="I49" s="133">
        <f>VLOOKUP($E$3,'Catchment Projections'!$A$1:$BU$90,50,FALSE)</f>
        <v>47</v>
      </c>
      <c r="J49" s="133">
        <f>VLOOKUP($E$3,'Catchment Projections'!$A$1:$BU$90,51,FALSE)</f>
        <v>48</v>
      </c>
      <c r="K49" s="133">
        <f>VLOOKUP($E$3,'Catchment Projections'!$A$1:$BU$90,52,FALSE)</f>
        <v>48</v>
      </c>
      <c r="L49" s="133">
        <f>VLOOKUP($E$3,'Catchment Projections'!$A$1:$BU$90,53,FALSE)</f>
        <v>48</v>
      </c>
      <c r="M49" s="133">
        <f>VLOOKUP($E$3,'Catchment Projections'!$A$1:$BU$90,54,FALSE)</f>
        <v>49</v>
      </c>
      <c r="N49" s="133">
        <f>VLOOKUP($E$3,'Catchment Projections'!$A$1:$BU$90,55,FALSE)</f>
        <v>49</v>
      </c>
      <c r="O49" s="133">
        <f>VLOOKUP($E$3,'Catchment Projections'!$A$1:$BU$90,56,FALSE)</f>
        <v>49</v>
      </c>
      <c r="P49" s="133">
        <f>VLOOKUP($E$3,'Catchment Projections'!$A$1:$BU$90,57,FALSE)</f>
        <v>49</v>
      </c>
      <c r="Q49" s="133">
        <f>VLOOKUP($E$3,'Catchment Projections'!$A$1:$BU$90,58,FALSE)</f>
        <v>49</v>
      </c>
    </row>
    <row r="50" spans="2:17" ht="15" customHeight="1" thickBot="1">
      <c r="B50" s="410" t="s">
        <v>141</v>
      </c>
      <c r="C50" s="411"/>
      <c r="D50" s="286">
        <f>VLOOKUP(E3,'Housing Generation'!$A$3:$DQ$90,10,FALSE)</f>
        <v>1</v>
      </c>
      <c r="E50" s="286">
        <f>VLOOKUP(E3,'Housing Generation'!$A$3:$DQ$90,18,FALSE)</f>
        <v>1</v>
      </c>
      <c r="F50" s="286">
        <f>VLOOKUP(E3,'Housing Generation'!$A$3:$DQ$90,26,FALSE)</f>
        <v>2</v>
      </c>
      <c r="G50" s="243">
        <f>VLOOKUP(E3,'Housing Generation'!$A$3:$DQ$90,34,FALSE)</f>
        <v>2</v>
      </c>
      <c r="H50" s="133">
        <f>VLOOKUP(E3,'Housing Generation'!$A$3:$DQ$90,42,FALSE)</f>
        <v>3</v>
      </c>
      <c r="I50" s="133">
        <f>VLOOKUP(E3,'Housing Generation'!$A$3:$DQ$90,50,FALSE)</f>
        <v>3</v>
      </c>
      <c r="J50" s="133">
        <f>VLOOKUP(E3,'Housing Generation'!$A$3:$CK$90,58,FALSE)</f>
        <v>4</v>
      </c>
      <c r="K50" s="133">
        <f>VLOOKUP(E3,'Housing Generation'!$A$3:$CK$90,66,FALSE)</f>
        <v>5</v>
      </c>
      <c r="L50" s="133">
        <f>VLOOKUP(E3,'Housing Generation'!$A$3:$DQ$90,74,FALSE)</f>
        <v>6</v>
      </c>
      <c r="M50" s="133">
        <f>VLOOKUP(E3,'Housing Generation'!$A$3:$DQ$90,82,FALSE)</f>
        <v>7</v>
      </c>
      <c r="N50" s="133">
        <f>VLOOKUP(E3,'Housing Generation'!$A$3:$DQ$90,90,FALSE)</f>
        <v>7</v>
      </c>
      <c r="O50" s="133">
        <f>VLOOKUP(E3,'Housing Generation'!$A$3:$DQ$90,98,FALSE)</f>
        <v>8</v>
      </c>
      <c r="P50" s="133">
        <f>VLOOKUP(E3,'Housing Generation'!$A$3:$DQ$90,106,FALSE)</f>
        <v>8</v>
      </c>
      <c r="Q50" s="133">
        <f>VLOOKUP(E3,'Housing Generation'!$A$3:$DQ$90,114,FALSE)</f>
        <v>9</v>
      </c>
    </row>
    <row r="51" spans="2:17" ht="15" customHeight="1" thickTop="1">
      <c r="B51" s="421" t="s">
        <v>130</v>
      </c>
      <c r="C51" s="422"/>
      <c r="D51" s="47">
        <f t="shared" ref="D51:Q51" si="0">SUM(D49:D50)</f>
        <v>45</v>
      </c>
      <c r="E51" s="47">
        <f t="shared" si="0"/>
        <v>44</v>
      </c>
      <c r="F51" s="80">
        <f t="shared" si="0"/>
        <v>50</v>
      </c>
      <c r="G51" s="244">
        <f t="shared" si="0"/>
        <v>48</v>
      </c>
      <c r="H51" s="71">
        <f t="shared" si="0"/>
        <v>49</v>
      </c>
      <c r="I51" s="71">
        <f t="shared" si="0"/>
        <v>50</v>
      </c>
      <c r="J51" s="71">
        <f t="shared" si="0"/>
        <v>52</v>
      </c>
      <c r="K51" s="71">
        <f t="shared" si="0"/>
        <v>53</v>
      </c>
      <c r="L51" s="71">
        <f t="shared" si="0"/>
        <v>54</v>
      </c>
      <c r="M51" s="71">
        <f t="shared" si="0"/>
        <v>56</v>
      </c>
      <c r="N51" s="71">
        <f t="shared" si="0"/>
        <v>56</v>
      </c>
      <c r="O51" s="71">
        <f t="shared" si="0"/>
        <v>57</v>
      </c>
      <c r="P51" s="71">
        <f t="shared" si="0"/>
        <v>57</v>
      </c>
      <c r="Q51" s="71">
        <f t="shared" si="0"/>
        <v>58</v>
      </c>
    </row>
    <row r="52" spans="2:17" ht="15" customHeight="1">
      <c r="C52" s="36"/>
      <c r="D52" s="48"/>
      <c r="E52" s="48"/>
      <c r="F52" s="48"/>
      <c r="G52" s="48"/>
      <c r="H52" s="48"/>
    </row>
    <row r="53" spans="2:17" ht="31.5" customHeight="1">
      <c r="B53" s="423" t="s">
        <v>292</v>
      </c>
      <c r="C53" s="424"/>
      <c r="D53" s="87">
        <v>0</v>
      </c>
      <c r="E53" s="139" t="s">
        <v>181</v>
      </c>
      <c r="F53" s="140">
        <v>30</v>
      </c>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RC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45</v>
      </c>
      <c r="D60" s="358">
        <f>VLOOKUP($E$3,'Catchment Projections'!$A$1:$BZ$90,74,FALSE)</f>
        <v>45</v>
      </c>
      <c r="E60" s="303">
        <f>D60/C60</f>
        <v>1</v>
      </c>
      <c r="G60" s="132">
        <v>2014</v>
      </c>
      <c r="H60" s="395">
        <f>VLOOKUP($G$60,$B$177:$C$215, 2, FALSE)</f>
        <v>50</v>
      </c>
      <c r="I60" s="120">
        <f>H60-D60</f>
        <v>5</v>
      </c>
      <c r="J60" s="121">
        <f>I60/H60</f>
        <v>0.1</v>
      </c>
    </row>
    <row r="61" spans="2:17" ht="15" customHeight="1">
      <c r="B61" s="132">
        <v>2015</v>
      </c>
      <c r="C61" s="359">
        <f>VLOOKUP($E$3,'Catchment Projections'!$A$1:$BZ$90,41,FALSE)</f>
        <v>51</v>
      </c>
      <c r="D61" s="358">
        <f>VLOOKUP($E$3,'Catchment Projections'!$A$1:$BZ$90,75,FALSE)</f>
        <v>51</v>
      </c>
      <c r="E61" s="303">
        <f>D61/C61</f>
        <v>1</v>
      </c>
      <c r="G61" s="132">
        <v>2015</v>
      </c>
      <c r="H61" s="395">
        <f>VLOOKUP($G$61,$B$177:$C$215, 2, FALSE)</f>
        <v>58</v>
      </c>
      <c r="I61" s="120">
        <f>H61-D61</f>
        <v>7</v>
      </c>
      <c r="J61" s="121">
        <f>I61/H61</f>
        <v>0.1206896551724138</v>
      </c>
    </row>
    <row r="62" spans="2:17" ht="15" customHeight="1">
      <c r="B62" s="131">
        <v>2016</v>
      </c>
      <c r="C62" s="359">
        <f>VLOOKUP($E$3,'Catchment Projections'!$A$1:$BZ$90,42,FALSE)</f>
        <v>49</v>
      </c>
      <c r="D62" s="358">
        <f>VLOOKUP($E$3,'Catchment Projections'!$A$1:$BZ$90,76,FALSE)</f>
        <v>49</v>
      </c>
      <c r="E62" s="57">
        <f>D62/C62</f>
        <v>1</v>
      </c>
      <c r="G62" s="131">
        <v>2016</v>
      </c>
      <c r="H62" s="395">
        <f>VLOOKUP($G$62,$B$177:$C$215, 2, FALSE)</f>
        <v>50</v>
      </c>
      <c r="I62" s="120">
        <f>H62-D62</f>
        <v>1</v>
      </c>
      <c r="J62" s="121">
        <f>I62/H62</f>
        <v>0.02</v>
      </c>
    </row>
    <row r="63" spans="2:17" ht="15" customHeight="1">
      <c r="B63" s="114">
        <v>2017</v>
      </c>
      <c r="C63" s="359">
        <f>VLOOKUP($E$3,'Catchment Projections'!$A$1:$BZ$90,43,FALSE)</f>
        <v>55</v>
      </c>
      <c r="D63" s="358">
        <f>VLOOKUP($E$3,'Catchment Projections'!$A$1:$BZ$90,77,FALSE)</f>
        <v>51</v>
      </c>
      <c r="E63" s="304">
        <f>D63/C63</f>
        <v>0.92727272727272725</v>
      </c>
      <c r="G63" s="114">
        <v>2017</v>
      </c>
      <c r="H63" s="395">
        <f>VLOOKUP($G$63,$B$177:$C$215, 2, FALSE)</f>
        <v>56</v>
      </c>
      <c r="I63" s="120">
        <f>H63-D63</f>
        <v>5</v>
      </c>
      <c r="J63" s="121">
        <f>I63/H63</f>
        <v>8.9285714285714288E-2</v>
      </c>
    </row>
    <row r="64" spans="2:17" ht="15" customHeight="1">
      <c r="B64" s="114">
        <v>2018</v>
      </c>
      <c r="C64" s="359">
        <f>VLOOKUP($E$3,'Catchment Projections'!$A$1:$BZ$90,44,FALSE)</f>
        <v>41</v>
      </c>
      <c r="D64" s="358">
        <f>VLOOKUP($E$3,'Catchment Projections'!$A$1:$BZ$90,78,FALSE)</f>
        <v>41</v>
      </c>
      <c r="E64" s="305">
        <f>D64/C64</f>
        <v>1</v>
      </c>
      <c r="G64" s="114">
        <v>2018</v>
      </c>
      <c r="H64" s="395">
        <f>VLOOKUP($G$64,$B$177:$C$215, 2, FALSE)</f>
        <v>49</v>
      </c>
      <c r="I64" s="120">
        <f>H64-D64</f>
        <v>8</v>
      </c>
      <c r="J64" s="121">
        <f>I64/H64</f>
        <v>0.16326530612244897</v>
      </c>
    </row>
    <row r="65" spans="2:10" ht="15" customHeight="1">
      <c r="B65" s="412" t="s">
        <v>136</v>
      </c>
      <c r="C65" s="413"/>
      <c r="D65" s="414"/>
      <c r="E65" s="137">
        <f>IF((AVERAGE(E62:E64))="#DIV/0!","n/a",(AVERAGE(E62:E64)))</f>
        <v>0.97575757575757571</v>
      </c>
      <c r="G65" s="415" t="s">
        <v>137</v>
      </c>
      <c r="H65" s="416"/>
      <c r="I65" s="138">
        <f>MEDIAN(I60:I64)</f>
        <v>5</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179</v>
      </c>
      <c r="D69" s="408"/>
      <c r="E69" s="125" t="s">
        <v>158</v>
      </c>
      <c r="F69" s="126" t="s">
        <v>133</v>
      </c>
      <c r="G69" s="124" t="s">
        <v>183</v>
      </c>
      <c r="H69" s="125" t="s">
        <v>138</v>
      </c>
      <c r="I69" s="124" t="s">
        <v>142</v>
      </c>
      <c r="J69" s="123" t="s">
        <v>139</v>
      </c>
    </row>
    <row r="70" spans="2:10" ht="15" customHeight="1">
      <c r="B70" s="114">
        <v>2019</v>
      </c>
      <c r="C70" s="433">
        <f>D51</f>
        <v>45</v>
      </c>
      <c r="D70" s="408"/>
      <c r="E70" s="122">
        <f>E65</f>
        <v>0.97575757575757571</v>
      </c>
      <c r="F70" s="120">
        <f t="shared" ref="F70:F83" si="1">C70*$E$65</f>
        <v>43.909090909090907</v>
      </c>
      <c r="G70" s="118">
        <f>IF(F70&lt;26,25,IF(F70&gt;135,140,IF(F70&gt;130,135,IF(F70&gt;125,130,IF(F70&gt;120,125,IF(F70&gt;115,120,IF(F70&gt;110,115,IF(F70&gt;105,110,IF(F70&gt;100,105,IF(F70&gt;99,100,IF(F70&gt;90,99,IF(F70&gt;75,90,IF(F70&gt;72,75,IF(F70&gt;66,72,IF(F70&gt;60,66,IF(F70&gt;50,60,IF(F70&gt;30,50,IF(F70&gt;25,30,0))))))))))))))))))</f>
        <v>50</v>
      </c>
      <c r="H70" s="119">
        <f t="shared" ref="H70:H83" si="2">G70-F70</f>
        <v>6.0909090909090935</v>
      </c>
      <c r="I70" s="118" t="str">
        <f>IF(I$65&lt;H70, "NO", "YES")</f>
        <v>NO</v>
      </c>
      <c r="J70" s="117">
        <f t="shared" ref="J70:J83" si="3">IF(I70="YES",G70,(MIN((SUM(F70,$I$65)),G70)))</f>
        <v>48.909090909090907</v>
      </c>
    </row>
    <row r="71" spans="2:10" ht="15" customHeight="1">
      <c r="B71" s="114">
        <v>2020</v>
      </c>
      <c r="C71" s="433">
        <f>E51</f>
        <v>44</v>
      </c>
      <c r="D71" s="408"/>
      <c r="E71" s="121">
        <f>E65</f>
        <v>0.97575757575757571</v>
      </c>
      <c r="F71" s="120">
        <f t="shared" si="1"/>
        <v>42.93333333333333</v>
      </c>
      <c r="G71" s="118">
        <f t="shared" ref="G71:G83" si="4">IF(F71&lt;26,25,IF(F71&gt;135,140,IF(F71&gt;130,135,IF(F71&gt;125,130,IF(F71&gt;120,125,IF(F71&gt;115,120,IF(F71&gt;110,115,IF(F71&gt;105,110,IF(F71&gt;100,105,IF(F71&gt;99,100,IF(F71&gt;90,99,IF(F71&gt;75,90,IF(F71&gt;72,75,IF(F71&gt;66,72,IF(F71&gt;60,66,IF(F71&gt;50,60,IF(F71&gt;30,50,IF(F71&gt;25,30,0))))))))))))))))))</f>
        <v>50</v>
      </c>
      <c r="H71" s="119">
        <f t="shared" si="2"/>
        <v>7.06666666666667</v>
      </c>
      <c r="I71" s="118" t="str">
        <f t="shared" ref="I71:I83" si="5">IF(I$65&lt;H71, "NO", "YES")</f>
        <v>NO</v>
      </c>
      <c r="J71" s="117">
        <f t="shared" si="3"/>
        <v>47.93333333333333</v>
      </c>
    </row>
    <row r="72" spans="2:10" ht="15" customHeight="1">
      <c r="B72" s="114">
        <v>2021</v>
      </c>
      <c r="C72" s="430">
        <f>F51</f>
        <v>50</v>
      </c>
      <c r="D72" s="431"/>
      <c r="E72" s="121">
        <f>E65</f>
        <v>0.97575757575757571</v>
      </c>
      <c r="F72" s="120">
        <f t="shared" si="1"/>
        <v>48.787878787878789</v>
      </c>
      <c r="G72" s="118">
        <f t="shared" si="4"/>
        <v>50</v>
      </c>
      <c r="H72" s="119">
        <f t="shared" si="2"/>
        <v>1.212121212121211</v>
      </c>
      <c r="I72" s="118" t="str">
        <f t="shared" si="5"/>
        <v>YES</v>
      </c>
      <c r="J72" s="117">
        <f t="shared" si="3"/>
        <v>50</v>
      </c>
    </row>
    <row r="73" spans="2:10" ht="15" customHeight="1">
      <c r="B73" s="114">
        <v>2022</v>
      </c>
      <c r="C73" s="430">
        <f>G51</f>
        <v>48</v>
      </c>
      <c r="D73" s="431"/>
      <c r="E73" s="121">
        <f>E65</f>
        <v>0.97575757575757571</v>
      </c>
      <c r="F73" s="120">
        <f t="shared" si="1"/>
        <v>46.836363636363636</v>
      </c>
      <c r="G73" s="118">
        <f t="shared" si="4"/>
        <v>50</v>
      </c>
      <c r="H73" s="119">
        <f t="shared" si="2"/>
        <v>3.163636363636364</v>
      </c>
      <c r="I73" s="118" t="str">
        <f t="shared" si="5"/>
        <v>YES</v>
      </c>
      <c r="J73" s="117">
        <f t="shared" si="3"/>
        <v>50</v>
      </c>
    </row>
    <row r="74" spans="2:10" ht="15" customHeight="1">
      <c r="B74" s="114">
        <v>2023</v>
      </c>
      <c r="C74" s="430">
        <f>H51</f>
        <v>49</v>
      </c>
      <c r="D74" s="431"/>
      <c r="E74" s="121">
        <f>E65</f>
        <v>0.97575757575757571</v>
      </c>
      <c r="F74" s="120">
        <f t="shared" si="1"/>
        <v>47.812121212121212</v>
      </c>
      <c r="G74" s="118">
        <f t="shared" si="4"/>
        <v>50</v>
      </c>
      <c r="H74" s="119">
        <f t="shared" si="2"/>
        <v>2.1878787878787875</v>
      </c>
      <c r="I74" s="118" t="str">
        <f t="shared" si="5"/>
        <v>YES</v>
      </c>
      <c r="J74" s="117">
        <f t="shared" si="3"/>
        <v>50</v>
      </c>
    </row>
    <row r="75" spans="2:10" ht="15" customHeight="1">
      <c r="B75" s="114">
        <v>2024</v>
      </c>
      <c r="C75" s="430">
        <f>I51</f>
        <v>50</v>
      </c>
      <c r="D75" s="431"/>
      <c r="E75" s="121">
        <f>E65</f>
        <v>0.97575757575757571</v>
      </c>
      <c r="F75" s="120">
        <f t="shared" si="1"/>
        <v>48.787878787878789</v>
      </c>
      <c r="G75" s="118">
        <f t="shared" si="4"/>
        <v>50</v>
      </c>
      <c r="H75" s="119">
        <f t="shared" si="2"/>
        <v>1.212121212121211</v>
      </c>
      <c r="I75" s="118" t="str">
        <f t="shared" si="5"/>
        <v>YES</v>
      </c>
      <c r="J75" s="117">
        <f t="shared" si="3"/>
        <v>50</v>
      </c>
    </row>
    <row r="76" spans="2:10" ht="15" customHeight="1">
      <c r="B76" s="114">
        <v>2025</v>
      </c>
      <c r="C76" s="430">
        <f>J51</f>
        <v>52</v>
      </c>
      <c r="D76" s="431"/>
      <c r="E76" s="121">
        <f>E65</f>
        <v>0.97575757575757571</v>
      </c>
      <c r="F76" s="120">
        <f t="shared" si="1"/>
        <v>50.739393939393935</v>
      </c>
      <c r="G76" s="118">
        <f t="shared" si="4"/>
        <v>60</v>
      </c>
      <c r="H76" s="119">
        <f t="shared" si="2"/>
        <v>9.2606060606060652</v>
      </c>
      <c r="I76" s="118" t="str">
        <f t="shared" si="5"/>
        <v>NO</v>
      </c>
      <c r="J76" s="117">
        <f t="shared" si="3"/>
        <v>55.739393939393935</v>
      </c>
    </row>
    <row r="77" spans="2:10" ht="15" customHeight="1">
      <c r="B77" s="114">
        <v>2026</v>
      </c>
      <c r="C77" s="430">
        <f>K51</f>
        <v>53</v>
      </c>
      <c r="D77" s="431"/>
      <c r="E77" s="121">
        <f>E65</f>
        <v>0.97575757575757571</v>
      </c>
      <c r="F77" s="120">
        <f t="shared" si="1"/>
        <v>51.715151515151511</v>
      </c>
      <c r="G77" s="118">
        <f t="shared" si="4"/>
        <v>60</v>
      </c>
      <c r="H77" s="119">
        <f t="shared" si="2"/>
        <v>8.2848484848484887</v>
      </c>
      <c r="I77" s="118" t="str">
        <f t="shared" si="5"/>
        <v>NO</v>
      </c>
      <c r="J77" s="117">
        <f t="shared" si="3"/>
        <v>56.715151515151511</v>
      </c>
    </row>
    <row r="78" spans="2:10" ht="15" customHeight="1">
      <c r="B78" s="114">
        <v>2027</v>
      </c>
      <c r="C78" s="430">
        <f>L51</f>
        <v>54</v>
      </c>
      <c r="D78" s="431"/>
      <c r="E78" s="121">
        <f>E65</f>
        <v>0.97575757575757571</v>
      </c>
      <c r="F78" s="120">
        <f t="shared" si="1"/>
        <v>52.690909090909088</v>
      </c>
      <c r="G78" s="118">
        <f t="shared" si="4"/>
        <v>60</v>
      </c>
      <c r="H78" s="119">
        <f t="shared" si="2"/>
        <v>7.3090909090909122</v>
      </c>
      <c r="I78" s="118" t="str">
        <f t="shared" si="5"/>
        <v>NO</v>
      </c>
      <c r="J78" s="117">
        <f t="shared" si="3"/>
        <v>57.690909090909088</v>
      </c>
    </row>
    <row r="79" spans="2:10" ht="15" customHeight="1">
      <c r="B79" s="114">
        <v>2028</v>
      </c>
      <c r="C79" s="430">
        <f>M51</f>
        <v>56</v>
      </c>
      <c r="D79" s="431"/>
      <c r="E79" s="121">
        <f t="shared" ref="E79:E83" si="6">$E$65</f>
        <v>0.97575757575757571</v>
      </c>
      <c r="F79" s="120">
        <f t="shared" si="1"/>
        <v>54.642424242424241</v>
      </c>
      <c r="G79" s="118">
        <f t="shared" si="4"/>
        <v>60</v>
      </c>
      <c r="H79" s="119">
        <f t="shared" si="2"/>
        <v>5.3575757575757592</v>
      </c>
      <c r="I79" s="118" t="str">
        <f t="shared" si="5"/>
        <v>NO</v>
      </c>
      <c r="J79" s="117">
        <f t="shared" si="3"/>
        <v>59.642424242424241</v>
      </c>
    </row>
    <row r="80" spans="2:10" ht="15" customHeight="1">
      <c r="B80" s="114">
        <v>2029</v>
      </c>
      <c r="C80" s="430">
        <f>N51</f>
        <v>56</v>
      </c>
      <c r="D80" s="431"/>
      <c r="E80" s="121">
        <f t="shared" si="6"/>
        <v>0.97575757575757571</v>
      </c>
      <c r="F80" s="120">
        <f t="shared" si="1"/>
        <v>54.642424242424241</v>
      </c>
      <c r="G80" s="118">
        <f t="shared" si="4"/>
        <v>60</v>
      </c>
      <c r="H80" s="119">
        <f t="shared" si="2"/>
        <v>5.3575757575757592</v>
      </c>
      <c r="I80" s="118" t="str">
        <f t="shared" si="5"/>
        <v>NO</v>
      </c>
      <c r="J80" s="117">
        <f t="shared" si="3"/>
        <v>59.642424242424241</v>
      </c>
    </row>
    <row r="81" spans="2:10" ht="15" customHeight="1">
      <c r="B81" s="114">
        <v>2030</v>
      </c>
      <c r="C81" s="430">
        <f>O51</f>
        <v>57</v>
      </c>
      <c r="D81" s="431"/>
      <c r="E81" s="121">
        <f t="shared" si="6"/>
        <v>0.97575757575757571</v>
      </c>
      <c r="F81" s="120">
        <f t="shared" si="1"/>
        <v>55.618181818181817</v>
      </c>
      <c r="G81" s="118">
        <f t="shared" si="4"/>
        <v>60</v>
      </c>
      <c r="H81" s="119">
        <f t="shared" si="2"/>
        <v>4.3818181818181827</v>
      </c>
      <c r="I81" s="118" t="str">
        <f t="shared" si="5"/>
        <v>YES</v>
      </c>
      <c r="J81" s="117">
        <f t="shared" si="3"/>
        <v>60</v>
      </c>
    </row>
    <row r="82" spans="2:10" ht="15" customHeight="1">
      <c r="B82" s="114">
        <v>2031</v>
      </c>
      <c r="C82" s="430">
        <f>P51</f>
        <v>57</v>
      </c>
      <c r="D82" s="431"/>
      <c r="E82" s="121">
        <f t="shared" si="6"/>
        <v>0.97575757575757571</v>
      </c>
      <c r="F82" s="120">
        <f t="shared" si="1"/>
        <v>55.618181818181817</v>
      </c>
      <c r="G82" s="118">
        <f t="shared" si="4"/>
        <v>60</v>
      </c>
      <c r="H82" s="119">
        <f t="shared" si="2"/>
        <v>4.3818181818181827</v>
      </c>
      <c r="I82" s="118" t="str">
        <f t="shared" si="5"/>
        <v>YES</v>
      </c>
      <c r="J82" s="117">
        <f t="shared" si="3"/>
        <v>60</v>
      </c>
    </row>
    <row r="83" spans="2:10" ht="15" customHeight="1">
      <c r="B83" s="114">
        <v>2032</v>
      </c>
      <c r="C83" s="430">
        <f>Q51</f>
        <v>58</v>
      </c>
      <c r="D83" s="431"/>
      <c r="E83" s="121">
        <f t="shared" si="6"/>
        <v>0.97575757575757571</v>
      </c>
      <c r="F83" s="120">
        <f t="shared" si="1"/>
        <v>56.593939393939394</v>
      </c>
      <c r="G83" s="118">
        <f t="shared" si="4"/>
        <v>60</v>
      </c>
      <c r="H83" s="119">
        <f t="shared" si="2"/>
        <v>3.4060606060606062</v>
      </c>
      <c r="I83" s="118" t="str">
        <f t="shared" si="5"/>
        <v>YES</v>
      </c>
      <c r="J83" s="117">
        <f t="shared" si="3"/>
        <v>60</v>
      </c>
    </row>
    <row r="84" spans="2:10" ht="15" customHeight="1">
      <c r="C84" s="16"/>
      <c r="D84" s="16"/>
      <c r="E84" s="16"/>
      <c r="F84" s="16"/>
      <c r="G84" s="16"/>
      <c r="H84" s="16"/>
    </row>
    <row r="85" spans="2:10" ht="15" customHeight="1">
      <c r="B85" s="11" t="s">
        <v>186</v>
      </c>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St John's RC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50</v>
      </c>
      <c r="D91" s="112">
        <f t="shared" ref="D91:J91" si="7">D188</f>
        <v>57</v>
      </c>
      <c r="E91" s="112">
        <f t="shared" si="7"/>
        <v>58</v>
      </c>
      <c r="F91" s="112">
        <f t="shared" si="7"/>
        <v>57</v>
      </c>
      <c r="G91" s="112">
        <f t="shared" si="7"/>
        <v>56</v>
      </c>
      <c r="H91" s="112">
        <f t="shared" si="7"/>
        <v>49</v>
      </c>
      <c r="I91" s="112">
        <f t="shared" si="7"/>
        <v>55</v>
      </c>
      <c r="J91" s="213">
        <f t="shared" si="7"/>
        <v>382</v>
      </c>
    </row>
    <row r="92" spans="2:10" ht="15" customHeight="1">
      <c r="B92" s="114">
        <v>2014</v>
      </c>
      <c r="C92" s="112">
        <f>C189</f>
        <v>50</v>
      </c>
      <c r="D92" s="112">
        <f t="shared" ref="D92:J92" si="8">D189</f>
        <v>48</v>
      </c>
      <c r="E92" s="112">
        <f t="shared" si="8"/>
        <v>57</v>
      </c>
      <c r="F92" s="112">
        <f t="shared" si="8"/>
        <v>60</v>
      </c>
      <c r="G92" s="112">
        <f t="shared" si="8"/>
        <v>56</v>
      </c>
      <c r="H92" s="112">
        <f t="shared" si="8"/>
        <v>57</v>
      </c>
      <c r="I92" s="112">
        <f t="shared" si="8"/>
        <v>48</v>
      </c>
      <c r="J92" s="213">
        <f t="shared" si="8"/>
        <v>376</v>
      </c>
    </row>
    <row r="93" spans="2:10" ht="15" customHeight="1">
      <c r="B93" s="114">
        <v>2015</v>
      </c>
      <c r="C93" s="112">
        <f>C190</f>
        <v>58</v>
      </c>
      <c r="D93" s="112">
        <f t="shared" ref="D93:J93" si="9">D190</f>
        <v>45</v>
      </c>
      <c r="E93" s="112">
        <f t="shared" si="9"/>
        <v>43</v>
      </c>
      <c r="F93" s="112">
        <f t="shared" si="9"/>
        <v>58</v>
      </c>
      <c r="G93" s="112">
        <f t="shared" si="9"/>
        <v>57</v>
      </c>
      <c r="H93" s="112">
        <f t="shared" si="9"/>
        <v>57</v>
      </c>
      <c r="I93" s="112">
        <f t="shared" si="9"/>
        <v>54</v>
      </c>
      <c r="J93" s="213">
        <f t="shared" si="9"/>
        <v>372</v>
      </c>
    </row>
    <row r="94" spans="2:10" ht="15" customHeight="1">
      <c r="B94" s="114">
        <v>2016</v>
      </c>
      <c r="C94" s="112">
        <f>C191</f>
        <v>50</v>
      </c>
      <c r="D94" s="112">
        <f t="shared" ref="D94:J94" si="10">D191</f>
        <v>58</v>
      </c>
      <c r="E94" s="112">
        <f t="shared" si="10"/>
        <v>44</v>
      </c>
      <c r="F94" s="112">
        <f t="shared" si="10"/>
        <v>44</v>
      </c>
      <c r="G94" s="112">
        <f t="shared" si="10"/>
        <v>60</v>
      </c>
      <c r="H94" s="112">
        <f t="shared" si="10"/>
        <v>53</v>
      </c>
      <c r="I94" s="112">
        <f t="shared" si="10"/>
        <v>58</v>
      </c>
      <c r="J94" s="213">
        <f t="shared" si="10"/>
        <v>367</v>
      </c>
    </row>
    <row r="95" spans="2:10" ht="15" customHeight="1">
      <c r="B95" s="114">
        <v>2017</v>
      </c>
      <c r="C95" s="112">
        <f>C192</f>
        <v>56</v>
      </c>
      <c r="D95" s="112">
        <f t="shared" ref="D95:J95" si="11">D192</f>
        <v>49</v>
      </c>
      <c r="E95" s="112">
        <f t="shared" si="11"/>
        <v>58</v>
      </c>
      <c r="F95" s="112">
        <f t="shared" si="11"/>
        <v>46</v>
      </c>
      <c r="G95" s="112">
        <f t="shared" si="11"/>
        <v>40</v>
      </c>
      <c r="H95" s="112">
        <f t="shared" si="11"/>
        <v>58</v>
      </c>
      <c r="I95" s="112">
        <f t="shared" si="11"/>
        <v>47</v>
      </c>
      <c r="J95" s="213">
        <f t="shared" si="11"/>
        <v>354</v>
      </c>
    </row>
    <row r="96" spans="2:10" ht="15" customHeight="1">
      <c r="B96" s="307">
        <v>2018</v>
      </c>
      <c r="C96" s="112">
        <f t="shared" ref="C96:J96" si="12">C193</f>
        <v>49</v>
      </c>
      <c r="D96" s="112">
        <f t="shared" si="12"/>
        <v>59</v>
      </c>
      <c r="E96" s="112">
        <f t="shared" si="12"/>
        <v>50</v>
      </c>
      <c r="F96" s="112">
        <f t="shared" si="12"/>
        <v>56</v>
      </c>
      <c r="G96" s="112">
        <f t="shared" si="12"/>
        <v>49</v>
      </c>
      <c r="H96" s="112">
        <f t="shared" si="12"/>
        <v>43</v>
      </c>
      <c r="I96" s="112">
        <f t="shared" si="12"/>
        <v>57</v>
      </c>
      <c r="J96" s="213">
        <f t="shared" si="12"/>
        <v>363</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0.02</v>
      </c>
      <c r="E98" s="210">
        <f t="shared" ref="E98:I98" si="13">MEDIAN(((D91-E92)/D91),((D92-E93)/D92),((D93-E94)/D93),((D94-E95)/D94),((D95-E96)/D95))</f>
        <v>0</v>
      </c>
      <c r="F98" s="210">
        <f t="shared" si="13"/>
        <v>-2.3255813953488372E-2</v>
      </c>
      <c r="G98" s="210">
        <f t="shared" si="13"/>
        <v>1.7543859649122806E-2</v>
      </c>
      <c r="H98" s="210">
        <f t="shared" si="13"/>
        <v>-1.7857142857142856E-2</v>
      </c>
      <c r="I98" s="210">
        <f t="shared" si="13"/>
        <v>2.0408163265306121E-2</v>
      </c>
    </row>
    <row r="99" spans="2:10" ht="18.75">
      <c r="B99" s="59"/>
      <c r="C99" s="60"/>
      <c r="D99" s="61"/>
      <c r="E99" s="61"/>
      <c r="F99" s="61"/>
      <c r="G99" s="61"/>
      <c r="H99" s="61"/>
      <c r="I99" s="61"/>
      <c r="J99" s="58"/>
    </row>
    <row r="100" spans="2:10">
      <c r="B100" s="15" t="str">
        <f>"Table 4B: "&amp;E3&amp;" Projected Roll by Stage (incorporating Projected P1 and Drop-Off Rates), 2019-2032"</f>
        <v>Table 4B: St John's RC Primary School Projected Roll by Stage (incorporating Projected P1 and Drop-Off Rates), 2019-2032</v>
      </c>
      <c r="F100" s="14"/>
      <c r="G100" s="14"/>
    </row>
    <row r="101" spans="2:10" ht="12.75">
      <c r="F101" s="14"/>
      <c r="G101" s="14"/>
    </row>
    <row r="102" spans="2:10">
      <c r="B102" s="115"/>
      <c r="C102" s="109" t="s">
        <v>1</v>
      </c>
      <c r="D102" s="109" t="s">
        <v>2</v>
      </c>
      <c r="E102" s="109" t="s">
        <v>3</v>
      </c>
      <c r="F102" s="109" t="s">
        <v>4</v>
      </c>
      <c r="G102" s="109" t="s">
        <v>5</v>
      </c>
      <c r="H102" s="109" t="s">
        <v>6</v>
      </c>
      <c r="I102" s="109" t="s">
        <v>7</v>
      </c>
      <c r="J102" s="109" t="s">
        <v>8</v>
      </c>
    </row>
    <row r="103" spans="2:10">
      <c r="B103" s="114">
        <v>2019</v>
      </c>
      <c r="C103" s="113">
        <f t="shared" ref="C103:C116" si="14">J70</f>
        <v>48.909090909090907</v>
      </c>
      <c r="D103" s="324">
        <f>ROUND((C96)-(C96*$D$98),0)</f>
        <v>48</v>
      </c>
      <c r="E103" s="324">
        <f>ROUND((D96)-(D96*$E$98),0)</f>
        <v>59</v>
      </c>
      <c r="F103" s="324">
        <f>ROUND((E96)-(E96*$F$98),0)</f>
        <v>51</v>
      </c>
      <c r="G103" s="324">
        <f>ROUND((F96)-(F96*$G$98),0)</f>
        <v>55</v>
      </c>
      <c r="H103" s="324">
        <f>ROUND((G96)-(G96*$H$98),0)</f>
        <v>50</v>
      </c>
      <c r="I103" s="324">
        <f>ROUND((H96)-(H96*$I$98),0)</f>
        <v>42</v>
      </c>
      <c r="J103" s="111">
        <f t="shared" ref="J103:J116" si="15">SUM(C103:I103)</f>
        <v>353.90909090909088</v>
      </c>
    </row>
    <row r="104" spans="2:10">
      <c r="B104" s="114">
        <v>2020</v>
      </c>
      <c r="C104" s="113">
        <f t="shared" si="14"/>
        <v>47.93333333333333</v>
      </c>
      <c r="D104" s="324">
        <f>ROUND((C103-E50)-(C103*$D$98),0)</f>
        <v>47</v>
      </c>
      <c r="E104" s="112">
        <f t="shared" ref="E104:E116" si="16">ROUND((D103)-(D103*$E$98),0)</f>
        <v>48</v>
      </c>
      <c r="F104" s="112">
        <f t="shared" ref="F104:F116" si="17">ROUND((E103)-(E103*$F$98),0)</f>
        <v>60</v>
      </c>
      <c r="G104" s="112">
        <f t="shared" ref="G104:G116" si="18">ROUND((F103)-(F103*$G$98),0)</f>
        <v>50</v>
      </c>
      <c r="H104" s="112">
        <f t="shared" ref="H104:H116" si="19">ROUND((G103)-(G103*$H$98),0)</f>
        <v>56</v>
      </c>
      <c r="I104" s="112">
        <f t="shared" ref="I104:I116" si="20">ROUND((H103)-(H103*$I$98),0)</f>
        <v>49</v>
      </c>
      <c r="J104" s="111">
        <f t="shared" si="15"/>
        <v>357.93333333333334</v>
      </c>
    </row>
    <row r="105" spans="2:10">
      <c r="B105" s="114">
        <v>2021</v>
      </c>
      <c r="C105" s="113">
        <f t="shared" si="14"/>
        <v>50</v>
      </c>
      <c r="D105" s="324">
        <f>ROUND((C104-F50)-(C104*$D$98),0)</f>
        <v>45</v>
      </c>
      <c r="E105" s="112">
        <f t="shared" si="16"/>
        <v>47</v>
      </c>
      <c r="F105" s="112">
        <f t="shared" si="17"/>
        <v>49</v>
      </c>
      <c r="G105" s="112">
        <f t="shared" si="18"/>
        <v>59</v>
      </c>
      <c r="H105" s="112">
        <f t="shared" si="19"/>
        <v>51</v>
      </c>
      <c r="I105" s="112">
        <f t="shared" si="20"/>
        <v>55</v>
      </c>
      <c r="J105" s="111">
        <f t="shared" si="15"/>
        <v>356</v>
      </c>
    </row>
    <row r="106" spans="2:10">
      <c r="B106" s="114">
        <v>2022</v>
      </c>
      <c r="C106" s="113">
        <f t="shared" si="14"/>
        <v>50</v>
      </c>
      <c r="D106" s="324">
        <f>ROUND((C105-G50)-(C105*$D$98),0)</f>
        <v>47</v>
      </c>
      <c r="E106" s="112">
        <f t="shared" si="16"/>
        <v>45</v>
      </c>
      <c r="F106" s="112">
        <f t="shared" si="17"/>
        <v>48</v>
      </c>
      <c r="G106" s="112">
        <f t="shared" si="18"/>
        <v>48</v>
      </c>
      <c r="H106" s="112">
        <f t="shared" si="19"/>
        <v>60</v>
      </c>
      <c r="I106" s="112">
        <f t="shared" si="20"/>
        <v>50</v>
      </c>
      <c r="J106" s="111">
        <f t="shared" si="15"/>
        <v>348</v>
      </c>
    </row>
    <row r="107" spans="2:10">
      <c r="B107" s="114">
        <v>2023</v>
      </c>
      <c r="C107" s="113">
        <f t="shared" si="14"/>
        <v>50</v>
      </c>
      <c r="D107" s="324">
        <f>ROUND((C106-H50)-(C106*$D$98),0)</f>
        <v>46</v>
      </c>
      <c r="E107" s="112">
        <f t="shared" si="16"/>
        <v>47</v>
      </c>
      <c r="F107" s="112">
        <f t="shared" si="17"/>
        <v>46</v>
      </c>
      <c r="G107" s="112">
        <f t="shared" si="18"/>
        <v>47</v>
      </c>
      <c r="H107" s="112">
        <f t="shared" si="19"/>
        <v>49</v>
      </c>
      <c r="I107" s="112">
        <f t="shared" si="20"/>
        <v>59</v>
      </c>
      <c r="J107" s="111">
        <f t="shared" si="15"/>
        <v>344</v>
      </c>
    </row>
    <row r="108" spans="2:10">
      <c r="B108" s="114">
        <v>2024</v>
      </c>
      <c r="C108" s="113">
        <f t="shared" si="14"/>
        <v>50</v>
      </c>
      <c r="D108" s="324">
        <f>ROUND((C107-I50)-(C107*$D$98),0)</f>
        <v>46</v>
      </c>
      <c r="E108" s="112">
        <f t="shared" si="16"/>
        <v>46</v>
      </c>
      <c r="F108" s="112">
        <f t="shared" si="17"/>
        <v>48</v>
      </c>
      <c r="G108" s="112">
        <f t="shared" si="18"/>
        <v>45</v>
      </c>
      <c r="H108" s="112">
        <f t="shared" si="19"/>
        <v>48</v>
      </c>
      <c r="I108" s="112">
        <f t="shared" si="20"/>
        <v>48</v>
      </c>
      <c r="J108" s="111">
        <f t="shared" si="15"/>
        <v>331</v>
      </c>
    </row>
    <row r="109" spans="2:10">
      <c r="B109" s="114">
        <v>2025</v>
      </c>
      <c r="C109" s="113">
        <f t="shared" si="14"/>
        <v>55.739393939393935</v>
      </c>
      <c r="D109" s="324">
        <f>ROUND((C108-J50)-(C108*$D$98),0)</f>
        <v>45</v>
      </c>
      <c r="E109" s="112">
        <f t="shared" si="16"/>
        <v>46</v>
      </c>
      <c r="F109" s="112">
        <f t="shared" si="17"/>
        <v>47</v>
      </c>
      <c r="G109" s="112">
        <f t="shared" si="18"/>
        <v>47</v>
      </c>
      <c r="H109" s="112">
        <f t="shared" si="19"/>
        <v>46</v>
      </c>
      <c r="I109" s="112">
        <f t="shared" si="20"/>
        <v>47</v>
      </c>
      <c r="J109" s="111">
        <f t="shared" si="15"/>
        <v>333.73939393939395</v>
      </c>
    </row>
    <row r="110" spans="2:10">
      <c r="B110" s="114">
        <v>2026</v>
      </c>
      <c r="C110" s="113">
        <f t="shared" si="14"/>
        <v>56.715151515151511</v>
      </c>
      <c r="D110" s="324">
        <f>ROUND((C109-K50)-(C109*$D$98),0)</f>
        <v>50</v>
      </c>
      <c r="E110" s="112">
        <f t="shared" si="16"/>
        <v>45</v>
      </c>
      <c r="F110" s="112">
        <f t="shared" si="17"/>
        <v>47</v>
      </c>
      <c r="G110" s="112">
        <f t="shared" si="18"/>
        <v>46</v>
      </c>
      <c r="H110" s="112">
        <f t="shared" si="19"/>
        <v>48</v>
      </c>
      <c r="I110" s="112">
        <f t="shared" si="20"/>
        <v>45</v>
      </c>
      <c r="J110" s="111">
        <f t="shared" si="15"/>
        <v>337.71515151515155</v>
      </c>
    </row>
    <row r="111" spans="2:10">
      <c r="B111" s="114">
        <v>2027</v>
      </c>
      <c r="C111" s="113">
        <f t="shared" si="14"/>
        <v>57.690909090909088</v>
      </c>
      <c r="D111" s="324">
        <f>ROUND((C110-L50)-(C110*$D$98),0)</f>
        <v>50</v>
      </c>
      <c r="E111" s="112">
        <f t="shared" si="16"/>
        <v>50</v>
      </c>
      <c r="F111" s="112">
        <f t="shared" si="17"/>
        <v>46</v>
      </c>
      <c r="G111" s="112">
        <f t="shared" si="18"/>
        <v>46</v>
      </c>
      <c r="H111" s="112">
        <f t="shared" si="19"/>
        <v>47</v>
      </c>
      <c r="I111" s="112">
        <f t="shared" si="20"/>
        <v>47</v>
      </c>
      <c r="J111" s="111">
        <f t="shared" si="15"/>
        <v>343.69090909090909</v>
      </c>
    </row>
    <row r="112" spans="2:10">
      <c r="B112" s="114">
        <v>2028</v>
      </c>
      <c r="C112" s="113">
        <f t="shared" si="14"/>
        <v>59.642424242424241</v>
      </c>
      <c r="D112" s="324">
        <f>ROUND((C111-M50)-(C111*$D$98),0)</f>
        <v>50</v>
      </c>
      <c r="E112" s="112">
        <f t="shared" si="16"/>
        <v>50</v>
      </c>
      <c r="F112" s="112">
        <f t="shared" si="17"/>
        <v>51</v>
      </c>
      <c r="G112" s="112">
        <f t="shared" si="18"/>
        <v>45</v>
      </c>
      <c r="H112" s="112">
        <f t="shared" si="19"/>
        <v>47</v>
      </c>
      <c r="I112" s="112">
        <f t="shared" si="20"/>
        <v>46</v>
      </c>
      <c r="J112" s="111">
        <f t="shared" si="15"/>
        <v>348.64242424242423</v>
      </c>
    </row>
    <row r="113" spans="2:10" ht="15" customHeight="1">
      <c r="B113" s="114">
        <v>2029</v>
      </c>
      <c r="C113" s="113">
        <f t="shared" si="14"/>
        <v>59.642424242424241</v>
      </c>
      <c r="D113" s="324">
        <f>ROUND((C112-N50)-(C112*$D$98),0)</f>
        <v>51</v>
      </c>
      <c r="E113" s="112">
        <f t="shared" si="16"/>
        <v>50</v>
      </c>
      <c r="F113" s="112">
        <f t="shared" si="17"/>
        <v>51</v>
      </c>
      <c r="G113" s="112">
        <f t="shared" si="18"/>
        <v>50</v>
      </c>
      <c r="H113" s="112">
        <f t="shared" si="19"/>
        <v>46</v>
      </c>
      <c r="I113" s="112">
        <f t="shared" si="20"/>
        <v>46</v>
      </c>
      <c r="J113" s="111">
        <f t="shared" si="15"/>
        <v>353.64242424242423</v>
      </c>
    </row>
    <row r="114" spans="2:10" ht="15" customHeight="1">
      <c r="B114" s="114">
        <v>2030</v>
      </c>
      <c r="C114" s="113">
        <f t="shared" si="14"/>
        <v>60</v>
      </c>
      <c r="D114" s="324">
        <f>ROUND((C113-O50)-(C113*$D$98),0)</f>
        <v>50</v>
      </c>
      <c r="E114" s="112">
        <f t="shared" si="16"/>
        <v>51</v>
      </c>
      <c r="F114" s="112">
        <f t="shared" si="17"/>
        <v>51</v>
      </c>
      <c r="G114" s="112">
        <f t="shared" si="18"/>
        <v>50</v>
      </c>
      <c r="H114" s="112">
        <f t="shared" si="19"/>
        <v>51</v>
      </c>
      <c r="I114" s="112">
        <f t="shared" si="20"/>
        <v>45</v>
      </c>
      <c r="J114" s="111">
        <f t="shared" si="15"/>
        <v>358</v>
      </c>
    </row>
    <row r="115" spans="2:10" ht="15" customHeight="1">
      <c r="B115" s="114">
        <v>2031</v>
      </c>
      <c r="C115" s="113">
        <f t="shared" si="14"/>
        <v>60</v>
      </c>
      <c r="D115" s="324">
        <f>ROUND((C114-P50)-(C114*$D$98),0)</f>
        <v>51</v>
      </c>
      <c r="E115" s="112">
        <f t="shared" si="16"/>
        <v>50</v>
      </c>
      <c r="F115" s="112">
        <f t="shared" si="17"/>
        <v>52</v>
      </c>
      <c r="G115" s="112">
        <f t="shared" si="18"/>
        <v>50</v>
      </c>
      <c r="H115" s="112">
        <f t="shared" si="19"/>
        <v>51</v>
      </c>
      <c r="I115" s="112">
        <f t="shared" si="20"/>
        <v>50</v>
      </c>
      <c r="J115" s="111">
        <f t="shared" si="15"/>
        <v>364</v>
      </c>
    </row>
    <row r="116" spans="2:10" ht="15" customHeight="1">
      <c r="B116" s="114">
        <v>2032</v>
      </c>
      <c r="C116" s="113">
        <f t="shared" si="14"/>
        <v>60</v>
      </c>
      <c r="D116" s="324">
        <f>ROUND((C115-Q50)-(C115*$D$98),0)</f>
        <v>50</v>
      </c>
      <c r="E116" s="112">
        <f t="shared" si="16"/>
        <v>51</v>
      </c>
      <c r="F116" s="112">
        <f t="shared" si="17"/>
        <v>51</v>
      </c>
      <c r="G116" s="112">
        <f t="shared" si="18"/>
        <v>51</v>
      </c>
      <c r="H116" s="112">
        <f t="shared" si="19"/>
        <v>51</v>
      </c>
      <c r="I116" s="112">
        <f t="shared" si="20"/>
        <v>50</v>
      </c>
      <c r="J116" s="111">
        <f t="shared" si="15"/>
        <v>364</v>
      </c>
    </row>
    <row r="117" spans="2:10" ht="15" hidden="1" customHeight="1">
      <c r="F117" s="14"/>
      <c r="G117" s="14"/>
    </row>
    <row r="118" spans="2:10" ht="15" hidden="1" customHeight="1">
      <c r="B118" s="15" t="str">
        <f>"Table 4C: "&amp;E3&amp;" Projected Pupil Generation from Housing Development, 2019-2032"</f>
        <v>Table 4C: St John's RC Primary School Projected Pupil Generation from Housing Development, 2019-2032</v>
      </c>
      <c r="F118" s="14"/>
      <c r="G118" s="14"/>
    </row>
    <row r="119" spans="2:10" ht="15" hidden="1" customHeight="1">
      <c r="F119" s="14"/>
      <c r="G119" s="14"/>
    </row>
    <row r="120" spans="2:10" ht="15" hidden="1" customHeight="1">
      <c r="B120" s="115"/>
      <c r="C120" s="109" t="s">
        <v>1</v>
      </c>
      <c r="D120" s="109" t="s">
        <v>2</v>
      </c>
      <c r="E120" s="109" t="s">
        <v>3</v>
      </c>
      <c r="F120" s="109" t="s">
        <v>4</v>
      </c>
      <c r="G120" s="109" t="s">
        <v>5</v>
      </c>
      <c r="H120" s="109" t="s">
        <v>6</v>
      </c>
      <c r="I120" s="109" t="s">
        <v>7</v>
      </c>
      <c r="J120" s="109" t="s">
        <v>8</v>
      </c>
    </row>
    <row r="121" spans="2:10" ht="15" hidden="1" customHeight="1">
      <c r="B121" s="114">
        <v>2019</v>
      </c>
      <c r="C121" s="116" t="s">
        <v>97</v>
      </c>
      <c r="D121" s="112">
        <f>VLOOKUP($E$3,'Housing Generation'!$A$3:$BE$90,11,FALSE)</f>
        <v>1</v>
      </c>
      <c r="E121" s="112">
        <f>VLOOKUP($E$3,'Housing Generation'!$A$3:$BE$90,12,FALSE)</f>
        <v>1</v>
      </c>
      <c r="F121" s="112">
        <f>VLOOKUP($E$3,'Housing Generation'!$A$3:$BE$90,13,FALSE)</f>
        <v>1</v>
      </c>
      <c r="G121" s="112">
        <f>VLOOKUP($E$3,'Housing Generation'!$A$3:$BE$90,14,FALSE)</f>
        <v>0</v>
      </c>
      <c r="H121" s="112">
        <f>VLOOKUP($E$3,'Housing Generation'!$A$3:$BE$90,15,FALSE)</f>
        <v>0</v>
      </c>
      <c r="I121" s="112">
        <f>VLOOKUP($E$3,'Housing Generation'!$A$3:$BE$90,16,FALSE)</f>
        <v>0</v>
      </c>
      <c r="J121" s="111">
        <f t="shared" ref="J121:J134" si="21">SUM(D121:I121)</f>
        <v>3</v>
      </c>
    </row>
    <row r="122" spans="2:10" ht="15" hidden="1" customHeight="1">
      <c r="B122" s="114">
        <v>2020</v>
      </c>
      <c r="C122" s="116" t="s">
        <v>97</v>
      </c>
      <c r="D122" s="112">
        <f>VLOOKUP($E$3,'Housing Generation'!$A$3:$BE$90,19,FALSE)</f>
        <v>1</v>
      </c>
      <c r="E122" s="112">
        <f>VLOOKUP($E$3,'Housing Generation'!$A$3:$BE$90,20,FALSE)</f>
        <v>1</v>
      </c>
      <c r="F122" s="112">
        <f>VLOOKUP($E$3,'Housing Generation'!$A$3:$BE$90,21,FALSE)</f>
        <v>1</v>
      </c>
      <c r="G122" s="112">
        <f>VLOOKUP($E$3,'Housing Generation'!$A$3:$BE$90,22,FALSE)</f>
        <v>1</v>
      </c>
      <c r="H122" s="112">
        <f>VLOOKUP($E$3,'Housing Generation'!$A$3:$BE$90,23,FALSE)</f>
        <v>1</v>
      </c>
      <c r="I122" s="112">
        <f>VLOOKUP($E$3,'Housing Generation'!$A$3:$BE$90,24,FALSE)</f>
        <v>0</v>
      </c>
      <c r="J122" s="111">
        <f t="shared" si="21"/>
        <v>5</v>
      </c>
    </row>
    <row r="123" spans="2:10" ht="15" hidden="1" customHeight="1">
      <c r="B123" s="114">
        <v>2021</v>
      </c>
      <c r="C123" s="116" t="s">
        <v>97</v>
      </c>
      <c r="D123" s="112">
        <f>VLOOKUP($E$3,'Housing Generation'!$A$3:$BE$90,27,FALSE)</f>
        <v>1</v>
      </c>
      <c r="E123" s="112">
        <f>VLOOKUP($E$3,'Housing Generation'!$A$3:$BE$90,28,FALSE)</f>
        <v>1</v>
      </c>
      <c r="F123" s="112">
        <f>VLOOKUP($E$3,'Housing Generation'!$A$3:$BE$90,29,FALSE)</f>
        <v>1</v>
      </c>
      <c r="G123" s="112">
        <f>VLOOKUP($E$3,'Housing Generation'!$A$3:$BE$90,30,FALSE)</f>
        <v>1</v>
      </c>
      <c r="H123" s="112">
        <f>VLOOKUP($E$3,'Housing Generation'!$A$3:$BE$90,31,FALSE)</f>
        <v>1</v>
      </c>
      <c r="I123" s="112">
        <f>VLOOKUP($E$3,'Housing Generation'!$A$3:$BE$90,32,FALSE)</f>
        <v>1</v>
      </c>
      <c r="J123" s="111">
        <f t="shared" si="21"/>
        <v>6</v>
      </c>
    </row>
    <row r="124" spans="2:10" ht="15" hidden="1" customHeight="1">
      <c r="B124" s="114">
        <v>2022</v>
      </c>
      <c r="C124" s="116" t="s">
        <v>97</v>
      </c>
      <c r="D124" s="112">
        <f>VLOOKUP($E$3,'Housing Generation'!$A$3:$BE$90,35,FALSE)</f>
        <v>2</v>
      </c>
      <c r="E124" s="112">
        <f>VLOOKUP($E$3,'Housing Generation'!$A$3:$BE$90,36,FALSE)</f>
        <v>2</v>
      </c>
      <c r="F124" s="112">
        <f>VLOOKUP($E$3,'Housing Generation'!$A$3:$BE$90,37,FALSE)</f>
        <v>1</v>
      </c>
      <c r="G124" s="112">
        <f>VLOOKUP($E$3,'Housing Generation'!$A$3:$BE$90,38,FALSE)</f>
        <v>1</v>
      </c>
      <c r="H124" s="112">
        <f>VLOOKUP($E$3,'Housing Generation'!$A$3:$BE$90,39,FALSE)</f>
        <v>1</v>
      </c>
      <c r="I124" s="112">
        <f>VLOOKUP($E$3,'Housing Generation'!$A$3:$BE$90,40,FALSE)</f>
        <v>1</v>
      </c>
      <c r="J124" s="111">
        <f t="shared" si="21"/>
        <v>8</v>
      </c>
    </row>
    <row r="125" spans="2:10" ht="15" hidden="1" customHeight="1">
      <c r="B125" s="114">
        <v>2023</v>
      </c>
      <c r="C125" s="116" t="s">
        <v>97</v>
      </c>
      <c r="D125" s="112">
        <f>VLOOKUP($E$3,'Housing Generation'!$A$3:$BE$90,43,FALSE)</f>
        <v>2</v>
      </c>
      <c r="E125" s="112">
        <f>VLOOKUP($E$3,'Housing Generation'!$A$3:$BE$90,44,FALSE)</f>
        <v>2</v>
      </c>
      <c r="F125" s="112">
        <f>VLOOKUP($E$3,'Housing Generation'!$A$3:$BE$90,45,FALSE)</f>
        <v>2</v>
      </c>
      <c r="G125" s="112">
        <f>VLOOKUP($E$3,'Housing Generation'!$A$3:$BE$90,46,FALSE)</f>
        <v>2</v>
      </c>
      <c r="H125" s="112">
        <f>VLOOKUP($E$3,'Housing Generation'!$A$3:$BE$90,47,FALSE)</f>
        <v>2</v>
      </c>
      <c r="I125" s="112">
        <f>VLOOKUP($E$3,'Housing Generation'!$A$3:$BE$90,48,FALSE)</f>
        <v>2</v>
      </c>
      <c r="J125" s="111">
        <f t="shared" si="21"/>
        <v>12</v>
      </c>
    </row>
    <row r="126" spans="2:10" ht="15" hidden="1" customHeight="1">
      <c r="B126" s="114">
        <v>2024</v>
      </c>
      <c r="C126" s="116" t="s">
        <v>97</v>
      </c>
      <c r="D126" s="112">
        <f>VLOOKUP($E$3,'Housing Generation'!$A$3:$BE$90,51,FALSE)</f>
        <v>3</v>
      </c>
      <c r="E126" s="112">
        <f>VLOOKUP($E$3,'Housing Generation'!$A$3:$BE$90,52,FALSE)</f>
        <v>3</v>
      </c>
      <c r="F126" s="112">
        <f>VLOOKUP($E$3,'Housing Generation'!$A$3:$BE$90,53,FALSE)</f>
        <v>3</v>
      </c>
      <c r="G126" s="112">
        <f>VLOOKUP($E$3,'Housing Generation'!$A$3:$BE$90,54,FALSE)</f>
        <v>3</v>
      </c>
      <c r="H126" s="112">
        <f>VLOOKUP($E$3,'Housing Generation'!$A$3:$BE$90,55,FALSE)</f>
        <v>3</v>
      </c>
      <c r="I126" s="112">
        <f>VLOOKUP($E$3,'Housing Generation'!$A$3:$BE$90,56,FALSE)</f>
        <v>3</v>
      </c>
      <c r="J126" s="111">
        <f t="shared" si="21"/>
        <v>18</v>
      </c>
    </row>
    <row r="127" spans="2:10" ht="15" hidden="1" customHeight="1">
      <c r="B127" s="114">
        <v>2025</v>
      </c>
      <c r="C127" s="240" t="s">
        <v>97</v>
      </c>
      <c r="D127" s="112">
        <f>VLOOKUP($E$3,'Housing Generation'!$A$3:$CK$90,59,FALSE)</f>
        <v>4</v>
      </c>
      <c r="E127" s="112">
        <f>VLOOKUP($E$3,'Housing Generation'!$A$3:$CK$90,60,FALSE)</f>
        <v>4</v>
      </c>
      <c r="F127" s="112">
        <f>VLOOKUP($E$3,'Housing Generation'!$A$3:$CK$90,61,FALSE)</f>
        <v>4</v>
      </c>
      <c r="G127" s="112">
        <f>VLOOKUP($E$3,'Housing Generation'!$A$3:$CK$90,62,FALSE)</f>
        <v>4</v>
      </c>
      <c r="H127" s="112">
        <f>VLOOKUP($E$3,'Housing Generation'!$A$3:$CK$90,63,FALSE)</f>
        <v>3</v>
      </c>
      <c r="I127" s="112">
        <f>VLOOKUP($E$3,'Housing Generation'!$A$3:$CK$90,64,FALSE)</f>
        <v>3</v>
      </c>
      <c r="J127" s="111">
        <f t="shared" si="21"/>
        <v>22</v>
      </c>
    </row>
    <row r="128" spans="2:10" ht="15" hidden="1" customHeight="1">
      <c r="B128" s="114">
        <v>2026</v>
      </c>
      <c r="C128" s="240" t="s">
        <v>97</v>
      </c>
      <c r="D128" s="112">
        <f>VLOOKUP($E$3,'Housing Generation'!$A$3:$CK$90,67,FALSE)</f>
        <v>5</v>
      </c>
      <c r="E128" s="112">
        <f>VLOOKUP($E$3,'Housing Generation'!$A$3:$CK$90,68,FALSE)</f>
        <v>5</v>
      </c>
      <c r="F128" s="112">
        <f>VLOOKUP($E$3,'Housing Generation'!$A$3:$CK$90,69,FALSE)</f>
        <v>5</v>
      </c>
      <c r="G128" s="112">
        <f>VLOOKUP($E$3,'Housing Generation'!$A$3:$CK$90,70,FALSE)</f>
        <v>5</v>
      </c>
      <c r="H128" s="112">
        <f>VLOOKUP($E$3,'Housing Generation'!$A$3:$CK$90,71,FALSE)</f>
        <v>4</v>
      </c>
      <c r="I128" s="112">
        <f>VLOOKUP($E$3,'Housing Generation'!$A$3:$CK$90,72,FALSE)</f>
        <v>4</v>
      </c>
      <c r="J128" s="111">
        <f t="shared" si="21"/>
        <v>28</v>
      </c>
    </row>
    <row r="129" spans="2:10" ht="15" hidden="1" customHeight="1">
      <c r="B129" s="114">
        <v>2027</v>
      </c>
      <c r="C129" s="240" t="s">
        <v>97</v>
      </c>
      <c r="D129" s="112">
        <f>VLOOKUP($E$3,'Housing Generation'!$A$3:$CK$90,75,FALSE)</f>
        <v>6</v>
      </c>
      <c r="E129" s="112">
        <f>VLOOKUP($E$3,'Housing Generation'!$A$3:$CK$90,76,FALSE)</f>
        <v>6</v>
      </c>
      <c r="F129" s="112">
        <f>VLOOKUP($E$3,'Housing Generation'!$A$3:$CK$90,77,FALSE)</f>
        <v>5</v>
      </c>
      <c r="G129" s="112">
        <f>VLOOKUP($E$3,'Housing Generation'!$A$3:$CK$90,78,FALSE)</f>
        <v>5</v>
      </c>
      <c r="H129" s="112">
        <f>VLOOKUP($E$3,'Housing Generation'!$A$3:$CK$90,79,FALSE)</f>
        <v>5</v>
      </c>
      <c r="I129" s="112">
        <f>VLOOKUP($E$3,'Housing Generation'!$A$3:$CK$90,80,FALSE)</f>
        <v>5</v>
      </c>
      <c r="J129" s="111">
        <f t="shared" si="21"/>
        <v>32</v>
      </c>
    </row>
    <row r="130" spans="2:10" ht="15" customHeight="1">
      <c r="B130" s="114">
        <v>2028</v>
      </c>
      <c r="C130" s="289" t="s">
        <v>97</v>
      </c>
      <c r="D130" s="112">
        <f>VLOOKUP($E$3,'Housing Generation'!$A$3:$CK$90,83,FALSE)</f>
        <v>6</v>
      </c>
      <c r="E130" s="112">
        <f>VLOOKUP($E$3,'Housing Generation'!$A$3:$CK$90,84,FALSE)</f>
        <v>6</v>
      </c>
      <c r="F130" s="112">
        <f>VLOOKUP($E$3,'Housing Generation'!$A$3:$CK$90,85,FALSE)</f>
        <v>6</v>
      </c>
      <c r="G130" s="112">
        <f>VLOOKUP($E$3,'Housing Generation'!$A$3:$CK$90,86,FALSE)</f>
        <v>6</v>
      </c>
      <c r="H130" s="112">
        <f>VLOOKUP($E$3,'Housing Generation'!$A$3:$CK$90,87,FALSE)</f>
        <v>6</v>
      </c>
      <c r="I130" s="112">
        <f>VLOOKUP($E$3,'Housing Generation'!$A$3:$CK$90,88,FALSE)</f>
        <v>6</v>
      </c>
      <c r="J130" s="111">
        <f t="shared" si="21"/>
        <v>36</v>
      </c>
    </row>
    <row r="131" spans="2:10" ht="15" customHeight="1">
      <c r="B131" s="114">
        <v>2029</v>
      </c>
      <c r="C131" s="289" t="s">
        <v>97</v>
      </c>
      <c r="D131" s="112">
        <f>VLOOKUP($E$3,'Housing Generation'!$A$3:$DQ$90,91,FALSE)</f>
        <v>7</v>
      </c>
      <c r="E131" s="112">
        <f>VLOOKUP($E$3,'Housing Generation'!$A$3:$DQ$90,92,FALSE)</f>
        <v>7</v>
      </c>
      <c r="F131" s="112">
        <f>VLOOKUP($E$3,'Housing Generation'!$A$3:$DQ$90,93,FALSE)</f>
        <v>7</v>
      </c>
      <c r="G131" s="112">
        <f>VLOOKUP($E$3,'Housing Generation'!$A$3:$DQ$90,94,FALSE)</f>
        <v>6</v>
      </c>
      <c r="H131" s="112">
        <f>VLOOKUP($E$3,'Housing Generation'!$A$3:$DQ$90,95,FALSE)</f>
        <v>6</v>
      </c>
      <c r="I131" s="112">
        <f>VLOOKUP($E$3,'Housing Generation'!$A$3:$DQ$90,96,FALSE)</f>
        <v>6</v>
      </c>
      <c r="J131" s="111">
        <f t="shared" si="21"/>
        <v>39</v>
      </c>
    </row>
    <row r="132" spans="2:10" ht="15" customHeight="1">
      <c r="B132" s="114">
        <v>2030</v>
      </c>
      <c r="C132" s="289" t="s">
        <v>97</v>
      </c>
      <c r="D132" s="112">
        <f>VLOOKUP($E$3,'Housing Generation'!$A$3:$DQ$90,99,FALSE)</f>
        <v>7</v>
      </c>
      <c r="E132" s="112">
        <f>VLOOKUP($E$3,'Housing Generation'!$A$3:$DQ$90,100,FALSE)</f>
        <v>7</v>
      </c>
      <c r="F132" s="112">
        <f>VLOOKUP($E$3,'Housing Generation'!$A$3:$DQ$90,101,FALSE)</f>
        <v>7</v>
      </c>
      <c r="G132" s="112">
        <f>VLOOKUP($E$3,'Housing Generation'!$A$3:$DQ$90,102,FALSE)</f>
        <v>7</v>
      </c>
      <c r="H132" s="112">
        <f>VLOOKUP($E$3,'Housing Generation'!$A$3:$DQ$90,103,FALSE)</f>
        <v>7</v>
      </c>
      <c r="I132" s="112">
        <f>VLOOKUP($E$3,'Housing Generation'!$A$3:$DQ$90,104,FALSE)</f>
        <v>7</v>
      </c>
      <c r="J132" s="111">
        <f t="shared" si="21"/>
        <v>42</v>
      </c>
    </row>
    <row r="133" spans="2:10" ht="15" customHeight="1">
      <c r="B133" s="114">
        <v>2031</v>
      </c>
      <c r="C133" s="289" t="s">
        <v>97</v>
      </c>
      <c r="D133" s="112">
        <f>VLOOKUP($E$3,'Housing Generation'!$A$3:$DQ$90,107,FALSE)</f>
        <v>8</v>
      </c>
      <c r="E133" s="112">
        <f>VLOOKUP($E$3,'Housing Generation'!$A$3:$DQ$90,108,FALSE)</f>
        <v>8</v>
      </c>
      <c r="F133" s="112">
        <f>VLOOKUP($E$3,'Housing Generation'!$A$3:$DQ$90,109,FALSE)</f>
        <v>8</v>
      </c>
      <c r="G133" s="112">
        <f>VLOOKUP($E$3,'Housing Generation'!$A$3:$DQ$90,110,FALSE)</f>
        <v>7</v>
      </c>
      <c r="H133" s="112">
        <f>VLOOKUP($E$3,'Housing Generation'!$A$3:$DQ$90,111,FALSE)</f>
        <v>7</v>
      </c>
      <c r="I133" s="112">
        <f>VLOOKUP($E$3,'Housing Generation'!$A$3:$DQ$90,112,FALSE)</f>
        <v>7</v>
      </c>
      <c r="J133" s="111">
        <f t="shared" si="21"/>
        <v>45</v>
      </c>
    </row>
    <row r="134" spans="2:10" ht="15" customHeight="1">
      <c r="B134" s="114">
        <v>2032</v>
      </c>
      <c r="C134" s="289" t="s">
        <v>97</v>
      </c>
      <c r="D134" s="112">
        <f>VLOOKUP($E$3,'Housing Generation'!$A$3:$DQ$90,115,FALSE)</f>
        <v>8</v>
      </c>
      <c r="E134" s="112">
        <f>VLOOKUP($E$3,'Housing Generation'!$A$3:$DQ$90,116,FALSE)</f>
        <v>8</v>
      </c>
      <c r="F134" s="112">
        <f>VLOOKUP($E$3,'Housing Generation'!$A$3:$DQ$90,117,FALSE)</f>
        <v>8</v>
      </c>
      <c r="G134" s="112">
        <f>VLOOKUP($E$3,'Housing Generation'!$A$3:$DQ$90,118,FALSE)</f>
        <v>8</v>
      </c>
      <c r="H134" s="112">
        <f>VLOOKUP($E$3,'Housing Generation'!$A$3:$DQ$90,119,FALSE)</f>
        <v>8</v>
      </c>
      <c r="I134" s="112">
        <f>VLOOKUP($E$3,'Housing Generation'!$A$3:$DQ$90,120,FALSE)</f>
        <v>8</v>
      </c>
      <c r="J134" s="111">
        <f t="shared" si="21"/>
        <v>48</v>
      </c>
    </row>
    <row r="135" spans="2:10" ht="15" hidden="1"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St John's RC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48.909090909090907</v>
      </c>
      <c r="D139" s="112">
        <f t="shared" ref="D139:I152" si="23">D121+D103</f>
        <v>49</v>
      </c>
      <c r="E139" s="112">
        <f t="shared" si="23"/>
        <v>60</v>
      </c>
      <c r="F139" s="112">
        <f t="shared" si="23"/>
        <v>52</v>
      </c>
      <c r="G139" s="112">
        <f t="shared" si="23"/>
        <v>55</v>
      </c>
      <c r="H139" s="112">
        <f t="shared" si="23"/>
        <v>50</v>
      </c>
      <c r="I139" s="112">
        <f t="shared" si="23"/>
        <v>42</v>
      </c>
      <c r="J139" s="111">
        <f t="shared" ref="J139:J147" si="24">SUM(C139:I139)</f>
        <v>356.90909090909088</v>
      </c>
    </row>
    <row r="140" spans="2:10" ht="15" customHeight="1">
      <c r="B140" s="114">
        <v>2020</v>
      </c>
      <c r="C140" s="113">
        <f t="shared" si="22"/>
        <v>47.93333333333333</v>
      </c>
      <c r="D140" s="112">
        <f t="shared" si="23"/>
        <v>48</v>
      </c>
      <c r="E140" s="112">
        <f t="shared" si="23"/>
        <v>49</v>
      </c>
      <c r="F140" s="112">
        <f t="shared" si="23"/>
        <v>61</v>
      </c>
      <c r="G140" s="112">
        <f t="shared" si="23"/>
        <v>51</v>
      </c>
      <c r="H140" s="112">
        <f t="shared" si="23"/>
        <v>57</v>
      </c>
      <c r="I140" s="112">
        <f t="shared" si="23"/>
        <v>49</v>
      </c>
      <c r="J140" s="111">
        <f t="shared" si="24"/>
        <v>362.93333333333334</v>
      </c>
    </row>
    <row r="141" spans="2:10" ht="15" customHeight="1">
      <c r="B141" s="114">
        <v>2021</v>
      </c>
      <c r="C141" s="113">
        <f t="shared" si="22"/>
        <v>50</v>
      </c>
      <c r="D141" s="112">
        <f t="shared" si="23"/>
        <v>46</v>
      </c>
      <c r="E141" s="112">
        <f t="shared" si="23"/>
        <v>48</v>
      </c>
      <c r="F141" s="112">
        <f t="shared" si="23"/>
        <v>50</v>
      </c>
      <c r="G141" s="112">
        <f t="shared" si="23"/>
        <v>60</v>
      </c>
      <c r="H141" s="112">
        <f t="shared" si="23"/>
        <v>52</v>
      </c>
      <c r="I141" s="112">
        <f t="shared" si="23"/>
        <v>56</v>
      </c>
      <c r="J141" s="111">
        <f t="shared" si="24"/>
        <v>362</v>
      </c>
    </row>
    <row r="142" spans="2:10" ht="15" customHeight="1">
      <c r="B142" s="114">
        <v>2022</v>
      </c>
      <c r="C142" s="113">
        <f t="shared" si="22"/>
        <v>50</v>
      </c>
      <c r="D142" s="112">
        <f t="shared" si="23"/>
        <v>49</v>
      </c>
      <c r="E142" s="112">
        <f t="shared" si="23"/>
        <v>47</v>
      </c>
      <c r="F142" s="112">
        <f t="shared" si="23"/>
        <v>49</v>
      </c>
      <c r="G142" s="112">
        <f t="shared" si="23"/>
        <v>49</v>
      </c>
      <c r="H142" s="112">
        <f t="shared" si="23"/>
        <v>61</v>
      </c>
      <c r="I142" s="112">
        <f t="shared" si="23"/>
        <v>51</v>
      </c>
      <c r="J142" s="111">
        <f t="shared" si="24"/>
        <v>356</v>
      </c>
    </row>
    <row r="143" spans="2:10" ht="15" customHeight="1">
      <c r="B143" s="114">
        <v>2023</v>
      </c>
      <c r="C143" s="113">
        <f t="shared" si="22"/>
        <v>50</v>
      </c>
      <c r="D143" s="112">
        <f t="shared" si="23"/>
        <v>48</v>
      </c>
      <c r="E143" s="112">
        <f t="shared" si="23"/>
        <v>49</v>
      </c>
      <c r="F143" s="112">
        <f t="shared" si="23"/>
        <v>48</v>
      </c>
      <c r="G143" s="112">
        <f t="shared" si="23"/>
        <v>49</v>
      </c>
      <c r="H143" s="112">
        <f t="shared" si="23"/>
        <v>51</v>
      </c>
      <c r="I143" s="112">
        <f t="shared" si="23"/>
        <v>61</v>
      </c>
      <c r="J143" s="111">
        <f t="shared" si="24"/>
        <v>356</v>
      </c>
    </row>
    <row r="144" spans="2:10" ht="15" customHeight="1">
      <c r="B144" s="114">
        <v>2024</v>
      </c>
      <c r="C144" s="113">
        <f t="shared" si="22"/>
        <v>50</v>
      </c>
      <c r="D144" s="112">
        <f t="shared" si="23"/>
        <v>49</v>
      </c>
      <c r="E144" s="112">
        <f t="shared" si="23"/>
        <v>49</v>
      </c>
      <c r="F144" s="112">
        <f t="shared" si="23"/>
        <v>51</v>
      </c>
      <c r="G144" s="112">
        <f t="shared" si="23"/>
        <v>48</v>
      </c>
      <c r="H144" s="112">
        <f t="shared" si="23"/>
        <v>51</v>
      </c>
      <c r="I144" s="112">
        <f t="shared" si="23"/>
        <v>51</v>
      </c>
      <c r="J144" s="111">
        <f t="shared" si="24"/>
        <v>349</v>
      </c>
    </row>
    <row r="145" spans="2:16" ht="15" customHeight="1">
      <c r="B145" s="114">
        <v>2025</v>
      </c>
      <c r="C145" s="113">
        <f t="shared" si="22"/>
        <v>55.739393939393935</v>
      </c>
      <c r="D145" s="112">
        <f t="shared" si="23"/>
        <v>49</v>
      </c>
      <c r="E145" s="112">
        <f t="shared" si="23"/>
        <v>50</v>
      </c>
      <c r="F145" s="112">
        <f t="shared" si="23"/>
        <v>51</v>
      </c>
      <c r="G145" s="112">
        <f t="shared" si="23"/>
        <v>51</v>
      </c>
      <c r="H145" s="112">
        <f t="shared" si="23"/>
        <v>49</v>
      </c>
      <c r="I145" s="112">
        <f t="shared" si="23"/>
        <v>50</v>
      </c>
      <c r="J145" s="111">
        <f t="shared" si="24"/>
        <v>355.73939393939395</v>
      </c>
    </row>
    <row r="146" spans="2:16" ht="15" customHeight="1">
      <c r="B146" s="114">
        <v>2026</v>
      </c>
      <c r="C146" s="113">
        <f t="shared" si="22"/>
        <v>56.715151515151511</v>
      </c>
      <c r="D146" s="112">
        <f t="shared" si="23"/>
        <v>55</v>
      </c>
      <c r="E146" s="112">
        <f t="shared" si="23"/>
        <v>50</v>
      </c>
      <c r="F146" s="112">
        <f t="shared" si="23"/>
        <v>52</v>
      </c>
      <c r="G146" s="112">
        <f t="shared" si="23"/>
        <v>51</v>
      </c>
      <c r="H146" s="112">
        <f t="shared" si="23"/>
        <v>52</v>
      </c>
      <c r="I146" s="112">
        <f t="shared" si="23"/>
        <v>49</v>
      </c>
      <c r="J146" s="111">
        <f t="shared" si="24"/>
        <v>365.71515151515155</v>
      </c>
    </row>
    <row r="147" spans="2:16" ht="15" customHeight="1">
      <c r="B147" s="114">
        <v>2027</v>
      </c>
      <c r="C147" s="113">
        <f t="shared" si="22"/>
        <v>57.690909090909088</v>
      </c>
      <c r="D147" s="112">
        <f t="shared" si="23"/>
        <v>56</v>
      </c>
      <c r="E147" s="112">
        <f t="shared" si="23"/>
        <v>56</v>
      </c>
      <c r="F147" s="112">
        <f t="shared" si="23"/>
        <v>51</v>
      </c>
      <c r="G147" s="112">
        <f t="shared" si="23"/>
        <v>51</v>
      </c>
      <c r="H147" s="112">
        <f t="shared" si="23"/>
        <v>52</v>
      </c>
      <c r="I147" s="112">
        <f t="shared" si="23"/>
        <v>52</v>
      </c>
      <c r="J147" s="111">
        <f t="shared" si="24"/>
        <v>375.69090909090909</v>
      </c>
    </row>
    <row r="148" spans="2:16" ht="15" customHeight="1">
      <c r="B148" s="114">
        <v>2028</v>
      </c>
      <c r="C148" s="113">
        <f t="shared" si="22"/>
        <v>59.642424242424241</v>
      </c>
      <c r="D148" s="112">
        <f t="shared" si="23"/>
        <v>56</v>
      </c>
      <c r="E148" s="112">
        <f t="shared" si="23"/>
        <v>56</v>
      </c>
      <c r="F148" s="112">
        <f t="shared" si="23"/>
        <v>57</v>
      </c>
      <c r="G148" s="112">
        <f t="shared" si="23"/>
        <v>51</v>
      </c>
      <c r="H148" s="112">
        <f t="shared" si="23"/>
        <v>53</v>
      </c>
      <c r="I148" s="112">
        <f t="shared" si="23"/>
        <v>52</v>
      </c>
      <c r="J148" s="111">
        <f t="shared" ref="J148:J152" si="25">SUM(C148:I148)</f>
        <v>384.64242424242423</v>
      </c>
    </row>
    <row r="149" spans="2:16" ht="15" customHeight="1">
      <c r="B149" s="114">
        <v>2029</v>
      </c>
      <c r="C149" s="113">
        <f t="shared" si="22"/>
        <v>59.642424242424241</v>
      </c>
      <c r="D149" s="112">
        <f t="shared" si="23"/>
        <v>58</v>
      </c>
      <c r="E149" s="112">
        <f t="shared" si="23"/>
        <v>57</v>
      </c>
      <c r="F149" s="112">
        <f t="shared" si="23"/>
        <v>58</v>
      </c>
      <c r="G149" s="112">
        <f t="shared" si="23"/>
        <v>56</v>
      </c>
      <c r="H149" s="112">
        <f t="shared" si="23"/>
        <v>52</v>
      </c>
      <c r="I149" s="112">
        <f t="shared" si="23"/>
        <v>52</v>
      </c>
      <c r="J149" s="111">
        <f t="shared" si="25"/>
        <v>392.64242424242423</v>
      </c>
    </row>
    <row r="150" spans="2:16" ht="15" customHeight="1">
      <c r="B150" s="114">
        <v>2030</v>
      </c>
      <c r="C150" s="113">
        <f t="shared" si="22"/>
        <v>60</v>
      </c>
      <c r="D150" s="112">
        <f t="shared" si="23"/>
        <v>57</v>
      </c>
      <c r="E150" s="112">
        <f t="shared" si="23"/>
        <v>58</v>
      </c>
      <c r="F150" s="112">
        <f t="shared" si="23"/>
        <v>58</v>
      </c>
      <c r="G150" s="112">
        <f t="shared" si="23"/>
        <v>57</v>
      </c>
      <c r="H150" s="112">
        <f t="shared" si="23"/>
        <v>58</v>
      </c>
      <c r="I150" s="112">
        <f t="shared" si="23"/>
        <v>52</v>
      </c>
      <c r="J150" s="111">
        <f t="shared" si="25"/>
        <v>400</v>
      </c>
    </row>
    <row r="151" spans="2:16" ht="15" customHeight="1">
      <c r="B151" s="114">
        <v>2031</v>
      </c>
      <c r="C151" s="113">
        <f t="shared" si="22"/>
        <v>60</v>
      </c>
      <c r="D151" s="112">
        <f t="shared" si="23"/>
        <v>59</v>
      </c>
      <c r="E151" s="112">
        <f t="shared" si="23"/>
        <v>58</v>
      </c>
      <c r="F151" s="112">
        <f t="shared" si="23"/>
        <v>60</v>
      </c>
      <c r="G151" s="112">
        <f t="shared" si="23"/>
        <v>57</v>
      </c>
      <c r="H151" s="112">
        <f t="shared" si="23"/>
        <v>58</v>
      </c>
      <c r="I151" s="112">
        <f t="shared" si="23"/>
        <v>57</v>
      </c>
      <c r="J151" s="111">
        <f t="shared" si="25"/>
        <v>409</v>
      </c>
    </row>
    <row r="152" spans="2:16" ht="15" customHeight="1">
      <c r="B152" s="114">
        <v>2032</v>
      </c>
      <c r="C152" s="113">
        <f t="shared" si="22"/>
        <v>60</v>
      </c>
      <c r="D152" s="112">
        <f t="shared" si="23"/>
        <v>58</v>
      </c>
      <c r="E152" s="112">
        <f t="shared" si="23"/>
        <v>59</v>
      </c>
      <c r="F152" s="112">
        <f t="shared" si="23"/>
        <v>59</v>
      </c>
      <c r="G152" s="112">
        <f t="shared" si="23"/>
        <v>59</v>
      </c>
      <c r="H152" s="112">
        <f t="shared" si="23"/>
        <v>59</v>
      </c>
      <c r="I152" s="112">
        <f t="shared" si="23"/>
        <v>58</v>
      </c>
      <c r="J152" s="111">
        <f t="shared" si="25"/>
        <v>412</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356.90909090909088</v>
      </c>
      <c r="D159" s="108">
        <f>J140</f>
        <v>362.93333333333334</v>
      </c>
      <c r="E159" s="108">
        <f>J141</f>
        <v>362</v>
      </c>
      <c r="F159" s="108">
        <f>J142</f>
        <v>356</v>
      </c>
      <c r="G159" s="108">
        <f>J143</f>
        <v>356</v>
      </c>
      <c r="H159" s="108">
        <f>J144</f>
        <v>349</v>
      </c>
      <c r="I159" s="108">
        <f>J145</f>
        <v>355.73939393939395</v>
      </c>
      <c r="J159" s="108">
        <f>J146</f>
        <v>365.71515151515155</v>
      </c>
      <c r="K159" s="108">
        <f>J147</f>
        <v>375.69090909090909</v>
      </c>
      <c r="L159" s="108">
        <f>J148</f>
        <v>384.64242424242423</v>
      </c>
      <c r="M159" s="108">
        <f>J149</f>
        <v>392.64242424242423</v>
      </c>
      <c r="N159" s="108">
        <f>J150</f>
        <v>400</v>
      </c>
      <c r="O159" s="108">
        <f>J151</f>
        <v>409</v>
      </c>
      <c r="P159" s="108">
        <f>J152</f>
        <v>412</v>
      </c>
    </row>
    <row r="160" spans="2:16" ht="15" customHeight="1">
      <c r="B160" s="107" t="s">
        <v>152</v>
      </c>
      <c r="C160" s="106">
        <f>VLOOKUP(C159,Capacity!$A$1:$C$645,2,TRUE)</f>
        <v>14</v>
      </c>
      <c r="D160" s="106">
        <f>VLOOKUP(D159,Capacity!$A$1:$C$645,2,TRUE)</f>
        <v>14</v>
      </c>
      <c r="E160" s="106">
        <f>VLOOKUP(E159,Capacity!$A$1:$C$645,2,TRUE)</f>
        <v>14</v>
      </c>
      <c r="F160" s="106">
        <f>VLOOKUP(F159,Capacity!$A$1:$C$645,2,TRUE)</f>
        <v>14</v>
      </c>
      <c r="G160" s="106">
        <f>VLOOKUP(G159,Capacity!$A$1:$C$645,2,TRUE)</f>
        <v>14</v>
      </c>
      <c r="H160" s="106">
        <f>VLOOKUP(H159,Capacity!$A$1:$C$645,2,TRUE)</f>
        <v>14</v>
      </c>
      <c r="I160" s="106">
        <f>VLOOKUP(I159,Capacity!$A$1:$C$645,2,TRUE)</f>
        <v>14</v>
      </c>
      <c r="J160" s="106">
        <f>VLOOKUP(J159,Capacity!$A$1:$C$645,2,TRUE)</f>
        <v>14</v>
      </c>
      <c r="K160" s="106">
        <f>VLOOKUP(K159,Capacity!$A$1:$C$645,2,TRUE)</f>
        <v>14</v>
      </c>
      <c r="L160" s="106">
        <f>VLOOKUP(L159,Capacity!$A$1:$C$645,2,TRUE)</f>
        <v>14</v>
      </c>
      <c r="M160" s="106">
        <f>VLOOKUP(M159,Capacity!$A$1:$C$645,2,TRUE)</f>
        <v>14</v>
      </c>
      <c r="N160" s="106">
        <f>VLOOKUP(N159,Capacity!$A$1:$C$645,2,TRUE)</f>
        <v>14</v>
      </c>
      <c r="O160" s="106">
        <f>VLOOKUP(O159,Capacity!$A$1:$C$645,2,TRUE)</f>
        <v>14</v>
      </c>
      <c r="P160" s="106">
        <f>VLOOKUP(P159,Capacity!$A$1:$C$645,2,TRUE)</f>
        <v>14</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283</v>
      </c>
      <c r="D169" s="97">
        <f>VLOOKUP($E$3,'Catchment Births'!$A$1:$U$90,11,FALSE)</f>
        <v>278</v>
      </c>
      <c r="E169" s="97">
        <f>VLOOKUP($E$3,'Catchment Births'!$A$1:$U$90,12,FALSE)</f>
        <v>269</v>
      </c>
      <c r="F169" s="97">
        <f>VLOOKUP($E$3,'Catchment Births'!$A$1:$U$90,13,FALSE)</f>
        <v>290</v>
      </c>
      <c r="G169" s="97">
        <f>VLOOKUP($E$3,'Catchment Births'!$A$1:$U$90,14,FALSE)</f>
        <v>288</v>
      </c>
      <c r="H169" s="97">
        <f>VLOOKUP($E$3,'Catchment Births'!$A$1:$U$90,15,FALSE)</f>
        <v>280</v>
      </c>
      <c r="I169" s="97">
        <f>VLOOKUP($E$3,'Catchment Births'!$A$1:$U$90,16,FALSE)</f>
        <v>295</v>
      </c>
      <c r="J169" s="97">
        <f>VLOOKUP($E$3,'Catchment Births'!$A$1:$U$90,17,FALSE)</f>
        <v>302</v>
      </c>
      <c r="K169" s="97">
        <f>VLOOKUP($E$3,'Catchment Births'!$A$1:$U$90,18,FALSE)</f>
        <v>287</v>
      </c>
      <c r="L169" s="97">
        <f>VLOOKUP($E$3,'Catchment Births'!$A$1:$U$90,19,FALSE)</f>
        <v>294</v>
      </c>
      <c r="M169" s="97">
        <f>VLOOKUP($E$3,'Catchment Births'!$A$1:$U$90,20,FALSE)</f>
        <v>266</v>
      </c>
      <c r="N169" s="97">
        <f>VLOOKUP($E$3,'Catchment Births'!$A$1:$U$90,21,FALSE)</f>
        <v>261</v>
      </c>
    </row>
    <row r="170" spans="2:14" ht="58.5" customHeight="1">
      <c r="B170" s="103" t="str">
        <f>"P1 "&amp;A35&amp;" Catchment Population (Actual)"</f>
        <v>P1 RC Catchment Population (Actual)</v>
      </c>
      <c r="C170" s="102" t="e">
        <v>#REF!</v>
      </c>
      <c r="D170" s="102">
        <v>47</v>
      </c>
      <c r="E170" s="102">
        <v>56</v>
      </c>
      <c r="F170" s="102">
        <v>50</v>
      </c>
      <c r="G170" s="102">
        <v>52</v>
      </c>
      <c r="H170" s="102">
        <v>45</v>
      </c>
      <c r="I170" s="102">
        <v>51</v>
      </c>
      <c r="J170" s="308">
        <f>VLOOKUP(E3,'Catchment Projections'!A1:BU92,42,FALSE)</f>
        <v>49</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180</v>
      </c>
      <c r="C172" s="99"/>
      <c r="D172" s="98"/>
      <c r="E172" s="98"/>
      <c r="F172" s="98"/>
      <c r="G172" s="97"/>
      <c r="H172" s="96"/>
      <c r="I172" s="96">
        <f>I170</f>
        <v>51</v>
      </c>
      <c r="J172" s="96" t="e">
        <f>#REF!</f>
        <v>#REF!</v>
      </c>
      <c r="K172" s="96">
        <f>D51</f>
        <v>45</v>
      </c>
      <c r="L172" s="96">
        <f>E51</f>
        <v>44</v>
      </c>
      <c r="M172" s="96">
        <f>F51</f>
        <v>50</v>
      </c>
      <c r="N172" s="96">
        <f>G51</f>
        <v>48</v>
      </c>
    </row>
    <row r="173" spans="2:14" ht="12.75">
      <c r="B173" s="62"/>
      <c r="C173" s="62"/>
      <c r="D173" s="62"/>
      <c r="E173" s="62"/>
      <c r="F173" s="62"/>
      <c r="G173" s="62"/>
      <c r="H173" s="62"/>
      <c r="I173" s="62"/>
      <c r="J173" s="62"/>
      <c r="K173" s="62"/>
    </row>
    <row r="174" spans="2:14" ht="15" customHeight="1">
      <c r="B174" s="64" t="str">
        <f>"Table 5: "&amp;E3&amp;" Roll by Stage, 2002-2018"</f>
        <v>Table 5: St John's RC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53</v>
      </c>
      <c r="D177" s="93">
        <v>60</v>
      </c>
      <c r="E177" s="93">
        <v>52</v>
      </c>
      <c r="F177" s="93">
        <v>60</v>
      </c>
      <c r="G177" s="93">
        <v>59</v>
      </c>
      <c r="H177" s="93">
        <v>58</v>
      </c>
      <c r="I177" s="93">
        <v>59</v>
      </c>
      <c r="J177" s="92">
        <v>401</v>
      </c>
      <c r="K177" s="62"/>
    </row>
    <row r="178" spans="2:11" ht="15" customHeight="1">
      <c r="B178" s="94">
        <v>2003</v>
      </c>
      <c r="C178" s="93">
        <v>60</v>
      </c>
      <c r="D178" s="93">
        <v>57</v>
      </c>
      <c r="E178" s="93">
        <v>59</v>
      </c>
      <c r="F178" s="93">
        <v>56</v>
      </c>
      <c r="G178" s="93">
        <v>60</v>
      </c>
      <c r="H178" s="93">
        <v>56</v>
      </c>
      <c r="I178" s="93">
        <v>60</v>
      </c>
      <c r="J178" s="92">
        <v>408</v>
      </c>
      <c r="K178" s="62"/>
    </row>
    <row r="179" spans="2:11" customFormat="1" ht="15" customHeight="1">
      <c r="B179" s="94">
        <v>2004</v>
      </c>
      <c r="C179" s="95">
        <v>57</v>
      </c>
      <c r="D179" s="95">
        <v>60</v>
      </c>
      <c r="E179" s="95">
        <v>58</v>
      </c>
      <c r="F179" s="95">
        <v>58</v>
      </c>
      <c r="G179" s="95">
        <v>54</v>
      </c>
      <c r="H179" s="95">
        <v>62</v>
      </c>
      <c r="I179" s="95">
        <v>52</v>
      </c>
      <c r="J179" s="92">
        <v>401</v>
      </c>
      <c r="K179" s="62"/>
    </row>
    <row r="180" spans="2:11" customFormat="1" ht="15" customHeight="1">
      <c r="B180" s="94">
        <v>2005</v>
      </c>
      <c r="C180" s="93">
        <v>56</v>
      </c>
      <c r="D180" s="93">
        <v>57</v>
      </c>
      <c r="E180" s="93">
        <v>60</v>
      </c>
      <c r="F180" s="93">
        <v>55</v>
      </c>
      <c r="G180" s="93">
        <v>60</v>
      </c>
      <c r="H180" s="93">
        <v>50</v>
      </c>
      <c r="I180" s="93">
        <v>59</v>
      </c>
      <c r="J180" s="92">
        <v>397</v>
      </c>
      <c r="K180" s="62"/>
    </row>
    <row r="181" spans="2:11" customFormat="1" ht="15" customHeight="1">
      <c r="B181" s="94">
        <v>2006</v>
      </c>
      <c r="C181" s="93">
        <v>52</v>
      </c>
      <c r="D181" s="93">
        <v>53</v>
      </c>
      <c r="E181" s="93">
        <v>57</v>
      </c>
      <c r="F181" s="93">
        <v>55</v>
      </c>
      <c r="G181" s="93">
        <v>54</v>
      </c>
      <c r="H181" s="93">
        <v>56</v>
      </c>
      <c r="I181" s="93">
        <v>47</v>
      </c>
      <c r="J181" s="92">
        <v>374</v>
      </c>
      <c r="K181" s="62"/>
    </row>
    <row r="182" spans="2:11" customFormat="1" ht="15" customHeight="1">
      <c r="B182" s="94">
        <v>2007</v>
      </c>
      <c r="C182" s="93">
        <v>50</v>
      </c>
      <c r="D182" s="93">
        <v>51</v>
      </c>
      <c r="E182" s="93">
        <v>54</v>
      </c>
      <c r="F182" s="93">
        <v>53</v>
      </c>
      <c r="G182" s="93">
        <v>54</v>
      </c>
      <c r="H182" s="93">
        <v>51</v>
      </c>
      <c r="I182" s="93">
        <v>56</v>
      </c>
      <c r="J182" s="92">
        <v>369</v>
      </c>
      <c r="K182" s="62"/>
    </row>
    <row r="183" spans="2:11" customFormat="1" ht="15" customHeight="1">
      <c r="B183" s="94">
        <v>2008</v>
      </c>
      <c r="C183" s="93">
        <v>48</v>
      </c>
      <c r="D183" s="93">
        <v>55</v>
      </c>
      <c r="E183" s="93">
        <v>50</v>
      </c>
      <c r="F183" s="93">
        <v>55</v>
      </c>
      <c r="G183" s="93">
        <v>58</v>
      </c>
      <c r="H183" s="93">
        <v>56</v>
      </c>
      <c r="I183" s="93">
        <v>50</v>
      </c>
      <c r="J183" s="92">
        <v>372</v>
      </c>
      <c r="K183" s="62"/>
    </row>
    <row r="184" spans="2:11" customFormat="1" ht="15" customHeight="1">
      <c r="B184" s="94">
        <v>2009</v>
      </c>
      <c r="C184" s="93">
        <v>51</v>
      </c>
      <c r="D184" s="93">
        <v>48</v>
      </c>
      <c r="E184" s="93">
        <v>56</v>
      </c>
      <c r="F184" s="93">
        <v>50</v>
      </c>
      <c r="G184" s="93">
        <v>55</v>
      </c>
      <c r="H184" s="93">
        <v>57</v>
      </c>
      <c r="I184" s="93">
        <v>57</v>
      </c>
      <c r="J184" s="94">
        <v>374</v>
      </c>
      <c r="K184" s="62"/>
    </row>
    <row r="185" spans="2:11" customFormat="1" ht="15" customHeight="1">
      <c r="B185" s="94">
        <v>2010</v>
      </c>
      <c r="C185" s="93">
        <v>56</v>
      </c>
      <c r="D185" s="93">
        <v>57</v>
      </c>
      <c r="E185" s="93">
        <v>51</v>
      </c>
      <c r="F185" s="93">
        <v>57</v>
      </c>
      <c r="G185" s="93">
        <v>52</v>
      </c>
      <c r="H185" s="93">
        <v>59</v>
      </c>
      <c r="I185" s="93">
        <v>58</v>
      </c>
      <c r="J185" s="92">
        <v>390</v>
      </c>
      <c r="K185" s="62"/>
    </row>
    <row r="186" spans="2:11" customFormat="1" ht="15" customHeight="1">
      <c r="B186" s="94">
        <v>2011</v>
      </c>
      <c r="C186" s="93">
        <v>58</v>
      </c>
      <c r="D186" s="93">
        <v>60</v>
      </c>
      <c r="E186" s="93">
        <v>58</v>
      </c>
      <c r="F186" s="93">
        <v>51</v>
      </c>
      <c r="G186" s="93">
        <v>55</v>
      </c>
      <c r="H186" s="93">
        <v>54</v>
      </c>
      <c r="I186" s="93">
        <v>56</v>
      </c>
      <c r="J186" s="92">
        <v>392</v>
      </c>
      <c r="K186" s="62"/>
    </row>
    <row r="187" spans="2:11" customFormat="1" ht="15" customHeight="1">
      <c r="B187" s="94">
        <v>2012</v>
      </c>
      <c r="C187" s="93">
        <v>51</v>
      </c>
      <c r="D187" s="93">
        <v>59</v>
      </c>
      <c r="E187" s="93">
        <v>58</v>
      </c>
      <c r="F187" s="93">
        <v>55</v>
      </c>
      <c r="G187" s="93">
        <v>52</v>
      </c>
      <c r="H187" s="93">
        <v>55</v>
      </c>
      <c r="I187" s="93">
        <v>53</v>
      </c>
      <c r="J187" s="92">
        <v>383</v>
      </c>
      <c r="K187" s="62"/>
    </row>
    <row r="188" spans="2:11" customFormat="1" ht="15" customHeight="1">
      <c r="B188" s="94">
        <v>2013</v>
      </c>
      <c r="C188" s="93">
        <v>50</v>
      </c>
      <c r="D188" s="93">
        <v>57</v>
      </c>
      <c r="E188" s="93">
        <v>58</v>
      </c>
      <c r="F188" s="93">
        <v>57</v>
      </c>
      <c r="G188" s="93">
        <v>56</v>
      </c>
      <c r="H188" s="93">
        <v>49</v>
      </c>
      <c r="I188" s="93">
        <v>55</v>
      </c>
      <c r="J188" s="94">
        <v>382</v>
      </c>
      <c r="K188" s="62"/>
    </row>
    <row r="189" spans="2:11" customFormat="1" ht="15" customHeight="1">
      <c r="B189" s="94">
        <v>2014</v>
      </c>
      <c r="C189" s="93">
        <v>50</v>
      </c>
      <c r="D189" s="93">
        <v>48</v>
      </c>
      <c r="E189" s="93">
        <v>57</v>
      </c>
      <c r="F189" s="93">
        <v>60</v>
      </c>
      <c r="G189" s="93">
        <v>56</v>
      </c>
      <c r="H189" s="93">
        <v>57</v>
      </c>
      <c r="I189" s="93">
        <v>48</v>
      </c>
      <c r="J189" s="92">
        <v>376</v>
      </c>
      <c r="K189" s="65"/>
    </row>
    <row r="190" spans="2:11" customFormat="1" ht="15" customHeight="1">
      <c r="B190" s="94">
        <v>2015</v>
      </c>
      <c r="C190" s="93">
        <v>58</v>
      </c>
      <c r="D190" s="93">
        <v>45</v>
      </c>
      <c r="E190" s="93">
        <v>43</v>
      </c>
      <c r="F190" s="93">
        <v>58</v>
      </c>
      <c r="G190" s="93">
        <v>57</v>
      </c>
      <c r="H190" s="93">
        <v>57</v>
      </c>
      <c r="I190" s="93">
        <v>54</v>
      </c>
      <c r="J190" s="92">
        <v>372</v>
      </c>
      <c r="K190" s="65"/>
    </row>
    <row r="191" spans="2:11" customFormat="1" ht="15" customHeight="1">
      <c r="B191" s="94">
        <v>2016</v>
      </c>
      <c r="C191" s="93">
        <v>50</v>
      </c>
      <c r="D191" s="93">
        <v>58</v>
      </c>
      <c r="E191" s="93">
        <v>44</v>
      </c>
      <c r="F191" s="93">
        <v>44</v>
      </c>
      <c r="G191" s="93">
        <v>60</v>
      </c>
      <c r="H191" s="93">
        <v>53</v>
      </c>
      <c r="I191" s="93">
        <v>58</v>
      </c>
      <c r="J191" s="92">
        <v>367</v>
      </c>
      <c r="K191" s="65"/>
    </row>
    <row r="192" spans="2:11" ht="15" customHeight="1">
      <c r="B192" s="94">
        <v>2017</v>
      </c>
      <c r="C192" s="93">
        <f>VLOOKUP($E$3,Rolls!A1:FA90,42,FALSE)</f>
        <v>56</v>
      </c>
      <c r="D192" s="93">
        <f>VLOOKUP($E$3,Rolls!A1:FA90,43,FALSE)</f>
        <v>49</v>
      </c>
      <c r="E192" s="93">
        <f>VLOOKUP($E$3,Rolls!A1:FA90,44,FALSE)</f>
        <v>58</v>
      </c>
      <c r="F192" s="93">
        <f>VLOOKUP($E$3,Rolls!A1:FA90,45,FALSE)</f>
        <v>46</v>
      </c>
      <c r="G192" s="93">
        <f>VLOOKUP($E$3,Rolls!A1:FA90,46,FALSE)</f>
        <v>40</v>
      </c>
      <c r="H192" s="93">
        <f>VLOOKUP($E$3,Rolls!A1:FA90,47,FALSE)</f>
        <v>58</v>
      </c>
      <c r="I192" s="93">
        <f>VLOOKUP($E$3,Rolls!A1:FA90,48,FALSE)</f>
        <v>47</v>
      </c>
      <c r="J192" s="92">
        <f>VLOOKUP($E$3,Rolls!A1:FA90,49,FALSE)</f>
        <v>354</v>
      </c>
      <c r="K192" s="65"/>
    </row>
    <row r="193" spans="2:11" ht="15" customHeight="1">
      <c r="B193" s="94">
        <v>2018</v>
      </c>
      <c r="C193" s="93">
        <f>VLOOKUP($E$3,Rolls!A1:FA90,50,FALSE)</f>
        <v>49</v>
      </c>
      <c r="D193" s="93">
        <f>VLOOKUP($E$3,Rolls!A1:FA90,51,FALSE)</f>
        <v>59</v>
      </c>
      <c r="E193" s="93">
        <f>VLOOKUP($E$3,Rolls!A1:FA90,52,FALSE)</f>
        <v>50</v>
      </c>
      <c r="F193" s="93">
        <f>VLOOKUP($E$3,Rolls!A1:FA90,53,FALSE)</f>
        <v>56</v>
      </c>
      <c r="G193" s="93">
        <f>VLOOKUP($E$3,Rolls!A1:FA90,54,FALSE)</f>
        <v>49</v>
      </c>
      <c r="H193" s="93">
        <f>VLOOKUP($E$3,Rolls!A1:FA90,55,FALSE)</f>
        <v>43</v>
      </c>
      <c r="I193" s="93">
        <f>VLOOKUP($E$3,Rolls!A1:FA90,56,FALSE)</f>
        <v>57</v>
      </c>
      <c r="J193" s="92">
        <f>VLOOKUP($E$3,Rolls!A1:FA90,57,FALSE)</f>
        <v>363</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90</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St Joseph's RC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329 Pupils (13 classes)</v>
      </c>
      <c r="G12" s="16"/>
      <c r="H12" s="16"/>
    </row>
    <row r="13" spans="2:10" ht="15" customHeight="1">
      <c r="C13" s="16"/>
      <c r="D13" s="16"/>
      <c r="E13" s="16"/>
      <c r="F13" s="16"/>
      <c r="G13" s="16"/>
      <c r="H13" s="16"/>
    </row>
    <row r="14" spans="2:10" ht="15" customHeight="1">
      <c r="B14" s="15" t="str">
        <f>"Figure 1: "&amp;E3&amp;" Roll, 2002-2015"</f>
        <v>Figure 1: St Joseph's RC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2010-2020"</f>
        <v>Figure 2: Actual Catchment Births (from 5yrs prior),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St Joseph's RC Primary School</v>
      </c>
      <c r="K34" s="16"/>
    </row>
    <row r="35" spans="1:17" ht="15" customHeight="1">
      <c r="A35" s="1" t="str">
        <f>IF(ISNUMBER(SEARCH("RC",A34)),"RC", "ND")</f>
        <v>RC</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RC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47</v>
      </c>
      <c r="E49" s="108">
        <f>VLOOKUP($E$3,'Catchment Projections'!$A$1:$BU$90,46,FALSE)</f>
        <v>43</v>
      </c>
      <c r="F49" s="108">
        <f>VLOOKUP($E$3,'Catchment Projections'!$A$1:$BU$90,47,FALSE)</f>
        <v>43</v>
      </c>
      <c r="G49" s="108">
        <f>VLOOKUP($E$3,'Catchment Projections'!$A$1:$BU$90,48,FALSE)</f>
        <v>45</v>
      </c>
      <c r="H49" s="133">
        <f>VLOOKUP($E$3,'Catchment Projections'!$A$1:$BU$90,49,FALSE)</f>
        <v>44</v>
      </c>
      <c r="I49" s="133">
        <f>VLOOKUP($E$3,'Catchment Projections'!$A$1:$BU$90,50,FALSE)</f>
        <v>45</v>
      </c>
      <c r="J49" s="133">
        <f>VLOOKUP($E$3,'Catchment Projections'!$A$1:$BU$90,51,FALSE)</f>
        <v>45</v>
      </c>
      <c r="K49" s="133">
        <f>VLOOKUP($E$3,'Catchment Projections'!$A$1:$BU$90,52,FALSE)</f>
        <v>46</v>
      </c>
      <c r="L49" s="133">
        <f>VLOOKUP($E$3,'Catchment Projections'!$A$1:$BU$90,53,FALSE)</f>
        <v>46</v>
      </c>
      <c r="M49" s="133">
        <f>VLOOKUP($E$3,'Catchment Projections'!$A$1:$BU$90,54,FALSE)</f>
        <v>46</v>
      </c>
      <c r="N49" s="133">
        <f>VLOOKUP($E$3,'Catchment Projections'!$A$1:$BU$90,55,FALSE)</f>
        <v>46</v>
      </c>
      <c r="O49" s="133">
        <f>VLOOKUP($E$3,'Catchment Projections'!$A$1:$BU$90,56,FALSE)</f>
        <v>47</v>
      </c>
      <c r="P49" s="133">
        <f>VLOOKUP($E$3,'Catchment Projections'!$A$1:$BU$90,57,FALSE)</f>
        <v>47</v>
      </c>
      <c r="Q49" s="133">
        <f>VLOOKUP($E$3,'Catchment Projections'!$A$1:$BU$90,58,FALSE)</f>
        <v>47</v>
      </c>
    </row>
    <row r="50" spans="2:17" ht="15" customHeight="1" thickBot="1">
      <c r="B50" s="410" t="s">
        <v>141</v>
      </c>
      <c r="C50" s="411"/>
      <c r="D50" s="286">
        <f>VLOOKUP(E3,'Housing Generation'!$A$3:$DQ$90,10,FALSE)</f>
        <v>1</v>
      </c>
      <c r="E50" s="286">
        <f>VLOOKUP(E3,'Housing Generation'!$A$3:$DQ$90,18,FALSE)</f>
        <v>2</v>
      </c>
      <c r="F50" s="286">
        <f>VLOOKUP(E3,'Housing Generation'!$A$3:$DQ$90,26,FALSE)</f>
        <v>2</v>
      </c>
      <c r="G50" s="243">
        <f>VLOOKUP(E3,'Housing Generation'!$A$3:$DQ$90,34,FALSE)</f>
        <v>2</v>
      </c>
      <c r="H50" s="133">
        <f>VLOOKUP(E3,'Housing Generation'!$A$3:$DQ$90,42,FALSE)</f>
        <v>2</v>
      </c>
      <c r="I50" s="133">
        <f>VLOOKUP(E3,'Housing Generation'!$A$3:$DQ$90,50,FALSE)</f>
        <v>2</v>
      </c>
      <c r="J50" s="133">
        <f>VLOOKUP(E3,'Housing Generation'!$A$3:$CK$90,58,FALSE)</f>
        <v>3</v>
      </c>
      <c r="K50" s="133">
        <f>VLOOKUP(E3,'Housing Generation'!$A$3:$CK$90,66,FALSE)</f>
        <v>3</v>
      </c>
      <c r="L50" s="133">
        <f>VLOOKUP(E3,'Housing Generation'!$A$3:$DQ$90,74,FALSE)</f>
        <v>3</v>
      </c>
      <c r="M50" s="133">
        <f>VLOOKUP(E3,'Housing Generation'!$A$3:$DQ$90,82,FALSE)</f>
        <v>3</v>
      </c>
      <c r="N50" s="133">
        <f>VLOOKUP(E3,'Housing Generation'!$A$3:$DQ$90,90,FALSE)</f>
        <v>3</v>
      </c>
      <c r="O50" s="133">
        <f>VLOOKUP(E3,'Housing Generation'!$A$3:$DQ$90,98,FALSE)</f>
        <v>3</v>
      </c>
      <c r="P50" s="133">
        <f>VLOOKUP(E3,'Housing Generation'!$A$3:$DQ$90,106,FALSE)</f>
        <v>3</v>
      </c>
      <c r="Q50" s="133">
        <f>VLOOKUP(E3,'Housing Generation'!$A$3:$DQ$90,114,FALSE)</f>
        <v>3</v>
      </c>
    </row>
    <row r="51" spans="2:17" ht="15" customHeight="1" thickTop="1">
      <c r="B51" s="421" t="s">
        <v>130</v>
      </c>
      <c r="C51" s="422"/>
      <c r="D51" s="47">
        <f t="shared" ref="D51:Q51" si="0">SUM(D49:D50)</f>
        <v>48</v>
      </c>
      <c r="E51" s="47">
        <f t="shared" si="0"/>
        <v>45</v>
      </c>
      <c r="F51" s="80">
        <f t="shared" si="0"/>
        <v>45</v>
      </c>
      <c r="G51" s="244">
        <f t="shared" si="0"/>
        <v>47</v>
      </c>
      <c r="H51" s="71">
        <f t="shared" si="0"/>
        <v>46</v>
      </c>
      <c r="I51" s="71">
        <f t="shared" si="0"/>
        <v>47</v>
      </c>
      <c r="J51" s="71">
        <f t="shared" si="0"/>
        <v>48</v>
      </c>
      <c r="K51" s="71">
        <f t="shared" si="0"/>
        <v>49</v>
      </c>
      <c r="L51" s="71">
        <f t="shared" si="0"/>
        <v>49</v>
      </c>
      <c r="M51" s="71">
        <f t="shared" si="0"/>
        <v>49</v>
      </c>
      <c r="N51" s="71">
        <f t="shared" si="0"/>
        <v>49</v>
      </c>
      <c r="O51" s="71">
        <f t="shared" si="0"/>
        <v>50</v>
      </c>
      <c r="P51" s="71">
        <f t="shared" si="0"/>
        <v>50</v>
      </c>
      <c r="Q51" s="71">
        <f t="shared" si="0"/>
        <v>50</v>
      </c>
    </row>
    <row r="52" spans="2:17" ht="15" customHeight="1">
      <c r="C52" s="36"/>
      <c r="D52" s="48"/>
      <c r="E52" s="48"/>
      <c r="F52" s="48"/>
      <c r="G52" s="48"/>
      <c r="H52" s="48"/>
    </row>
    <row r="53" spans="2:17" ht="31.5" customHeight="1">
      <c r="B53" s="423" t="s">
        <v>292</v>
      </c>
      <c r="C53" s="424"/>
      <c r="D53" s="87">
        <v>0</v>
      </c>
      <c r="E53" s="139" t="s">
        <v>181</v>
      </c>
      <c r="F53" s="140">
        <v>31</v>
      </c>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RC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36</v>
      </c>
      <c r="D60" s="358">
        <f>VLOOKUP($E$3,'Catchment Projections'!$A$1:$BZ$90,74,FALSE)</f>
        <v>35</v>
      </c>
      <c r="E60" s="303">
        <f>D60/C60</f>
        <v>0.97222222222222221</v>
      </c>
      <c r="G60" s="132">
        <v>2014</v>
      </c>
      <c r="H60" s="395">
        <f>VLOOKUP($G$60,$B$177:$C$215, 2, FALSE)</f>
        <v>35</v>
      </c>
      <c r="I60" s="120">
        <f>H60-D60</f>
        <v>0</v>
      </c>
      <c r="J60" s="121">
        <f>I60/H60</f>
        <v>0</v>
      </c>
    </row>
    <row r="61" spans="2:17" ht="15" customHeight="1">
      <c r="B61" s="132">
        <v>2015</v>
      </c>
      <c r="C61" s="359">
        <f>VLOOKUP($E$3,'Catchment Projections'!$A$1:$BZ$90,41,FALSE)</f>
        <v>46</v>
      </c>
      <c r="D61" s="358">
        <f>VLOOKUP($E$3,'Catchment Projections'!$A$1:$BZ$90,75,FALSE)</f>
        <v>46</v>
      </c>
      <c r="E61" s="303">
        <f>D61/C61</f>
        <v>1</v>
      </c>
      <c r="G61" s="132">
        <v>2015</v>
      </c>
      <c r="H61" s="395">
        <f>VLOOKUP($G$61,$B$177:$C$215, 2, FALSE)</f>
        <v>47</v>
      </c>
      <c r="I61" s="120">
        <f>H61-D61</f>
        <v>1</v>
      </c>
      <c r="J61" s="121">
        <f>I61/H61</f>
        <v>2.1276595744680851E-2</v>
      </c>
    </row>
    <row r="62" spans="2:17" ht="15" customHeight="1">
      <c r="B62" s="131">
        <v>2016</v>
      </c>
      <c r="C62" s="359">
        <f>VLOOKUP($E$3,'Catchment Projections'!$A$1:$BZ$90,42,FALSE)</f>
        <v>46</v>
      </c>
      <c r="D62" s="358">
        <f>VLOOKUP($E$3,'Catchment Projections'!$A$1:$BZ$90,76,FALSE)</f>
        <v>44</v>
      </c>
      <c r="E62" s="57">
        <f>D62/C62</f>
        <v>0.95652173913043481</v>
      </c>
      <c r="G62" s="131">
        <v>2016</v>
      </c>
      <c r="H62" s="395">
        <f>VLOOKUP($G$62,$B$177:$C$215, 2, FALSE)</f>
        <v>45</v>
      </c>
      <c r="I62" s="120">
        <f>H62-D62</f>
        <v>1</v>
      </c>
      <c r="J62" s="121">
        <f>I62/H62</f>
        <v>2.2222222222222223E-2</v>
      </c>
    </row>
    <row r="63" spans="2:17" ht="15" customHeight="1">
      <c r="B63" s="114">
        <v>2017</v>
      </c>
      <c r="C63" s="359">
        <f>VLOOKUP($E$3,'Catchment Projections'!$A$1:$BZ$90,43,FALSE)</f>
        <v>57</v>
      </c>
      <c r="D63" s="358">
        <f>VLOOKUP($E$3,'Catchment Projections'!$A$1:$BZ$90,77,FALSE)</f>
        <v>54</v>
      </c>
      <c r="E63" s="304">
        <f>D63/C63</f>
        <v>0.94736842105263153</v>
      </c>
      <c r="G63" s="114">
        <v>2017</v>
      </c>
      <c r="H63" s="395">
        <f>VLOOKUP($G$63,$B$177:$C$215, 2, FALSE)</f>
        <v>55</v>
      </c>
      <c r="I63" s="120">
        <f>H63-D63</f>
        <v>1</v>
      </c>
      <c r="J63" s="121">
        <f>I63/H63</f>
        <v>1.8181818181818181E-2</v>
      </c>
    </row>
    <row r="64" spans="2:17" ht="15" customHeight="1">
      <c r="B64" s="114">
        <v>2018</v>
      </c>
      <c r="C64" s="359">
        <f>VLOOKUP($E$3,'Catchment Projections'!$A$1:$BZ$90,44,FALSE)</f>
        <v>48</v>
      </c>
      <c r="D64" s="358">
        <f>VLOOKUP($E$3,'Catchment Projections'!$A$1:$BZ$90,78,FALSE)</f>
        <v>47</v>
      </c>
      <c r="E64" s="305">
        <f>D64/C64</f>
        <v>0.97916666666666663</v>
      </c>
      <c r="G64" s="114">
        <v>2018</v>
      </c>
      <c r="H64" s="395">
        <f>VLOOKUP($G$64,$B$177:$C$215, 2, FALSE)</f>
        <v>49</v>
      </c>
      <c r="I64" s="120">
        <f>H64-D64</f>
        <v>2</v>
      </c>
      <c r="J64" s="121">
        <f>I64/H64</f>
        <v>4.0816326530612242E-2</v>
      </c>
    </row>
    <row r="65" spans="2:10" ht="15" customHeight="1">
      <c r="B65" s="412" t="s">
        <v>136</v>
      </c>
      <c r="C65" s="413"/>
      <c r="D65" s="414"/>
      <c r="E65" s="137">
        <f>IF((AVERAGE(E62:E64))="#DIV/0!","n/a",(AVERAGE(E62:E64)))</f>
        <v>0.96101894228324436</v>
      </c>
      <c r="G65" s="415" t="s">
        <v>137</v>
      </c>
      <c r="H65" s="416"/>
      <c r="I65" s="138">
        <f>MEDIAN(I60:I64)</f>
        <v>1</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179</v>
      </c>
      <c r="D69" s="408"/>
      <c r="E69" s="125" t="s">
        <v>158</v>
      </c>
      <c r="F69" s="126" t="s">
        <v>133</v>
      </c>
      <c r="G69" s="124" t="s">
        <v>183</v>
      </c>
      <c r="H69" s="125" t="s">
        <v>138</v>
      </c>
      <c r="I69" s="124" t="s">
        <v>142</v>
      </c>
      <c r="J69" s="123" t="s">
        <v>139</v>
      </c>
    </row>
    <row r="70" spans="2:10" ht="15" customHeight="1">
      <c r="B70" s="114">
        <v>2019</v>
      </c>
      <c r="C70" s="433">
        <f>D51</f>
        <v>48</v>
      </c>
      <c r="D70" s="408"/>
      <c r="E70" s="122">
        <f>E65</f>
        <v>0.96101894228324436</v>
      </c>
      <c r="F70" s="120">
        <f t="shared" ref="F70:F83" si="1">C70*$E$65</f>
        <v>46.128909229595727</v>
      </c>
      <c r="G70" s="118">
        <f>IF(F70&lt;26,25,IF(F70&gt;135,140,IF(F70&gt;130,135,IF(F70&gt;125,130,IF(F70&gt;120,125,IF(F70&gt;115,120,IF(F70&gt;110,115,IF(F70&gt;105,110,IF(F70&gt;100,105,IF(F70&gt;99,100,IF(F70&gt;90,99,IF(F70&gt;75,90,IF(F70&gt;72,75,IF(F70&gt;66,72,IF(F70&gt;60,66,IF(F70&gt;50,60,IF(F70&gt;30,50,IF(F70&gt;25,30,0))))))))))))))))))</f>
        <v>50</v>
      </c>
      <c r="H70" s="119">
        <f t="shared" ref="H70:H83" si="2">G70-F70</f>
        <v>3.8710907704042725</v>
      </c>
      <c r="I70" s="118" t="str">
        <f>IF(I$65&lt;H70, "NO", "YES")</f>
        <v>NO</v>
      </c>
      <c r="J70" s="117">
        <f t="shared" ref="J70:J83" si="3">IF(I70="YES",G70,(MIN((SUM(F70,$I$65)),G70)))</f>
        <v>47.128909229595727</v>
      </c>
    </row>
    <row r="71" spans="2:10" ht="15" customHeight="1">
      <c r="B71" s="114">
        <v>2020</v>
      </c>
      <c r="C71" s="433">
        <f>E51</f>
        <v>45</v>
      </c>
      <c r="D71" s="408"/>
      <c r="E71" s="121">
        <f>E65</f>
        <v>0.96101894228324436</v>
      </c>
      <c r="F71" s="120">
        <f t="shared" si="1"/>
        <v>43.245852402745996</v>
      </c>
      <c r="G71" s="118">
        <f t="shared" ref="G71:G83" si="4">IF(F71&lt;26,25,IF(F71&gt;135,140,IF(F71&gt;130,135,IF(F71&gt;125,130,IF(F71&gt;120,125,IF(F71&gt;115,120,IF(F71&gt;110,115,IF(F71&gt;105,110,IF(F71&gt;100,105,IF(F71&gt;99,100,IF(F71&gt;90,99,IF(F71&gt;75,90,IF(F71&gt;72,75,IF(F71&gt;66,72,IF(F71&gt;60,66,IF(F71&gt;50,60,IF(F71&gt;30,50,IF(F71&gt;25,30,0))))))))))))))))))</f>
        <v>50</v>
      </c>
      <c r="H71" s="119">
        <f t="shared" si="2"/>
        <v>6.7541475972540042</v>
      </c>
      <c r="I71" s="118" t="str">
        <f t="shared" ref="I71:I83" si="5">IF(I$65&lt;H71, "NO", "YES")</f>
        <v>NO</v>
      </c>
      <c r="J71" s="117">
        <f t="shared" si="3"/>
        <v>44.245852402745996</v>
      </c>
    </row>
    <row r="72" spans="2:10" ht="15" customHeight="1">
      <c r="B72" s="114">
        <v>2021</v>
      </c>
      <c r="C72" s="430">
        <f>F51</f>
        <v>45</v>
      </c>
      <c r="D72" s="431"/>
      <c r="E72" s="121">
        <f>E65</f>
        <v>0.96101894228324436</v>
      </c>
      <c r="F72" s="120">
        <f t="shared" si="1"/>
        <v>43.245852402745996</v>
      </c>
      <c r="G72" s="118">
        <f t="shared" si="4"/>
        <v>50</v>
      </c>
      <c r="H72" s="119">
        <f t="shared" si="2"/>
        <v>6.7541475972540042</v>
      </c>
      <c r="I72" s="118" t="str">
        <f t="shared" si="5"/>
        <v>NO</v>
      </c>
      <c r="J72" s="117">
        <f t="shared" si="3"/>
        <v>44.245852402745996</v>
      </c>
    </row>
    <row r="73" spans="2:10" ht="15" customHeight="1">
      <c r="B73" s="114">
        <v>2022</v>
      </c>
      <c r="C73" s="430">
        <f>G51</f>
        <v>47</v>
      </c>
      <c r="D73" s="431"/>
      <c r="E73" s="121">
        <f>E65</f>
        <v>0.96101894228324436</v>
      </c>
      <c r="F73" s="120">
        <f t="shared" si="1"/>
        <v>45.167890287312488</v>
      </c>
      <c r="G73" s="118">
        <f t="shared" si="4"/>
        <v>50</v>
      </c>
      <c r="H73" s="119">
        <f t="shared" si="2"/>
        <v>4.8321097126875117</v>
      </c>
      <c r="I73" s="118" t="str">
        <f t="shared" si="5"/>
        <v>NO</v>
      </c>
      <c r="J73" s="117">
        <f t="shared" si="3"/>
        <v>46.167890287312488</v>
      </c>
    </row>
    <row r="74" spans="2:10" ht="15" customHeight="1">
      <c r="B74" s="114">
        <v>2023</v>
      </c>
      <c r="C74" s="430">
        <f>H51</f>
        <v>46</v>
      </c>
      <c r="D74" s="431"/>
      <c r="E74" s="121">
        <f>E65</f>
        <v>0.96101894228324436</v>
      </c>
      <c r="F74" s="120">
        <f t="shared" si="1"/>
        <v>44.206871345029242</v>
      </c>
      <c r="G74" s="118">
        <f t="shared" si="4"/>
        <v>50</v>
      </c>
      <c r="H74" s="119">
        <f t="shared" si="2"/>
        <v>5.7931286549707579</v>
      </c>
      <c r="I74" s="118" t="str">
        <f t="shared" si="5"/>
        <v>NO</v>
      </c>
      <c r="J74" s="117">
        <f t="shared" si="3"/>
        <v>45.206871345029242</v>
      </c>
    </row>
    <row r="75" spans="2:10" ht="15" customHeight="1">
      <c r="B75" s="114">
        <v>2024</v>
      </c>
      <c r="C75" s="430">
        <f>I51</f>
        <v>47</v>
      </c>
      <c r="D75" s="431"/>
      <c r="E75" s="121">
        <f>E65</f>
        <v>0.96101894228324436</v>
      </c>
      <c r="F75" s="120">
        <f t="shared" si="1"/>
        <v>45.167890287312488</v>
      </c>
      <c r="G75" s="118">
        <f t="shared" si="4"/>
        <v>50</v>
      </c>
      <c r="H75" s="119">
        <f t="shared" si="2"/>
        <v>4.8321097126875117</v>
      </c>
      <c r="I75" s="118" t="str">
        <f t="shared" si="5"/>
        <v>NO</v>
      </c>
      <c r="J75" s="117">
        <f t="shared" si="3"/>
        <v>46.167890287312488</v>
      </c>
    </row>
    <row r="76" spans="2:10" ht="15" customHeight="1">
      <c r="B76" s="114">
        <v>2025</v>
      </c>
      <c r="C76" s="430">
        <f>J51</f>
        <v>48</v>
      </c>
      <c r="D76" s="431"/>
      <c r="E76" s="121">
        <f>E65</f>
        <v>0.96101894228324436</v>
      </c>
      <c r="F76" s="120">
        <f t="shared" si="1"/>
        <v>46.128909229595727</v>
      </c>
      <c r="G76" s="118">
        <f t="shared" si="4"/>
        <v>50</v>
      </c>
      <c r="H76" s="119">
        <f t="shared" si="2"/>
        <v>3.8710907704042725</v>
      </c>
      <c r="I76" s="118" t="str">
        <f t="shared" si="5"/>
        <v>NO</v>
      </c>
      <c r="J76" s="117">
        <f t="shared" si="3"/>
        <v>47.128909229595727</v>
      </c>
    </row>
    <row r="77" spans="2:10" ht="15" customHeight="1">
      <c r="B77" s="114">
        <v>2026</v>
      </c>
      <c r="C77" s="430">
        <f>K51</f>
        <v>49</v>
      </c>
      <c r="D77" s="431"/>
      <c r="E77" s="121">
        <f>E65</f>
        <v>0.96101894228324436</v>
      </c>
      <c r="F77" s="120">
        <f t="shared" si="1"/>
        <v>47.089928171878974</v>
      </c>
      <c r="G77" s="118">
        <f t="shared" si="4"/>
        <v>50</v>
      </c>
      <c r="H77" s="119">
        <f t="shared" si="2"/>
        <v>2.9100718281210263</v>
      </c>
      <c r="I77" s="118" t="str">
        <f t="shared" si="5"/>
        <v>NO</v>
      </c>
      <c r="J77" s="117">
        <f t="shared" si="3"/>
        <v>48.089928171878974</v>
      </c>
    </row>
    <row r="78" spans="2:10" ht="15" customHeight="1">
      <c r="B78" s="114">
        <v>2027</v>
      </c>
      <c r="C78" s="430">
        <f>L51</f>
        <v>49</v>
      </c>
      <c r="D78" s="431"/>
      <c r="E78" s="121">
        <f>E65</f>
        <v>0.96101894228324436</v>
      </c>
      <c r="F78" s="120">
        <f t="shared" si="1"/>
        <v>47.089928171878974</v>
      </c>
      <c r="G78" s="118">
        <f t="shared" si="4"/>
        <v>50</v>
      </c>
      <c r="H78" s="119">
        <f t="shared" si="2"/>
        <v>2.9100718281210263</v>
      </c>
      <c r="I78" s="118" t="str">
        <f t="shared" si="5"/>
        <v>NO</v>
      </c>
      <c r="J78" s="117">
        <f t="shared" si="3"/>
        <v>48.089928171878974</v>
      </c>
    </row>
    <row r="79" spans="2:10" ht="15" customHeight="1">
      <c r="B79" s="114">
        <v>2028</v>
      </c>
      <c r="C79" s="430">
        <f>M51</f>
        <v>49</v>
      </c>
      <c r="D79" s="431"/>
      <c r="E79" s="121">
        <f t="shared" ref="E79:E83" si="6">$E$65</f>
        <v>0.96101894228324436</v>
      </c>
      <c r="F79" s="120">
        <f t="shared" si="1"/>
        <v>47.089928171878974</v>
      </c>
      <c r="G79" s="118">
        <f t="shared" si="4"/>
        <v>50</v>
      </c>
      <c r="H79" s="119">
        <f t="shared" si="2"/>
        <v>2.9100718281210263</v>
      </c>
      <c r="I79" s="118" t="str">
        <f t="shared" si="5"/>
        <v>NO</v>
      </c>
      <c r="J79" s="117">
        <f t="shared" si="3"/>
        <v>48.089928171878974</v>
      </c>
    </row>
    <row r="80" spans="2:10" ht="15" customHeight="1">
      <c r="B80" s="114">
        <v>2029</v>
      </c>
      <c r="C80" s="430">
        <f>N51</f>
        <v>49</v>
      </c>
      <c r="D80" s="431"/>
      <c r="E80" s="121">
        <f t="shared" si="6"/>
        <v>0.96101894228324436</v>
      </c>
      <c r="F80" s="120">
        <f t="shared" si="1"/>
        <v>47.089928171878974</v>
      </c>
      <c r="G80" s="118">
        <f t="shared" si="4"/>
        <v>50</v>
      </c>
      <c r="H80" s="119">
        <f t="shared" si="2"/>
        <v>2.9100718281210263</v>
      </c>
      <c r="I80" s="118" t="str">
        <f t="shared" si="5"/>
        <v>NO</v>
      </c>
      <c r="J80" s="117">
        <f t="shared" si="3"/>
        <v>48.089928171878974</v>
      </c>
    </row>
    <row r="81" spans="2:10" ht="15" customHeight="1">
      <c r="B81" s="114">
        <v>2030</v>
      </c>
      <c r="C81" s="430">
        <f>O51</f>
        <v>50</v>
      </c>
      <c r="D81" s="431"/>
      <c r="E81" s="121">
        <f t="shared" si="6"/>
        <v>0.96101894228324436</v>
      </c>
      <c r="F81" s="120">
        <f t="shared" si="1"/>
        <v>48.05094711416222</v>
      </c>
      <c r="G81" s="118">
        <f t="shared" si="4"/>
        <v>50</v>
      </c>
      <c r="H81" s="119">
        <f t="shared" si="2"/>
        <v>1.94905288583778</v>
      </c>
      <c r="I81" s="118" t="str">
        <f t="shared" si="5"/>
        <v>NO</v>
      </c>
      <c r="J81" s="117">
        <f t="shared" si="3"/>
        <v>49.05094711416222</v>
      </c>
    </row>
    <row r="82" spans="2:10" ht="15" customHeight="1">
      <c r="B82" s="114">
        <v>2031</v>
      </c>
      <c r="C82" s="430">
        <f>P51</f>
        <v>50</v>
      </c>
      <c r="D82" s="431"/>
      <c r="E82" s="121">
        <f t="shared" si="6"/>
        <v>0.96101894228324436</v>
      </c>
      <c r="F82" s="120">
        <f t="shared" si="1"/>
        <v>48.05094711416222</v>
      </c>
      <c r="G82" s="118">
        <f t="shared" si="4"/>
        <v>50</v>
      </c>
      <c r="H82" s="119">
        <f t="shared" si="2"/>
        <v>1.94905288583778</v>
      </c>
      <c r="I82" s="118" t="str">
        <f t="shared" si="5"/>
        <v>NO</v>
      </c>
      <c r="J82" s="117">
        <f t="shared" si="3"/>
        <v>49.05094711416222</v>
      </c>
    </row>
    <row r="83" spans="2:10" ht="15" customHeight="1">
      <c r="B83" s="114">
        <v>2032</v>
      </c>
      <c r="C83" s="430">
        <f>Q51</f>
        <v>50</v>
      </c>
      <c r="D83" s="431"/>
      <c r="E83" s="121">
        <f t="shared" si="6"/>
        <v>0.96101894228324436</v>
      </c>
      <c r="F83" s="120">
        <f t="shared" si="1"/>
        <v>48.05094711416222</v>
      </c>
      <c r="G83" s="118">
        <f t="shared" si="4"/>
        <v>50</v>
      </c>
      <c r="H83" s="119">
        <f t="shared" si="2"/>
        <v>1.94905288583778</v>
      </c>
      <c r="I83" s="118" t="str">
        <f t="shared" si="5"/>
        <v>NO</v>
      </c>
      <c r="J83" s="117">
        <f t="shared" si="3"/>
        <v>49.05094711416222</v>
      </c>
    </row>
    <row r="84" spans="2:10" ht="15" customHeight="1">
      <c r="C84" s="16"/>
      <c r="D84" s="16"/>
      <c r="E84" s="16"/>
      <c r="F84" s="16"/>
      <c r="G84" s="16"/>
      <c r="H84" s="16"/>
    </row>
    <row r="85" spans="2:10" ht="15" customHeight="1">
      <c r="B85" s="11" t="s">
        <v>186</v>
      </c>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St Joseph's RC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48</v>
      </c>
      <c r="D91" s="112">
        <f t="shared" ref="D91:J91" si="7">D188</f>
        <v>43</v>
      </c>
      <c r="E91" s="112">
        <f t="shared" si="7"/>
        <v>33</v>
      </c>
      <c r="F91" s="112">
        <f t="shared" si="7"/>
        <v>44</v>
      </c>
      <c r="G91" s="112">
        <f t="shared" si="7"/>
        <v>32</v>
      </c>
      <c r="H91" s="112">
        <f t="shared" si="7"/>
        <v>27</v>
      </c>
      <c r="I91" s="112">
        <f t="shared" si="7"/>
        <v>31</v>
      </c>
      <c r="J91" s="213">
        <f t="shared" si="7"/>
        <v>258</v>
      </c>
    </row>
    <row r="92" spans="2:10" ht="15" customHeight="1">
      <c r="B92" s="114">
        <v>2014</v>
      </c>
      <c r="C92" s="112">
        <f>C189</f>
        <v>35</v>
      </c>
      <c r="D92" s="112">
        <f t="shared" ref="D92:J92" si="8">D189</f>
        <v>47</v>
      </c>
      <c r="E92" s="112">
        <f t="shared" si="8"/>
        <v>44</v>
      </c>
      <c r="F92" s="112">
        <f t="shared" si="8"/>
        <v>31</v>
      </c>
      <c r="G92" s="112">
        <f t="shared" si="8"/>
        <v>46</v>
      </c>
      <c r="H92" s="112">
        <f t="shared" si="8"/>
        <v>31</v>
      </c>
      <c r="I92" s="112">
        <f t="shared" si="8"/>
        <v>25</v>
      </c>
      <c r="J92" s="213">
        <f t="shared" si="8"/>
        <v>259</v>
      </c>
    </row>
    <row r="93" spans="2:10" ht="15" customHeight="1">
      <c r="B93" s="114">
        <v>2015</v>
      </c>
      <c r="C93" s="112">
        <f>C190</f>
        <v>47</v>
      </c>
      <c r="D93" s="112">
        <f t="shared" ref="D93:J93" si="9">D190</f>
        <v>35</v>
      </c>
      <c r="E93" s="112">
        <f t="shared" si="9"/>
        <v>48</v>
      </c>
      <c r="F93" s="112">
        <f t="shared" si="9"/>
        <v>43</v>
      </c>
      <c r="G93" s="112">
        <f t="shared" si="9"/>
        <v>31</v>
      </c>
      <c r="H93" s="112">
        <f t="shared" si="9"/>
        <v>45</v>
      </c>
      <c r="I93" s="112">
        <f t="shared" si="9"/>
        <v>30</v>
      </c>
      <c r="J93" s="213">
        <f t="shared" si="9"/>
        <v>279</v>
      </c>
    </row>
    <row r="94" spans="2:10" ht="15" customHeight="1">
      <c r="B94" s="114">
        <v>2016</v>
      </c>
      <c r="C94" s="112">
        <f>C191</f>
        <v>45</v>
      </c>
      <c r="D94" s="112">
        <f t="shared" ref="D94:J94" si="10">D191</f>
        <v>49</v>
      </c>
      <c r="E94" s="112">
        <f t="shared" si="10"/>
        <v>37</v>
      </c>
      <c r="F94" s="112">
        <f t="shared" si="10"/>
        <v>50</v>
      </c>
      <c r="G94" s="112">
        <f t="shared" si="10"/>
        <v>43</v>
      </c>
      <c r="H94" s="112">
        <f t="shared" si="10"/>
        <v>30</v>
      </c>
      <c r="I94" s="112">
        <f t="shared" si="10"/>
        <v>45</v>
      </c>
      <c r="J94" s="213">
        <f t="shared" si="10"/>
        <v>299</v>
      </c>
    </row>
    <row r="95" spans="2:10" ht="15" customHeight="1">
      <c r="B95" s="114">
        <v>2017</v>
      </c>
      <c r="C95" s="112">
        <f>C192</f>
        <v>55</v>
      </c>
      <c r="D95" s="112">
        <f t="shared" ref="D95:J95" si="11">D192</f>
        <v>46</v>
      </c>
      <c r="E95" s="112">
        <f t="shared" si="11"/>
        <v>46</v>
      </c>
      <c r="F95" s="112">
        <f t="shared" si="11"/>
        <v>38</v>
      </c>
      <c r="G95" s="112">
        <f t="shared" si="11"/>
        <v>46</v>
      </c>
      <c r="H95" s="112">
        <f t="shared" si="11"/>
        <v>48</v>
      </c>
      <c r="I95" s="112">
        <f t="shared" si="11"/>
        <v>28</v>
      </c>
      <c r="J95" s="213">
        <f t="shared" si="11"/>
        <v>307</v>
      </c>
    </row>
    <row r="96" spans="2:10" ht="15" customHeight="1">
      <c r="B96" s="307">
        <v>2018</v>
      </c>
      <c r="C96" s="112">
        <f t="shared" ref="C96:J96" si="12">C193</f>
        <v>49</v>
      </c>
      <c r="D96" s="112">
        <f t="shared" si="12"/>
        <v>55</v>
      </c>
      <c r="E96" s="112">
        <f t="shared" si="12"/>
        <v>46</v>
      </c>
      <c r="F96" s="112">
        <f t="shared" si="12"/>
        <v>47</v>
      </c>
      <c r="G96" s="112">
        <f t="shared" si="12"/>
        <v>34</v>
      </c>
      <c r="H96" s="112">
        <f t="shared" si="12"/>
        <v>41</v>
      </c>
      <c r="I96" s="112">
        <f t="shared" si="12"/>
        <v>52</v>
      </c>
      <c r="J96" s="213">
        <f t="shared" si="12"/>
        <v>324</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0</v>
      </c>
      <c r="E98" s="210">
        <f t="shared" ref="E98:I98" si="13">MEDIAN(((D91-E92)/D91),((D92-E93)/D92),((D93-E94)/D93),((D94-E95)/D94),((D95-E96)/D95))</f>
        <v>-2.1276595744680851E-2</v>
      </c>
      <c r="F98" s="210">
        <f t="shared" si="13"/>
        <v>-2.1739130434782608E-2</v>
      </c>
      <c r="G98" s="210">
        <f t="shared" si="13"/>
        <v>0</v>
      </c>
      <c r="H98" s="210">
        <f t="shared" si="13"/>
        <v>3.125E-2</v>
      </c>
      <c r="I98" s="210">
        <f t="shared" si="13"/>
        <v>3.2258064516129031E-2</v>
      </c>
    </row>
    <row r="99" spans="2:10" ht="18.75">
      <c r="B99" s="59"/>
      <c r="C99" s="60"/>
      <c r="D99" s="61"/>
      <c r="E99" s="61"/>
      <c r="F99" s="61"/>
      <c r="G99" s="61"/>
      <c r="H99" s="61"/>
      <c r="I99" s="61"/>
      <c r="J99" s="58"/>
    </row>
    <row r="100" spans="2:10">
      <c r="B100" s="15" t="str">
        <f>"Table 4B: "&amp;E3&amp;" Projected Roll by Stage (incorporating Projected P1 and Drop-Off Rates), 2019-2032"</f>
        <v>Table 4B: St Joseph's RC Primary School Projected Roll by Stage (incorporating Projected P1 and Drop-Off Rates), 2019-2032</v>
      </c>
      <c r="F100" s="14"/>
      <c r="G100" s="14"/>
    </row>
    <row r="101" spans="2:10" ht="12.75">
      <c r="F101" s="14"/>
      <c r="G101" s="14"/>
    </row>
    <row r="102" spans="2:10">
      <c r="B102" s="115"/>
      <c r="C102" s="109" t="s">
        <v>1</v>
      </c>
      <c r="D102" s="109" t="s">
        <v>2</v>
      </c>
      <c r="E102" s="109" t="s">
        <v>3</v>
      </c>
      <c r="F102" s="109" t="s">
        <v>4</v>
      </c>
      <c r="G102" s="109" t="s">
        <v>5</v>
      </c>
      <c r="H102" s="109" t="s">
        <v>6</v>
      </c>
      <c r="I102" s="109" t="s">
        <v>7</v>
      </c>
      <c r="J102" s="109" t="s">
        <v>8</v>
      </c>
    </row>
    <row r="103" spans="2:10">
      <c r="B103" s="114">
        <v>2019</v>
      </c>
      <c r="C103" s="113">
        <f t="shared" ref="C103:C116" si="14">J70</f>
        <v>47.128909229595727</v>
      </c>
      <c r="D103" s="324">
        <f>ROUND((C96)-(C96*$D$98),0)</f>
        <v>49</v>
      </c>
      <c r="E103" s="324">
        <f>ROUND((D96)-(D96*$E$98),0)</f>
        <v>56</v>
      </c>
      <c r="F103" s="324">
        <f>ROUND((E96)-(E96*$F$98),0)</f>
        <v>47</v>
      </c>
      <c r="G103" s="324">
        <f>ROUND((F96)-(F96*$G$98),0)</f>
        <v>47</v>
      </c>
      <c r="H103" s="324">
        <f>ROUND((G96)-(G96*$H$98),0)</f>
        <v>33</v>
      </c>
      <c r="I103" s="324">
        <f>ROUND((H96)-(H96*$I$98),0)</f>
        <v>40</v>
      </c>
      <c r="J103" s="111">
        <f t="shared" ref="J103:J116" si="15">SUM(C103:I103)</f>
        <v>319.12890922959571</v>
      </c>
    </row>
    <row r="104" spans="2:10">
      <c r="B104" s="114">
        <v>2020</v>
      </c>
      <c r="C104" s="113">
        <f t="shared" si="14"/>
        <v>44.245852402745996</v>
      </c>
      <c r="D104" s="324">
        <f>ROUND((C103-E50)-(C103*$D$98),0)</f>
        <v>45</v>
      </c>
      <c r="E104" s="112">
        <f t="shared" ref="E104:E116" si="16">ROUND((D103)-(D103*$E$98),0)</f>
        <v>50</v>
      </c>
      <c r="F104" s="112">
        <f t="shared" ref="F104:F116" si="17">ROUND((E103)-(E103*$F$98),0)</f>
        <v>57</v>
      </c>
      <c r="G104" s="112">
        <f t="shared" ref="G104:G116" si="18">ROUND((F103)-(F103*$G$98),0)</f>
        <v>47</v>
      </c>
      <c r="H104" s="112">
        <f t="shared" ref="H104:H116" si="19">ROUND((G103)-(G103*$H$98),0)</f>
        <v>46</v>
      </c>
      <c r="I104" s="112">
        <f t="shared" ref="I104:I116" si="20">ROUND((H103)-(H103*$I$98),0)</f>
        <v>32</v>
      </c>
      <c r="J104" s="111">
        <f t="shared" si="15"/>
        <v>321.24585240274598</v>
      </c>
    </row>
    <row r="105" spans="2:10">
      <c r="B105" s="114">
        <v>2021</v>
      </c>
      <c r="C105" s="113">
        <f t="shared" si="14"/>
        <v>44.245852402745996</v>
      </c>
      <c r="D105" s="324">
        <f>ROUND((C104-F50)-(C104*$D$98),0)</f>
        <v>42</v>
      </c>
      <c r="E105" s="112">
        <f t="shared" si="16"/>
        <v>46</v>
      </c>
      <c r="F105" s="112">
        <f t="shared" si="17"/>
        <v>51</v>
      </c>
      <c r="G105" s="112">
        <f t="shared" si="18"/>
        <v>57</v>
      </c>
      <c r="H105" s="112">
        <f t="shared" si="19"/>
        <v>46</v>
      </c>
      <c r="I105" s="112">
        <f t="shared" si="20"/>
        <v>45</v>
      </c>
      <c r="J105" s="111">
        <f t="shared" si="15"/>
        <v>331.24585240274598</v>
      </c>
    </row>
    <row r="106" spans="2:10">
      <c r="B106" s="114">
        <v>2022</v>
      </c>
      <c r="C106" s="113">
        <f t="shared" si="14"/>
        <v>46.167890287312488</v>
      </c>
      <c r="D106" s="324">
        <f>ROUND((C105-G50)-(C105*$D$98),0)</f>
        <v>42</v>
      </c>
      <c r="E106" s="112">
        <f t="shared" si="16"/>
        <v>43</v>
      </c>
      <c r="F106" s="112">
        <f t="shared" si="17"/>
        <v>47</v>
      </c>
      <c r="G106" s="112">
        <f t="shared" si="18"/>
        <v>51</v>
      </c>
      <c r="H106" s="112">
        <f t="shared" si="19"/>
        <v>55</v>
      </c>
      <c r="I106" s="112">
        <f t="shared" si="20"/>
        <v>45</v>
      </c>
      <c r="J106" s="111">
        <f t="shared" si="15"/>
        <v>329.1678902873125</v>
      </c>
    </row>
    <row r="107" spans="2:10">
      <c r="B107" s="114">
        <v>2023</v>
      </c>
      <c r="C107" s="113">
        <f t="shared" si="14"/>
        <v>45.206871345029242</v>
      </c>
      <c r="D107" s="324">
        <f>ROUND((C106-H50)-(C106*$D$98),0)</f>
        <v>44</v>
      </c>
      <c r="E107" s="112">
        <f t="shared" si="16"/>
        <v>43</v>
      </c>
      <c r="F107" s="112">
        <f t="shared" si="17"/>
        <v>44</v>
      </c>
      <c r="G107" s="112">
        <f t="shared" si="18"/>
        <v>47</v>
      </c>
      <c r="H107" s="112">
        <f t="shared" si="19"/>
        <v>49</v>
      </c>
      <c r="I107" s="112">
        <f t="shared" si="20"/>
        <v>53</v>
      </c>
      <c r="J107" s="111">
        <f t="shared" si="15"/>
        <v>325.20687134502924</v>
      </c>
    </row>
    <row r="108" spans="2:10">
      <c r="B108" s="114">
        <v>2024</v>
      </c>
      <c r="C108" s="113">
        <f t="shared" si="14"/>
        <v>46.167890287312488</v>
      </c>
      <c r="D108" s="324">
        <f>ROUND((C107-I50)-(C107*$D$98),0)</f>
        <v>43</v>
      </c>
      <c r="E108" s="112">
        <f t="shared" si="16"/>
        <v>45</v>
      </c>
      <c r="F108" s="112">
        <f t="shared" si="17"/>
        <v>44</v>
      </c>
      <c r="G108" s="112">
        <f t="shared" si="18"/>
        <v>44</v>
      </c>
      <c r="H108" s="112">
        <f t="shared" si="19"/>
        <v>46</v>
      </c>
      <c r="I108" s="112">
        <f t="shared" si="20"/>
        <v>47</v>
      </c>
      <c r="J108" s="111">
        <f t="shared" si="15"/>
        <v>315.1678902873125</v>
      </c>
    </row>
    <row r="109" spans="2:10">
      <c r="B109" s="114">
        <v>2025</v>
      </c>
      <c r="C109" s="113">
        <f t="shared" si="14"/>
        <v>47.128909229595727</v>
      </c>
      <c r="D109" s="324">
        <f>ROUND((C108-J50)-(C108*$D$98),0)</f>
        <v>43</v>
      </c>
      <c r="E109" s="112">
        <f t="shared" si="16"/>
        <v>44</v>
      </c>
      <c r="F109" s="112">
        <f t="shared" si="17"/>
        <v>46</v>
      </c>
      <c r="G109" s="112">
        <f t="shared" si="18"/>
        <v>44</v>
      </c>
      <c r="H109" s="112">
        <f t="shared" si="19"/>
        <v>43</v>
      </c>
      <c r="I109" s="112">
        <f t="shared" si="20"/>
        <v>45</v>
      </c>
      <c r="J109" s="111">
        <f t="shared" si="15"/>
        <v>312.12890922959571</v>
      </c>
    </row>
    <row r="110" spans="2:10">
      <c r="B110" s="114">
        <v>2026</v>
      </c>
      <c r="C110" s="113">
        <f t="shared" si="14"/>
        <v>48.089928171878974</v>
      </c>
      <c r="D110" s="324">
        <f>ROUND((C109-K50)-(C109*$D$98),0)</f>
        <v>44</v>
      </c>
      <c r="E110" s="112">
        <f t="shared" si="16"/>
        <v>44</v>
      </c>
      <c r="F110" s="112">
        <f t="shared" si="17"/>
        <v>45</v>
      </c>
      <c r="G110" s="112">
        <f t="shared" si="18"/>
        <v>46</v>
      </c>
      <c r="H110" s="112">
        <f t="shared" si="19"/>
        <v>43</v>
      </c>
      <c r="I110" s="112">
        <f t="shared" si="20"/>
        <v>42</v>
      </c>
      <c r="J110" s="111">
        <f t="shared" si="15"/>
        <v>312.08992817187897</v>
      </c>
    </row>
    <row r="111" spans="2:10">
      <c r="B111" s="114">
        <v>2027</v>
      </c>
      <c r="C111" s="113">
        <f t="shared" si="14"/>
        <v>48.089928171878974</v>
      </c>
      <c r="D111" s="324">
        <f>ROUND((C110-L50)-(C110*$D$98),0)</f>
        <v>45</v>
      </c>
      <c r="E111" s="112">
        <f t="shared" si="16"/>
        <v>45</v>
      </c>
      <c r="F111" s="112">
        <f t="shared" si="17"/>
        <v>45</v>
      </c>
      <c r="G111" s="112">
        <f t="shared" si="18"/>
        <v>45</v>
      </c>
      <c r="H111" s="112">
        <f t="shared" si="19"/>
        <v>45</v>
      </c>
      <c r="I111" s="112">
        <f t="shared" si="20"/>
        <v>42</v>
      </c>
      <c r="J111" s="111">
        <f t="shared" si="15"/>
        <v>315.08992817187897</v>
      </c>
    </row>
    <row r="112" spans="2:10">
      <c r="B112" s="114">
        <v>2028</v>
      </c>
      <c r="C112" s="113">
        <f t="shared" si="14"/>
        <v>48.089928171878974</v>
      </c>
      <c r="D112" s="324">
        <f>ROUND((C111-M50)-(C111*$D$98),0)</f>
        <v>45</v>
      </c>
      <c r="E112" s="112">
        <f t="shared" si="16"/>
        <v>46</v>
      </c>
      <c r="F112" s="112">
        <f t="shared" si="17"/>
        <v>46</v>
      </c>
      <c r="G112" s="112">
        <f t="shared" si="18"/>
        <v>45</v>
      </c>
      <c r="H112" s="112">
        <f t="shared" si="19"/>
        <v>44</v>
      </c>
      <c r="I112" s="112">
        <f t="shared" si="20"/>
        <v>44</v>
      </c>
      <c r="J112" s="111">
        <f t="shared" si="15"/>
        <v>318.08992817187897</v>
      </c>
    </row>
    <row r="113" spans="2:10" ht="15" customHeight="1">
      <c r="B113" s="114">
        <v>2029</v>
      </c>
      <c r="C113" s="113">
        <f t="shared" si="14"/>
        <v>48.089928171878974</v>
      </c>
      <c r="D113" s="324">
        <f>ROUND((C112-N50)-(C112*$D$98),0)</f>
        <v>45</v>
      </c>
      <c r="E113" s="112">
        <f t="shared" si="16"/>
        <v>46</v>
      </c>
      <c r="F113" s="112">
        <f t="shared" si="17"/>
        <v>47</v>
      </c>
      <c r="G113" s="112">
        <f t="shared" si="18"/>
        <v>46</v>
      </c>
      <c r="H113" s="112">
        <f t="shared" si="19"/>
        <v>44</v>
      </c>
      <c r="I113" s="112">
        <f t="shared" si="20"/>
        <v>43</v>
      </c>
      <c r="J113" s="111">
        <f t="shared" si="15"/>
        <v>319.08992817187897</v>
      </c>
    </row>
    <row r="114" spans="2:10" ht="15" customHeight="1">
      <c r="B114" s="114">
        <v>2030</v>
      </c>
      <c r="C114" s="113">
        <f t="shared" si="14"/>
        <v>49.05094711416222</v>
      </c>
      <c r="D114" s="324">
        <f>ROUND((C113-O50)-(C113*$D$98),0)</f>
        <v>45</v>
      </c>
      <c r="E114" s="112">
        <f t="shared" si="16"/>
        <v>46</v>
      </c>
      <c r="F114" s="112">
        <f t="shared" si="17"/>
        <v>47</v>
      </c>
      <c r="G114" s="112">
        <f t="shared" si="18"/>
        <v>47</v>
      </c>
      <c r="H114" s="112">
        <f t="shared" si="19"/>
        <v>45</v>
      </c>
      <c r="I114" s="112">
        <f t="shared" si="20"/>
        <v>43</v>
      </c>
      <c r="J114" s="111">
        <f t="shared" si="15"/>
        <v>322.05094711416223</v>
      </c>
    </row>
    <row r="115" spans="2:10" ht="15" customHeight="1">
      <c r="B115" s="114">
        <v>2031</v>
      </c>
      <c r="C115" s="113">
        <f t="shared" si="14"/>
        <v>49.05094711416222</v>
      </c>
      <c r="D115" s="324">
        <f>ROUND((C114-P50)-(C114*$D$98),0)</f>
        <v>46</v>
      </c>
      <c r="E115" s="112">
        <f t="shared" si="16"/>
        <v>46</v>
      </c>
      <c r="F115" s="112">
        <f t="shared" si="17"/>
        <v>47</v>
      </c>
      <c r="G115" s="112">
        <f t="shared" si="18"/>
        <v>47</v>
      </c>
      <c r="H115" s="112">
        <f t="shared" si="19"/>
        <v>46</v>
      </c>
      <c r="I115" s="112">
        <f t="shared" si="20"/>
        <v>44</v>
      </c>
      <c r="J115" s="111">
        <f t="shared" si="15"/>
        <v>325.05094711416223</v>
      </c>
    </row>
    <row r="116" spans="2:10" ht="15" customHeight="1">
      <c r="B116" s="114">
        <v>2032</v>
      </c>
      <c r="C116" s="113">
        <f t="shared" si="14"/>
        <v>49.05094711416222</v>
      </c>
      <c r="D116" s="324">
        <f>ROUND((C115-Q50)-(C115*$D$98),0)</f>
        <v>46</v>
      </c>
      <c r="E116" s="112">
        <f t="shared" si="16"/>
        <v>47</v>
      </c>
      <c r="F116" s="112">
        <f t="shared" si="17"/>
        <v>47</v>
      </c>
      <c r="G116" s="112">
        <f t="shared" si="18"/>
        <v>47</v>
      </c>
      <c r="H116" s="112">
        <f t="shared" si="19"/>
        <v>46</v>
      </c>
      <c r="I116" s="112">
        <f t="shared" si="20"/>
        <v>45</v>
      </c>
      <c r="J116" s="111">
        <f t="shared" si="15"/>
        <v>327.05094711416223</v>
      </c>
    </row>
    <row r="117" spans="2:10" ht="15" hidden="1" customHeight="1">
      <c r="F117" s="14"/>
      <c r="G117" s="14"/>
    </row>
    <row r="118" spans="2:10" ht="15" hidden="1" customHeight="1">
      <c r="B118" s="15" t="str">
        <f>"Table 4C: "&amp;E3&amp;" Projected Pupil Generation from Housing Development, 2019-2032"</f>
        <v>Table 4C: St Joseph's RC Primary School Projected Pupil Generation from Housing Development, 2019-2032</v>
      </c>
      <c r="F118" s="14"/>
      <c r="G118" s="14"/>
    </row>
    <row r="119" spans="2:10" ht="15" hidden="1" customHeight="1">
      <c r="F119" s="14"/>
      <c r="G119" s="14"/>
    </row>
    <row r="120" spans="2:10" ht="15" hidden="1" customHeight="1">
      <c r="B120" s="115"/>
      <c r="C120" s="109" t="s">
        <v>1</v>
      </c>
      <c r="D120" s="109" t="s">
        <v>2</v>
      </c>
      <c r="E120" s="109" t="s">
        <v>3</v>
      </c>
      <c r="F120" s="109" t="s">
        <v>4</v>
      </c>
      <c r="G120" s="109" t="s">
        <v>5</v>
      </c>
      <c r="H120" s="109" t="s">
        <v>6</v>
      </c>
      <c r="I120" s="109" t="s">
        <v>7</v>
      </c>
      <c r="J120" s="109" t="s">
        <v>8</v>
      </c>
    </row>
    <row r="121" spans="2:10" ht="15" hidden="1" customHeight="1">
      <c r="B121" s="114">
        <v>2019</v>
      </c>
      <c r="C121" s="116" t="s">
        <v>97</v>
      </c>
      <c r="D121" s="112">
        <f>VLOOKUP($E$3,'Housing Generation'!$A$3:$BE$90,11,FALSE)</f>
        <v>1</v>
      </c>
      <c r="E121" s="112">
        <f>VLOOKUP($E$3,'Housing Generation'!$A$3:$BE$90,12,FALSE)</f>
        <v>1</v>
      </c>
      <c r="F121" s="112">
        <f>VLOOKUP($E$3,'Housing Generation'!$A$3:$BE$90,13,FALSE)</f>
        <v>1</v>
      </c>
      <c r="G121" s="112">
        <f>VLOOKUP($E$3,'Housing Generation'!$A$3:$BE$90,14,FALSE)</f>
        <v>1</v>
      </c>
      <c r="H121" s="112">
        <f>VLOOKUP($E$3,'Housing Generation'!$A$3:$BE$90,15,FALSE)</f>
        <v>1</v>
      </c>
      <c r="I121" s="112">
        <f>VLOOKUP($E$3,'Housing Generation'!$A$3:$BE$90,16,FALSE)</f>
        <v>0</v>
      </c>
      <c r="J121" s="111">
        <f t="shared" ref="J121:J134" si="21">SUM(D121:I121)</f>
        <v>5</v>
      </c>
    </row>
    <row r="122" spans="2:10" ht="15" hidden="1" customHeight="1">
      <c r="B122" s="114">
        <v>2020</v>
      </c>
      <c r="C122" s="116" t="s">
        <v>97</v>
      </c>
      <c r="D122" s="112">
        <f>VLOOKUP($E$3,'Housing Generation'!$A$3:$BE$90,19,FALSE)</f>
        <v>2</v>
      </c>
      <c r="E122" s="112">
        <f>VLOOKUP($E$3,'Housing Generation'!$A$3:$BE$90,20,FALSE)</f>
        <v>2</v>
      </c>
      <c r="F122" s="112">
        <f>VLOOKUP($E$3,'Housing Generation'!$A$3:$BE$90,21,FALSE)</f>
        <v>2</v>
      </c>
      <c r="G122" s="112">
        <f>VLOOKUP($E$3,'Housing Generation'!$A$3:$BE$90,22,FALSE)</f>
        <v>2</v>
      </c>
      <c r="H122" s="112">
        <f>VLOOKUP($E$3,'Housing Generation'!$A$3:$BE$90,23,FALSE)</f>
        <v>1</v>
      </c>
      <c r="I122" s="112">
        <f>VLOOKUP($E$3,'Housing Generation'!$A$3:$BE$90,24,FALSE)</f>
        <v>1</v>
      </c>
      <c r="J122" s="111">
        <f t="shared" si="21"/>
        <v>10</v>
      </c>
    </row>
    <row r="123" spans="2:10" ht="15" hidden="1" customHeight="1">
      <c r="B123" s="114">
        <v>2021</v>
      </c>
      <c r="C123" s="116" t="s">
        <v>97</v>
      </c>
      <c r="D123" s="112">
        <f>VLOOKUP($E$3,'Housing Generation'!$A$3:$BE$90,27,FALSE)</f>
        <v>2</v>
      </c>
      <c r="E123" s="112">
        <f>VLOOKUP($E$3,'Housing Generation'!$A$3:$BE$90,28,FALSE)</f>
        <v>2</v>
      </c>
      <c r="F123" s="112">
        <f>VLOOKUP($E$3,'Housing Generation'!$A$3:$BE$90,29,FALSE)</f>
        <v>2</v>
      </c>
      <c r="G123" s="112">
        <f>VLOOKUP($E$3,'Housing Generation'!$A$3:$BE$90,30,FALSE)</f>
        <v>2</v>
      </c>
      <c r="H123" s="112">
        <f>VLOOKUP($E$3,'Housing Generation'!$A$3:$BE$90,31,FALSE)</f>
        <v>2</v>
      </c>
      <c r="I123" s="112">
        <f>VLOOKUP($E$3,'Housing Generation'!$A$3:$BE$90,32,FALSE)</f>
        <v>1</v>
      </c>
      <c r="J123" s="111">
        <f t="shared" si="21"/>
        <v>11</v>
      </c>
    </row>
    <row r="124" spans="2:10" ht="15" hidden="1" customHeight="1">
      <c r="B124" s="114">
        <v>2022</v>
      </c>
      <c r="C124" s="116" t="s">
        <v>97</v>
      </c>
      <c r="D124" s="112">
        <f>VLOOKUP($E$3,'Housing Generation'!$A$3:$BE$90,35,FALSE)</f>
        <v>2</v>
      </c>
      <c r="E124" s="112">
        <f>VLOOKUP($E$3,'Housing Generation'!$A$3:$BE$90,36,FALSE)</f>
        <v>2</v>
      </c>
      <c r="F124" s="112">
        <f>VLOOKUP($E$3,'Housing Generation'!$A$3:$BE$90,37,FALSE)</f>
        <v>2</v>
      </c>
      <c r="G124" s="112">
        <f>VLOOKUP($E$3,'Housing Generation'!$A$3:$BE$90,38,FALSE)</f>
        <v>2</v>
      </c>
      <c r="H124" s="112">
        <f>VLOOKUP($E$3,'Housing Generation'!$A$3:$BE$90,39,FALSE)</f>
        <v>2</v>
      </c>
      <c r="I124" s="112">
        <f>VLOOKUP($E$3,'Housing Generation'!$A$3:$BE$90,40,FALSE)</f>
        <v>1</v>
      </c>
      <c r="J124" s="111">
        <f t="shared" si="21"/>
        <v>11</v>
      </c>
    </row>
    <row r="125" spans="2:10" ht="15" hidden="1" customHeight="1">
      <c r="B125" s="114">
        <v>2023</v>
      </c>
      <c r="C125" s="116" t="s">
        <v>97</v>
      </c>
      <c r="D125" s="112">
        <f>VLOOKUP($E$3,'Housing Generation'!$A$3:$BE$90,43,FALSE)</f>
        <v>2</v>
      </c>
      <c r="E125" s="112">
        <f>VLOOKUP($E$3,'Housing Generation'!$A$3:$BE$90,44,FALSE)</f>
        <v>2</v>
      </c>
      <c r="F125" s="112">
        <f>VLOOKUP($E$3,'Housing Generation'!$A$3:$BE$90,45,FALSE)</f>
        <v>2</v>
      </c>
      <c r="G125" s="112">
        <f>VLOOKUP($E$3,'Housing Generation'!$A$3:$BE$90,46,FALSE)</f>
        <v>2</v>
      </c>
      <c r="H125" s="112">
        <f>VLOOKUP($E$3,'Housing Generation'!$A$3:$BE$90,47,FALSE)</f>
        <v>2</v>
      </c>
      <c r="I125" s="112">
        <f>VLOOKUP($E$3,'Housing Generation'!$A$3:$BE$90,48,FALSE)</f>
        <v>1</v>
      </c>
      <c r="J125" s="111">
        <f t="shared" si="21"/>
        <v>11</v>
      </c>
    </row>
    <row r="126" spans="2:10" ht="15" hidden="1" customHeight="1">
      <c r="B126" s="114">
        <v>2024</v>
      </c>
      <c r="C126" s="116" t="s">
        <v>97</v>
      </c>
      <c r="D126" s="112">
        <f>VLOOKUP($E$3,'Housing Generation'!$A$3:$BE$90,51,FALSE)</f>
        <v>2</v>
      </c>
      <c r="E126" s="112">
        <f>VLOOKUP($E$3,'Housing Generation'!$A$3:$BE$90,52,FALSE)</f>
        <v>2</v>
      </c>
      <c r="F126" s="112">
        <f>VLOOKUP($E$3,'Housing Generation'!$A$3:$BE$90,53,FALSE)</f>
        <v>2</v>
      </c>
      <c r="G126" s="112">
        <f>VLOOKUP($E$3,'Housing Generation'!$A$3:$BE$90,54,FALSE)</f>
        <v>2</v>
      </c>
      <c r="H126" s="112">
        <f>VLOOKUP($E$3,'Housing Generation'!$A$3:$BE$90,55,FALSE)</f>
        <v>2</v>
      </c>
      <c r="I126" s="112">
        <f>VLOOKUP($E$3,'Housing Generation'!$A$3:$BE$90,56,FALSE)</f>
        <v>2</v>
      </c>
      <c r="J126" s="111">
        <f t="shared" si="21"/>
        <v>12</v>
      </c>
    </row>
    <row r="127" spans="2:10" ht="15" hidden="1" customHeight="1">
      <c r="B127" s="114">
        <v>2025</v>
      </c>
      <c r="C127" s="240" t="s">
        <v>97</v>
      </c>
      <c r="D127" s="112">
        <f>VLOOKUP($E$3,'Housing Generation'!$A$3:$CK$90,59,FALSE)</f>
        <v>2</v>
      </c>
      <c r="E127" s="112">
        <f>VLOOKUP($E$3,'Housing Generation'!$A$3:$CK$90,60,FALSE)</f>
        <v>2</v>
      </c>
      <c r="F127" s="112">
        <f>VLOOKUP($E$3,'Housing Generation'!$A$3:$CK$90,61,FALSE)</f>
        <v>2</v>
      </c>
      <c r="G127" s="112">
        <f>VLOOKUP($E$3,'Housing Generation'!$A$3:$CK$90,62,FALSE)</f>
        <v>2</v>
      </c>
      <c r="H127" s="112">
        <f>VLOOKUP($E$3,'Housing Generation'!$A$3:$CK$90,63,FALSE)</f>
        <v>2</v>
      </c>
      <c r="I127" s="112">
        <f>VLOOKUP($E$3,'Housing Generation'!$A$3:$CK$90,64,FALSE)</f>
        <v>2</v>
      </c>
      <c r="J127" s="111">
        <f t="shared" si="21"/>
        <v>12</v>
      </c>
    </row>
    <row r="128" spans="2:10" ht="15" hidden="1" customHeight="1">
      <c r="B128" s="114">
        <v>2026</v>
      </c>
      <c r="C128" s="240" t="s">
        <v>97</v>
      </c>
      <c r="D128" s="112">
        <f>VLOOKUP($E$3,'Housing Generation'!$A$3:$CK$90,67,FALSE)</f>
        <v>3</v>
      </c>
      <c r="E128" s="112">
        <f>VLOOKUP($E$3,'Housing Generation'!$A$3:$CK$90,68,FALSE)</f>
        <v>2</v>
      </c>
      <c r="F128" s="112">
        <f>VLOOKUP($E$3,'Housing Generation'!$A$3:$CK$90,69,FALSE)</f>
        <v>2</v>
      </c>
      <c r="G128" s="112">
        <f>VLOOKUP($E$3,'Housing Generation'!$A$3:$CK$90,70,FALSE)</f>
        <v>2</v>
      </c>
      <c r="H128" s="112">
        <f>VLOOKUP($E$3,'Housing Generation'!$A$3:$CK$90,71,FALSE)</f>
        <v>2</v>
      </c>
      <c r="I128" s="112">
        <f>VLOOKUP($E$3,'Housing Generation'!$A$3:$CK$90,72,FALSE)</f>
        <v>2</v>
      </c>
      <c r="J128" s="111">
        <f t="shared" si="21"/>
        <v>13</v>
      </c>
    </row>
    <row r="129" spans="2:10" ht="15" hidden="1" customHeight="1">
      <c r="B129" s="114">
        <v>2027</v>
      </c>
      <c r="C129" s="240" t="s">
        <v>97</v>
      </c>
      <c r="D129" s="112">
        <f>VLOOKUP($E$3,'Housing Generation'!$A$3:$CK$90,75,FALSE)</f>
        <v>3</v>
      </c>
      <c r="E129" s="112">
        <f>VLOOKUP($E$3,'Housing Generation'!$A$3:$CK$90,76,FALSE)</f>
        <v>3</v>
      </c>
      <c r="F129" s="112">
        <f>VLOOKUP($E$3,'Housing Generation'!$A$3:$CK$90,77,FALSE)</f>
        <v>2</v>
      </c>
      <c r="G129" s="112">
        <f>VLOOKUP($E$3,'Housing Generation'!$A$3:$CK$90,78,FALSE)</f>
        <v>2</v>
      </c>
      <c r="H129" s="112">
        <f>VLOOKUP($E$3,'Housing Generation'!$A$3:$CK$90,79,FALSE)</f>
        <v>2</v>
      </c>
      <c r="I129" s="112">
        <f>VLOOKUP($E$3,'Housing Generation'!$A$3:$CK$90,80,FALSE)</f>
        <v>2</v>
      </c>
      <c r="J129" s="111">
        <f t="shared" si="21"/>
        <v>14</v>
      </c>
    </row>
    <row r="130" spans="2:10" ht="15" customHeight="1">
      <c r="B130" s="114">
        <v>2028</v>
      </c>
      <c r="C130" s="289" t="s">
        <v>97</v>
      </c>
      <c r="D130" s="112">
        <f>VLOOKUP($E$3,'Housing Generation'!$A$3:$CK$90,83,FALSE)</f>
        <v>3</v>
      </c>
      <c r="E130" s="112">
        <f>VLOOKUP($E$3,'Housing Generation'!$A$3:$CK$90,84,FALSE)</f>
        <v>3</v>
      </c>
      <c r="F130" s="112">
        <f>VLOOKUP($E$3,'Housing Generation'!$A$3:$CK$90,85,FALSE)</f>
        <v>2</v>
      </c>
      <c r="G130" s="112">
        <f>VLOOKUP($E$3,'Housing Generation'!$A$3:$CK$90,86,FALSE)</f>
        <v>2</v>
      </c>
      <c r="H130" s="112">
        <f>VLOOKUP($E$3,'Housing Generation'!$A$3:$CK$90,87,FALSE)</f>
        <v>2</v>
      </c>
      <c r="I130" s="112">
        <f>VLOOKUP($E$3,'Housing Generation'!$A$3:$CK$90,88,FALSE)</f>
        <v>2</v>
      </c>
      <c r="J130" s="111">
        <f t="shared" si="21"/>
        <v>14</v>
      </c>
    </row>
    <row r="131" spans="2:10" ht="15" customHeight="1">
      <c r="B131" s="114">
        <v>2029</v>
      </c>
      <c r="C131" s="289" t="s">
        <v>97</v>
      </c>
      <c r="D131" s="112">
        <f>VLOOKUP($E$3,'Housing Generation'!$A$3:$DQ$90,91,FALSE)</f>
        <v>3</v>
      </c>
      <c r="E131" s="112">
        <f>VLOOKUP($E$3,'Housing Generation'!$A$3:$DQ$90,92,FALSE)</f>
        <v>3</v>
      </c>
      <c r="F131" s="112">
        <f>VLOOKUP($E$3,'Housing Generation'!$A$3:$DQ$90,93,FALSE)</f>
        <v>3</v>
      </c>
      <c r="G131" s="112">
        <f>VLOOKUP($E$3,'Housing Generation'!$A$3:$DQ$90,94,FALSE)</f>
        <v>2</v>
      </c>
      <c r="H131" s="112">
        <f>VLOOKUP($E$3,'Housing Generation'!$A$3:$DQ$90,95,FALSE)</f>
        <v>2</v>
      </c>
      <c r="I131" s="112">
        <f>VLOOKUP($E$3,'Housing Generation'!$A$3:$DQ$90,96,FALSE)</f>
        <v>2</v>
      </c>
      <c r="J131" s="111">
        <f t="shared" si="21"/>
        <v>15</v>
      </c>
    </row>
    <row r="132" spans="2:10" ht="15" customHeight="1">
      <c r="B132" s="114">
        <v>2030</v>
      </c>
      <c r="C132" s="289" t="s">
        <v>97</v>
      </c>
      <c r="D132" s="112">
        <f>VLOOKUP($E$3,'Housing Generation'!$A$3:$DQ$90,99,FALSE)</f>
        <v>3</v>
      </c>
      <c r="E132" s="112">
        <f>VLOOKUP($E$3,'Housing Generation'!$A$3:$DQ$90,100,FALSE)</f>
        <v>3</v>
      </c>
      <c r="F132" s="112">
        <f>VLOOKUP($E$3,'Housing Generation'!$A$3:$DQ$90,101,FALSE)</f>
        <v>3</v>
      </c>
      <c r="G132" s="112">
        <f>VLOOKUP($E$3,'Housing Generation'!$A$3:$DQ$90,102,FALSE)</f>
        <v>2</v>
      </c>
      <c r="H132" s="112">
        <f>VLOOKUP($E$3,'Housing Generation'!$A$3:$DQ$90,103,FALSE)</f>
        <v>2</v>
      </c>
      <c r="I132" s="112">
        <f>VLOOKUP($E$3,'Housing Generation'!$A$3:$DQ$90,104,FALSE)</f>
        <v>2</v>
      </c>
      <c r="J132" s="111">
        <f t="shared" si="21"/>
        <v>15</v>
      </c>
    </row>
    <row r="133" spans="2:10" ht="15" customHeight="1">
      <c r="B133" s="114">
        <v>2031</v>
      </c>
      <c r="C133" s="289" t="s">
        <v>97</v>
      </c>
      <c r="D133" s="112">
        <f>VLOOKUP($E$3,'Housing Generation'!$A$3:$DQ$90,107,FALSE)</f>
        <v>3</v>
      </c>
      <c r="E133" s="112">
        <f>VLOOKUP($E$3,'Housing Generation'!$A$3:$DQ$90,108,FALSE)</f>
        <v>3</v>
      </c>
      <c r="F133" s="112">
        <f>VLOOKUP($E$3,'Housing Generation'!$A$3:$DQ$90,109,FALSE)</f>
        <v>3</v>
      </c>
      <c r="G133" s="112">
        <f>VLOOKUP($E$3,'Housing Generation'!$A$3:$DQ$90,110,FALSE)</f>
        <v>3</v>
      </c>
      <c r="H133" s="112">
        <f>VLOOKUP($E$3,'Housing Generation'!$A$3:$DQ$90,111,FALSE)</f>
        <v>2</v>
      </c>
      <c r="I133" s="112">
        <f>VLOOKUP($E$3,'Housing Generation'!$A$3:$DQ$90,112,FALSE)</f>
        <v>2</v>
      </c>
      <c r="J133" s="111">
        <f t="shared" si="21"/>
        <v>16</v>
      </c>
    </row>
    <row r="134" spans="2:10" ht="15" customHeight="1">
      <c r="B134" s="114">
        <v>2032</v>
      </c>
      <c r="C134" s="289" t="s">
        <v>97</v>
      </c>
      <c r="D134" s="112">
        <f>VLOOKUP($E$3,'Housing Generation'!$A$3:$DQ$90,115,FALSE)</f>
        <v>3</v>
      </c>
      <c r="E134" s="112">
        <f>VLOOKUP($E$3,'Housing Generation'!$A$3:$DQ$90,116,FALSE)</f>
        <v>3</v>
      </c>
      <c r="F134" s="112">
        <f>VLOOKUP($E$3,'Housing Generation'!$A$3:$DQ$90,117,FALSE)</f>
        <v>3</v>
      </c>
      <c r="G134" s="112">
        <f>VLOOKUP($E$3,'Housing Generation'!$A$3:$DQ$90,118,FALSE)</f>
        <v>3</v>
      </c>
      <c r="H134" s="112">
        <f>VLOOKUP($E$3,'Housing Generation'!$A$3:$DQ$90,119,FALSE)</f>
        <v>2</v>
      </c>
      <c r="I134" s="112">
        <f>VLOOKUP($E$3,'Housing Generation'!$A$3:$DQ$90,120,FALSE)</f>
        <v>2</v>
      </c>
      <c r="J134" s="111">
        <f t="shared" si="21"/>
        <v>16</v>
      </c>
    </row>
    <row r="135" spans="2:10" ht="15" hidden="1"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St Joseph's RC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47.128909229595727</v>
      </c>
      <c r="D139" s="112">
        <f t="shared" ref="D139:I152" si="23">D121+D103</f>
        <v>50</v>
      </c>
      <c r="E139" s="112">
        <f t="shared" si="23"/>
        <v>57</v>
      </c>
      <c r="F139" s="112">
        <f t="shared" si="23"/>
        <v>48</v>
      </c>
      <c r="G139" s="112">
        <f t="shared" si="23"/>
        <v>48</v>
      </c>
      <c r="H139" s="112">
        <f t="shared" si="23"/>
        <v>34</v>
      </c>
      <c r="I139" s="112">
        <f t="shared" si="23"/>
        <v>40</v>
      </c>
      <c r="J139" s="111">
        <f t="shared" ref="J139:J147" si="24">SUM(C139:I139)</f>
        <v>324.12890922959571</v>
      </c>
    </row>
    <row r="140" spans="2:10" ht="15" customHeight="1">
      <c r="B140" s="114">
        <v>2020</v>
      </c>
      <c r="C140" s="113">
        <f t="shared" si="22"/>
        <v>44.245852402745996</v>
      </c>
      <c r="D140" s="112">
        <f t="shared" si="23"/>
        <v>47</v>
      </c>
      <c r="E140" s="112">
        <f t="shared" si="23"/>
        <v>52</v>
      </c>
      <c r="F140" s="112">
        <f t="shared" si="23"/>
        <v>59</v>
      </c>
      <c r="G140" s="112">
        <f t="shared" si="23"/>
        <v>49</v>
      </c>
      <c r="H140" s="112">
        <f t="shared" si="23"/>
        <v>47</v>
      </c>
      <c r="I140" s="112">
        <f t="shared" si="23"/>
        <v>33</v>
      </c>
      <c r="J140" s="111">
        <f t="shared" si="24"/>
        <v>331.24585240274598</v>
      </c>
    </row>
    <row r="141" spans="2:10" ht="15" customHeight="1">
      <c r="B141" s="114">
        <v>2021</v>
      </c>
      <c r="C141" s="113">
        <f t="shared" si="22"/>
        <v>44.245852402745996</v>
      </c>
      <c r="D141" s="112">
        <f t="shared" si="23"/>
        <v>44</v>
      </c>
      <c r="E141" s="112">
        <f t="shared" si="23"/>
        <v>48</v>
      </c>
      <c r="F141" s="112">
        <f t="shared" si="23"/>
        <v>53</v>
      </c>
      <c r="G141" s="112">
        <f t="shared" si="23"/>
        <v>59</v>
      </c>
      <c r="H141" s="112">
        <f t="shared" si="23"/>
        <v>48</v>
      </c>
      <c r="I141" s="112">
        <f t="shared" si="23"/>
        <v>46</v>
      </c>
      <c r="J141" s="111">
        <f t="shared" si="24"/>
        <v>342.24585240274598</v>
      </c>
    </row>
    <row r="142" spans="2:10" ht="15" customHeight="1">
      <c r="B142" s="114">
        <v>2022</v>
      </c>
      <c r="C142" s="113">
        <f t="shared" si="22"/>
        <v>46.167890287312488</v>
      </c>
      <c r="D142" s="112">
        <f t="shared" si="23"/>
        <v>44</v>
      </c>
      <c r="E142" s="112">
        <f t="shared" si="23"/>
        <v>45</v>
      </c>
      <c r="F142" s="112">
        <f t="shared" si="23"/>
        <v>49</v>
      </c>
      <c r="G142" s="112">
        <f t="shared" si="23"/>
        <v>53</v>
      </c>
      <c r="H142" s="112">
        <f t="shared" si="23"/>
        <v>57</v>
      </c>
      <c r="I142" s="112">
        <f t="shared" si="23"/>
        <v>46</v>
      </c>
      <c r="J142" s="111">
        <f t="shared" si="24"/>
        <v>340.1678902873125</v>
      </c>
    </row>
    <row r="143" spans="2:10" ht="15" customHeight="1">
      <c r="B143" s="114">
        <v>2023</v>
      </c>
      <c r="C143" s="113">
        <f t="shared" si="22"/>
        <v>45.206871345029242</v>
      </c>
      <c r="D143" s="112">
        <f t="shared" si="23"/>
        <v>46</v>
      </c>
      <c r="E143" s="112">
        <f t="shared" si="23"/>
        <v>45</v>
      </c>
      <c r="F143" s="112">
        <f t="shared" si="23"/>
        <v>46</v>
      </c>
      <c r="G143" s="112">
        <f t="shared" si="23"/>
        <v>49</v>
      </c>
      <c r="H143" s="112">
        <f t="shared" si="23"/>
        <v>51</v>
      </c>
      <c r="I143" s="112">
        <f t="shared" si="23"/>
        <v>54</v>
      </c>
      <c r="J143" s="111">
        <f t="shared" si="24"/>
        <v>336.20687134502924</v>
      </c>
    </row>
    <row r="144" spans="2:10" ht="15" customHeight="1">
      <c r="B144" s="114">
        <v>2024</v>
      </c>
      <c r="C144" s="113">
        <f t="shared" si="22"/>
        <v>46.167890287312488</v>
      </c>
      <c r="D144" s="112">
        <f t="shared" si="23"/>
        <v>45</v>
      </c>
      <c r="E144" s="112">
        <f t="shared" si="23"/>
        <v>47</v>
      </c>
      <c r="F144" s="112">
        <f t="shared" si="23"/>
        <v>46</v>
      </c>
      <c r="G144" s="112">
        <f t="shared" si="23"/>
        <v>46</v>
      </c>
      <c r="H144" s="112">
        <f t="shared" si="23"/>
        <v>48</v>
      </c>
      <c r="I144" s="112">
        <f t="shared" si="23"/>
        <v>49</v>
      </c>
      <c r="J144" s="111">
        <f t="shared" si="24"/>
        <v>327.1678902873125</v>
      </c>
    </row>
    <row r="145" spans="2:16" ht="15" customHeight="1">
      <c r="B145" s="114">
        <v>2025</v>
      </c>
      <c r="C145" s="113">
        <f t="shared" si="22"/>
        <v>47.128909229595727</v>
      </c>
      <c r="D145" s="112">
        <f t="shared" si="23"/>
        <v>45</v>
      </c>
      <c r="E145" s="112">
        <f t="shared" si="23"/>
        <v>46</v>
      </c>
      <c r="F145" s="112">
        <f t="shared" si="23"/>
        <v>48</v>
      </c>
      <c r="G145" s="112">
        <f t="shared" si="23"/>
        <v>46</v>
      </c>
      <c r="H145" s="112">
        <f t="shared" si="23"/>
        <v>45</v>
      </c>
      <c r="I145" s="112">
        <f t="shared" si="23"/>
        <v>47</v>
      </c>
      <c r="J145" s="111">
        <f t="shared" si="24"/>
        <v>324.12890922959571</v>
      </c>
    </row>
    <row r="146" spans="2:16" ht="15" customHeight="1">
      <c r="B146" s="114">
        <v>2026</v>
      </c>
      <c r="C146" s="113">
        <f t="shared" si="22"/>
        <v>48.089928171878974</v>
      </c>
      <c r="D146" s="112">
        <f t="shared" si="23"/>
        <v>47</v>
      </c>
      <c r="E146" s="112">
        <f t="shared" si="23"/>
        <v>46</v>
      </c>
      <c r="F146" s="112">
        <f t="shared" si="23"/>
        <v>47</v>
      </c>
      <c r="G146" s="112">
        <f t="shared" si="23"/>
        <v>48</v>
      </c>
      <c r="H146" s="112">
        <f t="shared" si="23"/>
        <v>45</v>
      </c>
      <c r="I146" s="112">
        <f t="shared" si="23"/>
        <v>44</v>
      </c>
      <c r="J146" s="111">
        <f t="shared" si="24"/>
        <v>325.08992817187897</v>
      </c>
    </row>
    <row r="147" spans="2:16" ht="15" customHeight="1">
      <c r="B147" s="114">
        <v>2027</v>
      </c>
      <c r="C147" s="113">
        <f t="shared" si="22"/>
        <v>48.089928171878974</v>
      </c>
      <c r="D147" s="112">
        <f t="shared" si="23"/>
        <v>48</v>
      </c>
      <c r="E147" s="112">
        <f t="shared" si="23"/>
        <v>48</v>
      </c>
      <c r="F147" s="112">
        <f t="shared" si="23"/>
        <v>47</v>
      </c>
      <c r="G147" s="112">
        <f t="shared" si="23"/>
        <v>47</v>
      </c>
      <c r="H147" s="112">
        <f t="shared" si="23"/>
        <v>47</v>
      </c>
      <c r="I147" s="112">
        <f t="shared" si="23"/>
        <v>44</v>
      </c>
      <c r="J147" s="111">
        <f t="shared" si="24"/>
        <v>329.08992817187897</v>
      </c>
    </row>
    <row r="148" spans="2:16" ht="15" customHeight="1">
      <c r="B148" s="114">
        <v>2028</v>
      </c>
      <c r="C148" s="113">
        <f t="shared" si="22"/>
        <v>48.089928171878974</v>
      </c>
      <c r="D148" s="112">
        <f t="shared" si="23"/>
        <v>48</v>
      </c>
      <c r="E148" s="112">
        <f t="shared" si="23"/>
        <v>49</v>
      </c>
      <c r="F148" s="112">
        <f t="shared" si="23"/>
        <v>48</v>
      </c>
      <c r="G148" s="112">
        <f t="shared" si="23"/>
        <v>47</v>
      </c>
      <c r="H148" s="112">
        <f t="shared" si="23"/>
        <v>46</v>
      </c>
      <c r="I148" s="112">
        <f t="shared" si="23"/>
        <v>46</v>
      </c>
      <c r="J148" s="111">
        <f t="shared" ref="J148:J152" si="25">SUM(C148:I148)</f>
        <v>332.08992817187897</v>
      </c>
    </row>
    <row r="149" spans="2:16" ht="15" customHeight="1">
      <c r="B149" s="114">
        <v>2029</v>
      </c>
      <c r="C149" s="113">
        <f t="shared" si="22"/>
        <v>48.089928171878974</v>
      </c>
      <c r="D149" s="112">
        <f t="shared" si="23"/>
        <v>48</v>
      </c>
      <c r="E149" s="112">
        <f t="shared" si="23"/>
        <v>49</v>
      </c>
      <c r="F149" s="112">
        <f t="shared" si="23"/>
        <v>50</v>
      </c>
      <c r="G149" s="112">
        <f t="shared" si="23"/>
        <v>48</v>
      </c>
      <c r="H149" s="112">
        <f t="shared" si="23"/>
        <v>46</v>
      </c>
      <c r="I149" s="112">
        <f t="shared" si="23"/>
        <v>45</v>
      </c>
      <c r="J149" s="111">
        <f t="shared" si="25"/>
        <v>334.08992817187897</v>
      </c>
    </row>
    <row r="150" spans="2:16" ht="15" customHeight="1">
      <c r="B150" s="114">
        <v>2030</v>
      </c>
      <c r="C150" s="113">
        <f t="shared" si="22"/>
        <v>49.05094711416222</v>
      </c>
      <c r="D150" s="112">
        <f t="shared" si="23"/>
        <v>48</v>
      </c>
      <c r="E150" s="112">
        <f t="shared" si="23"/>
        <v>49</v>
      </c>
      <c r="F150" s="112">
        <f t="shared" si="23"/>
        <v>50</v>
      </c>
      <c r="G150" s="112">
        <f t="shared" si="23"/>
        <v>49</v>
      </c>
      <c r="H150" s="112">
        <f t="shared" si="23"/>
        <v>47</v>
      </c>
      <c r="I150" s="112">
        <f t="shared" si="23"/>
        <v>45</v>
      </c>
      <c r="J150" s="111">
        <f t="shared" si="25"/>
        <v>337.05094711416223</v>
      </c>
    </row>
    <row r="151" spans="2:16" ht="15" customHeight="1">
      <c r="B151" s="114">
        <v>2031</v>
      </c>
      <c r="C151" s="113">
        <f t="shared" si="22"/>
        <v>49.05094711416222</v>
      </c>
      <c r="D151" s="112">
        <f t="shared" si="23"/>
        <v>49</v>
      </c>
      <c r="E151" s="112">
        <f t="shared" si="23"/>
        <v>49</v>
      </c>
      <c r="F151" s="112">
        <f t="shared" si="23"/>
        <v>50</v>
      </c>
      <c r="G151" s="112">
        <f t="shared" si="23"/>
        <v>50</v>
      </c>
      <c r="H151" s="112">
        <f t="shared" si="23"/>
        <v>48</v>
      </c>
      <c r="I151" s="112">
        <f t="shared" si="23"/>
        <v>46</v>
      </c>
      <c r="J151" s="111">
        <f t="shared" si="25"/>
        <v>341.05094711416223</v>
      </c>
    </row>
    <row r="152" spans="2:16" ht="15" customHeight="1">
      <c r="B152" s="114">
        <v>2032</v>
      </c>
      <c r="C152" s="113">
        <f t="shared" si="22"/>
        <v>49.05094711416222</v>
      </c>
      <c r="D152" s="112">
        <f t="shared" si="23"/>
        <v>49</v>
      </c>
      <c r="E152" s="112">
        <f t="shared" si="23"/>
        <v>50</v>
      </c>
      <c r="F152" s="112">
        <f t="shared" si="23"/>
        <v>50</v>
      </c>
      <c r="G152" s="112">
        <f t="shared" si="23"/>
        <v>50</v>
      </c>
      <c r="H152" s="112">
        <f t="shared" si="23"/>
        <v>48</v>
      </c>
      <c r="I152" s="112">
        <f t="shared" si="23"/>
        <v>47</v>
      </c>
      <c r="J152" s="111">
        <f t="shared" si="25"/>
        <v>343.05094711416223</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324.12890922959571</v>
      </c>
      <c r="D159" s="108">
        <f>J140</f>
        <v>331.24585240274598</v>
      </c>
      <c r="E159" s="108">
        <f>J141</f>
        <v>342.24585240274598</v>
      </c>
      <c r="F159" s="108">
        <f>J142</f>
        <v>340.1678902873125</v>
      </c>
      <c r="G159" s="108">
        <f>J143</f>
        <v>336.20687134502924</v>
      </c>
      <c r="H159" s="108">
        <f>J144</f>
        <v>327.1678902873125</v>
      </c>
      <c r="I159" s="108">
        <f>J145</f>
        <v>324.12890922959571</v>
      </c>
      <c r="J159" s="108">
        <f>J146</f>
        <v>325.08992817187897</v>
      </c>
      <c r="K159" s="108">
        <f>J147</f>
        <v>329.08992817187897</v>
      </c>
      <c r="L159" s="108">
        <f>J148</f>
        <v>332.08992817187897</v>
      </c>
      <c r="M159" s="108">
        <f>J149</f>
        <v>334.08992817187897</v>
      </c>
      <c r="N159" s="108">
        <f>J150</f>
        <v>337.05094711416223</v>
      </c>
      <c r="O159" s="108">
        <f>J151</f>
        <v>341.05094711416223</v>
      </c>
      <c r="P159" s="108">
        <f>J152</f>
        <v>343.05094711416223</v>
      </c>
    </row>
    <row r="160" spans="2:16" ht="15" customHeight="1">
      <c r="B160" s="107" t="s">
        <v>152</v>
      </c>
      <c r="C160" s="106">
        <f>VLOOKUP(C159,Capacity!$A$1:$C$645,2,TRUE)</f>
        <v>13</v>
      </c>
      <c r="D160" s="106">
        <f>VLOOKUP(D159,Capacity!$A$1:$C$645,2,TRUE)</f>
        <v>14</v>
      </c>
      <c r="E160" s="106">
        <f>VLOOKUP(E159,Capacity!$A$1:$C$645,2,TRUE)</f>
        <v>14</v>
      </c>
      <c r="F160" s="106">
        <f>VLOOKUP(F159,Capacity!$A$1:$C$645,2,TRUE)</f>
        <v>14</v>
      </c>
      <c r="G160" s="106">
        <f>VLOOKUP(G159,Capacity!$A$1:$C$645,2,TRUE)</f>
        <v>14</v>
      </c>
      <c r="H160" s="106">
        <f>VLOOKUP(H159,Capacity!$A$1:$C$645,2,TRUE)</f>
        <v>13</v>
      </c>
      <c r="I160" s="106">
        <f>VLOOKUP(I159,Capacity!$A$1:$C$645,2,TRUE)</f>
        <v>13</v>
      </c>
      <c r="J160" s="106">
        <f>VLOOKUP(J159,Capacity!$A$1:$C$645,2,TRUE)</f>
        <v>13</v>
      </c>
      <c r="K160" s="106">
        <f>VLOOKUP(K159,Capacity!$A$1:$C$645,2,TRUE)</f>
        <v>13</v>
      </c>
      <c r="L160" s="106">
        <f>VLOOKUP(L159,Capacity!$A$1:$C$645,2,TRUE)</f>
        <v>14</v>
      </c>
      <c r="M160" s="106">
        <f>VLOOKUP(M159,Capacity!$A$1:$C$645,2,TRUE)</f>
        <v>14</v>
      </c>
      <c r="N160" s="106">
        <f>VLOOKUP(N159,Capacity!$A$1:$C$645,2,TRUE)</f>
        <v>14</v>
      </c>
      <c r="O160" s="106">
        <f>VLOOKUP(O159,Capacity!$A$1:$C$645,2,TRUE)</f>
        <v>14</v>
      </c>
      <c r="P160" s="106">
        <f>VLOOKUP(P159,Capacity!$A$1:$C$645,2,TRUE)</f>
        <v>14</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390</v>
      </c>
      <c r="D169" s="97">
        <f>VLOOKUP($E$3,'Catchment Births'!$A$1:$U$90,11,FALSE)</f>
        <v>391</v>
      </c>
      <c r="E169" s="97">
        <f>VLOOKUP($E$3,'Catchment Births'!$A$1:$U$90,12,FALSE)</f>
        <v>450</v>
      </c>
      <c r="F169" s="97">
        <f>VLOOKUP($E$3,'Catchment Births'!$A$1:$U$90,13,FALSE)</f>
        <v>486</v>
      </c>
      <c r="G169" s="97">
        <f>VLOOKUP($E$3,'Catchment Births'!$A$1:$U$90,14,FALSE)</f>
        <v>476</v>
      </c>
      <c r="H169" s="97">
        <f>VLOOKUP($E$3,'Catchment Births'!$A$1:$U$90,15,FALSE)</f>
        <v>510</v>
      </c>
      <c r="I169" s="97">
        <f>VLOOKUP($E$3,'Catchment Births'!$A$1:$U$90,16,FALSE)</f>
        <v>520</v>
      </c>
      <c r="J169" s="97">
        <f>VLOOKUP($E$3,'Catchment Births'!$A$1:$U$90,17,FALSE)</f>
        <v>475</v>
      </c>
      <c r="K169" s="97">
        <f>VLOOKUP($E$3,'Catchment Births'!$A$1:$U$90,18,FALSE)</f>
        <v>507</v>
      </c>
      <c r="L169" s="97">
        <f>VLOOKUP($E$3,'Catchment Births'!$A$1:$U$90,19,FALSE)</f>
        <v>486</v>
      </c>
      <c r="M169" s="97">
        <f>VLOOKUP($E$3,'Catchment Births'!$A$1:$U$90,20,FALSE)</f>
        <v>460</v>
      </c>
      <c r="N169" s="97">
        <f>VLOOKUP($E$3,'Catchment Births'!$A$1:$U$90,21,FALSE)</f>
        <v>419</v>
      </c>
    </row>
    <row r="170" spans="2:14" ht="58.5" customHeight="1">
      <c r="B170" s="103" t="str">
        <f>"P1 "&amp;A35&amp;" Catchment Population (Actual)"</f>
        <v>P1 RC Catchment Population (Actual)</v>
      </c>
      <c r="C170" s="102" t="e">
        <v>#REF!</v>
      </c>
      <c r="D170" s="102">
        <v>46</v>
      </c>
      <c r="E170" s="102">
        <v>40</v>
      </c>
      <c r="F170" s="102">
        <v>49</v>
      </c>
      <c r="G170" s="102">
        <v>49</v>
      </c>
      <c r="H170" s="102">
        <v>36</v>
      </c>
      <c r="I170" s="102">
        <v>46</v>
      </c>
      <c r="J170" s="308">
        <f>VLOOKUP(E3,'Catchment Projections'!A1:BU92,42,FALSE)</f>
        <v>46</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180</v>
      </c>
      <c r="C172" s="99"/>
      <c r="D172" s="98"/>
      <c r="E172" s="98"/>
      <c r="F172" s="98"/>
      <c r="G172" s="97"/>
      <c r="H172" s="96"/>
      <c r="I172" s="96">
        <f>I170</f>
        <v>46</v>
      </c>
      <c r="J172" s="96" t="e">
        <f>#REF!</f>
        <v>#REF!</v>
      </c>
      <c r="K172" s="96">
        <f>D51</f>
        <v>48</v>
      </c>
      <c r="L172" s="96">
        <f>E51</f>
        <v>45</v>
      </c>
      <c r="M172" s="96">
        <f>F51</f>
        <v>45</v>
      </c>
      <c r="N172" s="96">
        <f>G51</f>
        <v>47</v>
      </c>
    </row>
    <row r="173" spans="2:14" ht="12.75">
      <c r="B173" s="62"/>
      <c r="C173" s="62"/>
      <c r="D173" s="62"/>
      <c r="E173" s="62"/>
      <c r="F173" s="62"/>
      <c r="G173" s="62"/>
      <c r="H173" s="62"/>
      <c r="I173" s="62"/>
      <c r="J173" s="62"/>
      <c r="K173" s="62"/>
    </row>
    <row r="174" spans="2:14" ht="15" customHeight="1">
      <c r="B174" s="64" t="str">
        <f>"Table 5: "&amp;E3&amp;" Roll by Stage, 2002-2018"</f>
        <v>Table 5: St Joseph's RC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17</v>
      </c>
      <c r="D177" s="93">
        <v>13</v>
      </c>
      <c r="E177" s="93">
        <v>9</v>
      </c>
      <c r="F177" s="93">
        <v>10</v>
      </c>
      <c r="G177" s="93">
        <v>16</v>
      </c>
      <c r="H177" s="93">
        <v>9</v>
      </c>
      <c r="I177" s="93">
        <v>23</v>
      </c>
      <c r="J177" s="92">
        <v>97</v>
      </c>
      <c r="K177" s="62"/>
    </row>
    <row r="178" spans="2:11" ht="15" customHeight="1">
      <c r="B178" s="94">
        <v>2003</v>
      </c>
      <c r="C178" s="93">
        <v>18</v>
      </c>
      <c r="D178" s="93">
        <v>15</v>
      </c>
      <c r="E178" s="93">
        <v>17</v>
      </c>
      <c r="F178" s="93">
        <v>11</v>
      </c>
      <c r="G178" s="93">
        <v>11</v>
      </c>
      <c r="H178" s="93">
        <v>20</v>
      </c>
      <c r="I178" s="93">
        <v>9</v>
      </c>
      <c r="J178" s="92">
        <v>101</v>
      </c>
      <c r="K178" s="62"/>
    </row>
    <row r="179" spans="2:11" customFormat="1" ht="15" customHeight="1">
      <c r="B179" s="94">
        <v>2004</v>
      </c>
      <c r="C179" s="95">
        <v>21</v>
      </c>
      <c r="D179" s="95">
        <v>17</v>
      </c>
      <c r="E179" s="95">
        <v>20</v>
      </c>
      <c r="F179" s="95">
        <v>17</v>
      </c>
      <c r="G179" s="95">
        <v>14</v>
      </c>
      <c r="H179" s="95">
        <v>9</v>
      </c>
      <c r="I179" s="95">
        <v>17</v>
      </c>
      <c r="J179" s="92">
        <v>115</v>
      </c>
      <c r="K179" s="62"/>
    </row>
    <row r="180" spans="2:11" customFormat="1" ht="15" customHeight="1">
      <c r="B180" s="94">
        <v>2005</v>
      </c>
      <c r="C180" s="93">
        <v>38</v>
      </c>
      <c r="D180" s="93">
        <v>22</v>
      </c>
      <c r="E180" s="93">
        <v>23</v>
      </c>
      <c r="F180" s="93">
        <v>21</v>
      </c>
      <c r="G180" s="93">
        <v>19</v>
      </c>
      <c r="H180" s="93">
        <v>15</v>
      </c>
      <c r="I180" s="93">
        <v>15</v>
      </c>
      <c r="J180" s="92">
        <v>153</v>
      </c>
      <c r="K180" s="62"/>
    </row>
    <row r="181" spans="2:11" customFormat="1" ht="15" customHeight="1">
      <c r="B181" s="94">
        <v>2006</v>
      </c>
      <c r="C181" s="93">
        <v>19</v>
      </c>
      <c r="D181" s="93">
        <v>36</v>
      </c>
      <c r="E181" s="93">
        <v>21</v>
      </c>
      <c r="F181" s="93">
        <v>31</v>
      </c>
      <c r="G181" s="93">
        <v>22</v>
      </c>
      <c r="H181" s="93">
        <v>20</v>
      </c>
      <c r="I181" s="93">
        <v>16</v>
      </c>
      <c r="J181" s="92">
        <v>165</v>
      </c>
      <c r="K181" s="62"/>
    </row>
    <row r="182" spans="2:11" customFormat="1" ht="15" customHeight="1">
      <c r="B182" s="94">
        <v>2007</v>
      </c>
      <c r="C182" s="93">
        <v>32</v>
      </c>
      <c r="D182" s="93">
        <v>21</v>
      </c>
      <c r="E182" s="93">
        <v>33</v>
      </c>
      <c r="F182" s="93">
        <v>22</v>
      </c>
      <c r="G182" s="93">
        <v>27</v>
      </c>
      <c r="H182" s="93">
        <v>20</v>
      </c>
      <c r="I182" s="93">
        <v>26</v>
      </c>
      <c r="J182" s="92">
        <v>181</v>
      </c>
      <c r="K182" s="62"/>
    </row>
    <row r="183" spans="2:11" customFormat="1" ht="15" customHeight="1">
      <c r="B183" s="94">
        <v>2008</v>
      </c>
      <c r="C183" s="93">
        <v>33</v>
      </c>
      <c r="D183" s="93">
        <v>33</v>
      </c>
      <c r="E183" s="93">
        <v>20</v>
      </c>
      <c r="F183" s="93">
        <v>36</v>
      </c>
      <c r="G183" s="93">
        <v>24</v>
      </c>
      <c r="H183" s="93">
        <v>32</v>
      </c>
      <c r="I183" s="93">
        <v>24</v>
      </c>
      <c r="J183" s="92">
        <v>202</v>
      </c>
      <c r="K183" s="62"/>
    </row>
    <row r="184" spans="2:11" customFormat="1" ht="15" customHeight="1">
      <c r="B184" s="94">
        <v>2009</v>
      </c>
      <c r="C184" s="93">
        <v>31</v>
      </c>
      <c r="D184" s="93">
        <v>32</v>
      </c>
      <c r="E184" s="93">
        <v>32</v>
      </c>
      <c r="F184" s="93">
        <v>19</v>
      </c>
      <c r="G184" s="93">
        <v>35</v>
      </c>
      <c r="H184" s="93">
        <v>22</v>
      </c>
      <c r="I184" s="93">
        <v>29</v>
      </c>
      <c r="J184" s="94">
        <v>200</v>
      </c>
      <c r="K184" s="62"/>
    </row>
    <row r="185" spans="2:11" customFormat="1" ht="15" customHeight="1">
      <c r="B185" s="94">
        <v>2010</v>
      </c>
      <c r="C185" s="93">
        <v>45</v>
      </c>
      <c r="D185" s="93">
        <v>30</v>
      </c>
      <c r="E185" s="93">
        <v>35</v>
      </c>
      <c r="F185" s="93">
        <v>29</v>
      </c>
      <c r="G185" s="93">
        <v>19</v>
      </c>
      <c r="H185" s="93">
        <v>38</v>
      </c>
      <c r="I185" s="93">
        <v>23</v>
      </c>
      <c r="J185" s="92">
        <v>219</v>
      </c>
      <c r="K185" s="62"/>
    </row>
    <row r="186" spans="2:11" customFormat="1" ht="15" customHeight="1">
      <c r="B186" s="94">
        <v>2011</v>
      </c>
      <c r="C186" s="93">
        <v>37</v>
      </c>
      <c r="D186" s="93">
        <v>49</v>
      </c>
      <c r="E186" s="93">
        <v>29</v>
      </c>
      <c r="F186" s="93">
        <v>33</v>
      </c>
      <c r="G186" s="93">
        <v>27</v>
      </c>
      <c r="H186" s="93">
        <v>19</v>
      </c>
      <c r="I186" s="93">
        <v>36</v>
      </c>
      <c r="J186" s="92">
        <v>230</v>
      </c>
      <c r="K186" s="62"/>
    </row>
    <row r="187" spans="2:11" customFormat="1" ht="15" customHeight="1">
      <c r="B187" s="94">
        <v>2012</v>
      </c>
      <c r="C187" s="93">
        <v>45</v>
      </c>
      <c r="D187" s="93">
        <v>37</v>
      </c>
      <c r="E187" s="93">
        <v>43</v>
      </c>
      <c r="F187" s="93">
        <v>28</v>
      </c>
      <c r="G187" s="93">
        <v>28</v>
      </c>
      <c r="H187" s="93">
        <v>31</v>
      </c>
      <c r="I187" s="93">
        <v>18</v>
      </c>
      <c r="J187" s="92">
        <v>230</v>
      </c>
      <c r="K187" s="62"/>
    </row>
    <row r="188" spans="2:11" customFormat="1" ht="15" customHeight="1">
      <c r="B188" s="94">
        <v>2013</v>
      </c>
      <c r="C188" s="93">
        <v>48</v>
      </c>
      <c r="D188" s="93">
        <v>43</v>
      </c>
      <c r="E188" s="93">
        <v>33</v>
      </c>
      <c r="F188" s="93">
        <v>44</v>
      </c>
      <c r="G188" s="93">
        <v>32</v>
      </c>
      <c r="H188" s="93">
        <v>27</v>
      </c>
      <c r="I188" s="93">
        <v>31</v>
      </c>
      <c r="J188" s="94">
        <v>258</v>
      </c>
      <c r="K188" s="62"/>
    </row>
    <row r="189" spans="2:11" customFormat="1" ht="15" customHeight="1">
      <c r="B189" s="94">
        <v>2014</v>
      </c>
      <c r="C189" s="93">
        <v>35</v>
      </c>
      <c r="D189" s="93">
        <v>47</v>
      </c>
      <c r="E189" s="93">
        <v>44</v>
      </c>
      <c r="F189" s="93">
        <v>31</v>
      </c>
      <c r="G189" s="93">
        <v>46</v>
      </c>
      <c r="H189" s="93">
        <v>31</v>
      </c>
      <c r="I189" s="93">
        <v>25</v>
      </c>
      <c r="J189" s="92">
        <v>259</v>
      </c>
      <c r="K189" s="65"/>
    </row>
    <row r="190" spans="2:11" customFormat="1" ht="15" customHeight="1">
      <c r="B190" s="94">
        <v>2015</v>
      </c>
      <c r="C190" s="93">
        <v>47</v>
      </c>
      <c r="D190" s="93">
        <v>35</v>
      </c>
      <c r="E190" s="93">
        <v>48</v>
      </c>
      <c r="F190" s="93">
        <v>43</v>
      </c>
      <c r="G190" s="93">
        <v>31</v>
      </c>
      <c r="H190" s="93">
        <v>45</v>
      </c>
      <c r="I190" s="93">
        <v>30</v>
      </c>
      <c r="J190" s="92">
        <v>279</v>
      </c>
      <c r="K190" s="65"/>
    </row>
    <row r="191" spans="2:11" customFormat="1" ht="15" customHeight="1">
      <c r="B191" s="94">
        <v>2016</v>
      </c>
      <c r="C191" s="93">
        <v>45</v>
      </c>
      <c r="D191" s="93">
        <v>49</v>
      </c>
      <c r="E191" s="93">
        <v>37</v>
      </c>
      <c r="F191" s="93">
        <v>50</v>
      </c>
      <c r="G191" s="93">
        <v>43</v>
      </c>
      <c r="H191" s="93">
        <v>30</v>
      </c>
      <c r="I191" s="93">
        <v>45</v>
      </c>
      <c r="J191" s="92">
        <v>299</v>
      </c>
      <c r="K191" s="65"/>
    </row>
    <row r="192" spans="2:11" ht="15" customHeight="1">
      <c r="B192" s="94">
        <v>2017</v>
      </c>
      <c r="C192" s="93">
        <f>VLOOKUP($E$3,Rolls!A1:FA90,42,FALSE)</f>
        <v>55</v>
      </c>
      <c r="D192" s="93">
        <f>VLOOKUP($E$3,Rolls!A1:FA90,43,FALSE)</f>
        <v>46</v>
      </c>
      <c r="E192" s="93">
        <f>VLOOKUP($E$3,Rolls!A1:FA90,44,FALSE)</f>
        <v>46</v>
      </c>
      <c r="F192" s="93">
        <f>VLOOKUP($E$3,Rolls!A1:FA90,45,FALSE)</f>
        <v>38</v>
      </c>
      <c r="G192" s="93">
        <f>VLOOKUP($E$3,Rolls!A1:FA90,46,FALSE)</f>
        <v>46</v>
      </c>
      <c r="H192" s="93">
        <f>VLOOKUP($E$3,Rolls!A1:FA90,47,FALSE)</f>
        <v>48</v>
      </c>
      <c r="I192" s="93">
        <f>VLOOKUP($E$3,Rolls!A1:FA90,48,FALSE)</f>
        <v>28</v>
      </c>
      <c r="J192" s="92">
        <f>VLOOKUP($E$3,Rolls!A1:FA90,49,FALSE)</f>
        <v>307</v>
      </c>
      <c r="K192" s="65"/>
    </row>
    <row r="193" spans="2:11" ht="15" customHeight="1">
      <c r="B193" s="94">
        <v>2018</v>
      </c>
      <c r="C193" s="93">
        <f>VLOOKUP($E$3,Rolls!A1:FA90,50,FALSE)</f>
        <v>49</v>
      </c>
      <c r="D193" s="93">
        <f>VLOOKUP($E$3,Rolls!A1:FA90,51,FALSE)</f>
        <v>55</v>
      </c>
      <c r="E193" s="93">
        <f>VLOOKUP($E$3,Rolls!A1:FA90,52,FALSE)</f>
        <v>46</v>
      </c>
      <c r="F193" s="93">
        <f>VLOOKUP($E$3,Rolls!A1:FA90,53,FALSE)</f>
        <v>47</v>
      </c>
      <c r="G193" s="93">
        <f>VLOOKUP($E$3,Rolls!A1:FA90,54,FALSE)</f>
        <v>34</v>
      </c>
      <c r="H193" s="93">
        <f>VLOOKUP($E$3,Rolls!A1:FA90,55,FALSE)</f>
        <v>41</v>
      </c>
      <c r="I193" s="93">
        <f>VLOOKUP($E$3,Rolls!A1:FA90,56,FALSE)</f>
        <v>52</v>
      </c>
      <c r="J193" s="92">
        <f>VLOOKUP($E$3,Rolls!A1:FA90,57,FALSE)</f>
        <v>324</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81</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St Margaret's RC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210 Pupils (7 classes)</v>
      </c>
      <c r="G12" s="16"/>
      <c r="H12" s="16"/>
    </row>
    <row r="13" spans="2:10" ht="15" customHeight="1">
      <c r="C13" s="16"/>
      <c r="D13" s="16"/>
      <c r="E13" s="16"/>
      <c r="F13" s="16"/>
      <c r="G13" s="16"/>
      <c r="H13" s="16"/>
    </row>
    <row r="14" spans="2:10" ht="15" customHeight="1">
      <c r="B14" s="15" t="str">
        <f>"Figure 1: "&amp;E3&amp;" Roll, 2002-2015"</f>
        <v>Figure 1: St Margaret's RC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2010-2020"</f>
        <v>Figure 2: Actual Catchment Births (from 5yrs prior),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St Margaret's RC Primary School</v>
      </c>
      <c r="K34" s="16"/>
    </row>
    <row r="35" spans="1:17" ht="15" customHeight="1">
      <c r="A35" s="1" t="str">
        <f>IF(ISNUMBER(SEARCH("RC",A34)),"RC", "ND")</f>
        <v>RC</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RC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16</v>
      </c>
      <c r="E49" s="108">
        <f>VLOOKUP($E$3,'Catchment Projections'!$A$1:$BU$90,46,FALSE)</f>
        <v>17</v>
      </c>
      <c r="F49" s="108">
        <f>VLOOKUP($E$3,'Catchment Projections'!$A$1:$BU$90,47,FALSE)</f>
        <v>18</v>
      </c>
      <c r="G49" s="108">
        <f>VLOOKUP($E$3,'Catchment Projections'!$A$1:$BU$90,48,FALSE)</f>
        <v>21</v>
      </c>
      <c r="H49" s="133">
        <f>VLOOKUP($E$3,'Catchment Projections'!$A$1:$BU$90,49,FALSE)</f>
        <v>19</v>
      </c>
      <c r="I49" s="133">
        <f>VLOOKUP($E$3,'Catchment Projections'!$A$1:$BU$90,50,FALSE)</f>
        <v>19</v>
      </c>
      <c r="J49" s="133">
        <f>VLOOKUP($E$3,'Catchment Projections'!$A$1:$BU$90,51,FALSE)</f>
        <v>19</v>
      </c>
      <c r="K49" s="133">
        <f>VLOOKUP($E$3,'Catchment Projections'!$A$1:$BU$90,52,FALSE)</f>
        <v>20</v>
      </c>
      <c r="L49" s="133">
        <f>VLOOKUP($E$3,'Catchment Projections'!$A$1:$BU$90,53,FALSE)</f>
        <v>20</v>
      </c>
      <c r="M49" s="133">
        <f>VLOOKUP($E$3,'Catchment Projections'!$A$1:$BU$90,54,FALSE)</f>
        <v>20</v>
      </c>
      <c r="N49" s="133">
        <f>VLOOKUP($E$3,'Catchment Projections'!$A$1:$BU$90,55,FALSE)</f>
        <v>20</v>
      </c>
      <c r="O49" s="133">
        <f>VLOOKUP($E$3,'Catchment Projections'!$A$1:$BU$90,56,FALSE)</f>
        <v>20</v>
      </c>
      <c r="P49" s="133">
        <f>VLOOKUP($E$3,'Catchment Projections'!$A$1:$BU$90,57,FALSE)</f>
        <v>20</v>
      </c>
      <c r="Q49" s="133">
        <f>VLOOKUP($E$3,'Catchment Projections'!$A$1:$BU$90,58,FALSE)</f>
        <v>20</v>
      </c>
    </row>
    <row r="50" spans="2:17" ht="15" customHeight="1" thickBot="1">
      <c r="B50" s="410" t="s">
        <v>141</v>
      </c>
      <c r="C50" s="411"/>
      <c r="D50" s="286">
        <f>VLOOKUP(E3,'Housing Generation'!$A$3:$DQ$90,10,FALSE)</f>
        <v>1</v>
      </c>
      <c r="E50" s="286">
        <f>VLOOKUP(E3,'Housing Generation'!$A$3:$DQ$90,18,FALSE)</f>
        <v>1</v>
      </c>
      <c r="F50" s="286">
        <f>VLOOKUP(E3,'Housing Generation'!$A$3:$DQ$90,26,FALSE)</f>
        <v>1</v>
      </c>
      <c r="G50" s="243">
        <f>VLOOKUP(E3,'Housing Generation'!$A$3:$DQ$90,34,FALSE)</f>
        <v>2</v>
      </c>
      <c r="H50" s="133">
        <f>VLOOKUP(E3,'Housing Generation'!$A$3:$DQ$90,42,FALSE)</f>
        <v>3</v>
      </c>
      <c r="I50" s="133">
        <f>VLOOKUP(E3,'Housing Generation'!$A$3:$DQ$90,50,FALSE)</f>
        <v>3</v>
      </c>
      <c r="J50" s="133">
        <f>VLOOKUP(E3,'Housing Generation'!$A$3:$CK$90,58,FALSE)</f>
        <v>4</v>
      </c>
      <c r="K50" s="133">
        <f>VLOOKUP(E3,'Housing Generation'!$A$3:$CK$90,66,FALSE)</f>
        <v>5</v>
      </c>
      <c r="L50" s="133">
        <f>VLOOKUP(E3,'Housing Generation'!$A$3:$DQ$90,74,FALSE)</f>
        <v>6</v>
      </c>
      <c r="M50" s="133">
        <f>VLOOKUP(E3,'Housing Generation'!$A$3:$DQ$90,82,FALSE)</f>
        <v>7</v>
      </c>
      <c r="N50" s="133">
        <f>VLOOKUP(E3,'Housing Generation'!$A$3:$DQ$90,90,FALSE)</f>
        <v>8</v>
      </c>
      <c r="O50" s="133">
        <f>VLOOKUP(E3,'Housing Generation'!$A$3:$DQ$90,98,FALSE)</f>
        <v>8</v>
      </c>
      <c r="P50" s="133">
        <f>VLOOKUP(E3,'Housing Generation'!$A$3:$DQ$90,106,FALSE)</f>
        <v>8</v>
      </c>
      <c r="Q50" s="133">
        <f>VLOOKUP(E3,'Housing Generation'!$A$3:$DQ$90,114,FALSE)</f>
        <v>9</v>
      </c>
    </row>
    <row r="51" spans="2:17" ht="15" customHeight="1" thickTop="1">
      <c r="B51" s="421" t="s">
        <v>130</v>
      </c>
      <c r="C51" s="422"/>
      <c r="D51" s="47">
        <f t="shared" ref="D51:Q51" si="0">SUM(D49:D50)</f>
        <v>17</v>
      </c>
      <c r="E51" s="47">
        <f t="shared" si="0"/>
        <v>18</v>
      </c>
      <c r="F51" s="80">
        <f t="shared" si="0"/>
        <v>19</v>
      </c>
      <c r="G51" s="244">
        <f t="shared" si="0"/>
        <v>23</v>
      </c>
      <c r="H51" s="71">
        <f t="shared" si="0"/>
        <v>22</v>
      </c>
      <c r="I51" s="71">
        <f t="shared" si="0"/>
        <v>22</v>
      </c>
      <c r="J51" s="71">
        <f t="shared" si="0"/>
        <v>23</v>
      </c>
      <c r="K51" s="71">
        <f t="shared" si="0"/>
        <v>25</v>
      </c>
      <c r="L51" s="71">
        <f t="shared" si="0"/>
        <v>26</v>
      </c>
      <c r="M51" s="71">
        <f t="shared" si="0"/>
        <v>27</v>
      </c>
      <c r="N51" s="71">
        <f t="shared" si="0"/>
        <v>28</v>
      </c>
      <c r="O51" s="71">
        <f t="shared" si="0"/>
        <v>28</v>
      </c>
      <c r="P51" s="71">
        <f t="shared" si="0"/>
        <v>28</v>
      </c>
      <c r="Q51" s="71">
        <f t="shared" si="0"/>
        <v>29</v>
      </c>
    </row>
    <row r="52" spans="2:17" ht="15" customHeight="1">
      <c r="C52" s="36"/>
      <c r="D52" s="48"/>
      <c r="E52" s="48"/>
      <c r="F52" s="48"/>
      <c r="G52" s="48"/>
      <c r="H52" s="48"/>
    </row>
    <row r="53" spans="2:17" ht="31.5" customHeight="1">
      <c r="B53" s="423" t="s">
        <v>292</v>
      </c>
      <c r="C53" s="424"/>
      <c r="D53" s="87">
        <v>0</v>
      </c>
      <c r="E53" s="139" t="s">
        <v>181</v>
      </c>
      <c r="F53" s="140">
        <v>9</v>
      </c>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RC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12</v>
      </c>
      <c r="D60" s="358">
        <f>VLOOKUP($E$3,'Catchment Projections'!$A$1:$BZ$90,74,FALSE)</f>
        <v>12</v>
      </c>
      <c r="E60" s="303">
        <f>D60/C60</f>
        <v>1</v>
      </c>
      <c r="G60" s="132">
        <v>2014</v>
      </c>
      <c r="H60" s="395">
        <f>VLOOKUP($G$60,$B$177:$C$215, 2, FALSE)</f>
        <v>13</v>
      </c>
      <c r="I60" s="120">
        <f>H60-D60</f>
        <v>1</v>
      </c>
      <c r="J60" s="121">
        <f>I60/H60</f>
        <v>7.6923076923076927E-2</v>
      </c>
    </row>
    <row r="61" spans="2:17" ht="15" customHeight="1">
      <c r="B61" s="132">
        <v>2015</v>
      </c>
      <c r="C61" s="359">
        <f>VLOOKUP($E$3,'Catchment Projections'!$A$1:$BZ$90,41,FALSE)</f>
        <v>10</v>
      </c>
      <c r="D61" s="358">
        <f>VLOOKUP($E$3,'Catchment Projections'!$A$1:$BZ$90,75,FALSE)</f>
        <v>10</v>
      </c>
      <c r="E61" s="303">
        <f>D61/C61</f>
        <v>1</v>
      </c>
      <c r="G61" s="132">
        <v>2015</v>
      </c>
      <c r="H61" s="395">
        <f>VLOOKUP($G$61,$B$177:$C$215, 2, FALSE)</f>
        <v>12</v>
      </c>
      <c r="I61" s="120">
        <f>H61-D61</f>
        <v>2</v>
      </c>
      <c r="J61" s="121">
        <f>I61/H61</f>
        <v>0.16666666666666666</v>
      </c>
    </row>
    <row r="62" spans="2:17" ht="15" customHeight="1">
      <c r="B62" s="131">
        <v>2016</v>
      </c>
      <c r="C62" s="359">
        <f>VLOOKUP($E$3,'Catchment Projections'!$A$1:$BZ$90,42,FALSE)</f>
        <v>15</v>
      </c>
      <c r="D62" s="358">
        <f>VLOOKUP($E$3,'Catchment Projections'!$A$1:$BZ$90,76,FALSE)</f>
        <v>15</v>
      </c>
      <c r="E62" s="57">
        <f>D62/C62</f>
        <v>1</v>
      </c>
      <c r="G62" s="131">
        <v>2016</v>
      </c>
      <c r="H62" s="395">
        <f>VLOOKUP($G$62,$B$177:$C$215, 2, FALSE)</f>
        <v>15</v>
      </c>
      <c r="I62" s="120">
        <f>H62-D62</f>
        <v>0</v>
      </c>
      <c r="J62" s="121">
        <f>I62/H62</f>
        <v>0</v>
      </c>
    </row>
    <row r="63" spans="2:17" ht="15" customHeight="1">
      <c r="B63" s="114">
        <v>2017</v>
      </c>
      <c r="C63" s="359">
        <f>VLOOKUP($E$3,'Catchment Projections'!$A$1:$BZ$90,43,FALSE)</f>
        <v>16</v>
      </c>
      <c r="D63" s="358">
        <f>VLOOKUP($E$3,'Catchment Projections'!$A$1:$BZ$90,77,FALSE)</f>
        <v>16</v>
      </c>
      <c r="E63" s="304">
        <f>D63/C63</f>
        <v>1</v>
      </c>
      <c r="G63" s="114">
        <v>2017</v>
      </c>
      <c r="H63" s="395">
        <f>VLOOKUP($G$63,$B$177:$C$215, 2, FALSE)</f>
        <v>16</v>
      </c>
      <c r="I63" s="120">
        <f>H63-D63</f>
        <v>0</v>
      </c>
      <c r="J63" s="121">
        <f>I63/H63</f>
        <v>0</v>
      </c>
    </row>
    <row r="64" spans="2:17" ht="15" customHeight="1">
      <c r="B64" s="114">
        <v>2018</v>
      </c>
      <c r="C64" s="359">
        <f>VLOOKUP($E$3,'Catchment Projections'!$A$1:$BZ$90,44,FALSE)</f>
        <v>17</v>
      </c>
      <c r="D64" s="358">
        <f>VLOOKUP($E$3,'Catchment Projections'!$A$1:$BZ$90,78,FALSE)</f>
        <v>17</v>
      </c>
      <c r="E64" s="305">
        <f>D64/C64</f>
        <v>1</v>
      </c>
      <c r="G64" s="114">
        <v>2018</v>
      </c>
      <c r="H64" s="395">
        <f>VLOOKUP($G$64,$B$177:$C$215, 2, FALSE)</f>
        <v>17</v>
      </c>
      <c r="I64" s="120">
        <f>H64-D64</f>
        <v>0</v>
      </c>
      <c r="J64" s="121">
        <f>I64/H64</f>
        <v>0</v>
      </c>
    </row>
    <row r="65" spans="2:10" ht="15" customHeight="1">
      <c r="B65" s="412" t="s">
        <v>136</v>
      </c>
      <c r="C65" s="413"/>
      <c r="D65" s="414"/>
      <c r="E65" s="137">
        <f>IF((AVERAGE(E62:E64))="#DIV/0!","n/a",(AVERAGE(E62:E64)))</f>
        <v>1</v>
      </c>
      <c r="G65" s="415" t="s">
        <v>137</v>
      </c>
      <c r="H65" s="416"/>
      <c r="I65" s="138">
        <f>MEDIAN(I60:I64)</f>
        <v>0</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179</v>
      </c>
      <c r="D69" s="408"/>
      <c r="E69" s="125" t="s">
        <v>158</v>
      </c>
      <c r="F69" s="126" t="s">
        <v>133</v>
      </c>
      <c r="G69" s="124" t="s">
        <v>183</v>
      </c>
      <c r="H69" s="125" t="s">
        <v>138</v>
      </c>
      <c r="I69" s="124" t="s">
        <v>142</v>
      </c>
      <c r="J69" s="123" t="s">
        <v>139</v>
      </c>
    </row>
    <row r="70" spans="2:10" ht="15" customHeight="1">
      <c r="B70" s="114">
        <v>2019</v>
      </c>
      <c r="C70" s="433">
        <f>D51</f>
        <v>17</v>
      </c>
      <c r="D70" s="408"/>
      <c r="E70" s="122">
        <f>E65</f>
        <v>1</v>
      </c>
      <c r="F70" s="120">
        <f t="shared" ref="F70:F83" si="1">C70*$E$65</f>
        <v>17</v>
      </c>
      <c r="G70" s="118">
        <f>IF(F70&lt;26,25,IF(F70&gt;135,140,IF(F70&gt;130,135,IF(F70&gt;125,130,IF(F70&gt;120,125,IF(F70&gt;115,120,IF(F70&gt;110,115,IF(F70&gt;105,110,IF(F70&gt;100,105,IF(F70&gt;99,100,IF(F70&gt;90,99,IF(F70&gt;75,90,IF(F70&gt;72,75,IF(F70&gt;66,72,IF(F70&gt;60,66,IF(F70&gt;50,60,IF(F70&gt;30,50,IF(F70&gt;25,30,0))))))))))))))))))</f>
        <v>25</v>
      </c>
      <c r="H70" s="119">
        <f t="shared" ref="H70:H83" si="2">G70-F70</f>
        <v>8</v>
      </c>
      <c r="I70" s="118" t="str">
        <f>IF(I$65&lt;H70, "NO", "YES")</f>
        <v>NO</v>
      </c>
      <c r="J70" s="117">
        <f t="shared" ref="J70:J83" si="3">IF(I70="YES",G70,(MIN((SUM(F70,$I$65)),G70)))</f>
        <v>17</v>
      </c>
    </row>
    <row r="71" spans="2:10" ht="15" customHeight="1">
      <c r="B71" s="114">
        <v>2020</v>
      </c>
      <c r="C71" s="433">
        <f>E51</f>
        <v>18</v>
      </c>
      <c r="D71" s="408"/>
      <c r="E71" s="121">
        <f>E65</f>
        <v>1</v>
      </c>
      <c r="F71" s="120">
        <f t="shared" si="1"/>
        <v>18</v>
      </c>
      <c r="G71" s="118">
        <f t="shared" ref="G71:G83" si="4">IF(F71&lt;26,25,IF(F71&gt;135,140,IF(F71&gt;130,135,IF(F71&gt;125,130,IF(F71&gt;120,125,IF(F71&gt;115,120,IF(F71&gt;110,115,IF(F71&gt;105,110,IF(F71&gt;100,105,IF(F71&gt;99,100,IF(F71&gt;90,99,IF(F71&gt;75,90,IF(F71&gt;72,75,IF(F71&gt;66,72,IF(F71&gt;60,66,IF(F71&gt;50,60,IF(F71&gt;30,50,IF(F71&gt;25,30,0))))))))))))))))))</f>
        <v>25</v>
      </c>
      <c r="H71" s="119">
        <f t="shared" si="2"/>
        <v>7</v>
      </c>
      <c r="I71" s="118" t="str">
        <f t="shared" ref="I71:I83" si="5">IF(I$65&lt;H71, "NO", "YES")</f>
        <v>NO</v>
      </c>
      <c r="J71" s="117">
        <f t="shared" si="3"/>
        <v>18</v>
      </c>
    </row>
    <row r="72" spans="2:10" ht="15" customHeight="1">
      <c r="B72" s="114">
        <v>2021</v>
      </c>
      <c r="C72" s="430">
        <f>F51</f>
        <v>19</v>
      </c>
      <c r="D72" s="431"/>
      <c r="E72" s="121">
        <f>E65</f>
        <v>1</v>
      </c>
      <c r="F72" s="120">
        <f t="shared" si="1"/>
        <v>19</v>
      </c>
      <c r="G72" s="118">
        <f t="shared" si="4"/>
        <v>25</v>
      </c>
      <c r="H72" s="119">
        <f t="shared" si="2"/>
        <v>6</v>
      </c>
      <c r="I72" s="118" t="str">
        <f t="shared" si="5"/>
        <v>NO</v>
      </c>
      <c r="J72" s="117">
        <f t="shared" si="3"/>
        <v>19</v>
      </c>
    </row>
    <row r="73" spans="2:10" ht="15" customHeight="1">
      <c r="B73" s="114">
        <v>2022</v>
      </c>
      <c r="C73" s="430">
        <f>G51</f>
        <v>23</v>
      </c>
      <c r="D73" s="431"/>
      <c r="E73" s="121">
        <f>E65</f>
        <v>1</v>
      </c>
      <c r="F73" s="120">
        <f t="shared" si="1"/>
        <v>23</v>
      </c>
      <c r="G73" s="118">
        <f t="shared" si="4"/>
        <v>25</v>
      </c>
      <c r="H73" s="119">
        <f t="shared" si="2"/>
        <v>2</v>
      </c>
      <c r="I73" s="118" t="str">
        <f t="shared" si="5"/>
        <v>NO</v>
      </c>
      <c r="J73" s="117">
        <f t="shared" si="3"/>
        <v>23</v>
      </c>
    </row>
    <row r="74" spans="2:10" ht="15" customHeight="1">
      <c r="B74" s="114">
        <v>2023</v>
      </c>
      <c r="C74" s="430">
        <f>H51</f>
        <v>22</v>
      </c>
      <c r="D74" s="431"/>
      <c r="E74" s="121">
        <f>E65</f>
        <v>1</v>
      </c>
      <c r="F74" s="120">
        <f t="shared" si="1"/>
        <v>22</v>
      </c>
      <c r="G74" s="118">
        <f t="shared" si="4"/>
        <v>25</v>
      </c>
      <c r="H74" s="119">
        <f t="shared" si="2"/>
        <v>3</v>
      </c>
      <c r="I74" s="118" t="str">
        <f t="shared" si="5"/>
        <v>NO</v>
      </c>
      <c r="J74" s="117">
        <f t="shared" si="3"/>
        <v>22</v>
      </c>
    </row>
    <row r="75" spans="2:10" ht="15" customHeight="1">
      <c r="B75" s="114">
        <v>2024</v>
      </c>
      <c r="C75" s="430">
        <f>I51</f>
        <v>22</v>
      </c>
      <c r="D75" s="431"/>
      <c r="E75" s="121">
        <f>E65</f>
        <v>1</v>
      </c>
      <c r="F75" s="120">
        <f t="shared" si="1"/>
        <v>22</v>
      </c>
      <c r="G75" s="118">
        <f t="shared" si="4"/>
        <v>25</v>
      </c>
      <c r="H75" s="119">
        <f t="shared" si="2"/>
        <v>3</v>
      </c>
      <c r="I75" s="118" t="str">
        <f t="shared" si="5"/>
        <v>NO</v>
      </c>
      <c r="J75" s="117">
        <f t="shared" si="3"/>
        <v>22</v>
      </c>
    </row>
    <row r="76" spans="2:10" ht="15" customHeight="1">
      <c r="B76" s="114">
        <v>2025</v>
      </c>
      <c r="C76" s="430">
        <f>J51</f>
        <v>23</v>
      </c>
      <c r="D76" s="431"/>
      <c r="E76" s="121">
        <f>E65</f>
        <v>1</v>
      </c>
      <c r="F76" s="120">
        <f t="shared" si="1"/>
        <v>23</v>
      </c>
      <c r="G76" s="118">
        <f t="shared" si="4"/>
        <v>25</v>
      </c>
      <c r="H76" s="119">
        <f t="shared" si="2"/>
        <v>2</v>
      </c>
      <c r="I76" s="118" t="str">
        <f t="shared" si="5"/>
        <v>NO</v>
      </c>
      <c r="J76" s="117">
        <f t="shared" si="3"/>
        <v>23</v>
      </c>
    </row>
    <row r="77" spans="2:10" ht="15" customHeight="1">
      <c r="B77" s="114">
        <v>2026</v>
      </c>
      <c r="C77" s="430">
        <f>K51</f>
        <v>25</v>
      </c>
      <c r="D77" s="431"/>
      <c r="E77" s="121">
        <f>E65</f>
        <v>1</v>
      </c>
      <c r="F77" s="120">
        <f t="shared" si="1"/>
        <v>25</v>
      </c>
      <c r="G77" s="118">
        <f t="shared" si="4"/>
        <v>25</v>
      </c>
      <c r="H77" s="119">
        <f t="shared" si="2"/>
        <v>0</v>
      </c>
      <c r="I77" s="118" t="str">
        <f t="shared" si="5"/>
        <v>YES</v>
      </c>
      <c r="J77" s="117">
        <f t="shared" si="3"/>
        <v>25</v>
      </c>
    </row>
    <row r="78" spans="2:10" ht="15" customHeight="1">
      <c r="B78" s="114">
        <v>2027</v>
      </c>
      <c r="C78" s="430">
        <f>L51</f>
        <v>26</v>
      </c>
      <c r="D78" s="431"/>
      <c r="E78" s="121">
        <f>E65</f>
        <v>1</v>
      </c>
      <c r="F78" s="120">
        <f t="shared" si="1"/>
        <v>26</v>
      </c>
      <c r="G78" s="118">
        <f t="shared" si="4"/>
        <v>30</v>
      </c>
      <c r="H78" s="119">
        <f t="shared" si="2"/>
        <v>4</v>
      </c>
      <c r="I78" s="118" t="str">
        <f t="shared" si="5"/>
        <v>NO</v>
      </c>
      <c r="J78" s="117">
        <f t="shared" si="3"/>
        <v>26</v>
      </c>
    </row>
    <row r="79" spans="2:10" ht="15" customHeight="1">
      <c r="B79" s="114">
        <v>2028</v>
      </c>
      <c r="C79" s="430">
        <f>M51</f>
        <v>27</v>
      </c>
      <c r="D79" s="431"/>
      <c r="E79" s="121">
        <f t="shared" ref="E79:E83" si="6">$E$65</f>
        <v>1</v>
      </c>
      <c r="F79" s="120">
        <f t="shared" si="1"/>
        <v>27</v>
      </c>
      <c r="G79" s="118">
        <f t="shared" si="4"/>
        <v>30</v>
      </c>
      <c r="H79" s="119">
        <f t="shared" si="2"/>
        <v>3</v>
      </c>
      <c r="I79" s="118" t="str">
        <f t="shared" si="5"/>
        <v>NO</v>
      </c>
      <c r="J79" s="117">
        <f t="shared" si="3"/>
        <v>27</v>
      </c>
    </row>
    <row r="80" spans="2:10" ht="15" customHeight="1">
      <c r="B80" s="114">
        <v>2029</v>
      </c>
      <c r="C80" s="430">
        <f>N51</f>
        <v>28</v>
      </c>
      <c r="D80" s="431"/>
      <c r="E80" s="121">
        <f t="shared" si="6"/>
        <v>1</v>
      </c>
      <c r="F80" s="120">
        <f t="shared" si="1"/>
        <v>28</v>
      </c>
      <c r="G80" s="118">
        <f t="shared" si="4"/>
        <v>30</v>
      </c>
      <c r="H80" s="119">
        <f t="shared" si="2"/>
        <v>2</v>
      </c>
      <c r="I80" s="118" t="str">
        <f t="shared" si="5"/>
        <v>NO</v>
      </c>
      <c r="J80" s="117">
        <f t="shared" si="3"/>
        <v>28</v>
      </c>
    </row>
    <row r="81" spans="2:10" ht="15" customHeight="1">
      <c r="B81" s="114">
        <v>2030</v>
      </c>
      <c r="C81" s="430">
        <f>O51</f>
        <v>28</v>
      </c>
      <c r="D81" s="431"/>
      <c r="E81" s="121">
        <f t="shared" si="6"/>
        <v>1</v>
      </c>
      <c r="F81" s="120">
        <f t="shared" si="1"/>
        <v>28</v>
      </c>
      <c r="G81" s="118">
        <f t="shared" si="4"/>
        <v>30</v>
      </c>
      <c r="H81" s="119">
        <f t="shared" si="2"/>
        <v>2</v>
      </c>
      <c r="I81" s="118" t="str">
        <f t="shared" si="5"/>
        <v>NO</v>
      </c>
      <c r="J81" s="117">
        <f t="shared" si="3"/>
        <v>28</v>
      </c>
    </row>
    <row r="82" spans="2:10" ht="15" customHeight="1">
      <c r="B82" s="114">
        <v>2031</v>
      </c>
      <c r="C82" s="430">
        <f>P51</f>
        <v>28</v>
      </c>
      <c r="D82" s="431"/>
      <c r="E82" s="121">
        <f t="shared" si="6"/>
        <v>1</v>
      </c>
      <c r="F82" s="120">
        <f t="shared" si="1"/>
        <v>28</v>
      </c>
      <c r="G82" s="118">
        <f t="shared" si="4"/>
        <v>30</v>
      </c>
      <c r="H82" s="119">
        <f t="shared" si="2"/>
        <v>2</v>
      </c>
      <c r="I82" s="118" t="str">
        <f t="shared" si="5"/>
        <v>NO</v>
      </c>
      <c r="J82" s="117">
        <f t="shared" si="3"/>
        <v>28</v>
      </c>
    </row>
    <row r="83" spans="2:10" ht="15" customHeight="1">
      <c r="B83" s="114">
        <v>2032</v>
      </c>
      <c r="C83" s="430">
        <f>Q51</f>
        <v>29</v>
      </c>
      <c r="D83" s="431"/>
      <c r="E83" s="121">
        <f t="shared" si="6"/>
        <v>1</v>
      </c>
      <c r="F83" s="120">
        <f t="shared" si="1"/>
        <v>29</v>
      </c>
      <c r="G83" s="118">
        <f t="shared" si="4"/>
        <v>30</v>
      </c>
      <c r="H83" s="119">
        <f t="shared" si="2"/>
        <v>1</v>
      </c>
      <c r="I83" s="118" t="str">
        <f t="shared" si="5"/>
        <v>NO</v>
      </c>
      <c r="J83" s="117">
        <f t="shared" si="3"/>
        <v>29</v>
      </c>
    </row>
    <row r="84" spans="2:10" ht="15" customHeight="1">
      <c r="C84" s="16"/>
      <c r="D84" s="16"/>
      <c r="E84" s="16"/>
      <c r="F84" s="16"/>
      <c r="G84" s="16"/>
      <c r="H84" s="16"/>
    </row>
    <row r="85" spans="2:10" ht="15" customHeight="1">
      <c r="B85" s="11" t="s">
        <v>186</v>
      </c>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St Margaret's RC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19</v>
      </c>
      <c r="D91" s="112">
        <f t="shared" ref="D91:J91" si="7">D188</f>
        <v>15</v>
      </c>
      <c r="E91" s="112">
        <f t="shared" si="7"/>
        <v>17</v>
      </c>
      <c r="F91" s="112">
        <f t="shared" si="7"/>
        <v>12</v>
      </c>
      <c r="G91" s="112">
        <f t="shared" si="7"/>
        <v>12</v>
      </c>
      <c r="H91" s="112">
        <f t="shared" si="7"/>
        <v>12</v>
      </c>
      <c r="I91" s="112">
        <f t="shared" si="7"/>
        <v>18</v>
      </c>
      <c r="J91" s="213">
        <f t="shared" si="7"/>
        <v>105</v>
      </c>
    </row>
    <row r="92" spans="2:10" ht="15" customHeight="1">
      <c r="B92" s="114">
        <v>2014</v>
      </c>
      <c r="C92" s="112">
        <f>C189</f>
        <v>13</v>
      </c>
      <c r="D92" s="112">
        <f t="shared" ref="D92:J92" si="8">D189</f>
        <v>25</v>
      </c>
      <c r="E92" s="112">
        <f t="shared" si="8"/>
        <v>16</v>
      </c>
      <c r="F92" s="112">
        <f t="shared" si="8"/>
        <v>17</v>
      </c>
      <c r="G92" s="112">
        <f t="shared" si="8"/>
        <v>12</v>
      </c>
      <c r="H92" s="112">
        <f t="shared" si="8"/>
        <v>11</v>
      </c>
      <c r="I92" s="112">
        <f t="shared" si="8"/>
        <v>10</v>
      </c>
      <c r="J92" s="213">
        <f t="shared" si="8"/>
        <v>104</v>
      </c>
    </row>
    <row r="93" spans="2:10" ht="15" customHeight="1">
      <c r="B93" s="114">
        <v>2015</v>
      </c>
      <c r="C93" s="112">
        <f>C190</f>
        <v>12</v>
      </c>
      <c r="D93" s="112">
        <f t="shared" ref="D93:J93" si="9">D190</f>
        <v>12</v>
      </c>
      <c r="E93" s="112">
        <f t="shared" si="9"/>
        <v>28</v>
      </c>
      <c r="F93" s="112">
        <f t="shared" si="9"/>
        <v>17</v>
      </c>
      <c r="G93" s="112">
        <f t="shared" si="9"/>
        <v>17</v>
      </c>
      <c r="H93" s="112">
        <f t="shared" si="9"/>
        <v>13</v>
      </c>
      <c r="I93" s="112">
        <f t="shared" si="9"/>
        <v>11</v>
      </c>
      <c r="J93" s="213">
        <f t="shared" si="9"/>
        <v>110</v>
      </c>
    </row>
    <row r="94" spans="2:10" ht="15" customHeight="1">
      <c r="B94" s="114">
        <v>2016</v>
      </c>
      <c r="C94" s="112">
        <f>C191</f>
        <v>15</v>
      </c>
      <c r="D94" s="112">
        <f t="shared" ref="D94:J94" si="10">D191</f>
        <v>10</v>
      </c>
      <c r="E94" s="112">
        <f t="shared" si="10"/>
        <v>10</v>
      </c>
      <c r="F94" s="112">
        <f t="shared" si="10"/>
        <v>28</v>
      </c>
      <c r="G94" s="112">
        <f t="shared" si="10"/>
        <v>19</v>
      </c>
      <c r="H94" s="112">
        <f t="shared" si="10"/>
        <v>16</v>
      </c>
      <c r="I94" s="112">
        <f t="shared" si="10"/>
        <v>13</v>
      </c>
      <c r="J94" s="213">
        <f t="shared" si="10"/>
        <v>111</v>
      </c>
    </row>
    <row r="95" spans="2:10" ht="15" customHeight="1">
      <c r="B95" s="114">
        <v>2017</v>
      </c>
      <c r="C95" s="112">
        <f>C192</f>
        <v>16</v>
      </c>
      <c r="D95" s="112">
        <f t="shared" ref="D95:J95" si="11">D192</f>
        <v>18</v>
      </c>
      <c r="E95" s="112">
        <f t="shared" si="11"/>
        <v>11</v>
      </c>
      <c r="F95" s="112">
        <f t="shared" si="11"/>
        <v>12</v>
      </c>
      <c r="G95" s="112">
        <f t="shared" si="11"/>
        <v>28</v>
      </c>
      <c r="H95" s="112">
        <f t="shared" si="11"/>
        <v>16</v>
      </c>
      <c r="I95" s="112">
        <f t="shared" si="11"/>
        <v>17</v>
      </c>
      <c r="J95" s="213">
        <f t="shared" si="11"/>
        <v>118</v>
      </c>
    </row>
    <row r="96" spans="2:10" ht="15" customHeight="1">
      <c r="B96" s="307">
        <v>2018</v>
      </c>
      <c r="C96" s="112">
        <f t="shared" ref="C96:J96" si="12">C193</f>
        <v>17</v>
      </c>
      <c r="D96" s="112">
        <f t="shared" si="12"/>
        <v>19</v>
      </c>
      <c r="E96" s="112">
        <f t="shared" si="12"/>
        <v>19</v>
      </c>
      <c r="F96" s="112">
        <f t="shared" si="12"/>
        <v>11</v>
      </c>
      <c r="G96" s="112">
        <f t="shared" si="12"/>
        <v>13</v>
      </c>
      <c r="H96" s="112">
        <f t="shared" si="12"/>
        <v>27</v>
      </c>
      <c r="I96" s="112">
        <f t="shared" si="12"/>
        <v>14</v>
      </c>
      <c r="J96" s="213">
        <f t="shared" si="12"/>
        <v>120</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-0.1875</v>
      </c>
      <c r="E98" s="210">
        <f t="shared" ref="E98:I98" si="13">MEDIAN(((D91-E92)/D91),((D92-E93)/D92),((D93-E94)/D93),((D94-E95)/D94),((D95-E96)/D95))</f>
        <v>-6.6666666666666666E-2</v>
      </c>
      <c r="F98" s="210">
        <f t="shared" si="13"/>
        <v>0</v>
      </c>
      <c r="G98" s="210">
        <f t="shared" si="13"/>
        <v>0</v>
      </c>
      <c r="H98" s="210">
        <f t="shared" si="13"/>
        <v>5.8823529411764705E-2</v>
      </c>
      <c r="I98" s="210">
        <f t="shared" si="13"/>
        <v>0</v>
      </c>
    </row>
    <row r="99" spans="2:10" ht="18.75">
      <c r="B99" s="59"/>
      <c r="C99" s="60"/>
      <c r="D99" s="61"/>
      <c r="E99" s="61"/>
      <c r="F99" s="61"/>
      <c r="G99" s="61"/>
      <c r="H99" s="61"/>
      <c r="I99" s="61"/>
      <c r="J99" s="58"/>
    </row>
    <row r="100" spans="2:10">
      <c r="B100" s="15" t="str">
        <f>"Table 4B: "&amp;E3&amp;" Projected Roll by Stage (incorporating Projected P1 and Drop-Off Rates), 2019-2032"</f>
        <v>Table 4B: St Margaret's RC Primary School Projected Roll by Stage (incorporating Projected P1 and Drop-Off Rates), 2019-2032</v>
      </c>
      <c r="F100" s="14"/>
      <c r="G100" s="14"/>
    </row>
    <row r="101" spans="2:10" ht="12.75">
      <c r="F101" s="14"/>
      <c r="G101" s="14"/>
    </row>
    <row r="102" spans="2:10">
      <c r="B102" s="115"/>
      <c r="C102" s="109" t="s">
        <v>1</v>
      </c>
      <c r="D102" s="109" t="s">
        <v>2</v>
      </c>
      <c r="E102" s="109" t="s">
        <v>3</v>
      </c>
      <c r="F102" s="109" t="s">
        <v>4</v>
      </c>
      <c r="G102" s="109" t="s">
        <v>5</v>
      </c>
      <c r="H102" s="109" t="s">
        <v>6</v>
      </c>
      <c r="I102" s="109" t="s">
        <v>7</v>
      </c>
      <c r="J102" s="109" t="s">
        <v>8</v>
      </c>
    </row>
    <row r="103" spans="2:10">
      <c r="B103" s="114">
        <v>2019</v>
      </c>
      <c r="C103" s="113">
        <f t="shared" ref="C103:C116" si="14">J70</f>
        <v>17</v>
      </c>
      <c r="D103" s="324">
        <f>ROUND((C96)-(C96*$D$98),0)</f>
        <v>20</v>
      </c>
      <c r="E103" s="324">
        <f>ROUND((D96)-(D96*$E$98),0)</f>
        <v>20</v>
      </c>
      <c r="F103" s="324">
        <f>ROUND((E96)-(E96*$F$98),0)</f>
        <v>19</v>
      </c>
      <c r="G103" s="324">
        <f>ROUND((F96)-(F96*$G$98),0)</f>
        <v>11</v>
      </c>
      <c r="H103" s="324">
        <f>ROUND((G96)-(G96*$H$98),0)</f>
        <v>12</v>
      </c>
      <c r="I103" s="324">
        <f>ROUND((H96)-(H96*$I$98),0)</f>
        <v>27</v>
      </c>
      <c r="J103" s="111">
        <f t="shared" ref="J103:J116" si="15">SUM(C103:I103)</f>
        <v>126</v>
      </c>
    </row>
    <row r="104" spans="2:10">
      <c r="B104" s="114">
        <v>2020</v>
      </c>
      <c r="C104" s="113">
        <f t="shared" si="14"/>
        <v>18</v>
      </c>
      <c r="D104" s="324">
        <f>ROUND((C103-E50)-(C103*$D$98),0)</f>
        <v>19</v>
      </c>
      <c r="E104" s="112">
        <f t="shared" ref="E104:E116" si="16">ROUND((D103)-(D103*$E$98),0)</f>
        <v>21</v>
      </c>
      <c r="F104" s="112">
        <f t="shared" ref="F104:F116" si="17">ROUND((E103)-(E103*$F$98),0)</f>
        <v>20</v>
      </c>
      <c r="G104" s="112">
        <f t="shared" ref="G104:G116" si="18">ROUND((F103)-(F103*$G$98),0)</f>
        <v>19</v>
      </c>
      <c r="H104" s="112">
        <f t="shared" ref="H104:H116" si="19">ROUND((G103)-(G103*$H$98),0)</f>
        <v>10</v>
      </c>
      <c r="I104" s="112">
        <f t="shared" ref="I104:I116" si="20">ROUND((H103)-(H103*$I$98),0)</f>
        <v>12</v>
      </c>
      <c r="J104" s="111">
        <f t="shared" si="15"/>
        <v>119</v>
      </c>
    </row>
    <row r="105" spans="2:10">
      <c r="B105" s="114">
        <v>2021</v>
      </c>
      <c r="C105" s="113">
        <f t="shared" si="14"/>
        <v>19</v>
      </c>
      <c r="D105" s="324">
        <f>ROUND((C104-F50)-(C104*$D$98),0)</f>
        <v>20</v>
      </c>
      <c r="E105" s="112">
        <f t="shared" si="16"/>
        <v>20</v>
      </c>
      <c r="F105" s="112">
        <f t="shared" si="17"/>
        <v>21</v>
      </c>
      <c r="G105" s="112">
        <f t="shared" si="18"/>
        <v>20</v>
      </c>
      <c r="H105" s="112">
        <f t="shared" si="19"/>
        <v>18</v>
      </c>
      <c r="I105" s="112">
        <f t="shared" si="20"/>
        <v>10</v>
      </c>
      <c r="J105" s="111">
        <f t="shared" si="15"/>
        <v>128</v>
      </c>
    </row>
    <row r="106" spans="2:10">
      <c r="B106" s="114">
        <v>2022</v>
      </c>
      <c r="C106" s="113">
        <f t="shared" si="14"/>
        <v>23</v>
      </c>
      <c r="D106" s="324">
        <f>ROUND((C105-G50)-(C105*$D$98),0)</f>
        <v>21</v>
      </c>
      <c r="E106" s="112">
        <f t="shared" si="16"/>
        <v>21</v>
      </c>
      <c r="F106" s="112">
        <f t="shared" si="17"/>
        <v>20</v>
      </c>
      <c r="G106" s="112">
        <f t="shared" si="18"/>
        <v>21</v>
      </c>
      <c r="H106" s="112">
        <f t="shared" si="19"/>
        <v>19</v>
      </c>
      <c r="I106" s="112">
        <f t="shared" si="20"/>
        <v>18</v>
      </c>
      <c r="J106" s="111">
        <f t="shared" si="15"/>
        <v>143</v>
      </c>
    </row>
    <row r="107" spans="2:10">
      <c r="B107" s="114">
        <v>2023</v>
      </c>
      <c r="C107" s="113">
        <f t="shared" si="14"/>
        <v>22</v>
      </c>
      <c r="D107" s="324">
        <f>ROUND((C106-H50)-(C106*$D$98),0)</f>
        <v>24</v>
      </c>
      <c r="E107" s="112">
        <f t="shared" si="16"/>
        <v>22</v>
      </c>
      <c r="F107" s="112">
        <f t="shared" si="17"/>
        <v>21</v>
      </c>
      <c r="G107" s="112">
        <f t="shared" si="18"/>
        <v>20</v>
      </c>
      <c r="H107" s="112">
        <f t="shared" si="19"/>
        <v>20</v>
      </c>
      <c r="I107" s="112">
        <f t="shared" si="20"/>
        <v>19</v>
      </c>
      <c r="J107" s="111">
        <f t="shared" si="15"/>
        <v>148</v>
      </c>
    </row>
    <row r="108" spans="2:10">
      <c r="B108" s="114">
        <v>2024</v>
      </c>
      <c r="C108" s="113">
        <f t="shared" si="14"/>
        <v>22</v>
      </c>
      <c r="D108" s="324">
        <f>ROUND((C107-I50)-(C107*$D$98),0)</f>
        <v>23</v>
      </c>
      <c r="E108" s="112">
        <f t="shared" si="16"/>
        <v>26</v>
      </c>
      <c r="F108" s="112">
        <f t="shared" si="17"/>
        <v>22</v>
      </c>
      <c r="G108" s="112">
        <f t="shared" si="18"/>
        <v>21</v>
      </c>
      <c r="H108" s="112">
        <f t="shared" si="19"/>
        <v>19</v>
      </c>
      <c r="I108" s="112">
        <f t="shared" si="20"/>
        <v>20</v>
      </c>
      <c r="J108" s="111">
        <f t="shared" si="15"/>
        <v>153</v>
      </c>
    </row>
    <row r="109" spans="2:10">
      <c r="B109" s="114">
        <v>2025</v>
      </c>
      <c r="C109" s="113">
        <f t="shared" si="14"/>
        <v>23</v>
      </c>
      <c r="D109" s="324">
        <f>ROUND((C108-J50)-(C108*$D$98),0)</f>
        <v>22</v>
      </c>
      <c r="E109" s="112">
        <f t="shared" si="16"/>
        <v>25</v>
      </c>
      <c r="F109" s="112">
        <f t="shared" si="17"/>
        <v>26</v>
      </c>
      <c r="G109" s="112">
        <f t="shared" si="18"/>
        <v>22</v>
      </c>
      <c r="H109" s="112">
        <f t="shared" si="19"/>
        <v>20</v>
      </c>
      <c r="I109" s="112">
        <f t="shared" si="20"/>
        <v>19</v>
      </c>
      <c r="J109" s="111">
        <f t="shared" si="15"/>
        <v>157</v>
      </c>
    </row>
    <row r="110" spans="2:10">
      <c r="B110" s="114">
        <v>2026</v>
      </c>
      <c r="C110" s="113">
        <f t="shared" si="14"/>
        <v>25</v>
      </c>
      <c r="D110" s="324">
        <f>ROUND((C109-K50)-(C109*$D$98),0)</f>
        <v>22</v>
      </c>
      <c r="E110" s="112">
        <f t="shared" si="16"/>
        <v>23</v>
      </c>
      <c r="F110" s="112">
        <f t="shared" si="17"/>
        <v>25</v>
      </c>
      <c r="G110" s="112">
        <f t="shared" si="18"/>
        <v>26</v>
      </c>
      <c r="H110" s="112">
        <f t="shared" si="19"/>
        <v>21</v>
      </c>
      <c r="I110" s="112">
        <f t="shared" si="20"/>
        <v>20</v>
      </c>
      <c r="J110" s="111">
        <f t="shared" si="15"/>
        <v>162</v>
      </c>
    </row>
    <row r="111" spans="2:10">
      <c r="B111" s="114">
        <v>2027</v>
      </c>
      <c r="C111" s="113">
        <f t="shared" si="14"/>
        <v>26</v>
      </c>
      <c r="D111" s="324">
        <f>ROUND((C110-L50)-(C110*$D$98),0)</f>
        <v>24</v>
      </c>
      <c r="E111" s="112">
        <f t="shared" si="16"/>
        <v>23</v>
      </c>
      <c r="F111" s="112">
        <f t="shared" si="17"/>
        <v>23</v>
      </c>
      <c r="G111" s="112">
        <f t="shared" si="18"/>
        <v>25</v>
      </c>
      <c r="H111" s="112">
        <f t="shared" si="19"/>
        <v>24</v>
      </c>
      <c r="I111" s="112">
        <f t="shared" si="20"/>
        <v>21</v>
      </c>
      <c r="J111" s="111">
        <f t="shared" si="15"/>
        <v>166</v>
      </c>
    </row>
    <row r="112" spans="2:10">
      <c r="B112" s="114">
        <v>2028</v>
      </c>
      <c r="C112" s="113">
        <f t="shared" si="14"/>
        <v>27</v>
      </c>
      <c r="D112" s="324">
        <f>ROUND((C111-M50)-(C111*$D$98),0)</f>
        <v>24</v>
      </c>
      <c r="E112" s="112">
        <f t="shared" si="16"/>
        <v>26</v>
      </c>
      <c r="F112" s="112">
        <f t="shared" si="17"/>
        <v>23</v>
      </c>
      <c r="G112" s="112">
        <f t="shared" si="18"/>
        <v>23</v>
      </c>
      <c r="H112" s="112">
        <f t="shared" si="19"/>
        <v>24</v>
      </c>
      <c r="I112" s="112">
        <f t="shared" si="20"/>
        <v>24</v>
      </c>
      <c r="J112" s="111">
        <f t="shared" si="15"/>
        <v>171</v>
      </c>
    </row>
    <row r="113" spans="2:10" ht="15" customHeight="1">
      <c r="B113" s="114">
        <v>2029</v>
      </c>
      <c r="C113" s="113">
        <f t="shared" si="14"/>
        <v>28</v>
      </c>
      <c r="D113" s="324">
        <f>ROUND((C112-N50)-(C112*$D$98),0)</f>
        <v>24</v>
      </c>
      <c r="E113" s="112">
        <f t="shared" si="16"/>
        <v>26</v>
      </c>
      <c r="F113" s="112">
        <f t="shared" si="17"/>
        <v>26</v>
      </c>
      <c r="G113" s="112">
        <f t="shared" si="18"/>
        <v>23</v>
      </c>
      <c r="H113" s="112">
        <f t="shared" si="19"/>
        <v>22</v>
      </c>
      <c r="I113" s="112">
        <f t="shared" si="20"/>
        <v>24</v>
      </c>
      <c r="J113" s="111">
        <f t="shared" si="15"/>
        <v>173</v>
      </c>
    </row>
    <row r="114" spans="2:10" ht="15" customHeight="1">
      <c r="B114" s="114">
        <v>2030</v>
      </c>
      <c r="C114" s="113">
        <f t="shared" si="14"/>
        <v>28</v>
      </c>
      <c r="D114" s="324">
        <f>ROUND((C113-O50)-(C113*$D$98),0)</f>
        <v>25</v>
      </c>
      <c r="E114" s="112">
        <f t="shared" si="16"/>
        <v>26</v>
      </c>
      <c r="F114" s="112">
        <f t="shared" si="17"/>
        <v>26</v>
      </c>
      <c r="G114" s="112">
        <f t="shared" si="18"/>
        <v>26</v>
      </c>
      <c r="H114" s="112">
        <f t="shared" si="19"/>
        <v>22</v>
      </c>
      <c r="I114" s="112">
        <f t="shared" si="20"/>
        <v>22</v>
      </c>
      <c r="J114" s="111">
        <f t="shared" si="15"/>
        <v>175</v>
      </c>
    </row>
    <row r="115" spans="2:10" ht="15" customHeight="1">
      <c r="B115" s="114">
        <v>2031</v>
      </c>
      <c r="C115" s="113">
        <f t="shared" si="14"/>
        <v>28</v>
      </c>
      <c r="D115" s="324">
        <f>ROUND((C114-P50)-(C114*$D$98),0)</f>
        <v>25</v>
      </c>
      <c r="E115" s="112">
        <f t="shared" si="16"/>
        <v>27</v>
      </c>
      <c r="F115" s="112">
        <f t="shared" si="17"/>
        <v>26</v>
      </c>
      <c r="G115" s="112">
        <f t="shared" si="18"/>
        <v>26</v>
      </c>
      <c r="H115" s="112">
        <f t="shared" si="19"/>
        <v>24</v>
      </c>
      <c r="I115" s="112">
        <f t="shared" si="20"/>
        <v>22</v>
      </c>
      <c r="J115" s="111">
        <f t="shared" si="15"/>
        <v>178</v>
      </c>
    </row>
    <row r="116" spans="2:10" ht="15" customHeight="1">
      <c r="B116" s="114">
        <v>2032</v>
      </c>
      <c r="C116" s="113">
        <f t="shared" si="14"/>
        <v>29</v>
      </c>
      <c r="D116" s="324">
        <f>ROUND((C115-Q50)-(C115*$D$98),0)</f>
        <v>24</v>
      </c>
      <c r="E116" s="112">
        <f t="shared" si="16"/>
        <v>27</v>
      </c>
      <c r="F116" s="112">
        <f t="shared" si="17"/>
        <v>27</v>
      </c>
      <c r="G116" s="112">
        <f t="shared" si="18"/>
        <v>26</v>
      </c>
      <c r="H116" s="112">
        <f t="shared" si="19"/>
        <v>24</v>
      </c>
      <c r="I116" s="112">
        <f t="shared" si="20"/>
        <v>24</v>
      </c>
      <c r="J116" s="111">
        <f t="shared" si="15"/>
        <v>181</v>
      </c>
    </row>
    <row r="117" spans="2:10" ht="15" hidden="1" customHeight="1">
      <c r="F117" s="14"/>
      <c r="G117" s="14"/>
    </row>
    <row r="118" spans="2:10" ht="15" hidden="1" customHeight="1">
      <c r="B118" s="15" t="str">
        <f>"Table 4C: "&amp;E3&amp;" Projected Pupil Generation from Housing Development, 2019-2032"</f>
        <v>Table 4C: St Margaret's RC Primary School Projected Pupil Generation from Housing Development, 2019-2032</v>
      </c>
      <c r="F118" s="14"/>
      <c r="G118" s="14"/>
    </row>
    <row r="119" spans="2:10" ht="15" hidden="1" customHeight="1">
      <c r="F119" s="14"/>
      <c r="G119" s="14"/>
    </row>
    <row r="120" spans="2:10" ht="15" hidden="1" customHeight="1">
      <c r="B120" s="115"/>
      <c r="C120" s="109" t="s">
        <v>1</v>
      </c>
      <c r="D120" s="109" t="s">
        <v>2</v>
      </c>
      <c r="E120" s="109" t="s">
        <v>3</v>
      </c>
      <c r="F120" s="109" t="s">
        <v>4</v>
      </c>
      <c r="G120" s="109" t="s">
        <v>5</v>
      </c>
      <c r="H120" s="109" t="s">
        <v>6</v>
      </c>
      <c r="I120" s="109" t="s">
        <v>7</v>
      </c>
      <c r="J120" s="109" t="s">
        <v>8</v>
      </c>
    </row>
    <row r="121" spans="2:10" ht="15" hidden="1" customHeight="1">
      <c r="B121" s="114">
        <v>2019</v>
      </c>
      <c r="C121" s="116" t="s">
        <v>97</v>
      </c>
      <c r="D121" s="112">
        <f>VLOOKUP($E$3,'Housing Generation'!$A$3:$BE$90,11,FALSE)</f>
        <v>1</v>
      </c>
      <c r="E121" s="112">
        <f>VLOOKUP($E$3,'Housing Generation'!$A$3:$BE$90,12,FALSE)</f>
        <v>1</v>
      </c>
      <c r="F121" s="112">
        <f>VLOOKUP($E$3,'Housing Generation'!$A$3:$BE$90,13,FALSE)</f>
        <v>1</v>
      </c>
      <c r="G121" s="112">
        <f>VLOOKUP($E$3,'Housing Generation'!$A$3:$BE$90,14,FALSE)</f>
        <v>0</v>
      </c>
      <c r="H121" s="112">
        <f>VLOOKUP($E$3,'Housing Generation'!$A$3:$BE$90,15,FALSE)</f>
        <v>0</v>
      </c>
      <c r="I121" s="112">
        <f>VLOOKUP($E$3,'Housing Generation'!$A$3:$BE$90,16,FALSE)</f>
        <v>0</v>
      </c>
      <c r="J121" s="111">
        <f t="shared" ref="J121:J134" si="21">SUM(D121:I121)</f>
        <v>3</v>
      </c>
    </row>
    <row r="122" spans="2:10" ht="15" hidden="1" customHeight="1">
      <c r="B122" s="114">
        <v>2020</v>
      </c>
      <c r="C122" s="116" t="s">
        <v>97</v>
      </c>
      <c r="D122" s="112">
        <f>VLOOKUP($E$3,'Housing Generation'!$A$3:$BE$90,19,FALSE)</f>
        <v>1</v>
      </c>
      <c r="E122" s="112">
        <f>VLOOKUP($E$3,'Housing Generation'!$A$3:$BE$90,20,FALSE)</f>
        <v>1</v>
      </c>
      <c r="F122" s="112">
        <f>VLOOKUP($E$3,'Housing Generation'!$A$3:$BE$90,21,FALSE)</f>
        <v>1</v>
      </c>
      <c r="G122" s="112">
        <f>VLOOKUP($E$3,'Housing Generation'!$A$3:$BE$90,22,FALSE)</f>
        <v>0</v>
      </c>
      <c r="H122" s="112">
        <f>VLOOKUP($E$3,'Housing Generation'!$A$3:$BE$90,23,FALSE)</f>
        <v>0</v>
      </c>
      <c r="I122" s="112">
        <f>VLOOKUP($E$3,'Housing Generation'!$A$3:$BE$90,24,FALSE)</f>
        <v>0</v>
      </c>
      <c r="J122" s="111">
        <f t="shared" si="21"/>
        <v>3</v>
      </c>
    </row>
    <row r="123" spans="2:10" ht="15" hidden="1" customHeight="1">
      <c r="B123" s="114">
        <v>2021</v>
      </c>
      <c r="C123" s="116" t="s">
        <v>97</v>
      </c>
      <c r="D123" s="112">
        <f>VLOOKUP($E$3,'Housing Generation'!$A$3:$BE$90,27,FALSE)</f>
        <v>1</v>
      </c>
      <c r="E123" s="112">
        <f>VLOOKUP($E$3,'Housing Generation'!$A$3:$BE$90,28,FALSE)</f>
        <v>1</v>
      </c>
      <c r="F123" s="112">
        <f>VLOOKUP($E$3,'Housing Generation'!$A$3:$BE$90,29,FALSE)</f>
        <v>1</v>
      </c>
      <c r="G123" s="112">
        <f>VLOOKUP($E$3,'Housing Generation'!$A$3:$BE$90,30,FALSE)</f>
        <v>1</v>
      </c>
      <c r="H123" s="112">
        <f>VLOOKUP($E$3,'Housing Generation'!$A$3:$BE$90,31,FALSE)</f>
        <v>1</v>
      </c>
      <c r="I123" s="112">
        <f>VLOOKUP($E$3,'Housing Generation'!$A$3:$BE$90,32,FALSE)</f>
        <v>1</v>
      </c>
      <c r="J123" s="111">
        <f t="shared" si="21"/>
        <v>6</v>
      </c>
    </row>
    <row r="124" spans="2:10" ht="15" hidden="1" customHeight="1">
      <c r="B124" s="114">
        <v>2022</v>
      </c>
      <c r="C124" s="116" t="s">
        <v>97</v>
      </c>
      <c r="D124" s="112">
        <f>VLOOKUP($E$3,'Housing Generation'!$A$3:$BE$90,35,FALSE)</f>
        <v>2</v>
      </c>
      <c r="E124" s="112">
        <f>VLOOKUP($E$3,'Housing Generation'!$A$3:$BE$90,36,FALSE)</f>
        <v>2</v>
      </c>
      <c r="F124" s="112">
        <f>VLOOKUP($E$3,'Housing Generation'!$A$3:$BE$90,37,FALSE)</f>
        <v>2</v>
      </c>
      <c r="G124" s="112">
        <f>VLOOKUP($E$3,'Housing Generation'!$A$3:$BE$90,38,FALSE)</f>
        <v>1</v>
      </c>
      <c r="H124" s="112">
        <f>VLOOKUP($E$3,'Housing Generation'!$A$3:$BE$90,39,FALSE)</f>
        <v>1</v>
      </c>
      <c r="I124" s="112">
        <f>VLOOKUP($E$3,'Housing Generation'!$A$3:$BE$90,40,FALSE)</f>
        <v>1</v>
      </c>
      <c r="J124" s="111">
        <f t="shared" si="21"/>
        <v>9</v>
      </c>
    </row>
    <row r="125" spans="2:10" ht="15" hidden="1" customHeight="1">
      <c r="B125" s="114">
        <v>2023</v>
      </c>
      <c r="C125" s="116" t="s">
        <v>97</v>
      </c>
      <c r="D125" s="112">
        <f>VLOOKUP($E$3,'Housing Generation'!$A$3:$BE$90,43,FALSE)</f>
        <v>2</v>
      </c>
      <c r="E125" s="112">
        <f>VLOOKUP($E$3,'Housing Generation'!$A$3:$BE$90,44,FALSE)</f>
        <v>2</v>
      </c>
      <c r="F125" s="112">
        <f>VLOOKUP($E$3,'Housing Generation'!$A$3:$BE$90,45,FALSE)</f>
        <v>2</v>
      </c>
      <c r="G125" s="112">
        <f>VLOOKUP($E$3,'Housing Generation'!$A$3:$BE$90,46,FALSE)</f>
        <v>2</v>
      </c>
      <c r="H125" s="112">
        <f>VLOOKUP($E$3,'Housing Generation'!$A$3:$BE$90,47,FALSE)</f>
        <v>2</v>
      </c>
      <c r="I125" s="112">
        <f>VLOOKUP($E$3,'Housing Generation'!$A$3:$BE$90,48,FALSE)</f>
        <v>2</v>
      </c>
      <c r="J125" s="111">
        <f t="shared" si="21"/>
        <v>12</v>
      </c>
    </row>
    <row r="126" spans="2:10" ht="15" hidden="1" customHeight="1">
      <c r="B126" s="114">
        <v>2024</v>
      </c>
      <c r="C126" s="116" t="s">
        <v>97</v>
      </c>
      <c r="D126" s="112">
        <f>VLOOKUP($E$3,'Housing Generation'!$A$3:$BE$90,51,FALSE)</f>
        <v>3</v>
      </c>
      <c r="E126" s="112">
        <f>VLOOKUP($E$3,'Housing Generation'!$A$3:$BE$90,52,FALSE)</f>
        <v>3</v>
      </c>
      <c r="F126" s="112">
        <f>VLOOKUP($E$3,'Housing Generation'!$A$3:$BE$90,53,FALSE)</f>
        <v>3</v>
      </c>
      <c r="G126" s="112">
        <f>VLOOKUP($E$3,'Housing Generation'!$A$3:$BE$90,54,FALSE)</f>
        <v>3</v>
      </c>
      <c r="H126" s="112">
        <f>VLOOKUP($E$3,'Housing Generation'!$A$3:$BE$90,55,FALSE)</f>
        <v>3</v>
      </c>
      <c r="I126" s="112">
        <f>VLOOKUP($E$3,'Housing Generation'!$A$3:$BE$90,56,FALSE)</f>
        <v>2</v>
      </c>
      <c r="J126" s="111">
        <f t="shared" si="21"/>
        <v>17</v>
      </c>
    </row>
    <row r="127" spans="2:10" ht="15" hidden="1" customHeight="1">
      <c r="B127" s="114">
        <v>2025</v>
      </c>
      <c r="C127" s="240" t="s">
        <v>97</v>
      </c>
      <c r="D127" s="112">
        <f>VLOOKUP($E$3,'Housing Generation'!$A$3:$CK$90,59,FALSE)</f>
        <v>4</v>
      </c>
      <c r="E127" s="112">
        <f>VLOOKUP($E$3,'Housing Generation'!$A$3:$CK$90,60,FALSE)</f>
        <v>4</v>
      </c>
      <c r="F127" s="112">
        <f>VLOOKUP($E$3,'Housing Generation'!$A$3:$CK$90,61,FALSE)</f>
        <v>4</v>
      </c>
      <c r="G127" s="112">
        <f>VLOOKUP($E$3,'Housing Generation'!$A$3:$CK$90,62,FALSE)</f>
        <v>4</v>
      </c>
      <c r="H127" s="112">
        <f>VLOOKUP($E$3,'Housing Generation'!$A$3:$CK$90,63,FALSE)</f>
        <v>4</v>
      </c>
      <c r="I127" s="112">
        <f>VLOOKUP($E$3,'Housing Generation'!$A$3:$CK$90,64,FALSE)</f>
        <v>4</v>
      </c>
      <c r="J127" s="111">
        <f t="shared" si="21"/>
        <v>24</v>
      </c>
    </row>
    <row r="128" spans="2:10" ht="15" hidden="1" customHeight="1">
      <c r="B128" s="114">
        <v>2026</v>
      </c>
      <c r="C128" s="240" t="s">
        <v>97</v>
      </c>
      <c r="D128" s="112">
        <f>VLOOKUP($E$3,'Housing Generation'!$A$3:$CK$90,67,FALSE)</f>
        <v>5</v>
      </c>
      <c r="E128" s="112">
        <f>VLOOKUP($E$3,'Housing Generation'!$A$3:$CK$90,68,FALSE)</f>
        <v>5</v>
      </c>
      <c r="F128" s="112">
        <f>VLOOKUP($E$3,'Housing Generation'!$A$3:$CK$90,69,FALSE)</f>
        <v>5</v>
      </c>
      <c r="G128" s="112">
        <f>VLOOKUP($E$3,'Housing Generation'!$A$3:$CK$90,70,FALSE)</f>
        <v>5</v>
      </c>
      <c r="H128" s="112">
        <f>VLOOKUP($E$3,'Housing Generation'!$A$3:$CK$90,71,FALSE)</f>
        <v>5</v>
      </c>
      <c r="I128" s="112">
        <f>VLOOKUP($E$3,'Housing Generation'!$A$3:$CK$90,72,FALSE)</f>
        <v>5</v>
      </c>
      <c r="J128" s="111">
        <f t="shared" si="21"/>
        <v>30</v>
      </c>
    </row>
    <row r="129" spans="2:10" ht="15" hidden="1" customHeight="1">
      <c r="B129" s="114">
        <v>2027</v>
      </c>
      <c r="C129" s="240" t="s">
        <v>97</v>
      </c>
      <c r="D129" s="112">
        <f>VLOOKUP($E$3,'Housing Generation'!$A$3:$CK$90,75,FALSE)</f>
        <v>6</v>
      </c>
      <c r="E129" s="112">
        <f>VLOOKUP($E$3,'Housing Generation'!$A$3:$CK$90,76,FALSE)</f>
        <v>6</v>
      </c>
      <c r="F129" s="112">
        <f>VLOOKUP($E$3,'Housing Generation'!$A$3:$CK$90,77,FALSE)</f>
        <v>6</v>
      </c>
      <c r="G129" s="112">
        <f>VLOOKUP($E$3,'Housing Generation'!$A$3:$CK$90,78,FALSE)</f>
        <v>6</v>
      </c>
      <c r="H129" s="112">
        <f>VLOOKUP($E$3,'Housing Generation'!$A$3:$CK$90,79,FALSE)</f>
        <v>6</v>
      </c>
      <c r="I129" s="112">
        <f>VLOOKUP($E$3,'Housing Generation'!$A$3:$CK$90,80,FALSE)</f>
        <v>5</v>
      </c>
      <c r="J129" s="111">
        <f t="shared" si="21"/>
        <v>35</v>
      </c>
    </row>
    <row r="130" spans="2:10" ht="15" customHeight="1">
      <c r="B130" s="114">
        <v>2028</v>
      </c>
      <c r="C130" s="289" t="s">
        <v>97</v>
      </c>
      <c r="D130" s="112">
        <f>VLOOKUP($E$3,'Housing Generation'!$A$3:$CK$90,83,FALSE)</f>
        <v>7</v>
      </c>
      <c r="E130" s="112">
        <f>VLOOKUP($E$3,'Housing Generation'!$A$3:$CK$90,84,FALSE)</f>
        <v>7</v>
      </c>
      <c r="F130" s="112">
        <f>VLOOKUP($E$3,'Housing Generation'!$A$3:$CK$90,85,FALSE)</f>
        <v>7</v>
      </c>
      <c r="G130" s="112">
        <f>VLOOKUP($E$3,'Housing Generation'!$A$3:$CK$90,86,FALSE)</f>
        <v>7</v>
      </c>
      <c r="H130" s="112">
        <f>VLOOKUP($E$3,'Housing Generation'!$A$3:$CK$90,87,FALSE)</f>
        <v>6</v>
      </c>
      <c r="I130" s="112">
        <f>VLOOKUP($E$3,'Housing Generation'!$A$3:$CK$90,88,FALSE)</f>
        <v>6</v>
      </c>
      <c r="J130" s="111">
        <f t="shared" si="21"/>
        <v>40</v>
      </c>
    </row>
    <row r="131" spans="2:10" ht="15" customHeight="1">
      <c r="B131" s="114">
        <v>2029</v>
      </c>
      <c r="C131" s="289" t="s">
        <v>97</v>
      </c>
      <c r="D131" s="112">
        <f>VLOOKUP($E$3,'Housing Generation'!$A$3:$DQ$90,91,FALSE)</f>
        <v>7</v>
      </c>
      <c r="E131" s="112">
        <f>VLOOKUP($E$3,'Housing Generation'!$A$3:$DQ$90,92,FALSE)</f>
        <v>7</v>
      </c>
      <c r="F131" s="112">
        <f>VLOOKUP($E$3,'Housing Generation'!$A$3:$DQ$90,93,FALSE)</f>
        <v>7</v>
      </c>
      <c r="G131" s="112">
        <f>VLOOKUP($E$3,'Housing Generation'!$A$3:$DQ$90,94,FALSE)</f>
        <v>7</v>
      </c>
      <c r="H131" s="112">
        <f>VLOOKUP($E$3,'Housing Generation'!$A$3:$DQ$90,95,FALSE)</f>
        <v>7</v>
      </c>
      <c r="I131" s="112">
        <f>VLOOKUP($E$3,'Housing Generation'!$A$3:$DQ$90,96,FALSE)</f>
        <v>7</v>
      </c>
      <c r="J131" s="111">
        <f t="shared" si="21"/>
        <v>42</v>
      </c>
    </row>
    <row r="132" spans="2:10" ht="15" customHeight="1">
      <c r="B132" s="114">
        <v>2030</v>
      </c>
      <c r="C132" s="289" t="s">
        <v>97</v>
      </c>
      <c r="D132" s="112">
        <f>VLOOKUP($E$3,'Housing Generation'!$A$3:$DQ$90,99,FALSE)</f>
        <v>8</v>
      </c>
      <c r="E132" s="112">
        <f>VLOOKUP($E$3,'Housing Generation'!$A$3:$DQ$90,100,FALSE)</f>
        <v>8</v>
      </c>
      <c r="F132" s="112">
        <f>VLOOKUP($E$3,'Housing Generation'!$A$3:$DQ$90,101,FALSE)</f>
        <v>8</v>
      </c>
      <c r="G132" s="112">
        <f>VLOOKUP($E$3,'Housing Generation'!$A$3:$DQ$90,102,FALSE)</f>
        <v>7</v>
      </c>
      <c r="H132" s="112">
        <f>VLOOKUP($E$3,'Housing Generation'!$A$3:$DQ$90,103,FALSE)</f>
        <v>7</v>
      </c>
      <c r="I132" s="112">
        <f>VLOOKUP($E$3,'Housing Generation'!$A$3:$DQ$90,104,FALSE)</f>
        <v>7</v>
      </c>
      <c r="J132" s="111">
        <f t="shared" si="21"/>
        <v>45</v>
      </c>
    </row>
    <row r="133" spans="2:10" ht="15" customHeight="1">
      <c r="B133" s="114">
        <v>2031</v>
      </c>
      <c r="C133" s="289" t="s">
        <v>97</v>
      </c>
      <c r="D133" s="112">
        <f>VLOOKUP($E$3,'Housing Generation'!$A$3:$DQ$90,107,FALSE)</f>
        <v>8</v>
      </c>
      <c r="E133" s="112">
        <f>VLOOKUP($E$3,'Housing Generation'!$A$3:$DQ$90,108,FALSE)</f>
        <v>8</v>
      </c>
      <c r="F133" s="112">
        <f>VLOOKUP($E$3,'Housing Generation'!$A$3:$DQ$90,109,FALSE)</f>
        <v>8</v>
      </c>
      <c r="G133" s="112">
        <f>VLOOKUP($E$3,'Housing Generation'!$A$3:$DQ$90,110,FALSE)</f>
        <v>8</v>
      </c>
      <c r="H133" s="112">
        <f>VLOOKUP($E$3,'Housing Generation'!$A$3:$DQ$90,111,FALSE)</f>
        <v>8</v>
      </c>
      <c r="I133" s="112">
        <f>VLOOKUP($E$3,'Housing Generation'!$A$3:$DQ$90,112,FALSE)</f>
        <v>8</v>
      </c>
      <c r="J133" s="111">
        <f t="shared" si="21"/>
        <v>48</v>
      </c>
    </row>
    <row r="134" spans="2:10" ht="15" customHeight="1">
      <c r="B134" s="114">
        <v>2032</v>
      </c>
      <c r="C134" s="289" t="s">
        <v>97</v>
      </c>
      <c r="D134" s="112">
        <f>VLOOKUP($E$3,'Housing Generation'!$A$3:$DQ$90,115,FALSE)</f>
        <v>9</v>
      </c>
      <c r="E134" s="112">
        <f>VLOOKUP($E$3,'Housing Generation'!$A$3:$DQ$90,116,FALSE)</f>
        <v>9</v>
      </c>
      <c r="F134" s="112">
        <f>VLOOKUP($E$3,'Housing Generation'!$A$3:$DQ$90,117,FALSE)</f>
        <v>8</v>
      </c>
      <c r="G134" s="112">
        <f>VLOOKUP($E$3,'Housing Generation'!$A$3:$DQ$90,118,FALSE)</f>
        <v>8</v>
      </c>
      <c r="H134" s="112">
        <f>VLOOKUP($E$3,'Housing Generation'!$A$3:$DQ$90,119,FALSE)</f>
        <v>8</v>
      </c>
      <c r="I134" s="112">
        <f>VLOOKUP($E$3,'Housing Generation'!$A$3:$DQ$90,120,FALSE)</f>
        <v>8</v>
      </c>
      <c r="J134" s="111">
        <f t="shared" si="21"/>
        <v>50</v>
      </c>
    </row>
    <row r="135" spans="2:10" ht="15" hidden="1"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St Margaret's RC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17</v>
      </c>
      <c r="D139" s="112">
        <f t="shared" ref="D139:I152" si="23">D121+D103</f>
        <v>21</v>
      </c>
      <c r="E139" s="112">
        <f t="shared" si="23"/>
        <v>21</v>
      </c>
      <c r="F139" s="112">
        <f t="shared" si="23"/>
        <v>20</v>
      </c>
      <c r="G139" s="112">
        <f t="shared" si="23"/>
        <v>11</v>
      </c>
      <c r="H139" s="112">
        <f t="shared" si="23"/>
        <v>12</v>
      </c>
      <c r="I139" s="112">
        <f t="shared" si="23"/>
        <v>27</v>
      </c>
      <c r="J139" s="111">
        <f t="shared" ref="J139:J147" si="24">SUM(C139:I139)</f>
        <v>129</v>
      </c>
    </row>
    <row r="140" spans="2:10" ht="15" customHeight="1">
      <c r="B140" s="114">
        <v>2020</v>
      </c>
      <c r="C140" s="113">
        <f t="shared" si="22"/>
        <v>18</v>
      </c>
      <c r="D140" s="112">
        <f t="shared" si="23"/>
        <v>20</v>
      </c>
      <c r="E140" s="112">
        <f t="shared" si="23"/>
        <v>22</v>
      </c>
      <c r="F140" s="112">
        <f t="shared" si="23"/>
        <v>21</v>
      </c>
      <c r="G140" s="112">
        <f t="shared" si="23"/>
        <v>19</v>
      </c>
      <c r="H140" s="112">
        <f t="shared" si="23"/>
        <v>10</v>
      </c>
      <c r="I140" s="112">
        <f t="shared" si="23"/>
        <v>12</v>
      </c>
      <c r="J140" s="111">
        <f t="shared" si="24"/>
        <v>122</v>
      </c>
    </row>
    <row r="141" spans="2:10" ht="15" customHeight="1">
      <c r="B141" s="114">
        <v>2021</v>
      </c>
      <c r="C141" s="113">
        <f t="shared" si="22"/>
        <v>19</v>
      </c>
      <c r="D141" s="112">
        <f t="shared" si="23"/>
        <v>21</v>
      </c>
      <c r="E141" s="112">
        <f t="shared" si="23"/>
        <v>21</v>
      </c>
      <c r="F141" s="112">
        <f t="shared" si="23"/>
        <v>22</v>
      </c>
      <c r="G141" s="112">
        <f t="shared" si="23"/>
        <v>21</v>
      </c>
      <c r="H141" s="112">
        <f t="shared" si="23"/>
        <v>19</v>
      </c>
      <c r="I141" s="112">
        <f t="shared" si="23"/>
        <v>11</v>
      </c>
      <c r="J141" s="111">
        <f t="shared" si="24"/>
        <v>134</v>
      </c>
    </row>
    <row r="142" spans="2:10" ht="15" customHeight="1">
      <c r="B142" s="114">
        <v>2022</v>
      </c>
      <c r="C142" s="113">
        <f t="shared" si="22"/>
        <v>23</v>
      </c>
      <c r="D142" s="112">
        <f t="shared" si="23"/>
        <v>23</v>
      </c>
      <c r="E142" s="112">
        <f t="shared" si="23"/>
        <v>23</v>
      </c>
      <c r="F142" s="112">
        <f t="shared" si="23"/>
        <v>22</v>
      </c>
      <c r="G142" s="112">
        <f t="shared" si="23"/>
        <v>22</v>
      </c>
      <c r="H142" s="112">
        <f t="shared" si="23"/>
        <v>20</v>
      </c>
      <c r="I142" s="112">
        <f t="shared" si="23"/>
        <v>19</v>
      </c>
      <c r="J142" s="111">
        <f t="shared" si="24"/>
        <v>152</v>
      </c>
    </row>
    <row r="143" spans="2:10" ht="15" customHeight="1">
      <c r="B143" s="114">
        <v>2023</v>
      </c>
      <c r="C143" s="113">
        <f t="shared" si="22"/>
        <v>22</v>
      </c>
      <c r="D143" s="112">
        <f t="shared" si="23"/>
        <v>26</v>
      </c>
      <c r="E143" s="112">
        <f t="shared" si="23"/>
        <v>24</v>
      </c>
      <c r="F143" s="112">
        <f t="shared" si="23"/>
        <v>23</v>
      </c>
      <c r="G143" s="112">
        <f t="shared" si="23"/>
        <v>22</v>
      </c>
      <c r="H143" s="112">
        <f t="shared" si="23"/>
        <v>22</v>
      </c>
      <c r="I143" s="112">
        <f t="shared" si="23"/>
        <v>21</v>
      </c>
      <c r="J143" s="111">
        <f t="shared" si="24"/>
        <v>160</v>
      </c>
    </row>
    <row r="144" spans="2:10" ht="15" customHeight="1">
      <c r="B144" s="114">
        <v>2024</v>
      </c>
      <c r="C144" s="113">
        <f t="shared" si="22"/>
        <v>22</v>
      </c>
      <c r="D144" s="112">
        <f t="shared" si="23"/>
        <v>26</v>
      </c>
      <c r="E144" s="112">
        <f t="shared" si="23"/>
        <v>29</v>
      </c>
      <c r="F144" s="112">
        <f t="shared" si="23"/>
        <v>25</v>
      </c>
      <c r="G144" s="112">
        <f t="shared" si="23"/>
        <v>24</v>
      </c>
      <c r="H144" s="112">
        <f t="shared" si="23"/>
        <v>22</v>
      </c>
      <c r="I144" s="112">
        <f t="shared" si="23"/>
        <v>22</v>
      </c>
      <c r="J144" s="111">
        <f t="shared" si="24"/>
        <v>170</v>
      </c>
    </row>
    <row r="145" spans="2:16" ht="15" customHeight="1">
      <c r="B145" s="114">
        <v>2025</v>
      </c>
      <c r="C145" s="113">
        <f t="shared" si="22"/>
        <v>23</v>
      </c>
      <c r="D145" s="112">
        <f t="shared" si="23"/>
        <v>26</v>
      </c>
      <c r="E145" s="112">
        <f t="shared" si="23"/>
        <v>29</v>
      </c>
      <c r="F145" s="112">
        <f t="shared" si="23"/>
        <v>30</v>
      </c>
      <c r="G145" s="112">
        <f t="shared" si="23"/>
        <v>26</v>
      </c>
      <c r="H145" s="112">
        <f t="shared" si="23"/>
        <v>24</v>
      </c>
      <c r="I145" s="112">
        <f t="shared" si="23"/>
        <v>23</v>
      </c>
      <c r="J145" s="111">
        <f t="shared" si="24"/>
        <v>181</v>
      </c>
    </row>
    <row r="146" spans="2:16" ht="15" customHeight="1">
      <c r="B146" s="114">
        <v>2026</v>
      </c>
      <c r="C146" s="113">
        <f t="shared" si="22"/>
        <v>25</v>
      </c>
      <c r="D146" s="112">
        <f t="shared" si="23"/>
        <v>27</v>
      </c>
      <c r="E146" s="112">
        <f t="shared" si="23"/>
        <v>28</v>
      </c>
      <c r="F146" s="112">
        <f t="shared" si="23"/>
        <v>30</v>
      </c>
      <c r="G146" s="112">
        <f t="shared" si="23"/>
        <v>31</v>
      </c>
      <c r="H146" s="112">
        <f t="shared" si="23"/>
        <v>26</v>
      </c>
      <c r="I146" s="112">
        <f t="shared" si="23"/>
        <v>25</v>
      </c>
      <c r="J146" s="111">
        <f t="shared" si="24"/>
        <v>192</v>
      </c>
    </row>
    <row r="147" spans="2:16" ht="15" customHeight="1">
      <c r="B147" s="114">
        <v>2027</v>
      </c>
      <c r="C147" s="113">
        <f t="shared" si="22"/>
        <v>26</v>
      </c>
      <c r="D147" s="112">
        <f t="shared" si="23"/>
        <v>30</v>
      </c>
      <c r="E147" s="112">
        <f t="shared" si="23"/>
        <v>29</v>
      </c>
      <c r="F147" s="112">
        <f t="shared" si="23"/>
        <v>29</v>
      </c>
      <c r="G147" s="112">
        <f t="shared" si="23"/>
        <v>31</v>
      </c>
      <c r="H147" s="112">
        <f t="shared" si="23"/>
        <v>30</v>
      </c>
      <c r="I147" s="112">
        <f t="shared" si="23"/>
        <v>26</v>
      </c>
      <c r="J147" s="111">
        <f t="shared" si="24"/>
        <v>201</v>
      </c>
    </row>
    <row r="148" spans="2:16" ht="15" customHeight="1">
      <c r="B148" s="114">
        <v>2028</v>
      </c>
      <c r="C148" s="113">
        <f t="shared" si="22"/>
        <v>27</v>
      </c>
      <c r="D148" s="112">
        <f t="shared" si="23"/>
        <v>31</v>
      </c>
      <c r="E148" s="112">
        <f t="shared" si="23"/>
        <v>33</v>
      </c>
      <c r="F148" s="112">
        <f t="shared" si="23"/>
        <v>30</v>
      </c>
      <c r="G148" s="112">
        <f t="shared" si="23"/>
        <v>30</v>
      </c>
      <c r="H148" s="112">
        <f t="shared" si="23"/>
        <v>30</v>
      </c>
      <c r="I148" s="112">
        <f t="shared" si="23"/>
        <v>30</v>
      </c>
      <c r="J148" s="111">
        <f t="shared" ref="J148:J152" si="25">SUM(C148:I148)</f>
        <v>211</v>
      </c>
    </row>
    <row r="149" spans="2:16" ht="15" customHeight="1">
      <c r="B149" s="114">
        <v>2029</v>
      </c>
      <c r="C149" s="113">
        <f t="shared" si="22"/>
        <v>28</v>
      </c>
      <c r="D149" s="112">
        <f t="shared" si="23"/>
        <v>31</v>
      </c>
      <c r="E149" s="112">
        <f t="shared" si="23"/>
        <v>33</v>
      </c>
      <c r="F149" s="112">
        <f t="shared" si="23"/>
        <v>33</v>
      </c>
      <c r="G149" s="112">
        <f t="shared" si="23"/>
        <v>30</v>
      </c>
      <c r="H149" s="112">
        <f t="shared" si="23"/>
        <v>29</v>
      </c>
      <c r="I149" s="112">
        <f t="shared" si="23"/>
        <v>31</v>
      </c>
      <c r="J149" s="111">
        <f t="shared" si="25"/>
        <v>215</v>
      </c>
    </row>
    <row r="150" spans="2:16" ht="15" customHeight="1">
      <c r="B150" s="114">
        <v>2030</v>
      </c>
      <c r="C150" s="113">
        <f t="shared" si="22"/>
        <v>28</v>
      </c>
      <c r="D150" s="112">
        <f t="shared" si="23"/>
        <v>33</v>
      </c>
      <c r="E150" s="112">
        <f t="shared" si="23"/>
        <v>34</v>
      </c>
      <c r="F150" s="112">
        <f t="shared" si="23"/>
        <v>34</v>
      </c>
      <c r="G150" s="112">
        <f t="shared" si="23"/>
        <v>33</v>
      </c>
      <c r="H150" s="112">
        <f t="shared" si="23"/>
        <v>29</v>
      </c>
      <c r="I150" s="112">
        <f t="shared" si="23"/>
        <v>29</v>
      </c>
      <c r="J150" s="111">
        <f t="shared" si="25"/>
        <v>220</v>
      </c>
    </row>
    <row r="151" spans="2:16" ht="15" customHeight="1">
      <c r="B151" s="114">
        <v>2031</v>
      </c>
      <c r="C151" s="113">
        <f t="shared" si="22"/>
        <v>28</v>
      </c>
      <c r="D151" s="112">
        <f t="shared" si="23"/>
        <v>33</v>
      </c>
      <c r="E151" s="112">
        <f t="shared" si="23"/>
        <v>35</v>
      </c>
      <c r="F151" s="112">
        <f t="shared" si="23"/>
        <v>34</v>
      </c>
      <c r="G151" s="112">
        <f t="shared" si="23"/>
        <v>34</v>
      </c>
      <c r="H151" s="112">
        <f t="shared" si="23"/>
        <v>32</v>
      </c>
      <c r="I151" s="112">
        <f t="shared" si="23"/>
        <v>30</v>
      </c>
      <c r="J151" s="111">
        <f t="shared" si="25"/>
        <v>226</v>
      </c>
    </row>
    <row r="152" spans="2:16" ht="15" customHeight="1">
      <c r="B152" s="114">
        <v>2032</v>
      </c>
      <c r="C152" s="113">
        <f t="shared" si="22"/>
        <v>29</v>
      </c>
      <c r="D152" s="112">
        <f t="shared" si="23"/>
        <v>33</v>
      </c>
      <c r="E152" s="112">
        <f t="shared" si="23"/>
        <v>36</v>
      </c>
      <c r="F152" s="112">
        <f t="shared" si="23"/>
        <v>35</v>
      </c>
      <c r="G152" s="112">
        <f t="shared" si="23"/>
        <v>34</v>
      </c>
      <c r="H152" s="112">
        <f t="shared" si="23"/>
        <v>32</v>
      </c>
      <c r="I152" s="112">
        <f t="shared" si="23"/>
        <v>32</v>
      </c>
      <c r="J152" s="111">
        <f t="shared" si="25"/>
        <v>231</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129</v>
      </c>
      <c r="D159" s="108">
        <f>J140</f>
        <v>122</v>
      </c>
      <c r="E159" s="108">
        <f>J141</f>
        <v>134</v>
      </c>
      <c r="F159" s="108">
        <f>J142</f>
        <v>152</v>
      </c>
      <c r="G159" s="108">
        <f>J143</f>
        <v>160</v>
      </c>
      <c r="H159" s="108">
        <f>J144</f>
        <v>170</v>
      </c>
      <c r="I159" s="108">
        <f>J145</f>
        <v>181</v>
      </c>
      <c r="J159" s="108">
        <f>J146</f>
        <v>192</v>
      </c>
      <c r="K159" s="108">
        <f>J147</f>
        <v>201</v>
      </c>
      <c r="L159" s="108">
        <f>J148</f>
        <v>211</v>
      </c>
      <c r="M159" s="108">
        <f>J149</f>
        <v>215</v>
      </c>
      <c r="N159" s="108">
        <f>J150</f>
        <v>220</v>
      </c>
      <c r="O159" s="108">
        <f>J151</f>
        <v>226</v>
      </c>
      <c r="P159" s="108">
        <f>J152</f>
        <v>231</v>
      </c>
    </row>
    <row r="160" spans="2:16" ht="15" customHeight="1">
      <c r="B160" s="107" t="s">
        <v>152</v>
      </c>
      <c r="C160" s="106">
        <f>VLOOKUP(C159,Capacity!$A$1:$C$645,2,TRUE)</f>
        <v>6</v>
      </c>
      <c r="D160" s="106">
        <f>VLOOKUP(D159,Capacity!$A$1:$C$645,2,TRUE)</f>
        <v>6</v>
      </c>
      <c r="E160" s="106">
        <f>VLOOKUP(E159,Capacity!$A$1:$C$645,2,TRUE)</f>
        <v>6</v>
      </c>
      <c r="F160" s="106">
        <f>VLOOKUP(F159,Capacity!$A$1:$C$645,2,TRUE)</f>
        <v>7</v>
      </c>
      <c r="G160" s="106">
        <f>VLOOKUP(G159,Capacity!$A$1:$C$645,2,TRUE)</f>
        <v>7</v>
      </c>
      <c r="H160" s="106">
        <f>VLOOKUP(H159,Capacity!$A$1:$C$645,2,TRUE)</f>
        <v>7</v>
      </c>
      <c r="I160" s="106">
        <f>VLOOKUP(I159,Capacity!$A$1:$C$645,2,TRUE)</f>
        <v>7</v>
      </c>
      <c r="J160" s="106">
        <f>VLOOKUP(J159,Capacity!$A$1:$C$645,2,TRUE)</f>
        <v>7</v>
      </c>
      <c r="K160" s="106">
        <f>VLOOKUP(K159,Capacity!$A$1:$C$645,2,TRUE)</f>
        <v>7</v>
      </c>
      <c r="L160" s="106">
        <f>VLOOKUP(L159,Capacity!$A$1:$C$645,2,TRUE)</f>
        <v>8</v>
      </c>
      <c r="M160" s="106">
        <f>VLOOKUP(M159,Capacity!$A$1:$C$645,2,TRUE)</f>
        <v>8</v>
      </c>
      <c r="N160" s="106">
        <f>VLOOKUP(N159,Capacity!$A$1:$C$645,2,TRUE)</f>
        <v>9</v>
      </c>
      <c r="O160" s="106">
        <f>VLOOKUP(O159,Capacity!$A$1:$C$645,2,TRUE)</f>
        <v>9</v>
      </c>
      <c r="P160" s="106">
        <f>VLOOKUP(P159,Capacity!$A$1:$C$645,2,TRUE)</f>
        <v>9</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175</v>
      </c>
      <c r="D169" s="97">
        <f>VLOOKUP($E$3,'Catchment Births'!$A$1:$U$90,11,FALSE)</f>
        <v>153</v>
      </c>
      <c r="E169" s="97">
        <f>VLOOKUP($E$3,'Catchment Births'!$A$1:$U$90,12,FALSE)</f>
        <v>180</v>
      </c>
      <c r="F169" s="97">
        <f>VLOOKUP($E$3,'Catchment Births'!$A$1:$U$90,13,FALSE)</f>
        <v>197</v>
      </c>
      <c r="G169" s="97">
        <f>VLOOKUP($E$3,'Catchment Births'!$A$1:$U$90,14,FALSE)</f>
        <v>167</v>
      </c>
      <c r="H169" s="97">
        <f>VLOOKUP($E$3,'Catchment Births'!$A$1:$U$90,15,FALSE)</f>
        <v>166</v>
      </c>
      <c r="I169" s="97">
        <f>VLOOKUP($E$3,'Catchment Births'!$A$1:$U$90,16,FALSE)</f>
        <v>154</v>
      </c>
      <c r="J169" s="97">
        <f>VLOOKUP($E$3,'Catchment Births'!$A$1:$U$90,17,FALSE)</f>
        <v>161</v>
      </c>
      <c r="K169" s="97">
        <f>VLOOKUP($E$3,'Catchment Births'!$A$1:$U$90,18,FALSE)</f>
        <v>166</v>
      </c>
      <c r="L169" s="97">
        <f>VLOOKUP($E$3,'Catchment Births'!$A$1:$U$90,19,FALSE)</f>
        <v>178</v>
      </c>
      <c r="M169" s="97">
        <f>VLOOKUP($E$3,'Catchment Births'!$A$1:$U$90,20,FALSE)</f>
        <v>182</v>
      </c>
      <c r="N169" s="97">
        <f>VLOOKUP($E$3,'Catchment Births'!$A$1:$U$90,21,FALSE)</f>
        <v>191</v>
      </c>
    </row>
    <row r="170" spans="2:14" ht="58.5" customHeight="1">
      <c r="B170" s="103" t="str">
        <f>"P1 "&amp;A35&amp;" Catchment Population (Actual)"</f>
        <v>P1 RC Catchment Population (Actual)</v>
      </c>
      <c r="C170" s="102" t="e">
        <v>#REF!</v>
      </c>
      <c r="D170" s="102">
        <v>16</v>
      </c>
      <c r="E170" s="102">
        <v>18</v>
      </c>
      <c r="F170" s="102">
        <v>14</v>
      </c>
      <c r="G170" s="102">
        <v>19</v>
      </c>
      <c r="H170" s="102">
        <v>12</v>
      </c>
      <c r="I170" s="102">
        <v>10</v>
      </c>
      <c r="J170" s="308">
        <f>VLOOKUP(E3,'Catchment Projections'!A1:BU92,42,FALSE)</f>
        <v>15</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180</v>
      </c>
      <c r="C172" s="99"/>
      <c r="D172" s="98"/>
      <c r="E172" s="98"/>
      <c r="F172" s="98"/>
      <c r="G172" s="97"/>
      <c r="H172" s="96"/>
      <c r="I172" s="96">
        <f>I170</f>
        <v>10</v>
      </c>
      <c r="J172" s="96" t="e">
        <f>#REF!</f>
        <v>#REF!</v>
      </c>
      <c r="K172" s="96">
        <f>D51</f>
        <v>17</v>
      </c>
      <c r="L172" s="96">
        <f>E51</f>
        <v>18</v>
      </c>
      <c r="M172" s="96">
        <f>F51</f>
        <v>19</v>
      </c>
      <c r="N172" s="96">
        <f>G51</f>
        <v>23</v>
      </c>
    </row>
    <row r="173" spans="2:14" ht="12.75">
      <c r="B173" s="62"/>
      <c r="C173" s="62"/>
      <c r="D173" s="62"/>
      <c r="E173" s="62"/>
      <c r="F173" s="62"/>
      <c r="G173" s="62"/>
      <c r="H173" s="62"/>
      <c r="I173" s="62"/>
      <c r="J173" s="62"/>
      <c r="K173" s="62"/>
    </row>
    <row r="174" spans="2:14" ht="15" customHeight="1">
      <c r="B174" s="64" t="str">
        <f>"Table 5: "&amp;E3&amp;" Roll by Stage, 2002-2018"</f>
        <v>Table 5: St Margaret's RC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16</v>
      </c>
      <c r="D177" s="93">
        <v>23</v>
      </c>
      <c r="E177" s="93">
        <v>21</v>
      </c>
      <c r="F177" s="93">
        <v>25</v>
      </c>
      <c r="G177" s="93">
        <v>20</v>
      </c>
      <c r="H177" s="93">
        <v>24</v>
      </c>
      <c r="I177" s="93">
        <v>26</v>
      </c>
      <c r="J177" s="92">
        <v>155</v>
      </c>
      <c r="K177" s="62"/>
    </row>
    <row r="178" spans="2:11" ht="15" customHeight="1">
      <c r="B178" s="94">
        <v>2003</v>
      </c>
      <c r="C178" s="93">
        <v>20</v>
      </c>
      <c r="D178" s="93">
        <v>16</v>
      </c>
      <c r="E178" s="93">
        <v>20</v>
      </c>
      <c r="F178" s="93">
        <v>21</v>
      </c>
      <c r="G178" s="93">
        <v>20</v>
      </c>
      <c r="H178" s="93">
        <v>19</v>
      </c>
      <c r="I178" s="93">
        <v>23</v>
      </c>
      <c r="J178" s="92">
        <v>139</v>
      </c>
      <c r="K178" s="62"/>
    </row>
    <row r="179" spans="2:11" customFormat="1" ht="15" customHeight="1">
      <c r="B179" s="94">
        <v>2004</v>
      </c>
      <c r="C179" s="95">
        <v>13</v>
      </c>
      <c r="D179" s="95">
        <v>19</v>
      </c>
      <c r="E179" s="95">
        <v>15</v>
      </c>
      <c r="F179" s="95">
        <v>18</v>
      </c>
      <c r="G179" s="95">
        <v>18</v>
      </c>
      <c r="H179" s="95">
        <v>19</v>
      </c>
      <c r="I179" s="95">
        <v>18</v>
      </c>
      <c r="J179" s="92">
        <v>120</v>
      </c>
      <c r="K179" s="62"/>
    </row>
    <row r="180" spans="2:11" customFormat="1" ht="15" customHeight="1">
      <c r="B180" s="94">
        <v>2005</v>
      </c>
      <c r="C180" s="93">
        <v>10</v>
      </c>
      <c r="D180" s="93">
        <v>11</v>
      </c>
      <c r="E180" s="93">
        <v>18</v>
      </c>
      <c r="F180" s="93">
        <v>14</v>
      </c>
      <c r="G180" s="93">
        <v>17</v>
      </c>
      <c r="H180" s="93">
        <v>19</v>
      </c>
      <c r="I180" s="93">
        <v>18</v>
      </c>
      <c r="J180" s="92">
        <v>107</v>
      </c>
      <c r="K180" s="62"/>
    </row>
    <row r="181" spans="2:11" customFormat="1" ht="15" customHeight="1">
      <c r="B181" s="94">
        <v>2006</v>
      </c>
      <c r="C181" s="93">
        <v>6</v>
      </c>
      <c r="D181" s="93">
        <v>11</v>
      </c>
      <c r="E181" s="93">
        <v>11</v>
      </c>
      <c r="F181" s="93">
        <v>18</v>
      </c>
      <c r="G181" s="93">
        <v>16</v>
      </c>
      <c r="H181" s="93">
        <v>16</v>
      </c>
      <c r="I181" s="93">
        <v>19</v>
      </c>
      <c r="J181" s="92">
        <v>97</v>
      </c>
      <c r="K181" s="62"/>
    </row>
    <row r="182" spans="2:11" customFormat="1" ht="15" customHeight="1">
      <c r="B182" s="94">
        <v>2007</v>
      </c>
      <c r="C182" s="93">
        <v>20</v>
      </c>
      <c r="D182" s="93">
        <v>7</v>
      </c>
      <c r="E182" s="93">
        <v>12</v>
      </c>
      <c r="F182" s="93">
        <v>11</v>
      </c>
      <c r="G182" s="93">
        <v>20</v>
      </c>
      <c r="H182" s="93">
        <v>15</v>
      </c>
      <c r="I182" s="93">
        <v>15</v>
      </c>
      <c r="J182" s="92">
        <v>100</v>
      </c>
      <c r="K182" s="62"/>
    </row>
    <row r="183" spans="2:11" customFormat="1" ht="15" customHeight="1">
      <c r="B183" s="94">
        <v>2008</v>
      </c>
      <c r="C183" s="93">
        <v>13</v>
      </c>
      <c r="D183" s="93">
        <v>18</v>
      </c>
      <c r="E183" s="93">
        <v>7</v>
      </c>
      <c r="F183" s="93">
        <v>11</v>
      </c>
      <c r="G183" s="93">
        <v>11</v>
      </c>
      <c r="H183" s="93">
        <v>19</v>
      </c>
      <c r="I183" s="93">
        <v>15</v>
      </c>
      <c r="J183" s="92">
        <v>94</v>
      </c>
      <c r="K183" s="62"/>
    </row>
    <row r="184" spans="2:11" customFormat="1" ht="15" customHeight="1">
      <c r="B184" s="94">
        <v>2009</v>
      </c>
      <c r="C184" s="93">
        <v>14</v>
      </c>
      <c r="D184" s="93">
        <v>14</v>
      </c>
      <c r="E184" s="93">
        <v>17</v>
      </c>
      <c r="F184" s="93">
        <v>7</v>
      </c>
      <c r="G184" s="93">
        <v>11</v>
      </c>
      <c r="H184" s="93">
        <v>10</v>
      </c>
      <c r="I184" s="93">
        <v>19</v>
      </c>
      <c r="J184" s="94">
        <v>92</v>
      </c>
      <c r="K184" s="62"/>
    </row>
    <row r="185" spans="2:11" customFormat="1" ht="15" customHeight="1">
      <c r="B185" s="94">
        <v>2010</v>
      </c>
      <c r="C185" s="93">
        <v>18</v>
      </c>
      <c r="D185" s="93">
        <v>14</v>
      </c>
      <c r="E185" s="93">
        <v>12</v>
      </c>
      <c r="F185" s="93">
        <v>16</v>
      </c>
      <c r="G185" s="93">
        <v>7</v>
      </c>
      <c r="H185" s="93">
        <v>12</v>
      </c>
      <c r="I185" s="93">
        <v>10</v>
      </c>
      <c r="J185" s="92">
        <v>89</v>
      </c>
      <c r="K185" s="62"/>
    </row>
    <row r="186" spans="2:11" customFormat="1" ht="15" customHeight="1">
      <c r="B186" s="94">
        <v>2011</v>
      </c>
      <c r="C186" s="93">
        <v>17</v>
      </c>
      <c r="D186" s="93">
        <v>14</v>
      </c>
      <c r="E186" s="93">
        <v>13</v>
      </c>
      <c r="F186" s="93">
        <v>12</v>
      </c>
      <c r="G186" s="93">
        <v>16</v>
      </c>
      <c r="H186" s="93">
        <v>7</v>
      </c>
      <c r="I186" s="93">
        <v>12</v>
      </c>
      <c r="J186" s="92">
        <v>91</v>
      </c>
      <c r="K186" s="62"/>
    </row>
    <row r="187" spans="2:11" customFormat="1" ht="15" customHeight="1">
      <c r="B187" s="94">
        <v>2012</v>
      </c>
      <c r="C187" s="93">
        <v>14</v>
      </c>
      <c r="D187" s="93">
        <v>17</v>
      </c>
      <c r="E187" s="93">
        <v>13</v>
      </c>
      <c r="F187" s="93">
        <v>14</v>
      </c>
      <c r="G187" s="93">
        <v>11</v>
      </c>
      <c r="H187" s="93">
        <v>17</v>
      </c>
      <c r="I187" s="93">
        <v>7</v>
      </c>
      <c r="J187" s="92">
        <v>93</v>
      </c>
      <c r="K187" s="62"/>
    </row>
    <row r="188" spans="2:11" customFormat="1" ht="15" customHeight="1">
      <c r="B188" s="94">
        <v>2013</v>
      </c>
      <c r="C188" s="93">
        <v>19</v>
      </c>
      <c r="D188" s="93">
        <v>15</v>
      </c>
      <c r="E188" s="93">
        <v>17</v>
      </c>
      <c r="F188" s="93">
        <v>12</v>
      </c>
      <c r="G188" s="93">
        <v>12</v>
      </c>
      <c r="H188" s="93">
        <v>12</v>
      </c>
      <c r="I188" s="93">
        <v>18</v>
      </c>
      <c r="J188" s="94">
        <v>105</v>
      </c>
      <c r="K188" s="62"/>
    </row>
    <row r="189" spans="2:11" customFormat="1" ht="15" customHeight="1">
      <c r="B189" s="94">
        <v>2014</v>
      </c>
      <c r="C189" s="93">
        <v>13</v>
      </c>
      <c r="D189" s="93">
        <v>25</v>
      </c>
      <c r="E189" s="93">
        <v>16</v>
      </c>
      <c r="F189" s="93">
        <v>17</v>
      </c>
      <c r="G189" s="93">
        <v>12</v>
      </c>
      <c r="H189" s="93">
        <v>11</v>
      </c>
      <c r="I189" s="93">
        <v>10</v>
      </c>
      <c r="J189" s="92">
        <v>104</v>
      </c>
      <c r="K189" s="65"/>
    </row>
    <row r="190" spans="2:11" customFormat="1" ht="15" customHeight="1">
      <c r="B190" s="94">
        <v>2015</v>
      </c>
      <c r="C190" s="93">
        <v>12</v>
      </c>
      <c r="D190" s="93">
        <v>12</v>
      </c>
      <c r="E190" s="93">
        <v>28</v>
      </c>
      <c r="F190" s="93">
        <v>17</v>
      </c>
      <c r="G190" s="93">
        <v>17</v>
      </c>
      <c r="H190" s="93">
        <v>13</v>
      </c>
      <c r="I190" s="93">
        <v>11</v>
      </c>
      <c r="J190" s="92">
        <v>110</v>
      </c>
      <c r="K190" s="65"/>
    </row>
    <row r="191" spans="2:11" customFormat="1" ht="15" customHeight="1">
      <c r="B191" s="94">
        <v>2016</v>
      </c>
      <c r="C191" s="93">
        <v>15</v>
      </c>
      <c r="D191" s="93">
        <v>10</v>
      </c>
      <c r="E191" s="93">
        <v>10</v>
      </c>
      <c r="F191" s="93">
        <v>28</v>
      </c>
      <c r="G191" s="93">
        <v>19</v>
      </c>
      <c r="H191" s="93">
        <v>16</v>
      </c>
      <c r="I191" s="93">
        <v>13</v>
      </c>
      <c r="J191" s="92">
        <v>111</v>
      </c>
      <c r="K191" s="65"/>
    </row>
    <row r="192" spans="2:11" ht="15" customHeight="1">
      <c r="B192" s="94">
        <v>2017</v>
      </c>
      <c r="C192" s="93">
        <f>VLOOKUP($E$3,Rolls!A1:FA90,42,FALSE)</f>
        <v>16</v>
      </c>
      <c r="D192" s="93">
        <f>VLOOKUP($E$3,Rolls!A1:FA90,43,FALSE)</f>
        <v>18</v>
      </c>
      <c r="E192" s="93">
        <f>VLOOKUP($E$3,Rolls!A1:FA90,44,FALSE)</f>
        <v>11</v>
      </c>
      <c r="F192" s="93">
        <f>VLOOKUP($E$3,Rolls!A1:FA90,45,FALSE)</f>
        <v>12</v>
      </c>
      <c r="G192" s="93">
        <f>VLOOKUP($E$3,Rolls!A1:FA90,46,FALSE)</f>
        <v>28</v>
      </c>
      <c r="H192" s="93">
        <f>VLOOKUP($E$3,Rolls!A1:FA90,47,FALSE)</f>
        <v>16</v>
      </c>
      <c r="I192" s="93">
        <f>VLOOKUP($E$3,Rolls!A1:FA90,48,FALSE)</f>
        <v>17</v>
      </c>
      <c r="J192" s="92">
        <f>VLOOKUP($E$3,Rolls!A1:FA90,49,FALSE)</f>
        <v>118</v>
      </c>
      <c r="K192" s="65"/>
    </row>
    <row r="193" spans="2:11" ht="15" customHeight="1">
      <c r="B193" s="94">
        <v>2018</v>
      </c>
      <c r="C193" s="93">
        <f>VLOOKUP($E$3,Rolls!A1:FA90,50,FALSE)</f>
        <v>17</v>
      </c>
      <c r="D193" s="93">
        <f>VLOOKUP($E$3,Rolls!A1:FA90,51,FALSE)</f>
        <v>19</v>
      </c>
      <c r="E193" s="93">
        <f>VLOOKUP($E$3,Rolls!A1:FA90,52,FALSE)</f>
        <v>19</v>
      </c>
      <c r="F193" s="93">
        <f>VLOOKUP($E$3,Rolls!A1:FA90,53,FALSE)</f>
        <v>11</v>
      </c>
      <c r="G193" s="93">
        <f>VLOOKUP($E$3,Rolls!A1:FA90,54,FALSE)</f>
        <v>13</v>
      </c>
      <c r="H193" s="93">
        <f>VLOOKUP($E$3,Rolls!A1:FA90,55,FALSE)</f>
        <v>27</v>
      </c>
      <c r="I193" s="93">
        <f>VLOOKUP($E$3,Rolls!A1:FA90,56,FALSE)</f>
        <v>14</v>
      </c>
      <c r="J193" s="92">
        <f>VLOOKUP($E$3,Rolls!A1:FA90,57,FALSE)</f>
        <v>120</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91</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St Mark's RC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210 Pupils (7 classes)</v>
      </c>
      <c r="G12" s="16"/>
      <c r="H12" s="16"/>
    </row>
    <row r="13" spans="2:10" ht="15" customHeight="1">
      <c r="C13" s="16"/>
      <c r="D13" s="16"/>
      <c r="E13" s="16"/>
      <c r="F13" s="16"/>
      <c r="G13" s="16"/>
      <c r="H13" s="16"/>
    </row>
    <row r="14" spans="2:10" ht="15" customHeight="1">
      <c r="B14" s="15" t="str">
        <f>"Figure 1: "&amp;E3&amp;" Roll, 2002-2015"</f>
        <v>Figure 1: St Mark's RC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2010-2020"</f>
        <v>Figure 2: Actual Catchment Births (from 5yrs prior),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St Mark's RC Primary School</v>
      </c>
      <c r="K34" s="16"/>
    </row>
    <row r="35" spans="1:17" ht="15" customHeight="1">
      <c r="A35" s="1" t="str">
        <f>IF(ISNUMBER(SEARCH("RC",A34)),"RC", "ND")</f>
        <v>RC</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RC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19</v>
      </c>
      <c r="E49" s="108">
        <f>VLOOKUP($E$3,'Catchment Projections'!$A$1:$BU$90,46,FALSE)</f>
        <v>20</v>
      </c>
      <c r="F49" s="108">
        <f>VLOOKUP($E$3,'Catchment Projections'!$A$1:$BU$90,47,FALSE)</f>
        <v>23</v>
      </c>
      <c r="G49" s="108">
        <f>VLOOKUP($E$3,'Catchment Projections'!$A$1:$BU$90,48,FALSE)</f>
        <v>17</v>
      </c>
      <c r="H49" s="133">
        <f>VLOOKUP($E$3,'Catchment Projections'!$A$1:$BU$90,49,FALSE)</f>
        <v>21</v>
      </c>
      <c r="I49" s="133">
        <f>VLOOKUP($E$3,'Catchment Projections'!$A$1:$BU$90,50,FALSE)</f>
        <v>21</v>
      </c>
      <c r="J49" s="133">
        <f>VLOOKUP($E$3,'Catchment Projections'!$A$1:$BU$90,51,FALSE)</f>
        <v>21</v>
      </c>
      <c r="K49" s="133">
        <f>VLOOKUP($E$3,'Catchment Projections'!$A$1:$BU$90,52,FALSE)</f>
        <v>21</v>
      </c>
      <c r="L49" s="133">
        <f>VLOOKUP($E$3,'Catchment Projections'!$A$1:$BU$90,53,FALSE)</f>
        <v>21</v>
      </c>
      <c r="M49" s="133">
        <f>VLOOKUP($E$3,'Catchment Projections'!$A$1:$BU$90,54,FALSE)</f>
        <v>22</v>
      </c>
      <c r="N49" s="133">
        <f>VLOOKUP($E$3,'Catchment Projections'!$A$1:$BU$90,55,FALSE)</f>
        <v>22</v>
      </c>
      <c r="O49" s="133">
        <f>VLOOKUP($E$3,'Catchment Projections'!$A$1:$BU$90,56,FALSE)</f>
        <v>22</v>
      </c>
      <c r="P49" s="133">
        <f>VLOOKUP($E$3,'Catchment Projections'!$A$1:$BU$90,57,FALSE)</f>
        <v>22</v>
      </c>
      <c r="Q49" s="133">
        <f>VLOOKUP($E$3,'Catchment Projections'!$A$1:$BU$90,58,FALSE)</f>
        <v>22</v>
      </c>
    </row>
    <row r="50" spans="2:17" ht="15" customHeight="1" thickBot="1">
      <c r="B50" s="410" t="s">
        <v>141</v>
      </c>
      <c r="C50" s="411"/>
      <c r="D50" s="286">
        <f>VLOOKUP(E3,'Housing Generation'!$A$3:$DQ$90,10,FALSE)</f>
        <v>0</v>
      </c>
      <c r="E50" s="286">
        <f>VLOOKUP(E3,'Housing Generation'!$A$3:$DQ$90,18,FALSE)</f>
        <v>0</v>
      </c>
      <c r="F50" s="286">
        <f>VLOOKUP(E3,'Housing Generation'!$A$3:$DQ$90,26,FALSE)</f>
        <v>0</v>
      </c>
      <c r="G50" s="243">
        <f>VLOOKUP(E3,'Housing Generation'!$A$3:$DQ$90,34,FALSE)</f>
        <v>0</v>
      </c>
      <c r="H50" s="133">
        <f>VLOOKUP(E3,'Housing Generation'!$A$3:$DQ$90,42,FALSE)</f>
        <v>0</v>
      </c>
      <c r="I50" s="133">
        <f>VLOOKUP(E3,'Housing Generation'!$A$3:$DQ$90,50,FALSE)</f>
        <v>1</v>
      </c>
      <c r="J50" s="133">
        <f>VLOOKUP(E3,'Housing Generation'!$A$3:$CK$90,58,FALSE)</f>
        <v>1</v>
      </c>
      <c r="K50" s="133">
        <f>VLOOKUP(E3,'Housing Generation'!$A$3:$CK$90,66,FALSE)</f>
        <v>1</v>
      </c>
      <c r="L50" s="133">
        <f>VLOOKUP(E3,'Housing Generation'!$A$3:$DQ$90,74,FALSE)</f>
        <v>1</v>
      </c>
      <c r="M50" s="133">
        <f>VLOOKUP(E3,'Housing Generation'!$A$3:$DQ$90,82,FALSE)</f>
        <v>1</v>
      </c>
      <c r="N50" s="133">
        <f>VLOOKUP(E3,'Housing Generation'!$A$3:$DQ$90,90,FALSE)</f>
        <v>1</v>
      </c>
      <c r="O50" s="133">
        <f>VLOOKUP(E3,'Housing Generation'!$A$3:$DQ$90,98,FALSE)</f>
        <v>1</v>
      </c>
      <c r="P50" s="133">
        <f>VLOOKUP(E3,'Housing Generation'!$A$3:$DQ$90,106,FALSE)</f>
        <v>1</v>
      </c>
      <c r="Q50" s="133">
        <f>VLOOKUP(E3,'Housing Generation'!$A$3:$DQ$90,114,FALSE)</f>
        <v>1</v>
      </c>
    </row>
    <row r="51" spans="2:17" ht="15" customHeight="1" thickTop="1">
      <c r="B51" s="421" t="s">
        <v>130</v>
      </c>
      <c r="C51" s="422"/>
      <c r="D51" s="47">
        <f t="shared" ref="D51:Q51" si="0">SUM(D49:D50)</f>
        <v>19</v>
      </c>
      <c r="E51" s="47">
        <f t="shared" si="0"/>
        <v>20</v>
      </c>
      <c r="F51" s="80">
        <f t="shared" si="0"/>
        <v>23</v>
      </c>
      <c r="G51" s="244">
        <f t="shared" si="0"/>
        <v>17</v>
      </c>
      <c r="H51" s="71">
        <f t="shared" si="0"/>
        <v>21</v>
      </c>
      <c r="I51" s="71">
        <f t="shared" si="0"/>
        <v>22</v>
      </c>
      <c r="J51" s="71">
        <f t="shared" si="0"/>
        <v>22</v>
      </c>
      <c r="K51" s="71">
        <f t="shared" si="0"/>
        <v>22</v>
      </c>
      <c r="L51" s="71">
        <f t="shared" si="0"/>
        <v>22</v>
      </c>
      <c r="M51" s="71">
        <f t="shared" si="0"/>
        <v>23</v>
      </c>
      <c r="N51" s="71">
        <f t="shared" si="0"/>
        <v>23</v>
      </c>
      <c r="O51" s="71">
        <f t="shared" si="0"/>
        <v>23</v>
      </c>
      <c r="P51" s="71">
        <f t="shared" si="0"/>
        <v>23</v>
      </c>
      <c r="Q51" s="71">
        <f t="shared" si="0"/>
        <v>23</v>
      </c>
    </row>
    <row r="52" spans="2:17" ht="15" customHeight="1">
      <c r="C52" s="36"/>
      <c r="D52" s="48"/>
      <c r="E52" s="48"/>
      <c r="F52" s="48"/>
      <c r="G52" s="48"/>
      <c r="H52" s="48"/>
    </row>
    <row r="53" spans="2:17" ht="31.5" customHeight="1">
      <c r="B53" s="423" t="s">
        <v>292</v>
      </c>
      <c r="C53" s="424"/>
      <c r="D53" s="87">
        <v>0</v>
      </c>
      <c r="E53" s="139" t="s">
        <v>181</v>
      </c>
      <c r="F53" s="140">
        <v>11</v>
      </c>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RC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19</v>
      </c>
      <c r="D60" s="358">
        <f>VLOOKUP($E$3,'Catchment Projections'!$A$1:$BZ$90,74,FALSE)</f>
        <v>19</v>
      </c>
      <c r="E60" s="303">
        <f>D60/C60</f>
        <v>1</v>
      </c>
      <c r="G60" s="132">
        <v>2014</v>
      </c>
      <c r="H60" s="395">
        <f>VLOOKUP($G$60,$B$177:$C$215, 2, FALSE)</f>
        <v>21</v>
      </c>
      <c r="I60" s="120">
        <f>H60-D60</f>
        <v>2</v>
      </c>
      <c r="J60" s="121">
        <f>I60/H60</f>
        <v>9.5238095238095233E-2</v>
      </c>
    </row>
    <row r="61" spans="2:17" ht="15" customHeight="1">
      <c r="B61" s="132">
        <v>2015</v>
      </c>
      <c r="C61" s="359">
        <f>VLOOKUP($E$3,'Catchment Projections'!$A$1:$BZ$90,41,FALSE)</f>
        <v>29</v>
      </c>
      <c r="D61" s="358">
        <f>VLOOKUP($E$3,'Catchment Projections'!$A$1:$BZ$90,75,FALSE)</f>
        <v>28</v>
      </c>
      <c r="E61" s="303">
        <f>D61/C61</f>
        <v>0.96551724137931039</v>
      </c>
      <c r="G61" s="132">
        <v>2015</v>
      </c>
      <c r="H61" s="395">
        <f>VLOOKUP($G$61,$B$177:$C$215, 2, FALSE)</f>
        <v>29</v>
      </c>
      <c r="I61" s="120">
        <f>H61-D61</f>
        <v>1</v>
      </c>
      <c r="J61" s="121">
        <f>I61/H61</f>
        <v>3.4482758620689655E-2</v>
      </c>
    </row>
    <row r="62" spans="2:17" ht="15" customHeight="1">
      <c r="B62" s="131">
        <v>2016</v>
      </c>
      <c r="C62" s="359">
        <f>VLOOKUP($E$3,'Catchment Projections'!$A$1:$BZ$90,42,FALSE)</f>
        <v>22</v>
      </c>
      <c r="D62" s="358">
        <f>VLOOKUP($E$3,'Catchment Projections'!$A$1:$BZ$90,76,FALSE)</f>
        <v>21</v>
      </c>
      <c r="E62" s="57">
        <f>D62/C62</f>
        <v>0.95454545454545459</v>
      </c>
      <c r="G62" s="131">
        <v>2016</v>
      </c>
      <c r="H62" s="395">
        <f>VLOOKUP($G$62,$B$177:$C$215, 2, FALSE)</f>
        <v>22</v>
      </c>
      <c r="I62" s="120">
        <f>H62-D62</f>
        <v>1</v>
      </c>
      <c r="J62" s="121">
        <f>I62/H62</f>
        <v>4.5454545454545456E-2</v>
      </c>
    </row>
    <row r="63" spans="2:17" ht="15" customHeight="1">
      <c r="B63" s="114">
        <v>2017</v>
      </c>
      <c r="C63" s="359">
        <f>VLOOKUP($E$3,'Catchment Projections'!$A$1:$BZ$90,43,FALSE)</f>
        <v>23</v>
      </c>
      <c r="D63" s="358">
        <f>VLOOKUP($E$3,'Catchment Projections'!$A$1:$BZ$90,77,FALSE)</f>
        <v>20</v>
      </c>
      <c r="E63" s="304">
        <f>D63/C63</f>
        <v>0.86956521739130432</v>
      </c>
      <c r="G63" s="114">
        <v>2017</v>
      </c>
      <c r="H63" s="395">
        <f>VLOOKUP($G$63,$B$177:$C$215, 2, FALSE)</f>
        <v>21</v>
      </c>
      <c r="I63" s="120">
        <f>H63-D63</f>
        <v>1</v>
      </c>
      <c r="J63" s="121">
        <f>I63/H63</f>
        <v>4.7619047619047616E-2</v>
      </c>
    </row>
    <row r="64" spans="2:17" ht="15" customHeight="1">
      <c r="B64" s="114">
        <v>2018</v>
      </c>
      <c r="C64" s="359">
        <f>VLOOKUP($E$3,'Catchment Projections'!$A$1:$BZ$90,44,FALSE)</f>
        <v>18</v>
      </c>
      <c r="D64" s="358">
        <f>VLOOKUP($E$3,'Catchment Projections'!$A$1:$BZ$90,78,FALSE)</f>
        <v>18</v>
      </c>
      <c r="E64" s="305">
        <f>D64/C64</f>
        <v>1</v>
      </c>
      <c r="G64" s="114">
        <v>2018</v>
      </c>
      <c r="H64" s="395">
        <f>VLOOKUP($G$64,$B$177:$C$215, 2, FALSE)</f>
        <v>18</v>
      </c>
      <c r="I64" s="120">
        <f>H64-D64</f>
        <v>0</v>
      </c>
      <c r="J64" s="121">
        <f>I64/H64</f>
        <v>0</v>
      </c>
    </row>
    <row r="65" spans="2:10" ht="15" customHeight="1">
      <c r="B65" s="412" t="s">
        <v>136</v>
      </c>
      <c r="C65" s="413"/>
      <c r="D65" s="414"/>
      <c r="E65" s="137">
        <f>IF((AVERAGE(E62:E64))="#DIV/0!","n/a",(AVERAGE(E62:E64)))</f>
        <v>0.94137022397891956</v>
      </c>
      <c r="G65" s="415" t="s">
        <v>137</v>
      </c>
      <c r="H65" s="416"/>
      <c r="I65" s="138">
        <f>MEDIAN(I60:I64)</f>
        <v>1</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179</v>
      </c>
      <c r="D69" s="408"/>
      <c r="E69" s="125" t="s">
        <v>158</v>
      </c>
      <c r="F69" s="126" t="s">
        <v>133</v>
      </c>
      <c r="G69" s="124" t="s">
        <v>183</v>
      </c>
      <c r="H69" s="125" t="s">
        <v>138</v>
      </c>
      <c r="I69" s="124" t="s">
        <v>142</v>
      </c>
      <c r="J69" s="123" t="s">
        <v>139</v>
      </c>
    </row>
    <row r="70" spans="2:10" ht="15" customHeight="1">
      <c r="B70" s="114">
        <v>2019</v>
      </c>
      <c r="C70" s="433">
        <f>D51</f>
        <v>19</v>
      </c>
      <c r="D70" s="408"/>
      <c r="E70" s="122">
        <f>E65</f>
        <v>0.94137022397891956</v>
      </c>
      <c r="F70" s="120">
        <f t="shared" ref="F70:F83" si="1">C70*$E$65</f>
        <v>17.886034255599473</v>
      </c>
      <c r="G70" s="118">
        <f>IF(F70&lt;26,25,IF(F70&gt;135,140,IF(F70&gt;130,135,IF(F70&gt;125,130,IF(F70&gt;120,125,IF(F70&gt;115,120,IF(F70&gt;110,115,IF(F70&gt;105,110,IF(F70&gt;100,105,IF(F70&gt;99,100,IF(F70&gt;90,99,IF(F70&gt;75,90,IF(F70&gt;72,75,IF(F70&gt;66,72,IF(F70&gt;60,66,IF(F70&gt;50,60,IF(F70&gt;30,50,IF(F70&gt;25,30,0))))))))))))))))))</f>
        <v>25</v>
      </c>
      <c r="H70" s="119">
        <f t="shared" ref="H70:H83" si="2">G70-F70</f>
        <v>7.1139657444005273</v>
      </c>
      <c r="I70" s="118" t="str">
        <f>IF(I$65&lt;H70, "NO", "YES")</f>
        <v>NO</v>
      </c>
      <c r="J70" s="117">
        <f t="shared" ref="J70:J83" si="3">IF(I70="YES",G70,(MIN((SUM(F70,$I$65)),G70)))</f>
        <v>18.886034255599473</v>
      </c>
    </row>
    <row r="71" spans="2:10" ht="15" customHeight="1">
      <c r="B71" s="114">
        <v>2020</v>
      </c>
      <c r="C71" s="433">
        <f>E51</f>
        <v>20</v>
      </c>
      <c r="D71" s="408"/>
      <c r="E71" s="121">
        <f>E65</f>
        <v>0.94137022397891956</v>
      </c>
      <c r="F71" s="120">
        <f t="shared" si="1"/>
        <v>18.827404479578391</v>
      </c>
      <c r="G71" s="118">
        <f t="shared" ref="G71:G83" si="4">IF(F71&lt;26,25,IF(F71&gt;135,140,IF(F71&gt;130,135,IF(F71&gt;125,130,IF(F71&gt;120,125,IF(F71&gt;115,120,IF(F71&gt;110,115,IF(F71&gt;105,110,IF(F71&gt;100,105,IF(F71&gt;99,100,IF(F71&gt;90,99,IF(F71&gt;75,90,IF(F71&gt;72,75,IF(F71&gt;66,72,IF(F71&gt;60,66,IF(F71&gt;50,60,IF(F71&gt;30,50,IF(F71&gt;25,30,0))))))))))))))))))</f>
        <v>25</v>
      </c>
      <c r="H71" s="119">
        <f t="shared" si="2"/>
        <v>6.1725955204216092</v>
      </c>
      <c r="I71" s="118" t="str">
        <f t="shared" ref="I71:I83" si="5">IF(I$65&lt;H71, "NO", "YES")</f>
        <v>NO</v>
      </c>
      <c r="J71" s="117">
        <f t="shared" si="3"/>
        <v>19.827404479578391</v>
      </c>
    </row>
    <row r="72" spans="2:10" ht="15" customHeight="1">
      <c r="B72" s="114">
        <v>2021</v>
      </c>
      <c r="C72" s="430">
        <f>F51</f>
        <v>23</v>
      </c>
      <c r="D72" s="431"/>
      <c r="E72" s="121">
        <f>E65</f>
        <v>0.94137022397891956</v>
      </c>
      <c r="F72" s="120">
        <f t="shared" si="1"/>
        <v>21.651515151515149</v>
      </c>
      <c r="G72" s="118">
        <f t="shared" si="4"/>
        <v>25</v>
      </c>
      <c r="H72" s="119">
        <f t="shared" si="2"/>
        <v>3.3484848484848513</v>
      </c>
      <c r="I72" s="118" t="str">
        <f t="shared" si="5"/>
        <v>NO</v>
      </c>
      <c r="J72" s="117">
        <f t="shared" si="3"/>
        <v>22.651515151515149</v>
      </c>
    </row>
    <row r="73" spans="2:10" ht="15" customHeight="1">
      <c r="B73" s="114">
        <v>2022</v>
      </c>
      <c r="C73" s="430">
        <f>G51</f>
        <v>17</v>
      </c>
      <c r="D73" s="431"/>
      <c r="E73" s="121">
        <f>E65</f>
        <v>0.94137022397891956</v>
      </c>
      <c r="F73" s="120">
        <f t="shared" si="1"/>
        <v>16.003293807641633</v>
      </c>
      <c r="G73" s="118">
        <f t="shared" si="4"/>
        <v>25</v>
      </c>
      <c r="H73" s="119">
        <f t="shared" si="2"/>
        <v>8.9967061923583671</v>
      </c>
      <c r="I73" s="118" t="str">
        <f t="shared" si="5"/>
        <v>NO</v>
      </c>
      <c r="J73" s="117">
        <f t="shared" si="3"/>
        <v>17.003293807641633</v>
      </c>
    </row>
    <row r="74" spans="2:10" ht="15" customHeight="1">
      <c r="B74" s="114">
        <v>2023</v>
      </c>
      <c r="C74" s="430">
        <f>H51</f>
        <v>21</v>
      </c>
      <c r="D74" s="431"/>
      <c r="E74" s="121">
        <f>E65</f>
        <v>0.94137022397891956</v>
      </c>
      <c r="F74" s="120">
        <f t="shared" si="1"/>
        <v>19.768774703557312</v>
      </c>
      <c r="G74" s="118">
        <f t="shared" si="4"/>
        <v>25</v>
      </c>
      <c r="H74" s="119">
        <f t="shared" si="2"/>
        <v>5.2312252964426875</v>
      </c>
      <c r="I74" s="118" t="str">
        <f t="shared" si="5"/>
        <v>NO</v>
      </c>
      <c r="J74" s="117">
        <f t="shared" si="3"/>
        <v>20.768774703557312</v>
      </c>
    </row>
    <row r="75" spans="2:10" ht="15" customHeight="1">
      <c r="B75" s="114">
        <v>2024</v>
      </c>
      <c r="C75" s="430">
        <f>I51</f>
        <v>22</v>
      </c>
      <c r="D75" s="431"/>
      <c r="E75" s="121">
        <f>E65</f>
        <v>0.94137022397891956</v>
      </c>
      <c r="F75" s="120">
        <f t="shared" si="1"/>
        <v>20.710144927536231</v>
      </c>
      <c r="G75" s="118">
        <f t="shared" si="4"/>
        <v>25</v>
      </c>
      <c r="H75" s="119">
        <f t="shared" si="2"/>
        <v>4.2898550724637694</v>
      </c>
      <c r="I75" s="118" t="str">
        <f t="shared" si="5"/>
        <v>NO</v>
      </c>
      <c r="J75" s="117">
        <f t="shared" si="3"/>
        <v>21.710144927536231</v>
      </c>
    </row>
    <row r="76" spans="2:10" ht="15" customHeight="1">
      <c r="B76" s="114">
        <v>2025</v>
      </c>
      <c r="C76" s="430">
        <f>J51</f>
        <v>22</v>
      </c>
      <c r="D76" s="431"/>
      <c r="E76" s="121">
        <f>E65</f>
        <v>0.94137022397891956</v>
      </c>
      <c r="F76" s="120">
        <f t="shared" si="1"/>
        <v>20.710144927536231</v>
      </c>
      <c r="G76" s="118">
        <f t="shared" si="4"/>
        <v>25</v>
      </c>
      <c r="H76" s="119">
        <f t="shared" si="2"/>
        <v>4.2898550724637694</v>
      </c>
      <c r="I76" s="118" t="str">
        <f t="shared" si="5"/>
        <v>NO</v>
      </c>
      <c r="J76" s="117">
        <f t="shared" si="3"/>
        <v>21.710144927536231</v>
      </c>
    </row>
    <row r="77" spans="2:10" ht="15" customHeight="1">
      <c r="B77" s="114">
        <v>2026</v>
      </c>
      <c r="C77" s="430">
        <f>K51</f>
        <v>22</v>
      </c>
      <c r="D77" s="431"/>
      <c r="E77" s="121">
        <f>E65</f>
        <v>0.94137022397891956</v>
      </c>
      <c r="F77" s="120">
        <f t="shared" si="1"/>
        <v>20.710144927536231</v>
      </c>
      <c r="G77" s="118">
        <f t="shared" si="4"/>
        <v>25</v>
      </c>
      <c r="H77" s="119">
        <f t="shared" si="2"/>
        <v>4.2898550724637694</v>
      </c>
      <c r="I77" s="118" t="str">
        <f t="shared" si="5"/>
        <v>NO</v>
      </c>
      <c r="J77" s="117">
        <f t="shared" si="3"/>
        <v>21.710144927536231</v>
      </c>
    </row>
    <row r="78" spans="2:10" ht="15" customHeight="1">
      <c r="B78" s="114">
        <v>2027</v>
      </c>
      <c r="C78" s="430">
        <f>L51</f>
        <v>22</v>
      </c>
      <c r="D78" s="431"/>
      <c r="E78" s="121">
        <f>E65</f>
        <v>0.94137022397891956</v>
      </c>
      <c r="F78" s="120">
        <f t="shared" si="1"/>
        <v>20.710144927536231</v>
      </c>
      <c r="G78" s="118">
        <f t="shared" si="4"/>
        <v>25</v>
      </c>
      <c r="H78" s="119">
        <f t="shared" si="2"/>
        <v>4.2898550724637694</v>
      </c>
      <c r="I78" s="118" t="str">
        <f t="shared" si="5"/>
        <v>NO</v>
      </c>
      <c r="J78" s="117">
        <f t="shared" si="3"/>
        <v>21.710144927536231</v>
      </c>
    </row>
    <row r="79" spans="2:10" ht="15" customHeight="1">
      <c r="B79" s="114">
        <v>2028</v>
      </c>
      <c r="C79" s="430">
        <f>M51</f>
        <v>23</v>
      </c>
      <c r="D79" s="431"/>
      <c r="E79" s="121">
        <f t="shared" ref="E79:E83" si="6">$E$65</f>
        <v>0.94137022397891956</v>
      </c>
      <c r="F79" s="120">
        <f t="shared" si="1"/>
        <v>21.651515151515149</v>
      </c>
      <c r="G79" s="118">
        <f t="shared" si="4"/>
        <v>25</v>
      </c>
      <c r="H79" s="119">
        <f t="shared" si="2"/>
        <v>3.3484848484848513</v>
      </c>
      <c r="I79" s="118" t="str">
        <f t="shared" si="5"/>
        <v>NO</v>
      </c>
      <c r="J79" s="117">
        <f t="shared" si="3"/>
        <v>22.651515151515149</v>
      </c>
    </row>
    <row r="80" spans="2:10" ht="15" customHeight="1">
      <c r="B80" s="114">
        <v>2029</v>
      </c>
      <c r="C80" s="430">
        <f>N51</f>
        <v>23</v>
      </c>
      <c r="D80" s="431"/>
      <c r="E80" s="121">
        <f t="shared" si="6"/>
        <v>0.94137022397891956</v>
      </c>
      <c r="F80" s="120">
        <f t="shared" si="1"/>
        <v>21.651515151515149</v>
      </c>
      <c r="G80" s="118">
        <f t="shared" si="4"/>
        <v>25</v>
      </c>
      <c r="H80" s="119">
        <f t="shared" si="2"/>
        <v>3.3484848484848513</v>
      </c>
      <c r="I80" s="118" t="str">
        <f t="shared" si="5"/>
        <v>NO</v>
      </c>
      <c r="J80" s="117">
        <f t="shared" si="3"/>
        <v>22.651515151515149</v>
      </c>
    </row>
    <row r="81" spans="2:10" ht="15" customHeight="1">
      <c r="B81" s="114">
        <v>2030</v>
      </c>
      <c r="C81" s="430">
        <f>O51</f>
        <v>23</v>
      </c>
      <c r="D81" s="431"/>
      <c r="E81" s="121">
        <f t="shared" si="6"/>
        <v>0.94137022397891956</v>
      </c>
      <c r="F81" s="120">
        <f t="shared" si="1"/>
        <v>21.651515151515149</v>
      </c>
      <c r="G81" s="118">
        <f t="shared" si="4"/>
        <v>25</v>
      </c>
      <c r="H81" s="119">
        <f t="shared" si="2"/>
        <v>3.3484848484848513</v>
      </c>
      <c r="I81" s="118" t="str">
        <f t="shared" si="5"/>
        <v>NO</v>
      </c>
      <c r="J81" s="117">
        <f t="shared" si="3"/>
        <v>22.651515151515149</v>
      </c>
    </row>
    <row r="82" spans="2:10" ht="15" customHeight="1">
      <c r="B82" s="114">
        <v>2031</v>
      </c>
      <c r="C82" s="430">
        <f>P51</f>
        <v>23</v>
      </c>
      <c r="D82" s="431"/>
      <c r="E82" s="121">
        <f t="shared" si="6"/>
        <v>0.94137022397891956</v>
      </c>
      <c r="F82" s="120">
        <f t="shared" si="1"/>
        <v>21.651515151515149</v>
      </c>
      <c r="G82" s="118">
        <f t="shared" si="4"/>
        <v>25</v>
      </c>
      <c r="H82" s="119">
        <f t="shared" si="2"/>
        <v>3.3484848484848513</v>
      </c>
      <c r="I82" s="118" t="str">
        <f t="shared" si="5"/>
        <v>NO</v>
      </c>
      <c r="J82" s="117">
        <f t="shared" si="3"/>
        <v>22.651515151515149</v>
      </c>
    </row>
    <row r="83" spans="2:10" ht="15" customHeight="1">
      <c r="B83" s="114">
        <v>2032</v>
      </c>
      <c r="C83" s="430">
        <f>Q51</f>
        <v>23</v>
      </c>
      <c r="D83" s="431"/>
      <c r="E83" s="121">
        <f t="shared" si="6"/>
        <v>0.94137022397891956</v>
      </c>
      <c r="F83" s="120">
        <f t="shared" si="1"/>
        <v>21.651515151515149</v>
      </c>
      <c r="G83" s="118">
        <f t="shared" si="4"/>
        <v>25</v>
      </c>
      <c r="H83" s="119">
        <f t="shared" si="2"/>
        <v>3.3484848484848513</v>
      </c>
      <c r="I83" s="118" t="str">
        <f t="shared" si="5"/>
        <v>NO</v>
      </c>
      <c r="J83" s="117">
        <f t="shared" si="3"/>
        <v>22.651515151515149</v>
      </c>
    </row>
    <row r="84" spans="2:10" ht="15" customHeight="1">
      <c r="C84" s="16"/>
      <c r="D84" s="16"/>
      <c r="E84" s="16"/>
      <c r="F84" s="16"/>
      <c r="G84" s="16"/>
      <c r="H84" s="16"/>
    </row>
    <row r="85" spans="2:10" ht="15" customHeight="1">
      <c r="B85" s="11" t="s">
        <v>186</v>
      </c>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St Mark's RC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24</v>
      </c>
      <c r="D91" s="112">
        <f t="shared" ref="D91:J91" si="7">D188</f>
        <v>28</v>
      </c>
      <c r="E91" s="112">
        <f t="shared" si="7"/>
        <v>28</v>
      </c>
      <c r="F91" s="112">
        <f t="shared" si="7"/>
        <v>22</v>
      </c>
      <c r="G91" s="112">
        <f t="shared" si="7"/>
        <v>19</v>
      </c>
      <c r="H91" s="112">
        <f t="shared" si="7"/>
        <v>18</v>
      </c>
      <c r="I91" s="112">
        <f t="shared" si="7"/>
        <v>17</v>
      </c>
      <c r="J91" s="213">
        <f t="shared" si="7"/>
        <v>156</v>
      </c>
    </row>
    <row r="92" spans="2:10" ht="15" customHeight="1">
      <c r="B92" s="114">
        <v>2014</v>
      </c>
      <c r="C92" s="112">
        <f>C189</f>
        <v>21</v>
      </c>
      <c r="D92" s="112">
        <f t="shared" ref="D92:J92" si="8">D189</f>
        <v>22</v>
      </c>
      <c r="E92" s="112">
        <f t="shared" si="8"/>
        <v>27</v>
      </c>
      <c r="F92" s="112">
        <f t="shared" si="8"/>
        <v>20</v>
      </c>
      <c r="G92" s="112">
        <f t="shared" si="8"/>
        <v>17</v>
      </c>
      <c r="H92" s="112">
        <f t="shared" si="8"/>
        <v>16</v>
      </c>
      <c r="I92" s="112">
        <f t="shared" si="8"/>
        <v>16</v>
      </c>
      <c r="J92" s="213">
        <f t="shared" si="8"/>
        <v>139</v>
      </c>
    </row>
    <row r="93" spans="2:10" ht="15" customHeight="1">
      <c r="B93" s="114">
        <v>2015</v>
      </c>
      <c r="C93" s="112">
        <f>C190</f>
        <v>29</v>
      </c>
      <c r="D93" s="112">
        <f t="shared" ref="D93:J93" si="9">D190</f>
        <v>18</v>
      </c>
      <c r="E93" s="112">
        <f t="shared" si="9"/>
        <v>19</v>
      </c>
      <c r="F93" s="112">
        <f t="shared" si="9"/>
        <v>26</v>
      </c>
      <c r="G93" s="112">
        <f t="shared" si="9"/>
        <v>20</v>
      </c>
      <c r="H93" s="112">
        <f t="shared" si="9"/>
        <v>15</v>
      </c>
      <c r="I93" s="112">
        <f t="shared" si="9"/>
        <v>17</v>
      </c>
      <c r="J93" s="213">
        <f t="shared" si="9"/>
        <v>144</v>
      </c>
    </row>
    <row r="94" spans="2:10" ht="15" customHeight="1">
      <c r="B94" s="114">
        <v>2016</v>
      </c>
      <c r="C94" s="112">
        <f>C191</f>
        <v>22</v>
      </c>
      <c r="D94" s="112">
        <f t="shared" ref="D94:J94" si="10">D191</f>
        <v>26</v>
      </c>
      <c r="E94" s="112">
        <f t="shared" si="10"/>
        <v>21</v>
      </c>
      <c r="F94" s="112">
        <f t="shared" si="10"/>
        <v>23</v>
      </c>
      <c r="G94" s="112">
        <f t="shared" si="10"/>
        <v>27</v>
      </c>
      <c r="H94" s="112">
        <f t="shared" si="10"/>
        <v>24</v>
      </c>
      <c r="I94" s="112">
        <f t="shared" si="10"/>
        <v>16</v>
      </c>
      <c r="J94" s="213">
        <f t="shared" si="10"/>
        <v>159</v>
      </c>
    </row>
    <row r="95" spans="2:10" ht="15" customHeight="1">
      <c r="B95" s="114">
        <v>2017</v>
      </c>
      <c r="C95" s="112">
        <f>C192</f>
        <v>21</v>
      </c>
      <c r="D95" s="112">
        <f t="shared" ref="D95:J95" si="11">D192</f>
        <v>22</v>
      </c>
      <c r="E95" s="112">
        <f t="shared" si="11"/>
        <v>26</v>
      </c>
      <c r="F95" s="112">
        <f t="shared" si="11"/>
        <v>20</v>
      </c>
      <c r="G95" s="112">
        <f t="shared" si="11"/>
        <v>20</v>
      </c>
      <c r="H95" s="112">
        <f t="shared" si="11"/>
        <v>29</v>
      </c>
      <c r="I95" s="112">
        <f t="shared" si="11"/>
        <v>21</v>
      </c>
      <c r="J95" s="213">
        <f t="shared" si="11"/>
        <v>159</v>
      </c>
    </row>
    <row r="96" spans="2:10" ht="15" customHeight="1">
      <c r="B96" s="307">
        <v>2018</v>
      </c>
      <c r="C96" s="112">
        <f t="shared" ref="C96:J96" si="12">C193</f>
        <v>18</v>
      </c>
      <c r="D96" s="112">
        <f t="shared" si="12"/>
        <v>20</v>
      </c>
      <c r="E96" s="112">
        <f t="shared" si="12"/>
        <v>19</v>
      </c>
      <c r="F96" s="112">
        <f t="shared" si="12"/>
        <v>27</v>
      </c>
      <c r="G96" s="112">
        <f t="shared" si="12"/>
        <v>19</v>
      </c>
      <c r="H96" s="112">
        <f t="shared" si="12"/>
        <v>21</v>
      </c>
      <c r="I96" s="112">
        <f t="shared" si="12"/>
        <v>24</v>
      </c>
      <c r="J96" s="213">
        <f t="shared" si="12"/>
        <v>148</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8.3333333333333329E-2</v>
      </c>
      <c r="E98" s="210">
        <f t="shared" ref="E98:I98" si="13">MEDIAN(((D91-E92)/D91),((D92-E93)/D92),((D93-E94)/D93),((D94-E95)/D94),((D95-E96)/D95))</f>
        <v>3.5714285714285712E-2</v>
      </c>
      <c r="F98" s="210">
        <f t="shared" si="13"/>
        <v>3.7037037037037035E-2</v>
      </c>
      <c r="G98" s="210">
        <f t="shared" si="13"/>
        <v>0.05</v>
      </c>
      <c r="H98" s="210">
        <f t="shared" si="13"/>
        <v>-0.05</v>
      </c>
      <c r="I98" s="210">
        <f t="shared" si="13"/>
        <v>0.1111111111111111</v>
      </c>
    </row>
    <row r="99" spans="2:10" ht="18.75">
      <c r="B99" s="59"/>
      <c r="C99" s="60"/>
      <c r="D99" s="61"/>
      <c r="E99" s="61"/>
      <c r="F99" s="61"/>
      <c r="G99" s="61"/>
      <c r="H99" s="61"/>
      <c r="I99" s="61"/>
      <c r="J99" s="58"/>
    </row>
    <row r="100" spans="2:10">
      <c r="B100" s="15" t="str">
        <f>"Table 4B: "&amp;E3&amp;" Projected Roll by Stage (incorporating Projected P1 and Drop-Off Rates), 2019-2032"</f>
        <v>Table 4B: St Mark's RC Primary School Projected Roll by Stage (incorporating Projected P1 and Drop-Off Rates), 2019-2032</v>
      </c>
      <c r="F100" s="14"/>
      <c r="G100" s="14"/>
    </row>
    <row r="101" spans="2:10" ht="12.75">
      <c r="F101" s="14"/>
      <c r="G101" s="14"/>
    </row>
    <row r="102" spans="2:10">
      <c r="B102" s="115"/>
      <c r="C102" s="109" t="s">
        <v>1</v>
      </c>
      <c r="D102" s="109" t="s">
        <v>2</v>
      </c>
      <c r="E102" s="109" t="s">
        <v>3</v>
      </c>
      <c r="F102" s="109" t="s">
        <v>4</v>
      </c>
      <c r="G102" s="109" t="s">
        <v>5</v>
      </c>
      <c r="H102" s="109" t="s">
        <v>6</v>
      </c>
      <c r="I102" s="109" t="s">
        <v>7</v>
      </c>
      <c r="J102" s="109" t="s">
        <v>8</v>
      </c>
    </row>
    <row r="103" spans="2:10">
      <c r="B103" s="114">
        <v>2019</v>
      </c>
      <c r="C103" s="113">
        <f t="shared" ref="C103:C116" si="14">J70</f>
        <v>18.886034255599473</v>
      </c>
      <c r="D103" s="324">
        <f>ROUND((C96)-(C96*$D$98),0)</f>
        <v>17</v>
      </c>
      <c r="E103" s="324">
        <f>ROUND((D96)-(D96*$E$98),0)</f>
        <v>19</v>
      </c>
      <c r="F103" s="324">
        <f>ROUND((E96)-(E96*$F$98),0)</f>
        <v>18</v>
      </c>
      <c r="G103" s="324">
        <f>ROUND((F96)-(F96*$G$98),0)</f>
        <v>26</v>
      </c>
      <c r="H103" s="324">
        <f>ROUND((G96)-(G96*$H$98),0)</f>
        <v>20</v>
      </c>
      <c r="I103" s="324">
        <f>ROUND((H96)-(H96*$I$98),0)</f>
        <v>19</v>
      </c>
      <c r="J103" s="111">
        <f t="shared" ref="J103:J116" si="15">SUM(C103:I103)</f>
        <v>137.88603425559947</v>
      </c>
    </row>
    <row r="104" spans="2:10">
      <c r="B104" s="114">
        <v>2020</v>
      </c>
      <c r="C104" s="113">
        <f t="shared" si="14"/>
        <v>19.827404479578391</v>
      </c>
      <c r="D104" s="324">
        <f>ROUND((C103-E50)-(C103*$D$98),0)</f>
        <v>17</v>
      </c>
      <c r="E104" s="112">
        <f t="shared" ref="E104:E116" si="16">ROUND((D103)-(D103*$E$98),0)</f>
        <v>16</v>
      </c>
      <c r="F104" s="112">
        <f t="shared" ref="F104:F116" si="17">ROUND((E103)-(E103*$F$98),0)</f>
        <v>18</v>
      </c>
      <c r="G104" s="112">
        <f t="shared" ref="G104:G116" si="18">ROUND((F103)-(F103*$G$98),0)</f>
        <v>17</v>
      </c>
      <c r="H104" s="112">
        <f t="shared" ref="H104:H116" si="19">ROUND((G103)-(G103*$H$98),0)</f>
        <v>27</v>
      </c>
      <c r="I104" s="112">
        <f t="shared" ref="I104:I116" si="20">ROUND((H103)-(H103*$I$98),0)</f>
        <v>18</v>
      </c>
      <c r="J104" s="111">
        <f t="shared" si="15"/>
        <v>132.82740447957838</v>
      </c>
    </row>
    <row r="105" spans="2:10">
      <c r="B105" s="114">
        <v>2021</v>
      </c>
      <c r="C105" s="113">
        <f t="shared" si="14"/>
        <v>22.651515151515149</v>
      </c>
      <c r="D105" s="324">
        <f>ROUND((C104-F50)-(C104*$D$98),0)</f>
        <v>18</v>
      </c>
      <c r="E105" s="112">
        <f t="shared" si="16"/>
        <v>16</v>
      </c>
      <c r="F105" s="112">
        <f t="shared" si="17"/>
        <v>15</v>
      </c>
      <c r="G105" s="112">
        <f t="shared" si="18"/>
        <v>17</v>
      </c>
      <c r="H105" s="112">
        <f t="shared" si="19"/>
        <v>18</v>
      </c>
      <c r="I105" s="112">
        <f t="shared" si="20"/>
        <v>24</v>
      </c>
      <c r="J105" s="111">
        <f t="shared" si="15"/>
        <v>130.65151515151516</v>
      </c>
    </row>
    <row r="106" spans="2:10">
      <c r="B106" s="114">
        <v>2022</v>
      </c>
      <c r="C106" s="113">
        <f t="shared" si="14"/>
        <v>17.003293807641633</v>
      </c>
      <c r="D106" s="324">
        <f>ROUND((C105-G50)-(C105*$D$98),0)</f>
        <v>21</v>
      </c>
      <c r="E106" s="112">
        <f t="shared" si="16"/>
        <v>17</v>
      </c>
      <c r="F106" s="112">
        <f t="shared" si="17"/>
        <v>15</v>
      </c>
      <c r="G106" s="112">
        <f t="shared" si="18"/>
        <v>14</v>
      </c>
      <c r="H106" s="112">
        <f t="shared" si="19"/>
        <v>18</v>
      </c>
      <c r="I106" s="112">
        <f t="shared" si="20"/>
        <v>16</v>
      </c>
      <c r="J106" s="111">
        <f t="shared" si="15"/>
        <v>118.00329380764163</v>
      </c>
    </row>
    <row r="107" spans="2:10">
      <c r="B107" s="114">
        <v>2023</v>
      </c>
      <c r="C107" s="113">
        <f t="shared" si="14"/>
        <v>20.768774703557312</v>
      </c>
      <c r="D107" s="324">
        <f>ROUND((C106-H50)-(C106*$D$98),0)</f>
        <v>16</v>
      </c>
      <c r="E107" s="112">
        <f t="shared" si="16"/>
        <v>20</v>
      </c>
      <c r="F107" s="112">
        <f t="shared" si="17"/>
        <v>16</v>
      </c>
      <c r="G107" s="112">
        <f t="shared" si="18"/>
        <v>14</v>
      </c>
      <c r="H107" s="112">
        <f t="shared" si="19"/>
        <v>15</v>
      </c>
      <c r="I107" s="112">
        <f t="shared" si="20"/>
        <v>16</v>
      </c>
      <c r="J107" s="111">
        <f t="shared" si="15"/>
        <v>117.76877470355731</v>
      </c>
    </row>
    <row r="108" spans="2:10">
      <c r="B108" s="114">
        <v>2024</v>
      </c>
      <c r="C108" s="113">
        <f t="shared" si="14"/>
        <v>21.710144927536231</v>
      </c>
      <c r="D108" s="324">
        <f>ROUND((C107-I50)-(C107*$D$98),0)</f>
        <v>18</v>
      </c>
      <c r="E108" s="112">
        <f t="shared" si="16"/>
        <v>15</v>
      </c>
      <c r="F108" s="112">
        <f t="shared" si="17"/>
        <v>19</v>
      </c>
      <c r="G108" s="112">
        <f t="shared" si="18"/>
        <v>15</v>
      </c>
      <c r="H108" s="112">
        <f t="shared" si="19"/>
        <v>15</v>
      </c>
      <c r="I108" s="112">
        <f t="shared" si="20"/>
        <v>13</v>
      </c>
      <c r="J108" s="111">
        <f t="shared" si="15"/>
        <v>116.71014492753623</v>
      </c>
    </row>
    <row r="109" spans="2:10">
      <c r="B109" s="114">
        <v>2025</v>
      </c>
      <c r="C109" s="113">
        <f t="shared" si="14"/>
        <v>21.710144927536231</v>
      </c>
      <c r="D109" s="324">
        <f>ROUND((C108-J50)-(C108*$D$98),0)</f>
        <v>19</v>
      </c>
      <c r="E109" s="112">
        <f t="shared" si="16"/>
        <v>17</v>
      </c>
      <c r="F109" s="112">
        <f t="shared" si="17"/>
        <v>14</v>
      </c>
      <c r="G109" s="112">
        <f t="shared" si="18"/>
        <v>18</v>
      </c>
      <c r="H109" s="112">
        <f t="shared" si="19"/>
        <v>16</v>
      </c>
      <c r="I109" s="112">
        <f t="shared" si="20"/>
        <v>13</v>
      </c>
      <c r="J109" s="111">
        <f t="shared" si="15"/>
        <v>118.71014492753623</v>
      </c>
    </row>
    <row r="110" spans="2:10">
      <c r="B110" s="114">
        <v>2026</v>
      </c>
      <c r="C110" s="113">
        <f t="shared" si="14"/>
        <v>21.710144927536231</v>
      </c>
      <c r="D110" s="324">
        <f>ROUND((C109-K50)-(C109*$D$98),0)</f>
        <v>19</v>
      </c>
      <c r="E110" s="112">
        <f t="shared" si="16"/>
        <v>18</v>
      </c>
      <c r="F110" s="112">
        <f t="shared" si="17"/>
        <v>16</v>
      </c>
      <c r="G110" s="112">
        <f t="shared" si="18"/>
        <v>13</v>
      </c>
      <c r="H110" s="112">
        <f t="shared" si="19"/>
        <v>19</v>
      </c>
      <c r="I110" s="112">
        <f t="shared" si="20"/>
        <v>14</v>
      </c>
      <c r="J110" s="111">
        <f t="shared" si="15"/>
        <v>120.71014492753623</v>
      </c>
    </row>
    <row r="111" spans="2:10">
      <c r="B111" s="114">
        <v>2027</v>
      </c>
      <c r="C111" s="113">
        <f t="shared" si="14"/>
        <v>21.710144927536231</v>
      </c>
      <c r="D111" s="324">
        <f>ROUND((C110-L50)-(C110*$D$98),0)</f>
        <v>19</v>
      </c>
      <c r="E111" s="112">
        <f t="shared" si="16"/>
        <v>18</v>
      </c>
      <c r="F111" s="112">
        <f t="shared" si="17"/>
        <v>17</v>
      </c>
      <c r="G111" s="112">
        <f t="shared" si="18"/>
        <v>15</v>
      </c>
      <c r="H111" s="112">
        <f t="shared" si="19"/>
        <v>14</v>
      </c>
      <c r="I111" s="112">
        <f t="shared" si="20"/>
        <v>17</v>
      </c>
      <c r="J111" s="111">
        <f t="shared" si="15"/>
        <v>121.71014492753623</v>
      </c>
    </row>
    <row r="112" spans="2:10">
      <c r="B112" s="114">
        <v>2028</v>
      </c>
      <c r="C112" s="113">
        <f t="shared" si="14"/>
        <v>22.651515151515149</v>
      </c>
      <c r="D112" s="324">
        <f>ROUND((C111-M50)-(C111*$D$98),0)</f>
        <v>19</v>
      </c>
      <c r="E112" s="112">
        <f t="shared" si="16"/>
        <v>18</v>
      </c>
      <c r="F112" s="112">
        <f t="shared" si="17"/>
        <v>17</v>
      </c>
      <c r="G112" s="112">
        <f t="shared" si="18"/>
        <v>16</v>
      </c>
      <c r="H112" s="112">
        <f t="shared" si="19"/>
        <v>16</v>
      </c>
      <c r="I112" s="112">
        <f t="shared" si="20"/>
        <v>12</v>
      </c>
      <c r="J112" s="111">
        <f t="shared" si="15"/>
        <v>120.65151515151516</v>
      </c>
    </row>
    <row r="113" spans="2:10" ht="15" customHeight="1">
      <c r="B113" s="114">
        <v>2029</v>
      </c>
      <c r="C113" s="113">
        <f t="shared" si="14"/>
        <v>22.651515151515149</v>
      </c>
      <c r="D113" s="324">
        <f>ROUND((C112-N50)-(C112*$D$98),0)</f>
        <v>20</v>
      </c>
      <c r="E113" s="112">
        <f t="shared" si="16"/>
        <v>18</v>
      </c>
      <c r="F113" s="112">
        <f t="shared" si="17"/>
        <v>17</v>
      </c>
      <c r="G113" s="112">
        <f t="shared" si="18"/>
        <v>16</v>
      </c>
      <c r="H113" s="112">
        <f t="shared" si="19"/>
        <v>17</v>
      </c>
      <c r="I113" s="112">
        <f t="shared" si="20"/>
        <v>14</v>
      </c>
      <c r="J113" s="111">
        <f t="shared" si="15"/>
        <v>124.65151515151516</v>
      </c>
    </row>
    <row r="114" spans="2:10" ht="15" customHeight="1">
      <c r="B114" s="114">
        <v>2030</v>
      </c>
      <c r="C114" s="113">
        <f t="shared" si="14"/>
        <v>22.651515151515149</v>
      </c>
      <c r="D114" s="324">
        <f>ROUND((C113-O50)-(C113*$D$98),0)</f>
        <v>20</v>
      </c>
      <c r="E114" s="112">
        <f t="shared" si="16"/>
        <v>19</v>
      </c>
      <c r="F114" s="112">
        <f t="shared" si="17"/>
        <v>17</v>
      </c>
      <c r="G114" s="112">
        <f t="shared" si="18"/>
        <v>16</v>
      </c>
      <c r="H114" s="112">
        <f t="shared" si="19"/>
        <v>17</v>
      </c>
      <c r="I114" s="112">
        <f t="shared" si="20"/>
        <v>15</v>
      </c>
      <c r="J114" s="111">
        <f t="shared" si="15"/>
        <v>126.65151515151516</v>
      </c>
    </row>
    <row r="115" spans="2:10" ht="15" customHeight="1">
      <c r="B115" s="114">
        <v>2031</v>
      </c>
      <c r="C115" s="113">
        <f t="shared" si="14"/>
        <v>22.651515151515149</v>
      </c>
      <c r="D115" s="324">
        <f>ROUND((C114-P50)-(C114*$D$98),0)</f>
        <v>20</v>
      </c>
      <c r="E115" s="112">
        <f t="shared" si="16"/>
        <v>19</v>
      </c>
      <c r="F115" s="112">
        <f t="shared" si="17"/>
        <v>18</v>
      </c>
      <c r="G115" s="112">
        <f t="shared" si="18"/>
        <v>16</v>
      </c>
      <c r="H115" s="112">
        <f t="shared" si="19"/>
        <v>17</v>
      </c>
      <c r="I115" s="112">
        <f t="shared" si="20"/>
        <v>15</v>
      </c>
      <c r="J115" s="111">
        <f t="shared" si="15"/>
        <v>127.65151515151516</v>
      </c>
    </row>
    <row r="116" spans="2:10" ht="15" customHeight="1">
      <c r="B116" s="114">
        <v>2032</v>
      </c>
      <c r="C116" s="113">
        <f t="shared" si="14"/>
        <v>22.651515151515149</v>
      </c>
      <c r="D116" s="324">
        <f>ROUND((C115-Q50)-(C115*$D$98),0)</f>
        <v>20</v>
      </c>
      <c r="E116" s="112">
        <f t="shared" si="16"/>
        <v>19</v>
      </c>
      <c r="F116" s="112">
        <f t="shared" si="17"/>
        <v>18</v>
      </c>
      <c r="G116" s="112">
        <f t="shared" si="18"/>
        <v>17</v>
      </c>
      <c r="H116" s="112">
        <f t="shared" si="19"/>
        <v>17</v>
      </c>
      <c r="I116" s="112">
        <f t="shared" si="20"/>
        <v>15</v>
      </c>
      <c r="J116" s="111">
        <f t="shared" si="15"/>
        <v>128.65151515151516</v>
      </c>
    </row>
    <row r="117" spans="2:10" ht="15" hidden="1" customHeight="1">
      <c r="F117" s="14"/>
      <c r="G117" s="14"/>
    </row>
    <row r="118" spans="2:10" ht="15" hidden="1" customHeight="1">
      <c r="B118" s="15" t="str">
        <f>"Table 4C: "&amp;E3&amp;" Projected Pupil Generation from Housing Development, 2019-2032"</f>
        <v>Table 4C: St Mark's RC Primary School Projected Pupil Generation from Housing Development, 2019-2032</v>
      </c>
      <c r="F118" s="14"/>
      <c r="G118" s="14"/>
    </row>
    <row r="119" spans="2:10" ht="15" hidden="1" customHeight="1">
      <c r="F119" s="14"/>
      <c r="G119" s="14"/>
    </row>
    <row r="120" spans="2:10" ht="15" hidden="1" customHeight="1">
      <c r="B120" s="115"/>
      <c r="C120" s="109" t="s">
        <v>1</v>
      </c>
      <c r="D120" s="109" t="s">
        <v>2</v>
      </c>
      <c r="E120" s="109" t="s">
        <v>3</v>
      </c>
      <c r="F120" s="109" t="s">
        <v>4</v>
      </c>
      <c r="G120" s="109" t="s">
        <v>5</v>
      </c>
      <c r="H120" s="109" t="s">
        <v>6</v>
      </c>
      <c r="I120" s="109" t="s">
        <v>7</v>
      </c>
      <c r="J120" s="109" t="s">
        <v>8</v>
      </c>
    </row>
    <row r="121" spans="2:10" ht="15" hidden="1" customHeight="1">
      <c r="B121" s="114">
        <v>2019</v>
      </c>
      <c r="C121" s="116" t="s">
        <v>97</v>
      </c>
      <c r="D121" s="112">
        <f>VLOOKUP($E$3,'Housing Generation'!$A$3:$BE$90,11,FALSE)</f>
        <v>0</v>
      </c>
      <c r="E121" s="112">
        <f>VLOOKUP($E$3,'Housing Generation'!$A$3:$BE$90,12,FALSE)</f>
        <v>0</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0</v>
      </c>
    </row>
    <row r="122" spans="2:10" ht="15" hidden="1" customHeight="1">
      <c r="B122" s="114">
        <v>2020</v>
      </c>
      <c r="C122" s="116" t="s">
        <v>97</v>
      </c>
      <c r="D122" s="112">
        <f>VLOOKUP($E$3,'Housing Generation'!$A$3:$BE$90,19,FALSE)</f>
        <v>0</v>
      </c>
      <c r="E122" s="112">
        <f>VLOOKUP($E$3,'Housing Generation'!$A$3:$BE$90,20,FALSE)</f>
        <v>0</v>
      </c>
      <c r="F122" s="112">
        <f>VLOOKUP($E$3,'Housing Generation'!$A$3:$BE$90,21,FALSE)</f>
        <v>0</v>
      </c>
      <c r="G122" s="112">
        <f>VLOOKUP($E$3,'Housing Generation'!$A$3:$BE$90,22,FALSE)</f>
        <v>0</v>
      </c>
      <c r="H122" s="112">
        <f>VLOOKUP($E$3,'Housing Generation'!$A$3:$BE$90,23,FALSE)</f>
        <v>0</v>
      </c>
      <c r="I122" s="112">
        <f>VLOOKUP($E$3,'Housing Generation'!$A$3:$BE$90,24,FALSE)</f>
        <v>0</v>
      </c>
      <c r="J122" s="111">
        <f t="shared" si="21"/>
        <v>0</v>
      </c>
    </row>
    <row r="123" spans="2:10" ht="15" hidden="1" customHeight="1">
      <c r="B123" s="114">
        <v>2021</v>
      </c>
      <c r="C123" s="116" t="s">
        <v>97</v>
      </c>
      <c r="D123" s="112">
        <f>VLOOKUP($E$3,'Housing Generation'!$A$3:$BE$90,27,FALSE)</f>
        <v>0</v>
      </c>
      <c r="E123" s="112">
        <f>VLOOKUP($E$3,'Housing Generation'!$A$3:$BE$90,28,FALSE)</f>
        <v>0</v>
      </c>
      <c r="F123" s="112">
        <f>VLOOKUP($E$3,'Housing Generation'!$A$3:$BE$90,29,FALSE)</f>
        <v>0</v>
      </c>
      <c r="G123" s="112">
        <f>VLOOKUP($E$3,'Housing Generation'!$A$3:$BE$90,30,FALSE)</f>
        <v>0</v>
      </c>
      <c r="H123" s="112">
        <f>VLOOKUP($E$3,'Housing Generation'!$A$3:$BE$90,31,FALSE)</f>
        <v>0</v>
      </c>
      <c r="I123" s="112">
        <f>VLOOKUP($E$3,'Housing Generation'!$A$3:$BE$90,32,FALSE)</f>
        <v>0</v>
      </c>
      <c r="J123" s="111">
        <f t="shared" si="21"/>
        <v>0</v>
      </c>
    </row>
    <row r="124" spans="2:10" ht="15" hidden="1" customHeight="1">
      <c r="B124" s="114">
        <v>2022</v>
      </c>
      <c r="C124" s="116" t="s">
        <v>97</v>
      </c>
      <c r="D124" s="112">
        <f>VLOOKUP($E$3,'Housing Generation'!$A$3:$BE$90,35,FALSE)</f>
        <v>0</v>
      </c>
      <c r="E124" s="112">
        <f>VLOOKUP($E$3,'Housing Generation'!$A$3:$BE$90,36,FALSE)</f>
        <v>0</v>
      </c>
      <c r="F124" s="112">
        <f>VLOOKUP($E$3,'Housing Generation'!$A$3:$BE$90,37,FALSE)</f>
        <v>0</v>
      </c>
      <c r="G124" s="112">
        <f>VLOOKUP($E$3,'Housing Generation'!$A$3:$BE$90,38,FALSE)</f>
        <v>0</v>
      </c>
      <c r="H124" s="112">
        <f>VLOOKUP($E$3,'Housing Generation'!$A$3:$BE$90,39,FALSE)</f>
        <v>0</v>
      </c>
      <c r="I124" s="112">
        <f>VLOOKUP($E$3,'Housing Generation'!$A$3:$BE$90,40,FALSE)</f>
        <v>0</v>
      </c>
      <c r="J124" s="111">
        <f t="shared" si="21"/>
        <v>0</v>
      </c>
    </row>
    <row r="125" spans="2:10" ht="15" hidden="1" customHeight="1">
      <c r="B125" s="114">
        <v>2023</v>
      </c>
      <c r="C125" s="116" t="s">
        <v>97</v>
      </c>
      <c r="D125" s="112">
        <f>VLOOKUP($E$3,'Housing Generation'!$A$3:$BE$90,43,FALSE)</f>
        <v>0</v>
      </c>
      <c r="E125" s="112">
        <f>VLOOKUP($E$3,'Housing Generation'!$A$3:$BE$90,44,FALSE)</f>
        <v>0</v>
      </c>
      <c r="F125" s="112">
        <f>VLOOKUP($E$3,'Housing Generation'!$A$3:$BE$90,45,FALSE)</f>
        <v>0</v>
      </c>
      <c r="G125" s="112">
        <f>VLOOKUP($E$3,'Housing Generation'!$A$3:$BE$90,46,FALSE)</f>
        <v>0</v>
      </c>
      <c r="H125" s="112">
        <f>VLOOKUP($E$3,'Housing Generation'!$A$3:$BE$90,47,FALSE)</f>
        <v>0</v>
      </c>
      <c r="I125" s="112">
        <f>VLOOKUP($E$3,'Housing Generation'!$A$3:$BE$90,48,FALSE)</f>
        <v>0</v>
      </c>
      <c r="J125" s="111">
        <f t="shared" si="21"/>
        <v>0</v>
      </c>
    </row>
    <row r="126" spans="2:10" ht="15" hidden="1" customHeight="1">
      <c r="B126" s="114">
        <v>2024</v>
      </c>
      <c r="C126" s="116" t="s">
        <v>97</v>
      </c>
      <c r="D126" s="112">
        <f>VLOOKUP($E$3,'Housing Generation'!$A$3:$BE$90,51,FALSE)</f>
        <v>0</v>
      </c>
      <c r="E126" s="112">
        <f>VLOOKUP($E$3,'Housing Generation'!$A$3:$BE$90,52,FALSE)</f>
        <v>0</v>
      </c>
      <c r="F126" s="112">
        <f>VLOOKUP($E$3,'Housing Generation'!$A$3:$BE$90,53,FALSE)</f>
        <v>0</v>
      </c>
      <c r="G126" s="112">
        <f>VLOOKUP($E$3,'Housing Generation'!$A$3:$BE$90,54,FALSE)</f>
        <v>0</v>
      </c>
      <c r="H126" s="112">
        <f>VLOOKUP($E$3,'Housing Generation'!$A$3:$BE$90,55,FALSE)</f>
        <v>0</v>
      </c>
      <c r="I126" s="112">
        <f>VLOOKUP($E$3,'Housing Generation'!$A$3:$BE$90,56,FALSE)</f>
        <v>0</v>
      </c>
      <c r="J126" s="111">
        <f t="shared" si="21"/>
        <v>0</v>
      </c>
    </row>
    <row r="127" spans="2:10" ht="15" hidden="1" customHeight="1">
      <c r="B127" s="114">
        <v>2025</v>
      </c>
      <c r="C127" s="240" t="s">
        <v>97</v>
      </c>
      <c r="D127" s="112">
        <f>VLOOKUP($E$3,'Housing Generation'!$A$3:$CK$90,59,FALSE)</f>
        <v>0</v>
      </c>
      <c r="E127" s="112">
        <f>VLOOKUP($E$3,'Housing Generation'!$A$3:$CK$90,60,FALSE)</f>
        <v>0</v>
      </c>
      <c r="F127" s="112">
        <f>VLOOKUP($E$3,'Housing Generation'!$A$3:$CK$90,61,FALSE)</f>
        <v>0</v>
      </c>
      <c r="G127" s="112">
        <f>VLOOKUP($E$3,'Housing Generation'!$A$3:$CK$90,62,FALSE)</f>
        <v>0</v>
      </c>
      <c r="H127" s="112">
        <f>VLOOKUP($E$3,'Housing Generation'!$A$3:$CK$90,63,FALSE)</f>
        <v>0</v>
      </c>
      <c r="I127" s="112">
        <f>VLOOKUP($E$3,'Housing Generation'!$A$3:$CK$90,64,FALSE)</f>
        <v>0</v>
      </c>
      <c r="J127" s="111">
        <f t="shared" si="21"/>
        <v>0</v>
      </c>
    </row>
    <row r="128" spans="2:10" ht="15" hidden="1" customHeight="1">
      <c r="B128" s="114">
        <v>2026</v>
      </c>
      <c r="C128" s="240" t="s">
        <v>97</v>
      </c>
      <c r="D128" s="112">
        <f>VLOOKUP($E$3,'Housing Generation'!$A$3:$CK$90,67,FALSE)</f>
        <v>0</v>
      </c>
      <c r="E128" s="112">
        <f>VLOOKUP($E$3,'Housing Generation'!$A$3:$CK$90,68,FALSE)</f>
        <v>0</v>
      </c>
      <c r="F128" s="112">
        <f>VLOOKUP($E$3,'Housing Generation'!$A$3:$CK$90,69,FALSE)</f>
        <v>0</v>
      </c>
      <c r="G128" s="112">
        <f>VLOOKUP($E$3,'Housing Generation'!$A$3:$CK$90,70,FALSE)</f>
        <v>0</v>
      </c>
      <c r="H128" s="112">
        <f>VLOOKUP($E$3,'Housing Generation'!$A$3:$CK$90,71,FALSE)</f>
        <v>0</v>
      </c>
      <c r="I128" s="112">
        <f>VLOOKUP($E$3,'Housing Generation'!$A$3:$CK$90,72,FALSE)</f>
        <v>0</v>
      </c>
      <c r="J128" s="111">
        <f t="shared" si="21"/>
        <v>0</v>
      </c>
    </row>
    <row r="129" spans="2:10" ht="15" hidden="1" customHeight="1">
      <c r="B129" s="114">
        <v>2027</v>
      </c>
      <c r="C129" s="240" t="s">
        <v>97</v>
      </c>
      <c r="D129" s="112">
        <f>VLOOKUP($E$3,'Housing Generation'!$A$3:$CK$90,75,FALSE)</f>
        <v>0</v>
      </c>
      <c r="E129" s="112">
        <f>VLOOKUP($E$3,'Housing Generation'!$A$3:$CK$90,76,FALSE)</f>
        <v>0</v>
      </c>
      <c r="F129" s="112">
        <f>VLOOKUP($E$3,'Housing Generation'!$A$3:$CK$90,77,FALSE)</f>
        <v>0</v>
      </c>
      <c r="G129" s="112">
        <f>VLOOKUP($E$3,'Housing Generation'!$A$3:$CK$90,78,FALSE)</f>
        <v>0</v>
      </c>
      <c r="H129" s="112">
        <f>VLOOKUP($E$3,'Housing Generation'!$A$3:$CK$90,79,FALSE)</f>
        <v>0</v>
      </c>
      <c r="I129" s="112">
        <f>VLOOKUP($E$3,'Housing Generation'!$A$3:$CK$90,80,FALSE)</f>
        <v>0</v>
      </c>
      <c r="J129" s="111">
        <f t="shared" si="21"/>
        <v>0</v>
      </c>
    </row>
    <row r="130" spans="2:10" ht="15" customHeight="1">
      <c r="B130" s="114">
        <v>2028</v>
      </c>
      <c r="C130" s="289" t="s">
        <v>97</v>
      </c>
      <c r="D130" s="112">
        <f>VLOOKUP($E$3,'Housing Generation'!$A$3:$CK$90,83,FALSE)</f>
        <v>0</v>
      </c>
      <c r="E130" s="112">
        <f>VLOOKUP($E$3,'Housing Generation'!$A$3:$CK$90,84,FALSE)</f>
        <v>0</v>
      </c>
      <c r="F130" s="112">
        <f>VLOOKUP($E$3,'Housing Generation'!$A$3:$CK$90,85,FALSE)</f>
        <v>0</v>
      </c>
      <c r="G130" s="112">
        <f>VLOOKUP($E$3,'Housing Generation'!$A$3:$CK$90,86,FALSE)</f>
        <v>0</v>
      </c>
      <c r="H130" s="112">
        <f>VLOOKUP($E$3,'Housing Generation'!$A$3:$CK$90,87,FALSE)</f>
        <v>0</v>
      </c>
      <c r="I130" s="112">
        <f>VLOOKUP($E$3,'Housing Generation'!$A$3:$CK$90,88,FALSE)</f>
        <v>0</v>
      </c>
      <c r="J130" s="111">
        <f t="shared" si="21"/>
        <v>0</v>
      </c>
    </row>
    <row r="131" spans="2:10" ht="15" customHeight="1">
      <c r="B131" s="114">
        <v>2029</v>
      </c>
      <c r="C131" s="289" t="s">
        <v>97</v>
      </c>
      <c r="D131" s="112">
        <f>VLOOKUP($E$3,'Housing Generation'!$A$3:$DQ$90,91,FALSE)</f>
        <v>0</v>
      </c>
      <c r="E131" s="112">
        <f>VLOOKUP($E$3,'Housing Generation'!$A$3:$DQ$90,92,FALSE)</f>
        <v>0</v>
      </c>
      <c r="F131" s="112">
        <f>VLOOKUP($E$3,'Housing Generation'!$A$3:$DQ$90,93,FALSE)</f>
        <v>0</v>
      </c>
      <c r="G131" s="112">
        <f>VLOOKUP($E$3,'Housing Generation'!$A$3:$DQ$90,94,FALSE)</f>
        <v>0</v>
      </c>
      <c r="H131" s="112">
        <f>VLOOKUP($E$3,'Housing Generation'!$A$3:$DQ$90,95,FALSE)</f>
        <v>0</v>
      </c>
      <c r="I131" s="112">
        <f>VLOOKUP($E$3,'Housing Generation'!$A$3:$DQ$90,96,FALSE)</f>
        <v>0</v>
      </c>
      <c r="J131" s="111">
        <f t="shared" si="21"/>
        <v>0</v>
      </c>
    </row>
    <row r="132" spans="2:10" ht="15" customHeight="1">
      <c r="B132" s="114">
        <v>2030</v>
      </c>
      <c r="C132" s="289" t="s">
        <v>97</v>
      </c>
      <c r="D132" s="112">
        <f>VLOOKUP($E$3,'Housing Generation'!$A$3:$DQ$90,99,FALSE)</f>
        <v>0</v>
      </c>
      <c r="E132" s="112">
        <f>VLOOKUP($E$3,'Housing Generation'!$A$3:$DQ$90,100,FALSE)</f>
        <v>0</v>
      </c>
      <c r="F132" s="112">
        <f>VLOOKUP($E$3,'Housing Generation'!$A$3:$DQ$90,101,FALSE)</f>
        <v>0</v>
      </c>
      <c r="G132" s="112">
        <f>VLOOKUP($E$3,'Housing Generation'!$A$3:$DQ$90,102,FALSE)</f>
        <v>0</v>
      </c>
      <c r="H132" s="112">
        <f>VLOOKUP($E$3,'Housing Generation'!$A$3:$DQ$90,103,FALSE)</f>
        <v>0</v>
      </c>
      <c r="I132" s="112">
        <f>VLOOKUP($E$3,'Housing Generation'!$A$3:$DQ$90,104,FALSE)</f>
        <v>0</v>
      </c>
      <c r="J132" s="111">
        <f t="shared" si="21"/>
        <v>0</v>
      </c>
    </row>
    <row r="133" spans="2:10" ht="15" customHeight="1">
      <c r="B133" s="114">
        <v>2031</v>
      </c>
      <c r="C133" s="289" t="s">
        <v>97</v>
      </c>
      <c r="D133" s="112">
        <f>VLOOKUP($E$3,'Housing Generation'!$A$3:$DQ$90,107,FALSE)</f>
        <v>0</v>
      </c>
      <c r="E133" s="112">
        <f>VLOOKUP($E$3,'Housing Generation'!$A$3:$DQ$90,108,FALSE)</f>
        <v>0</v>
      </c>
      <c r="F133" s="112">
        <f>VLOOKUP($E$3,'Housing Generation'!$A$3:$DQ$90,109,FALSE)</f>
        <v>0</v>
      </c>
      <c r="G133" s="112">
        <f>VLOOKUP($E$3,'Housing Generation'!$A$3:$DQ$90,110,FALSE)</f>
        <v>0</v>
      </c>
      <c r="H133" s="112">
        <f>VLOOKUP($E$3,'Housing Generation'!$A$3:$DQ$90,111,FALSE)</f>
        <v>0</v>
      </c>
      <c r="I133" s="112">
        <f>VLOOKUP($E$3,'Housing Generation'!$A$3:$DQ$90,112,FALSE)</f>
        <v>0</v>
      </c>
      <c r="J133" s="111">
        <f t="shared" si="21"/>
        <v>0</v>
      </c>
    </row>
    <row r="134" spans="2:10" ht="15" customHeight="1">
      <c r="B134" s="114">
        <v>2032</v>
      </c>
      <c r="C134" s="289" t="s">
        <v>97</v>
      </c>
      <c r="D134" s="112">
        <f>VLOOKUP($E$3,'Housing Generation'!$A$3:$DQ$90,115,FALSE)</f>
        <v>0</v>
      </c>
      <c r="E134" s="112">
        <f>VLOOKUP($E$3,'Housing Generation'!$A$3:$DQ$90,116,FALSE)</f>
        <v>0</v>
      </c>
      <c r="F134" s="112">
        <f>VLOOKUP($E$3,'Housing Generation'!$A$3:$DQ$90,117,FALSE)</f>
        <v>0</v>
      </c>
      <c r="G134" s="112">
        <f>VLOOKUP($E$3,'Housing Generation'!$A$3:$DQ$90,118,FALSE)</f>
        <v>0</v>
      </c>
      <c r="H134" s="112">
        <f>VLOOKUP($E$3,'Housing Generation'!$A$3:$DQ$90,119,FALSE)</f>
        <v>0</v>
      </c>
      <c r="I134" s="112">
        <f>VLOOKUP($E$3,'Housing Generation'!$A$3:$DQ$90,120,FALSE)</f>
        <v>0</v>
      </c>
      <c r="J134" s="111">
        <f t="shared" si="21"/>
        <v>0</v>
      </c>
    </row>
    <row r="135" spans="2:10" ht="15" hidden="1"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St Mark's RC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18.886034255599473</v>
      </c>
      <c r="D139" s="112">
        <f t="shared" ref="D139:I152" si="23">D121+D103</f>
        <v>17</v>
      </c>
      <c r="E139" s="112">
        <f t="shared" si="23"/>
        <v>19</v>
      </c>
      <c r="F139" s="112">
        <f t="shared" si="23"/>
        <v>18</v>
      </c>
      <c r="G139" s="112">
        <f t="shared" si="23"/>
        <v>26</v>
      </c>
      <c r="H139" s="112">
        <f t="shared" si="23"/>
        <v>20</v>
      </c>
      <c r="I139" s="112">
        <f t="shared" si="23"/>
        <v>19</v>
      </c>
      <c r="J139" s="111">
        <f t="shared" ref="J139:J147" si="24">SUM(C139:I139)</f>
        <v>137.88603425559947</v>
      </c>
    </row>
    <row r="140" spans="2:10" ht="15" customHeight="1">
      <c r="B140" s="114">
        <v>2020</v>
      </c>
      <c r="C140" s="113">
        <f t="shared" si="22"/>
        <v>19.827404479578391</v>
      </c>
      <c r="D140" s="112">
        <f t="shared" si="23"/>
        <v>17</v>
      </c>
      <c r="E140" s="112">
        <f t="shared" si="23"/>
        <v>16</v>
      </c>
      <c r="F140" s="112">
        <f t="shared" si="23"/>
        <v>18</v>
      </c>
      <c r="G140" s="112">
        <f t="shared" si="23"/>
        <v>17</v>
      </c>
      <c r="H140" s="112">
        <f t="shared" si="23"/>
        <v>27</v>
      </c>
      <c r="I140" s="112">
        <f t="shared" si="23"/>
        <v>18</v>
      </c>
      <c r="J140" s="111">
        <f t="shared" si="24"/>
        <v>132.82740447957838</v>
      </c>
    </row>
    <row r="141" spans="2:10" ht="15" customHeight="1">
      <c r="B141" s="114">
        <v>2021</v>
      </c>
      <c r="C141" s="113">
        <f t="shared" si="22"/>
        <v>22.651515151515149</v>
      </c>
      <c r="D141" s="112">
        <f t="shared" si="23"/>
        <v>18</v>
      </c>
      <c r="E141" s="112">
        <f t="shared" si="23"/>
        <v>16</v>
      </c>
      <c r="F141" s="112">
        <f t="shared" si="23"/>
        <v>15</v>
      </c>
      <c r="G141" s="112">
        <f t="shared" si="23"/>
        <v>17</v>
      </c>
      <c r="H141" s="112">
        <f t="shared" si="23"/>
        <v>18</v>
      </c>
      <c r="I141" s="112">
        <f t="shared" si="23"/>
        <v>24</v>
      </c>
      <c r="J141" s="111">
        <f t="shared" si="24"/>
        <v>130.65151515151516</v>
      </c>
    </row>
    <row r="142" spans="2:10" ht="15" customHeight="1">
      <c r="B142" s="114">
        <v>2022</v>
      </c>
      <c r="C142" s="113">
        <f t="shared" si="22"/>
        <v>17.003293807641633</v>
      </c>
      <c r="D142" s="112">
        <f t="shared" si="23"/>
        <v>21</v>
      </c>
      <c r="E142" s="112">
        <f t="shared" si="23"/>
        <v>17</v>
      </c>
      <c r="F142" s="112">
        <f t="shared" si="23"/>
        <v>15</v>
      </c>
      <c r="G142" s="112">
        <f t="shared" si="23"/>
        <v>14</v>
      </c>
      <c r="H142" s="112">
        <f t="shared" si="23"/>
        <v>18</v>
      </c>
      <c r="I142" s="112">
        <f t="shared" si="23"/>
        <v>16</v>
      </c>
      <c r="J142" s="111">
        <f t="shared" si="24"/>
        <v>118.00329380764163</v>
      </c>
    </row>
    <row r="143" spans="2:10" ht="15" customHeight="1">
      <c r="B143" s="114">
        <v>2023</v>
      </c>
      <c r="C143" s="113">
        <f t="shared" si="22"/>
        <v>20.768774703557312</v>
      </c>
      <c r="D143" s="112">
        <f t="shared" si="23"/>
        <v>16</v>
      </c>
      <c r="E143" s="112">
        <f t="shared" si="23"/>
        <v>20</v>
      </c>
      <c r="F143" s="112">
        <f t="shared" si="23"/>
        <v>16</v>
      </c>
      <c r="G143" s="112">
        <f t="shared" si="23"/>
        <v>14</v>
      </c>
      <c r="H143" s="112">
        <f t="shared" si="23"/>
        <v>15</v>
      </c>
      <c r="I143" s="112">
        <f t="shared" si="23"/>
        <v>16</v>
      </c>
      <c r="J143" s="111">
        <f t="shared" si="24"/>
        <v>117.76877470355731</v>
      </c>
    </row>
    <row r="144" spans="2:10" ht="15" customHeight="1">
      <c r="B144" s="114">
        <v>2024</v>
      </c>
      <c r="C144" s="113">
        <f t="shared" si="22"/>
        <v>21.710144927536231</v>
      </c>
      <c r="D144" s="112">
        <f t="shared" si="23"/>
        <v>18</v>
      </c>
      <c r="E144" s="112">
        <f t="shared" si="23"/>
        <v>15</v>
      </c>
      <c r="F144" s="112">
        <f t="shared" si="23"/>
        <v>19</v>
      </c>
      <c r="G144" s="112">
        <f t="shared" si="23"/>
        <v>15</v>
      </c>
      <c r="H144" s="112">
        <f t="shared" si="23"/>
        <v>15</v>
      </c>
      <c r="I144" s="112">
        <f t="shared" si="23"/>
        <v>13</v>
      </c>
      <c r="J144" s="111">
        <f t="shared" si="24"/>
        <v>116.71014492753623</v>
      </c>
    </row>
    <row r="145" spans="2:16" ht="15" customHeight="1">
      <c r="B145" s="114">
        <v>2025</v>
      </c>
      <c r="C145" s="113">
        <f t="shared" si="22"/>
        <v>21.710144927536231</v>
      </c>
      <c r="D145" s="112">
        <f t="shared" si="23"/>
        <v>19</v>
      </c>
      <c r="E145" s="112">
        <f t="shared" si="23"/>
        <v>17</v>
      </c>
      <c r="F145" s="112">
        <f t="shared" si="23"/>
        <v>14</v>
      </c>
      <c r="G145" s="112">
        <f t="shared" si="23"/>
        <v>18</v>
      </c>
      <c r="H145" s="112">
        <f t="shared" si="23"/>
        <v>16</v>
      </c>
      <c r="I145" s="112">
        <f t="shared" si="23"/>
        <v>13</v>
      </c>
      <c r="J145" s="111">
        <f t="shared" si="24"/>
        <v>118.71014492753623</v>
      </c>
    </row>
    <row r="146" spans="2:16" ht="15" customHeight="1">
      <c r="B146" s="114">
        <v>2026</v>
      </c>
      <c r="C146" s="113">
        <f t="shared" si="22"/>
        <v>21.710144927536231</v>
      </c>
      <c r="D146" s="112">
        <f t="shared" si="23"/>
        <v>19</v>
      </c>
      <c r="E146" s="112">
        <f t="shared" si="23"/>
        <v>18</v>
      </c>
      <c r="F146" s="112">
        <f t="shared" si="23"/>
        <v>16</v>
      </c>
      <c r="G146" s="112">
        <f t="shared" si="23"/>
        <v>13</v>
      </c>
      <c r="H146" s="112">
        <f t="shared" si="23"/>
        <v>19</v>
      </c>
      <c r="I146" s="112">
        <f t="shared" si="23"/>
        <v>14</v>
      </c>
      <c r="J146" s="111">
        <f t="shared" si="24"/>
        <v>120.71014492753623</v>
      </c>
    </row>
    <row r="147" spans="2:16" ht="15" customHeight="1">
      <c r="B147" s="114">
        <v>2027</v>
      </c>
      <c r="C147" s="113">
        <f t="shared" si="22"/>
        <v>21.710144927536231</v>
      </c>
      <c r="D147" s="112">
        <f t="shared" si="23"/>
        <v>19</v>
      </c>
      <c r="E147" s="112">
        <f t="shared" si="23"/>
        <v>18</v>
      </c>
      <c r="F147" s="112">
        <f t="shared" si="23"/>
        <v>17</v>
      </c>
      <c r="G147" s="112">
        <f t="shared" si="23"/>
        <v>15</v>
      </c>
      <c r="H147" s="112">
        <f t="shared" si="23"/>
        <v>14</v>
      </c>
      <c r="I147" s="112">
        <f t="shared" si="23"/>
        <v>17</v>
      </c>
      <c r="J147" s="111">
        <f t="shared" si="24"/>
        <v>121.71014492753623</v>
      </c>
    </row>
    <row r="148" spans="2:16" ht="15" customHeight="1">
      <c r="B148" s="114">
        <v>2028</v>
      </c>
      <c r="C148" s="113">
        <f t="shared" si="22"/>
        <v>22.651515151515149</v>
      </c>
      <c r="D148" s="112">
        <f t="shared" si="23"/>
        <v>19</v>
      </c>
      <c r="E148" s="112">
        <f t="shared" si="23"/>
        <v>18</v>
      </c>
      <c r="F148" s="112">
        <f t="shared" si="23"/>
        <v>17</v>
      </c>
      <c r="G148" s="112">
        <f t="shared" si="23"/>
        <v>16</v>
      </c>
      <c r="H148" s="112">
        <f t="shared" si="23"/>
        <v>16</v>
      </c>
      <c r="I148" s="112">
        <f t="shared" si="23"/>
        <v>12</v>
      </c>
      <c r="J148" s="111">
        <f t="shared" ref="J148:J152" si="25">SUM(C148:I148)</f>
        <v>120.65151515151516</v>
      </c>
    </row>
    <row r="149" spans="2:16" ht="15" customHeight="1">
      <c r="B149" s="114">
        <v>2029</v>
      </c>
      <c r="C149" s="113">
        <f t="shared" si="22"/>
        <v>22.651515151515149</v>
      </c>
      <c r="D149" s="112">
        <f t="shared" si="23"/>
        <v>20</v>
      </c>
      <c r="E149" s="112">
        <f t="shared" si="23"/>
        <v>18</v>
      </c>
      <c r="F149" s="112">
        <f t="shared" si="23"/>
        <v>17</v>
      </c>
      <c r="G149" s="112">
        <f t="shared" si="23"/>
        <v>16</v>
      </c>
      <c r="H149" s="112">
        <f t="shared" si="23"/>
        <v>17</v>
      </c>
      <c r="I149" s="112">
        <f t="shared" si="23"/>
        <v>14</v>
      </c>
      <c r="J149" s="111">
        <f t="shared" si="25"/>
        <v>124.65151515151516</v>
      </c>
    </row>
    <row r="150" spans="2:16" ht="15" customHeight="1">
      <c r="B150" s="114">
        <v>2030</v>
      </c>
      <c r="C150" s="113">
        <f t="shared" si="22"/>
        <v>22.651515151515149</v>
      </c>
      <c r="D150" s="112">
        <f t="shared" si="23"/>
        <v>20</v>
      </c>
      <c r="E150" s="112">
        <f t="shared" si="23"/>
        <v>19</v>
      </c>
      <c r="F150" s="112">
        <f t="shared" si="23"/>
        <v>17</v>
      </c>
      <c r="G150" s="112">
        <f t="shared" si="23"/>
        <v>16</v>
      </c>
      <c r="H150" s="112">
        <f t="shared" si="23"/>
        <v>17</v>
      </c>
      <c r="I150" s="112">
        <f t="shared" si="23"/>
        <v>15</v>
      </c>
      <c r="J150" s="111">
        <f t="shared" si="25"/>
        <v>126.65151515151516</v>
      </c>
    </row>
    <row r="151" spans="2:16" ht="15" customHeight="1">
      <c r="B151" s="114">
        <v>2031</v>
      </c>
      <c r="C151" s="113">
        <f t="shared" si="22"/>
        <v>22.651515151515149</v>
      </c>
      <c r="D151" s="112">
        <f t="shared" si="23"/>
        <v>20</v>
      </c>
      <c r="E151" s="112">
        <f t="shared" si="23"/>
        <v>19</v>
      </c>
      <c r="F151" s="112">
        <f t="shared" si="23"/>
        <v>18</v>
      </c>
      <c r="G151" s="112">
        <f t="shared" si="23"/>
        <v>16</v>
      </c>
      <c r="H151" s="112">
        <f t="shared" si="23"/>
        <v>17</v>
      </c>
      <c r="I151" s="112">
        <f t="shared" si="23"/>
        <v>15</v>
      </c>
      <c r="J151" s="111">
        <f t="shared" si="25"/>
        <v>127.65151515151516</v>
      </c>
    </row>
    <row r="152" spans="2:16" ht="15" customHeight="1">
      <c r="B152" s="114">
        <v>2032</v>
      </c>
      <c r="C152" s="113">
        <f t="shared" si="22"/>
        <v>22.651515151515149</v>
      </c>
      <c r="D152" s="112">
        <f t="shared" si="23"/>
        <v>20</v>
      </c>
      <c r="E152" s="112">
        <f t="shared" si="23"/>
        <v>19</v>
      </c>
      <c r="F152" s="112">
        <f t="shared" si="23"/>
        <v>18</v>
      </c>
      <c r="G152" s="112">
        <f t="shared" si="23"/>
        <v>17</v>
      </c>
      <c r="H152" s="112">
        <f t="shared" si="23"/>
        <v>17</v>
      </c>
      <c r="I152" s="112">
        <f t="shared" si="23"/>
        <v>15</v>
      </c>
      <c r="J152" s="111">
        <f t="shared" si="25"/>
        <v>128.65151515151516</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137.88603425559947</v>
      </c>
      <c r="D159" s="108">
        <f>J140</f>
        <v>132.82740447957838</v>
      </c>
      <c r="E159" s="108">
        <f>J141</f>
        <v>130.65151515151516</v>
      </c>
      <c r="F159" s="108">
        <f>J142</f>
        <v>118.00329380764163</v>
      </c>
      <c r="G159" s="108">
        <f>J143</f>
        <v>117.76877470355731</v>
      </c>
      <c r="H159" s="108">
        <f>J144</f>
        <v>116.71014492753623</v>
      </c>
      <c r="I159" s="108">
        <f>J145</f>
        <v>118.71014492753623</v>
      </c>
      <c r="J159" s="108">
        <f>J146</f>
        <v>120.71014492753623</v>
      </c>
      <c r="K159" s="108">
        <f>J147</f>
        <v>121.71014492753623</v>
      </c>
      <c r="L159" s="108">
        <f>J148</f>
        <v>120.65151515151516</v>
      </c>
      <c r="M159" s="108">
        <f>J149</f>
        <v>124.65151515151516</v>
      </c>
      <c r="N159" s="108">
        <f>J150</f>
        <v>126.65151515151516</v>
      </c>
      <c r="O159" s="108">
        <f>J151</f>
        <v>127.65151515151516</v>
      </c>
      <c r="P159" s="108">
        <f>J152</f>
        <v>128.65151515151516</v>
      </c>
    </row>
    <row r="160" spans="2:16" ht="15" customHeight="1">
      <c r="B160" s="107" t="s">
        <v>152</v>
      </c>
      <c r="C160" s="106">
        <f>VLOOKUP(C159,Capacity!$A$1:$C$645,2,TRUE)</f>
        <v>6</v>
      </c>
      <c r="D160" s="106">
        <f>VLOOKUP(D159,Capacity!$A$1:$C$645,2,TRUE)</f>
        <v>6</v>
      </c>
      <c r="E160" s="106">
        <f>VLOOKUP(E159,Capacity!$A$1:$C$645,2,TRUE)</f>
        <v>6</v>
      </c>
      <c r="F160" s="106">
        <f>VLOOKUP(F159,Capacity!$A$1:$C$645,2,TRUE)</f>
        <v>6</v>
      </c>
      <c r="G160" s="106">
        <f>VLOOKUP(G159,Capacity!$A$1:$C$645,2,TRUE)</f>
        <v>6</v>
      </c>
      <c r="H160" s="106">
        <f>VLOOKUP(H159,Capacity!$A$1:$C$645,2,TRUE)</f>
        <v>6</v>
      </c>
      <c r="I160" s="106">
        <f>VLOOKUP(I159,Capacity!$A$1:$C$645,2,TRUE)</f>
        <v>6</v>
      </c>
      <c r="J160" s="106">
        <f>VLOOKUP(J159,Capacity!$A$1:$C$645,2,TRUE)</f>
        <v>6</v>
      </c>
      <c r="K160" s="106">
        <f>VLOOKUP(K159,Capacity!$A$1:$C$645,2,TRUE)</f>
        <v>6</v>
      </c>
      <c r="L160" s="106">
        <f>VLOOKUP(L159,Capacity!$A$1:$C$645,2,TRUE)</f>
        <v>6</v>
      </c>
      <c r="M160" s="106">
        <f>VLOOKUP(M159,Capacity!$A$1:$C$645,2,TRUE)</f>
        <v>6</v>
      </c>
      <c r="N160" s="106">
        <f>VLOOKUP(N159,Capacity!$A$1:$C$645,2,TRUE)</f>
        <v>6</v>
      </c>
      <c r="O160" s="106">
        <f>VLOOKUP(O159,Capacity!$A$1:$C$645,2,TRUE)</f>
        <v>6</v>
      </c>
      <c r="P160" s="106">
        <f>VLOOKUP(P159,Capacity!$A$1:$C$645,2,TRUE)</f>
        <v>6</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206</v>
      </c>
      <c r="D169" s="97">
        <f>VLOOKUP($E$3,'Catchment Births'!$A$1:$U$90,11,FALSE)</f>
        <v>198</v>
      </c>
      <c r="E169" s="97">
        <f>VLOOKUP($E$3,'Catchment Births'!$A$1:$U$90,12,FALSE)</f>
        <v>208</v>
      </c>
      <c r="F169" s="97">
        <f>VLOOKUP($E$3,'Catchment Births'!$A$1:$U$90,13,FALSE)</f>
        <v>224</v>
      </c>
      <c r="G169" s="97">
        <f>VLOOKUP($E$3,'Catchment Births'!$A$1:$U$90,14,FALSE)</f>
        <v>208</v>
      </c>
      <c r="H169" s="97">
        <f>VLOOKUP($E$3,'Catchment Births'!$A$1:$U$90,15,FALSE)</f>
        <v>203</v>
      </c>
      <c r="I169" s="97">
        <f>VLOOKUP($E$3,'Catchment Births'!$A$1:$U$90,16,FALSE)</f>
        <v>230</v>
      </c>
      <c r="J169" s="97">
        <f>VLOOKUP($E$3,'Catchment Births'!$A$1:$U$90,17,FALSE)</f>
        <v>245</v>
      </c>
      <c r="K169" s="97">
        <f>VLOOKUP($E$3,'Catchment Births'!$A$1:$U$90,18,FALSE)</f>
        <v>230</v>
      </c>
      <c r="L169" s="97">
        <f>VLOOKUP($E$3,'Catchment Births'!$A$1:$U$90,19,FALSE)</f>
        <v>214</v>
      </c>
      <c r="M169" s="97">
        <f>VLOOKUP($E$3,'Catchment Births'!$A$1:$U$90,20,FALSE)</f>
        <v>205</v>
      </c>
      <c r="N169" s="97">
        <f>VLOOKUP($E$3,'Catchment Births'!$A$1:$U$90,21,FALSE)</f>
        <v>214</v>
      </c>
    </row>
    <row r="170" spans="2:14" ht="58.5" customHeight="1">
      <c r="B170" s="103" t="str">
        <f>"P1 "&amp;A35&amp;" Catchment Population (Actual)"</f>
        <v>P1 RC Catchment Population (Actual)</v>
      </c>
      <c r="C170" s="102" t="e">
        <v>#REF!</v>
      </c>
      <c r="D170" s="102">
        <v>27</v>
      </c>
      <c r="E170" s="102">
        <v>30</v>
      </c>
      <c r="F170" s="102">
        <v>23</v>
      </c>
      <c r="G170" s="102">
        <v>23</v>
      </c>
      <c r="H170" s="102">
        <v>19</v>
      </c>
      <c r="I170" s="102">
        <v>29</v>
      </c>
      <c r="J170" s="308">
        <f>VLOOKUP(E3,'Catchment Projections'!A1:BU92,42,FALSE)</f>
        <v>22</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180</v>
      </c>
      <c r="C172" s="99"/>
      <c r="D172" s="98"/>
      <c r="E172" s="98"/>
      <c r="F172" s="98"/>
      <c r="G172" s="97"/>
      <c r="H172" s="96"/>
      <c r="I172" s="96">
        <f>I170</f>
        <v>29</v>
      </c>
      <c r="J172" s="96" t="e">
        <f>#REF!</f>
        <v>#REF!</v>
      </c>
      <c r="K172" s="96">
        <f>D51</f>
        <v>19</v>
      </c>
      <c r="L172" s="96">
        <f>E51</f>
        <v>20</v>
      </c>
      <c r="M172" s="96">
        <f>F51</f>
        <v>23</v>
      </c>
      <c r="N172" s="96">
        <f>G51</f>
        <v>17</v>
      </c>
    </row>
    <row r="173" spans="2:14" ht="12.75">
      <c r="B173" s="62"/>
      <c r="C173" s="62"/>
      <c r="D173" s="62"/>
      <c r="E173" s="62"/>
      <c r="F173" s="62"/>
      <c r="G173" s="62"/>
      <c r="H173" s="62"/>
      <c r="I173" s="62"/>
      <c r="J173" s="62"/>
      <c r="K173" s="62"/>
    </row>
    <row r="174" spans="2:14" ht="15" customHeight="1">
      <c r="B174" s="64" t="str">
        <f>"Table 5: "&amp;E3&amp;" Roll by Stage, 2002-2018"</f>
        <v>Table 5: St Mark's RC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21</v>
      </c>
      <c r="D177" s="93">
        <v>30</v>
      </c>
      <c r="E177" s="93">
        <v>19</v>
      </c>
      <c r="F177" s="93">
        <v>26</v>
      </c>
      <c r="G177" s="93">
        <v>21</v>
      </c>
      <c r="H177" s="93">
        <v>29</v>
      </c>
      <c r="I177" s="93">
        <v>30</v>
      </c>
      <c r="J177" s="92">
        <v>176</v>
      </c>
      <c r="K177" s="62"/>
    </row>
    <row r="178" spans="2:11" ht="15" customHeight="1">
      <c r="B178" s="94">
        <v>2003</v>
      </c>
      <c r="C178" s="93">
        <v>26</v>
      </c>
      <c r="D178" s="93">
        <v>19</v>
      </c>
      <c r="E178" s="93">
        <v>28</v>
      </c>
      <c r="F178" s="93">
        <v>22</v>
      </c>
      <c r="G178" s="93">
        <v>27</v>
      </c>
      <c r="H178" s="93">
        <v>23</v>
      </c>
      <c r="I178" s="93">
        <v>25</v>
      </c>
      <c r="J178" s="92">
        <v>170</v>
      </c>
      <c r="K178" s="62"/>
    </row>
    <row r="179" spans="2:11" customFormat="1" ht="15" customHeight="1">
      <c r="B179" s="94">
        <v>2004</v>
      </c>
      <c r="C179" s="95">
        <v>30</v>
      </c>
      <c r="D179" s="95">
        <v>27</v>
      </c>
      <c r="E179" s="95">
        <v>20</v>
      </c>
      <c r="F179" s="95">
        <v>28</v>
      </c>
      <c r="G179" s="95">
        <v>28</v>
      </c>
      <c r="H179" s="95">
        <v>29</v>
      </c>
      <c r="I179" s="95">
        <v>24</v>
      </c>
      <c r="J179" s="92">
        <v>186</v>
      </c>
      <c r="K179" s="62"/>
    </row>
    <row r="180" spans="2:11" customFormat="1" ht="15" customHeight="1">
      <c r="B180" s="94">
        <v>2005</v>
      </c>
      <c r="C180" s="93">
        <v>27</v>
      </c>
      <c r="D180" s="93">
        <v>26</v>
      </c>
      <c r="E180" s="93">
        <v>30</v>
      </c>
      <c r="F180" s="93">
        <v>23</v>
      </c>
      <c r="G180" s="93">
        <v>27</v>
      </c>
      <c r="H180" s="93">
        <v>28</v>
      </c>
      <c r="I180" s="93">
        <v>28</v>
      </c>
      <c r="J180" s="92">
        <v>189</v>
      </c>
      <c r="K180" s="62"/>
    </row>
    <row r="181" spans="2:11" customFormat="1" ht="15" customHeight="1">
      <c r="B181" s="94">
        <v>2006</v>
      </c>
      <c r="C181" s="93">
        <v>16</v>
      </c>
      <c r="D181" s="93">
        <v>23</v>
      </c>
      <c r="E181" s="93">
        <v>26</v>
      </c>
      <c r="F181" s="93">
        <v>27</v>
      </c>
      <c r="G181" s="93">
        <v>21</v>
      </c>
      <c r="H181" s="93">
        <v>21</v>
      </c>
      <c r="I181" s="93">
        <v>25</v>
      </c>
      <c r="J181" s="92">
        <v>159</v>
      </c>
      <c r="K181" s="62"/>
    </row>
    <row r="182" spans="2:11" customFormat="1" ht="15" customHeight="1">
      <c r="B182" s="94">
        <v>2007</v>
      </c>
      <c r="C182" s="93">
        <v>27</v>
      </c>
      <c r="D182" s="93">
        <v>17</v>
      </c>
      <c r="E182" s="93">
        <v>24</v>
      </c>
      <c r="F182" s="93">
        <v>31</v>
      </c>
      <c r="G182" s="93">
        <v>28</v>
      </c>
      <c r="H182" s="93">
        <v>19</v>
      </c>
      <c r="I182" s="93">
        <v>22</v>
      </c>
      <c r="J182" s="92">
        <v>168</v>
      </c>
      <c r="K182" s="62"/>
    </row>
    <row r="183" spans="2:11" customFormat="1" ht="15" customHeight="1">
      <c r="B183" s="94">
        <v>2008</v>
      </c>
      <c r="C183" s="93">
        <v>23</v>
      </c>
      <c r="D183" s="93">
        <v>28</v>
      </c>
      <c r="E183" s="93">
        <v>16</v>
      </c>
      <c r="F183" s="93">
        <v>24</v>
      </c>
      <c r="G183" s="93">
        <v>29</v>
      </c>
      <c r="H183" s="93">
        <v>30</v>
      </c>
      <c r="I183" s="93">
        <v>18</v>
      </c>
      <c r="J183" s="92">
        <v>168</v>
      </c>
      <c r="K183" s="62"/>
    </row>
    <row r="184" spans="2:11" customFormat="1" ht="15" customHeight="1">
      <c r="B184" s="94">
        <v>2009</v>
      </c>
      <c r="C184" s="93">
        <v>32</v>
      </c>
      <c r="D184" s="93">
        <v>20</v>
      </c>
      <c r="E184" s="93">
        <v>25</v>
      </c>
      <c r="F184" s="93">
        <v>14</v>
      </c>
      <c r="G184" s="93">
        <v>22</v>
      </c>
      <c r="H184" s="93">
        <v>30</v>
      </c>
      <c r="I184" s="93">
        <v>28</v>
      </c>
      <c r="J184" s="94">
        <v>171</v>
      </c>
      <c r="K184" s="62"/>
    </row>
    <row r="185" spans="2:11" customFormat="1" ht="15" customHeight="1">
      <c r="B185" s="94">
        <v>2010</v>
      </c>
      <c r="C185" s="93">
        <v>30</v>
      </c>
      <c r="D185" s="93">
        <v>26</v>
      </c>
      <c r="E185" s="93">
        <v>18</v>
      </c>
      <c r="F185" s="93">
        <v>21</v>
      </c>
      <c r="G185" s="93">
        <v>15</v>
      </c>
      <c r="H185" s="93">
        <v>21</v>
      </c>
      <c r="I185" s="93">
        <v>25</v>
      </c>
      <c r="J185" s="92">
        <v>156</v>
      </c>
      <c r="K185" s="62"/>
    </row>
    <row r="186" spans="2:11" customFormat="1" ht="15" customHeight="1">
      <c r="B186" s="94">
        <v>2011</v>
      </c>
      <c r="C186" s="93">
        <v>34</v>
      </c>
      <c r="D186" s="93">
        <v>27</v>
      </c>
      <c r="E186" s="93">
        <v>24</v>
      </c>
      <c r="F186" s="93">
        <v>20</v>
      </c>
      <c r="G186" s="93">
        <v>18</v>
      </c>
      <c r="H186" s="93">
        <v>15</v>
      </c>
      <c r="I186" s="93">
        <v>20</v>
      </c>
      <c r="J186" s="92">
        <v>158</v>
      </c>
      <c r="K186" s="62"/>
    </row>
    <row r="187" spans="2:11" customFormat="1" ht="15" customHeight="1">
      <c r="B187" s="94">
        <v>2012</v>
      </c>
      <c r="C187" s="93">
        <v>26</v>
      </c>
      <c r="D187" s="93">
        <v>32</v>
      </c>
      <c r="E187" s="93">
        <v>26</v>
      </c>
      <c r="F187" s="93">
        <v>23</v>
      </c>
      <c r="G187" s="93">
        <v>16</v>
      </c>
      <c r="H187" s="93">
        <v>20</v>
      </c>
      <c r="I187" s="93">
        <v>14</v>
      </c>
      <c r="J187" s="92">
        <v>157</v>
      </c>
      <c r="K187" s="62"/>
    </row>
    <row r="188" spans="2:11" customFormat="1" ht="15" customHeight="1">
      <c r="B188" s="94">
        <v>2013</v>
      </c>
      <c r="C188" s="93">
        <v>24</v>
      </c>
      <c r="D188" s="93">
        <v>28</v>
      </c>
      <c r="E188" s="93">
        <v>28</v>
      </c>
      <c r="F188" s="93">
        <v>22</v>
      </c>
      <c r="G188" s="93">
        <v>19</v>
      </c>
      <c r="H188" s="93">
        <v>18</v>
      </c>
      <c r="I188" s="93">
        <v>17</v>
      </c>
      <c r="J188" s="94">
        <v>156</v>
      </c>
      <c r="K188" s="62"/>
    </row>
    <row r="189" spans="2:11" customFormat="1" ht="15" customHeight="1">
      <c r="B189" s="94">
        <v>2014</v>
      </c>
      <c r="C189" s="93">
        <v>21</v>
      </c>
      <c r="D189" s="93">
        <v>22</v>
      </c>
      <c r="E189" s="93">
        <v>27</v>
      </c>
      <c r="F189" s="93">
        <v>20</v>
      </c>
      <c r="G189" s="93">
        <v>17</v>
      </c>
      <c r="H189" s="93">
        <v>16</v>
      </c>
      <c r="I189" s="93">
        <v>16</v>
      </c>
      <c r="J189" s="92">
        <v>139</v>
      </c>
      <c r="K189" s="65"/>
    </row>
    <row r="190" spans="2:11" customFormat="1" ht="15" customHeight="1">
      <c r="B190" s="94">
        <v>2015</v>
      </c>
      <c r="C190" s="93">
        <v>29</v>
      </c>
      <c r="D190" s="93">
        <v>18</v>
      </c>
      <c r="E190" s="93">
        <v>19</v>
      </c>
      <c r="F190" s="93">
        <v>26</v>
      </c>
      <c r="G190" s="93">
        <v>20</v>
      </c>
      <c r="H190" s="93">
        <v>15</v>
      </c>
      <c r="I190" s="93">
        <v>17</v>
      </c>
      <c r="J190" s="92">
        <v>144</v>
      </c>
      <c r="K190" s="65"/>
    </row>
    <row r="191" spans="2:11" customFormat="1" ht="15" customHeight="1">
      <c r="B191" s="94">
        <v>2016</v>
      </c>
      <c r="C191" s="93">
        <v>22</v>
      </c>
      <c r="D191" s="93">
        <v>26</v>
      </c>
      <c r="E191" s="93">
        <v>21</v>
      </c>
      <c r="F191" s="93">
        <v>23</v>
      </c>
      <c r="G191" s="93">
        <v>27</v>
      </c>
      <c r="H191" s="93">
        <v>24</v>
      </c>
      <c r="I191" s="93">
        <v>16</v>
      </c>
      <c r="J191" s="92">
        <v>159</v>
      </c>
      <c r="K191" s="65"/>
    </row>
    <row r="192" spans="2:11" ht="15" customHeight="1">
      <c r="B192" s="94">
        <v>2017</v>
      </c>
      <c r="C192" s="93">
        <f>VLOOKUP($E$3,Rolls!A1:FA90,42,FALSE)</f>
        <v>21</v>
      </c>
      <c r="D192" s="93">
        <f>VLOOKUP($E$3,Rolls!A1:FA90,43,FALSE)</f>
        <v>22</v>
      </c>
      <c r="E192" s="93">
        <f>VLOOKUP($E$3,Rolls!A1:FA90,44,FALSE)</f>
        <v>26</v>
      </c>
      <c r="F192" s="93">
        <f>VLOOKUP($E$3,Rolls!A1:FA90,45,FALSE)</f>
        <v>20</v>
      </c>
      <c r="G192" s="93">
        <f>VLOOKUP($E$3,Rolls!A1:FA90,46,FALSE)</f>
        <v>20</v>
      </c>
      <c r="H192" s="93">
        <f>VLOOKUP($E$3,Rolls!A1:FA90,47,FALSE)</f>
        <v>29</v>
      </c>
      <c r="I192" s="93">
        <f>VLOOKUP($E$3,Rolls!A1:FA90,48,FALSE)</f>
        <v>21</v>
      </c>
      <c r="J192" s="92">
        <f>VLOOKUP($E$3,Rolls!A1:FA90,49,FALSE)</f>
        <v>159</v>
      </c>
      <c r="K192" s="65"/>
    </row>
    <row r="193" spans="2:11" ht="15" customHeight="1">
      <c r="B193" s="94">
        <v>2018</v>
      </c>
      <c r="C193" s="93">
        <f>VLOOKUP($E$3,Rolls!A1:FA90,50,FALSE)</f>
        <v>18</v>
      </c>
      <c r="D193" s="93">
        <f>VLOOKUP($E$3,Rolls!A1:FA90,51,FALSE)</f>
        <v>20</v>
      </c>
      <c r="E193" s="93">
        <f>VLOOKUP($E$3,Rolls!A1:FA90,52,FALSE)</f>
        <v>19</v>
      </c>
      <c r="F193" s="93">
        <f>VLOOKUP($E$3,Rolls!A1:FA90,53,FALSE)</f>
        <v>27</v>
      </c>
      <c r="G193" s="93">
        <f>VLOOKUP($E$3,Rolls!A1:FA90,54,FALSE)</f>
        <v>19</v>
      </c>
      <c r="H193" s="93">
        <f>VLOOKUP($E$3,Rolls!A1:FA90,55,FALSE)</f>
        <v>21</v>
      </c>
      <c r="I193" s="93">
        <f>VLOOKUP($E$3,Rolls!A1:FA90,56,FALSE)</f>
        <v>24</v>
      </c>
      <c r="J193" s="92">
        <f>VLOOKUP($E$3,Rolls!A1:FA90,57,FALSE)</f>
        <v>148</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92</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St Mary's RC Primary School (Edin.)</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434 Pupils (15 classes)</v>
      </c>
      <c r="G12" s="16"/>
      <c r="H12" s="16"/>
    </row>
    <row r="13" spans="2:10" ht="15" customHeight="1">
      <c r="C13" s="16"/>
      <c r="D13" s="16"/>
      <c r="E13" s="16"/>
      <c r="F13" s="16"/>
      <c r="G13" s="16"/>
      <c r="H13" s="16"/>
    </row>
    <row r="14" spans="2:10" ht="15" customHeight="1">
      <c r="B14" s="15" t="str">
        <f>"Figure 1: "&amp;E3&amp;" Roll, 2002-2015"</f>
        <v>Figure 1: St Mary's RC Primary School (Edin.)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2010-2020"</f>
        <v>Figure 2: Actual Catchment Births (from 5yrs prior),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St Mary's RC Primary School (Edin.)</v>
      </c>
      <c r="K34" s="16"/>
    </row>
    <row r="35" spans="1:17" ht="15" customHeight="1">
      <c r="A35" s="1" t="str">
        <f>IF(ISNUMBER(SEARCH("RC",A34)),"RC", "ND")</f>
        <v>RC</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RC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43</v>
      </c>
      <c r="E49" s="108">
        <f>VLOOKUP($E$3,'Catchment Projections'!$A$1:$BU$90,46,FALSE)</f>
        <v>40</v>
      </c>
      <c r="F49" s="108">
        <f>VLOOKUP($E$3,'Catchment Projections'!$A$1:$BU$90,47,FALSE)</f>
        <v>42</v>
      </c>
      <c r="G49" s="108">
        <f>VLOOKUP($E$3,'Catchment Projections'!$A$1:$BU$90,48,FALSE)</f>
        <v>38</v>
      </c>
      <c r="H49" s="133">
        <f>VLOOKUP($E$3,'Catchment Projections'!$A$1:$BU$90,49,FALSE)</f>
        <v>40</v>
      </c>
      <c r="I49" s="133">
        <f>VLOOKUP($E$3,'Catchment Projections'!$A$1:$BU$90,50,FALSE)</f>
        <v>41</v>
      </c>
      <c r="J49" s="133">
        <f>VLOOKUP($E$3,'Catchment Projections'!$A$1:$BU$90,51,FALSE)</f>
        <v>42</v>
      </c>
      <c r="K49" s="133">
        <f>VLOOKUP($E$3,'Catchment Projections'!$A$1:$BU$90,52,FALSE)</f>
        <v>42</v>
      </c>
      <c r="L49" s="133">
        <f>VLOOKUP($E$3,'Catchment Projections'!$A$1:$BU$90,53,FALSE)</f>
        <v>42</v>
      </c>
      <c r="M49" s="133">
        <f>VLOOKUP($E$3,'Catchment Projections'!$A$1:$BU$90,54,FALSE)</f>
        <v>42</v>
      </c>
      <c r="N49" s="133">
        <f>VLOOKUP($E$3,'Catchment Projections'!$A$1:$BU$90,55,FALSE)</f>
        <v>42</v>
      </c>
      <c r="O49" s="133">
        <f>VLOOKUP($E$3,'Catchment Projections'!$A$1:$BU$90,56,FALSE)</f>
        <v>43</v>
      </c>
      <c r="P49" s="133">
        <f>VLOOKUP($E$3,'Catchment Projections'!$A$1:$BU$90,57,FALSE)</f>
        <v>43</v>
      </c>
      <c r="Q49" s="133">
        <f>VLOOKUP($E$3,'Catchment Projections'!$A$1:$BU$90,58,FALSE)</f>
        <v>43</v>
      </c>
    </row>
    <row r="50" spans="2:17" ht="15" customHeight="1" thickBot="1">
      <c r="B50" s="410" t="s">
        <v>141</v>
      </c>
      <c r="C50" s="411"/>
      <c r="D50" s="286">
        <f>VLOOKUP(E3,'Housing Generation'!$A$3:$DQ$90,10,FALSE)</f>
        <v>1</v>
      </c>
      <c r="E50" s="286">
        <f>VLOOKUP(E3,'Housing Generation'!$A$3:$DQ$90,18,FALSE)</f>
        <v>1</v>
      </c>
      <c r="F50" s="286">
        <f>VLOOKUP(E3,'Housing Generation'!$A$3:$DQ$90,26,FALSE)</f>
        <v>2</v>
      </c>
      <c r="G50" s="243">
        <f>VLOOKUP(E3,'Housing Generation'!$A$3:$DQ$90,34,FALSE)</f>
        <v>2</v>
      </c>
      <c r="H50" s="133">
        <f>VLOOKUP(E3,'Housing Generation'!$A$3:$DQ$90,42,FALSE)</f>
        <v>2</v>
      </c>
      <c r="I50" s="133">
        <f>VLOOKUP(E3,'Housing Generation'!$A$3:$DQ$90,50,FALSE)</f>
        <v>2</v>
      </c>
      <c r="J50" s="133">
        <f>VLOOKUP(E3,'Housing Generation'!$A$3:$CK$90,58,FALSE)</f>
        <v>2</v>
      </c>
      <c r="K50" s="133">
        <f>VLOOKUP(E3,'Housing Generation'!$A$3:$CK$90,66,FALSE)</f>
        <v>3</v>
      </c>
      <c r="L50" s="133">
        <f>VLOOKUP(E3,'Housing Generation'!$A$3:$DQ$90,74,FALSE)</f>
        <v>3</v>
      </c>
      <c r="M50" s="133">
        <f>VLOOKUP(E3,'Housing Generation'!$A$3:$DQ$90,82,FALSE)</f>
        <v>3</v>
      </c>
      <c r="N50" s="133">
        <f>VLOOKUP(E3,'Housing Generation'!$A$3:$DQ$90,90,FALSE)</f>
        <v>3</v>
      </c>
      <c r="O50" s="133">
        <f>VLOOKUP(E3,'Housing Generation'!$A$3:$DQ$90,98,FALSE)</f>
        <v>3</v>
      </c>
      <c r="P50" s="133">
        <f>VLOOKUP(E3,'Housing Generation'!$A$3:$DQ$90,106,FALSE)</f>
        <v>3</v>
      </c>
      <c r="Q50" s="133">
        <f>VLOOKUP(E3,'Housing Generation'!$A$3:$DQ$90,114,FALSE)</f>
        <v>3</v>
      </c>
    </row>
    <row r="51" spans="2:17" ht="15" customHeight="1" thickTop="1">
      <c r="B51" s="421" t="s">
        <v>130</v>
      </c>
      <c r="C51" s="422"/>
      <c r="D51" s="47">
        <f t="shared" ref="D51:Q51" si="0">SUM(D49:D50)</f>
        <v>44</v>
      </c>
      <c r="E51" s="47">
        <f t="shared" si="0"/>
        <v>41</v>
      </c>
      <c r="F51" s="80">
        <f t="shared" si="0"/>
        <v>44</v>
      </c>
      <c r="G51" s="244">
        <f t="shared" si="0"/>
        <v>40</v>
      </c>
      <c r="H51" s="71">
        <f t="shared" si="0"/>
        <v>42</v>
      </c>
      <c r="I51" s="71">
        <f t="shared" si="0"/>
        <v>43</v>
      </c>
      <c r="J51" s="71">
        <f t="shared" si="0"/>
        <v>44</v>
      </c>
      <c r="K51" s="71">
        <f t="shared" si="0"/>
        <v>45</v>
      </c>
      <c r="L51" s="71">
        <f t="shared" si="0"/>
        <v>45</v>
      </c>
      <c r="M51" s="71">
        <f t="shared" si="0"/>
        <v>45</v>
      </c>
      <c r="N51" s="71">
        <f t="shared" si="0"/>
        <v>45</v>
      </c>
      <c r="O51" s="71">
        <f t="shared" si="0"/>
        <v>46</v>
      </c>
      <c r="P51" s="71">
        <f t="shared" si="0"/>
        <v>46</v>
      </c>
      <c r="Q51" s="71">
        <f t="shared" si="0"/>
        <v>46</v>
      </c>
    </row>
    <row r="52" spans="2:17" ht="15" customHeight="1">
      <c r="C52" s="36"/>
      <c r="D52" s="48"/>
      <c r="E52" s="48"/>
      <c r="F52" s="48"/>
      <c r="G52" s="48"/>
      <c r="H52" s="48"/>
    </row>
    <row r="53" spans="2:17" ht="31.5" customHeight="1">
      <c r="B53" s="423" t="s">
        <v>292</v>
      </c>
      <c r="C53" s="424"/>
      <c r="D53" s="87">
        <v>0</v>
      </c>
      <c r="E53" s="139" t="s">
        <v>181</v>
      </c>
      <c r="F53" s="140">
        <v>28</v>
      </c>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RC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46</v>
      </c>
      <c r="D60" s="358">
        <f>VLOOKUP($E$3,'Catchment Projections'!$A$1:$BZ$90,74,FALSE)</f>
        <v>45</v>
      </c>
      <c r="E60" s="303">
        <f>D60/C60</f>
        <v>0.97826086956521741</v>
      </c>
      <c r="G60" s="132">
        <v>2014</v>
      </c>
      <c r="H60" s="395">
        <f>VLOOKUP($G$60,$B$177:$C$215, 2, FALSE)</f>
        <v>50</v>
      </c>
      <c r="I60" s="120">
        <f>H60-D60</f>
        <v>5</v>
      </c>
      <c r="J60" s="121">
        <f>I60/H60</f>
        <v>0.1</v>
      </c>
    </row>
    <row r="61" spans="2:17" ht="15" customHeight="1">
      <c r="B61" s="132">
        <v>2015</v>
      </c>
      <c r="C61" s="359">
        <f>VLOOKUP($E$3,'Catchment Projections'!$A$1:$BZ$90,41,FALSE)</f>
        <v>53</v>
      </c>
      <c r="D61" s="358">
        <f>VLOOKUP($E$3,'Catchment Projections'!$A$1:$BZ$90,75,FALSE)</f>
        <v>52</v>
      </c>
      <c r="E61" s="303">
        <f>D61/C61</f>
        <v>0.98113207547169812</v>
      </c>
      <c r="G61" s="132">
        <v>2015</v>
      </c>
      <c r="H61" s="395">
        <f>VLOOKUP($G$61,$B$177:$C$215, 2, FALSE)</f>
        <v>55</v>
      </c>
      <c r="I61" s="120">
        <f>H61-D61</f>
        <v>3</v>
      </c>
      <c r="J61" s="121">
        <f>I61/H61</f>
        <v>5.4545454545454543E-2</v>
      </c>
    </row>
    <row r="62" spans="2:17" ht="15" customHeight="1">
      <c r="B62" s="131">
        <v>2016</v>
      </c>
      <c r="C62" s="359">
        <f>VLOOKUP($E$3,'Catchment Projections'!$A$1:$BZ$90,42,FALSE)</f>
        <v>45</v>
      </c>
      <c r="D62" s="358">
        <f>VLOOKUP($E$3,'Catchment Projections'!$A$1:$BZ$90,76,FALSE)</f>
        <v>45</v>
      </c>
      <c r="E62" s="57">
        <f>D62/C62</f>
        <v>1</v>
      </c>
      <c r="G62" s="131">
        <v>2016</v>
      </c>
      <c r="H62" s="395">
        <f>VLOOKUP($G$62,$B$177:$C$215, 2, FALSE)</f>
        <v>48</v>
      </c>
      <c r="I62" s="120">
        <f>H62-D62</f>
        <v>3</v>
      </c>
      <c r="J62" s="121">
        <f>I62/H62</f>
        <v>6.25E-2</v>
      </c>
    </row>
    <row r="63" spans="2:17" ht="15" customHeight="1">
      <c r="B63" s="114">
        <v>2017</v>
      </c>
      <c r="C63" s="359">
        <f>VLOOKUP($E$3,'Catchment Projections'!$A$1:$BZ$90,43,FALSE)</f>
        <v>52</v>
      </c>
      <c r="D63" s="358">
        <f>VLOOKUP($E$3,'Catchment Projections'!$A$1:$BZ$90,77,FALSE)</f>
        <v>52</v>
      </c>
      <c r="E63" s="304">
        <f>D63/C63</f>
        <v>1</v>
      </c>
      <c r="G63" s="114">
        <v>2017</v>
      </c>
      <c r="H63" s="395">
        <f>VLOOKUP($G$63,$B$177:$C$215, 2, FALSE)</f>
        <v>54</v>
      </c>
      <c r="I63" s="120">
        <f>H63-D63</f>
        <v>2</v>
      </c>
      <c r="J63" s="121">
        <f>I63/H63</f>
        <v>3.7037037037037035E-2</v>
      </c>
    </row>
    <row r="64" spans="2:17" ht="15" customHeight="1">
      <c r="B64" s="114">
        <v>2018</v>
      </c>
      <c r="C64" s="359">
        <f>VLOOKUP($E$3,'Catchment Projections'!$A$1:$BZ$90,44,FALSE)</f>
        <v>40</v>
      </c>
      <c r="D64" s="358">
        <f>VLOOKUP($E$3,'Catchment Projections'!$A$1:$BZ$90,78,FALSE)</f>
        <v>38</v>
      </c>
      <c r="E64" s="305">
        <f>D64/C64</f>
        <v>0.95</v>
      </c>
      <c r="G64" s="114">
        <v>2018</v>
      </c>
      <c r="H64" s="395">
        <f>VLOOKUP($G$64,$B$177:$C$215, 2, FALSE)</f>
        <v>42</v>
      </c>
      <c r="I64" s="120">
        <f>H64-D64</f>
        <v>4</v>
      </c>
      <c r="J64" s="121">
        <f>I64/H64</f>
        <v>9.5238095238095233E-2</v>
      </c>
    </row>
    <row r="65" spans="2:10" ht="15" customHeight="1">
      <c r="B65" s="412" t="s">
        <v>136</v>
      </c>
      <c r="C65" s="413"/>
      <c r="D65" s="414"/>
      <c r="E65" s="137">
        <f>IF((AVERAGE(E62:E64))="#DIV/0!","n/a",(AVERAGE(E62:E64)))</f>
        <v>0.98333333333333339</v>
      </c>
      <c r="G65" s="415" t="s">
        <v>137</v>
      </c>
      <c r="H65" s="416"/>
      <c r="I65" s="138">
        <f>MEDIAN(I60:I64)</f>
        <v>3</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179</v>
      </c>
      <c r="D69" s="408"/>
      <c r="E69" s="125" t="s">
        <v>158</v>
      </c>
      <c r="F69" s="126" t="s">
        <v>133</v>
      </c>
      <c r="G69" s="124" t="s">
        <v>183</v>
      </c>
      <c r="H69" s="125" t="s">
        <v>138</v>
      </c>
      <c r="I69" s="124" t="s">
        <v>142</v>
      </c>
      <c r="J69" s="123" t="s">
        <v>139</v>
      </c>
    </row>
    <row r="70" spans="2:10" ht="15" customHeight="1">
      <c r="B70" s="114">
        <v>2019</v>
      </c>
      <c r="C70" s="433">
        <f>D51</f>
        <v>44</v>
      </c>
      <c r="D70" s="408"/>
      <c r="E70" s="122">
        <f>E65</f>
        <v>0.98333333333333339</v>
      </c>
      <c r="F70" s="120">
        <f t="shared" ref="F70:F83" si="1">C70*$E$65</f>
        <v>43.266666666666666</v>
      </c>
      <c r="G70" s="118">
        <f>IF(F70&lt;26,25,IF(F70&gt;135,140,IF(F70&gt;130,135,IF(F70&gt;125,130,IF(F70&gt;120,125,IF(F70&gt;115,120,IF(F70&gt;110,115,IF(F70&gt;105,110,IF(F70&gt;100,105,IF(F70&gt;99,100,IF(F70&gt;90,99,IF(F70&gt;75,90,IF(F70&gt;72,75,IF(F70&gt;66,72,IF(F70&gt;60,66,IF(F70&gt;50,60,IF(F70&gt;30,50,IF(F70&gt;25,30,0))))))))))))))))))</f>
        <v>50</v>
      </c>
      <c r="H70" s="119">
        <f t="shared" ref="H70:H83" si="2">G70-F70</f>
        <v>6.7333333333333343</v>
      </c>
      <c r="I70" s="118" t="str">
        <f>IF(I$65&lt;H70, "NO", "YES")</f>
        <v>NO</v>
      </c>
      <c r="J70" s="117">
        <f t="shared" ref="J70:J83" si="3">IF(I70="YES",G70,(MIN((SUM(F70,$I$65)),G70)))</f>
        <v>46.266666666666666</v>
      </c>
    </row>
    <row r="71" spans="2:10" ht="15" customHeight="1">
      <c r="B71" s="114">
        <v>2020</v>
      </c>
      <c r="C71" s="433">
        <f>E51</f>
        <v>41</v>
      </c>
      <c r="D71" s="408"/>
      <c r="E71" s="121">
        <f>E65</f>
        <v>0.98333333333333339</v>
      </c>
      <c r="F71" s="120">
        <f t="shared" si="1"/>
        <v>40.31666666666667</v>
      </c>
      <c r="G71" s="118">
        <f t="shared" ref="G71:G83" si="4">IF(F71&lt;26,25,IF(F71&gt;135,140,IF(F71&gt;130,135,IF(F71&gt;125,130,IF(F71&gt;120,125,IF(F71&gt;115,120,IF(F71&gt;110,115,IF(F71&gt;105,110,IF(F71&gt;100,105,IF(F71&gt;99,100,IF(F71&gt;90,99,IF(F71&gt;75,90,IF(F71&gt;72,75,IF(F71&gt;66,72,IF(F71&gt;60,66,IF(F71&gt;50,60,IF(F71&gt;30,50,IF(F71&gt;25,30,0))))))))))))))))))</f>
        <v>50</v>
      </c>
      <c r="H71" s="119">
        <f t="shared" si="2"/>
        <v>9.68333333333333</v>
      </c>
      <c r="I71" s="118" t="str">
        <f t="shared" ref="I71:I83" si="5">IF(I$65&lt;H71, "NO", "YES")</f>
        <v>NO</v>
      </c>
      <c r="J71" s="117">
        <f t="shared" si="3"/>
        <v>43.31666666666667</v>
      </c>
    </row>
    <row r="72" spans="2:10" ht="15" customHeight="1">
      <c r="B72" s="114">
        <v>2021</v>
      </c>
      <c r="C72" s="430">
        <f>F51</f>
        <v>44</v>
      </c>
      <c r="D72" s="431"/>
      <c r="E72" s="121">
        <f>E65</f>
        <v>0.98333333333333339</v>
      </c>
      <c r="F72" s="120">
        <f t="shared" si="1"/>
        <v>43.266666666666666</v>
      </c>
      <c r="G72" s="118">
        <f t="shared" si="4"/>
        <v>50</v>
      </c>
      <c r="H72" s="119">
        <f t="shared" si="2"/>
        <v>6.7333333333333343</v>
      </c>
      <c r="I72" s="118" t="str">
        <f t="shared" si="5"/>
        <v>NO</v>
      </c>
      <c r="J72" s="117">
        <f t="shared" si="3"/>
        <v>46.266666666666666</v>
      </c>
    </row>
    <row r="73" spans="2:10" ht="15" customHeight="1">
      <c r="B73" s="114">
        <v>2022</v>
      </c>
      <c r="C73" s="430">
        <f>G51</f>
        <v>40</v>
      </c>
      <c r="D73" s="431"/>
      <c r="E73" s="121">
        <f>E65</f>
        <v>0.98333333333333339</v>
      </c>
      <c r="F73" s="120">
        <f t="shared" si="1"/>
        <v>39.333333333333336</v>
      </c>
      <c r="G73" s="118">
        <f t="shared" si="4"/>
        <v>50</v>
      </c>
      <c r="H73" s="119">
        <f t="shared" si="2"/>
        <v>10.666666666666664</v>
      </c>
      <c r="I73" s="118" t="str">
        <f t="shared" si="5"/>
        <v>NO</v>
      </c>
      <c r="J73" s="117">
        <f t="shared" si="3"/>
        <v>42.333333333333336</v>
      </c>
    </row>
    <row r="74" spans="2:10" ht="15" customHeight="1">
      <c r="B74" s="114">
        <v>2023</v>
      </c>
      <c r="C74" s="430">
        <f>H51</f>
        <v>42</v>
      </c>
      <c r="D74" s="431"/>
      <c r="E74" s="121">
        <f>E65</f>
        <v>0.98333333333333339</v>
      </c>
      <c r="F74" s="120">
        <f t="shared" si="1"/>
        <v>41.300000000000004</v>
      </c>
      <c r="G74" s="118">
        <f t="shared" si="4"/>
        <v>50</v>
      </c>
      <c r="H74" s="119">
        <f t="shared" si="2"/>
        <v>8.6999999999999957</v>
      </c>
      <c r="I74" s="118" t="str">
        <f t="shared" si="5"/>
        <v>NO</v>
      </c>
      <c r="J74" s="117">
        <f t="shared" si="3"/>
        <v>44.300000000000004</v>
      </c>
    </row>
    <row r="75" spans="2:10" ht="15" customHeight="1">
      <c r="B75" s="114">
        <v>2024</v>
      </c>
      <c r="C75" s="430">
        <f>I51</f>
        <v>43</v>
      </c>
      <c r="D75" s="431"/>
      <c r="E75" s="121">
        <f>E65</f>
        <v>0.98333333333333339</v>
      </c>
      <c r="F75" s="120">
        <f t="shared" si="1"/>
        <v>42.283333333333339</v>
      </c>
      <c r="G75" s="118">
        <f t="shared" si="4"/>
        <v>50</v>
      </c>
      <c r="H75" s="119">
        <f t="shared" si="2"/>
        <v>7.7166666666666615</v>
      </c>
      <c r="I75" s="118" t="str">
        <f t="shared" si="5"/>
        <v>NO</v>
      </c>
      <c r="J75" s="117">
        <f t="shared" si="3"/>
        <v>45.283333333333339</v>
      </c>
    </row>
    <row r="76" spans="2:10" ht="15" customHeight="1">
      <c r="B76" s="114">
        <v>2025</v>
      </c>
      <c r="C76" s="430">
        <f>J51</f>
        <v>44</v>
      </c>
      <c r="D76" s="431"/>
      <c r="E76" s="121">
        <f>E65</f>
        <v>0.98333333333333339</v>
      </c>
      <c r="F76" s="120">
        <f t="shared" si="1"/>
        <v>43.266666666666666</v>
      </c>
      <c r="G76" s="118">
        <f t="shared" si="4"/>
        <v>50</v>
      </c>
      <c r="H76" s="119">
        <f t="shared" si="2"/>
        <v>6.7333333333333343</v>
      </c>
      <c r="I76" s="118" t="str">
        <f t="shared" si="5"/>
        <v>NO</v>
      </c>
      <c r="J76" s="117">
        <f t="shared" si="3"/>
        <v>46.266666666666666</v>
      </c>
    </row>
    <row r="77" spans="2:10" ht="15" customHeight="1">
      <c r="B77" s="114">
        <v>2026</v>
      </c>
      <c r="C77" s="430">
        <f>K51</f>
        <v>45</v>
      </c>
      <c r="D77" s="431"/>
      <c r="E77" s="121">
        <f>E65</f>
        <v>0.98333333333333339</v>
      </c>
      <c r="F77" s="120">
        <f t="shared" si="1"/>
        <v>44.25</v>
      </c>
      <c r="G77" s="118">
        <f t="shared" si="4"/>
        <v>50</v>
      </c>
      <c r="H77" s="119">
        <f t="shared" si="2"/>
        <v>5.75</v>
      </c>
      <c r="I77" s="118" t="str">
        <f t="shared" si="5"/>
        <v>NO</v>
      </c>
      <c r="J77" s="117">
        <f t="shared" si="3"/>
        <v>47.25</v>
      </c>
    </row>
    <row r="78" spans="2:10" ht="15" customHeight="1">
      <c r="B78" s="114">
        <v>2027</v>
      </c>
      <c r="C78" s="430">
        <f>L51</f>
        <v>45</v>
      </c>
      <c r="D78" s="431"/>
      <c r="E78" s="121">
        <f>E65</f>
        <v>0.98333333333333339</v>
      </c>
      <c r="F78" s="120">
        <f t="shared" si="1"/>
        <v>44.25</v>
      </c>
      <c r="G78" s="118">
        <f t="shared" si="4"/>
        <v>50</v>
      </c>
      <c r="H78" s="119">
        <f t="shared" si="2"/>
        <v>5.75</v>
      </c>
      <c r="I78" s="118" t="str">
        <f t="shared" si="5"/>
        <v>NO</v>
      </c>
      <c r="J78" s="117">
        <f t="shared" si="3"/>
        <v>47.25</v>
      </c>
    </row>
    <row r="79" spans="2:10" ht="15" customHeight="1">
      <c r="B79" s="114">
        <v>2028</v>
      </c>
      <c r="C79" s="430">
        <f>M51</f>
        <v>45</v>
      </c>
      <c r="D79" s="431"/>
      <c r="E79" s="121">
        <f t="shared" ref="E79:E83" si="6">$E$65</f>
        <v>0.98333333333333339</v>
      </c>
      <c r="F79" s="120">
        <f t="shared" si="1"/>
        <v>44.25</v>
      </c>
      <c r="G79" s="118">
        <f t="shared" si="4"/>
        <v>50</v>
      </c>
      <c r="H79" s="119">
        <f t="shared" si="2"/>
        <v>5.75</v>
      </c>
      <c r="I79" s="118" t="str">
        <f t="shared" si="5"/>
        <v>NO</v>
      </c>
      <c r="J79" s="117">
        <f t="shared" si="3"/>
        <v>47.25</v>
      </c>
    </row>
    <row r="80" spans="2:10" ht="15" customHeight="1">
      <c r="B80" s="114">
        <v>2029</v>
      </c>
      <c r="C80" s="430">
        <f>N51</f>
        <v>45</v>
      </c>
      <c r="D80" s="431"/>
      <c r="E80" s="121">
        <f t="shared" si="6"/>
        <v>0.98333333333333339</v>
      </c>
      <c r="F80" s="120">
        <f t="shared" si="1"/>
        <v>44.25</v>
      </c>
      <c r="G80" s="118">
        <f t="shared" si="4"/>
        <v>50</v>
      </c>
      <c r="H80" s="119">
        <f t="shared" si="2"/>
        <v>5.75</v>
      </c>
      <c r="I80" s="118" t="str">
        <f t="shared" si="5"/>
        <v>NO</v>
      </c>
      <c r="J80" s="117">
        <f t="shared" si="3"/>
        <v>47.25</v>
      </c>
    </row>
    <row r="81" spans="2:10" ht="15" customHeight="1">
      <c r="B81" s="114">
        <v>2030</v>
      </c>
      <c r="C81" s="430">
        <f>O51</f>
        <v>46</v>
      </c>
      <c r="D81" s="431"/>
      <c r="E81" s="121">
        <f t="shared" si="6"/>
        <v>0.98333333333333339</v>
      </c>
      <c r="F81" s="120">
        <f t="shared" si="1"/>
        <v>45.233333333333334</v>
      </c>
      <c r="G81" s="118">
        <f t="shared" si="4"/>
        <v>50</v>
      </c>
      <c r="H81" s="119">
        <f t="shared" si="2"/>
        <v>4.7666666666666657</v>
      </c>
      <c r="I81" s="118" t="str">
        <f t="shared" si="5"/>
        <v>NO</v>
      </c>
      <c r="J81" s="117">
        <f t="shared" si="3"/>
        <v>48.233333333333334</v>
      </c>
    </row>
    <row r="82" spans="2:10" ht="15" customHeight="1">
      <c r="B82" s="114">
        <v>2031</v>
      </c>
      <c r="C82" s="430">
        <f>P51</f>
        <v>46</v>
      </c>
      <c r="D82" s="431"/>
      <c r="E82" s="121">
        <f t="shared" si="6"/>
        <v>0.98333333333333339</v>
      </c>
      <c r="F82" s="120">
        <f t="shared" si="1"/>
        <v>45.233333333333334</v>
      </c>
      <c r="G82" s="118">
        <f t="shared" si="4"/>
        <v>50</v>
      </c>
      <c r="H82" s="119">
        <f t="shared" si="2"/>
        <v>4.7666666666666657</v>
      </c>
      <c r="I82" s="118" t="str">
        <f t="shared" si="5"/>
        <v>NO</v>
      </c>
      <c r="J82" s="117">
        <f t="shared" si="3"/>
        <v>48.233333333333334</v>
      </c>
    </row>
    <row r="83" spans="2:10" ht="15" customHeight="1">
      <c r="B83" s="114">
        <v>2032</v>
      </c>
      <c r="C83" s="430">
        <f>Q51</f>
        <v>46</v>
      </c>
      <c r="D83" s="431"/>
      <c r="E83" s="121">
        <f t="shared" si="6"/>
        <v>0.98333333333333339</v>
      </c>
      <c r="F83" s="120">
        <f t="shared" si="1"/>
        <v>45.233333333333334</v>
      </c>
      <c r="G83" s="118">
        <f t="shared" si="4"/>
        <v>50</v>
      </c>
      <c r="H83" s="119">
        <f t="shared" si="2"/>
        <v>4.7666666666666657</v>
      </c>
      <c r="I83" s="118" t="str">
        <f t="shared" si="5"/>
        <v>NO</v>
      </c>
      <c r="J83" s="117">
        <f t="shared" si="3"/>
        <v>48.233333333333334</v>
      </c>
    </row>
    <row r="84" spans="2:10" ht="15" customHeight="1">
      <c r="C84" s="16"/>
      <c r="D84" s="16"/>
      <c r="E84" s="16"/>
      <c r="F84" s="16"/>
      <c r="G84" s="16"/>
      <c r="H84" s="16"/>
    </row>
    <row r="85" spans="2:10" ht="15" customHeight="1">
      <c r="B85" s="11" t="s">
        <v>186</v>
      </c>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St Mary's RC Primary School (Edin.)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49</v>
      </c>
      <c r="D91" s="112">
        <f t="shared" ref="D91:J91" si="7">D188</f>
        <v>57</v>
      </c>
      <c r="E91" s="112">
        <f t="shared" si="7"/>
        <v>59</v>
      </c>
      <c r="F91" s="112">
        <f t="shared" si="7"/>
        <v>54</v>
      </c>
      <c r="G91" s="112">
        <f t="shared" si="7"/>
        <v>50</v>
      </c>
      <c r="H91" s="112">
        <f t="shared" si="7"/>
        <v>55</v>
      </c>
      <c r="I91" s="112">
        <f t="shared" si="7"/>
        <v>36</v>
      </c>
      <c r="J91" s="213">
        <f t="shared" si="7"/>
        <v>360</v>
      </c>
    </row>
    <row r="92" spans="2:10" ht="15" customHeight="1">
      <c r="B92" s="114">
        <v>2014</v>
      </c>
      <c r="C92" s="112">
        <f>C189</f>
        <v>50</v>
      </c>
      <c r="D92" s="112">
        <f t="shared" ref="D92:J92" si="8">D189</f>
        <v>53</v>
      </c>
      <c r="E92" s="112">
        <f t="shared" si="8"/>
        <v>56</v>
      </c>
      <c r="F92" s="112">
        <f t="shared" si="8"/>
        <v>56</v>
      </c>
      <c r="G92" s="112">
        <f t="shared" si="8"/>
        <v>55</v>
      </c>
      <c r="H92" s="112">
        <f t="shared" si="8"/>
        <v>50</v>
      </c>
      <c r="I92" s="112">
        <f t="shared" si="8"/>
        <v>55</v>
      </c>
      <c r="J92" s="213">
        <f t="shared" si="8"/>
        <v>375</v>
      </c>
    </row>
    <row r="93" spans="2:10" ht="15" customHeight="1">
      <c r="B93" s="114">
        <v>2015</v>
      </c>
      <c r="C93" s="112">
        <f>C190</f>
        <v>55</v>
      </c>
      <c r="D93" s="112">
        <f t="shared" ref="D93:J93" si="9">D190</f>
        <v>49</v>
      </c>
      <c r="E93" s="112">
        <f t="shared" si="9"/>
        <v>60</v>
      </c>
      <c r="F93" s="112">
        <f t="shared" si="9"/>
        <v>55</v>
      </c>
      <c r="G93" s="112">
        <f t="shared" si="9"/>
        <v>60</v>
      </c>
      <c r="H93" s="112">
        <f t="shared" si="9"/>
        <v>48</v>
      </c>
      <c r="I93" s="112">
        <f t="shared" si="9"/>
        <v>47</v>
      </c>
      <c r="J93" s="213">
        <f t="shared" si="9"/>
        <v>374</v>
      </c>
    </row>
    <row r="94" spans="2:10" ht="15" customHeight="1">
      <c r="B94" s="114">
        <v>2016</v>
      </c>
      <c r="C94" s="112">
        <f>C191</f>
        <v>48</v>
      </c>
      <c r="D94" s="112">
        <f t="shared" ref="D94:J94" si="10">D191</f>
        <v>60</v>
      </c>
      <c r="E94" s="112">
        <f t="shared" si="10"/>
        <v>47</v>
      </c>
      <c r="F94" s="112">
        <f t="shared" si="10"/>
        <v>60</v>
      </c>
      <c r="G94" s="112">
        <f t="shared" si="10"/>
        <v>55</v>
      </c>
      <c r="H94" s="112">
        <f t="shared" si="10"/>
        <v>56</v>
      </c>
      <c r="I94" s="112">
        <f t="shared" si="10"/>
        <v>48</v>
      </c>
      <c r="J94" s="213">
        <f t="shared" si="10"/>
        <v>374</v>
      </c>
    </row>
    <row r="95" spans="2:10" ht="15" customHeight="1">
      <c r="B95" s="114">
        <v>2017</v>
      </c>
      <c r="C95" s="112">
        <f>C192</f>
        <v>54</v>
      </c>
      <c r="D95" s="112">
        <f t="shared" ref="D95:J95" si="11">D192</f>
        <v>46</v>
      </c>
      <c r="E95" s="112">
        <f t="shared" si="11"/>
        <v>59</v>
      </c>
      <c r="F95" s="112">
        <f t="shared" si="11"/>
        <v>47</v>
      </c>
      <c r="G95" s="112">
        <f t="shared" si="11"/>
        <v>54</v>
      </c>
      <c r="H95" s="112">
        <f t="shared" si="11"/>
        <v>52</v>
      </c>
      <c r="I95" s="112">
        <f t="shared" si="11"/>
        <v>57</v>
      </c>
      <c r="J95" s="213">
        <f t="shared" si="11"/>
        <v>369</v>
      </c>
    </row>
    <row r="96" spans="2:10" ht="15" customHeight="1">
      <c r="B96" s="307">
        <v>2018</v>
      </c>
      <c r="C96" s="112">
        <f t="shared" ref="C96:J96" si="12">C193</f>
        <v>42</v>
      </c>
      <c r="D96" s="112">
        <f t="shared" si="12"/>
        <v>55</v>
      </c>
      <c r="E96" s="112">
        <f t="shared" si="12"/>
        <v>49</v>
      </c>
      <c r="F96" s="112">
        <f t="shared" si="12"/>
        <v>57</v>
      </c>
      <c r="G96" s="112">
        <f t="shared" si="12"/>
        <v>42</v>
      </c>
      <c r="H96" s="112">
        <f t="shared" si="12"/>
        <v>53</v>
      </c>
      <c r="I96" s="112">
        <f t="shared" si="12"/>
        <v>50</v>
      </c>
      <c r="J96" s="213">
        <f t="shared" si="12"/>
        <v>348</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-1.8518518518518517E-2</v>
      </c>
      <c r="E98" s="210">
        <f t="shared" ref="E98:I98" si="13">MEDIAN(((D91-E92)/D91),((D92-E93)/D92),((D93-E94)/D93),((D94-E95)/D94),((D95-E96)/D95))</f>
        <v>1.6666666666666666E-2</v>
      </c>
      <c r="F98" s="210">
        <f t="shared" si="13"/>
        <v>1.7857142857142856E-2</v>
      </c>
      <c r="G98" s="210">
        <f t="shared" si="13"/>
        <v>0</v>
      </c>
      <c r="H98" s="210">
        <f t="shared" si="13"/>
        <v>5.4545454545454543E-2</v>
      </c>
      <c r="I98" s="210">
        <f t="shared" si="13"/>
        <v>0</v>
      </c>
    </row>
    <row r="99" spans="2:10" ht="18.75">
      <c r="B99" s="59"/>
      <c r="C99" s="60"/>
      <c r="D99" s="61"/>
      <c r="E99" s="61"/>
      <c r="F99" s="61"/>
      <c r="G99" s="61"/>
      <c r="H99" s="61"/>
      <c r="I99" s="61"/>
      <c r="J99" s="58"/>
    </row>
    <row r="100" spans="2:10">
      <c r="B100" s="15" t="str">
        <f>"Table 4B: "&amp;E3&amp;" Projected Roll by Stage (incorporating Projected P1 and Drop-Off Rates), 2019-2032"</f>
        <v>Table 4B: St Mary's RC Primary School (Edin.) Projected Roll by Stage (incorporating Projected P1 and Drop-Off Rates), 2019-2032</v>
      </c>
      <c r="F100" s="14"/>
      <c r="G100" s="14"/>
    </row>
    <row r="101" spans="2:10" ht="12.75">
      <c r="F101" s="14"/>
      <c r="G101" s="14"/>
    </row>
    <row r="102" spans="2:10">
      <c r="B102" s="115"/>
      <c r="C102" s="109" t="s">
        <v>1</v>
      </c>
      <c r="D102" s="109" t="s">
        <v>2</v>
      </c>
      <c r="E102" s="109" t="s">
        <v>3</v>
      </c>
      <c r="F102" s="109" t="s">
        <v>4</v>
      </c>
      <c r="G102" s="109" t="s">
        <v>5</v>
      </c>
      <c r="H102" s="109" t="s">
        <v>6</v>
      </c>
      <c r="I102" s="109" t="s">
        <v>7</v>
      </c>
      <c r="J102" s="109" t="s">
        <v>8</v>
      </c>
    </row>
    <row r="103" spans="2:10">
      <c r="B103" s="114">
        <v>2019</v>
      </c>
      <c r="C103" s="113">
        <f t="shared" ref="C103:C116" si="14">J70</f>
        <v>46.266666666666666</v>
      </c>
      <c r="D103" s="324">
        <f>ROUND((C96)-(C96*$D$98),0)</f>
        <v>43</v>
      </c>
      <c r="E103" s="324">
        <f>ROUND((D96)-(D96*$E$98),0)</f>
        <v>54</v>
      </c>
      <c r="F103" s="324">
        <f>ROUND((E96)-(E96*$F$98),0)</f>
        <v>48</v>
      </c>
      <c r="G103" s="324">
        <f>ROUND((F96)-(F96*$G$98),0)</f>
        <v>57</v>
      </c>
      <c r="H103" s="324">
        <f>ROUND((G96)-(G96*$H$98),0)</f>
        <v>40</v>
      </c>
      <c r="I103" s="324">
        <f>ROUND((H96)-(H96*$I$98),0)</f>
        <v>53</v>
      </c>
      <c r="J103" s="111">
        <f t="shared" ref="J103:J116" si="15">SUM(C103:I103)</f>
        <v>341.26666666666665</v>
      </c>
    </row>
    <row r="104" spans="2:10">
      <c r="B104" s="114">
        <v>2020</v>
      </c>
      <c r="C104" s="113">
        <f t="shared" si="14"/>
        <v>43.31666666666667</v>
      </c>
      <c r="D104" s="324">
        <f>ROUND((C103-E50)-(C103*$D$98),0)</f>
        <v>46</v>
      </c>
      <c r="E104" s="112">
        <f t="shared" ref="E104:E116" si="16">ROUND((D103)-(D103*$E$98),0)</f>
        <v>42</v>
      </c>
      <c r="F104" s="112">
        <f t="shared" ref="F104:F116" si="17">ROUND((E103)-(E103*$F$98),0)</f>
        <v>53</v>
      </c>
      <c r="G104" s="112">
        <f t="shared" ref="G104:G116" si="18">ROUND((F103)-(F103*$G$98),0)</f>
        <v>48</v>
      </c>
      <c r="H104" s="112">
        <f t="shared" ref="H104:H116" si="19">ROUND((G103)-(G103*$H$98),0)</f>
        <v>54</v>
      </c>
      <c r="I104" s="112">
        <f t="shared" ref="I104:I116" si="20">ROUND((H103)-(H103*$I$98),0)</f>
        <v>40</v>
      </c>
      <c r="J104" s="111">
        <f t="shared" si="15"/>
        <v>326.31666666666666</v>
      </c>
    </row>
    <row r="105" spans="2:10">
      <c r="B105" s="114">
        <v>2021</v>
      </c>
      <c r="C105" s="113">
        <f t="shared" si="14"/>
        <v>46.266666666666666</v>
      </c>
      <c r="D105" s="324">
        <f>ROUND((C104-F50)-(C104*$D$98),0)</f>
        <v>42</v>
      </c>
      <c r="E105" s="112">
        <f t="shared" si="16"/>
        <v>45</v>
      </c>
      <c r="F105" s="112">
        <f t="shared" si="17"/>
        <v>41</v>
      </c>
      <c r="G105" s="112">
        <f t="shared" si="18"/>
        <v>53</v>
      </c>
      <c r="H105" s="112">
        <f t="shared" si="19"/>
        <v>45</v>
      </c>
      <c r="I105" s="112">
        <f t="shared" si="20"/>
        <v>54</v>
      </c>
      <c r="J105" s="111">
        <f t="shared" si="15"/>
        <v>326.26666666666665</v>
      </c>
    </row>
    <row r="106" spans="2:10">
      <c r="B106" s="114">
        <v>2022</v>
      </c>
      <c r="C106" s="113">
        <f t="shared" si="14"/>
        <v>42.333333333333336</v>
      </c>
      <c r="D106" s="324">
        <f>ROUND((C105-G50)-(C105*$D$98),0)</f>
        <v>45</v>
      </c>
      <c r="E106" s="112">
        <f t="shared" si="16"/>
        <v>41</v>
      </c>
      <c r="F106" s="112">
        <f t="shared" si="17"/>
        <v>44</v>
      </c>
      <c r="G106" s="112">
        <f t="shared" si="18"/>
        <v>41</v>
      </c>
      <c r="H106" s="112">
        <f t="shared" si="19"/>
        <v>50</v>
      </c>
      <c r="I106" s="112">
        <f t="shared" si="20"/>
        <v>45</v>
      </c>
      <c r="J106" s="111">
        <f t="shared" si="15"/>
        <v>308.33333333333337</v>
      </c>
    </row>
    <row r="107" spans="2:10">
      <c r="B107" s="114">
        <v>2023</v>
      </c>
      <c r="C107" s="113">
        <f t="shared" si="14"/>
        <v>44.300000000000004</v>
      </c>
      <c r="D107" s="324">
        <f>ROUND((C106-H50)-(C106*$D$98),0)</f>
        <v>41</v>
      </c>
      <c r="E107" s="112">
        <f t="shared" si="16"/>
        <v>44</v>
      </c>
      <c r="F107" s="112">
        <f t="shared" si="17"/>
        <v>40</v>
      </c>
      <c r="G107" s="112">
        <f t="shared" si="18"/>
        <v>44</v>
      </c>
      <c r="H107" s="112">
        <f t="shared" si="19"/>
        <v>39</v>
      </c>
      <c r="I107" s="112">
        <f t="shared" si="20"/>
        <v>50</v>
      </c>
      <c r="J107" s="111">
        <f t="shared" si="15"/>
        <v>302.3</v>
      </c>
    </row>
    <row r="108" spans="2:10">
      <c r="B108" s="114">
        <v>2024</v>
      </c>
      <c r="C108" s="113">
        <f t="shared" si="14"/>
        <v>45.283333333333339</v>
      </c>
      <c r="D108" s="324">
        <f>ROUND((C107-I50)-(C107*$D$98),0)</f>
        <v>43</v>
      </c>
      <c r="E108" s="112">
        <f t="shared" si="16"/>
        <v>40</v>
      </c>
      <c r="F108" s="112">
        <f t="shared" si="17"/>
        <v>43</v>
      </c>
      <c r="G108" s="112">
        <f t="shared" si="18"/>
        <v>40</v>
      </c>
      <c r="H108" s="112">
        <f t="shared" si="19"/>
        <v>42</v>
      </c>
      <c r="I108" s="112">
        <f t="shared" si="20"/>
        <v>39</v>
      </c>
      <c r="J108" s="111">
        <f t="shared" si="15"/>
        <v>292.2833333333333</v>
      </c>
    </row>
    <row r="109" spans="2:10">
      <c r="B109" s="114">
        <v>2025</v>
      </c>
      <c r="C109" s="113">
        <f t="shared" si="14"/>
        <v>46.266666666666666</v>
      </c>
      <c r="D109" s="324">
        <f>ROUND((C108-J50)-(C108*$D$98),0)</f>
        <v>44</v>
      </c>
      <c r="E109" s="112">
        <f t="shared" si="16"/>
        <v>42</v>
      </c>
      <c r="F109" s="112">
        <f t="shared" si="17"/>
        <v>39</v>
      </c>
      <c r="G109" s="112">
        <f t="shared" si="18"/>
        <v>43</v>
      </c>
      <c r="H109" s="112">
        <f t="shared" si="19"/>
        <v>38</v>
      </c>
      <c r="I109" s="112">
        <f t="shared" si="20"/>
        <v>42</v>
      </c>
      <c r="J109" s="111">
        <f t="shared" si="15"/>
        <v>294.26666666666665</v>
      </c>
    </row>
    <row r="110" spans="2:10">
      <c r="B110" s="114">
        <v>2026</v>
      </c>
      <c r="C110" s="113">
        <f t="shared" si="14"/>
        <v>47.25</v>
      </c>
      <c r="D110" s="324">
        <f>ROUND((C109-K50)-(C109*$D$98),0)</f>
        <v>44</v>
      </c>
      <c r="E110" s="112">
        <f t="shared" si="16"/>
        <v>43</v>
      </c>
      <c r="F110" s="112">
        <f t="shared" si="17"/>
        <v>41</v>
      </c>
      <c r="G110" s="112">
        <f t="shared" si="18"/>
        <v>39</v>
      </c>
      <c r="H110" s="112">
        <f t="shared" si="19"/>
        <v>41</v>
      </c>
      <c r="I110" s="112">
        <f t="shared" si="20"/>
        <v>38</v>
      </c>
      <c r="J110" s="111">
        <f t="shared" si="15"/>
        <v>293.25</v>
      </c>
    </row>
    <row r="111" spans="2:10">
      <c r="B111" s="114">
        <v>2027</v>
      </c>
      <c r="C111" s="113">
        <f t="shared" si="14"/>
        <v>47.25</v>
      </c>
      <c r="D111" s="324">
        <f>ROUND((C110-L50)-(C110*$D$98),0)</f>
        <v>45</v>
      </c>
      <c r="E111" s="112">
        <f t="shared" si="16"/>
        <v>43</v>
      </c>
      <c r="F111" s="112">
        <f t="shared" si="17"/>
        <v>42</v>
      </c>
      <c r="G111" s="112">
        <f t="shared" si="18"/>
        <v>41</v>
      </c>
      <c r="H111" s="112">
        <f t="shared" si="19"/>
        <v>37</v>
      </c>
      <c r="I111" s="112">
        <f t="shared" si="20"/>
        <v>41</v>
      </c>
      <c r="J111" s="111">
        <f t="shared" si="15"/>
        <v>296.25</v>
      </c>
    </row>
    <row r="112" spans="2:10">
      <c r="B112" s="114">
        <v>2028</v>
      </c>
      <c r="C112" s="113">
        <f t="shared" si="14"/>
        <v>47.25</v>
      </c>
      <c r="D112" s="324">
        <f>ROUND((C111-M50)-(C111*$D$98),0)</f>
        <v>45</v>
      </c>
      <c r="E112" s="112">
        <f t="shared" si="16"/>
        <v>44</v>
      </c>
      <c r="F112" s="112">
        <f t="shared" si="17"/>
        <v>42</v>
      </c>
      <c r="G112" s="112">
        <f t="shared" si="18"/>
        <v>42</v>
      </c>
      <c r="H112" s="112">
        <f t="shared" si="19"/>
        <v>39</v>
      </c>
      <c r="I112" s="112">
        <f t="shared" si="20"/>
        <v>37</v>
      </c>
      <c r="J112" s="111">
        <f t="shared" si="15"/>
        <v>296.25</v>
      </c>
    </row>
    <row r="113" spans="2:10" ht="15" customHeight="1">
      <c r="B113" s="114">
        <v>2029</v>
      </c>
      <c r="C113" s="113">
        <f t="shared" si="14"/>
        <v>47.25</v>
      </c>
      <c r="D113" s="324">
        <f>ROUND((C112-N50)-(C112*$D$98),0)</f>
        <v>45</v>
      </c>
      <c r="E113" s="112">
        <f t="shared" si="16"/>
        <v>44</v>
      </c>
      <c r="F113" s="112">
        <f t="shared" si="17"/>
        <v>43</v>
      </c>
      <c r="G113" s="112">
        <f t="shared" si="18"/>
        <v>42</v>
      </c>
      <c r="H113" s="112">
        <f t="shared" si="19"/>
        <v>40</v>
      </c>
      <c r="I113" s="112">
        <f t="shared" si="20"/>
        <v>39</v>
      </c>
      <c r="J113" s="111">
        <f t="shared" si="15"/>
        <v>300.25</v>
      </c>
    </row>
    <row r="114" spans="2:10" ht="15" customHeight="1">
      <c r="B114" s="114">
        <v>2030</v>
      </c>
      <c r="C114" s="113">
        <f t="shared" si="14"/>
        <v>48.233333333333334</v>
      </c>
      <c r="D114" s="324">
        <f>ROUND((C113-O50)-(C113*$D$98),0)</f>
        <v>45</v>
      </c>
      <c r="E114" s="112">
        <f t="shared" si="16"/>
        <v>44</v>
      </c>
      <c r="F114" s="112">
        <f t="shared" si="17"/>
        <v>43</v>
      </c>
      <c r="G114" s="112">
        <f t="shared" si="18"/>
        <v>43</v>
      </c>
      <c r="H114" s="112">
        <f t="shared" si="19"/>
        <v>40</v>
      </c>
      <c r="I114" s="112">
        <f t="shared" si="20"/>
        <v>40</v>
      </c>
      <c r="J114" s="111">
        <f t="shared" si="15"/>
        <v>303.23333333333335</v>
      </c>
    </row>
    <row r="115" spans="2:10" ht="15" customHeight="1">
      <c r="B115" s="114">
        <v>2031</v>
      </c>
      <c r="C115" s="113">
        <f t="shared" si="14"/>
        <v>48.233333333333334</v>
      </c>
      <c r="D115" s="324">
        <f>ROUND((C114-P50)-(C114*$D$98),0)</f>
        <v>46</v>
      </c>
      <c r="E115" s="112">
        <f t="shared" si="16"/>
        <v>44</v>
      </c>
      <c r="F115" s="112">
        <f t="shared" si="17"/>
        <v>43</v>
      </c>
      <c r="G115" s="112">
        <f t="shared" si="18"/>
        <v>43</v>
      </c>
      <c r="H115" s="112">
        <f t="shared" si="19"/>
        <v>41</v>
      </c>
      <c r="I115" s="112">
        <f t="shared" si="20"/>
        <v>40</v>
      </c>
      <c r="J115" s="111">
        <f t="shared" si="15"/>
        <v>305.23333333333335</v>
      </c>
    </row>
    <row r="116" spans="2:10" ht="15" customHeight="1">
      <c r="B116" s="114">
        <v>2032</v>
      </c>
      <c r="C116" s="113">
        <f t="shared" si="14"/>
        <v>48.233333333333334</v>
      </c>
      <c r="D116" s="324">
        <f>ROUND((C115-Q50)-(C115*$D$98),0)</f>
        <v>46</v>
      </c>
      <c r="E116" s="112">
        <f t="shared" si="16"/>
        <v>45</v>
      </c>
      <c r="F116" s="112">
        <f t="shared" si="17"/>
        <v>43</v>
      </c>
      <c r="G116" s="112">
        <f t="shared" si="18"/>
        <v>43</v>
      </c>
      <c r="H116" s="112">
        <f t="shared" si="19"/>
        <v>41</v>
      </c>
      <c r="I116" s="112">
        <f t="shared" si="20"/>
        <v>41</v>
      </c>
      <c r="J116" s="111">
        <f t="shared" si="15"/>
        <v>307.23333333333335</v>
      </c>
    </row>
    <row r="117" spans="2:10" ht="15" hidden="1" customHeight="1">
      <c r="F117" s="14"/>
      <c r="G117" s="14"/>
    </row>
    <row r="118" spans="2:10" ht="15" hidden="1" customHeight="1">
      <c r="B118" s="15" t="str">
        <f>"Table 4C: "&amp;E3&amp;" Projected Pupil Generation from Housing Development, 2019-2032"</f>
        <v>Table 4C: St Mary's RC Primary School (Edin.) Projected Pupil Generation from Housing Development, 2019-2032</v>
      </c>
      <c r="F118" s="14"/>
      <c r="G118" s="14"/>
    </row>
    <row r="119" spans="2:10" ht="15" hidden="1" customHeight="1">
      <c r="F119" s="14"/>
      <c r="G119" s="14"/>
    </row>
    <row r="120" spans="2:10" ht="15" hidden="1" customHeight="1">
      <c r="B120" s="115"/>
      <c r="C120" s="109" t="s">
        <v>1</v>
      </c>
      <c r="D120" s="109" t="s">
        <v>2</v>
      </c>
      <c r="E120" s="109" t="s">
        <v>3</v>
      </c>
      <c r="F120" s="109" t="s">
        <v>4</v>
      </c>
      <c r="G120" s="109" t="s">
        <v>5</v>
      </c>
      <c r="H120" s="109" t="s">
        <v>6</v>
      </c>
      <c r="I120" s="109" t="s">
        <v>7</v>
      </c>
      <c r="J120" s="109" t="s">
        <v>8</v>
      </c>
    </row>
    <row r="121" spans="2:10" ht="15" hidden="1" customHeight="1">
      <c r="B121" s="114">
        <v>2019</v>
      </c>
      <c r="C121" s="116" t="s">
        <v>97</v>
      </c>
      <c r="D121" s="112">
        <f>VLOOKUP($E$3,'Housing Generation'!$A$3:$BE$90,11,FALSE)</f>
        <v>1</v>
      </c>
      <c r="E121" s="112">
        <f>VLOOKUP($E$3,'Housing Generation'!$A$3:$BE$90,12,FALSE)</f>
        <v>1</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2</v>
      </c>
    </row>
    <row r="122" spans="2:10" ht="15" hidden="1" customHeight="1">
      <c r="B122" s="114">
        <v>2020</v>
      </c>
      <c r="C122" s="116" t="s">
        <v>97</v>
      </c>
      <c r="D122" s="112">
        <f>VLOOKUP($E$3,'Housing Generation'!$A$3:$BE$90,19,FALSE)</f>
        <v>1</v>
      </c>
      <c r="E122" s="112">
        <f>VLOOKUP($E$3,'Housing Generation'!$A$3:$BE$90,20,FALSE)</f>
        <v>1</v>
      </c>
      <c r="F122" s="112">
        <f>VLOOKUP($E$3,'Housing Generation'!$A$3:$BE$90,21,FALSE)</f>
        <v>1</v>
      </c>
      <c r="G122" s="112">
        <f>VLOOKUP($E$3,'Housing Generation'!$A$3:$BE$90,22,FALSE)</f>
        <v>1</v>
      </c>
      <c r="H122" s="112">
        <f>VLOOKUP($E$3,'Housing Generation'!$A$3:$BE$90,23,FALSE)</f>
        <v>0</v>
      </c>
      <c r="I122" s="112">
        <f>VLOOKUP($E$3,'Housing Generation'!$A$3:$BE$90,24,FALSE)</f>
        <v>0</v>
      </c>
      <c r="J122" s="111">
        <f t="shared" si="21"/>
        <v>4</v>
      </c>
    </row>
    <row r="123" spans="2:10" ht="15" hidden="1" customHeight="1">
      <c r="B123" s="114">
        <v>2021</v>
      </c>
      <c r="C123" s="116" t="s">
        <v>97</v>
      </c>
      <c r="D123" s="112">
        <f>VLOOKUP($E$3,'Housing Generation'!$A$3:$BE$90,27,FALSE)</f>
        <v>2</v>
      </c>
      <c r="E123" s="112">
        <f>VLOOKUP($E$3,'Housing Generation'!$A$3:$BE$90,28,FALSE)</f>
        <v>1</v>
      </c>
      <c r="F123" s="112">
        <f>VLOOKUP($E$3,'Housing Generation'!$A$3:$BE$90,29,FALSE)</f>
        <v>1</v>
      </c>
      <c r="G123" s="112">
        <f>VLOOKUP($E$3,'Housing Generation'!$A$3:$BE$90,30,FALSE)</f>
        <v>1</v>
      </c>
      <c r="H123" s="112">
        <f>VLOOKUP($E$3,'Housing Generation'!$A$3:$BE$90,31,FALSE)</f>
        <v>1</v>
      </c>
      <c r="I123" s="112">
        <f>VLOOKUP($E$3,'Housing Generation'!$A$3:$BE$90,32,FALSE)</f>
        <v>1</v>
      </c>
      <c r="J123" s="111">
        <f t="shared" si="21"/>
        <v>7</v>
      </c>
    </row>
    <row r="124" spans="2:10" ht="15" hidden="1" customHeight="1">
      <c r="B124" s="114">
        <v>2022</v>
      </c>
      <c r="C124" s="116" t="s">
        <v>97</v>
      </c>
      <c r="D124" s="112">
        <f>VLOOKUP($E$3,'Housing Generation'!$A$3:$BE$90,35,FALSE)</f>
        <v>2</v>
      </c>
      <c r="E124" s="112">
        <f>VLOOKUP($E$3,'Housing Generation'!$A$3:$BE$90,36,FALSE)</f>
        <v>2</v>
      </c>
      <c r="F124" s="112">
        <f>VLOOKUP($E$3,'Housing Generation'!$A$3:$BE$90,37,FALSE)</f>
        <v>2</v>
      </c>
      <c r="G124" s="112">
        <f>VLOOKUP($E$3,'Housing Generation'!$A$3:$BE$90,38,FALSE)</f>
        <v>1</v>
      </c>
      <c r="H124" s="112">
        <f>VLOOKUP($E$3,'Housing Generation'!$A$3:$BE$90,39,FALSE)</f>
        <v>1</v>
      </c>
      <c r="I124" s="112">
        <f>VLOOKUP($E$3,'Housing Generation'!$A$3:$BE$90,40,FALSE)</f>
        <v>1</v>
      </c>
      <c r="J124" s="111">
        <f t="shared" si="21"/>
        <v>9</v>
      </c>
    </row>
    <row r="125" spans="2:10" ht="15" hidden="1" customHeight="1">
      <c r="B125" s="114">
        <v>2023</v>
      </c>
      <c r="C125" s="116" t="s">
        <v>97</v>
      </c>
      <c r="D125" s="112">
        <f>VLOOKUP($E$3,'Housing Generation'!$A$3:$BE$90,43,FALSE)</f>
        <v>2</v>
      </c>
      <c r="E125" s="112">
        <f>VLOOKUP($E$3,'Housing Generation'!$A$3:$BE$90,44,FALSE)</f>
        <v>2</v>
      </c>
      <c r="F125" s="112">
        <f>VLOOKUP($E$3,'Housing Generation'!$A$3:$BE$90,45,FALSE)</f>
        <v>2</v>
      </c>
      <c r="G125" s="112">
        <f>VLOOKUP($E$3,'Housing Generation'!$A$3:$BE$90,46,FALSE)</f>
        <v>2</v>
      </c>
      <c r="H125" s="112">
        <f>VLOOKUP($E$3,'Housing Generation'!$A$3:$BE$90,47,FALSE)</f>
        <v>1</v>
      </c>
      <c r="I125" s="112">
        <f>VLOOKUP($E$3,'Housing Generation'!$A$3:$BE$90,48,FALSE)</f>
        <v>1</v>
      </c>
      <c r="J125" s="111">
        <f t="shared" si="21"/>
        <v>10</v>
      </c>
    </row>
    <row r="126" spans="2:10" ht="15" hidden="1" customHeight="1">
      <c r="B126" s="114">
        <v>2024</v>
      </c>
      <c r="C126" s="116" t="s">
        <v>97</v>
      </c>
      <c r="D126" s="112">
        <f>VLOOKUP($E$3,'Housing Generation'!$A$3:$BE$90,51,FALSE)</f>
        <v>2</v>
      </c>
      <c r="E126" s="112">
        <f>VLOOKUP($E$3,'Housing Generation'!$A$3:$BE$90,52,FALSE)</f>
        <v>2</v>
      </c>
      <c r="F126" s="112">
        <f>VLOOKUP($E$3,'Housing Generation'!$A$3:$BE$90,53,FALSE)</f>
        <v>2</v>
      </c>
      <c r="G126" s="112">
        <f>VLOOKUP($E$3,'Housing Generation'!$A$3:$BE$90,54,FALSE)</f>
        <v>2</v>
      </c>
      <c r="H126" s="112">
        <f>VLOOKUP($E$3,'Housing Generation'!$A$3:$BE$90,55,FALSE)</f>
        <v>2</v>
      </c>
      <c r="I126" s="112">
        <f>VLOOKUP($E$3,'Housing Generation'!$A$3:$BE$90,56,FALSE)</f>
        <v>2</v>
      </c>
      <c r="J126" s="111">
        <f t="shared" si="21"/>
        <v>12</v>
      </c>
    </row>
    <row r="127" spans="2:10" ht="15" hidden="1" customHeight="1">
      <c r="B127" s="114">
        <v>2025</v>
      </c>
      <c r="C127" s="240" t="s">
        <v>97</v>
      </c>
      <c r="D127" s="112">
        <f>VLOOKUP($E$3,'Housing Generation'!$A$3:$CK$90,59,FALSE)</f>
        <v>2</v>
      </c>
      <c r="E127" s="112">
        <f>VLOOKUP($E$3,'Housing Generation'!$A$3:$CK$90,60,FALSE)</f>
        <v>2</v>
      </c>
      <c r="F127" s="112">
        <f>VLOOKUP($E$3,'Housing Generation'!$A$3:$CK$90,61,FALSE)</f>
        <v>2</v>
      </c>
      <c r="G127" s="112">
        <f>VLOOKUP($E$3,'Housing Generation'!$A$3:$CK$90,62,FALSE)</f>
        <v>2</v>
      </c>
      <c r="H127" s="112">
        <f>VLOOKUP($E$3,'Housing Generation'!$A$3:$CK$90,63,FALSE)</f>
        <v>2</v>
      </c>
      <c r="I127" s="112">
        <f>VLOOKUP($E$3,'Housing Generation'!$A$3:$CK$90,64,FALSE)</f>
        <v>2</v>
      </c>
      <c r="J127" s="111">
        <f t="shared" si="21"/>
        <v>12</v>
      </c>
    </row>
    <row r="128" spans="2:10" ht="15" hidden="1" customHeight="1">
      <c r="B128" s="114">
        <v>2026</v>
      </c>
      <c r="C128" s="240" t="s">
        <v>97</v>
      </c>
      <c r="D128" s="112">
        <f>VLOOKUP($E$3,'Housing Generation'!$A$3:$CK$90,67,FALSE)</f>
        <v>2</v>
      </c>
      <c r="E128" s="112">
        <f>VLOOKUP($E$3,'Housing Generation'!$A$3:$CK$90,68,FALSE)</f>
        <v>2</v>
      </c>
      <c r="F128" s="112">
        <f>VLOOKUP($E$3,'Housing Generation'!$A$3:$CK$90,69,FALSE)</f>
        <v>2</v>
      </c>
      <c r="G128" s="112">
        <f>VLOOKUP($E$3,'Housing Generation'!$A$3:$CK$90,70,FALSE)</f>
        <v>2</v>
      </c>
      <c r="H128" s="112">
        <f>VLOOKUP($E$3,'Housing Generation'!$A$3:$CK$90,71,FALSE)</f>
        <v>2</v>
      </c>
      <c r="I128" s="112">
        <f>VLOOKUP($E$3,'Housing Generation'!$A$3:$CK$90,72,FALSE)</f>
        <v>2</v>
      </c>
      <c r="J128" s="111">
        <f t="shared" si="21"/>
        <v>12</v>
      </c>
    </row>
    <row r="129" spans="2:10" ht="15" hidden="1" customHeight="1">
      <c r="B129" s="114">
        <v>2027</v>
      </c>
      <c r="C129" s="240" t="s">
        <v>97</v>
      </c>
      <c r="D129" s="112">
        <f>VLOOKUP($E$3,'Housing Generation'!$A$3:$CK$90,75,FALSE)</f>
        <v>3</v>
      </c>
      <c r="E129" s="112">
        <f>VLOOKUP($E$3,'Housing Generation'!$A$3:$CK$90,76,FALSE)</f>
        <v>2</v>
      </c>
      <c r="F129" s="112">
        <f>VLOOKUP($E$3,'Housing Generation'!$A$3:$CK$90,77,FALSE)</f>
        <v>2</v>
      </c>
      <c r="G129" s="112">
        <f>VLOOKUP($E$3,'Housing Generation'!$A$3:$CK$90,78,FALSE)</f>
        <v>2</v>
      </c>
      <c r="H129" s="112">
        <f>VLOOKUP($E$3,'Housing Generation'!$A$3:$CK$90,79,FALSE)</f>
        <v>2</v>
      </c>
      <c r="I129" s="112">
        <f>VLOOKUP($E$3,'Housing Generation'!$A$3:$CK$90,80,FALSE)</f>
        <v>2</v>
      </c>
      <c r="J129" s="111">
        <f t="shared" si="21"/>
        <v>13</v>
      </c>
    </row>
    <row r="130" spans="2:10" ht="15" customHeight="1">
      <c r="B130" s="114">
        <v>2028</v>
      </c>
      <c r="C130" s="289" t="s">
        <v>97</v>
      </c>
      <c r="D130" s="112">
        <f>VLOOKUP($E$3,'Housing Generation'!$A$3:$CK$90,83,FALSE)</f>
        <v>3</v>
      </c>
      <c r="E130" s="112">
        <f>VLOOKUP($E$3,'Housing Generation'!$A$3:$CK$90,84,FALSE)</f>
        <v>3</v>
      </c>
      <c r="F130" s="112">
        <f>VLOOKUP($E$3,'Housing Generation'!$A$3:$CK$90,85,FALSE)</f>
        <v>2</v>
      </c>
      <c r="G130" s="112">
        <f>VLOOKUP($E$3,'Housing Generation'!$A$3:$CK$90,86,FALSE)</f>
        <v>2</v>
      </c>
      <c r="H130" s="112">
        <f>VLOOKUP($E$3,'Housing Generation'!$A$3:$CK$90,87,FALSE)</f>
        <v>2</v>
      </c>
      <c r="I130" s="112">
        <f>VLOOKUP($E$3,'Housing Generation'!$A$3:$CK$90,88,FALSE)</f>
        <v>2</v>
      </c>
      <c r="J130" s="111">
        <f t="shared" si="21"/>
        <v>14</v>
      </c>
    </row>
    <row r="131" spans="2:10" ht="15" customHeight="1">
      <c r="B131" s="114">
        <v>2029</v>
      </c>
      <c r="C131" s="289" t="s">
        <v>97</v>
      </c>
      <c r="D131" s="112">
        <f>VLOOKUP($E$3,'Housing Generation'!$A$3:$DQ$90,91,FALSE)</f>
        <v>3</v>
      </c>
      <c r="E131" s="112">
        <f>VLOOKUP($E$3,'Housing Generation'!$A$3:$DQ$90,92,FALSE)</f>
        <v>3</v>
      </c>
      <c r="F131" s="112">
        <f>VLOOKUP($E$3,'Housing Generation'!$A$3:$DQ$90,93,FALSE)</f>
        <v>2</v>
      </c>
      <c r="G131" s="112">
        <f>VLOOKUP($E$3,'Housing Generation'!$A$3:$DQ$90,94,FALSE)</f>
        <v>2</v>
      </c>
      <c r="H131" s="112">
        <f>VLOOKUP($E$3,'Housing Generation'!$A$3:$DQ$90,95,FALSE)</f>
        <v>2</v>
      </c>
      <c r="I131" s="112">
        <f>VLOOKUP($E$3,'Housing Generation'!$A$3:$DQ$90,96,FALSE)</f>
        <v>2</v>
      </c>
      <c r="J131" s="111">
        <f t="shared" si="21"/>
        <v>14</v>
      </c>
    </row>
    <row r="132" spans="2:10" ht="15" customHeight="1">
      <c r="B132" s="114">
        <v>2030</v>
      </c>
      <c r="C132" s="289" t="s">
        <v>97</v>
      </c>
      <c r="D132" s="112">
        <f>VLOOKUP($E$3,'Housing Generation'!$A$3:$DQ$90,99,FALSE)</f>
        <v>3</v>
      </c>
      <c r="E132" s="112">
        <f>VLOOKUP($E$3,'Housing Generation'!$A$3:$DQ$90,100,FALSE)</f>
        <v>3</v>
      </c>
      <c r="F132" s="112">
        <f>VLOOKUP($E$3,'Housing Generation'!$A$3:$DQ$90,101,FALSE)</f>
        <v>2</v>
      </c>
      <c r="G132" s="112">
        <f>VLOOKUP($E$3,'Housing Generation'!$A$3:$DQ$90,102,FALSE)</f>
        <v>2</v>
      </c>
      <c r="H132" s="112">
        <f>VLOOKUP($E$3,'Housing Generation'!$A$3:$DQ$90,103,FALSE)</f>
        <v>2</v>
      </c>
      <c r="I132" s="112">
        <f>VLOOKUP($E$3,'Housing Generation'!$A$3:$DQ$90,104,FALSE)</f>
        <v>2</v>
      </c>
      <c r="J132" s="111">
        <f t="shared" si="21"/>
        <v>14</v>
      </c>
    </row>
    <row r="133" spans="2:10" ht="15" customHeight="1">
      <c r="B133" s="114">
        <v>2031</v>
      </c>
      <c r="C133" s="289" t="s">
        <v>97</v>
      </c>
      <c r="D133" s="112">
        <f>VLOOKUP($E$3,'Housing Generation'!$A$3:$DQ$90,107,FALSE)</f>
        <v>3</v>
      </c>
      <c r="E133" s="112">
        <f>VLOOKUP($E$3,'Housing Generation'!$A$3:$DQ$90,108,FALSE)</f>
        <v>3</v>
      </c>
      <c r="F133" s="112">
        <f>VLOOKUP($E$3,'Housing Generation'!$A$3:$DQ$90,109,FALSE)</f>
        <v>2</v>
      </c>
      <c r="G133" s="112">
        <f>VLOOKUP($E$3,'Housing Generation'!$A$3:$DQ$90,110,FALSE)</f>
        <v>2</v>
      </c>
      <c r="H133" s="112">
        <f>VLOOKUP($E$3,'Housing Generation'!$A$3:$DQ$90,111,FALSE)</f>
        <v>2</v>
      </c>
      <c r="I133" s="112">
        <f>VLOOKUP($E$3,'Housing Generation'!$A$3:$DQ$90,112,FALSE)</f>
        <v>2</v>
      </c>
      <c r="J133" s="111">
        <f t="shared" si="21"/>
        <v>14</v>
      </c>
    </row>
    <row r="134" spans="2:10" ht="15" customHeight="1">
      <c r="B134" s="114">
        <v>2032</v>
      </c>
      <c r="C134" s="289" t="s">
        <v>97</v>
      </c>
      <c r="D134" s="112">
        <f>VLOOKUP($E$3,'Housing Generation'!$A$3:$DQ$90,115,FALSE)</f>
        <v>3</v>
      </c>
      <c r="E134" s="112">
        <f>VLOOKUP($E$3,'Housing Generation'!$A$3:$DQ$90,116,FALSE)</f>
        <v>3</v>
      </c>
      <c r="F134" s="112">
        <f>VLOOKUP($E$3,'Housing Generation'!$A$3:$DQ$90,117,FALSE)</f>
        <v>2</v>
      </c>
      <c r="G134" s="112">
        <f>VLOOKUP($E$3,'Housing Generation'!$A$3:$DQ$90,118,FALSE)</f>
        <v>2</v>
      </c>
      <c r="H134" s="112">
        <f>VLOOKUP($E$3,'Housing Generation'!$A$3:$DQ$90,119,FALSE)</f>
        <v>2</v>
      </c>
      <c r="I134" s="112">
        <f>VLOOKUP($E$3,'Housing Generation'!$A$3:$DQ$90,120,FALSE)</f>
        <v>2</v>
      </c>
      <c r="J134" s="111">
        <f t="shared" si="21"/>
        <v>14</v>
      </c>
    </row>
    <row r="135" spans="2:10" ht="15" hidden="1"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St Mary's RC Primary School (Edin.)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46.266666666666666</v>
      </c>
      <c r="D139" s="112">
        <f t="shared" ref="D139:I152" si="23">D121+D103</f>
        <v>44</v>
      </c>
      <c r="E139" s="112">
        <f t="shared" si="23"/>
        <v>55</v>
      </c>
      <c r="F139" s="112">
        <f t="shared" si="23"/>
        <v>48</v>
      </c>
      <c r="G139" s="112">
        <f t="shared" si="23"/>
        <v>57</v>
      </c>
      <c r="H139" s="112">
        <f t="shared" si="23"/>
        <v>40</v>
      </c>
      <c r="I139" s="112">
        <f t="shared" si="23"/>
        <v>53</v>
      </c>
      <c r="J139" s="111">
        <f t="shared" ref="J139:J147" si="24">SUM(C139:I139)</f>
        <v>343.26666666666665</v>
      </c>
    </row>
    <row r="140" spans="2:10" ht="15" customHeight="1">
      <c r="B140" s="114">
        <v>2020</v>
      </c>
      <c r="C140" s="113">
        <f t="shared" si="22"/>
        <v>43.31666666666667</v>
      </c>
      <c r="D140" s="112">
        <f t="shared" si="23"/>
        <v>47</v>
      </c>
      <c r="E140" s="112">
        <f t="shared" si="23"/>
        <v>43</v>
      </c>
      <c r="F140" s="112">
        <f t="shared" si="23"/>
        <v>54</v>
      </c>
      <c r="G140" s="112">
        <f t="shared" si="23"/>
        <v>49</v>
      </c>
      <c r="H140" s="112">
        <f t="shared" si="23"/>
        <v>54</v>
      </c>
      <c r="I140" s="112">
        <f t="shared" si="23"/>
        <v>40</v>
      </c>
      <c r="J140" s="111">
        <f t="shared" si="24"/>
        <v>330.31666666666666</v>
      </c>
    </row>
    <row r="141" spans="2:10" ht="15" customHeight="1">
      <c r="B141" s="114">
        <v>2021</v>
      </c>
      <c r="C141" s="113">
        <f t="shared" si="22"/>
        <v>46.266666666666666</v>
      </c>
      <c r="D141" s="112">
        <f t="shared" si="23"/>
        <v>44</v>
      </c>
      <c r="E141" s="112">
        <f t="shared" si="23"/>
        <v>46</v>
      </c>
      <c r="F141" s="112">
        <f t="shared" si="23"/>
        <v>42</v>
      </c>
      <c r="G141" s="112">
        <f t="shared" si="23"/>
        <v>54</v>
      </c>
      <c r="H141" s="112">
        <f t="shared" si="23"/>
        <v>46</v>
      </c>
      <c r="I141" s="112">
        <f t="shared" si="23"/>
        <v>55</v>
      </c>
      <c r="J141" s="111">
        <f t="shared" si="24"/>
        <v>333.26666666666665</v>
      </c>
    </row>
    <row r="142" spans="2:10" ht="15" customHeight="1">
      <c r="B142" s="114">
        <v>2022</v>
      </c>
      <c r="C142" s="113">
        <f t="shared" si="22"/>
        <v>42.333333333333336</v>
      </c>
      <c r="D142" s="112">
        <f t="shared" si="23"/>
        <v>47</v>
      </c>
      <c r="E142" s="112">
        <f t="shared" si="23"/>
        <v>43</v>
      </c>
      <c r="F142" s="112">
        <f t="shared" si="23"/>
        <v>46</v>
      </c>
      <c r="G142" s="112">
        <f t="shared" si="23"/>
        <v>42</v>
      </c>
      <c r="H142" s="112">
        <f t="shared" si="23"/>
        <v>51</v>
      </c>
      <c r="I142" s="112">
        <f t="shared" si="23"/>
        <v>46</v>
      </c>
      <c r="J142" s="111">
        <f t="shared" si="24"/>
        <v>317.33333333333337</v>
      </c>
    </row>
    <row r="143" spans="2:10" ht="15" customHeight="1">
      <c r="B143" s="114">
        <v>2023</v>
      </c>
      <c r="C143" s="113">
        <f t="shared" si="22"/>
        <v>44.300000000000004</v>
      </c>
      <c r="D143" s="112">
        <f t="shared" si="23"/>
        <v>43</v>
      </c>
      <c r="E143" s="112">
        <f t="shared" si="23"/>
        <v>46</v>
      </c>
      <c r="F143" s="112">
        <f t="shared" si="23"/>
        <v>42</v>
      </c>
      <c r="G143" s="112">
        <f t="shared" si="23"/>
        <v>46</v>
      </c>
      <c r="H143" s="112">
        <f t="shared" si="23"/>
        <v>40</v>
      </c>
      <c r="I143" s="112">
        <f t="shared" si="23"/>
        <v>51</v>
      </c>
      <c r="J143" s="111">
        <f t="shared" si="24"/>
        <v>312.3</v>
      </c>
    </row>
    <row r="144" spans="2:10" ht="15" customHeight="1">
      <c r="B144" s="114">
        <v>2024</v>
      </c>
      <c r="C144" s="113">
        <f t="shared" si="22"/>
        <v>45.283333333333339</v>
      </c>
      <c r="D144" s="112">
        <f t="shared" si="23"/>
        <v>45</v>
      </c>
      <c r="E144" s="112">
        <f t="shared" si="23"/>
        <v>42</v>
      </c>
      <c r="F144" s="112">
        <f t="shared" si="23"/>
        <v>45</v>
      </c>
      <c r="G144" s="112">
        <f t="shared" si="23"/>
        <v>42</v>
      </c>
      <c r="H144" s="112">
        <f t="shared" si="23"/>
        <v>44</v>
      </c>
      <c r="I144" s="112">
        <f t="shared" si="23"/>
        <v>41</v>
      </c>
      <c r="J144" s="111">
        <f t="shared" si="24"/>
        <v>304.2833333333333</v>
      </c>
    </row>
    <row r="145" spans="2:16" ht="15" customHeight="1">
      <c r="B145" s="114">
        <v>2025</v>
      </c>
      <c r="C145" s="113">
        <f t="shared" si="22"/>
        <v>46.266666666666666</v>
      </c>
      <c r="D145" s="112">
        <f t="shared" si="23"/>
        <v>46</v>
      </c>
      <c r="E145" s="112">
        <f t="shared" si="23"/>
        <v>44</v>
      </c>
      <c r="F145" s="112">
        <f t="shared" si="23"/>
        <v>41</v>
      </c>
      <c r="G145" s="112">
        <f t="shared" si="23"/>
        <v>45</v>
      </c>
      <c r="H145" s="112">
        <f t="shared" si="23"/>
        <v>40</v>
      </c>
      <c r="I145" s="112">
        <f t="shared" si="23"/>
        <v>44</v>
      </c>
      <c r="J145" s="111">
        <f t="shared" si="24"/>
        <v>306.26666666666665</v>
      </c>
    </row>
    <row r="146" spans="2:16" ht="15" customHeight="1">
      <c r="B146" s="114">
        <v>2026</v>
      </c>
      <c r="C146" s="113">
        <f t="shared" si="22"/>
        <v>47.25</v>
      </c>
      <c r="D146" s="112">
        <f t="shared" si="23"/>
        <v>46</v>
      </c>
      <c r="E146" s="112">
        <f t="shared" si="23"/>
        <v>45</v>
      </c>
      <c r="F146" s="112">
        <f t="shared" si="23"/>
        <v>43</v>
      </c>
      <c r="G146" s="112">
        <f t="shared" si="23"/>
        <v>41</v>
      </c>
      <c r="H146" s="112">
        <f t="shared" si="23"/>
        <v>43</v>
      </c>
      <c r="I146" s="112">
        <f t="shared" si="23"/>
        <v>40</v>
      </c>
      <c r="J146" s="111">
        <f t="shared" si="24"/>
        <v>305.25</v>
      </c>
    </row>
    <row r="147" spans="2:16" ht="15" customHeight="1">
      <c r="B147" s="114">
        <v>2027</v>
      </c>
      <c r="C147" s="113">
        <f t="shared" si="22"/>
        <v>47.25</v>
      </c>
      <c r="D147" s="112">
        <f t="shared" si="23"/>
        <v>48</v>
      </c>
      <c r="E147" s="112">
        <f t="shared" si="23"/>
        <v>45</v>
      </c>
      <c r="F147" s="112">
        <f t="shared" si="23"/>
        <v>44</v>
      </c>
      <c r="G147" s="112">
        <f t="shared" si="23"/>
        <v>43</v>
      </c>
      <c r="H147" s="112">
        <f t="shared" si="23"/>
        <v>39</v>
      </c>
      <c r="I147" s="112">
        <f t="shared" si="23"/>
        <v>43</v>
      </c>
      <c r="J147" s="111">
        <f t="shared" si="24"/>
        <v>309.25</v>
      </c>
    </row>
    <row r="148" spans="2:16" ht="15" customHeight="1">
      <c r="B148" s="114">
        <v>2028</v>
      </c>
      <c r="C148" s="113">
        <f t="shared" si="22"/>
        <v>47.25</v>
      </c>
      <c r="D148" s="112">
        <f t="shared" si="23"/>
        <v>48</v>
      </c>
      <c r="E148" s="112">
        <f t="shared" si="23"/>
        <v>47</v>
      </c>
      <c r="F148" s="112">
        <f t="shared" si="23"/>
        <v>44</v>
      </c>
      <c r="G148" s="112">
        <f t="shared" si="23"/>
        <v>44</v>
      </c>
      <c r="H148" s="112">
        <f t="shared" si="23"/>
        <v>41</v>
      </c>
      <c r="I148" s="112">
        <f t="shared" si="23"/>
        <v>39</v>
      </c>
      <c r="J148" s="111">
        <f t="shared" ref="J148:J152" si="25">SUM(C148:I148)</f>
        <v>310.25</v>
      </c>
    </row>
    <row r="149" spans="2:16" ht="15" customHeight="1">
      <c r="B149" s="114">
        <v>2029</v>
      </c>
      <c r="C149" s="113">
        <f t="shared" si="22"/>
        <v>47.25</v>
      </c>
      <c r="D149" s="112">
        <f t="shared" si="23"/>
        <v>48</v>
      </c>
      <c r="E149" s="112">
        <f t="shared" si="23"/>
        <v>47</v>
      </c>
      <c r="F149" s="112">
        <f t="shared" si="23"/>
        <v>45</v>
      </c>
      <c r="G149" s="112">
        <f t="shared" si="23"/>
        <v>44</v>
      </c>
      <c r="H149" s="112">
        <f t="shared" si="23"/>
        <v>42</v>
      </c>
      <c r="I149" s="112">
        <f t="shared" si="23"/>
        <v>41</v>
      </c>
      <c r="J149" s="111">
        <f t="shared" si="25"/>
        <v>314.25</v>
      </c>
    </row>
    <row r="150" spans="2:16" ht="15" customHeight="1">
      <c r="B150" s="114">
        <v>2030</v>
      </c>
      <c r="C150" s="113">
        <f t="shared" si="22"/>
        <v>48.233333333333334</v>
      </c>
      <c r="D150" s="112">
        <f t="shared" si="23"/>
        <v>48</v>
      </c>
      <c r="E150" s="112">
        <f t="shared" si="23"/>
        <v>47</v>
      </c>
      <c r="F150" s="112">
        <f t="shared" si="23"/>
        <v>45</v>
      </c>
      <c r="G150" s="112">
        <f t="shared" si="23"/>
        <v>45</v>
      </c>
      <c r="H150" s="112">
        <f t="shared" si="23"/>
        <v>42</v>
      </c>
      <c r="I150" s="112">
        <f t="shared" si="23"/>
        <v>42</v>
      </c>
      <c r="J150" s="111">
        <f t="shared" si="25"/>
        <v>317.23333333333335</v>
      </c>
    </row>
    <row r="151" spans="2:16" ht="15" customHeight="1">
      <c r="B151" s="114">
        <v>2031</v>
      </c>
      <c r="C151" s="113">
        <f t="shared" si="22"/>
        <v>48.233333333333334</v>
      </c>
      <c r="D151" s="112">
        <f t="shared" si="23"/>
        <v>49</v>
      </c>
      <c r="E151" s="112">
        <f t="shared" si="23"/>
        <v>47</v>
      </c>
      <c r="F151" s="112">
        <f t="shared" si="23"/>
        <v>45</v>
      </c>
      <c r="G151" s="112">
        <f t="shared" si="23"/>
        <v>45</v>
      </c>
      <c r="H151" s="112">
        <f t="shared" si="23"/>
        <v>43</v>
      </c>
      <c r="I151" s="112">
        <f t="shared" si="23"/>
        <v>42</v>
      </c>
      <c r="J151" s="111">
        <f t="shared" si="25"/>
        <v>319.23333333333335</v>
      </c>
    </row>
    <row r="152" spans="2:16" ht="15" customHeight="1">
      <c r="B152" s="114">
        <v>2032</v>
      </c>
      <c r="C152" s="113">
        <f t="shared" si="22"/>
        <v>48.233333333333334</v>
      </c>
      <c r="D152" s="112">
        <f t="shared" si="23"/>
        <v>49</v>
      </c>
      <c r="E152" s="112">
        <f t="shared" si="23"/>
        <v>48</v>
      </c>
      <c r="F152" s="112">
        <f t="shared" si="23"/>
        <v>45</v>
      </c>
      <c r="G152" s="112">
        <f t="shared" si="23"/>
        <v>45</v>
      </c>
      <c r="H152" s="112">
        <f t="shared" si="23"/>
        <v>43</v>
      </c>
      <c r="I152" s="112">
        <f t="shared" si="23"/>
        <v>43</v>
      </c>
      <c r="J152" s="111">
        <f t="shared" si="25"/>
        <v>321.23333333333335</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343.26666666666665</v>
      </c>
      <c r="D159" s="108">
        <f>J140</f>
        <v>330.31666666666666</v>
      </c>
      <c r="E159" s="108">
        <f>J141</f>
        <v>333.26666666666665</v>
      </c>
      <c r="F159" s="108">
        <f>J142</f>
        <v>317.33333333333337</v>
      </c>
      <c r="G159" s="108">
        <f>J143</f>
        <v>312.3</v>
      </c>
      <c r="H159" s="108">
        <f>J144</f>
        <v>304.2833333333333</v>
      </c>
      <c r="I159" s="108">
        <f>J145</f>
        <v>306.26666666666665</v>
      </c>
      <c r="J159" s="108">
        <f>J146</f>
        <v>305.25</v>
      </c>
      <c r="K159" s="108">
        <f>J147</f>
        <v>309.25</v>
      </c>
      <c r="L159" s="108">
        <f>J148</f>
        <v>310.25</v>
      </c>
      <c r="M159" s="108">
        <f>J149</f>
        <v>314.25</v>
      </c>
      <c r="N159" s="108">
        <f>J150</f>
        <v>317.23333333333335</v>
      </c>
      <c r="O159" s="108">
        <f>J151</f>
        <v>319.23333333333335</v>
      </c>
      <c r="P159" s="108">
        <f>J152</f>
        <v>321.23333333333335</v>
      </c>
    </row>
    <row r="160" spans="2:16" ht="15" customHeight="1">
      <c r="B160" s="107" t="s">
        <v>152</v>
      </c>
      <c r="C160" s="106">
        <f>VLOOKUP(C159,Capacity!$A$1:$C$645,2,TRUE)</f>
        <v>14</v>
      </c>
      <c r="D160" s="106">
        <f>VLOOKUP(D159,Capacity!$A$1:$C$645,2,TRUE)</f>
        <v>14</v>
      </c>
      <c r="E160" s="106">
        <f>VLOOKUP(E159,Capacity!$A$1:$C$645,2,TRUE)</f>
        <v>14</v>
      </c>
      <c r="F160" s="106">
        <f>VLOOKUP(F159,Capacity!$A$1:$C$645,2,TRUE)</f>
        <v>13</v>
      </c>
      <c r="G160" s="106">
        <f>VLOOKUP(G159,Capacity!$A$1:$C$645,2,TRUE)</f>
        <v>12</v>
      </c>
      <c r="H160" s="106">
        <f>VLOOKUP(H159,Capacity!$A$1:$C$645,2,TRUE)</f>
        <v>12</v>
      </c>
      <c r="I160" s="106">
        <f>VLOOKUP(I159,Capacity!$A$1:$C$645,2,TRUE)</f>
        <v>12</v>
      </c>
      <c r="J160" s="106">
        <f>VLOOKUP(J159,Capacity!$A$1:$C$645,2,TRUE)</f>
        <v>12</v>
      </c>
      <c r="K160" s="106">
        <f>VLOOKUP(K159,Capacity!$A$1:$C$645,2,TRUE)</f>
        <v>12</v>
      </c>
      <c r="L160" s="106">
        <f>VLOOKUP(L159,Capacity!$A$1:$C$645,2,TRUE)</f>
        <v>12</v>
      </c>
      <c r="M160" s="106">
        <f>VLOOKUP(M159,Capacity!$A$1:$C$645,2,TRUE)</f>
        <v>12</v>
      </c>
      <c r="N160" s="106">
        <f>VLOOKUP(N159,Capacity!$A$1:$C$645,2,TRUE)</f>
        <v>13</v>
      </c>
      <c r="O160" s="106">
        <f>VLOOKUP(O159,Capacity!$A$1:$C$645,2,TRUE)</f>
        <v>13</v>
      </c>
      <c r="P160" s="106">
        <f>VLOOKUP(P159,Capacity!$A$1:$C$645,2,TRUE)</f>
        <v>13</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488</v>
      </c>
      <c r="D169" s="97">
        <f>VLOOKUP($E$3,'Catchment Births'!$A$1:$U$90,11,FALSE)</f>
        <v>489</v>
      </c>
      <c r="E169" s="97">
        <f>VLOOKUP($E$3,'Catchment Births'!$A$1:$U$90,12,FALSE)</f>
        <v>513</v>
      </c>
      <c r="F169" s="97">
        <f>VLOOKUP($E$3,'Catchment Births'!$A$1:$U$90,13,FALSE)</f>
        <v>522</v>
      </c>
      <c r="G169" s="97">
        <f>VLOOKUP($E$3,'Catchment Births'!$A$1:$U$90,14,FALSE)</f>
        <v>533</v>
      </c>
      <c r="H169" s="97">
        <f>VLOOKUP($E$3,'Catchment Births'!$A$1:$U$90,15,FALSE)</f>
        <v>602</v>
      </c>
      <c r="I169" s="97">
        <f>VLOOKUP($E$3,'Catchment Births'!$A$1:$U$90,16,FALSE)</f>
        <v>623</v>
      </c>
      <c r="J169" s="97">
        <f>VLOOKUP($E$3,'Catchment Births'!$A$1:$U$90,17,FALSE)</f>
        <v>588</v>
      </c>
      <c r="K169" s="97">
        <f>VLOOKUP($E$3,'Catchment Births'!$A$1:$U$90,18,FALSE)</f>
        <v>573</v>
      </c>
      <c r="L169" s="97">
        <f>VLOOKUP($E$3,'Catchment Births'!$A$1:$U$90,19,FALSE)</f>
        <v>605</v>
      </c>
      <c r="M169" s="97">
        <f>VLOOKUP($E$3,'Catchment Births'!$A$1:$U$90,20,FALSE)</f>
        <v>549</v>
      </c>
      <c r="N169" s="97">
        <f>VLOOKUP($E$3,'Catchment Births'!$A$1:$U$90,21,FALSE)</f>
        <v>515</v>
      </c>
    </row>
    <row r="170" spans="2:14" ht="58.5" customHeight="1">
      <c r="B170" s="103" t="str">
        <f>"P1 "&amp;A35&amp;" Catchment Population (Actual)"</f>
        <v>P1 RC Catchment Population (Actual)</v>
      </c>
      <c r="C170" s="102" t="e">
        <v>#REF!</v>
      </c>
      <c r="D170" s="102">
        <v>51</v>
      </c>
      <c r="E170" s="102">
        <v>49</v>
      </c>
      <c r="F170" s="102">
        <v>52</v>
      </c>
      <c r="G170" s="102">
        <v>48</v>
      </c>
      <c r="H170" s="102">
        <v>46</v>
      </c>
      <c r="I170" s="102">
        <v>53</v>
      </c>
      <c r="J170" s="308">
        <f>VLOOKUP(E3,'Catchment Projections'!A1:BU92,42,FALSE)</f>
        <v>45</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180</v>
      </c>
      <c r="C172" s="99"/>
      <c r="D172" s="98"/>
      <c r="E172" s="98"/>
      <c r="F172" s="98"/>
      <c r="G172" s="97"/>
      <c r="H172" s="96"/>
      <c r="I172" s="96">
        <f>I170</f>
        <v>53</v>
      </c>
      <c r="J172" s="96" t="e">
        <f>#REF!</f>
        <v>#REF!</v>
      </c>
      <c r="K172" s="96">
        <f>D51</f>
        <v>44</v>
      </c>
      <c r="L172" s="96">
        <f>E51</f>
        <v>41</v>
      </c>
      <c r="M172" s="96">
        <f>F51</f>
        <v>44</v>
      </c>
      <c r="N172" s="96">
        <f>G51</f>
        <v>40</v>
      </c>
    </row>
    <row r="173" spans="2:14" ht="12.75">
      <c r="B173" s="62"/>
      <c r="C173" s="62"/>
      <c r="D173" s="62"/>
      <c r="E173" s="62"/>
      <c r="F173" s="62"/>
      <c r="G173" s="62"/>
      <c r="H173" s="62"/>
      <c r="I173" s="62"/>
      <c r="J173" s="62"/>
      <c r="K173" s="62"/>
    </row>
    <row r="174" spans="2:14" ht="15" customHeight="1">
      <c r="B174" s="64" t="str">
        <f>"Table 5: "&amp;E3&amp;" Roll by Stage, 2002-2018"</f>
        <v>Table 5: St Mary's RC Primary School (Edin.)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43</v>
      </c>
      <c r="D177" s="93">
        <v>30</v>
      </c>
      <c r="E177" s="93">
        <v>49</v>
      </c>
      <c r="F177" s="93">
        <v>41</v>
      </c>
      <c r="G177" s="93">
        <v>40</v>
      </c>
      <c r="H177" s="93">
        <v>43</v>
      </c>
      <c r="I177" s="93">
        <v>34</v>
      </c>
      <c r="J177" s="92">
        <v>280</v>
      </c>
      <c r="K177" s="62"/>
    </row>
    <row r="178" spans="2:11" ht="15" customHeight="1">
      <c r="B178" s="94">
        <v>2003</v>
      </c>
      <c r="C178" s="93">
        <v>50</v>
      </c>
      <c r="D178" s="93">
        <v>45</v>
      </c>
      <c r="E178" s="93">
        <v>26</v>
      </c>
      <c r="F178" s="93">
        <v>42</v>
      </c>
      <c r="G178" s="93">
        <v>41</v>
      </c>
      <c r="H178" s="93">
        <v>38</v>
      </c>
      <c r="I178" s="93">
        <v>39</v>
      </c>
      <c r="J178" s="92">
        <v>281</v>
      </c>
      <c r="K178" s="62"/>
    </row>
    <row r="179" spans="2:11" customFormat="1" ht="15" customHeight="1">
      <c r="B179" s="94">
        <v>2004</v>
      </c>
      <c r="C179" s="95">
        <v>45</v>
      </c>
      <c r="D179" s="95">
        <v>51</v>
      </c>
      <c r="E179" s="95">
        <v>48</v>
      </c>
      <c r="F179" s="95">
        <v>30</v>
      </c>
      <c r="G179" s="95">
        <v>44</v>
      </c>
      <c r="H179" s="95">
        <v>39</v>
      </c>
      <c r="I179" s="95">
        <v>40</v>
      </c>
      <c r="J179" s="92">
        <v>297</v>
      </c>
      <c r="K179" s="62"/>
    </row>
    <row r="180" spans="2:11" customFormat="1" ht="15" customHeight="1">
      <c r="B180" s="94">
        <v>2005</v>
      </c>
      <c r="C180" s="93">
        <v>51</v>
      </c>
      <c r="D180" s="93">
        <v>49</v>
      </c>
      <c r="E180" s="93">
        <v>49</v>
      </c>
      <c r="F180" s="93">
        <v>42</v>
      </c>
      <c r="G180" s="93">
        <v>33</v>
      </c>
      <c r="H180" s="93">
        <v>41</v>
      </c>
      <c r="I180" s="93">
        <v>38</v>
      </c>
      <c r="J180" s="92">
        <v>303</v>
      </c>
      <c r="K180" s="62"/>
    </row>
    <row r="181" spans="2:11" customFormat="1" ht="15" customHeight="1">
      <c r="B181" s="94">
        <v>2006</v>
      </c>
      <c r="C181" s="93">
        <v>47</v>
      </c>
      <c r="D181" s="93">
        <v>46</v>
      </c>
      <c r="E181" s="93">
        <v>48</v>
      </c>
      <c r="F181" s="93">
        <v>43</v>
      </c>
      <c r="G181" s="93">
        <v>39</v>
      </c>
      <c r="H181" s="93">
        <v>32</v>
      </c>
      <c r="I181" s="93">
        <v>35</v>
      </c>
      <c r="J181" s="92">
        <v>290</v>
      </c>
      <c r="K181" s="62"/>
    </row>
    <row r="182" spans="2:11" customFormat="1" ht="15" customHeight="1">
      <c r="B182" s="94">
        <v>2007</v>
      </c>
      <c r="C182" s="93">
        <v>55</v>
      </c>
      <c r="D182" s="93">
        <v>49</v>
      </c>
      <c r="E182" s="93">
        <v>43</v>
      </c>
      <c r="F182" s="93">
        <v>48</v>
      </c>
      <c r="G182" s="93">
        <v>41</v>
      </c>
      <c r="H182" s="93">
        <v>34</v>
      </c>
      <c r="I182" s="93">
        <v>32</v>
      </c>
      <c r="J182" s="92">
        <v>302</v>
      </c>
      <c r="K182" s="62"/>
    </row>
    <row r="183" spans="2:11" customFormat="1" ht="15" customHeight="1">
      <c r="B183" s="94">
        <v>2008</v>
      </c>
      <c r="C183" s="93">
        <v>59</v>
      </c>
      <c r="D183" s="93">
        <v>59</v>
      </c>
      <c r="E183" s="93">
        <v>54</v>
      </c>
      <c r="F183" s="93">
        <v>36</v>
      </c>
      <c r="G183" s="93">
        <v>48</v>
      </c>
      <c r="H183" s="93">
        <v>35</v>
      </c>
      <c r="I183" s="93">
        <v>31</v>
      </c>
      <c r="J183" s="92">
        <v>322</v>
      </c>
      <c r="K183" s="62"/>
    </row>
    <row r="184" spans="2:11" customFormat="1" ht="15" customHeight="1">
      <c r="B184" s="94">
        <v>2009</v>
      </c>
      <c r="C184" s="93">
        <v>60</v>
      </c>
      <c r="D184" s="93">
        <v>56</v>
      </c>
      <c r="E184" s="93">
        <v>54</v>
      </c>
      <c r="F184" s="93">
        <v>54</v>
      </c>
      <c r="G184" s="93">
        <v>32</v>
      </c>
      <c r="H184" s="93">
        <v>44</v>
      </c>
      <c r="I184" s="93">
        <v>36</v>
      </c>
      <c r="J184" s="94">
        <v>336</v>
      </c>
      <c r="K184" s="62"/>
    </row>
    <row r="185" spans="2:11" customFormat="1" ht="15" customHeight="1">
      <c r="B185" s="94">
        <v>2010</v>
      </c>
      <c r="C185" s="93">
        <v>60</v>
      </c>
      <c r="D185" s="93">
        <v>54</v>
      </c>
      <c r="E185" s="93">
        <v>53</v>
      </c>
      <c r="F185" s="93">
        <v>50</v>
      </c>
      <c r="G185" s="93">
        <v>53</v>
      </c>
      <c r="H185" s="93">
        <v>32</v>
      </c>
      <c r="I185" s="93">
        <v>38</v>
      </c>
      <c r="J185" s="92">
        <v>340</v>
      </c>
      <c r="K185" s="62"/>
    </row>
    <row r="186" spans="2:11" customFormat="1" ht="15" customHeight="1">
      <c r="B186" s="94">
        <v>2011</v>
      </c>
      <c r="C186" s="93">
        <v>60</v>
      </c>
      <c r="D186" s="93">
        <v>55</v>
      </c>
      <c r="E186" s="93">
        <v>60</v>
      </c>
      <c r="F186" s="93">
        <v>53</v>
      </c>
      <c r="G186" s="93">
        <v>44</v>
      </c>
      <c r="H186" s="93">
        <v>51</v>
      </c>
      <c r="I186" s="93">
        <v>40</v>
      </c>
      <c r="J186" s="92">
        <v>363</v>
      </c>
      <c r="K186" s="62"/>
    </row>
    <row r="187" spans="2:11" customFormat="1" ht="15" customHeight="1">
      <c r="B187" s="94">
        <v>2012</v>
      </c>
      <c r="C187" s="93">
        <v>60</v>
      </c>
      <c r="D187" s="93">
        <v>60</v>
      </c>
      <c r="E187" s="93">
        <v>56</v>
      </c>
      <c r="F187" s="93">
        <v>53</v>
      </c>
      <c r="G187" s="93">
        <v>51</v>
      </c>
      <c r="H187" s="93">
        <v>37</v>
      </c>
      <c r="I187" s="93">
        <v>49</v>
      </c>
      <c r="J187" s="92">
        <v>366</v>
      </c>
      <c r="K187" s="62"/>
    </row>
    <row r="188" spans="2:11" customFormat="1" ht="15" customHeight="1">
      <c r="B188" s="94">
        <v>2013</v>
      </c>
      <c r="C188" s="93">
        <v>49</v>
      </c>
      <c r="D188" s="93">
        <v>57</v>
      </c>
      <c r="E188" s="93">
        <v>59</v>
      </c>
      <c r="F188" s="93">
        <v>54</v>
      </c>
      <c r="G188" s="93">
        <v>50</v>
      </c>
      <c r="H188" s="93">
        <v>55</v>
      </c>
      <c r="I188" s="93">
        <v>36</v>
      </c>
      <c r="J188" s="94">
        <v>360</v>
      </c>
      <c r="K188" s="62"/>
    </row>
    <row r="189" spans="2:11" customFormat="1" ht="15" customHeight="1">
      <c r="B189" s="94">
        <v>2014</v>
      </c>
      <c r="C189" s="93">
        <v>50</v>
      </c>
      <c r="D189" s="93">
        <v>53</v>
      </c>
      <c r="E189" s="93">
        <v>56</v>
      </c>
      <c r="F189" s="93">
        <v>56</v>
      </c>
      <c r="G189" s="93">
        <v>55</v>
      </c>
      <c r="H189" s="93">
        <v>50</v>
      </c>
      <c r="I189" s="93">
        <v>55</v>
      </c>
      <c r="J189" s="92">
        <v>375</v>
      </c>
      <c r="K189" s="65"/>
    </row>
    <row r="190" spans="2:11" customFormat="1" ht="15" customHeight="1">
      <c r="B190" s="94">
        <v>2015</v>
      </c>
      <c r="C190" s="93">
        <v>55</v>
      </c>
      <c r="D190" s="93">
        <v>49</v>
      </c>
      <c r="E190" s="93">
        <v>60</v>
      </c>
      <c r="F190" s="93">
        <v>55</v>
      </c>
      <c r="G190" s="93">
        <v>60</v>
      </c>
      <c r="H190" s="93">
        <v>48</v>
      </c>
      <c r="I190" s="93">
        <v>47</v>
      </c>
      <c r="J190" s="92">
        <v>374</v>
      </c>
      <c r="K190" s="65"/>
    </row>
    <row r="191" spans="2:11" customFormat="1" ht="15" customHeight="1">
      <c r="B191" s="94">
        <v>2016</v>
      </c>
      <c r="C191" s="93">
        <v>48</v>
      </c>
      <c r="D191" s="93">
        <v>60</v>
      </c>
      <c r="E191" s="93">
        <v>47</v>
      </c>
      <c r="F191" s="93">
        <v>60</v>
      </c>
      <c r="G191" s="93">
        <v>55</v>
      </c>
      <c r="H191" s="93">
        <v>56</v>
      </c>
      <c r="I191" s="93">
        <v>48</v>
      </c>
      <c r="J191" s="92">
        <v>374</v>
      </c>
      <c r="K191" s="65"/>
    </row>
    <row r="192" spans="2:11" ht="15" customHeight="1">
      <c r="B192" s="94">
        <v>2017</v>
      </c>
      <c r="C192" s="93">
        <f>VLOOKUP($E$3,Rolls!A1:FA90,42,FALSE)</f>
        <v>54</v>
      </c>
      <c r="D192" s="93">
        <f>VLOOKUP($E$3,Rolls!A1:FA90,43,FALSE)</f>
        <v>46</v>
      </c>
      <c r="E192" s="93">
        <f>VLOOKUP($E$3,Rolls!A1:FA90,44,FALSE)</f>
        <v>59</v>
      </c>
      <c r="F192" s="93">
        <f>VLOOKUP($E$3,Rolls!A1:FA90,45,FALSE)</f>
        <v>47</v>
      </c>
      <c r="G192" s="93">
        <f>VLOOKUP($E$3,Rolls!A1:FA90,46,FALSE)</f>
        <v>54</v>
      </c>
      <c r="H192" s="93">
        <f>VLOOKUP($E$3,Rolls!A1:FA90,47,FALSE)</f>
        <v>52</v>
      </c>
      <c r="I192" s="93">
        <f>VLOOKUP($E$3,Rolls!A1:FA90,48,FALSE)</f>
        <v>57</v>
      </c>
      <c r="J192" s="92">
        <f>VLOOKUP($E$3,Rolls!A1:FA90,49,FALSE)</f>
        <v>369</v>
      </c>
      <c r="K192" s="65"/>
    </row>
    <row r="193" spans="2:11" ht="15" customHeight="1">
      <c r="B193" s="94">
        <v>2018</v>
      </c>
      <c r="C193" s="93">
        <f>VLOOKUP($E$3,Rolls!A1:FA90,50,FALSE)</f>
        <v>42</v>
      </c>
      <c r="D193" s="93">
        <f>VLOOKUP($E$3,Rolls!A1:FA90,51,FALSE)</f>
        <v>55</v>
      </c>
      <c r="E193" s="93">
        <f>VLOOKUP($E$3,Rolls!A1:FA90,52,FALSE)</f>
        <v>49</v>
      </c>
      <c r="F193" s="93">
        <f>VLOOKUP($E$3,Rolls!A1:FA90,53,FALSE)</f>
        <v>57</v>
      </c>
      <c r="G193" s="93">
        <f>VLOOKUP($E$3,Rolls!A1:FA90,54,FALSE)</f>
        <v>42</v>
      </c>
      <c r="H193" s="93">
        <f>VLOOKUP($E$3,Rolls!A1:FA90,55,FALSE)</f>
        <v>53</v>
      </c>
      <c r="I193" s="93">
        <f>VLOOKUP($E$3,Rolls!A1:FA90,56,FALSE)</f>
        <v>50</v>
      </c>
      <c r="J193" s="92">
        <f>VLOOKUP($E$3,Rolls!A1:FA90,57,FALSE)</f>
        <v>348</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93</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St Mary's RC Primary School (Leith)</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420 Pupils (14 classes)</v>
      </c>
      <c r="G12" s="16"/>
      <c r="H12" s="16"/>
    </row>
    <row r="13" spans="2:10" ht="15" customHeight="1">
      <c r="C13" s="16"/>
      <c r="D13" s="16"/>
      <c r="E13" s="16"/>
      <c r="F13" s="16"/>
      <c r="G13" s="16"/>
      <c r="H13" s="16"/>
    </row>
    <row r="14" spans="2:10" ht="15" customHeight="1">
      <c r="B14" s="15" t="str">
        <f>"Figure 1: "&amp;E3&amp;" Roll, 2002-2015"</f>
        <v>Figure 1: St Mary's RC Primary School (Leith)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2010-2020"</f>
        <v>Figure 2: Actual Catchment Births (from 5yrs prior),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St Mary's RC Primary School (Leith)</v>
      </c>
      <c r="K34" s="16"/>
    </row>
    <row r="35" spans="1:17" ht="15" customHeight="1">
      <c r="A35" s="1" t="str">
        <f>IF(ISNUMBER(SEARCH("RC",A34)),"RC", "ND")</f>
        <v>RC</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RC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50</v>
      </c>
      <c r="E49" s="108">
        <f>VLOOKUP($E$3,'Catchment Projections'!$A$1:$BU$90,46,FALSE)</f>
        <v>42</v>
      </c>
      <c r="F49" s="108">
        <f>VLOOKUP($E$3,'Catchment Projections'!$A$1:$BU$90,47,FALSE)</f>
        <v>43</v>
      </c>
      <c r="G49" s="108">
        <f>VLOOKUP($E$3,'Catchment Projections'!$A$1:$BU$90,48,FALSE)</f>
        <v>44</v>
      </c>
      <c r="H49" s="133">
        <f>VLOOKUP($E$3,'Catchment Projections'!$A$1:$BU$90,49,FALSE)</f>
        <v>44</v>
      </c>
      <c r="I49" s="133">
        <f>VLOOKUP($E$3,'Catchment Projections'!$A$1:$BU$90,50,FALSE)</f>
        <v>45</v>
      </c>
      <c r="J49" s="133">
        <f>VLOOKUP($E$3,'Catchment Projections'!$A$1:$BU$90,51,FALSE)</f>
        <v>45</v>
      </c>
      <c r="K49" s="133">
        <f>VLOOKUP($E$3,'Catchment Projections'!$A$1:$BU$90,52,FALSE)</f>
        <v>45</v>
      </c>
      <c r="L49" s="133">
        <f>VLOOKUP($E$3,'Catchment Projections'!$A$1:$BU$90,53,FALSE)</f>
        <v>46</v>
      </c>
      <c r="M49" s="133">
        <f>VLOOKUP($E$3,'Catchment Projections'!$A$1:$BU$90,54,FALSE)</f>
        <v>46</v>
      </c>
      <c r="N49" s="133">
        <f>VLOOKUP($E$3,'Catchment Projections'!$A$1:$BU$90,55,FALSE)</f>
        <v>46</v>
      </c>
      <c r="O49" s="133">
        <f>VLOOKUP($E$3,'Catchment Projections'!$A$1:$BU$90,56,FALSE)</f>
        <v>46</v>
      </c>
      <c r="P49" s="133">
        <f>VLOOKUP($E$3,'Catchment Projections'!$A$1:$BU$90,57,FALSE)</f>
        <v>46</v>
      </c>
      <c r="Q49" s="133">
        <f>VLOOKUP($E$3,'Catchment Projections'!$A$1:$BU$90,58,FALSE)</f>
        <v>46</v>
      </c>
    </row>
    <row r="50" spans="2:17" ht="15" customHeight="1" thickBot="1">
      <c r="B50" s="410" t="s">
        <v>141</v>
      </c>
      <c r="C50" s="411"/>
      <c r="D50" s="286">
        <f>VLOOKUP(E3,'Housing Generation'!$A$3:$DQ$90,10,FALSE)</f>
        <v>1</v>
      </c>
      <c r="E50" s="286">
        <f>VLOOKUP(E3,'Housing Generation'!$A$3:$DQ$90,18,FALSE)</f>
        <v>1</v>
      </c>
      <c r="F50" s="286">
        <f>VLOOKUP(E3,'Housing Generation'!$A$3:$DQ$90,26,FALSE)</f>
        <v>1</v>
      </c>
      <c r="G50" s="243">
        <f>VLOOKUP(E3,'Housing Generation'!$A$3:$DQ$90,34,FALSE)</f>
        <v>2</v>
      </c>
      <c r="H50" s="133">
        <f>VLOOKUP(E3,'Housing Generation'!$A$3:$DQ$90,42,FALSE)</f>
        <v>2</v>
      </c>
      <c r="I50" s="133">
        <f>VLOOKUP(E3,'Housing Generation'!$A$3:$DQ$90,50,FALSE)</f>
        <v>3</v>
      </c>
      <c r="J50" s="133">
        <f>VLOOKUP(E3,'Housing Generation'!$A$3:$CK$90,58,FALSE)</f>
        <v>4</v>
      </c>
      <c r="K50" s="133">
        <f>VLOOKUP(E3,'Housing Generation'!$A$3:$CK$90,66,FALSE)</f>
        <v>4</v>
      </c>
      <c r="L50" s="133">
        <f>VLOOKUP(E3,'Housing Generation'!$A$3:$DQ$90,74,FALSE)</f>
        <v>5</v>
      </c>
      <c r="M50" s="133">
        <f>VLOOKUP(E3,'Housing Generation'!$A$3:$DQ$90,82,FALSE)</f>
        <v>6</v>
      </c>
      <c r="N50" s="133">
        <f>VLOOKUP(E3,'Housing Generation'!$A$3:$DQ$90,90,FALSE)</f>
        <v>6</v>
      </c>
      <c r="O50" s="133">
        <f>VLOOKUP(E3,'Housing Generation'!$A$3:$DQ$90,98,FALSE)</f>
        <v>7</v>
      </c>
      <c r="P50" s="133">
        <f>VLOOKUP(E3,'Housing Generation'!$A$3:$DQ$90,106,FALSE)</f>
        <v>8</v>
      </c>
      <c r="Q50" s="133">
        <f>VLOOKUP(E3,'Housing Generation'!$A$3:$DQ$90,114,FALSE)</f>
        <v>8</v>
      </c>
    </row>
    <row r="51" spans="2:17" ht="15" customHeight="1" thickTop="1">
      <c r="B51" s="421" t="s">
        <v>130</v>
      </c>
      <c r="C51" s="422"/>
      <c r="D51" s="47">
        <f t="shared" ref="D51:Q51" si="0">SUM(D49:D50)</f>
        <v>51</v>
      </c>
      <c r="E51" s="47">
        <f t="shared" si="0"/>
        <v>43</v>
      </c>
      <c r="F51" s="80">
        <f t="shared" si="0"/>
        <v>44</v>
      </c>
      <c r="G51" s="244">
        <f t="shared" si="0"/>
        <v>46</v>
      </c>
      <c r="H51" s="71">
        <f t="shared" si="0"/>
        <v>46</v>
      </c>
      <c r="I51" s="71">
        <f t="shared" si="0"/>
        <v>48</v>
      </c>
      <c r="J51" s="71">
        <f t="shared" si="0"/>
        <v>49</v>
      </c>
      <c r="K51" s="71">
        <f t="shared" si="0"/>
        <v>49</v>
      </c>
      <c r="L51" s="71">
        <f t="shared" si="0"/>
        <v>51</v>
      </c>
      <c r="M51" s="71">
        <f t="shared" si="0"/>
        <v>52</v>
      </c>
      <c r="N51" s="71">
        <f t="shared" si="0"/>
        <v>52</v>
      </c>
      <c r="O51" s="71">
        <f t="shared" si="0"/>
        <v>53</v>
      </c>
      <c r="P51" s="71">
        <f t="shared" si="0"/>
        <v>54</v>
      </c>
      <c r="Q51" s="71">
        <f t="shared" si="0"/>
        <v>54</v>
      </c>
    </row>
    <row r="52" spans="2:17" ht="15" customHeight="1">
      <c r="C52" s="36"/>
      <c r="D52" s="48"/>
      <c r="E52" s="48"/>
      <c r="F52" s="48"/>
      <c r="G52" s="48"/>
      <c r="H52" s="48"/>
    </row>
    <row r="53" spans="2:17" ht="31.5" customHeight="1">
      <c r="B53" s="423" t="s">
        <v>292</v>
      </c>
      <c r="C53" s="424"/>
      <c r="D53" s="87">
        <v>0</v>
      </c>
      <c r="E53" s="139" t="s">
        <v>181</v>
      </c>
      <c r="F53" s="140">
        <v>37</v>
      </c>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RC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55</v>
      </c>
      <c r="D60" s="358">
        <f>VLOOKUP($E$3,'Catchment Projections'!$A$1:$BZ$90,74,FALSE)</f>
        <v>48</v>
      </c>
      <c r="E60" s="303">
        <f>D60/C60</f>
        <v>0.87272727272727268</v>
      </c>
      <c r="G60" s="132">
        <v>2014</v>
      </c>
      <c r="H60" s="395">
        <f>VLOOKUP($G$60,$B$177:$C$215, 2, FALSE)</f>
        <v>49</v>
      </c>
      <c r="I60" s="120">
        <f>H60-D60</f>
        <v>1</v>
      </c>
      <c r="J60" s="121">
        <f>I60/H60</f>
        <v>2.0408163265306121E-2</v>
      </c>
    </row>
    <row r="61" spans="2:17" ht="15" customHeight="1">
      <c r="B61" s="132">
        <v>2015</v>
      </c>
      <c r="C61" s="359">
        <f>VLOOKUP($E$3,'Catchment Projections'!$A$1:$BZ$90,41,FALSE)</f>
        <v>51</v>
      </c>
      <c r="D61" s="358">
        <f>VLOOKUP($E$3,'Catchment Projections'!$A$1:$BZ$90,75,FALSE)</f>
        <v>49</v>
      </c>
      <c r="E61" s="303">
        <f>D61/C61</f>
        <v>0.96078431372549022</v>
      </c>
      <c r="G61" s="132">
        <v>2015</v>
      </c>
      <c r="H61" s="395">
        <f>VLOOKUP($G$61,$B$177:$C$215, 2, FALSE)</f>
        <v>49</v>
      </c>
      <c r="I61" s="120">
        <f>H61-D61</f>
        <v>0</v>
      </c>
      <c r="J61" s="121">
        <f>I61/H61</f>
        <v>0</v>
      </c>
    </row>
    <row r="62" spans="2:17" ht="15" customHeight="1">
      <c r="B62" s="131">
        <v>2016</v>
      </c>
      <c r="C62" s="359">
        <f>VLOOKUP($E$3,'Catchment Projections'!$A$1:$BZ$90,42,FALSE)</f>
        <v>50</v>
      </c>
      <c r="D62" s="358">
        <f>VLOOKUP($E$3,'Catchment Projections'!$A$1:$BZ$90,76,FALSE)</f>
        <v>48</v>
      </c>
      <c r="E62" s="57">
        <f>D62/C62</f>
        <v>0.96</v>
      </c>
      <c r="G62" s="131">
        <v>2016</v>
      </c>
      <c r="H62" s="395">
        <f>VLOOKUP($G$62,$B$177:$C$215, 2, FALSE)</f>
        <v>50</v>
      </c>
      <c r="I62" s="120">
        <f>H62-D62</f>
        <v>2</v>
      </c>
      <c r="J62" s="121">
        <f>I62/H62</f>
        <v>0.04</v>
      </c>
    </row>
    <row r="63" spans="2:17" ht="15" customHeight="1">
      <c r="B63" s="114">
        <v>2017</v>
      </c>
      <c r="C63" s="359">
        <f>VLOOKUP($E$3,'Catchment Projections'!$A$1:$BZ$90,43,FALSE)</f>
        <v>49</v>
      </c>
      <c r="D63" s="358">
        <f>VLOOKUP($E$3,'Catchment Projections'!$A$1:$BZ$90,77,FALSE)</f>
        <v>47</v>
      </c>
      <c r="E63" s="304">
        <f>D63/C63</f>
        <v>0.95918367346938771</v>
      </c>
      <c r="G63" s="114">
        <v>2017</v>
      </c>
      <c r="H63" s="395">
        <f>VLOOKUP($G$63,$B$177:$C$215, 2, FALSE)</f>
        <v>48</v>
      </c>
      <c r="I63" s="120">
        <f>H63-D63</f>
        <v>1</v>
      </c>
      <c r="J63" s="121">
        <f>I63/H63</f>
        <v>2.0833333333333332E-2</v>
      </c>
    </row>
    <row r="64" spans="2:17" ht="15" customHeight="1">
      <c r="B64" s="114">
        <v>2018</v>
      </c>
      <c r="C64" s="359">
        <f>VLOOKUP($E$3,'Catchment Projections'!$A$1:$BZ$90,44,FALSE)</f>
        <v>43</v>
      </c>
      <c r="D64" s="358">
        <f>VLOOKUP($E$3,'Catchment Projections'!$A$1:$BZ$90,78,FALSE)</f>
        <v>42</v>
      </c>
      <c r="E64" s="305">
        <f>D64/C64</f>
        <v>0.97674418604651159</v>
      </c>
      <c r="G64" s="114">
        <v>2018</v>
      </c>
      <c r="H64" s="395">
        <f>VLOOKUP($G$64,$B$177:$C$215, 2, FALSE)</f>
        <v>45</v>
      </c>
      <c r="I64" s="120">
        <f>H64-D64</f>
        <v>3</v>
      </c>
      <c r="J64" s="121">
        <f>I64/H64</f>
        <v>6.6666666666666666E-2</v>
      </c>
    </row>
    <row r="65" spans="2:10" ht="15" customHeight="1">
      <c r="B65" s="412" t="s">
        <v>136</v>
      </c>
      <c r="C65" s="413"/>
      <c r="D65" s="414"/>
      <c r="E65" s="137">
        <f>IF((AVERAGE(E62:E64))="#DIV/0!","n/a",(AVERAGE(E62:E64)))</f>
        <v>0.96530928650529979</v>
      </c>
      <c r="G65" s="415" t="s">
        <v>137</v>
      </c>
      <c r="H65" s="416"/>
      <c r="I65" s="138">
        <f>MEDIAN(I60:I64)</f>
        <v>1</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179</v>
      </c>
      <c r="D69" s="408"/>
      <c r="E69" s="125" t="s">
        <v>158</v>
      </c>
      <c r="F69" s="126" t="s">
        <v>133</v>
      </c>
      <c r="G69" s="124" t="s">
        <v>183</v>
      </c>
      <c r="H69" s="125" t="s">
        <v>138</v>
      </c>
      <c r="I69" s="124" t="s">
        <v>142</v>
      </c>
      <c r="J69" s="123" t="s">
        <v>139</v>
      </c>
    </row>
    <row r="70" spans="2:10" ht="15" customHeight="1">
      <c r="B70" s="114">
        <v>2019</v>
      </c>
      <c r="C70" s="433">
        <f>D51</f>
        <v>51</v>
      </c>
      <c r="D70" s="408"/>
      <c r="E70" s="122">
        <f>E65</f>
        <v>0.96530928650529979</v>
      </c>
      <c r="F70" s="120">
        <f t="shared" ref="F70:F83" si="1">C70*$E$65</f>
        <v>49.230773611770289</v>
      </c>
      <c r="G70" s="118">
        <f>IF(F70&lt;26,25,IF(F70&gt;135,140,IF(F70&gt;130,135,IF(F70&gt;125,130,IF(F70&gt;120,125,IF(F70&gt;115,120,IF(F70&gt;110,115,IF(F70&gt;105,110,IF(F70&gt;100,105,IF(F70&gt;99,100,IF(F70&gt;90,99,IF(F70&gt;75,90,IF(F70&gt;72,75,IF(F70&gt;66,72,IF(F70&gt;60,66,IF(F70&gt;50,60,IF(F70&gt;30,50,IF(F70&gt;25,30,0))))))))))))))))))</f>
        <v>50</v>
      </c>
      <c r="H70" s="119">
        <f t="shared" ref="H70:H83" si="2">G70-F70</f>
        <v>0.76922638822971123</v>
      </c>
      <c r="I70" s="118" t="str">
        <f>IF(I$65&lt;H70, "NO", "YES")</f>
        <v>YES</v>
      </c>
      <c r="J70" s="117">
        <f t="shared" ref="J70:J83" si="3">IF(I70="YES",G70,(MIN((SUM(F70,$I$65)),G70)))</f>
        <v>50</v>
      </c>
    </row>
    <row r="71" spans="2:10" ht="15" customHeight="1">
      <c r="B71" s="114">
        <v>2020</v>
      </c>
      <c r="C71" s="433">
        <f>E51</f>
        <v>43</v>
      </c>
      <c r="D71" s="408"/>
      <c r="E71" s="121">
        <f>E65</f>
        <v>0.96530928650529979</v>
      </c>
      <c r="F71" s="120">
        <f t="shared" si="1"/>
        <v>41.50829931972789</v>
      </c>
      <c r="G71" s="118">
        <f t="shared" ref="G71:G83" si="4">IF(F71&lt;26,25,IF(F71&gt;135,140,IF(F71&gt;130,135,IF(F71&gt;125,130,IF(F71&gt;120,125,IF(F71&gt;115,120,IF(F71&gt;110,115,IF(F71&gt;105,110,IF(F71&gt;100,105,IF(F71&gt;99,100,IF(F71&gt;90,99,IF(F71&gt;75,90,IF(F71&gt;72,75,IF(F71&gt;66,72,IF(F71&gt;60,66,IF(F71&gt;50,60,IF(F71&gt;30,50,IF(F71&gt;25,30,0))))))))))))))))))</f>
        <v>50</v>
      </c>
      <c r="H71" s="119">
        <f t="shared" si="2"/>
        <v>8.4917006802721104</v>
      </c>
      <c r="I71" s="118" t="str">
        <f t="shared" ref="I71:I83" si="5">IF(I$65&lt;H71, "NO", "YES")</f>
        <v>NO</v>
      </c>
      <c r="J71" s="117">
        <f t="shared" si="3"/>
        <v>42.50829931972789</v>
      </c>
    </row>
    <row r="72" spans="2:10" ht="15" customHeight="1">
      <c r="B72" s="114">
        <v>2021</v>
      </c>
      <c r="C72" s="430">
        <f>F51</f>
        <v>44</v>
      </c>
      <c r="D72" s="431"/>
      <c r="E72" s="121">
        <f>E65</f>
        <v>0.96530928650529979</v>
      </c>
      <c r="F72" s="120">
        <f t="shared" si="1"/>
        <v>42.473608606233192</v>
      </c>
      <c r="G72" s="118">
        <f t="shared" si="4"/>
        <v>50</v>
      </c>
      <c r="H72" s="119">
        <f t="shared" si="2"/>
        <v>7.5263913937668079</v>
      </c>
      <c r="I72" s="118" t="str">
        <f t="shared" si="5"/>
        <v>NO</v>
      </c>
      <c r="J72" s="117">
        <f t="shared" si="3"/>
        <v>43.473608606233192</v>
      </c>
    </row>
    <row r="73" spans="2:10" ht="15" customHeight="1">
      <c r="B73" s="114">
        <v>2022</v>
      </c>
      <c r="C73" s="430">
        <f>G51</f>
        <v>46</v>
      </c>
      <c r="D73" s="431"/>
      <c r="E73" s="121">
        <f>E65</f>
        <v>0.96530928650529979</v>
      </c>
      <c r="F73" s="120">
        <f t="shared" si="1"/>
        <v>44.40422717924379</v>
      </c>
      <c r="G73" s="118">
        <f t="shared" si="4"/>
        <v>50</v>
      </c>
      <c r="H73" s="119">
        <f t="shared" si="2"/>
        <v>5.5957728207562099</v>
      </c>
      <c r="I73" s="118" t="str">
        <f t="shared" si="5"/>
        <v>NO</v>
      </c>
      <c r="J73" s="117">
        <f t="shared" si="3"/>
        <v>45.40422717924379</v>
      </c>
    </row>
    <row r="74" spans="2:10" ht="15" customHeight="1">
      <c r="B74" s="114">
        <v>2023</v>
      </c>
      <c r="C74" s="430">
        <f>H51</f>
        <v>46</v>
      </c>
      <c r="D74" s="431"/>
      <c r="E74" s="121">
        <f>E65</f>
        <v>0.96530928650529979</v>
      </c>
      <c r="F74" s="120">
        <f t="shared" si="1"/>
        <v>44.40422717924379</v>
      </c>
      <c r="G74" s="118">
        <f t="shared" si="4"/>
        <v>50</v>
      </c>
      <c r="H74" s="119">
        <f t="shared" si="2"/>
        <v>5.5957728207562099</v>
      </c>
      <c r="I74" s="118" t="str">
        <f t="shared" si="5"/>
        <v>NO</v>
      </c>
      <c r="J74" s="117">
        <f t="shared" si="3"/>
        <v>45.40422717924379</v>
      </c>
    </row>
    <row r="75" spans="2:10" ht="15" customHeight="1">
      <c r="B75" s="114">
        <v>2024</v>
      </c>
      <c r="C75" s="430">
        <f>I51</f>
        <v>48</v>
      </c>
      <c r="D75" s="431"/>
      <c r="E75" s="121">
        <f>E65</f>
        <v>0.96530928650529979</v>
      </c>
      <c r="F75" s="120">
        <f t="shared" si="1"/>
        <v>46.334845752254388</v>
      </c>
      <c r="G75" s="118">
        <f t="shared" si="4"/>
        <v>50</v>
      </c>
      <c r="H75" s="119">
        <f t="shared" si="2"/>
        <v>3.6651542477456118</v>
      </c>
      <c r="I75" s="118" t="str">
        <f t="shared" si="5"/>
        <v>NO</v>
      </c>
      <c r="J75" s="117">
        <f t="shared" si="3"/>
        <v>47.334845752254388</v>
      </c>
    </row>
    <row r="76" spans="2:10" ht="15" customHeight="1">
      <c r="B76" s="114">
        <v>2025</v>
      </c>
      <c r="C76" s="430">
        <f>J51</f>
        <v>49</v>
      </c>
      <c r="D76" s="431"/>
      <c r="E76" s="121">
        <f>E65</f>
        <v>0.96530928650529979</v>
      </c>
      <c r="F76" s="120">
        <f t="shared" si="1"/>
        <v>47.300155038759691</v>
      </c>
      <c r="G76" s="118">
        <f t="shared" si="4"/>
        <v>50</v>
      </c>
      <c r="H76" s="119">
        <f t="shared" si="2"/>
        <v>2.6998449612403093</v>
      </c>
      <c r="I76" s="118" t="str">
        <f t="shared" si="5"/>
        <v>NO</v>
      </c>
      <c r="J76" s="117">
        <f t="shared" si="3"/>
        <v>48.300155038759691</v>
      </c>
    </row>
    <row r="77" spans="2:10" ht="15" customHeight="1">
      <c r="B77" s="114">
        <v>2026</v>
      </c>
      <c r="C77" s="430">
        <f>K51</f>
        <v>49</v>
      </c>
      <c r="D77" s="431"/>
      <c r="E77" s="121">
        <f>E65</f>
        <v>0.96530928650529979</v>
      </c>
      <c r="F77" s="120">
        <f t="shared" si="1"/>
        <v>47.300155038759691</v>
      </c>
      <c r="G77" s="118">
        <f t="shared" si="4"/>
        <v>50</v>
      </c>
      <c r="H77" s="119">
        <f t="shared" si="2"/>
        <v>2.6998449612403093</v>
      </c>
      <c r="I77" s="118" t="str">
        <f t="shared" si="5"/>
        <v>NO</v>
      </c>
      <c r="J77" s="117">
        <f t="shared" si="3"/>
        <v>48.300155038759691</v>
      </c>
    </row>
    <row r="78" spans="2:10" ht="15" customHeight="1">
      <c r="B78" s="114">
        <v>2027</v>
      </c>
      <c r="C78" s="430">
        <f>L51</f>
        <v>51</v>
      </c>
      <c r="D78" s="431"/>
      <c r="E78" s="121">
        <f>E65</f>
        <v>0.96530928650529979</v>
      </c>
      <c r="F78" s="120">
        <f t="shared" si="1"/>
        <v>49.230773611770289</v>
      </c>
      <c r="G78" s="118">
        <f t="shared" si="4"/>
        <v>50</v>
      </c>
      <c r="H78" s="119">
        <f t="shared" si="2"/>
        <v>0.76922638822971123</v>
      </c>
      <c r="I78" s="118" t="str">
        <f t="shared" si="5"/>
        <v>YES</v>
      </c>
      <c r="J78" s="117">
        <f t="shared" si="3"/>
        <v>50</v>
      </c>
    </row>
    <row r="79" spans="2:10" ht="15" customHeight="1">
      <c r="B79" s="114">
        <v>2028</v>
      </c>
      <c r="C79" s="430">
        <f>M51</f>
        <v>52</v>
      </c>
      <c r="D79" s="431"/>
      <c r="E79" s="121">
        <f t="shared" ref="E79:E83" si="6">$E$65</f>
        <v>0.96530928650529979</v>
      </c>
      <c r="F79" s="120">
        <f t="shared" si="1"/>
        <v>50.196082898275591</v>
      </c>
      <c r="G79" s="118">
        <f t="shared" si="4"/>
        <v>60</v>
      </c>
      <c r="H79" s="119">
        <f t="shared" si="2"/>
        <v>9.8039171017244087</v>
      </c>
      <c r="I79" s="118" t="str">
        <f t="shared" si="5"/>
        <v>NO</v>
      </c>
      <c r="J79" s="117">
        <f t="shared" si="3"/>
        <v>51.196082898275591</v>
      </c>
    </row>
    <row r="80" spans="2:10" ht="15" customHeight="1">
      <c r="B80" s="114">
        <v>2029</v>
      </c>
      <c r="C80" s="430">
        <f>N51</f>
        <v>52</v>
      </c>
      <c r="D80" s="431"/>
      <c r="E80" s="121">
        <f t="shared" si="6"/>
        <v>0.96530928650529979</v>
      </c>
      <c r="F80" s="120">
        <f t="shared" si="1"/>
        <v>50.196082898275591</v>
      </c>
      <c r="G80" s="118">
        <f t="shared" si="4"/>
        <v>60</v>
      </c>
      <c r="H80" s="119">
        <f t="shared" si="2"/>
        <v>9.8039171017244087</v>
      </c>
      <c r="I80" s="118" t="str">
        <f t="shared" si="5"/>
        <v>NO</v>
      </c>
      <c r="J80" s="117">
        <f t="shared" si="3"/>
        <v>51.196082898275591</v>
      </c>
    </row>
    <row r="81" spans="2:10" ht="15" customHeight="1">
      <c r="B81" s="114">
        <v>2030</v>
      </c>
      <c r="C81" s="430">
        <f>O51</f>
        <v>53</v>
      </c>
      <c r="D81" s="431"/>
      <c r="E81" s="121">
        <f t="shared" si="6"/>
        <v>0.96530928650529979</v>
      </c>
      <c r="F81" s="120">
        <f t="shared" si="1"/>
        <v>51.161392184780887</v>
      </c>
      <c r="G81" s="118">
        <f t="shared" si="4"/>
        <v>60</v>
      </c>
      <c r="H81" s="119">
        <f t="shared" si="2"/>
        <v>8.8386078152191132</v>
      </c>
      <c r="I81" s="118" t="str">
        <f t="shared" si="5"/>
        <v>NO</v>
      </c>
      <c r="J81" s="117">
        <f t="shared" si="3"/>
        <v>52.161392184780887</v>
      </c>
    </row>
    <row r="82" spans="2:10" ht="15" customHeight="1">
      <c r="B82" s="114">
        <v>2031</v>
      </c>
      <c r="C82" s="430">
        <f>P51</f>
        <v>54</v>
      </c>
      <c r="D82" s="431"/>
      <c r="E82" s="121">
        <f t="shared" si="6"/>
        <v>0.96530928650529979</v>
      </c>
      <c r="F82" s="120">
        <f t="shared" si="1"/>
        <v>52.126701471286189</v>
      </c>
      <c r="G82" s="118">
        <f t="shared" si="4"/>
        <v>60</v>
      </c>
      <c r="H82" s="119">
        <f t="shared" si="2"/>
        <v>7.8732985287138106</v>
      </c>
      <c r="I82" s="118" t="str">
        <f t="shared" si="5"/>
        <v>NO</v>
      </c>
      <c r="J82" s="117">
        <f t="shared" si="3"/>
        <v>53.126701471286189</v>
      </c>
    </row>
    <row r="83" spans="2:10" ht="15" customHeight="1">
      <c r="B83" s="114">
        <v>2032</v>
      </c>
      <c r="C83" s="430">
        <f>Q51</f>
        <v>54</v>
      </c>
      <c r="D83" s="431"/>
      <c r="E83" s="121">
        <f t="shared" si="6"/>
        <v>0.96530928650529979</v>
      </c>
      <c r="F83" s="120">
        <f t="shared" si="1"/>
        <v>52.126701471286189</v>
      </c>
      <c r="G83" s="118">
        <f t="shared" si="4"/>
        <v>60</v>
      </c>
      <c r="H83" s="119">
        <f t="shared" si="2"/>
        <v>7.8732985287138106</v>
      </c>
      <c r="I83" s="118" t="str">
        <f t="shared" si="5"/>
        <v>NO</v>
      </c>
      <c r="J83" s="117">
        <f t="shared" si="3"/>
        <v>53.126701471286189</v>
      </c>
    </row>
    <row r="84" spans="2:10" ht="15" customHeight="1">
      <c r="C84" s="16"/>
      <c r="D84" s="16"/>
      <c r="E84" s="16"/>
      <c r="F84" s="16"/>
      <c r="G84" s="16"/>
      <c r="H84" s="16"/>
    </row>
    <row r="85" spans="2:10" ht="15" customHeight="1">
      <c r="B85" s="11" t="s">
        <v>186</v>
      </c>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St Mary's RC Primary School (Leith)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55</v>
      </c>
      <c r="D91" s="112">
        <f t="shared" ref="D91:J91" si="7">D188</f>
        <v>50</v>
      </c>
      <c r="E91" s="112">
        <f t="shared" si="7"/>
        <v>36</v>
      </c>
      <c r="F91" s="112">
        <f t="shared" si="7"/>
        <v>40</v>
      </c>
      <c r="G91" s="112">
        <f t="shared" si="7"/>
        <v>28</v>
      </c>
      <c r="H91" s="112">
        <f t="shared" si="7"/>
        <v>45</v>
      </c>
      <c r="I91" s="112">
        <f t="shared" si="7"/>
        <v>41</v>
      </c>
      <c r="J91" s="213">
        <f t="shared" si="7"/>
        <v>295</v>
      </c>
    </row>
    <row r="92" spans="2:10" ht="15" customHeight="1">
      <c r="B92" s="114">
        <v>2014</v>
      </c>
      <c r="C92" s="112">
        <f>C189</f>
        <v>49</v>
      </c>
      <c r="D92" s="112">
        <f t="shared" ref="D92:J92" si="8">D189</f>
        <v>54</v>
      </c>
      <c r="E92" s="112">
        <f t="shared" si="8"/>
        <v>48</v>
      </c>
      <c r="F92" s="112">
        <f t="shared" si="8"/>
        <v>38</v>
      </c>
      <c r="G92" s="112">
        <f t="shared" si="8"/>
        <v>40</v>
      </c>
      <c r="H92" s="112">
        <f t="shared" si="8"/>
        <v>28</v>
      </c>
      <c r="I92" s="112">
        <f t="shared" si="8"/>
        <v>44</v>
      </c>
      <c r="J92" s="213">
        <f t="shared" si="8"/>
        <v>301</v>
      </c>
    </row>
    <row r="93" spans="2:10" ht="15" customHeight="1">
      <c r="B93" s="114">
        <v>2015</v>
      </c>
      <c r="C93" s="112">
        <f>C190</f>
        <v>49</v>
      </c>
      <c r="D93" s="112">
        <f t="shared" ref="D93:J93" si="9">D190</f>
        <v>52</v>
      </c>
      <c r="E93" s="112">
        <f t="shared" si="9"/>
        <v>52</v>
      </c>
      <c r="F93" s="112">
        <f t="shared" si="9"/>
        <v>46</v>
      </c>
      <c r="G93" s="112">
        <f t="shared" si="9"/>
        <v>39</v>
      </c>
      <c r="H93" s="112">
        <f t="shared" si="9"/>
        <v>40</v>
      </c>
      <c r="I93" s="112">
        <f t="shared" si="9"/>
        <v>30</v>
      </c>
      <c r="J93" s="213">
        <f t="shared" si="9"/>
        <v>308</v>
      </c>
    </row>
    <row r="94" spans="2:10" ht="15" customHeight="1">
      <c r="B94" s="114">
        <v>2016</v>
      </c>
      <c r="C94" s="112">
        <f>C191</f>
        <v>50</v>
      </c>
      <c r="D94" s="112">
        <f t="shared" ref="D94:J94" si="10">D191</f>
        <v>54</v>
      </c>
      <c r="E94" s="112">
        <f t="shared" si="10"/>
        <v>49</v>
      </c>
      <c r="F94" s="112">
        <f t="shared" si="10"/>
        <v>49</v>
      </c>
      <c r="G94" s="112">
        <f t="shared" si="10"/>
        <v>51</v>
      </c>
      <c r="H94" s="112">
        <f t="shared" si="10"/>
        <v>40</v>
      </c>
      <c r="I94" s="112">
        <f t="shared" si="10"/>
        <v>42</v>
      </c>
      <c r="J94" s="213">
        <f t="shared" si="10"/>
        <v>335</v>
      </c>
    </row>
    <row r="95" spans="2:10" ht="15" customHeight="1">
      <c r="B95" s="114">
        <v>2017</v>
      </c>
      <c r="C95" s="112">
        <f>C192</f>
        <v>48</v>
      </c>
      <c r="D95" s="112">
        <f t="shared" ref="D95:J95" si="11">D192</f>
        <v>50</v>
      </c>
      <c r="E95" s="112">
        <f t="shared" si="11"/>
        <v>55</v>
      </c>
      <c r="F95" s="112">
        <f t="shared" si="11"/>
        <v>54</v>
      </c>
      <c r="G95" s="112">
        <f t="shared" si="11"/>
        <v>50</v>
      </c>
      <c r="H95" s="112">
        <f t="shared" si="11"/>
        <v>51</v>
      </c>
      <c r="I95" s="112">
        <f t="shared" si="11"/>
        <v>36</v>
      </c>
      <c r="J95" s="213">
        <f t="shared" si="11"/>
        <v>344</v>
      </c>
    </row>
    <row r="96" spans="2:10" ht="15" customHeight="1">
      <c r="B96" s="307">
        <v>2018</v>
      </c>
      <c r="C96" s="112">
        <f t="shared" ref="C96:J96" si="12">C193</f>
        <v>45</v>
      </c>
      <c r="D96" s="112">
        <f t="shared" si="12"/>
        <v>47</v>
      </c>
      <c r="E96" s="112">
        <f t="shared" si="12"/>
        <v>52</v>
      </c>
      <c r="F96" s="112">
        <f t="shared" si="12"/>
        <v>48</v>
      </c>
      <c r="G96" s="112">
        <f t="shared" si="12"/>
        <v>52</v>
      </c>
      <c r="H96" s="112">
        <f t="shared" si="12"/>
        <v>55</v>
      </c>
      <c r="I96" s="112">
        <f t="shared" si="12"/>
        <v>54</v>
      </c>
      <c r="J96" s="213">
        <f t="shared" si="12"/>
        <v>353</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0</v>
      </c>
      <c r="E98" s="210">
        <f t="shared" ref="E98:I98" si="13">MEDIAN(((D91-E92)/D91),((D92-E93)/D92),((D93-E94)/D93),((D94-E95)/D94),((D95-E96)/D95))</f>
        <v>3.7037037037037035E-2</v>
      </c>
      <c r="F98" s="210">
        <f t="shared" si="13"/>
        <v>4.1666666666666664E-2</v>
      </c>
      <c r="G98" s="210">
        <f t="shared" si="13"/>
        <v>-2.0408163265306121E-2</v>
      </c>
      <c r="H98" s="210">
        <f t="shared" si="13"/>
        <v>0</v>
      </c>
      <c r="I98" s="210">
        <f t="shared" si="13"/>
        <v>-0.05</v>
      </c>
    </row>
    <row r="99" spans="2:10" ht="18.75">
      <c r="B99" s="59"/>
      <c r="C99" s="60"/>
      <c r="D99" s="61"/>
      <c r="E99" s="61"/>
      <c r="F99" s="61"/>
      <c r="G99" s="61"/>
      <c r="H99" s="61"/>
      <c r="I99" s="61"/>
      <c r="J99" s="58"/>
    </row>
    <row r="100" spans="2:10">
      <c r="B100" s="15" t="str">
        <f>"Table 4B: "&amp;E3&amp;" Projected Roll by Stage (incorporating Projected P1 and Drop-Off Rates), 2019-2032"</f>
        <v>Table 4B: St Mary's RC Primary School (Leith) Projected Roll by Stage (incorporating Projected P1 and Drop-Off Rates), 2019-2032</v>
      </c>
      <c r="F100" s="14"/>
      <c r="G100" s="14"/>
    </row>
    <row r="101" spans="2:10" ht="12.75">
      <c r="F101" s="14"/>
      <c r="G101" s="14"/>
    </row>
    <row r="102" spans="2:10">
      <c r="B102" s="115"/>
      <c r="C102" s="109" t="s">
        <v>1</v>
      </c>
      <c r="D102" s="109" t="s">
        <v>2</v>
      </c>
      <c r="E102" s="109" t="s">
        <v>3</v>
      </c>
      <c r="F102" s="109" t="s">
        <v>4</v>
      </c>
      <c r="G102" s="109" t="s">
        <v>5</v>
      </c>
      <c r="H102" s="109" t="s">
        <v>6</v>
      </c>
      <c r="I102" s="109" t="s">
        <v>7</v>
      </c>
      <c r="J102" s="109" t="s">
        <v>8</v>
      </c>
    </row>
    <row r="103" spans="2:10">
      <c r="B103" s="114">
        <v>2019</v>
      </c>
      <c r="C103" s="113">
        <f t="shared" ref="C103:C116" si="14">J70</f>
        <v>50</v>
      </c>
      <c r="D103" s="324">
        <f>ROUND((C96)-(C96*$D$98),0)</f>
        <v>45</v>
      </c>
      <c r="E103" s="324">
        <f>ROUND((D96)-(D96*$E$98),0)</f>
        <v>45</v>
      </c>
      <c r="F103" s="324">
        <f>ROUND((E96)-(E96*$F$98),0)</f>
        <v>50</v>
      </c>
      <c r="G103" s="324">
        <f>ROUND((F96)-(F96*$G$98),0)</f>
        <v>49</v>
      </c>
      <c r="H103" s="324">
        <f>ROUND((G96)-(G96*$H$98),0)</f>
        <v>52</v>
      </c>
      <c r="I103" s="324">
        <f>ROUND((H96)-(H96*$I$98),0)</f>
        <v>58</v>
      </c>
      <c r="J103" s="111">
        <f t="shared" ref="J103:J116" si="15">SUM(C103:I103)</f>
        <v>349</v>
      </c>
    </row>
    <row r="104" spans="2:10">
      <c r="B104" s="114">
        <v>2020</v>
      </c>
      <c r="C104" s="113">
        <f t="shared" si="14"/>
        <v>42.50829931972789</v>
      </c>
      <c r="D104" s="324">
        <f>ROUND((C103-E50)-(C103*$D$98),0)</f>
        <v>49</v>
      </c>
      <c r="E104" s="112">
        <f t="shared" ref="E104:E116" si="16">ROUND((D103)-(D103*$E$98),0)</f>
        <v>43</v>
      </c>
      <c r="F104" s="112">
        <f t="shared" ref="F104:F116" si="17">ROUND((E103)-(E103*$F$98),0)</f>
        <v>43</v>
      </c>
      <c r="G104" s="112">
        <f t="shared" ref="G104:G116" si="18">ROUND((F103)-(F103*$G$98),0)</f>
        <v>51</v>
      </c>
      <c r="H104" s="112">
        <f t="shared" ref="H104:H116" si="19">ROUND((G103)-(G103*$H$98),0)</f>
        <v>49</v>
      </c>
      <c r="I104" s="112">
        <f t="shared" ref="I104:I116" si="20">ROUND((H103)-(H103*$I$98),0)</f>
        <v>55</v>
      </c>
      <c r="J104" s="111">
        <f t="shared" si="15"/>
        <v>332.50829931972788</v>
      </c>
    </row>
    <row r="105" spans="2:10">
      <c r="B105" s="114">
        <v>2021</v>
      </c>
      <c r="C105" s="113">
        <f t="shared" si="14"/>
        <v>43.473608606233192</v>
      </c>
      <c r="D105" s="324">
        <f>ROUND((C104-F50)-(C104*$D$98),0)</f>
        <v>42</v>
      </c>
      <c r="E105" s="112">
        <f t="shared" si="16"/>
        <v>47</v>
      </c>
      <c r="F105" s="112">
        <f t="shared" si="17"/>
        <v>41</v>
      </c>
      <c r="G105" s="112">
        <f t="shared" si="18"/>
        <v>44</v>
      </c>
      <c r="H105" s="112">
        <f t="shared" si="19"/>
        <v>51</v>
      </c>
      <c r="I105" s="112">
        <f t="shared" si="20"/>
        <v>51</v>
      </c>
      <c r="J105" s="111">
        <f t="shared" si="15"/>
        <v>319.4736086062332</v>
      </c>
    </row>
    <row r="106" spans="2:10">
      <c r="B106" s="114">
        <v>2022</v>
      </c>
      <c r="C106" s="113">
        <f t="shared" si="14"/>
        <v>45.40422717924379</v>
      </c>
      <c r="D106" s="324">
        <f>ROUND((C105-G50)-(C105*$D$98),0)</f>
        <v>41</v>
      </c>
      <c r="E106" s="112">
        <f t="shared" si="16"/>
        <v>40</v>
      </c>
      <c r="F106" s="112">
        <f t="shared" si="17"/>
        <v>45</v>
      </c>
      <c r="G106" s="112">
        <f t="shared" si="18"/>
        <v>42</v>
      </c>
      <c r="H106" s="112">
        <f t="shared" si="19"/>
        <v>44</v>
      </c>
      <c r="I106" s="112">
        <f t="shared" si="20"/>
        <v>54</v>
      </c>
      <c r="J106" s="111">
        <f t="shared" si="15"/>
        <v>311.40422717924378</v>
      </c>
    </row>
    <row r="107" spans="2:10">
      <c r="B107" s="114">
        <v>2023</v>
      </c>
      <c r="C107" s="113">
        <f t="shared" si="14"/>
        <v>45.40422717924379</v>
      </c>
      <c r="D107" s="324">
        <f>ROUND((C106-H50)-(C106*$D$98),0)</f>
        <v>43</v>
      </c>
      <c r="E107" s="112">
        <f t="shared" si="16"/>
        <v>39</v>
      </c>
      <c r="F107" s="112">
        <f t="shared" si="17"/>
        <v>38</v>
      </c>
      <c r="G107" s="112">
        <f t="shared" si="18"/>
        <v>46</v>
      </c>
      <c r="H107" s="112">
        <f t="shared" si="19"/>
        <v>42</v>
      </c>
      <c r="I107" s="112">
        <f t="shared" si="20"/>
        <v>46</v>
      </c>
      <c r="J107" s="111">
        <f t="shared" si="15"/>
        <v>299.40422717924378</v>
      </c>
    </row>
    <row r="108" spans="2:10">
      <c r="B108" s="114">
        <v>2024</v>
      </c>
      <c r="C108" s="113">
        <f t="shared" si="14"/>
        <v>47.334845752254388</v>
      </c>
      <c r="D108" s="324">
        <f>ROUND((C107-I50)-(C107*$D$98),0)</f>
        <v>42</v>
      </c>
      <c r="E108" s="112">
        <f t="shared" si="16"/>
        <v>41</v>
      </c>
      <c r="F108" s="112">
        <f t="shared" si="17"/>
        <v>37</v>
      </c>
      <c r="G108" s="112">
        <f t="shared" si="18"/>
        <v>39</v>
      </c>
      <c r="H108" s="112">
        <f t="shared" si="19"/>
        <v>46</v>
      </c>
      <c r="I108" s="112">
        <f t="shared" si="20"/>
        <v>44</v>
      </c>
      <c r="J108" s="111">
        <f t="shared" si="15"/>
        <v>296.33484575225441</v>
      </c>
    </row>
    <row r="109" spans="2:10">
      <c r="B109" s="114">
        <v>2025</v>
      </c>
      <c r="C109" s="113">
        <f t="shared" si="14"/>
        <v>48.300155038759691</v>
      </c>
      <c r="D109" s="324">
        <f>ROUND((C108-J50)-(C108*$D$98),0)</f>
        <v>43</v>
      </c>
      <c r="E109" s="112">
        <f t="shared" si="16"/>
        <v>40</v>
      </c>
      <c r="F109" s="112">
        <f t="shared" si="17"/>
        <v>39</v>
      </c>
      <c r="G109" s="112">
        <f t="shared" si="18"/>
        <v>38</v>
      </c>
      <c r="H109" s="112">
        <f t="shared" si="19"/>
        <v>39</v>
      </c>
      <c r="I109" s="112">
        <f t="shared" si="20"/>
        <v>48</v>
      </c>
      <c r="J109" s="111">
        <f t="shared" si="15"/>
        <v>295.30015503875973</v>
      </c>
    </row>
    <row r="110" spans="2:10">
      <c r="B110" s="114">
        <v>2026</v>
      </c>
      <c r="C110" s="113">
        <f t="shared" si="14"/>
        <v>48.300155038759691</v>
      </c>
      <c r="D110" s="324">
        <f>ROUND((C109-K50)-(C109*$D$98),0)</f>
        <v>44</v>
      </c>
      <c r="E110" s="112">
        <f t="shared" si="16"/>
        <v>41</v>
      </c>
      <c r="F110" s="112">
        <f t="shared" si="17"/>
        <v>38</v>
      </c>
      <c r="G110" s="112">
        <f t="shared" si="18"/>
        <v>40</v>
      </c>
      <c r="H110" s="112">
        <f t="shared" si="19"/>
        <v>38</v>
      </c>
      <c r="I110" s="112">
        <f t="shared" si="20"/>
        <v>41</v>
      </c>
      <c r="J110" s="111">
        <f t="shared" si="15"/>
        <v>290.30015503875973</v>
      </c>
    </row>
    <row r="111" spans="2:10">
      <c r="B111" s="114">
        <v>2027</v>
      </c>
      <c r="C111" s="113">
        <f t="shared" si="14"/>
        <v>50</v>
      </c>
      <c r="D111" s="324">
        <f>ROUND((C110-L50)-(C110*$D$98),0)</f>
        <v>43</v>
      </c>
      <c r="E111" s="112">
        <f t="shared" si="16"/>
        <v>42</v>
      </c>
      <c r="F111" s="112">
        <f t="shared" si="17"/>
        <v>39</v>
      </c>
      <c r="G111" s="112">
        <f t="shared" si="18"/>
        <v>39</v>
      </c>
      <c r="H111" s="112">
        <f t="shared" si="19"/>
        <v>40</v>
      </c>
      <c r="I111" s="112">
        <f t="shared" si="20"/>
        <v>40</v>
      </c>
      <c r="J111" s="111">
        <f t="shared" si="15"/>
        <v>293</v>
      </c>
    </row>
    <row r="112" spans="2:10">
      <c r="B112" s="114">
        <v>2028</v>
      </c>
      <c r="C112" s="113">
        <f t="shared" si="14"/>
        <v>51.196082898275591</v>
      </c>
      <c r="D112" s="324">
        <f>ROUND((C111-M50)-(C111*$D$98),0)</f>
        <v>44</v>
      </c>
      <c r="E112" s="112">
        <f t="shared" si="16"/>
        <v>41</v>
      </c>
      <c r="F112" s="112">
        <f t="shared" si="17"/>
        <v>40</v>
      </c>
      <c r="G112" s="112">
        <f t="shared" si="18"/>
        <v>40</v>
      </c>
      <c r="H112" s="112">
        <f t="shared" si="19"/>
        <v>39</v>
      </c>
      <c r="I112" s="112">
        <f t="shared" si="20"/>
        <v>42</v>
      </c>
      <c r="J112" s="111">
        <f t="shared" si="15"/>
        <v>297.19608289827556</v>
      </c>
    </row>
    <row r="113" spans="2:10" ht="15" customHeight="1">
      <c r="B113" s="114">
        <v>2029</v>
      </c>
      <c r="C113" s="113">
        <f t="shared" si="14"/>
        <v>51.196082898275591</v>
      </c>
      <c r="D113" s="324">
        <f>ROUND((C112-N50)-(C112*$D$98),0)</f>
        <v>45</v>
      </c>
      <c r="E113" s="112">
        <f t="shared" si="16"/>
        <v>42</v>
      </c>
      <c r="F113" s="112">
        <f t="shared" si="17"/>
        <v>39</v>
      </c>
      <c r="G113" s="112">
        <f t="shared" si="18"/>
        <v>41</v>
      </c>
      <c r="H113" s="112">
        <f t="shared" si="19"/>
        <v>40</v>
      </c>
      <c r="I113" s="112">
        <f t="shared" si="20"/>
        <v>41</v>
      </c>
      <c r="J113" s="111">
        <f t="shared" si="15"/>
        <v>299.19608289827556</v>
      </c>
    </row>
    <row r="114" spans="2:10" ht="15" customHeight="1">
      <c r="B114" s="114">
        <v>2030</v>
      </c>
      <c r="C114" s="113">
        <f t="shared" si="14"/>
        <v>52.161392184780887</v>
      </c>
      <c r="D114" s="324">
        <f>ROUND((C113-O50)-(C113*$D$98),0)</f>
        <v>44</v>
      </c>
      <c r="E114" s="112">
        <f t="shared" si="16"/>
        <v>43</v>
      </c>
      <c r="F114" s="112">
        <f t="shared" si="17"/>
        <v>40</v>
      </c>
      <c r="G114" s="112">
        <f t="shared" si="18"/>
        <v>40</v>
      </c>
      <c r="H114" s="112">
        <f t="shared" si="19"/>
        <v>41</v>
      </c>
      <c r="I114" s="112">
        <f t="shared" si="20"/>
        <v>42</v>
      </c>
      <c r="J114" s="111">
        <f t="shared" si="15"/>
        <v>302.16139218478088</v>
      </c>
    </row>
    <row r="115" spans="2:10" ht="15" customHeight="1">
      <c r="B115" s="114">
        <v>2031</v>
      </c>
      <c r="C115" s="113">
        <f t="shared" si="14"/>
        <v>53.126701471286189</v>
      </c>
      <c r="D115" s="324">
        <f>ROUND((C114-P50)-(C114*$D$98),0)</f>
        <v>44</v>
      </c>
      <c r="E115" s="112">
        <f t="shared" si="16"/>
        <v>42</v>
      </c>
      <c r="F115" s="112">
        <f t="shared" si="17"/>
        <v>41</v>
      </c>
      <c r="G115" s="112">
        <f t="shared" si="18"/>
        <v>41</v>
      </c>
      <c r="H115" s="112">
        <f t="shared" si="19"/>
        <v>40</v>
      </c>
      <c r="I115" s="112">
        <f t="shared" si="20"/>
        <v>43</v>
      </c>
      <c r="J115" s="111">
        <f t="shared" si="15"/>
        <v>304.1267014712862</v>
      </c>
    </row>
    <row r="116" spans="2:10" ht="15" customHeight="1">
      <c r="B116" s="114">
        <v>2032</v>
      </c>
      <c r="C116" s="113">
        <f t="shared" si="14"/>
        <v>53.126701471286189</v>
      </c>
      <c r="D116" s="324">
        <f>ROUND((C115-Q50)-(C115*$D$98),0)</f>
        <v>45</v>
      </c>
      <c r="E116" s="112">
        <f t="shared" si="16"/>
        <v>42</v>
      </c>
      <c r="F116" s="112">
        <f t="shared" si="17"/>
        <v>40</v>
      </c>
      <c r="G116" s="112">
        <f t="shared" si="18"/>
        <v>42</v>
      </c>
      <c r="H116" s="112">
        <f t="shared" si="19"/>
        <v>41</v>
      </c>
      <c r="I116" s="112">
        <f t="shared" si="20"/>
        <v>42</v>
      </c>
      <c r="J116" s="111">
        <f t="shared" si="15"/>
        <v>305.1267014712862</v>
      </c>
    </row>
    <row r="117" spans="2:10" ht="15" hidden="1" customHeight="1">
      <c r="F117" s="14"/>
      <c r="G117" s="14"/>
    </row>
    <row r="118" spans="2:10" ht="15" hidden="1" customHeight="1">
      <c r="B118" s="15" t="str">
        <f>"Table 4C: "&amp;E3&amp;" Projected Pupil Generation from Housing Development, 2019-2032"</f>
        <v>Table 4C: St Mary's RC Primary School (Leith) Projected Pupil Generation from Housing Development, 2019-2032</v>
      </c>
      <c r="F118" s="14"/>
      <c r="G118" s="14"/>
    </row>
    <row r="119" spans="2:10" ht="15" hidden="1" customHeight="1">
      <c r="F119" s="14"/>
      <c r="G119" s="14"/>
    </row>
    <row r="120" spans="2:10" ht="15" hidden="1" customHeight="1">
      <c r="B120" s="115"/>
      <c r="C120" s="109" t="s">
        <v>1</v>
      </c>
      <c r="D120" s="109" t="s">
        <v>2</v>
      </c>
      <c r="E120" s="109" t="s">
        <v>3</v>
      </c>
      <c r="F120" s="109" t="s">
        <v>4</v>
      </c>
      <c r="G120" s="109" t="s">
        <v>5</v>
      </c>
      <c r="H120" s="109" t="s">
        <v>6</v>
      </c>
      <c r="I120" s="109" t="s">
        <v>7</v>
      </c>
      <c r="J120" s="109" t="s">
        <v>8</v>
      </c>
    </row>
    <row r="121" spans="2:10" ht="15" hidden="1" customHeight="1">
      <c r="B121" s="114">
        <v>2019</v>
      </c>
      <c r="C121" s="116" t="s">
        <v>97</v>
      </c>
      <c r="D121" s="112">
        <f>VLOOKUP($E$3,'Housing Generation'!$A$3:$BE$90,11,FALSE)</f>
        <v>0</v>
      </c>
      <c r="E121" s="112">
        <f>VLOOKUP($E$3,'Housing Generation'!$A$3:$BE$90,12,FALSE)</f>
        <v>0</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0</v>
      </c>
    </row>
    <row r="122" spans="2:10" ht="15" hidden="1" customHeight="1">
      <c r="B122" s="114">
        <v>2020</v>
      </c>
      <c r="C122" s="116" t="s">
        <v>97</v>
      </c>
      <c r="D122" s="112">
        <f>VLOOKUP($E$3,'Housing Generation'!$A$3:$BE$90,19,FALSE)</f>
        <v>1</v>
      </c>
      <c r="E122" s="112">
        <f>VLOOKUP($E$3,'Housing Generation'!$A$3:$BE$90,20,FALSE)</f>
        <v>0</v>
      </c>
      <c r="F122" s="112">
        <f>VLOOKUP($E$3,'Housing Generation'!$A$3:$BE$90,21,FALSE)</f>
        <v>0</v>
      </c>
      <c r="G122" s="112">
        <f>VLOOKUP($E$3,'Housing Generation'!$A$3:$BE$90,22,FALSE)</f>
        <v>0</v>
      </c>
      <c r="H122" s="112">
        <f>VLOOKUP($E$3,'Housing Generation'!$A$3:$BE$90,23,FALSE)</f>
        <v>0</v>
      </c>
      <c r="I122" s="112">
        <f>VLOOKUP($E$3,'Housing Generation'!$A$3:$BE$90,24,FALSE)</f>
        <v>0</v>
      </c>
      <c r="J122" s="111">
        <f t="shared" si="21"/>
        <v>1</v>
      </c>
    </row>
    <row r="123" spans="2:10" ht="15" hidden="1" customHeight="1">
      <c r="B123" s="114">
        <v>2021</v>
      </c>
      <c r="C123" s="116" t="s">
        <v>97</v>
      </c>
      <c r="D123" s="112">
        <f>VLOOKUP($E$3,'Housing Generation'!$A$3:$BE$90,27,FALSE)</f>
        <v>1</v>
      </c>
      <c r="E123" s="112">
        <f>VLOOKUP($E$3,'Housing Generation'!$A$3:$BE$90,28,FALSE)</f>
        <v>1</v>
      </c>
      <c r="F123" s="112">
        <f>VLOOKUP($E$3,'Housing Generation'!$A$3:$BE$90,29,FALSE)</f>
        <v>1</v>
      </c>
      <c r="G123" s="112">
        <f>VLOOKUP($E$3,'Housing Generation'!$A$3:$BE$90,30,FALSE)</f>
        <v>1</v>
      </c>
      <c r="H123" s="112">
        <f>VLOOKUP($E$3,'Housing Generation'!$A$3:$BE$90,31,FALSE)</f>
        <v>1</v>
      </c>
      <c r="I123" s="112">
        <f>VLOOKUP($E$3,'Housing Generation'!$A$3:$BE$90,32,FALSE)</f>
        <v>0</v>
      </c>
      <c r="J123" s="111">
        <f t="shared" si="21"/>
        <v>5</v>
      </c>
    </row>
    <row r="124" spans="2:10" ht="15" hidden="1" customHeight="1">
      <c r="B124" s="114">
        <v>2022</v>
      </c>
      <c r="C124" s="116" t="s">
        <v>97</v>
      </c>
      <c r="D124" s="112">
        <f>VLOOKUP($E$3,'Housing Generation'!$A$3:$BE$90,35,FALSE)</f>
        <v>2</v>
      </c>
      <c r="E124" s="112">
        <f>VLOOKUP($E$3,'Housing Generation'!$A$3:$BE$90,36,FALSE)</f>
        <v>1</v>
      </c>
      <c r="F124" s="112">
        <f>VLOOKUP($E$3,'Housing Generation'!$A$3:$BE$90,37,FALSE)</f>
        <v>1</v>
      </c>
      <c r="G124" s="112">
        <f>VLOOKUP($E$3,'Housing Generation'!$A$3:$BE$90,38,FALSE)</f>
        <v>1</v>
      </c>
      <c r="H124" s="112">
        <f>VLOOKUP($E$3,'Housing Generation'!$A$3:$BE$90,39,FALSE)</f>
        <v>1</v>
      </c>
      <c r="I124" s="112">
        <f>VLOOKUP($E$3,'Housing Generation'!$A$3:$BE$90,40,FALSE)</f>
        <v>1</v>
      </c>
      <c r="J124" s="111">
        <f t="shared" si="21"/>
        <v>7</v>
      </c>
    </row>
    <row r="125" spans="2:10" ht="15" hidden="1" customHeight="1">
      <c r="B125" s="114">
        <v>2023</v>
      </c>
      <c r="C125" s="116" t="s">
        <v>97</v>
      </c>
      <c r="D125" s="112">
        <f>VLOOKUP($E$3,'Housing Generation'!$A$3:$BE$90,43,FALSE)</f>
        <v>2</v>
      </c>
      <c r="E125" s="112">
        <f>VLOOKUP($E$3,'Housing Generation'!$A$3:$BE$90,44,FALSE)</f>
        <v>2</v>
      </c>
      <c r="F125" s="112">
        <f>VLOOKUP($E$3,'Housing Generation'!$A$3:$BE$90,45,FALSE)</f>
        <v>2</v>
      </c>
      <c r="G125" s="112">
        <f>VLOOKUP($E$3,'Housing Generation'!$A$3:$BE$90,46,FALSE)</f>
        <v>2</v>
      </c>
      <c r="H125" s="112">
        <f>VLOOKUP($E$3,'Housing Generation'!$A$3:$BE$90,47,FALSE)</f>
        <v>2</v>
      </c>
      <c r="I125" s="112">
        <f>VLOOKUP($E$3,'Housing Generation'!$A$3:$BE$90,48,FALSE)</f>
        <v>1</v>
      </c>
      <c r="J125" s="111">
        <f t="shared" si="21"/>
        <v>11</v>
      </c>
    </row>
    <row r="126" spans="2:10" ht="15" hidden="1" customHeight="1">
      <c r="B126" s="114">
        <v>2024</v>
      </c>
      <c r="C126" s="116" t="s">
        <v>97</v>
      </c>
      <c r="D126" s="112">
        <f>VLOOKUP($E$3,'Housing Generation'!$A$3:$BE$90,51,FALSE)</f>
        <v>3</v>
      </c>
      <c r="E126" s="112">
        <f>VLOOKUP($E$3,'Housing Generation'!$A$3:$BE$90,52,FALSE)</f>
        <v>3</v>
      </c>
      <c r="F126" s="112">
        <f>VLOOKUP($E$3,'Housing Generation'!$A$3:$BE$90,53,FALSE)</f>
        <v>3</v>
      </c>
      <c r="G126" s="112">
        <f>VLOOKUP($E$3,'Housing Generation'!$A$3:$BE$90,54,FALSE)</f>
        <v>2</v>
      </c>
      <c r="H126" s="112">
        <f>VLOOKUP($E$3,'Housing Generation'!$A$3:$BE$90,55,FALSE)</f>
        <v>2</v>
      </c>
      <c r="I126" s="112">
        <f>VLOOKUP($E$3,'Housing Generation'!$A$3:$BE$90,56,FALSE)</f>
        <v>2</v>
      </c>
      <c r="J126" s="111">
        <f t="shared" si="21"/>
        <v>15</v>
      </c>
    </row>
    <row r="127" spans="2:10" ht="15" hidden="1" customHeight="1">
      <c r="B127" s="114">
        <v>2025</v>
      </c>
      <c r="C127" s="240" t="s">
        <v>97</v>
      </c>
      <c r="D127" s="112">
        <f>VLOOKUP($E$3,'Housing Generation'!$A$3:$CK$90,59,FALSE)</f>
        <v>4</v>
      </c>
      <c r="E127" s="112">
        <f>VLOOKUP($E$3,'Housing Generation'!$A$3:$CK$90,60,FALSE)</f>
        <v>3</v>
      </c>
      <c r="F127" s="112">
        <f>VLOOKUP($E$3,'Housing Generation'!$A$3:$CK$90,61,FALSE)</f>
        <v>3</v>
      </c>
      <c r="G127" s="112">
        <f>VLOOKUP($E$3,'Housing Generation'!$A$3:$CK$90,62,FALSE)</f>
        <v>3</v>
      </c>
      <c r="H127" s="112">
        <f>VLOOKUP($E$3,'Housing Generation'!$A$3:$CK$90,63,FALSE)</f>
        <v>3</v>
      </c>
      <c r="I127" s="112">
        <f>VLOOKUP($E$3,'Housing Generation'!$A$3:$CK$90,64,FALSE)</f>
        <v>3</v>
      </c>
      <c r="J127" s="111">
        <f t="shared" si="21"/>
        <v>19</v>
      </c>
    </row>
    <row r="128" spans="2:10" ht="15" hidden="1" customHeight="1">
      <c r="B128" s="114">
        <v>2026</v>
      </c>
      <c r="C128" s="240" t="s">
        <v>97</v>
      </c>
      <c r="D128" s="112">
        <f>VLOOKUP($E$3,'Housing Generation'!$A$3:$CK$90,67,FALSE)</f>
        <v>4</v>
      </c>
      <c r="E128" s="112">
        <f>VLOOKUP($E$3,'Housing Generation'!$A$3:$CK$90,68,FALSE)</f>
        <v>4</v>
      </c>
      <c r="F128" s="112">
        <f>VLOOKUP($E$3,'Housing Generation'!$A$3:$CK$90,69,FALSE)</f>
        <v>4</v>
      </c>
      <c r="G128" s="112">
        <f>VLOOKUP($E$3,'Housing Generation'!$A$3:$CK$90,70,FALSE)</f>
        <v>4</v>
      </c>
      <c r="H128" s="112">
        <f>VLOOKUP($E$3,'Housing Generation'!$A$3:$CK$90,71,FALSE)</f>
        <v>4</v>
      </c>
      <c r="I128" s="112">
        <f>VLOOKUP($E$3,'Housing Generation'!$A$3:$CK$90,72,FALSE)</f>
        <v>4</v>
      </c>
      <c r="J128" s="111">
        <f t="shared" si="21"/>
        <v>24</v>
      </c>
    </row>
    <row r="129" spans="2:10" ht="15" hidden="1" customHeight="1">
      <c r="B129" s="114">
        <v>2027</v>
      </c>
      <c r="C129" s="240" t="s">
        <v>97</v>
      </c>
      <c r="D129" s="112">
        <f>VLOOKUP($E$3,'Housing Generation'!$A$3:$CK$90,75,FALSE)</f>
        <v>5</v>
      </c>
      <c r="E129" s="112">
        <f>VLOOKUP($E$3,'Housing Generation'!$A$3:$CK$90,76,FALSE)</f>
        <v>5</v>
      </c>
      <c r="F129" s="112">
        <f>VLOOKUP($E$3,'Housing Generation'!$A$3:$CK$90,77,FALSE)</f>
        <v>5</v>
      </c>
      <c r="G129" s="112">
        <f>VLOOKUP($E$3,'Housing Generation'!$A$3:$CK$90,78,FALSE)</f>
        <v>5</v>
      </c>
      <c r="H129" s="112">
        <f>VLOOKUP($E$3,'Housing Generation'!$A$3:$CK$90,79,FALSE)</f>
        <v>4</v>
      </c>
      <c r="I129" s="112">
        <f>VLOOKUP($E$3,'Housing Generation'!$A$3:$CK$90,80,FALSE)</f>
        <v>4</v>
      </c>
      <c r="J129" s="111">
        <f t="shared" si="21"/>
        <v>28</v>
      </c>
    </row>
    <row r="130" spans="2:10" ht="15" customHeight="1">
      <c r="B130" s="114">
        <v>2028</v>
      </c>
      <c r="C130" s="289" t="s">
        <v>97</v>
      </c>
      <c r="D130" s="112">
        <f>VLOOKUP($E$3,'Housing Generation'!$A$3:$CK$90,83,FALSE)</f>
        <v>6</v>
      </c>
      <c r="E130" s="112">
        <f>VLOOKUP($E$3,'Housing Generation'!$A$3:$CK$90,84,FALSE)</f>
        <v>6</v>
      </c>
      <c r="F130" s="112">
        <f>VLOOKUP($E$3,'Housing Generation'!$A$3:$CK$90,85,FALSE)</f>
        <v>5</v>
      </c>
      <c r="G130" s="112">
        <f>VLOOKUP($E$3,'Housing Generation'!$A$3:$CK$90,86,FALSE)</f>
        <v>5</v>
      </c>
      <c r="H130" s="112">
        <f>VLOOKUP($E$3,'Housing Generation'!$A$3:$CK$90,87,FALSE)</f>
        <v>5</v>
      </c>
      <c r="I130" s="112">
        <f>VLOOKUP($E$3,'Housing Generation'!$A$3:$CK$90,88,FALSE)</f>
        <v>5</v>
      </c>
      <c r="J130" s="111">
        <f t="shared" si="21"/>
        <v>32</v>
      </c>
    </row>
    <row r="131" spans="2:10" ht="15" customHeight="1">
      <c r="B131" s="114">
        <v>2029</v>
      </c>
      <c r="C131" s="289" t="s">
        <v>97</v>
      </c>
      <c r="D131" s="112">
        <f>VLOOKUP($E$3,'Housing Generation'!$A$3:$DQ$90,91,FALSE)</f>
        <v>6</v>
      </c>
      <c r="E131" s="112">
        <f>VLOOKUP($E$3,'Housing Generation'!$A$3:$DQ$90,92,FALSE)</f>
        <v>6</v>
      </c>
      <c r="F131" s="112">
        <f>VLOOKUP($E$3,'Housing Generation'!$A$3:$DQ$90,93,FALSE)</f>
        <v>6</v>
      </c>
      <c r="G131" s="112">
        <f>VLOOKUP($E$3,'Housing Generation'!$A$3:$DQ$90,94,FALSE)</f>
        <v>6</v>
      </c>
      <c r="H131" s="112">
        <f>VLOOKUP($E$3,'Housing Generation'!$A$3:$DQ$90,95,FALSE)</f>
        <v>6</v>
      </c>
      <c r="I131" s="112">
        <f>VLOOKUP($E$3,'Housing Generation'!$A$3:$DQ$90,96,FALSE)</f>
        <v>6</v>
      </c>
      <c r="J131" s="111">
        <f t="shared" si="21"/>
        <v>36</v>
      </c>
    </row>
    <row r="132" spans="2:10" ht="15" customHeight="1">
      <c r="B132" s="114">
        <v>2030</v>
      </c>
      <c r="C132" s="289" t="s">
        <v>97</v>
      </c>
      <c r="D132" s="112">
        <f>VLOOKUP($E$3,'Housing Generation'!$A$3:$DQ$90,99,FALSE)</f>
        <v>7</v>
      </c>
      <c r="E132" s="112">
        <f>VLOOKUP($E$3,'Housing Generation'!$A$3:$DQ$90,100,FALSE)</f>
        <v>7</v>
      </c>
      <c r="F132" s="112">
        <f>VLOOKUP($E$3,'Housing Generation'!$A$3:$DQ$90,101,FALSE)</f>
        <v>7</v>
      </c>
      <c r="G132" s="112">
        <f>VLOOKUP($E$3,'Housing Generation'!$A$3:$DQ$90,102,FALSE)</f>
        <v>6</v>
      </c>
      <c r="H132" s="112">
        <f>VLOOKUP($E$3,'Housing Generation'!$A$3:$DQ$90,103,FALSE)</f>
        <v>6</v>
      </c>
      <c r="I132" s="112">
        <f>VLOOKUP($E$3,'Housing Generation'!$A$3:$DQ$90,104,FALSE)</f>
        <v>6</v>
      </c>
      <c r="J132" s="111">
        <f t="shared" si="21"/>
        <v>39</v>
      </c>
    </row>
    <row r="133" spans="2:10" ht="15" customHeight="1">
      <c r="B133" s="114">
        <v>2031</v>
      </c>
      <c r="C133" s="289" t="s">
        <v>97</v>
      </c>
      <c r="D133" s="112">
        <f>VLOOKUP($E$3,'Housing Generation'!$A$3:$DQ$90,107,FALSE)</f>
        <v>7</v>
      </c>
      <c r="E133" s="112">
        <f>VLOOKUP($E$3,'Housing Generation'!$A$3:$DQ$90,108,FALSE)</f>
        <v>7</v>
      </c>
      <c r="F133" s="112">
        <f>VLOOKUP($E$3,'Housing Generation'!$A$3:$DQ$90,109,FALSE)</f>
        <v>7</v>
      </c>
      <c r="G133" s="112">
        <f>VLOOKUP($E$3,'Housing Generation'!$A$3:$DQ$90,110,FALSE)</f>
        <v>7</v>
      </c>
      <c r="H133" s="112">
        <f>VLOOKUP($E$3,'Housing Generation'!$A$3:$DQ$90,111,FALSE)</f>
        <v>7</v>
      </c>
      <c r="I133" s="112">
        <f>VLOOKUP($E$3,'Housing Generation'!$A$3:$DQ$90,112,FALSE)</f>
        <v>7</v>
      </c>
      <c r="J133" s="111">
        <f t="shared" si="21"/>
        <v>42</v>
      </c>
    </row>
    <row r="134" spans="2:10" ht="15" customHeight="1">
      <c r="B134" s="114">
        <v>2032</v>
      </c>
      <c r="C134" s="289" t="s">
        <v>97</v>
      </c>
      <c r="D134" s="112">
        <f>VLOOKUP($E$3,'Housing Generation'!$A$3:$DQ$90,115,FALSE)</f>
        <v>8</v>
      </c>
      <c r="E134" s="112">
        <f>VLOOKUP($E$3,'Housing Generation'!$A$3:$DQ$90,116,FALSE)</f>
        <v>8</v>
      </c>
      <c r="F134" s="112">
        <f>VLOOKUP($E$3,'Housing Generation'!$A$3:$DQ$90,117,FALSE)</f>
        <v>8</v>
      </c>
      <c r="G134" s="112">
        <f>VLOOKUP($E$3,'Housing Generation'!$A$3:$DQ$90,118,FALSE)</f>
        <v>8</v>
      </c>
      <c r="H134" s="112">
        <f>VLOOKUP($E$3,'Housing Generation'!$A$3:$DQ$90,119,FALSE)</f>
        <v>7</v>
      </c>
      <c r="I134" s="112">
        <f>VLOOKUP($E$3,'Housing Generation'!$A$3:$DQ$90,120,FALSE)</f>
        <v>7</v>
      </c>
      <c r="J134" s="111">
        <f t="shared" si="21"/>
        <v>46</v>
      </c>
    </row>
    <row r="135" spans="2:10" ht="15" hidden="1"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St Mary's RC Primary School (Leith)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50</v>
      </c>
      <c r="D139" s="112">
        <f t="shared" ref="D139:I152" si="23">D121+D103</f>
        <v>45</v>
      </c>
      <c r="E139" s="112">
        <f t="shared" si="23"/>
        <v>45</v>
      </c>
      <c r="F139" s="112">
        <f t="shared" si="23"/>
        <v>50</v>
      </c>
      <c r="G139" s="112">
        <f t="shared" si="23"/>
        <v>49</v>
      </c>
      <c r="H139" s="112">
        <f t="shared" si="23"/>
        <v>52</v>
      </c>
      <c r="I139" s="112">
        <f t="shared" si="23"/>
        <v>58</v>
      </c>
      <c r="J139" s="111">
        <f t="shared" ref="J139:J147" si="24">SUM(C139:I139)</f>
        <v>349</v>
      </c>
    </row>
    <row r="140" spans="2:10" ht="15" customHeight="1">
      <c r="B140" s="114">
        <v>2020</v>
      </c>
      <c r="C140" s="113">
        <f t="shared" si="22"/>
        <v>42.50829931972789</v>
      </c>
      <c r="D140" s="112">
        <f t="shared" si="23"/>
        <v>50</v>
      </c>
      <c r="E140" s="112">
        <f t="shared" si="23"/>
        <v>43</v>
      </c>
      <c r="F140" s="112">
        <f t="shared" si="23"/>
        <v>43</v>
      </c>
      <c r="G140" s="112">
        <f t="shared" si="23"/>
        <v>51</v>
      </c>
      <c r="H140" s="112">
        <f t="shared" si="23"/>
        <v>49</v>
      </c>
      <c r="I140" s="112">
        <f t="shared" si="23"/>
        <v>55</v>
      </c>
      <c r="J140" s="111">
        <f t="shared" si="24"/>
        <v>333.50829931972788</v>
      </c>
    </row>
    <row r="141" spans="2:10" ht="15" customHeight="1">
      <c r="B141" s="114">
        <v>2021</v>
      </c>
      <c r="C141" s="113">
        <f t="shared" si="22"/>
        <v>43.473608606233192</v>
      </c>
      <c r="D141" s="112">
        <f t="shared" si="23"/>
        <v>43</v>
      </c>
      <c r="E141" s="112">
        <f t="shared" si="23"/>
        <v>48</v>
      </c>
      <c r="F141" s="112">
        <f t="shared" si="23"/>
        <v>42</v>
      </c>
      <c r="G141" s="112">
        <f t="shared" si="23"/>
        <v>45</v>
      </c>
      <c r="H141" s="112">
        <f t="shared" si="23"/>
        <v>52</v>
      </c>
      <c r="I141" s="112">
        <f t="shared" si="23"/>
        <v>51</v>
      </c>
      <c r="J141" s="111">
        <f t="shared" si="24"/>
        <v>324.4736086062332</v>
      </c>
    </row>
    <row r="142" spans="2:10" ht="15" customHeight="1">
      <c r="B142" s="114">
        <v>2022</v>
      </c>
      <c r="C142" s="113">
        <f t="shared" si="22"/>
        <v>45.40422717924379</v>
      </c>
      <c r="D142" s="112">
        <f t="shared" si="23"/>
        <v>43</v>
      </c>
      <c r="E142" s="112">
        <f t="shared" si="23"/>
        <v>41</v>
      </c>
      <c r="F142" s="112">
        <f t="shared" si="23"/>
        <v>46</v>
      </c>
      <c r="G142" s="112">
        <f t="shared" si="23"/>
        <v>43</v>
      </c>
      <c r="H142" s="112">
        <f t="shared" si="23"/>
        <v>45</v>
      </c>
      <c r="I142" s="112">
        <f t="shared" si="23"/>
        <v>55</v>
      </c>
      <c r="J142" s="111">
        <f t="shared" si="24"/>
        <v>318.40422717924378</v>
      </c>
    </row>
    <row r="143" spans="2:10" ht="15" customHeight="1">
      <c r="B143" s="114">
        <v>2023</v>
      </c>
      <c r="C143" s="113">
        <f t="shared" si="22"/>
        <v>45.40422717924379</v>
      </c>
      <c r="D143" s="112">
        <f t="shared" si="23"/>
        <v>45</v>
      </c>
      <c r="E143" s="112">
        <f t="shared" si="23"/>
        <v>41</v>
      </c>
      <c r="F143" s="112">
        <f t="shared" si="23"/>
        <v>40</v>
      </c>
      <c r="G143" s="112">
        <f t="shared" si="23"/>
        <v>48</v>
      </c>
      <c r="H143" s="112">
        <f t="shared" si="23"/>
        <v>44</v>
      </c>
      <c r="I143" s="112">
        <f t="shared" si="23"/>
        <v>47</v>
      </c>
      <c r="J143" s="111">
        <f t="shared" si="24"/>
        <v>310.40422717924378</v>
      </c>
    </row>
    <row r="144" spans="2:10" ht="15" customHeight="1">
      <c r="B144" s="114">
        <v>2024</v>
      </c>
      <c r="C144" s="113">
        <f t="shared" si="22"/>
        <v>47.334845752254388</v>
      </c>
      <c r="D144" s="112">
        <f t="shared" si="23"/>
        <v>45</v>
      </c>
      <c r="E144" s="112">
        <f t="shared" si="23"/>
        <v>44</v>
      </c>
      <c r="F144" s="112">
        <f t="shared" si="23"/>
        <v>40</v>
      </c>
      <c r="G144" s="112">
        <f t="shared" si="23"/>
        <v>41</v>
      </c>
      <c r="H144" s="112">
        <f t="shared" si="23"/>
        <v>48</v>
      </c>
      <c r="I144" s="112">
        <f t="shared" si="23"/>
        <v>46</v>
      </c>
      <c r="J144" s="111">
        <f t="shared" si="24"/>
        <v>311.33484575225441</v>
      </c>
    </row>
    <row r="145" spans="2:16" ht="15" customHeight="1">
      <c r="B145" s="114">
        <v>2025</v>
      </c>
      <c r="C145" s="113">
        <f t="shared" si="22"/>
        <v>48.300155038759691</v>
      </c>
      <c r="D145" s="112">
        <f t="shared" si="23"/>
        <v>47</v>
      </c>
      <c r="E145" s="112">
        <f t="shared" si="23"/>
        <v>43</v>
      </c>
      <c r="F145" s="112">
        <f t="shared" si="23"/>
        <v>42</v>
      </c>
      <c r="G145" s="112">
        <f t="shared" si="23"/>
        <v>41</v>
      </c>
      <c r="H145" s="112">
        <f t="shared" si="23"/>
        <v>42</v>
      </c>
      <c r="I145" s="112">
        <f t="shared" si="23"/>
        <v>51</v>
      </c>
      <c r="J145" s="111">
        <f t="shared" si="24"/>
        <v>314.30015503875973</v>
      </c>
    </row>
    <row r="146" spans="2:16" ht="15" customHeight="1">
      <c r="B146" s="114">
        <v>2026</v>
      </c>
      <c r="C146" s="113">
        <f t="shared" si="22"/>
        <v>48.300155038759691</v>
      </c>
      <c r="D146" s="112">
        <f t="shared" si="23"/>
        <v>48</v>
      </c>
      <c r="E146" s="112">
        <f t="shared" si="23"/>
        <v>45</v>
      </c>
      <c r="F146" s="112">
        <f t="shared" si="23"/>
        <v>42</v>
      </c>
      <c r="G146" s="112">
        <f t="shared" si="23"/>
        <v>44</v>
      </c>
      <c r="H146" s="112">
        <f t="shared" si="23"/>
        <v>42</v>
      </c>
      <c r="I146" s="112">
        <f t="shared" si="23"/>
        <v>45</v>
      </c>
      <c r="J146" s="111">
        <f t="shared" si="24"/>
        <v>314.30015503875973</v>
      </c>
    </row>
    <row r="147" spans="2:16" ht="15" customHeight="1">
      <c r="B147" s="114">
        <v>2027</v>
      </c>
      <c r="C147" s="113">
        <f t="shared" si="22"/>
        <v>50</v>
      </c>
      <c r="D147" s="112">
        <f t="shared" si="23"/>
        <v>48</v>
      </c>
      <c r="E147" s="112">
        <f t="shared" si="23"/>
        <v>47</v>
      </c>
      <c r="F147" s="112">
        <f t="shared" si="23"/>
        <v>44</v>
      </c>
      <c r="G147" s="112">
        <f t="shared" si="23"/>
        <v>44</v>
      </c>
      <c r="H147" s="112">
        <f t="shared" si="23"/>
        <v>44</v>
      </c>
      <c r="I147" s="112">
        <f t="shared" si="23"/>
        <v>44</v>
      </c>
      <c r="J147" s="111">
        <f t="shared" si="24"/>
        <v>321</v>
      </c>
    </row>
    <row r="148" spans="2:16" ht="15" customHeight="1">
      <c r="B148" s="114">
        <v>2028</v>
      </c>
      <c r="C148" s="113">
        <f t="shared" si="22"/>
        <v>51.196082898275591</v>
      </c>
      <c r="D148" s="112">
        <f t="shared" si="23"/>
        <v>50</v>
      </c>
      <c r="E148" s="112">
        <f t="shared" si="23"/>
        <v>47</v>
      </c>
      <c r="F148" s="112">
        <f t="shared" si="23"/>
        <v>45</v>
      </c>
      <c r="G148" s="112">
        <f t="shared" si="23"/>
        <v>45</v>
      </c>
      <c r="H148" s="112">
        <f t="shared" si="23"/>
        <v>44</v>
      </c>
      <c r="I148" s="112">
        <f t="shared" si="23"/>
        <v>47</v>
      </c>
      <c r="J148" s="111">
        <f t="shared" ref="J148:J152" si="25">SUM(C148:I148)</f>
        <v>329.19608289827556</v>
      </c>
    </row>
    <row r="149" spans="2:16" ht="15" customHeight="1">
      <c r="B149" s="114">
        <v>2029</v>
      </c>
      <c r="C149" s="113">
        <f t="shared" si="22"/>
        <v>51.196082898275591</v>
      </c>
      <c r="D149" s="112">
        <f t="shared" si="23"/>
        <v>51</v>
      </c>
      <c r="E149" s="112">
        <f t="shared" si="23"/>
        <v>48</v>
      </c>
      <c r="F149" s="112">
        <f t="shared" si="23"/>
        <v>45</v>
      </c>
      <c r="G149" s="112">
        <f t="shared" si="23"/>
        <v>47</v>
      </c>
      <c r="H149" s="112">
        <f t="shared" si="23"/>
        <v>46</v>
      </c>
      <c r="I149" s="112">
        <f t="shared" si="23"/>
        <v>47</v>
      </c>
      <c r="J149" s="111">
        <f t="shared" si="25"/>
        <v>335.19608289827556</v>
      </c>
    </row>
    <row r="150" spans="2:16" ht="15" customHeight="1">
      <c r="B150" s="114">
        <v>2030</v>
      </c>
      <c r="C150" s="113">
        <f t="shared" si="22"/>
        <v>52.161392184780887</v>
      </c>
      <c r="D150" s="112">
        <f t="shared" si="23"/>
        <v>51</v>
      </c>
      <c r="E150" s="112">
        <f t="shared" si="23"/>
        <v>50</v>
      </c>
      <c r="F150" s="112">
        <f t="shared" si="23"/>
        <v>47</v>
      </c>
      <c r="G150" s="112">
        <f t="shared" si="23"/>
        <v>46</v>
      </c>
      <c r="H150" s="112">
        <f t="shared" si="23"/>
        <v>47</v>
      </c>
      <c r="I150" s="112">
        <f t="shared" si="23"/>
        <v>48</v>
      </c>
      <c r="J150" s="111">
        <f t="shared" si="25"/>
        <v>341.16139218478088</v>
      </c>
    </row>
    <row r="151" spans="2:16" ht="15" customHeight="1">
      <c r="B151" s="114">
        <v>2031</v>
      </c>
      <c r="C151" s="113">
        <f t="shared" si="22"/>
        <v>53.126701471286189</v>
      </c>
      <c r="D151" s="112">
        <f t="shared" si="23"/>
        <v>51</v>
      </c>
      <c r="E151" s="112">
        <f t="shared" si="23"/>
        <v>49</v>
      </c>
      <c r="F151" s="112">
        <f t="shared" si="23"/>
        <v>48</v>
      </c>
      <c r="G151" s="112">
        <f t="shared" si="23"/>
        <v>48</v>
      </c>
      <c r="H151" s="112">
        <f t="shared" si="23"/>
        <v>47</v>
      </c>
      <c r="I151" s="112">
        <f t="shared" si="23"/>
        <v>50</v>
      </c>
      <c r="J151" s="111">
        <f t="shared" si="25"/>
        <v>346.1267014712862</v>
      </c>
    </row>
    <row r="152" spans="2:16" ht="15" customHeight="1">
      <c r="B152" s="114">
        <v>2032</v>
      </c>
      <c r="C152" s="113">
        <f t="shared" si="22"/>
        <v>53.126701471286189</v>
      </c>
      <c r="D152" s="112">
        <f t="shared" si="23"/>
        <v>53</v>
      </c>
      <c r="E152" s="112">
        <f t="shared" si="23"/>
        <v>50</v>
      </c>
      <c r="F152" s="112">
        <f t="shared" si="23"/>
        <v>48</v>
      </c>
      <c r="G152" s="112">
        <f t="shared" si="23"/>
        <v>50</v>
      </c>
      <c r="H152" s="112">
        <f t="shared" si="23"/>
        <v>48</v>
      </c>
      <c r="I152" s="112">
        <f t="shared" si="23"/>
        <v>49</v>
      </c>
      <c r="J152" s="111">
        <f t="shared" si="25"/>
        <v>351.1267014712862</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349</v>
      </c>
      <c r="D159" s="108">
        <f>J140</f>
        <v>333.50829931972788</v>
      </c>
      <c r="E159" s="108">
        <f>J141</f>
        <v>324.4736086062332</v>
      </c>
      <c r="F159" s="108">
        <f>J142</f>
        <v>318.40422717924378</v>
      </c>
      <c r="G159" s="108">
        <f>J143</f>
        <v>310.40422717924378</v>
      </c>
      <c r="H159" s="108">
        <f>J144</f>
        <v>311.33484575225441</v>
      </c>
      <c r="I159" s="108">
        <f>J145</f>
        <v>314.30015503875973</v>
      </c>
      <c r="J159" s="108">
        <f>J146</f>
        <v>314.30015503875973</v>
      </c>
      <c r="K159" s="108">
        <f>J147</f>
        <v>321</v>
      </c>
      <c r="L159" s="108">
        <f>J148</f>
        <v>329.19608289827556</v>
      </c>
      <c r="M159" s="108">
        <f>J149</f>
        <v>335.19608289827556</v>
      </c>
      <c r="N159" s="108">
        <f>J150</f>
        <v>341.16139218478088</v>
      </c>
      <c r="O159" s="108">
        <f>J151</f>
        <v>346.1267014712862</v>
      </c>
      <c r="P159" s="108">
        <f>J152</f>
        <v>351.1267014712862</v>
      </c>
    </row>
    <row r="160" spans="2:16" ht="15" customHeight="1">
      <c r="B160" s="107" t="s">
        <v>152</v>
      </c>
      <c r="C160" s="106">
        <f>VLOOKUP(C159,Capacity!$A$1:$C$645,2,TRUE)</f>
        <v>14</v>
      </c>
      <c r="D160" s="106">
        <f>VLOOKUP(D159,Capacity!$A$1:$C$645,2,TRUE)</f>
        <v>14</v>
      </c>
      <c r="E160" s="106">
        <f>VLOOKUP(E159,Capacity!$A$1:$C$645,2,TRUE)</f>
        <v>13</v>
      </c>
      <c r="F160" s="106">
        <f>VLOOKUP(F159,Capacity!$A$1:$C$645,2,TRUE)</f>
        <v>13</v>
      </c>
      <c r="G160" s="106">
        <f>VLOOKUP(G159,Capacity!$A$1:$C$645,2,TRUE)</f>
        <v>12</v>
      </c>
      <c r="H160" s="106">
        <f>VLOOKUP(H159,Capacity!$A$1:$C$645,2,TRUE)</f>
        <v>12</v>
      </c>
      <c r="I160" s="106">
        <f>VLOOKUP(I159,Capacity!$A$1:$C$645,2,TRUE)</f>
        <v>12</v>
      </c>
      <c r="J160" s="106">
        <f>VLOOKUP(J159,Capacity!$A$1:$C$645,2,TRUE)</f>
        <v>12</v>
      </c>
      <c r="K160" s="106">
        <f>VLOOKUP(K159,Capacity!$A$1:$C$645,2,TRUE)</f>
        <v>13</v>
      </c>
      <c r="L160" s="106">
        <f>VLOOKUP(L159,Capacity!$A$1:$C$645,2,TRUE)</f>
        <v>13</v>
      </c>
      <c r="M160" s="106">
        <f>VLOOKUP(M159,Capacity!$A$1:$C$645,2,TRUE)</f>
        <v>14</v>
      </c>
      <c r="N160" s="106">
        <f>VLOOKUP(N159,Capacity!$A$1:$C$645,2,TRUE)</f>
        <v>14</v>
      </c>
      <c r="O160" s="106">
        <f>VLOOKUP(O159,Capacity!$A$1:$C$645,2,TRUE)</f>
        <v>14</v>
      </c>
      <c r="P160" s="106">
        <f>VLOOKUP(P159,Capacity!$A$1:$C$645,2,TRUE)</f>
        <v>14</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234</v>
      </c>
      <c r="D169" s="97">
        <f>VLOOKUP($E$3,'Catchment Births'!$A$1:$U$90,11,FALSE)</f>
        <v>259</v>
      </c>
      <c r="E169" s="97">
        <f>VLOOKUP($E$3,'Catchment Births'!$A$1:$U$90,12,FALSE)</f>
        <v>261</v>
      </c>
      <c r="F169" s="97">
        <f>VLOOKUP($E$3,'Catchment Births'!$A$1:$U$90,13,FALSE)</f>
        <v>289</v>
      </c>
      <c r="G169" s="97">
        <f>VLOOKUP($E$3,'Catchment Births'!$A$1:$U$90,14,FALSE)</f>
        <v>330</v>
      </c>
      <c r="H169" s="97">
        <f>VLOOKUP($E$3,'Catchment Births'!$A$1:$U$90,15,FALSE)</f>
        <v>349</v>
      </c>
      <c r="I169" s="97">
        <f>VLOOKUP($E$3,'Catchment Births'!$A$1:$U$90,16,FALSE)</f>
        <v>374</v>
      </c>
      <c r="J169" s="97">
        <f>VLOOKUP($E$3,'Catchment Births'!$A$1:$U$90,17,FALSE)</f>
        <v>376</v>
      </c>
      <c r="K169" s="97">
        <f>VLOOKUP($E$3,'Catchment Births'!$A$1:$U$90,18,FALSE)</f>
        <v>385</v>
      </c>
      <c r="L169" s="97">
        <f>VLOOKUP($E$3,'Catchment Births'!$A$1:$U$90,19,FALSE)</f>
        <v>350</v>
      </c>
      <c r="M169" s="97">
        <f>VLOOKUP($E$3,'Catchment Births'!$A$1:$U$90,20,FALSE)</f>
        <v>366</v>
      </c>
      <c r="N169" s="97">
        <f>VLOOKUP($E$3,'Catchment Births'!$A$1:$U$90,21,FALSE)</f>
        <v>307</v>
      </c>
    </row>
    <row r="170" spans="2:14" ht="58.5" customHeight="1">
      <c r="B170" s="103" t="str">
        <f>"P1 "&amp;A35&amp;" Catchment Population (Actual)"</f>
        <v>P1 RC Catchment Population (Actual)</v>
      </c>
      <c r="C170" s="102" t="e">
        <v>#REF!</v>
      </c>
      <c r="D170" s="102">
        <v>47</v>
      </c>
      <c r="E170" s="102">
        <v>43</v>
      </c>
      <c r="F170" s="102">
        <v>49</v>
      </c>
      <c r="G170" s="102">
        <v>59</v>
      </c>
      <c r="H170" s="102">
        <v>55</v>
      </c>
      <c r="I170" s="102">
        <v>51</v>
      </c>
      <c r="J170" s="308">
        <f>VLOOKUP(E3,'Catchment Projections'!A1:BU92,42,FALSE)</f>
        <v>50</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180</v>
      </c>
      <c r="C172" s="99"/>
      <c r="D172" s="98"/>
      <c r="E172" s="98"/>
      <c r="F172" s="98"/>
      <c r="G172" s="97"/>
      <c r="H172" s="96"/>
      <c r="I172" s="96">
        <f>I170</f>
        <v>51</v>
      </c>
      <c r="J172" s="96" t="e">
        <f>#REF!</f>
        <v>#REF!</v>
      </c>
      <c r="K172" s="96">
        <f>D51</f>
        <v>51</v>
      </c>
      <c r="L172" s="96">
        <f>E51</f>
        <v>43</v>
      </c>
      <c r="M172" s="96">
        <f>F51</f>
        <v>44</v>
      </c>
      <c r="N172" s="96">
        <f>G51</f>
        <v>46</v>
      </c>
    </row>
    <row r="173" spans="2:14" ht="12.75">
      <c r="B173" s="62"/>
      <c r="C173" s="62"/>
      <c r="D173" s="62"/>
      <c r="E173" s="62"/>
      <c r="F173" s="62"/>
      <c r="G173" s="62"/>
      <c r="H173" s="62"/>
      <c r="I173" s="62"/>
      <c r="J173" s="62"/>
      <c r="K173" s="62"/>
    </row>
    <row r="174" spans="2:14" ht="15" customHeight="1">
      <c r="B174" s="64" t="str">
        <f>"Table 5: "&amp;E3&amp;" Roll by Stage, 2002-2018"</f>
        <v>Table 5: St Mary's RC Primary School (Leith)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30</v>
      </c>
      <c r="D177" s="93">
        <v>54</v>
      </c>
      <c r="E177" s="93">
        <v>49</v>
      </c>
      <c r="F177" s="93">
        <v>39</v>
      </c>
      <c r="G177" s="93">
        <v>41</v>
      </c>
      <c r="H177" s="93">
        <v>40</v>
      </c>
      <c r="I177" s="93">
        <v>37</v>
      </c>
      <c r="J177" s="92">
        <v>290</v>
      </c>
      <c r="K177" s="62"/>
    </row>
    <row r="178" spans="2:11" ht="15" customHeight="1">
      <c r="B178" s="94">
        <v>2003</v>
      </c>
      <c r="C178" s="93">
        <v>30</v>
      </c>
      <c r="D178" s="93">
        <v>30</v>
      </c>
      <c r="E178" s="93">
        <v>50</v>
      </c>
      <c r="F178" s="93">
        <v>42</v>
      </c>
      <c r="G178" s="93">
        <v>39</v>
      </c>
      <c r="H178" s="93">
        <v>38</v>
      </c>
      <c r="I178" s="93">
        <v>36</v>
      </c>
      <c r="J178" s="92">
        <v>265</v>
      </c>
      <c r="K178" s="62"/>
    </row>
    <row r="179" spans="2:11" customFormat="1" ht="15" customHeight="1">
      <c r="B179" s="94">
        <v>2004</v>
      </c>
      <c r="C179" s="95">
        <v>30</v>
      </c>
      <c r="D179" s="95">
        <v>29</v>
      </c>
      <c r="E179" s="95">
        <v>30</v>
      </c>
      <c r="F179" s="95">
        <v>49</v>
      </c>
      <c r="G179" s="95">
        <v>44</v>
      </c>
      <c r="H179" s="95">
        <v>40</v>
      </c>
      <c r="I179" s="95">
        <v>38</v>
      </c>
      <c r="J179" s="92">
        <v>260</v>
      </c>
      <c r="K179" s="62"/>
    </row>
    <row r="180" spans="2:11" customFormat="1" ht="15" customHeight="1">
      <c r="B180" s="94">
        <v>2005</v>
      </c>
      <c r="C180" s="93">
        <v>42</v>
      </c>
      <c r="D180" s="93">
        <v>29</v>
      </c>
      <c r="E180" s="93">
        <v>30</v>
      </c>
      <c r="F180" s="93">
        <v>30</v>
      </c>
      <c r="G180" s="93">
        <v>46</v>
      </c>
      <c r="H180" s="93">
        <v>42</v>
      </c>
      <c r="I180" s="93">
        <v>39</v>
      </c>
      <c r="J180" s="92">
        <v>258</v>
      </c>
      <c r="K180" s="62"/>
    </row>
    <row r="181" spans="2:11" customFormat="1" ht="15" customHeight="1">
      <c r="B181" s="94">
        <v>2006</v>
      </c>
      <c r="C181" s="93">
        <v>42</v>
      </c>
      <c r="D181" s="93">
        <v>40</v>
      </c>
      <c r="E181" s="93">
        <v>29</v>
      </c>
      <c r="F181" s="93">
        <v>30</v>
      </c>
      <c r="G181" s="93">
        <v>30</v>
      </c>
      <c r="H181" s="93">
        <v>44</v>
      </c>
      <c r="I181" s="93">
        <v>41</v>
      </c>
      <c r="J181" s="92">
        <v>256</v>
      </c>
      <c r="K181" s="62"/>
    </row>
    <row r="182" spans="2:11" customFormat="1" ht="15" customHeight="1">
      <c r="B182" s="94">
        <v>2007</v>
      </c>
      <c r="C182" s="93">
        <v>46</v>
      </c>
      <c r="D182" s="93">
        <v>42</v>
      </c>
      <c r="E182" s="93">
        <v>43</v>
      </c>
      <c r="F182" s="93">
        <v>29</v>
      </c>
      <c r="G182" s="93">
        <v>29</v>
      </c>
      <c r="H182" s="93">
        <v>30</v>
      </c>
      <c r="I182" s="93">
        <v>43</v>
      </c>
      <c r="J182" s="92">
        <v>262</v>
      </c>
      <c r="K182" s="62"/>
    </row>
    <row r="183" spans="2:11" customFormat="1" ht="15" customHeight="1">
      <c r="B183" s="94">
        <v>2008</v>
      </c>
      <c r="C183" s="93">
        <v>52</v>
      </c>
      <c r="D183" s="93">
        <v>43</v>
      </c>
      <c r="E183" s="93">
        <v>44</v>
      </c>
      <c r="F183" s="93">
        <v>39</v>
      </c>
      <c r="G183" s="93">
        <v>29</v>
      </c>
      <c r="H183" s="93">
        <v>30</v>
      </c>
      <c r="I183" s="93">
        <v>30</v>
      </c>
      <c r="J183" s="92">
        <v>267</v>
      </c>
      <c r="K183" s="62"/>
    </row>
    <row r="184" spans="2:11" customFormat="1" ht="15" customHeight="1">
      <c r="B184" s="94">
        <v>2009</v>
      </c>
      <c r="C184" s="93">
        <v>30</v>
      </c>
      <c r="D184" s="93">
        <v>52</v>
      </c>
      <c r="E184" s="93">
        <v>43</v>
      </c>
      <c r="F184" s="93">
        <v>43</v>
      </c>
      <c r="G184" s="93">
        <v>40</v>
      </c>
      <c r="H184" s="93">
        <v>30</v>
      </c>
      <c r="I184" s="93">
        <v>30</v>
      </c>
      <c r="J184" s="94">
        <v>268</v>
      </c>
      <c r="K184" s="62"/>
    </row>
    <row r="185" spans="2:11" customFormat="1" ht="15" customHeight="1">
      <c r="B185" s="94">
        <v>2010</v>
      </c>
      <c r="C185" s="93">
        <v>45</v>
      </c>
      <c r="D185" s="93">
        <v>30</v>
      </c>
      <c r="E185" s="93">
        <v>51</v>
      </c>
      <c r="F185" s="93">
        <v>46</v>
      </c>
      <c r="G185" s="93">
        <v>41</v>
      </c>
      <c r="H185" s="93">
        <v>40</v>
      </c>
      <c r="I185" s="93">
        <v>27</v>
      </c>
      <c r="J185" s="92">
        <v>280</v>
      </c>
      <c r="K185" s="62"/>
    </row>
    <row r="186" spans="2:11" customFormat="1" ht="15" customHeight="1">
      <c r="B186" s="94">
        <v>2011</v>
      </c>
      <c r="C186" s="93">
        <v>36</v>
      </c>
      <c r="D186" s="93">
        <v>44</v>
      </c>
      <c r="E186" s="93">
        <v>29</v>
      </c>
      <c r="F186" s="93">
        <v>51</v>
      </c>
      <c r="G186" s="93">
        <v>45</v>
      </c>
      <c r="H186" s="93">
        <v>38</v>
      </c>
      <c r="I186" s="93">
        <v>38</v>
      </c>
      <c r="J186" s="92">
        <v>281</v>
      </c>
      <c r="K186" s="62"/>
    </row>
    <row r="187" spans="2:11" customFormat="1" ht="15" customHeight="1">
      <c r="B187" s="94">
        <v>2012</v>
      </c>
      <c r="C187" s="93">
        <v>45</v>
      </c>
      <c r="D187" s="93">
        <v>38</v>
      </c>
      <c r="E187" s="93">
        <v>44</v>
      </c>
      <c r="F187" s="93">
        <v>29</v>
      </c>
      <c r="G187" s="93">
        <v>45</v>
      </c>
      <c r="H187" s="93">
        <v>41</v>
      </c>
      <c r="I187" s="93">
        <v>39</v>
      </c>
      <c r="J187" s="92">
        <v>281</v>
      </c>
      <c r="K187" s="62"/>
    </row>
    <row r="188" spans="2:11" customFormat="1" ht="15" customHeight="1">
      <c r="B188" s="94">
        <v>2013</v>
      </c>
      <c r="C188" s="93">
        <v>55</v>
      </c>
      <c r="D188" s="93">
        <v>50</v>
      </c>
      <c r="E188" s="93">
        <v>36</v>
      </c>
      <c r="F188" s="93">
        <v>40</v>
      </c>
      <c r="G188" s="93">
        <v>28</v>
      </c>
      <c r="H188" s="93">
        <v>45</v>
      </c>
      <c r="I188" s="93">
        <v>41</v>
      </c>
      <c r="J188" s="94">
        <v>295</v>
      </c>
      <c r="K188" s="62"/>
    </row>
    <row r="189" spans="2:11" customFormat="1" ht="15" customHeight="1">
      <c r="B189" s="94">
        <v>2014</v>
      </c>
      <c r="C189" s="93">
        <v>49</v>
      </c>
      <c r="D189" s="93">
        <v>54</v>
      </c>
      <c r="E189" s="93">
        <v>48</v>
      </c>
      <c r="F189" s="93">
        <v>38</v>
      </c>
      <c r="G189" s="93">
        <v>40</v>
      </c>
      <c r="H189" s="93">
        <v>28</v>
      </c>
      <c r="I189" s="93">
        <v>44</v>
      </c>
      <c r="J189" s="92">
        <v>301</v>
      </c>
      <c r="K189" s="65"/>
    </row>
    <row r="190" spans="2:11" customFormat="1" ht="15" customHeight="1">
      <c r="B190" s="94">
        <v>2015</v>
      </c>
      <c r="C190" s="93">
        <v>49</v>
      </c>
      <c r="D190" s="93">
        <v>52</v>
      </c>
      <c r="E190" s="93">
        <v>52</v>
      </c>
      <c r="F190" s="93">
        <v>46</v>
      </c>
      <c r="G190" s="93">
        <v>39</v>
      </c>
      <c r="H190" s="93">
        <v>40</v>
      </c>
      <c r="I190" s="93">
        <v>30</v>
      </c>
      <c r="J190" s="92">
        <v>308</v>
      </c>
      <c r="K190" s="65"/>
    </row>
    <row r="191" spans="2:11" customFormat="1" ht="15" customHeight="1">
      <c r="B191" s="94">
        <v>2016</v>
      </c>
      <c r="C191" s="93">
        <v>50</v>
      </c>
      <c r="D191" s="93">
        <v>54</v>
      </c>
      <c r="E191" s="93">
        <v>49</v>
      </c>
      <c r="F191" s="93">
        <v>49</v>
      </c>
      <c r="G191" s="93">
        <v>51</v>
      </c>
      <c r="H191" s="93">
        <v>40</v>
      </c>
      <c r="I191" s="93">
        <v>42</v>
      </c>
      <c r="J191" s="92">
        <v>335</v>
      </c>
      <c r="K191" s="65"/>
    </row>
    <row r="192" spans="2:11" ht="15" customHeight="1">
      <c r="B192" s="94">
        <v>2017</v>
      </c>
      <c r="C192" s="93">
        <f>VLOOKUP($E$3,Rolls!A1:FA90,42,FALSE)</f>
        <v>48</v>
      </c>
      <c r="D192" s="93">
        <f>VLOOKUP($E$3,Rolls!A1:FA90,43,FALSE)</f>
        <v>50</v>
      </c>
      <c r="E192" s="93">
        <f>VLOOKUP($E$3,Rolls!A1:FA90,44,FALSE)</f>
        <v>55</v>
      </c>
      <c r="F192" s="93">
        <f>VLOOKUP($E$3,Rolls!A1:FA90,45,FALSE)</f>
        <v>54</v>
      </c>
      <c r="G192" s="93">
        <f>VLOOKUP($E$3,Rolls!A1:FA90,46,FALSE)</f>
        <v>50</v>
      </c>
      <c r="H192" s="93">
        <f>VLOOKUP($E$3,Rolls!A1:FA90,47,FALSE)</f>
        <v>51</v>
      </c>
      <c r="I192" s="93">
        <f>VLOOKUP($E$3,Rolls!A1:FA90,48,FALSE)</f>
        <v>36</v>
      </c>
      <c r="J192" s="92">
        <f>VLOOKUP($E$3,Rolls!A1:FA90,49,FALSE)</f>
        <v>344</v>
      </c>
      <c r="K192" s="65"/>
    </row>
    <row r="193" spans="2:11" ht="15" customHeight="1">
      <c r="B193" s="94">
        <v>2018</v>
      </c>
      <c r="C193" s="93">
        <f>VLOOKUP($E$3,Rolls!A1:FA90,50,FALSE)</f>
        <v>45</v>
      </c>
      <c r="D193" s="93">
        <f>VLOOKUP($E$3,Rolls!A1:FA90,51,FALSE)</f>
        <v>47</v>
      </c>
      <c r="E193" s="93">
        <f>VLOOKUP($E$3,Rolls!A1:FA90,52,FALSE)</f>
        <v>52</v>
      </c>
      <c r="F193" s="93">
        <f>VLOOKUP($E$3,Rolls!A1:FA90,53,FALSE)</f>
        <v>48</v>
      </c>
      <c r="G193" s="93">
        <f>VLOOKUP($E$3,Rolls!A1:FA90,54,FALSE)</f>
        <v>52</v>
      </c>
      <c r="H193" s="93">
        <f>VLOOKUP($E$3,Rolls!A1:FA90,55,FALSE)</f>
        <v>55</v>
      </c>
      <c r="I193" s="93">
        <f>VLOOKUP($E$3,Rolls!A1:FA90,56,FALSE)</f>
        <v>54</v>
      </c>
      <c r="J193" s="92">
        <f>VLOOKUP($E$3,Rolls!A1:FA90,57,FALSE)</f>
        <v>353</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dimension ref="A1:Q193"/>
  <sheetViews>
    <sheetView topLeftCell="B39" zoomScaleNormal="100" workbookViewId="0">
      <selection activeCell="H60" sqref="H60:H64"/>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94</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St Ninian's RC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315 Pupils (12 classes)</v>
      </c>
      <c r="G12" s="16"/>
      <c r="H12" s="16"/>
    </row>
    <row r="13" spans="2:10" ht="15" customHeight="1">
      <c r="C13" s="16"/>
      <c r="D13" s="16"/>
      <c r="E13" s="16"/>
      <c r="F13" s="16"/>
      <c r="G13" s="16"/>
      <c r="H13" s="16"/>
    </row>
    <row r="14" spans="2:10" ht="15" customHeight="1">
      <c r="B14" s="15" t="str">
        <f>"Figure 1: "&amp;E3&amp;" Roll, 2002-2015"</f>
        <v>Figure 1: St Ninian's RC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2010-2020"</f>
        <v>Figure 2: Actual Catchment Births (from 5yrs prior),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St Ninian's RC Primary School</v>
      </c>
      <c r="K34" s="16"/>
    </row>
    <row r="35" spans="1:17" ht="15" customHeight="1">
      <c r="A35" s="1" t="str">
        <f>IF(ISNUMBER(SEARCH("RC",A34)),"RC", "ND")</f>
        <v>RC</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RC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42</v>
      </c>
      <c r="E49" s="108">
        <f>VLOOKUP($E$3,'Catchment Projections'!$A$1:$BU$90,46,FALSE)</f>
        <v>37</v>
      </c>
      <c r="F49" s="108">
        <f>VLOOKUP($E$3,'Catchment Projections'!$A$1:$BU$90,47,FALSE)</f>
        <v>41</v>
      </c>
      <c r="G49" s="108">
        <f>VLOOKUP($E$3,'Catchment Projections'!$A$1:$BU$90,48,FALSE)</f>
        <v>32</v>
      </c>
      <c r="H49" s="133">
        <f>VLOOKUP($E$3,'Catchment Projections'!$A$1:$BU$90,49,FALSE)</f>
        <v>37</v>
      </c>
      <c r="I49" s="133">
        <f>VLOOKUP($E$3,'Catchment Projections'!$A$1:$BU$90,50,FALSE)</f>
        <v>38</v>
      </c>
      <c r="J49" s="133">
        <f>VLOOKUP($E$3,'Catchment Projections'!$A$1:$BU$90,51,FALSE)</f>
        <v>38</v>
      </c>
      <c r="K49" s="133">
        <f>VLOOKUP($E$3,'Catchment Projections'!$A$1:$BU$90,52,FALSE)</f>
        <v>38</v>
      </c>
      <c r="L49" s="133">
        <f>VLOOKUP($E$3,'Catchment Projections'!$A$1:$BU$90,53,FALSE)</f>
        <v>39</v>
      </c>
      <c r="M49" s="133">
        <f>VLOOKUP($E$3,'Catchment Projections'!$A$1:$BU$90,54,FALSE)</f>
        <v>39</v>
      </c>
      <c r="N49" s="133">
        <f>VLOOKUP($E$3,'Catchment Projections'!$A$1:$BU$90,55,FALSE)</f>
        <v>39</v>
      </c>
      <c r="O49" s="133">
        <f>VLOOKUP($E$3,'Catchment Projections'!$A$1:$BU$90,56,FALSE)</f>
        <v>39</v>
      </c>
      <c r="P49" s="133">
        <f>VLOOKUP($E$3,'Catchment Projections'!$A$1:$BU$90,57,FALSE)</f>
        <v>39</v>
      </c>
      <c r="Q49" s="133">
        <f>VLOOKUP($E$3,'Catchment Projections'!$A$1:$BU$90,58,FALSE)</f>
        <v>39</v>
      </c>
    </row>
    <row r="50" spans="2:17" ht="15" customHeight="1" thickBot="1">
      <c r="B50" s="410" t="s">
        <v>141</v>
      </c>
      <c r="C50" s="411"/>
      <c r="D50" s="286">
        <f>VLOOKUP(E3,'Housing Generation'!$A$3:$DQ$90,10,FALSE)</f>
        <v>1</v>
      </c>
      <c r="E50" s="286">
        <f>VLOOKUP(E3,'Housing Generation'!$A$3:$DQ$90,18,FALSE)</f>
        <v>1</v>
      </c>
      <c r="F50" s="286">
        <f>VLOOKUP(E3,'Housing Generation'!$A$3:$DQ$90,26,FALSE)</f>
        <v>1</v>
      </c>
      <c r="G50" s="243">
        <f>VLOOKUP(E3,'Housing Generation'!$A$3:$DQ$90,34,FALSE)</f>
        <v>1</v>
      </c>
      <c r="H50" s="133">
        <f>VLOOKUP(E3,'Housing Generation'!$A$3:$DQ$90,42,FALSE)</f>
        <v>1</v>
      </c>
      <c r="I50" s="133">
        <f>VLOOKUP(E3,'Housing Generation'!$A$3:$DQ$90,50,FALSE)</f>
        <v>1</v>
      </c>
      <c r="J50" s="133">
        <f>VLOOKUP(E3,'Housing Generation'!$A$3:$CK$90,58,FALSE)</f>
        <v>1</v>
      </c>
      <c r="K50" s="133">
        <f>VLOOKUP(E3,'Housing Generation'!$A$3:$CK$90,66,FALSE)</f>
        <v>1</v>
      </c>
      <c r="L50" s="133">
        <f>VLOOKUP(E3,'Housing Generation'!$A$3:$DQ$90,74,FALSE)</f>
        <v>1</v>
      </c>
      <c r="M50" s="133">
        <f>VLOOKUP(E3,'Housing Generation'!$A$3:$DQ$90,82,FALSE)</f>
        <v>1</v>
      </c>
      <c r="N50" s="133">
        <f>VLOOKUP(E3,'Housing Generation'!$A$3:$DQ$90,90,FALSE)</f>
        <v>1</v>
      </c>
      <c r="O50" s="133">
        <f>VLOOKUP(E3,'Housing Generation'!$A$3:$DQ$90,98,FALSE)</f>
        <v>1</v>
      </c>
      <c r="P50" s="133">
        <f>VLOOKUP(E3,'Housing Generation'!$A$3:$DQ$90,106,FALSE)</f>
        <v>1</v>
      </c>
      <c r="Q50" s="133">
        <f>VLOOKUP(E3,'Housing Generation'!$A$3:$DQ$90,114,FALSE)</f>
        <v>1</v>
      </c>
    </row>
    <row r="51" spans="2:17" ht="15" customHeight="1" thickTop="1">
      <c r="B51" s="421" t="s">
        <v>130</v>
      </c>
      <c r="C51" s="422"/>
      <c r="D51" s="47">
        <f t="shared" ref="D51:Q51" si="0">SUM(D49:D50)</f>
        <v>43</v>
      </c>
      <c r="E51" s="47">
        <f t="shared" si="0"/>
        <v>38</v>
      </c>
      <c r="F51" s="80">
        <f t="shared" si="0"/>
        <v>42</v>
      </c>
      <c r="G51" s="244">
        <f t="shared" si="0"/>
        <v>33</v>
      </c>
      <c r="H51" s="71">
        <f t="shared" si="0"/>
        <v>38</v>
      </c>
      <c r="I51" s="71">
        <f t="shared" si="0"/>
        <v>39</v>
      </c>
      <c r="J51" s="71">
        <f t="shared" si="0"/>
        <v>39</v>
      </c>
      <c r="K51" s="71">
        <f t="shared" si="0"/>
        <v>39</v>
      </c>
      <c r="L51" s="71">
        <f t="shared" si="0"/>
        <v>40</v>
      </c>
      <c r="M51" s="71">
        <f t="shared" si="0"/>
        <v>40</v>
      </c>
      <c r="N51" s="71">
        <f t="shared" si="0"/>
        <v>40</v>
      </c>
      <c r="O51" s="71">
        <f t="shared" si="0"/>
        <v>40</v>
      </c>
      <c r="P51" s="71">
        <f t="shared" si="0"/>
        <v>40</v>
      </c>
      <c r="Q51" s="71">
        <f t="shared" si="0"/>
        <v>40</v>
      </c>
    </row>
    <row r="52" spans="2:17" ht="15" customHeight="1">
      <c r="C52" s="36"/>
      <c r="D52" s="48"/>
      <c r="E52" s="48"/>
      <c r="F52" s="48"/>
      <c r="G52" s="48"/>
      <c r="H52" s="48"/>
    </row>
    <row r="53" spans="2:17" ht="31.5" customHeight="1">
      <c r="B53" s="423" t="s">
        <v>292</v>
      </c>
      <c r="C53" s="424"/>
      <c r="D53" s="87">
        <v>0</v>
      </c>
      <c r="E53" s="139" t="s">
        <v>181</v>
      </c>
      <c r="F53" s="140">
        <v>31</v>
      </c>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RC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44</v>
      </c>
      <c r="D60" s="358">
        <f>VLOOKUP($E$3,'Catchment Projections'!$A$1:$BZ$90,74,FALSE)</f>
        <v>42</v>
      </c>
      <c r="E60" s="303">
        <f>D60/C60</f>
        <v>0.95454545454545459</v>
      </c>
      <c r="G60" s="132">
        <v>2014</v>
      </c>
      <c r="H60" s="395">
        <f>VLOOKUP($G$60,$B$177:$C$215, 2, FALSE)</f>
        <v>45</v>
      </c>
      <c r="I60" s="120">
        <f>H60-D60</f>
        <v>3</v>
      </c>
      <c r="J60" s="121">
        <f>I60/H60</f>
        <v>6.6666666666666666E-2</v>
      </c>
    </row>
    <row r="61" spans="2:17" ht="15" customHeight="1">
      <c r="B61" s="132">
        <v>2015</v>
      </c>
      <c r="C61" s="359">
        <f>VLOOKUP($E$3,'Catchment Projections'!$A$1:$BZ$90,41,FALSE)</f>
        <v>51</v>
      </c>
      <c r="D61" s="358">
        <f>VLOOKUP($E$3,'Catchment Projections'!$A$1:$BZ$90,75,FALSE)</f>
        <v>50</v>
      </c>
      <c r="E61" s="303">
        <f>D61/C61</f>
        <v>0.98039215686274506</v>
      </c>
      <c r="G61" s="132">
        <v>2015</v>
      </c>
      <c r="H61" s="395">
        <f>VLOOKUP($G$61,$B$177:$C$215, 2, FALSE)</f>
        <v>50</v>
      </c>
      <c r="I61" s="120">
        <f>H61-D61</f>
        <v>0</v>
      </c>
      <c r="J61" s="121">
        <f>I61/H61</f>
        <v>0</v>
      </c>
    </row>
    <row r="62" spans="2:17" ht="15" customHeight="1">
      <c r="B62" s="131">
        <v>2016</v>
      </c>
      <c r="C62" s="359">
        <f>VLOOKUP($E$3,'Catchment Projections'!$A$1:$BZ$90,42,FALSE)</f>
        <v>50</v>
      </c>
      <c r="D62" s="358">
        <f>VLOOKUP($E$3,'Catchment Projections'!$A$1:$BZ$90,76,FALSE)</f>
        <v>49</v>
      </c>
      <c r="E62" s="57">
        <f>D62/C62</f>
        <v>0.98</v>
      </c>
      <c r="G62" s="131">
        <v>2016</v>
      </c>
      <c r="H62" s="395">
        <f>VLOOKUP($G$62,$B$177:$C$215, 2, FALSE)</f>
        <v>49</v>
      </c>
      <c r="I62" s="120">
        <f>H62-D62</f>
        <v>0</v>
      </c>
      <c r="J62" s="121">
        <f>I62/H62</f>
        <v>0</v>
      </c>
    </row>
    <row r="63" spans="2:17" ht="15" customHeight="1">
      <c r="B63" s="114">
        <v>2017</v>
      </c>
      <c r="C63" s="359">
        <f>VLOOKUP($E$3,'Catchment Projections'!$A$1:$BZ$90,43,FALSE)</f>
        <v>26</v>
      </c>
      <c r="D63" s="358">
        <f>VLOOKUP($E$3,'Catchment Projections'!$A$1:$BZ$90,77,FALSE)</f>
        <v>26</v>
      </c>
      <c r="E63" s="304">
        <f>D63/C63</f>
        <v>1</v>
      </c>
      <c r="G63" s="114">
        <v>2017</v>
      </c>
      <c r="H63" s="395">
        <f>VLOOKUP($G$63,$B$177:$C$215, 2, FALSE)</f>
        <v>30</v>
      </c>
      <c r="I63" s="120">
        <f>H63-D63</f>
        <v>4</v>
      </c>
      <c r="J63" s="121">
        <f>I63/H63</f>
        <v>0.13333333333333333</v>
      </c>
    </row>
    <row r="64" spans="2:17" ht="15" customHeight="1">
      <c r="B64" s="114">
        <v>2018</v>
      </c>
      <c r="C64" s="359">
        <f>VLOOKUP($E$3,'Catchment Projections'!$A$1:$BZ$90,44,FALSE)</f>
        <v>43</v>
      </c>
      <c r="D64" s="358">
        <f>VLOOKUP($E$3,'Catchment Projections'!$A$1:$BZ$90,78,FALSE)</f>
        <v>40</v>
      </c>
      <c r="E64" s="305">
        <f>D64/C64</f>
        <v>0.93023255813953487</v>
      </c>
      <c r="G64" s="114">
        <v>2018</v>
      </c>
      <c r="H64" s="395">
        <f>VLOOKUP($G$64,$B$177:$C$215, 2, FALSE)</f>
        <v>41</v>
      </c>
      <c r="I64" s="120">
        <f>H64-D64</f>
        <v>1</v>
      </c>
      <c r="J64" s="121">
        <f>I64/H64</f>
        <v>2.4390243902439025E-2</v>
      </c>
    </row>
    <row r="65" spans="2:10" ht="15" customHeight="1">
      <c r="B65" s="412" t="s">
        <v>136</v>
      </c>
      <c r="C65" s="413"/>
      <c r="D65" s="414"/>
      <c r="E65" s="137">
        <f>IF((AVERAGE(E62:E64))="#DIV/0!","n/a",(AVERAGE(E62:E64)))</f>
        <v>0.97007751937984488</v>
      </c>
      <c r="G65" s="415" t="s">
        <v>137</v>
      </c>
      <c r="H65" s="416"/>
      <c r="I65" s="138">
        <f>MEDIAN(I60:I64)</f>
        <v>1</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179</v>
      </c>
      <c r="D69" s="408"/>
      <c r="E69" s="125" t="s">
        <v>158</v>
      </c>
      <c r="F69" s="126" t="s">
        <v>133</v>
      </c>
      <c r="G69" s="124" t="s">
        <v>183</v>
      </c>
      <c r="H69" s="125" t="s">
        <v>138</v>
      </c>
      <c r="I69" s="124" t="s">
        <v>142</v>
      </c>
      <c r="J69" s="123" t="s">
        <v>139</v>
      </c>
    </row>
    <row r="70" spans="2:10" ht="15" customHeight="1">
      <c r="B70" s="114">
        <v>2019</v>
      </c>
      <c r="C70" s="433">
        <f>D51</f>
        <v>43</v>
      </c>
      <c r="D70" s="408"/>
      <c r="E70" s="122">
        <f>E65</f>
        <v>0.97007751937984488</v>
      </c>
      <c r="F70" s="120">
        <f t="shared" ref="F70:F83" si="1">C70*$E$65</f>
        <v>41.713333333333331</v>
      </c>
      <c r="G70" s="118">
        <f>IF(F70&lt;26,25,IF(F70&gt;135,140,IF(F70&gt;130,135,IF(F70&gt;125,130,IF(F70&gt;120,125,IF(F70&gt;115,120,IF(F70&gt;110,115,IF(F70&gt;105,110,IF(F70&gt;100,105,IF(F70&gt;99,100,IF(F70&gt;90,99,IF(F70&gt;75,90,IF(F70&gt;72,75,IF(F70&gt;66,72,IF(F70&gt;60,66,IF(F70&gt;50,60,IF(F70&gt;30,50,IF(F70&gt;25,30,0))))))))))))))))))</f>
        <v>50</v>
      </c>
      <c r="H70" s="119">
        <f t="shared" ref="H70:H83" si="2">G70-F70</f>
        <v>8.2866666666666688</v>
      </c>
      <c r="I70" s="118" t="str">
        <f>IF(I$65&lt;H70, "NO", "YES")</f>
        <v>NO</v>
      </c>
      <c r="J70" s="117">
        <f t="shared" ref="J70:J83" si="3">IF(I70="YES",G70,(MIN((SUM(F70,$I$65)),G70)))</f>
        <v>42.713333333333331</v>
      </c>
    </row>
    <row r="71" spans="2:10" ht="15" customHeight="1">
      <c r="B71" s="114">
        <v>2020</v>
      </c>
      <c r="C71" s="433">
        <f>E51</f>
        <v>38</v>
      </c>
      <c r="D71" s="408"/>
      <c r="E71" s="121">
        <f>E65</f>
        <v>0.97007751937984488</v>
      </c>
      <c r="F71" s="120">
        <f t="shared" si="1"/>
        <v>36.862945736434106</v>
      </c>
      <c r="G71" s="118">
        <f t="shared" ref="G71:G83" si="4">IF(F71&lt;26,25,IF(F71&gt;135,140,IF(F71&gt;130,135,IF(F71&gt;125,130,IF(F71&gt;120,125,IF(F71&gt;115,120,IF(F71&gt;110,115,IF(F71&gt;105,110,IF(F71&gt;100,105,IF(F71&gt;99,100,IF(F71&gt;90,99,IF(F71&gt;75,90,IF(F71&gt;72,75,IF(F71&gt;66,72,IF(F71&gt;60,66,IF(F71&gt;50,60,IF(F71&gt;30,50,IF(F71&gt;25,30,0))))))))))))))))))</f>
        <v>50</v>
      </c>
      <c r="H71" s="119">
        <f t="shared" si="2"/>
        <v>13.137054263565894</v>
      </c>
      <c r="I71" s="118" t="str">
        <f t="shared" ref="I71:I83" si="5">IF(I$65&lt;H71, "NO", "YES")</f>
        <v>NO</v>
      </c>
      <c r="J71" s="117">
        <f t="shared" si="3"/>
        <v>37.862945736434106</v>
      </c>
    </row>
    <row r="72" spans="2:10" ht="15" customHeight="1">
      <c r="B72" s="114">
        <v>2021</v>
      </c>
      <c r="C72" s="430">
        <f>F51</f>
        <v>42</v>
      </c>
      <c r="D72" s="431"/>
      <c r="E72" s="121">
        <f>E65</f>
        <v>0.97007751937984488</v>
      </c>
      <c r="F72" s="120">
        <f t="shared" si="1"/>
        <v>40.743255813953482</v>
      </c>
      <c r="G72" s="118">
        <f t="shared" si="4"/>
        <v>50</v>
      </c>
      <c r="H72" s="119">
        <f t="shared" si="2"/>
        <v>9.2567441860465181</v>
      </c>
      <c r="I72" s="118" t="str">
        <f t="shared" si="5"/>
        <v>NO</v>
      </c>
      <c r="J72" s="117">
        <f t="shared" si="3"/>
        <v>41.743255813953482</v>
      </c>
    </row>
    <row r="73" spans="2:10" ht="15" customHeight="1">
      <c r="B73" s="114">
        <v>2022</v>
      </c>
      <c r="C73" s="430">
        <f>G51</f>
        <v>33</v>
      </c>
      <c r="D73" s="431"/>
      <c r="E73" s="121">
        <f>E65</f>
        <v>0.97007751937984488</v>
      </c>
      <c r="F73" s="120">
        <f t="shared" si="1"/>
        <v>32.012558139534882</v>
      </c>
      <c r="G73" s="118">
        <f t="shared" si="4"/>
        <v>50</v>
      </c>
      <c r="H73" s="119">
        <f t="shared" si="2"/>
        <v>17.987441860465118</v>
      </c>
      <c r="I73" s="118" t="str">
        <f t="shared" si="5"/>
        <v>NO</v>
      </c>
      <c r="J73" s="117">
        <f t="shared" si="3"/>
        <v>33.012558139534882</v>
      </c>
    </row>
    <row r="74" spans="2:10" ht="15" customHeight="1">
      <c r="B74" s="114">
        <v>2023</v>
      </c>
      <c r="C74" s="430">
        <f>H51</f>
        <v>38</v>
      </c>
      <c r="D74" s="431"/>
      <c r="E74" s="121">
        <f>E65</f>
        <v>0.97007751937984488</v>
      </c>
      <c r="F74" s="120">
        <f t="shared" si="1"/>
        <v>36.862945736434106</v>
      </c>
      <c r="G74" s="118">
        <f t="shared" si="4"/>
        <v>50</v>
      </c>
      <c r="H74" s="119">
        <f t="shared" si="2"/>
        <v>13.137054263565894</v>
      </c>
      <c r="I74" s="118" t="str">
        <f t="shared" si="5"/>
        <v>NO</v>
      </c>
      <c r="J74" s="117">
        <f t="shared" si="3"/>
        <v>37.862945736434106</v>
      </c>
    </row>
    <row r="75" spans="2:10" ht="15" customHeight="1">
      <c r="B75" s="114">
        <v>2024</v>
      </c>
      <c r="C75" s="430">
        <f>I51</f>
        <v>39</v>
      </c>
      <c r="D75" s="431"/>
      <c r="E75" s="121">
        <f>E65</f>
        <v>0.97007751937984488</v>
      </c>
      <c r="F75" s="120">
        <f t="shared" si="1"/>
        <v>37.833023255813949</v>
      </c>
      <c r="G75" s="118">
        <f t="shared" si="4"/>
        <v>50</v>
      </c>
      <c r="H75" s="119">
        <f t="shared" si="2"/>
        <v>12.166976744186051</v>
      </c>
      <c r="I75" s="118" t="str">
        <f t="shared" si="5"/>
        <v>NO</v>
      </c>
      <c r="J75" s="117">
        <f t="shared" si="3"/>
        <v>38.833023255813949</v>
      </c>
    </row>
    <row r="76" spans="2:10" ht="15" customHeight="1">
      <c r="B76" s="114">
        <v>2025</v>
      </c>
      <c r="C76" s="430">
        <f>J51</f>
        <v>39</v>
      </c>
      <c r="D76" s="431"/>
      <c r="E76" s="121">
        <f>E65</f>
        <v>0.97007751937984488</v>
      </c>
      <c r="F76" s="120">
        <f t="shared" si="1"/>
        <v>37.833023255813949</v>
      </c>
      <c r="G76" s="118">
        <f t="shared" si="4"/>
        <v>50</v>
      </c>
      <c r="H76" s="119">
        <f t="shared" si="2"/>
        <v>12.166976744186051</v>
      </c>
      <c r="I76" s="118" t="str">
        <f t="shared" si="5"/>
        <v>NO</v>
      </c>
      <c r="J76" s="117">
        <f t="shared" si="3"/>
        <v>38.833023255813949</v>
      </c>
    </row>
    <row r="77" spans="2:10" ht="15" customHeight="1">
      <c r="B77" s="114">
        <v>2026</v>
      </c>
      <c r="C77" s="430">
        <f>K51</f>
        <v>39</v>
      </c>
      <c r="D77" s="431"/>
      <c r="E77" s="121">
        <f>E65</f>
        <v>0.97007751937984488</v>
      </c>
      <c r="F77" s="120">
        <f t="shared" si="1"/>
        <v>37.833023255813949</v>
      </c>
      <c r="G77" s="118">
        <f t="shared" si="4"/>
        <v>50</v>
      </c>
      <c r="H77" s="119">
        <f t="shared" si="2"/>
        <v>12.166976744186051</v>
      </c>
      <c r="I77" s="118" t="str">
        <f t="shared" si="5"/>
        <v>NO</v>
      </c>
      <c r="J77" s="117">
        <f t="shared" si="3"/>
        <v>38.833023255813949</v>
      </c>
    </row>
    <row r="78" spans="2:10" ht="15" customHeight="1">
      <c r="B78" s="114">
        <v>2027</v>
      </c>
      <c r="C78" s="430">
        <f>L51</f>
        <v>40</v>
      </c>
      <c r="D78" s="431"/>
      <c r="E78" s="121">
        <f>E65</f>
        <v>0.97007751937984488</v>
      </c>
      <c r="F78" s="120">
        <f t="shared" si="1"/>
        <v>38.803100775193798</v>
      </c>
      <c r="G78" s="118">
        <f t="shared" si="4"/>
        <v>50</v>
      </c>
      <c r="H78" s="119">
        <f t="shared" si="2"/>
        <v>11.196899224806202</v>
      </c>
      <c r="I78" s="118" t="str">
        <f t="shared" si="5"/>
        <v>NO</v>
      </c>
      <c r="J78" s="117">
        <f t="shared" si="3"/>
        <v>39.803100775193798</v>
      </c>
    </row>
    <row r="79" spans="2:10" ht="15" customHeight="1">
      <c r="B79" s="114">
        <v>2028</v>
      </c>
      <c r="C79" s="430">
        <f>M51</f>
        <v>40</v>
      </c>
      <c r="D79" s="431"/>
      <c r="E79" s="121">
        <f t="shared" ref="E79:E83" si="6">$E$65</f>
        <v>0.97007751937984488</v>
      </c>
      <c r="F79" s="120">
        <f t="shared" si="1"/>
        <v>38.803100775193798</v>
      </c>
      <c r="G79" s="118">
        <f t="shared" si="4"/>
        <v>50</v>
      </c>
      <c r="H79" s="119">
        <f t="shared" si="2"/>
        <v>11.196899224806202</v>
      </c>
      <c r="I79" s="118" t="str">
        <f t="shared" si="5"/>
        <v>NO</v>
      </c>
      <c r="J79" s="117">
        <f t="shared" si="3"/>
        <v>39.803100775193798</v>
      </c>
    </row>
    <row r="80" spans="2:10" ht="15" customHeight="1">
      <c r="B80" s="114">
        <v>2029</v>
      </c>
      <c r="C80" s="430">
        <f>N51</f>
        <v>40</v>
      </c>
      <c r="D80" s="431"/>
      <c r="E80" s="121">
        <f t="shared" si="6"/>
        <v>0.97007751937984488</v>
      </c>
      <c r="F80" s="120">
        <f t="shared" si="1"/>
        <v>38.803100775193798</v>
      </c>
      <c r="G80" s="118">
        <f t="shared" si="4"/>
        <v>50</v>
      </c>
      <c r="H80" s="119">
        <f t="shared" si="2"/>
        <v>11.196899224806202</v>
      </c>
      <c r="I80" s="118" t="str">
        <f t="shared" si="5"/>
        <v>NO</v>
      </c>
      <c r="J80" s="117">
        <f t="shared" si="3"/>
        <v>39.803100775193798</v>
      </c>
    </row>
    <row r="81" spans="2:10" ht="15" customHeight="1">
      <c r="B81" s="114">
        <v>2030</v>
      </c>
      <c r="C81" s="430">
        <f>O51</f>
        <v>40</v>
      </c>
      <c r="D81" s="431"/>
      <c r="E81" s="121">
        <f t="shared" si="6"/>
        <v>0.97007751937984488</v>
      </c>
      <c r="F81" s="120">
        <f t="shared" si="1"/>
        <v>38.803100775193798</v>
      </c>
      <c r="G81" s="118">
        <f t="shared" si="4"/>
        <v>50</v>
      </c>
      <c r="H81" s="119">
        <f t="shared" si="2"/>
        <v>11.196899224806202</v>
      </c>
      <c r="I81" s="118" t="str">
        <f t="shared" si="5"/>
        <v>NO</v>
      </c>
      <c r="J81" s="117">
        <f t="shared" si="3"/>
        <v>39.803100775193798</v>
      </c>
    </row>
    <row r="82" spans="2:10" ht="15" customHeight="1">
      <c r="B82" s="114">
        <v>2031</v>
      </c>
      <c r="C82" s="430">
        <f>P51</f>
        <v>40</v>
      </c>
      <c r="D82" s="431"/>
      <c r="E82" s="121">
        <f t="shared" si="6"/>
        <v>0.97007751937984488</v>
      </c>
      <c r="F82" s="120">
        <f t="shared" si="1"/>
        <v>38.803100775193798</v>
      </c>
      <c r="G82" s="118">
        <f t="shared" si="4"/>
        <v>50</v>
      </c>
      <c r="H82" s="119">
        <f t="shared" si="2"/>
        <v>11.196899224806202</v>
      </c>
      <c r="I82" s="118" t="str">
        <f t="shared" si="5"/>
        <v>NO</v>
      </c>
      <c r="J82" s="117">
        <f t="shared" si="3"/>
        <v>39.803100775193798</v>
      </c>
    </row>
    <row r="83" spans="2:10" ht="15" customHeight="1">
      <c r="B83" s="114">
        <v>2032</v>
      </c>
      <c r="C83" s="430">
        <f>Q51</f>
        <v>40</v>
      </c>
      <c r="D83" s="431"/>
      <c r="E83" s="121">
        <f t="shared" si="6"/>
        <v>0.97007751937984488</v>
      </c>
      <c r="F83" s="120">
        <f t="shared" si="1"/>
        <v>38.803100775193798</v>
      </c>
      <c r="G83" s="118">
        <f t="shared" si="4"/>
        <v>50</v>
      </c>
      <c r="H83" s="119">
        <f t="shared" si="2"/>
        <v>11.196899224806202</v>
      </c>
      <c r="I83" s="118" t="str">
        <f t="shared" si="5"/>
        <v>NO</v>
      </c>
      <c r="J83" s="117">
        <f t="shared" si="3"/>
        <v>39.803100775193798</v>
      </c>
    </row>
    <row r="84" spans="2:10" ht="15" customHeight="1">
      <c r="C84" s="16"/>
      <c r="D84" s="16"/>
      <c r="E84" s="16"/>
      <c r="F84" s="16"/>
      <c r="G84" s="16"/>
      <c r="H84" s="16"/>
    </row>
    <row r="85" spans="2:10" ht="15" customHeight="1">
      <c r="B85" s="11" t="s">
        <v>186</v>
      </c>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St Ninian's RC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26</v>
      </c>
      <c r="D91" s="112">
        <f t="shared" ref="D91:J91" si="7">D188</f>
        <v>37</v>
      </c>
      <c r="E91" s="112">
        <f t="shared" si="7"/>
        <v>43</v>
      </c>
      <c r="F91" s="112">
        <f t="shared" si="7"/>
        <v>40</v>
      </c>
      <c r="G91" s="112">
        <f t="shared" si="7"/>
        <v>17</v>
      </c>
      <c r="H91" s="112">
        <f t="shared" si="7"/>
        <v>27</v>
      </c>
      <c r="I91" s="112">
        <f t="shared" si="7"/>
        <v>27</v>
      </c>
      <c r="J91" s="213">
        <f t="shared" si="7"/>
        <v>217</v>
      </c>
    </row>
    <row r="92" spans="2:10" ht="15" customHeight="1">
      <c r="B92" s="114">
        <v>2014</v>
      </c>
      <c r="C92" s="112">
        <f>C189</f>
        <v>45</v>
      </c>
      <c r="D92" s="112">
        <f t="shared" ref="D92:J92" si="8">D189</f>
        <v>29</v>
      </c>
      <c r="E92" s="112">
        <f t="shared" si="8"/>
        <v>40</v>
      </c>
      <c r="F92" s="112">
        <f t="shared" si="8"/>
        <v>43</v>
      </c>
      <c r="G92" s="112">
        <f t="shared" si="8"/>
        <v>38</v>
      </c>
      <c r="H92" s="112">
        <f t="shared" si="8"/>
        <v>17</v>
      </c>
      <c r="I92" s="112">
        <f t="shared" si="8"/>
        <v>28</v>
      </c>
      <c r="J92" s="213">
        <f t="shared" si="8"/>
        <v>240</v>
      </c>
    </row>
    <row r="93" spans="2:10" ht="15" customHeight="1">
      <c r="B93" s="114">
        <v>2015</v>
      </c>
      <c r="C93" s="112">
        <f>C190</f>
        <v>50</v>
      </c>
      <c r="D93" s="112">
        <f t="shared" ref="D93:J93" si="9">D190</f>
        <v>44</v>
      </c>
      <c r="E93" s="112">
        <f t="shared" si="9"/>
        <v>30</v>
      </c>
      <c r="F93" s="112">
        <f t="shared" si="9"/>
        <v>38</v>
      </c>
      <c r="G93" s="112">
        <f t="shared" si="9"/>
        <v>40</v>
      </c>
      <c r="H93" s="112">
        <f t="shared" si="9"/>
        <v>38</v>
      </c>
      <c r="I93" s="112">
        <f t="shared" si="9"/>
        <v>17</v>
      </c>
      <c r="J93" s="213">
        <f t="shared" si="9"/>
        <v>257</v>
      </c>
    </row>
    <row r="94" spans="2:10" ht="15" customHeight="1">
      <c r="B94" s="114">
        <v>2016</v>
      </c>
      <c r="C94" s="112">
        <f>C191</f>
        <v>49</v>
      </c>
      <c r="D94" s="112">
        <f t="shared" ref="D94:J94" si="10">D191</f>
        <v>53</v>
      </c>
      <c r="E94" s="112">
        <f t="shared" si="10"/>
        <v>44</v>
      </c>
      <c r="F94" s="112">
        <f t="shared" si="10"/>
        <v>30</v>
      </c>
      <c r="G94" s="112">
        <f t="shared" si="10"/>
        <v>36</v>
      </c>
      <c r="H94" s="112">
        <f t="shared" si="10"/>
        <v>38</v>
      </c>
      <c r="I94" s="112">
        <f t="shared" si="10"/>
        <v>36</v>
      </c>
      <c r="J94" s="213">
        <f t="shared" si="10"/>
        <v>286</v>
      </c>
    </row>
    <row r="95" spans="2:10" ht="15" customHeight="1">
      <c r="B95" s="114">
        <v>2017</v>
      </c>
      <c r="C95" s="112">
        <f>C192</f>
        <v>30</v>
      </c>
      <c r="D95" s="112">
        <f t="shared" ref="D95:J95" si="11">D192</f>
        <v>44</v>
      </c>
      <c r="E95" s="112">
        <f t="shared" si="11"/>
        <v>47</v>
      </c>
      <c r="F95" s="112">
        <f t="shared" si="11"/>
        <v>40</v>
      </c>
      <c r="G95" s="112">
        <f t="shared" si="11"/>
        <v>27</v>
      </c>
      <c r="H95" s="112">
        <f t="shared" si="11"/>
        <v>32</v>
      </c>
      <c r="I95" s="112">
        <f t="shared" si="11"/>
        <v>38</v>
      </c>
      <c r="J95" s="213">
        <f t="shared" si="11"/>
        <v>258</v>
      </c>
    </row>
    <row r="96" spans="2:10" ht="15" customHeight="1">
      <c r="B96" s="307">
        <v>2018</v>
      </c>
      <c r="C96" s="112">
        <f t="shared" ref="C96:J96" si="12">C193</f>
        <v>41</v>
      </c>
      <c r="D96" s="112">
        <f t="shared" si="12"/>
        <v>27</v>
      </c>
      <c r="E96" s="112">
        <f t="shared" si="12"/>
        <v>45</v>
      </c>
      <c r="F96" s="112">
        <f t="shared" si="12"/>
        <v>42</v>
      </c>
      <c r="G96" s="112">
        <f t="shared" si="12"/>
        <v>41</v>
      </c>
      <c r="H96" s="112">
        <f t="shared" si="12"/>
        <v>29</v>
      </c>
      <c r="I96" s="112">
        <f t="shared" si="12"/>
        <v>31</v>
      </c>
      <c r="J96" s="213">
        <f t="shared" si="12"/>
        <v>256</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2.2222222222222223E-2</v>
      </c>
      <c r="E98" s="210">
        <f t="shared" ref="E98:I98" si="13">MEDIAN(((D91-E92)/D91),((D92-E93)/D92),((D93-E94)/D93),((D94-E95)/D94),((D95-E96)/D95))</f>
        <v>-2.2727272727272728E-2</v>
      </c>
      <c r="F98" s="210">
        <f t="shared" si="13"/>
        <v>0.05</v>
      </c>
      <c r="G98" s="210">
        <f t="shared" si="13"/>
        <v>5.2631578947368418E-2</v>
      </c>
      <c r="H98" s="210">
        <f t="shared" si="13"/>
        <v>0</v>
      </c>
      <c r="I98" s="210">
        <f t="shared" si="13"/>
        <v>0</v>
      </c>
    </row>
    <row r="99" spans="2:10" ht="18.75">
      <c r="B99" s="59"/>
      <c r="C99" s="60"/>
      <c r="D99" s="61"/>
      <c r="E99" s="61"/>
      <c r="F99" s="61"/>
      <c r="G99" s="61"/>
      <c r="H99" s="61"/>
      <c r="I99" s="61"/>
      <c r="J99" s="58"/>
    </row>
    <row r="100" spans="2:10">
      <c r="B100" s="15" t="str">
        <f>"Table 4B: "&amp;E3&amp;" Projected Roll by Stage (incorporating Projected P1 and Drop-Off Rates), 2019-2032"</f>
        <v>Table 4B: St Ninian's RC Primary School Projected Roll by Stage (incorporating Projected P1 and Drop-Off Rates), 2019-2032</v>
      </c>
      <c r="F100" s="14"/>
      <c r="G100" s="14"/>
    </row>
    <row r="101" spans="2:10" ht="12.75">
      <c r="F101" s="14"/>
      <c r="G101" s="14"/>
    </row>
    <row r="102" spans="2:10">
      <c r="B102" s="115"/>
      <c r="C102" s="109" t="s">
        <v>1</v>
      </c>
      <c r="D102" s="109" t="s">
        <v>2</v>
      </c>
      <c r="E102" s="109" t="s">
        <v>3</v>
      </c>
      <c r="F102" s="109" t="s">
        <v>4</v>
      </c>
      <c r="G102" s="109" t="s">
        <v>5</v>
      </c>
      <c r="H102" s="109" t="s">
        <v>6</v>
      </c>
      <c r="I102" s="109" t="s">
        <v>7</v>
      </c>
      <c r="J102" s="109" t="s">
        <v>8</v>
      </c>
    </row>
    <row r="103" spans="2:10">
      <c r="B103" s="114">
        <v>2019</v>
      </c>
      <c r="C103" s="113">
        <f t="shared" ref="C103:C116" si="14">J70</f>
        <v>42.713333333333331</v>
      </c>
      <c r="D103" s="324">
        <f>ROUND((C96)-(C96*$D$98),0)</f>
        <v>40</v>
      </c>
      <c r="E103" s="324">
        <f>ROUND((D96)-(D96*$E$98),0)</f>
        <v>28</v>
      </c>
      <c r="F103" s="324">
        <f>ROUND((E96)-(E96*$F$98),0)</f>
        <v>43</v>
      </c>
      <c r="G103" s="324">
        <f>ROUND((F96)-(F96*$G$98),0)</f>
        <v>40</v>
      </c>
      <c r="H103" s="324">
        <f>ROUND((G96)-(G96*$H$98),0)</f>
        <v>41</v>
      </c>
      <c r="I103" s="324">
        <f>ROUND((H96)-(H96*$I$98),0)</f>
        <v>29</v>
      </c>
      <c r="J103" s="111">
        <f t="shared" ref="J103:J116" si="15">SUM(C103:I103)</f>
        <v>263.71333333333337</v>
      </c>
    </row>
    <row r="104" spans="2:10">
      <c r="B104" s="114">
        <v>2020</v>
      </c>
      <c r="C104" s="113">
        <f t="shared" si="14"/>
        <v>37.862945736434106</v>
      </c>
      <c r="D104" s="324">
        <f>ROUND((C103-E50)-(C103*$D$98),0)</f>
        <v>41</v>
      </c>
      <c r="E104" s="112">
        <f t="shared" ref="E104:E116" si="16">ROUND((D103)-(D103*$E$98),0)</f>
        <v>41</v>
      </c>
      <c r="F104" s="112">
        <f t="shared" ref="F104:F116" si="17">ROUND((E103)-(E103*$F$98),0)</f>
        <v>27</v>
      </c>
      <c r="G104" s="112">
        <f t="shared" ref="G104:G116" si="18">ROUND((F103)-(F103*$G$98),0)</f>
        <v>41</v>
      </c>
      <c r="H104" s="112">
        <f t="shared" ref="H104:H116" si="19">ROUND((G103)-(G103*$H$98),0)</f>
        <v>40</v>
      </c>
      <c r="I104" s="112">
        <f t="shared" ref="I104:I116" si="20">ROUND((H103)-(H103*$I$98),0)</f>
        <v>41</v>
      </c>
      <c r="J104" s="111">
        <f t="shared" si="15"/>
        <v>268.86294573643409</v>
      </c>
    </row>
    <row r="105" spans="2:10">
      <c r="B105" s="114">
        <v>2021</v>
      </c>
      <c r="C105" s="113">
        <f t="shared" si="14"/>
        <v>41.743255813953482</v>
      </c>
      <c r="D105" s="324">
        <f>ROUND((C104-F50)-(C104*$D$98),0)</f>
        <v>36</v>
      </c>
      <c r="E105" s="112">
        <f t="shared" si="16"/>
        <v>42</v>
      </c>
      <c r="F105" s="112">
        <f t="shared" si="17"/>
        <v>39</v>
      </c>
      <c r="G105" s="112">
        <f t="shared" si="18"/>
        <v>26</v>
      </c>
      <c r="H105" s="112">
        <f t="shared" si="19"/>
        <v>41</v>
      </c>
      <c r="I105" s="112">
        <f t="shared" si="20"/>
        <v>40</v>
      </c>
      <c r="J105" s="111">
        <f t="shared" si="15"/>
        <v>265.74325581395351</v>
      </c>
    </row>
    <row r="106" spans="2:10">
      <c r="B106" s="114">
        <v>2022</v>
      </c>
      <c r="C106" s="113">
        <f t="shared" si="14"/>
        <v>33.012558139534882</v>
      </c>
      <c r="D106" s="324">
        <f>ROUND((C105-G50)-(C105*$D$98),0)</f>
        <v>40</v>
      </c>
      <c r="E106" s="112">
        <f t="shared" si="16"/>
        <v>37</v>
      </c>
      <c r="F106" s="112">
        <f t="shared" si="17"/>
        <v>40</v>
      </c>
      <c r="G106" s="112">
        <f t="shared" si="18"/>
        <v>37</v>
      </c>
      <c r="H106" s="112">
        <f t="shared" si="19"/>
        <v>26</v>
      </c>
      <c r="I106" s="112">
        <f t="shared" si="20"/>
        <v>41</v>
      </c>
      <c r="J106" s="111">
        <f t="shared" si="15"/>
        <v>254.01255813953489</v>
      </c>
    </row>
    <row r="107" spans="2:10">
      <c r="B107" s="114">
        <v>2023</v>
      </c>
      <c r="C107" s="113">
        <f t="shared" si="14"/>
        <v>37.862945736434106</v>
      </c>
      <c r="D107" s="324">
        <f>ROUND((C106-H50)-(C106*$D$98),0)</f>
        <v>31</v>
      </c>
      <c r="E107" s="112">
        <f t="shared" si="16"/>
        <v>41</v>
      </c>
      <c r="F107" s="112">
        <f t="shared" si="17"/>
        <v>35</v>
      </c>
      <c r="G107" s="112">
        <f t="shared" si="18"/>
        <v>38</v>
      </c>
      <c r="H107" s="112">
        <f t="shared" si="19"/>
        <v>37</v>
      </c>
      <c r="I107" s="112">
        <f t="shared" si="20"/>
        <v>26</v>
      </c>
      <c r="J107" s="111">
        <f t="shared" si="15"/>
        <v>245.86294573643411</v>
      </c>
    </row>
    <row r="108" spans="2:10">
      <c r="B108" s="114">
        <v>2024</v>
      </c>
      <c r="C108" s="113">
        <f t="shared" si="14"/>
        <v>38.833023255813949</v>
      </c>
      <c r="D108" s="324">
        <f>ROUND((C107-I50)-(C107*$D$98),0)</f>
        <v>36</v>
      </c>
      <c r="E108" s="112">
        <f t="shared" si="16"/>
        <v>32</v>
      </c>
      <c r="F108" s="112">
        <f t="shared" si="17"/>
        <v>39</v>
      </c>
      <c r="G108" s="112">
        <f t="shared" si="18"/>
        <v>33</v>
      </c>
      <c r="H108" s="112">
        <f t="shared" si="19"/>
        <v>38</v>
      </c>
      <c r="I108" s="112">
        <f t="shared" si="20"/>
        <v>37</v>
      </c>
      <c r="J108" s="111">
        <f t="shared" si="15"/>
        <v>253.83302325581394</v>
      </c>
    </row>
    <row r="109" spans="2:10">
      <c r="B109" s="114">
        <v>2025</v>
      </c>
      <c r="C109" s="113">
        <f t="shared" si="14"/>
        <v>38.833023255813949</v>
      </c>
      <c r="D109" s="324">
        <f>ROUND((C108-J50)-(C108*$D$98),0)</f>
        <v>37</v>
      </c>
      <c r="E109" s="112">
        <f t="shared" si="16"/>
        <v>37</v>
      </c>
      <c r="F109" s="112">
        <f t="shared" si="17"/>
        <v>30</v>
      </c>
      <c r="G109" s="112">
        <f t="shared" si="18"/>
        <v>37</v>
      </c>
      <c r="H109" s="112">
        <f t="shared" si="19"/>
        <v>33</v>
      </c>
      <c r="I109" s="112">
        <f t="shared" si="20"/>
        <v>38</v>
      </c>
      <c r="J109" s="111">
        <f t="shared" si="15"/>
        <v>250.83302325581394</v>
      </c>
    </row>
    <row r="110" spans="2:10">
      <c r="B110" s="114">
        <v>2026</v>
      </c>
      <c r="C110" s="113">
        <f t="shared" si="14"/>
        <v>38.833023255813949</v>
      </c>
      <c r="D110" s="324">
        <f>ROUND((C109-K50)-(C109*$D$98),0)</f>
        <v>37</v>
      </c>
      <c r="E110" s="112">
        <f t="shared" si="16"/>
        <v>38</v>
      </c>
      <c r="F110" s="112">
        <f t="shared" si="17"/>
        <v>35</v>
      </c>
      <c r="G110" s="112">
        <f t="shared" si="18"/>
        <v>28</v>
      </c>
      <c r="H110" s="112">
        <f t="shared" si="19"/>
        <v>37</v>
      </c>
      <c r="I110" s="112">
        <f t="shared" si="20"/>
        <v>33</v>
      </c>
      <c r="J110" s="111">
        <f t="shared" si="15"/>
        <v>246.83302325581394</v>
      </c>
    </row>
    <row r="111" spans="2:10">
      <c r="B111" s="114">
        <v>2027</v>
      </c>
      <c r="C111" s="113">
        <f t="shared" si="14"/>
        <v>39.803100775193798</v>
      </c>
      <c r="D111" s="324">
        <f>ROUND((C110-L50)-(C110*$D$98),0)</f>
        <v>37</v>
      </c>
      <c r="E111" s="112">
        <f t="shared" si="16"/>
        <v>38</v>
      </c>
      <c r="F111" s="112">
        <f t="shared" si="17"/>
        <v>36</v>
      </c>
      <c r="G111" s="112">
        <f t="shared" si="18"/>
        <v>33</v>
      </c>
      <c r="H111" s="112">
        <f t="shared" si="19"/>
        <v>28</v>
      </c>
      <c r="I111" s="112">
        <f t="shared" si="20"/>
        <v>37</v>
      </c>
      <c r="J111" s="111">
        <f t="shared" si="15"/>
        <v>248.8031007751938</v>
      </c>
    </row>
    <row r="112" spans="2:10">
      <c r="B112" s="114">
        <v>2028</v>
      </c>
      <c r="C112" s="113">
        <f t="shared" si="14"/>
        <v>39.803100775193798</v>
      </c>
      <c r="D112" s="324">
        <f>ROUND((C111-M50)-(C111*$D$98),0)</f>
        <v>38</v>
      </c>
      <c r="E112" s="112">
        <f t="shared" si="16"/>
        <v>38</v>
      </c>
      <c r="F112" s="112">
        <f t="shared" si="17"/>
        <v>36</v>
      </c>
      <c r="G112" s="112">
        <f t="shared" si="18"/>
        <v>34</v>
      </c>
      <c r="H112" s="112">
        <f t="shared" si="19"/>
        <v>33</v>
      </c>
      <c r="I112" s="112">
        <f t="shared" si="20"/>
        <v>28</v>
      </c>
      <c r="J112" s="111">
        <f t="shared" si="15"/>
        <v>246.8031007751938</v>
      </c>
    </row>
    <row r="113" spans="2:10" ht="15" customHeight="1">
      <c r="B113" s="114">
        <v>2029</v>
      </c>
      <c r="C113" s="113">
        <f t="shared" si="14"/>
        <v>39.803100775193798</v>
      </c>
      <c r="D113" s="324">
        <f>ROUND((C112-N50)-(C112*$D$98),0)</f>
        <v>38</v>
      </c>
      <c r="E113" s="112">
        <f t="shared" si="16"/>
        <v>39</v>
      </c>
      <c r="F113" s="112">
        <f t="shared" si="17"/>
        <v>36</v>
      </c>
      <c r="G113" s="112">
        <f t="shared" si="18"/>
        <v>34</v>
      </c>
      <c r="H113" s="112">
        <f t="shared" si="19"/>
        <v>34</v>
      </c>
      <c r="I113" s="112">
        <f t="shared" si="20"/>
        <v>33</v>
      </c>
      <c r="J113" s="111">
        <f t="shared" si="15"/>
        <v>253.8031007751938</v>
      </c>
    </row>
    <row r="114" spans="2:10" ht="15" customHeight="1">
      <c r="B114" s="114">
        <v>2030</v>
      </c>
      <c r="C114" s="113">
        <f t="shared" si="14"/>
        <v>39.803100775193798</v>
      </c>
      <c r="D114" s="324">
        <f>ROUND((C113-O50)-(C113*$D$98),0)</f>
        <v>38</v>
      </c>
      <c r="E114" s="112">
        <f t="shared" si="16"/>
        <v>39</v>
      </c>
      <c r="F114" s="112">
        <f t="shared" si="17"/>
        <v>37</v>
      </c>
      <c r="G114" s="112">
        <f t="shared" si="18"/>
        <v>34</v>
      </c>
      <c r="H114" s="112">
        <f t="shared" si="19"/>
        <v>34</v>
      </c>
      <c r="I114" s="112">
        <f t="shared" si="20"/>
        <v>34</v>
      </c>
      <c r="J114" s="111">
        <f t="shared" si="15"/>
        <v>255.8031007751938</v>
      </c>
    </row>
    <row r="115" spans="2:10" ht="15" customHeight="1">
      <c r="B115" s="114">
        <v>2031</v>
      </c>
      <c r="C115" s="113">
        <f t="shared" si="14"/>
        <v>39.803100775193798</v>
      </c>
      <c r="D115" s="324">
        <f>ROUND((C114-P50)-(C114*$D$98),0)</f>
        <v>38</v>
      </c>
      <c r="E115" s="112">
        <f t="shared" si="16"/>
        <v>39</v>
      </c>
      <c r="F115" s="112">
        <f t="shared" si="17"/>
        <v>37</v>
      </c>
      <c r="G115" s="112">
        <f t="shared" si="18"/>
        <v>35</v>
      </c>
      <c r="H115" s="112">
        <f t="shared" si="19"/>
        <v>34</v>
      </c>
      <c r="I115" s="112">
        <f t="shared" si="20"/>
        <v>34</v>
      </c>
      <c r="J115" s="111">
        <f t="shared" si="15"/>
        <v>256.8031007751938</v>
      </c>
    </row>
    <row r="116" spans="2:10" ht="15" customHeight="1">
      <c r="B116" s="114">
        <v>2032</v>
      </c>
      <c r="C116" s="113">
        <f t="shared" si="14"/>
        <v>39.803100775193798</v>
      </c>
      <c r="D116" s="324">
        <f>ROUND((C115-Q50)-(C115*$D$98),0)</f>
        <v>38</v>
      </c>
      <c r="E116" s="112">
        <f t="shared" si="16"/>
        <v>39</v>
      </c>
      <c r="F116" s="112">
        <f t="shared" si="17"/>
        <v>37</v>
      </c>
      <c r="G116" s="112">
        <f t="shared" si="18"/>
        <v>35</v>
      </c>
      <c r="H116" s="112">
        <f t="shared" si="19"/>
        <v>35</v>
      </c>
      <c r="I116" s="112">
        <f t="shared" si="20"/>
        <v>34</v>
      </c>
      <c r="J116" s="111">
        <f t="shared" si="15"/>
        <v>257.8031007751938</v>
      </c>
    </row>
    <row r="117" spans="2:10" ht="15" hidden="1" customHeight="1">
      <c r="F117" s="14"/>
      <c r="G117" s="14"/>
    </row>
    <row r="118" spans="2:10" ht="15" hidden="1" customHeight="1">
      <c r="B118" s="15" t="str">
        <f>"Table 4C: "&amp;E3&amp;" Projected Pupil Generation from Housing Development, 2019-2032"</f>
        <v>Table 4C: St Ninian's RC Primary School Projected Pupil Generation from Housing Development, 2019-2032</v>
      </c>
      <c r="F118" s="14"/>
      <c r="G118" s="14"/>
    </row>
    <row r="119" spans="2:10" ht="15" hidden="1" customHeight="1">
      <c r="F119" s="14"/>
      <c r="G119" s="14"/>
    </row>
    <row r="120" spans="2:10" ht="15" hidden="1" customHeight="1">
      <c r="B120" s="115"/>
      <c r="C120" s="109" t="s">
        <v>1</v>
      </c>
      <c r="D120" s="109" t="s">
        <v>2</v>
      </c>
      <c r="E120" s="109" t="s">
        <v>3</v>
      </c>
      <c r="F120" s="109" t="s">
        <v>4</v>
      </c>
      <c r="G120" s="109" t="s">
        <v>5</v>
      </c>
      <c r="H120" s="109" t="s">
        <v>6</v>
      </c>
      <c r="I120" s="109" t="s">
        <v>7</v>
      </c>
      <c r="J120" s="109" t="s">
        <v>8</v>
      </c>
    </row>
    <row r="121" spans="2:10" ht="15" hidden="1" customHeight="1">
      <c r="B121" s="114">
        <v>2019</v>
      </c>
      <c r="C121" s="116" t="s">
        <v>97</v>
      </c>
      <c r="D121" s="112">
        <f>VLOOKUP($E$3,'Housing Generation'!$A$3:$BE$90,11,FALSE)</f>
        <v>0</v>
      </c>
      <c r="E121" s="112">
        <f>VLOOKUP($E$3,'Housing Generation'!$A$3:$BE$90,12,FALSE)</f>
        <v>0</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0</v>
      </c>
    </row>
    <row r="122" spans="2:10" ht="15" hidden="1" customHeight="1">
      <c r="B122" s="114">
        <v>2020</v>
      </c>
      <c r="C122" s="116" t="s">
        <v>97</v>
      </c>
      <c r="D122" s="112">
        <f>VLOOKUP($E$3,'Housing Generation'!$A$3:$BE$90,19,FALSE)</f>
        <v>1</v>
      </c>
      <c r="E122" s="112">
        <f>VLOOKUP($E$3,'Housing Generation'!$A$3:$BE$90,20,FALSE)</f>
        <v>1</v>
      </c>
      <c r="F122" s="112">
        <f>VLOOKUP($E$3,'Housing Generation'!$A$3:$BE$90,21,FALSE)</f>
        <v>0</v>
      </c>
      <c r="G122" s="112">
        <f>VLOOKUP($E$3,'Housing Generation'!$A$3:$BE$90,22,FALSE)</f>
        <v>0</v>
      </c>
      <c r="H122" s="112">
        <f>VLOOKUP($E$3,'Housing Generation'!$A$3:$BE$90,23,FALSE)</f>
        <v>0</v>
      </c>
      <c r="I122" s="112">
        <f>VLOOKUP($E$3,'Housing Generation'!$A$3:$BE$90,24,FALSE)</f>
        <v>0</v>
      </c>
      <c r="J122" s="111">
        <f t="shared" si="21"/>
        <v>2</v>
      </c>
    </row>
    <row r="123" spans="2:10" ht="15" hidden="1" customHeight="1">
      <c r="B123" s="114">
        <v>2021</v>
      </c>
      <c r="C123" s="116" t="s">
        <v>97</v>
      </c>
      <c r="D123" s="112">
        <f>VLOOKUP($E$3,'Housing Generation'!$A$3:$BE$90,27,FALSE)</f>
        <v>1</v>
      </c>
      <c r="E123" s="112">
        <f>VLOOKUP($E$3,'Housing Generation'!$A$3:$BE$90,28,FALSE)</f>
        <v>1</v>
      </c>
      <c r="F123" s="112">
        <f>VLOOKUP($E$3,'Housing Generation'!$A$3:$BE$90,29,FALSE)</f>
        <v>1</v>
      </c>
      <c r="G123" s="112">
        <f>VLOOKUP($E$3,'Housing Generation'!$A$3:$BE$90,30,FALSE)</f>
        <v>0</v>
      </c>
      <c r="H123" s="112">
        <f>VLOOKUP($E$3,'Housing Generation'!$A$3:$BE$90,31,FALSE)</f>
        <v>0</v>
      </c>
      <c r="I123" s="112">
        <f>VLOOKUP($E$3,'Housing Generation'!$A$3:$BE$90,32,FALSE)</f>
        <v>0</v>
      </c>
      <c r="J123" s="111">
        <f t="shared" si="21"/>
        <v>3</v>
      </c>
    </row>
    <row r="124" spans="2:10" ht="15" hidden="1" customHeight="1">
      <c r="B124" s="114">
        <v>2022</v>
      </c>
      <c r="C124" s="116" t="s">
        <v>97</v>
      </c>
      <c r="D124" s="112">
        <f>VLOOKUP($E$3,'Housing Generation'!$A$3:$BE$90,35,FALSE)</f>
        <v>1</v>
      </c>
      <c r="E124" s="112">
        <f>VLOOKUP($E$3,'Housing Generation'!$A$3:$BE$90,36,FALSE)</f>
        <v>1</v>
      </c>
      <c r="F124" s="112">
        <f>VLOOKUP($E$3,'Housing Generation'!$A$3:$BE$90,37,FALSE)</f>
        <v>1</v>
      </c>
      <c r="G124" s="112">
        <f>VLOOKUP($E$3,'Housing Generation'!$A$3:$BE$90,38,FALSE)</f>
        <v>1</v>
      </c>
      <c r="H124" s="112">
        <f>VLOOKUP($E$3,'Housing Generation'!$A$3:$BE$90,39,FALSE)</f>
        <v>0</v>
      </c>
      <c r="I124" s="112">
        <f>VLOOKUP($E$3,'Housing Generation'!$A$3:$BE$90,40,FALSE)</f>
        <v>0</v>
      </c>
      <c r="J124" s="111">
        <f t="shared" si="21"/>
        <v>4</v>
      </c>
    </row>
    <row r="125" spans="2:10" ht="15" hidden="1" customHeight="1">
      <c r="B125" s="114">
        <v>2023</v>
      </c>
      <c r="C125" s="116" t="s">
        <v>97</v>
      </c>
      <c r="D125" s="112">
        <f>VLOOKUP($E$3,'Housing Generation'!$A$3:$BE$90,43,FALSE)</f>
        <v>1</v>
      </c>
      <c r="E125" s="112">
        <f>VLOOKUP($E$3,'Housing Generation'!$A$3:$BE$90,44,FALSE)</f>
        <v>1</v>
      </c>
      <c r="F125" s="112">
        <f>VLOOKUP($E$3,'Housing Generation'!$A$3:$BE$90,45,FALSE)</f>
        <v>1</v>
      </c>
      <c r="G125" s="112">
        <f>VLOOKUP($E$3,'Housing Generation'!$A$3:$BE$90,46,FALSE)</f>
        <v>1</v>
      </c>
      <c r="H125" s="112">
        <f>VLOOKUP($E$3,'Housing Generation'!$A$3:$BE$90,47,FALSE)</f>
        <v>0</v>
      </c>
      <c r="I125" s="112">
        <f>VLOOKUP($E$3,'Housing Generation'!$A$3:$BE$90,48,FALSE)</f>
        <v>0</v>
      </c>
      <c r="J125" s="111">
        <f t="shared" si="21"/>
        <v>4</v>
      </c>
    </row>
    <row r="126" spans="2:10" ht="15" hidden="1" customHeight="1">
      <c r="B126" s="114">
        <v>2024</v>
      </c>
      <c r="C126" s="116" t="s">
        <v>97</v>
      </c>
      <c r="D126" s="112">
        <f>VLOOKUP($E$3,'Housing Generation'!$A$3:$BE$90,51,FALSE)</f>
        <v>1</v>
      </c>
      <c r="E126" s="112">
        <f>VLOOKUP($E$3,'Housing Generation'!$A$3:$BE$90,52,FALSE)</f>
        <v>1</v>
      </c>
      <c r="F126" s="112">
        <f>VLOOKUP($E$3,'Housing Generation'!$A$3:$BE$90,53,FALSE)</f>
        <v>1</v>
      </c>
      <c r="G126" s="112">
        <f>VLOOKUP($E$3,'Housing Generation'!$A$3:$BE$90,54,FALSE)</f>
        <v>1</v>
      </c>
      <c r="H126" s="112">
        <f>VLOOKUP($E$3,'Housing Generation'!$A$3:$BE$90,55,FALSE)</f>
        <v>0</v>
      </c>
      <c r="I126" s="112">
        <f>VLOOKUP($E$3,'Housing Generation'!$A$3:$BE$90,56,FALSE)</f>
        <v>0</v>
      </c>
      <c r="J126" s="111">
        <f t="shared" si="21"/>
        <v>4</v>
      </c>
    </row>
    <row r="127" spans="2:10" ht="15" hidden="1" customHeight="1">
      <c r="B127" s="114">
        <v>2025</v>
      </c>
      <c r="C127" s="240" t="s">
        <v>97</v>
      </c>
      <c r="D127" s="112">
        <f>VLOOKUP($E$3,'Housing Generation'!$A$3:$CK$90,59,FALSE)</f>
        <v>1</v>
      </c>
      <c r="E127" s="112">
        <f>VLOOKUP($E$3,'Housing Generation'!$A$3:$CK$90,60,FALSE)</f>
        <v>1</v>
      </c>
      <c r="F127" s="112">
        <f>VLOOKUP($E$3,'Housing Generation'!$A$3:$CK$90,61,FALSE)</f>
        <v>1</v>
      </c>
      <c r="G127" s="112">
        <f>VLOOKUP($E$3,'Housing Generation'!$A$3:$CK$90,62,FALSE)</f>
        <v>1</v>
      </c>
      <c r="H127" s="112">
        <f>VLOOKUP($E$3,'Housing Generation'!$A$3:$CK$90,63,FALSE)</f>
        <v>1</v>
      </c>
      <c r="I127" s="112">
        <f>VLOOKUP($E$3,'Housing Generation'!$A$3:$CK$90,64,FALSE)</f>
        <v>0</v>
      </c>
      <c r="J127" s="111">
        <f t="shared" si="21"/>
        <v>5</v>
      </c>
    </row>
    <row r="128" spans="2:10" ht="15" hidden="1" customHeight="1">
      <c r="B128" s="114">
        <v>2026</v>
      </c>
      <c r="C128" s="240" t="s">
        <v>97</v>
      </c>
      <c r="D128" s="112">
        <f>VLOOKUP($E$3,'Housing Generation'!$A$3:$CK$90,67,FALSE)</f>
        <v>1</v>
      </c>
      <c r="E128" s="112">
        <f>VLOOKUP($E$3,'Housing Generation'!$A$3:$CK$90,68,FALSE)</f>
        <v>1</v>
      </c>
      <c r="F128" s="112">
        <f>VLOOKUP($E$3,'Housing Generation'!$A$3:$CK$90,69,FALSE)</f>
        <v>1</v>
      </c>
      <c r="G128" s="112">
        <f>VLOOKUP($E$3,'Housing Generation'!$A$3:$CK$90,70,FALSE)</f>
        <v>1</v>
      </c>
      <c r="H128" s="112">
        <f>VLOOKUP($E$3,'Housing Generation'!$A$3:$CK$90,71,FALSE)</f>
        <v>1</v>
      </c>
      <c r="I128" s="112">
        <f>VLOOKUP($E$3,'Housing Generation'!$A$3:$CK$90,72,FALSE)</f>
        <v>0</v>
      </c>
      <c r="J128" s="111">
        <f t="shared" si="21"/>
        <v>5</v>
      </c>
    </row>
    <row r="129" spans="2:10" ht="15" hidden="1" customHeight="1">
      <c r="B129" s="114">
        <v>2027</v>
      </c>
      <c r="C129" s="240" t="s">
        <v>97</v>
      </c>
      <c r="D129" s="112">
        <f>VLOOKUP($E$3,'Housing Generation'!$A$3:$CK$90,75,FALSE)</f>
        <v>1</v>
      </c>
      <c r="E129" s="112">
        <f>VLOOKUP($E$3,'Housing Generation'!$A$3:$CK$90,76,FALSE)</f>
        <v>1</v>
      </c>
      <c r="F129" s="112">
        <f>VLOOKUP($E$3,'Housing Generation'!$A$3:$CK$90,77,FALSE)</f>
        <v>1</v>
      </c>
      <c r="G129" s="112">
        <f>VLOOKUP($E$3,'Housing Generation'!$A$3:$CK$90,78,FALSE)</f>
        <v>1</v>
      </c>
      <c r="H129" s="112">
        <f>VLOOKUP($E$3,'Housing Generation'!$A$3:$CK$90,79,FALSE)</f>
        <v>1</v>
      </c>
      <c r="I129" s="112">
        <f>VLOOKUP($E$3,'Housing Generation'!$A$3:$CK$90,80,FALSE)</f>
        <v>0</v>
      </c>
      <c r="J129" s="111">
        <f t="shared" si="21"/>
        <v>5</v>
      </c>
    </row>
    <row r="130" spans="2:10" ht="15" customHeight="1">
      <c r="B130" s="114">
        <v>2028</v>
      </c>
      <c r="C130" s="289" t="s">
        <v>97</v>
      </c>
      <c r="D130" s="112">
        <f>VLOOKUP($E$3,'Housing Generation'!$A$3:$CK$90,83,FALSE)</f>
        <v>1</v>
      </c>
      <c r="E130" s="112">
        <f>VLOOKUP($E$3,'Housing Generation'!$A$3:$CK$90,84,FALSE)</f>
        <v>1</v>
      </c>
      <c r="F130" s="112">
        <f>VLOOKUP($E$3,'Housing Generation'!$A$3:$CK$90,85,FALSE)</f>
        <v>1</v>
      </c>
      <c r="G130" s="112">
        <f>VLOOKUP($E$3,'Housing Generation'!$A$3:$CK$90,86,FALSE)</f>
        <v>1</v>
      </c>
      <c r="H130" s="112">
        <f>VLOOKUP($E$3,'Housing Generation'!$A$3:$CK$90,87,FALSE)</f>
        <v>1</v>
      </c>
      <c r="I130" s="112">
        <f>VLOOKUP($E$3,'Housing Generation'!$A$3:$CK$90,88,FALSE)</f>
        <v>0</v>
      </c>
      <c r="J130" s="111">
        <f t="shared" si="21"/>
        <v>5</v>
      </c>
    </row>
    <row r="131" spans="2:10" ht="15" customHeight="1">
      <c r="B131" s="114">
        <v>2029</v>
      </c>
      <c r="C131" s="289" t="s">
        <v>97</v>
      </c>
      <c r="D131" s="112">
        <f>VLOOKUP($E$3,'Housing Generation'!$A$3:$DQ$90,91,FALSE)</f>
        <v>1</v>
      </c>
      <c r="E131" s="112">
        <f>VLOOKUP($E$3,'Housing Generation'!$A$3:$DQ$90,92,FALSE)</f>
        <v>1</v>
      </c>
      <c r="F131" s="112">
        <f>VLOOKUP($E$3,'Housing Generation'!$A$3:$DQ$90,93,FALSE)</f>
        <v>1</v>
      </c>
      <c r="G131" s="112">
        <f>VLOOKUP($E$3,'Housing Generation'!$A$3:$DQ$90,94,FALSE)</f>
        <v>1</v>
      </c>
      <c r="H131" s="112">
        <f>VLOOKUP($E$3,'Housing Generation'!$A$3:$DQ$90,95,FALSE)</f>
        <v>1</v>
      </c>
      <c r="I131" s="112">
        <f>VLOOKUP($E$3,'Housing Generation'!$A$3:$DQ$90,96,FALSE)</f>
        <v>0</v>
      </c>
      <c r="J131" s="111">
        <f t="shared" si="21"/>
        <v>5</v>
      </c>
    </row>
    <row r="132" spans="2:10" ht="15" customHeight="1">
      <c r="B132" s="114">
        <v>2030</v>
      </c>
      <c r="C132" s="289" t="s">
        <v>97</v>
      </c>
      <c r="D132" s="112">
        <f>VLOOKUP($E$3,'Housing Generation'!$A$3:$DQ$90,99,FALSE)</f>
        <v>1</v>
      </c>
      <c r="E132" s="112">
        <f>VLOOKUP($E$3,'Housing Generation'!$A$3:$DQ$90,100,FALSE)</f>
        <v>1</v>
      </c>
      <c r="F132" s="112">
        <f>VLOOKUP($E$3,'Housing Generation'!$A$3:$DQ$90,101,FALSE)</f>
        <v>1</v>
      </c>
      <c r="G132" s="112">
        <f>VLOOKUP($E$3,'Housing Generation'!$A$3:$DQ$90,102,FALSE)</f>
        <v>1</v>
      </c>
      <c r="H132" s="112">
        <f>VLOOKUP($E$3,'Housing Generation'!$A$3:$DQ$90,103,FALSE)</f>
        <v>1</v>
      </c>
      <c r="I132" s="112">
        <f>VLOOKUP($E$3,'Housing Generation'!$A$3:$DQ$90,104,FALSE)</f>
        <v>0</v>
      </c>
      <c r="J132" s="111">
        <f t="shared" si="21"/>
        <v>5</v>
      </c>
    </row>
    <row r="133" spans="2:10" ht="15" customHeight="1">
      <c r="B133" s="114">
        <v>2031</v>
      </c>
      <c r="C133" s="289" t="s">
        <v>97</v>
      </c>
      <c r="D133" s="112">
        <f>VLOOKUP($E$3,'Housing Generation'!$A$3:$DQ$90,107,FALSE)</f>
        <v>1</v>
      </c>
      <c r="E133" s="112">
        <f>VLOOKUP($E$3,'Housing Generation'!$A$3:$DQ$90,108,FALSE)</f>
        <v>1</v>
      </c>
      <c r="F133" s="112">
        <f>VLOOKUP($E$3,'Housing Generation'!$A$3:$DQ$90,109,FALSE)</f>
        <v>1</v>
      </c>
      <c r="G133" s="112">
        <f>VLOOKUP($E$3,'Housing Generation'!$A$3:$DQ$90,110,FALSE)</f>
        <v>1</v>
      </c>
      <c r="H133" s="112">
        <f>VLOOKUP($E$3,'Housing Generation'!$A$3:$DQ$90,111,FALSE)</f>
        <v>1</v>
      </c>
      <c r="I133" s="112">
        <f>VLOOKUP($E$3,'Housing Generation'!$A$3:$DQ$90,112,FALSE)</f>
        <v>0</v>
      </c>
      <c r="J133" s="111">
        <f t="shared" si="21"/>
        <v>5</v>
      </c>
    </row>
    <row r="134" spans="2:10" ht="15" customHeight="1">
      <c r="B134" s="114">
        <v>2032</v>
      </c>
      <c r="C134" s="289" t="s">
        <v>97</v>
      </c>
      <c r="D134" s="112">
        <f>VLOOKUP($E$3,'Housing Generation'!$A$3:$DQ$90,115,FALSE)</f>
        <v>1</v>
      </c>
      <c r="E134" s="112">
        <f>VLOOKUP($E$3,'Housing Generation'!$A$3:$DQ$90,116,FALSE)</f>
        <v>1</v>
      </c>
      <c r="F134" s="112">
        <f>VLOOKUP($E$3,'Housing Generation'!$A$3:$DQ$90,117,FALSE)</f>
        <v>1</v>
      </c>
      <c r="G134" s="112">
        <f>VLOOKUP($E$3,'Housing Generation'!$A$3:$DQ$90,118,FALSE)</f>
        <v>1</v>
      </c>
      <c r="H134" s="112">
        <f>VLOOKUP($E$3,'Housing Generation'!$A$3:$DQ$90,119,FALSE)</f>
        <v>1</v>
      </c>
      <c r="I134" s="112">
        <f>VLOOKUP($E$3,'Housing Generation'!$A$3:$DQ$90,120,FALSE)</f>
        <v>0</v>
      </c>
      <c r="J134" s="111">
        <f t="shared" si="21"/>
        <v>5</v>
      </c>
    </row>
    <row r="135" spans="2:10" ht="15" hidden="1"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St Ninian's RC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42.713333333333331</v>
      </c>
      <c r="D139" s="112">
        <f t="shared" ref="D139:I152" si="23">D121+D103</f>
        <v>40</v>
      </c>
      <c r="E139" s="112">
        <f t="shared" si="23"/>
        <v>28</v>
      </c>
      <c r="F139" s="112">
        <f t="shared" si="23"/>
        <v>43</v>
      </c>
      <c r="G139" s="112">
        <f t="shared" si="23"/>
        <v>40</v>
      </c>
      <c r="H139" s="112">
        <f t="shared" si="23"/>
        <v>41</v>
      </c>
      <c r="I139" s="112">
        <f t="shared" si="23"/>
        <v>29</v>
      </c>
      <c r="J139" s="111">
        <f t="shared" ref="J139:J147" si="24">SUM(C139:I139)</f>
        <v>263.71333333333337</v>
      </c>
    </row>
    <row r="140" spans="2:10" ht="15" customHeight="1">
      <c r="B140" s="114">
        <v>2020</v>
      </c>
      <c r="C140" s="113">
        <f t="shared" si="22"/>
        <v>37.862945736434106</v>
      </c>
      <c r="D140" s="112">
        <f t="shared" si="23"/>
        <v>42</v>
      </c>
      <c r="E140" s="112">
        <f t="shared" si="23"/>
        <v>42</v>
      </c>
      <c r="F140" s="112">
        <f t="shared" si="23"/>
        <v>27</v>
      </c>
      <c r="G140" s="112">
        <f t="shared" si="23"/>
        <v>41</v>
      </c>
      <c r="H140" s="112">
        <f t="shared" si="23"/>
        <v>40</v>
      </c>
      <c r="I140" s="112">
        <f t="shared" si="23"/>
        <v>41</v>
      </c>
      <c r="J140" s="111">
        <f t="shared" si="24"/>
        <v>270.86294573643409</v>
      </c>
    </row>
    <row r="141" spans="2:10" ht="15" customHeight="1">
      <c r="B141" s="114">
        <v>2021</v>
      </c>
      <c r="C141" s="113">
        <f t="shared" si="22"/>
        <v>41.743255813953482</v>
      </c>
      <c r="D141" s="112">
        <f t="shared" si="23"/>
        <v>37</v>
      </c>
      <c r="E141" s="112">
        <f t="shared" si="23"/>
        <v>43</v>
      </c>
      <c r="F141" s="112">
        <f t="shared" si="23"/>
        <v>40</v>
      </c>
      <c r="G141" s="112">
        <f t="shared" si="23"/>
        <v>26</v>
      </c>
      <c r="H141" s="112">
        <f t="shared" si="23"/>
        <v>41</v>
      </c>
      <c r="I141" s="112">
        <f t="shared" si="23"/>
        <v>40</v>
      </c>
      <c r="J141" s="111">
        <f t="shared" si="24"/>
        <v>268.74325581395351</v>
      </c>
    </row>
    <row r="142" spans="2:10" ht="15" customHeight="1">
      <c r="B142" s="114">
        <v>2022</v>
      </c>
      <c r="C142" s="113">
        <f t="shared" si="22"/>
        <v>33.012558139534882</v>
      </c>
      <c r="D142" s="112">
        <f t="shared" si="23"/>
        <v>41</v>
      </c>
      <c r="E142" s="112">
        <f t="shared" si="23"/>
        <v>38</v>
      </c>
      <c r="F142" s="112">
        <f t="shared" si="23"/>
        <v>41</v>
      </c>
      <c r="G142" s="112">
        <f t="shared" si="23"/>
        <v>38</v>
      </c>
      <c r="H142" s="112">
        <f t="shared" si="23"/>
        <v>26</v>
      </c>
      <c r="I142" s="112">
        <f t="shared" si="23"/>
        <v>41</v>
      </c>
      <c r="J142" s="111">
        <f t="shared" si="24"/>
        <v>258.01255813953492</v>
      </c>
    </row>
    <row r="143" spans="2:10" ht="15" customHeight="1">
      <c r="B143" s="114">
        <v>2023</v>
      </c>
      <c r="C143" s="113">
        <f t="shared" si="22"/>
        <v>37.862945736434106</v>
      </c>
      <c r="D143" s="112">
        <f t="shared" si="23"/>
        <v>32</v>
      </c>
      <c r="E143" s="112">
        <f t="shared" si="23"/>
        <v>42</v>
      </c>
      <c r="F143" s="112">
        <f t="shared" si="23"/>
        <v>36</v>
      </c>
      <c r="G143" s="112">
        <f t="shared" si="23"/>
        <v>39</v>
      </c>
      <c r="H143" s="112">
        <f t="shared" si="23"/>
        <v>37</v>
      </c>
      <c r="I143" s="112">
        <f t="shared" si="23"/>
        <v>26</v>
      </c>
      <c r="J143" s="111">
        <f t="shared" si="24"/>
        <v>249.86294573643411</v>
      </c>
    </row>
    <row r="144" spans="2:10" ht="15" customHeight="1">
      <c r="B144" s="114">
        <v>2024</v>
      </c>
      <c r="C144" s="113">
        <f t="shared" si="22"/>
        <v>38.833023255813949</v>
      </c>
      <c r="D144" s="112">
        <f t="shared" si="23"/>
        <v>37</v>
      </c>
      <c r="E144" s="112">
        <f t="shared" si="23"/>
        <v>33</v>
      </c>
      <c r="F144" s="112">
        <f t="shared" si="23"/>
        <v>40</v>
      </c>
      <c r="G144" s="112">
        <f t="shared" si="23"/>
        <v>34</v>
      </c>
      <c r="H144" s="112">
        <f t="shared" si="23"/>
        <v>38</v>
      </c>
      <c r="I144" s="112">
        <f t="shared" si="23"/>
        <v>37</v>
      </c>
      <c r="J144" s="111">
        <f t="shared" si="24"/>
        <v>257.83302325581394</v>
      </c>
    </row>
    <row r="145" spans="2:16" ht="15" customHeight="1">
      <c r="B145" s="114">
        <v>2025</v>
      </c>
      <c r="C145" s="113">
        <f t="shared" si="22"/>
        <v>38.833023255813949</v>
      </c>
      <c r="D145" s="112">
        <f t="shared" si="23"/>
        <v>38</v>
      </c>
      <c r="E145" s="112">
        <f t="shared" si="23"/>
        <v>38</v>
      </c>
      <c r="F145" s="112">
        <f t="shared" si="23"/>
        <v>31</v>
      </c>
      <c r="G145" s="112">
        <f t="shared" si="23"/>
        <v>38</v>
      </c>
      <c r="H145" s="112">
        <f t="shared" si="23"/>
        <v>34</v>
      </c>
      <c r="I145" s="112">
        <f t="shared" si="23"/>
        <v>38</v>
      </c>
      <c r="J145" s="111">
        <f t="shared" si="24"/>
        <v>255.83302325581394</v>
      </c>
    </row>
    <row r="146" spans="2:16" ht="15" customHeight="1">
      <c r="B146" s="114">
        <v>2026</v>
      </c>
      <c r="C146" s="113">
        <f t="shared" si="22"/>
        <v>38.833023255813949</v>
      </c>
      <c r="D146" s="112">
        <f t="shared" si="23"/>
        <v>38</v>
      </c>
      <c r="E146" s="112">
        <f t="shared" si="23"/>
        <v>39</v>
      </c>
      <c r="F146" s="112">
        <f t="shared" si="23"/>
        <v>36</v>
      </c>
      <c r="G146" s="112">
        <f t="shared" si="23"/>
        <v>29</v>
      </c>
      <c r="H146" s="112">
        <f t="shared" si="23"/>
        <v>38</v>
      </c>
      <c r="I146" s="112">
        <f t="shared" si="23"/>
        <v>33</v>
      </c>
      <c r="J146" s="111">
        <f t="shared" si="24"/>
        <v>251.83302325581394</v>
      </c>
    </row>
    <row r="147" spans="2:16" ht="15" customHeight="1">
      <c r="B147" s="114">
        <v>2027</v>
      </c>
      <c r="C147" s="113">
        <f t="shared" si="22"/>
        <v>39.803100775193798</v>
      </c>
      <c r="D147" s="112">
        <f t="shared" si="23"/>
        <v>38</v>
      </c>
      <c r="E147" s="112">
        <f t="shared" si="23"/>
        <v>39</v>
      </c>
      <c r="F147" s="112">
        <f t="shared" si="23"/>
        <v>37</v>
      </c>
      <c r="G147" s="112">
        <f t="shared" si="23"/>
        <v>34</v>
      </c>
      <c r="H147" s="112">
        <f t="shared" si="23"/>
        <v>29</v>
      </c>
      <c r="I147" s="112">
        <f t="shared" si="23"/>
        <v>37</v>
      </c>
      <c r="J147" s="111">
        <f t="shared" si="24"/>
        <v>253.8031007751938</v>
      </c>
    </row>
    <row r="148" spans="2:16" ht="15" customHeight="1">
      <c r="B148" s="114">
        <v>2028</v>
      </c>
      <c r="C148" s="113">
        <f t="shared" si="22"/>
        <v>39.803100775193798</v>
      </c>
      <c r="D148" s="112">
        <f t="shared" si="23"/>
        <v>39</v>
      </c>
      <c r="E148" s="112">
        <f t="shared" si="23"/>
        <v>39</v>
      </c>
      <c r="F148" s="112">
        <f t="shared" si="23"/>
        <v>37</v>
      </c>
      <c r="G148" s="112">
        <f t="shared" si="23"/>
        <v>35</v>
      </c>
      <c r="H148" s="112">
        <f t="shared" si="23"/>
        <v>34</v>
      </c>
      <c r="I148" s="112">
        <f t="shared" si="23"/>
        <v>28</v>
      </c>
      <c r="J148" s="111">
        <f t="shared" ref="J148:J152" si="25">SUM(C148:I148)</f>
        <v>251.8031007751938</v>
      </c>
    </row>
    <row r="149" spans="2:16" ht="15" customHeight="1">
      <c r="B149" s="114">
        <v>2029</v>
      </c>
      <c r="C149" s="113">
        <f t="shared" si="22"/>
        <v>39.803100775193798</v>
      </c>
      <c r="D149" s="112">
        <f t="shared" si="23"/>
        <v>39</v>
      </c>
      <c r="E149" s="112">
        <f t="shared" si="23"/>
        <v>40</v>
      </c>
      <c r="F149" s="112">
        <f t="shared" si="23"/>
        <v>37</v>
      </c>
      <c r="G149" s="112">
        <f t="shared" si="23"/>
        <v>35</v>
      </c>
      <c r="H149" s="112">
        <f t="shared" si="23"/>
        <v>35</v>
      </c>
      <c r="I149" s="112">
        <f t="shared" si="23"/>
        <v>33</v>
      </c>
      <c r="J149" s="111">
        <f t="shared" si="25"/>
        <v>258.8031007751938</v>
      </c>
    </row>
    <row r="150" spans="2:16" ht="15" customHeight="1">
      <c r="B150" s="114">
        <v>2030</v>
      </c>
      <c r="C150" s="113">
        <f t="shared" si="22"/>
        <v>39.803100775193798</v>
      </c>
      <c r="D150" s="112">
        <f t="shared" si="23"/>
        <v>39</v>
      </c>
      <c r="E150" s="112">
        <f t="shared" si="23"/>
        <v>40</v>
      </c>
      <c r="F150" s="112">
        <f t="shared" si="23"/>
        <v>38</v>
      </c>
      <c r="G150" s="112">
        <f t="shared" si="23"/>
        <v>35</v>
      </c>
      <c r="H150" s="112">
        <f t="shared" si="23"/>
        <v>35</v>
      </c>
      <c r="I150" s="112">
        <f t="shared" si="23"/>
        <v>34</v>
      </c>
      <c r="J150" s="111">
        <f t="shared" si="25"/>
        <v>260.8031007751938</v>
      </c>
    </row>
    <row r="151" spans="2:16" ht="15" customHeight="1">
      <c r="B151" s="114">
        <v>2031</v>
      </c>
      <c r="C151" s="113">
        <f t="shared" si="22"/>
        <v>39.803100775193798</v>
      </c>
      <c r="D151" s="112">
        <f t="shared" si="23"/>
        <v>39</v>
      </c>
      <c r="E151" s="112">
        <f t="shared" si="23"/>
        <v>40</v>
      </c>
      <c r="F151" s="112">
        <f t="shared" si="23"/>
        <v>38</v>
      </c>
      <c r="G151" s="112">
        <f t="shared" si="23"/>
        <v>36</v>
      </c>
      <c r="H151" s="112">
        <f t="shared" si="23"/>
        <v>35</v>
      </c>
      <c r="I151" s="112">
        <f t="shared" si="23"/>
        <v>34</v>
      </c>
      <c r="J151" s="111">
        <f t="shared" si="25"/>
        <v>261.8031007751938</v>
      </c>
    </row>
    <row r="152" spans="2:16" ht="15" customHeight="1">
      <c r="B152" s="114">
        <v>2032</v>
      </c>
      <c r="C152" s="113">
        <f t="shared" si="22"/>
        <v>39.803100775193798</v>
      </c>
      <c r="D152" s="112">
        <f t="shared" si="23"/>
        <v>39</v>
      </c>
      <c r="E152" s="112">
        <f t="shared" si="23"/>
        <v>40</v>
      </c>
      <c r="F152" s="112">
        <f t="shared" si="23"/>
        <v>38</v>
      </c>
      <c r="G152" s="112">
        <f t="shared" si="23"/>
        <v>36</v>
      </c>
      <c r="H152" s="112">
        <f t="shared" si="23"/>
        <v>36</v>
      </c>
      <c r="I152" s="112">
        <f t="shared" si="23"/>
        <v>34</v>
      </c>
      <c r="J152" s="111">
        <f t="shared" si="25"/>
        <v>262.8031007751938</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263.71333333333337</v>
      </c>
      <c r="D159" s="108">
        <f>J140</f>
        <v>270.86294573643409</v>
      </c>
      <c r="E159" s="108">
        <f>J141</f>
        <v>268.74325581395351</v>
      </c>
      <c r="F159" s="108">
        <f>J142</f>
        <v>258.01255813953492</v>
      </c>
      <c r="G159" s="108">
        <f>J143</f>
        <v>249.86294573643411</v>
      </c>
      <c r="H159" s="108">
        <f>J144</f>
        <v>257.83302325581394</v>
      </c>
      <c r="I159" s="108">
        <f>J145</f>
        <v>255.83302325581394</v>
      </c>
      <c r="J159" s="108">
        <f>J146</f>
        <v>251.83302325581394</v>
      </c>
      <c r="K159" s="108">
        <f>J147</f>
        <v>253.8031007751938</v>
      </c>
      <c r="L159" s="108">
        <f>J148</f>
        <v>251.8031007751938</v>
      </c>
      <c r="M159" s="108">
        <f>J149</f>
        <v>258.8031007751938</v>
      </c>
      <c r="N159" s="108">
        <f>J150</f>
        <v>260.8031007751938</v>
      </c>
      <c r="O159" s="108">
        <f>J151</f>
        <v>261.8031007751938</v>
      </c>
      <c r="P159" s="108">
        <f>J152</f>
        <v>262.8031007751938</v>
      </c>
    </row>
    <row r="160" spans="2:16" ht="15" customHeight="1">
      <c r="B160" s="107" t="s">
        <v>152</v>
      </c>
      <c r="C160" s="106">
        <f>VLOOKUP(C159,Capacity!$A$1:$C$645,2,TRUE)</f>
        <v>11</v>
      </c>
      <c r="D160" s="106">
        <f>VLOOKUP(D159,Capacity!$A$1:$C$645,2,TRUE)</f>
        <v>11</v>
      </c>
      <c r="E160" s="106">
        <f>VLOOKUP(E159,Capacity!$A$1:$C$645,2,TRUE)</f>
        <v>11</v>
      </c>
      <c r="F160" s="106">
        <f>VLOOKUP(F159,Capacity!$A$1:$C$645,2,TRUE)</f>
        <v>10</v>
      </c>
      <c r="G160" s="106">
        <f>VLOOKUP(G159,Capacity!$A$1:$C$645,2,TRUE)</f>
        <v>10</v>
      </c>
      <c r="H160" s="106">
        <f>VLOOKUP(H159,Capacity!$A$1:$C$645,2,TRUE)</f>
        <v>10</v>
      </c>
      <c r="I160" s="106">
        <f>VLOOKUP(I159,Capacity!$A$1:$C$645,2,TRUE)</f>
        <v>10</v>
      </c>
      <c r="J160" s="106">
        <f>VLOOKUP(J159,Capacity!$A$1:$C$645,2,TRUE)</f>
        <v>10</v>
      </c>
      <c r="K160" s="106">
        <f>VLOOKUP(K159,Capacity!$A$1:$C$645,2,TRUE)</f>
        <v>10</v>
      </c>
      <c r="L160" s="106">
        <f>VLOOKUP(L159,Capacity!$A$1:$C$645,2,TRUE)</f>
        <v>10</v>
      </c>
      <c r="M160" s="106">
        <f>VLOOKUP(M159,Capacity!$A$1:$C$645,2,TRUE)</f>
        <v>10</v>
      </c>
      <c r="N160" s="106">
        <f>VLOOKUP(N159,Capacity!$A$1:$C$645,2,TRUE)</f>
        <v>11</v>
      </c>
      <c r="O160" s="106">
        <f>VLOOKUP(O159,Capacity!$A$1:$C$645,2,TRUE)</f>
        <v>11</v>
      </c>
      <c r="P160" s="106">
        <f>VLOOKUP(P159,Capacity!$A$1:$C$645,2,TRUE)</f>
        <v>11</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187</v>
      </c>
      <c r="D169" s="97">
        <f>VLOOKUP($E$3,'Catchment Births'!$A$1:$U$90,11,FALSE)</f>
        <v>209</v>
      </c>
      <c r="E169" s="97">
        <f>VLOOKUP($E$3,'Catchment Births'!$A$1:$U$90,12,FALSE)</f>
        <v>188</v>
      </c>
      <c r="F169" s="97">
        <f>VLOOKUP($E$3,'Catchment Births'!$A$1:$U$90,13,FALSE)</f>
        <v>241</v>
      </c>
      <c r="G169" s="97">
        <f>VLOOKUP($E$3,'Catchment Births'!$A$1:$U$90,14,FALSE)</f>
        <v>262</v>
      </c>
      <c r="H169" s="97">
        <f>VLOOKUP($E$3,'Catchment Births'!$A$1:$U$90,15,FALSE)</f>
        <v>275</v>
      </c>
      <c r="I169" s="97">
        <f>VLOOKUP($E$3,'Catchment Births'!$A$1:$U$90,16,FALSE)</f>
        <v>265</v>
      </c>
      <c r="J169" s="97">
        <f>VLOOKUP($E$3,'Catchment Births'!$A$1:$U$90,17,FALSE)</f>
        <v>277</v>
      </c>
      <c r="K169" s="97">
        <f>VLOOKUP($E$3,'Catchment Births'!$A$1:$U$90,18,FALSE)</f>
        <v>296</v>
      </c>
      <c r="L169" s="97">
        <f>VLOOKUP($E$3,'Catchment Births'!$A$1:$U$90,19,FALSE)</f>
        <v>278</v>
      </c>
      <c r="M169" s="97">
        <f>VLOOKUP($E$3,'Catchment Births'!$A$1:$U$90,20,FALSE)</f>
        <v>285</v>
      </c>
      <c r="N169" s="97">
        <f>VLOOKUP($E$3,'Catchment Births'!$A$1:$U$90,21,FALSE)</f>
        <v>250</v>
      </c>
    </row>
    <row r="170" spans="2:14" ht="58.5" customHeight="1">
      <c r="B170" s="103" t="str">
        <f>"P1 "&amp;A35&amp;" Catchment Population (Actual)"</f>
        <v>P1 RC Catchment Population (Actual)</v>
      </c>
      <c r="C170" s="102" t="e">
        <v>#REF!</v>
      </c>
      <c r="D170" s="102">
        <v>39</v>
      </c>
      <c r="E170" s="102">
        <v>43</v>
      </c>
      <c r="F170" s="102">
        <v>43</v>
      </c>
      <c r="G170" s="102">
        <v>27</v>
      </c>
      <c r="H170" s="102">
        <v>44</v>
      </c>
      <c r="I170" s="102">
        <v>51</v>
      </c>
      <c r="J170" s="308">
        <f>VLOOKUP(E3,'Catchment Projections'!A1:BU92,42,FALSE)</f>
        <v>50</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180</v>
      </c>
      <c r="C172" s="99"/>
      <c r="D172" s="98"/>
      <c r="E172" s="98"/>
      <c r="F172" s="98"/>
      <c r="G172" s="97"/>
      <c r="H172" s="96"/>
      <c r="I172" s="96">
        <f>I170</f>
        <v>51</v>
      </c>
      <c r="J172" s="96" t="e">
        <f>#REF!</f>
        <v>#REF!</v>
      </c>
      <c r="K172" s="96">
        <f>D51</f>
        <v>43</v>
      </c>
      <c r="L172" s="96">
        <f>E51</f>
        <v>38</v>
      </c>
      <c r="M172" s="96">
        <f>F51</f>
        <v>42</v>
      </c>
      <c r="N172" s="96">
        <f>G51</f>
        <v>33</v>
      </c>
    </row>
    <row r="173" spans="2:14" ht="12.75">
      <c r="B173" s="62"/>
      <c r="C173" s="62"/>
      <c r="D173" s="62"/>
      <c r="E173" s="62"/>
      <c r="F173" s="62"/>
      <c r="G173" s="62"/>
      <c r="H173" s="62"/>
      <c r="I173" s="62"/>
      <c r="J173" s="62"/>
      <c r="K173" s="62"/>
    </row>
    <row r="174" spans="2:14" ht="15" customHeight="1">
      <c r="B174" s="64" t="str">
        <f>"Table 5: "&amp;E3&amp;" Roll by Stage, 2002-2018"</f>
        <v>Table 5: St Ninian's RC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46</v>
      </c>
      <c r="D177" s="93">
        <v>40</v>
      </c>
      <c r="E177" s="93">
        <v>34</v>
      </c>
      <c r="F177" s="93">
        <v>32</v>
      </c>
      <c r="G177" s="93">
        <v>49</v>
      </c>
      <c r="H177" s="93">
        <v>37</v>
      </c>
      <c r="I177" s="93">
        <v>45</v>
      </c>
      <c r="J177" s="92">
        <v>283</v>
      </c>
      <c r="K177" s="62"/>
    </row>
    <row r="178" spans="2:11" ht="15" customHeight="1">
      <c r="B178" s="94">
        <v>2003</v>
      </c>
      <c r="C178" s="93">
        <v>40</v>
      </c>
      <c r="D178" s="93">
        <v>47</v>
      </c>
      <c r="E178" s="93">
        <v>46</v>
      </c>
      <c r="F178" s="93">
        <v>16</v>
      </c>
      <c r="G178" s="93">
        <v>33</v>
      </c>
      <c r="H178" s="93">
        <v>44</v>
      </c>
      <c r="I178" s="93">
        <v>36</v>
      </c>
      <c r="J178" s="92">
        <v>262</v>
      </c>
      <c r="K178" s="62"/>
    </row>
    <row r="179" spans="2:11" customFormat="1" ht="15" customHeight="1">
      <c r="B179" s="94">
        <v>2004</v>
      </c>
      <c r="C179" s="95">
        <v>34</v>
      </c>
      <c r="D179" s="95">
        <v>35</v>
      </c>
      <c r="E179" s="95">
        <v>36</v>
      </c>
      <c r="F179" s="95">
        <v>35</v>
      </c>
      <c r="G179" s="95">
        <v>29</v>
      </c>
      <c r="H179" s="95">
        <v>32</v>
      </c>
      <c r="I179" s="95">
        <v>45</v>
      </c>
      <c r="J179" s="92">
        <v>246</v>
      </c>
      <c r="K179" s="62"/>
    </row>
    <row r="180" spans="2:11" customFormat="1" ht="15" customHeight="1">
      <c r="B180" s="94">
        <v>2005</v>
      </c>
      <c r="C180" s="93">
        <v>29</v>
      </c>
      <c r="D180" s="93">
        <v>34</v>
      </c>
      <c r="E180" s="93">
        <v>34</v>
      </c>
      <c r="F180" s="93">
        <v>39</v>
      </c>
      <c r="G180" s="93">
        <v>36</v>
      </c>
      <c r="H180" s="93">
        <v>30</v>
      </c>
      <c r="I180" s="93">
        <v>34</v>
      </c>
      <c r="J180" s="92">
        <v>236</v>
      </c>
      <c r="K180" s="62"/>
    </row>
    <row r="181" spans="2:11" customFormat="1" ht="15" customHeight="1">
      <c r="B181" s="94">
        <v>2006</v>
      </c>
      <c r="C181" s="93">
        <v>31</v>
      </c>
      <c r="D181" s="93">
        <v>26</v>
      </c>
      <c r="E181" s="93">
        <v>33</v>
      </c>
      <c r="F181" s="93">
        <v>28</v>
      </c>
      <c r="G181" s="93">
        <v>33</v>
      </c>
      <c r="H181" s="93">
        <v>34</v>
      </c>
      <c r="I181" s="93">
        <v>33</v>
      </c>
      <c r="J181" s="92">
        <v>218</v>
      </c>
      <c r="K181" s="62"/>
    </row>
    <row r="182" spans="2:11" customFormat="1" ht="15" customHeight="1">
      <c r="B182" s="94">
        <v>2007</v>
      </c>
      <c r="C182" s="93">
        <v>25</v>
      </c>
      <c r="D182" s="93">
        <v>35</v>
      </c>
      <c r="E182" s="93">
        <v>30</v>
      </c>
      <c r="F182" s="93">
        <v>34</v>
      </c>
      <c r="G182" s="93">
        <v>26</v>
      </c>
      <c r="H182" s="93">
        <v>32</v>
      </c>
      <c r="I182" s="93">
        <v>33</v>
      </c>
      <c r="J182" s="92">
        <v>215</v>
      </c>
      <c r="K182" s="62"/>
    </row>
    <row r="183" spans="2:11" customFormat="1" ht="15" customHeight="1">
      <c r="B183" s="94">
        <v>2008</v>
      </c>
      <c r="C183" s="93">
        <v>31</v>
      </c>
      <c r="D183" s="93">
        <v>28</v>
      </c>
      <c r="E183" s="93">
        <v>36</v>
      </c>
      <c r="F183" s="93">
        <v>32</v>
      </c>
      <c r="G183" s="93">
        <v>35</v>
      </c>
      <c r="H183" s="93">
        <v>25</v>
      </c>
      <c r="I183" s="93">
        <v>31</v>
      </c>
      <c r="J183" s="92">
        <v>218</v>
      </c>
      <c r="K183" s="62"/>
    </row>
    <row r="184" spans="2:11" customFormat="1" ht="15" customHeight="1">
      <c r="B184" s="94">
        <v>2009</v>
      </c>
      <c r="C184" s="93">
        <v>21</v>
      </c>
      <c r="D184" s="93">
        <v>29</v>
      </c>
      <c r="E184" s="93">
        <v>29</v>
      </c>
      <c r="F184" s="93">
        <v>36</v>
      </c>
      <c r="G184" s="93">
        <v>30</v>
      </c>
      <c r="H184" s="93">
        <v>35</v>
      </c>
      <c r="I184" s="93">
        <v>27</v>
      </c>
      <c r="J184" s="94">
        <v>207</v>
      </c>
      <c r="K184" s="62"/>
    </row>
    <row r="185" spans="2:11" customFormat="1" ht="15" customHeight="1">
      <c r="B185" s="94">
        <v>2010</v>
      </c>
      <c r="C185" s="93">
        <v>34</v>
      </c>
      <c r="D185" s="93">
        <v>20</v>
      </c>
      <c r="E185" s="93">
        <v>28</v>
      </c>
      <c r="F185" s="93">
        <v>29</v>
      </c>
      <c r="G185" s="93">
        <v>34</v>
      </c>
      <c r="H185" s="93">
        <v>29</v>
      </c>
      <c r="I185" s="93">
        <v>32</v>
      </c>
      <c r="J185" s="92">
        <v>206</v>
      </c>
      <c r="K185" s="62"/>
    </row>
    <row r="186" spans="2:11" customFormat="1" ht="15" customHeight="1">
      <c r="B186" s="94">
        <v>2011</v>
      </c>
      <c r="C186" s="93">
        <v>42</v>
      </c>
      <c r="D186" s="93">
        <v>34</v>
      </c>
      <c r="E186" s="93">
        <v>19</v>
      </c>
      <c r="F186" s="93">
        <v>30</v>
      </c>
      <c r="G186" s="93">
        <v>28</v>
      </c>
      <c r="H186" s="93">
        <v>32</v>
      </c>
      <c r="I186" s="93">
        <v>27</v>
      </c>
      <c r="J186" s="92">
        <v>212</v>
      </c>
      <c r="K186" s="62"/>
    </row>
    <row r="187" spans="2:11" customFormat="1" ht="15" customHeight="1">
      <c r="B187" s="94">
        <v>2012</v>
      </c>
      <c r="C187" s="93">
        <v>37</v>
      </c>
      <c r="D187" s="93">
        <v>42</v>
      </c>
      <c r="E187" s="93">
        <v>37</v>
      </c>
      <c r="F187" s="93">
        <v>16</v>
      </c>
      <c r="G187" s="93">
        <v>30</v>
      </c>
      <c r="H187" s="93">
        <v>29</v>
      </c>
      <c r="I187" s="93">
        <v>33</v>
      </c>
      <c r="J187" s="92">
        <v>224</v>
      </c>
      <c r="K187" s="62"/>
    </row>
    <row r="188" spans="2:11" customFormat="1" ht="15" customHeight="1">
      <c r="B188" s="94">
        <v>2013</v>
      </c>
      <c r="C188" s="93">
        <v>26</v>
      </c>
      <c r="D188" s="93">
        <v>37</v>
      </c>
      <c r="E188" s="93">
        <v>43</v>
      </c>
      <c r="F188" s="93">
        <v>40</v>
      </c>
      <c r="G188" s="93">
        <v>17</v>
      </c>
      <c r="H188" s="93">
        <v>27</v>
      </c>
      <c r="I188" s="93">
        <v>27</v>
      </c>
      <c r="J188" s="94">
        <v>217</v>
      </c>
      <c r="K188" s="62"/>
    </row>
    <row r="189" spans="2:11" customFormat="1" ht="15" customHeight="1">
      <c r="B189" s="94">
        <v>2014</v>
      </c>
      <c r="C189" s="93">
        <v>45</v>
      </c>
      <c r="D189" s="93">
        <v>29</v>
      </c>
      <c r="E189" s="93">
        <v>40</v>
      </c>
      <c r="F189" s="93">
        <v>43</v>
      </c>
      <c r="G189" s="93">
        <v>38</v>
      </c>
      <c r="H189" s="93">
        <v>17</v>
      </c>
      <c r="I189" s="93">
        <v>28</v>
      </c>
      <c r="J189" s="92">
        <v>240</v>
      </c>
      <c r="K189" s="65"/>
    </row>
    <row r="190" spans="2:11" customFormat="1" ht="15" customHeight="1">
      <c r="B190" s="94">
        <v>2015</v>
      </c>
      <c r="C190" s="93">
        <v>50</v>
      </c>
      <c r="D190" s="93">
        <v>44</v>
      </c>
      <c r="E190" s="93">
        <v>30</v>
      </c>
      <c r="F190" s="93">
        <v>38</v>
      </c>
      <c r="G190" s="93">
        <v>40</v>
      </c>
      <c r="H190" s="93">
        <v>38</v>
      </c>
      <c r="I190" s="93">
        <v>17</v>
      </c>
      <c r="J190" s="92">
        <v>257</v>
      </c>
      <c r="K190" s="65"/>
    </row>
    <row r="191" spans="2:11" customFormat="1" ht="15" customHeight="1">
      <c r="B191" s="94">
        <v>2016</v>
      </c>
      <c r="C191" s="93">
        <v>49</v>
      </c>
      <c r="D191" s="93">
        <v>53</v>
      </c>
      <c r="E191" s="93">
        <v>44</v>
      </c>
      <c r="F191" s="93">
        <v>30</v>
      </c>
      <c r="G191" s="93">
        <v>36</v>
      </c>
      <c r="H191" s="93">
        <v>38</v>
      </c>
      <c r="I191" s="93">
        <v>36</v>
      </c>
      <c r="J191" s="92">
        <v>286</v>
      </c>
      <c r="K191" s="65"/>
    </row>
    <row r="192" spans="2:11" ht="15" customHeight="1">
      <c r="B192" s="94">
        <v>2017</v>
      </c>
      <c r="C192" s="93">
        <f>VLOOKUP($E$3,Rolls!A1:FA90,42,FALSE)</f>
        <v>30</v>
      </c>
      <c r="D192" s="93">
        <f>VLOOKUP($E$3,Rolls!A1:FA90,43,FALSE)</f>
        <v>44</v>
      </c>
      <c r="E192" s="93">
        <f>VLOOKUP($E$3,Rolls!A1:FA90,44,FALSE)</f>
        <v>47</v>
      </c>
      <c r="F192" s="93">
        <f>VLOOKUP($E$3,Rolls!A1:FA90,45,FALSE)</f>
        <v>40</v>
      </c>
      <c r="G192" s="93">
        <f>VLOOKUP($E$3,Rolls!A1:FA90,46,FALSE)</f>
        <v>27</v>
      </c>
      <c r="H192" s="93">
        <f>VLOOKUP($E$3,Rolls!A1:FA90,47,FALSE)</f>
        <v>32</v>
      </c>
      <c r="I192" s="93">
        <f>VLOOKUP($E$3,Rolls!A1:FA90,48,FALSE)</f>
        <v>38</v>
      </c>
      <c r="J192" s="92">
        <f>VLOOKUP($E$3,Rolls!A1:FA90,49,FALSE)</f>
        <v>258</v>
      </c>
      <c r="K192" s="65"/>
    </row>
    <row r="193" spans="2:11" ht="15" customHeight="1">
      <c r="B193" s="94">
        <v>2018</v>
      </c>
      <c r="C193" s="93">
        <f>VLOOKUP($E$3,Rolls!A1:FA90,50,FALSE)</f>
        <v>41</v>
      </c>
      <c r="D193" s="93">
        <f>VLOOKUP($E$3,Rolls!A1:FA90,51,FALSE)</f>
        <v>27</v>
      </c>
      <c r="E193" s="93">
        <f>VLOOKUP($E$3,Rolls!A1:FA90,52,FALSE)</f>
        <v>45</v>
      </c>
      <c r="F193" s="93">
        <f>VLOOKUP($E$3,Rolls!A1:FA90,53,FALSE)</f>
        <v>42</v>
      </c>
      <c r="G193" s="93">
        <f>VLOOKUP($E$3,Rolls!A1:FA90,54,FALSE)</f>
        <v>41</v>
      </c>
      <c r="H193" s="93">
        <f>VLOOKUP($E$3,Rolls!A1:FA90,55,FALSE)</f>
        <v>29</v>
      </c>
      <c r="I193" s="93">
        <f>VLOOKUP($E$3,Rolls!A1:FA90,56,FALSE)</f>
        <v>31</v>
      </c>
      <c r="J193" s="92">
        <f>VLOOKUP($E$3,Rolls!A1:FA90,57,FALSE)</f>
        <v>256</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dimension ref="A1:Q195"/>
  <sheetViews>
    <sheetView topLeftCell="B39" zoomScaleNormal="100" workbookViewId="0">
      <selection activeCell="H60" sqref="H60"/>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95</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St Peter's RC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434 Pupils (15 classes)</v>
      </c>
      <c r="G12" s="16"/>
      <c r="H12" s="16"/>
    </row>
    <row r="13" spans="2:10" ht="15" customHeight="1">
      <c r="C13" s="16"/>
      <c r="D13" s="16"/>
      <c r="E13" s="16"/>
      <c r="F13" s="16"/>
      <c r="G13" s="16"/>
      <c r="H13" s="16"/>
    </row>
    <row r="14" spans="2:10" ht="15" customHeight="1">
      <c r="B14" s="15" t="str">
        <f>"Figure 1: "&amp;E3&amp;" Roll, 2002-2015"</f>
        <v>Figure 1: St Peter's RC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2010-2020"</f>
        <v>Figure 2: Actual Catchment Births (from 5yrs prior),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St Peter's RC Primary School</v>
      </c>
      <c r="K34" s="16"/>
    </row>
    <row r="35" spans="1:17" ht="15" customHeight="1">
      <c r="A35" s="1" t="str">
        <f>IF(ISNUMBER(SEARCH("RC",A34)),"RC", "ND")</f>
        <v>RC</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RC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51</v>
      </c>
      <c r="E49" s="108">
        <f>VLOOKUP($E$3,'Catchment Projections'!$A$1:$BU$90,46,FALSE)</f>
        <v>48</v>
      </c>
      <c r="F49" s="108">
        <f>VLOOKUP($E$3,'Catchment Projections'!$A$1:$BU$90,47,FALSE)</f>
        <v>44</v>
      </c>
      <c r="G49" s="108">
        <f>VLOOKUP($E$3,'Catchment Projections'!$A$1:$BU$90,48,FALSE)</f>
        <v>43</v>
      </c>
      <c r="H49" s="133">
        <f>VLOOKUP($E$3,'Catchment Projections'!$A$1:$BU$90,49,FALSE)</f>
        <v>46</v>
      </c>
      <c r="I49" s="133">
        <f>VLOOKUP($E$3,'Catchment Projections'!$A$1:$BU$90,50,FALSE)</f>
        <v>46</v>
      </c>
      <c r="J49" s="133">
        <f>VLOOKUP($E$3,'Catchment Projections'!$A$1:$BU$90,51,FALSE)</f>
        <v>47</v>
      </c>
      <c r="K49" s="133">
        <f>VLOOKUP($E$3,'Catchment Projections'!$A$1:$BU$90,52,FALSE)</f>
        <v>48</v>
      </c>
      <c r="L49" s="133">
        <f>VLOOKUP($E$3,'Catchment Projections'!$A$1:$BU$90,53,FALSE)</f>
        <v>48</v>
      </c>
      <c r="M49" s="133">
        <f>VLOOKUP($E$3,'Catchment Projections'!$A$1:$BU$90,54,FALSE)</f>
        <v>48</v>
      </c>
      <c r="N49" s="133">
        <f>VLOOKUP($E$3,'Catchment Projections'!$A$1:$BU$90,55,FALSE)</f>
        <v>48</v>
      </c>
      <c r="O49" s="133">
        <f>VLOOKUP($E$3,'Catchment Projections'!$A$1:$BU$90,56,FALSE)</f>
        <v>48</v>
      </c>
      <c r="P49" s="133">
        <f>VLOOKUP($E$3,'Catchment Projections'!$A$1:$BU$90,57,FALSE)</f>
        <v>48</v>
      </c>
      <c r="Q49" s="133">
        <f>VLOOKUP($E$3,'Catchment Projections'!$A$1:$BU$90,58,FALSE)</f>
        <v>48</v>
      </c>
    </row>
    <row r="50" spans="2:17" ht="15" customHeight="1" thickBot="1">
      <c r="B50" s="410" t="s">
        <v>141</v>
      </c>
      <c r="C50" s="411"/>
      <c r="D50" s="286">
        <f>VLOOKUP(E3,'Housing Generation'!$A$3:$DQ$90,10,FALSE)</f>
        <v>1</v>
      </c>
      <c r="E50" s="286">
        <f>VLOOKUP(E3,'Housing Generation'!$A$3:$DQ$90,18,FALSE)</f>
        <v>1</v>
      </c>
      <c r="F50" s="286">
        <f>VLOOKUP(E3,'Housing Generation'!$A$3:$DQ$90,26,FALSE)</f>
        <v>1</v>
      </c>
      <c r="G50" s="243">
        <f>VLOOKUP(E3,'Housing Generation'!$A$3:$DQ$90,34,FALSE)</f>
        <v>1</v>
      </c>
      <c r="H50" s="133">
        <f>VLOOKUP(E3,'Housing Generation'!$A$3:$DQ$90,42,FALSE)</f>
        <v>1</v>
      </c>
      <c r="I50" s="133">
        <f>VLOOKUP(E3,'Housing Generation'!$A$3:$DQ$90,50,FALSE)</f>
        <v>2</v>
      </c>
      <c r="J50" s="133">
        <f>VLOOKUP(E3,'Housing Generation'!$A$3:$CK$90,58,FALSE)</f>
        <v>2</v>
      </c>
      <c r="K50" s="133">
        <f>VLOOKUP(E3,'Housing Generation'!$A$3:$CK$90,66,FALSE)</f>
        <v>2</v>
      </c>
      <c r="L50" s="133">
        <f>VLOOKUP(E3,'Housing Generation'!$A$3:$DQ$90,74,FALSE)</f>
        <v>2</v>
      </c>
      <c r="M50" s="133">
        <f>VLOOKUP(E3,'Housing Generation'!$A$3:$DQ$90,82,FALSE)</f>
        <v>3</v>
      </c>
      <c r="N50" s="133">
        <f>VLOOKUP(E3,'Housing Generation'!$A$3:$DQ$90,90,FALSE)</f>
        <v>3</v>
      </c>
      <c r="O50" s="133">
        <f>VLOOKUP(E3,'Housing Generation'!$A$3:$DQ$90,98,FALSE)</f>
        <v>3</v>
      </c>
      <c r="P50" s="133">
        <f>VLOOKUP(E3,'Housing Generation'!$A$3:$DQ$90,106,FALSE)</f>
        <v>3</v>
      </c>
      <c r="Q50" s="133">
        <f>VLOOKUP(E3,'Housing Generation'!$A$3:$DQ$90,114,FALSE)</f>
        <v>3</v>
      </c>
    </row>
    <row r="51" spans="2:17" ht="15" customHeight="1" thickTop="1">
      <c r="B51" s="421" t="s">
        <v>130</v>
      </c>
      <c r="C51" s="422"/>
      <c r="D51" s="47">
        <f t="shared" ref="D51:Q51" si="0">SUM(D49:D50)</f>
        <v>52</v>
      </c>
      <c r="E51" s="47">
        <f t="shared" si="0"/>
        <v>49</v>
      </c>
      <c r="F51" s="80">
        <f t="shared" si="0"/>
        <v>45</v>
      </c>
      <c r="G51" s="244">
        <f t="shared" si="0"/>
        <v>44</v>
      </c>
      <c r="H51" s="71">
        <f t="shared" si="0"/>
        <v>47</v>
      </c>
      <c r="I51" s="71">
        <f t="shared" si="0"/>
        <v>48</v>
      </c>
      <c r="J51" s="71">
        <f t="shared" si="0"/>
        <v>49</v>
      </c>
      <c r="K51" s="71">
        <f t="shared" si="0"/>
        <v>50</v>
      </c>
      <c r="L51" s="71">
        <f t="shared" si="0"/>
        <v>50</v>
      </c>
      <c r="M51" s="71">
        <f t="shared" si="0"/>
        <v>51</v>
      </c>
      <c r="N51" s="71">
        <f t="shared" si="0"/>
        <v>51</v>
      </c>
      <c r="O51" s="71">
        <f t="shared" si="0"/>
        <v>51</v>
      </c>
      <c r="P51" s="71">
        <f t="shared" si="0"/>
        <v>51</v>
      </c>
      <c r="Q51" s="71">
        <f t="shared" si="0"/>
        <v>51</v>
      </c>
    </row>
    <row r="52" spans="2:17" ht="15" customHeight="1">
      <c r="C52" s="36"/>
      <c r="D52" s="48"/>
      <c r="E52" s="48"/>
      <c r="F52" s="48"/>
      <c r="G52" s="48"/>
      <c r="H52" s="48"/>
    </row>
    <row r="53" spans="2:17" ht="31.5" customHeight="1">
      <c r="B53" s="423" t="s">
        <v>292</v>
      </c>
      <c r="C53" s="424"/>
      <c r="D53" s="87">
        <v>0</v>
      </c>
      <c r="E53" s="139" t="s">
        <v>181</v>
      </c>
      <c r="F53" s="140">
        <v>55</v>
      </c>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RC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61</v>
      </c>
      <c r="D60" s="358">
        <f>VLOOKUP($E$3,'Catchment Projections'!$A$1:$BZ$90,74,FALSE)</f>
        <v>61</v>
      </c>
      <c r="E60" s="303">
        <f>D60/C60</f>
        <v>1</v>
      </c>
      <c r="G60" s="132">
        <v>2014</v>
      </c>
      <c r="H60" s="395">
        <f>VLOOKUP($G$60,$B$177:$C$215, 2, FALSE)</f>
        <v>61</v>
      </c>
      <c r="I60" s="120">
        <f>H60-D60</f>
        <v>0</v>
      </c>
      <c r="J60" s="121">
        <f>I60/H60</f>
        <v>0</v>
      </c>
    </row>
    <row r="61" spans="2:17" ht="15" customHeight="1">
      <c r="B61" s="132">
        <v>2015</v>
      </c>
      <c r="C61" s="359">
        <f>VLOOKUP($E$3,'Catchment Projections'!$A$1:$BZ$90,41,FALSE)</f>
        <v>59</v>
      </c>
      <c r="D61" s="358">
        <f>VLOOKUP($E$3,'Catchment Projections'!$A$1:$BZ$90,75,FALSE)</f>
        <v>59</v>
      </c>
      <c r="E61" s="303">
        <f>D61/C61</f>
        <v>1</v>
      </c>
      <c r="G61" s="132">
        <v>2015</v>
      </c>
      <c r="H61" s="395">
        <f>VLOOKUP($G$61,$B$177:$C$215, 2, FALSE)</f>
        <v>60</v>
      </c>
      <c r="I61" s="120">
        <f>H61-D61</f>
        <v>1</v>
      </c>
      <c r="J61" s="121">
        <f>I61/H61</f>
        <v>1.6666666666666666E-2</v>
      </c>
    </row>
    <row r="62" spans="2:17" ht="15" customHeight="1">
      <c r="B62" s="131">
        <v>2016</v>
      </c>
      <c r="C62" s="359">
        <f>VLOOKUP($E$3,'Catchment Projections'!$A$1:$BZ$90,42,FALSE)</f>
        <v>48</v>
      </c>
      <c r="D62" s="358">
        <f>VLOOKUP($E$3,'Catchment Projections'!$A$1:$BZ$90,76,FALSE)</f>
        <v>48</v>
      </c>
      <c r="E62" s="57">
        <f>D62/C62</f>
        <v>1</v>
      </c>
      <c r="G62" s="131">
        <v>2016</v>
      </c>
      <c r="H62" s="395">
        <f>VLOOKUP($G$62,$B$177:$C$215, 2, FALSE)</f>
        <v>56</v>
      </c>
      <c r="I62" s="120">
        <f>H62-D62</f>
        <v>8</v>
      </c>
      <c r="J62" s="121">
        <f>I62/H62</f>
        <v>0.14285714285714285</v>
      </c>
    </row>
    <row r="63" spans="2:17" ht="15" customHeight="1">
      <c r="B63" s="114">
        <v>2017</v>
      </c>
      <c r="C63" s="359">
        <f>VLOOKUP($E$3,'Catchment Projections'!$A$1:$BZ$90,43,FALSE)</f>
        <v>56</v>
      </c>
      <c r="D63" s="358">
        <f>VLOOKUP($E$3,'Catchment Projections'!$A$1:$BZ$90,77,FALSE)</f>
        <v>56</v>
      </c>
      <c r="E63" s="304">
        <f>D63/C63</f>
        <v>1</v>
      </c>
      <c r="G63" s="114">
        <v>2017</v>
      </c>
      <c r="H63" s="395">
        <f>VLOOKUP($G$63,$B$177:$C$215, 2, FALSE)</f>
        <v>59</v>
      </c>
      <c r="I63" s="120">
        <f>H63-D63</f>
        <v>3</v>
      </c>
      <c r="J63" s="121">
        <f>I63/H63</f>
        <v>5.0847457627118647E-2</v>
      </c>
    </row>
    <row r="64" spans="2:17" ht="15" customHeight="1">
      <c r="B64" s="114">
        <v>2018</v>
      </c>
      <c r="C64" s="359">
        <f>VLOOKUP($E$3,'Catchment Projections'!$A$1:$BZ$90,44,FALSE)</f>
        <v>41</v>
      </c>
      <c r="D64" s="358">
        <f>VLOOKUP($E$3,'Catchment Projections'!$A$1:$BZ$90,78,FALSE)</f>
        <v>40</v>
      </c>
      <c r="E64" s="305">
        <f>D64/C64</f>
        <v>0.97560975609756095</v>
      </c>
      <c r="G64" s="114">
        <v>2018</v>
      </c>
      <c r="H64" s="395">
        <f>VLOOKUP($G$64,$B$177:$C$215, 2, FALSE)</f>
        <v>43</v>
      </c>
      <c r="I64" s="120">
        <f>H64-D64</f>
        <v>3</v>
      </c>
      <c r="J64" s="121">
        <f>I64/H64</f>
        <v>6.9767441860465115E-2</v>
      </c>
    </row>
    <row r="65" spans="2:10" ht="15" customHeight="1">
      <c r="B65" s="412" t="s">
        <v>136</v>
      </c>
      <c r="C65" s="413"/>
      <c r="D65" s="414"/>
      <c r="E65" s="137">
        <f>IF((AVERAGE(E62:E64))="#DIV/0!","n/a",(AVERAGE(E62:E64)))</f>
        <v>0.99186991869918695</v>
      </c>
      <c r="G65" s="415" t="s">
        <v>137</v>
      </c>
      <c r="H65" s="416"/>
      <c r="I65" s="138">
        <f>MEDIAN(I60:I64)</f>
        <v>3</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179</v>
      </c>
      <c r="D69" s="408"/>
      <c r="E69" s="125" t="s">
        <v>158</v>
      </c>
      <c r="F69" s="126" t="s">
        <v>133</v>
      </c>
      <c r="G69" s="124" t="s">
        <v>183</v>
      </c>
      <c r="H69" s="125" t="s">
        <v>138</v>
      </c>
      <c r="I69" s="124" t="s">
        <v>142</v>
      </c>
      <c r="J69" s="123" t="s">
        <v>139</v>
      </c>
    </row>
    <row r="70" spans="2:10" ht="15" customHeight="1">
      <c r="B70" s="114">
        <v>2019</v>
      </c>
      <c r="C70" s="433">
        <f>D51</f>
        <v>52</v>
      </c>
      <c r="D70" s="408"/>
      <c r="E70" s="122">
        <f>E65</f>
        <v>0.99186991869918695</v>
      </c>
      <c r="F70" s="120">
        <f t="shared" ref="F70:F83" si="1">C70*$E$65</f>
        <v>51.577235772357724</v>
      </c>
      <c r="G70" s="118">
        <f>IF(F70&lt;26,25,IF(F70&gt;135,140,IF(F70&gt;130,135,IF(F70&gt;125,130,IF(F70&gt;120,125,IF(F70&gt;115,120,IF(F70&gt;110,115,IF(F70&gt;105,110,IF(F70&gt;100,105,IF(F70&gt;99,100,IF(F70&gt;90,99,IF(F70&gt;75,90,IF(F70&gt;72,75,IF(F70&gt;66,72,IF(F70&gt;60,66,IF(F70&gt;50,60,IF(F70&gt;30,50,IF(F70&gt;25,30,0))))))))))))))))))</f>
        <v>60</v>
      </c>
      <c r="H70" s="119">
        <f t="shared" ref="H70:H83" si="2">G70-F70</f>
        <v>8.4227642276422756</v>
      </c>
      <c r="I70" s="118" t="str">
        <f>IF(I$65&lt;H70, "NO", "YES")</f>
        <v>NO</v>
      </c>
      <c r="J70" s="117">
        <f t="shared" ref="J70:J83" si="3">IF(I70="YES",G70,(MIN((SUM(F70,$I$65)),G70)))</f>
        <v>54.577235772357724</v>
      </c>
    </row>
    <row r="71" spans="2:10" ht="15" customHeight="1">
      <c r="B71" s="114">
        <v>2020</v>
      </c>
      <c r="C71" s="433">
        <f>E51</f>
        <v>49</v>
      </c>
      <c r="D71" s="408"/>
      <c r="E71" s="121">
        <f>E65</f>
        <v>0.99186991869918695</v>
      </c>
      <c r="F71" s="120">
        <f t="shared" si="1"/>
        <v>48.601626016260163</v>
      </c>
      <c r="G71" s="118">
        <f t="shared" ref="G71:G83" si="4">IF(F71&lt;26,25,IF(F71&gt;135,140,IF(F71&gt;130,135,IF(F71&gt;125,130,IF(F71&gt;120,125,IF(F71&gt;115,120,IF(F71&gt;110,115,IF(F71&gt;105,110,IF(F71&gt;100,105,IF(F71&gt;99,100,IF(F71&gt;90,99,IF(F71&gt;75,90,IF(F71&gt;72,75,IF(F71&gt;66,72,IF(F71&gt;60,66,IF(F71&gt;50,60,IF(F71&gt;30,50,IF(F71&gt;25,30,0))))))))))))))))))</f>
        <v>50</v>
      </c>
      <c r="H71" s="119">
        <f t="shared" si="2"/>
        <v>1.3983739837398375</v>
      </c>
      <c r="I71" s="118" t="str">
        <f t="shared" ref="I71:I83" si="5">IF(I$65&lt;H71, "NO", "YES")</f>
        <v>YES</v>
      </c>
      <c r="J71" s="117">
        <f t="shared" si="3"/>
        <v>50</v>
      </c>
    </row>
    <row r="72" spans="2:10" ht="15" customHeight="1">
      <c r="B72" s="114">
        <v>2021</v>
      </c>
      <c r="C72" s="430">
        <f>F51</f>
        <v>45</v>
      </c>
      <c r="D72" s="431"/>
      <c r="E72" s="121">
        <f>E65</f>
        <v>0.99186991869918695</v>
      </c>
      <c r="F72" s="120">
        <f t="shared" si="1"/>
        <v>44.634146341463413</v>
      </c>
      <c r="G72" s="118">
        <f t="shared" si="4"/>
        <v>50</v>
      </c>
      <c r="H72" s="119">
        <f t="shared" si="2"/>
        <v>5.3658536585365866</v>
      </c>
      <c r="I72" s="118" t="str">
        <f t="shared" si="5"/>
        <v>NO</v>
      </c>
      <c r="J72" s="117">
        <f t="shared" si="3"/>
        <v>47.634146341463413</v>
      </c>
    </row>
    <row r="73" spans="2:10" ht="15" customHeight="1">
      <c r="B73" s="114">
        <v>2022</v>
      </c>
      <c r="C73" s="430">
        <f>G51</f>
        <v>44</v>
      </c>
      <c r="D73" s="431"/>
      <c r="E73" s="121">
        <f>E65</f>
        <v>0.99186991869918695</v>
      </c>
      <c r="F73" s="120">
        <f t="shared" si="1"/>
        <v>43.642276422764226</v>
      </c>
      <c r="G73" s="118">
        <f t="shared" si="4"/>
        <v>50</v>
      </c>
      <c r="H73" s="119">
        <f t="shared" si="2"/>
        <v>6.3577235772357739</v>
      </c>
      <c r="I73" s="118" t="str">
        <f t="shared" si="5"/>
        <v>NO</v>
      </c>
      <c r="J73" s="117">
        <f t="shared" si="3"/>
        <v>46.642276422764226</v>
      </c>
    </row>
    <row r="74" spans="2:10" ht="15" customHeight="1">
      <c r="B74" s="114">
        <v>2023</v>
      </c>
      <c r="C74" s="430">
        <f>H51</f>
        <v>47</v>
      </c>
      <c r="D74" s="431"/>
      <c r="E74" s="121">
        <f>E65</f>
        <v>0.99186991869918695</v>
      </c>
      <c r="F74" s="120">
        <f t="shared" si="1"/>
        <v>46.617886178861788</v>
      </c>
      <c r="G74" s="118">
        <f t="shared" si="4"/>
        <v>50</v>
      </c>
      <c r="H74" s="119">
        <f t="shared" si="2"/>
        <v>3.382113821138212</v>
      </c>
      <c r="I74" s="118" t="str">
        <f t="shared" si="5"/>
        <v>NO</v>
      </c>
      <c r="J74" s="117">
        <f t="shared" si="3"/>
        <v>49.617886178861788</v>
      </c>
    </row>
    <row r="75" spans="2:10" ht="15" customHeight="1">
      <c r="B75" s="114">
        <v>2024</v>
      </c>
      <c r="C75" s="430">
        <f>I51</f>
        <v>48</v>
      </c>
      <c r="D75" s="431"/>
      <c r="E75" s="121">
        <f>E65</f>
        <v>0.99186991869918695</v>
      </c>
      <c r="F75" s="120">
        <f t="shared" si="1"/>
        <v>47.609756097560975</v>
      </c>
      <c r="G75" s="118">
        <f t="shared" si="4"/>
        <v>50</v>
      </c>
      <c r="H75" s="119">
        <f t="shared" si="2"/>
        <v>2.3902439024390247</v>
      </c>
      <c r="I75" s="118" t="str">
        <f t="shared" si="5"/>
        <v>YES</v>
      </c>
      <c r="J75" s="117">
        <f t="shared" si="3"/>
        <v>50</v>
      </c>
    </row>
    <row r="76" spans="2:10" ht="15" customHeight="1">
      <c r="B76" s="114">
        <v>2025</v>
      </c>
      <c r="C76" s="430">
        <f>J51</f>
        <v>49</v>
      </c>
      <c r="D76" s="431"/>
      <c r="E76" s="121">
        <f>E65</f>
        <v>0.99186991869918695</v>
      </c>
      <c r="F76" s="120">
        <f t="shared" si="1"/>
        <v>48.601626016260163</v>
      </c>
      <c r="G76" s="118">
        <f t="shared" si="4"/>
        <v>50</v>
      </c>
      <c r="H76" s="119">
        <f t="shared" si="2"/>
        <v>1.3983739837398375</v>
      </c>
      <c r="I76" s="118" t="str">
        <f t="shared" si="5"/>
        <v>YES</v>
      </c>
      <c r="J76" s="117">
        <f t="shared" si="3"/>
        <v>50</v>
      </c>
    </row>
    <row r="77" spans="2:10" ht="15" customHeight="1">
      <c r="B77" s="114">
        <v>2026</v>
      </c>
      <c r="C77" s="430">
        <f>K51</f>
        <v>50</v>
      </c>
      <c r="D77" s="431"/>
      <c r="E77" s="121">
        <f>E65</f>
        <v>0.99186991869918695</v>
      </c>
      <c r="F77" s="120">
        <f t="shared" si="1"/>
        <v>49.59349593495935</v>
      </c>
      <c r="G77" s="118">
        <f t="shared" si="4"/>
        <v>50</v>
      </c>
      <c r="H77" s="119">
        <f t="shared" si="2"/>
        <v>0.40650406504065018</v>
      </c>
      <c r="I77" s="118" t="str">
        <f t="shared" si="5"/>
        <v>YES</v>
      </c>
      <c r="J77" s="117">
        <f t="shared" si="3"/>
        <v>50</v>
      </c>
    </row>
    <row r="78" spans="2:10" ht="15" customHeight="1">
      <c r="B78" s="114">
        <v>2027</v>
      </c>
      <c r="C78" s="430">
        <f>L51</f>
        <v>50</v>
      </c>
      <c r="D78" s="431"/>
      <c r="E78" s="121">
        <f>E65</f>
        <v>0.99186991869918695</v>
      </c>
      <c r="F78" s="120">
        <f t="shared" si="1"/>
        <v>49.59349593495935</v>
      </c>
      <c r="G78" s="118">
        <f t="shared" si="4"/>
        <v>50</v>
      </c>
      <c r="H78" s="119">
        <f t="shared" si="2"/>
        <v>0.40650406504065018</v>
      </c>
      <c r="I78" s="118" t="str">
        <f t="shared" si="5"/>
        <v>YES</v>
      </c>
      <c r="J78" s="117">
        <f t="shared" si="3"/>
        <v>50</v>
      </c>
    </row>
    <row r="79" spans="2:10" ht="15" customHeight="1">
      <c r="B79" s="114">
        <v>2028</v>
      </c>
      <c r="C79" s="430">
        <f>M51</f>
        <v>51</v>
      </c>
      <c r="D79" s="431"/>
      <c r="E79" s="121">
        <f t="shared" ref="E79:E83" si="6">$E$65</f>
        <v>0.99186991869918695</v>
      </c>
      <c r="F79" s="120">
        <f t="shared" si="1"/>
        <v>50.585365853658537</v>
      </c>
      <c r="G79" s="118">
        <f t="shared" si="4"/>
        <v>60</v>
      </c>
      <c r="H79" s="119">
        <f t="shared" si="2"/>
        <v>9.4146341463414629</v>
      </c>
      <c r="I79" s="118" t="str">
        <f t="shared" si="5"/>
        <v>NO</v>
      </c>
      <c r="J79" s="117">
        <f t="shared" si="3"/>
        <v>53.585365853658537</v>
      </c>
    </row>
    <row r="80" spans="2:10" ht="15" customHeight="1">
      <c r="B80" s="114">
        <v>2029</v>
      </c>
      <c r="C80" s="430">
        <f>N51</f>
        <v>51</v>
      </c>
      <c r="D80" s="431"/>
      <c r="E80" s="121">
        <f t="shared" si="6"/>
        <v>0.99186991869918695</v>
      </c>
      <c r="F80" s="120">
        <f t="shared" si="1"/>
        <v>50.585365853658537</v>
      </c>
      <c r="G80" s="118">
        <f t="shared" si="4"/>
        <v>60</v>
      </c>
      <c r="H80" s="119">
        <f t="shared" si="2"/>
        <v>9.4146341463414629</v>
      </c>
      <c r="I80" s="118" t="str">
        <f t="shared" si="5"/>
        <v>NO</v>
      </c>
      <c r="J80" s="117">
        <f t="shared" si="3"/>
        <v>53.585365853658537</v>
      </c>
    </row>
    <row r="81" spans="2:10" ht="15" customHeight="1">
      <c r="B81" s="114">
        <v>2030</v>
      </c>
      <c r="C81" s="430">
        <f>O51</f>
        <v>51</v>
      </c>
      <c r="D81" s="431"/>
      <c r="E81" s="121">
        <f t="shared" si="6"/>
        <v>0.99186991869918695</v>
      </c>
      <c r="F81" s="120">
        <f t="shared" si="1"/>
        <v>50.585365853658537</v>
      </c>
      <c r="G81" s="118">
        <f t="shared" si="4"/>
        <v>60</v>
      </c>
      <c r="H81" s="119">
        <f t="shared" si="2"/>
        <v>9.4146341463414629</v>
      </c>
      <c r="I81" s="118" t="str">
        <f t="shared" si="5"/>
        <v>NO</v>
      </c>
      <c r="J81" s="117">
        <f t="shared" si="3"/>
        <v>53.585365853658537</v>
      </c>
    </row>
    <row r="82" spans="2:10" ht="15" customHeight="1">
      <c r="B82" s="114">
        <v>2031</v>
      </c>
      <c r="C82" s="430">
        <f>P51</f>
        <v>51</v>
      </c>
      <c r="D82" s="431"/>
      <c r="E82" s="121">
        <f t="shared" si="6"/>
        <v>0.99186991869918695</v>
      </c>
      <c r="F82" s="120">
        <f t="shared" si="1"/>
        <v>50.585365853658537</v>
      </c>
      <c r="G82" s="118">
        <f t="shared" si="4"/>
        <v>60</v>
      </c>
      <c r="H82" s="119">
        <f t="shared" si="2"/>
        <v>9.4146341463414629</v>
      </c>
      <c r="I82" s="118" t="str">
        <f t="shared" si="5"/>
        <v>NO</v>
      </c>
      <c r="J82" s="117">
        <f t="shared" si="3"/>
        <v>53.585365853658537</v>
      </c>
    </row>
    <row r="83" spans="2:10" ht="15" customHeight="1">
      <c r="B83" s="114">
        <v>2032</v>
      </c>
      <c r="C83" s="430">
        <f>Q51</f>
        <v>51</v>
      </c>
      <c r="D83" s="431"/>
      <c r="E83" s="121">
        <f t="shared" si="6"/>
        <v>0.99186991869918695</v>
      </c>
      <c r="F83" s="120">
        <f t="shared" si="1"/>
        <v>50.585365853658537</v>
      </c>
      <c r="G83" s="118">
        <f t="shared" si="4"/>
        <v>60</v>
      </c>
      <c r="H83" s="119">
        <f t="shared" si="2"/>
        <v>9.4146341463414629</v>
      </c>
      <c r="I83" s="118" t="str">
        <f t="shared" si="5"/>
        <v>NO</v>
      </c>
      <c r="J83" s="117">
        <f t="shared" si="3"/>
        <v>53.585365853658537</v>
      </c>
    </row>
    <row r="84" spans="2:10" ht="15" customHeight="1">
      <c r="C84" s="16"/>
      <c r="D84" s="16"/>
      <c r="E84" s="16"/>
      <c r="F84" s="16"/>
      <c r="G84" s="16"/>
      <c r="H84" s="16"/>
    </row>
    <row r="85" spans="2:10" ht="15" customHeight="1">
      <c r="B85" s="11" t="s">
        <v>186</v>
      </c>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St Peter's RC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60</v>
      </c>
      <c r="D91" s="112">
        <f t="shared" ref="D91:J91" si="7">D188</f>
        <v>60</v>
      </c>
      <c r="E91" s="112">
        <f t="shared" si="7"/>
        <v>60</v>
      </c>
      <c r="F91" s="112">
        <f t="shared" si="7"/>
        <v>61</v>
      </c>
      <c r="G91" s="112">
        <f t="shared" si="7"/>
        <v>58</v>
      </c>
      <c r="H91" s="112">
        <f t="shared" si="7"/>
        <v>59</v>
      </c>
      <c r="I91" s="112">
        <f t="shared" si="7"/>
        <v>43</v>
      </c>
      <c r="J91" s="213">
        <f t="shared" si="7"/>
        <v>401</v>
      </c>
    </row>
    <row r="92" spans="2:10" ht="15" customHeight="1">
      <c r="B92" s="114">
        <v>2014</v>
      </c>
      <c r="C92" s="112">
        <f>C189</f>
        <v>61</v>
      </c>
      <c r="D92" s="112">
        <f t="shared" ref="D92:J92" si="8">D189</f>
        <v>59</v>
      </c>
      <c r="E92" s="112">
        <f t="shared" si="8"/>
        <v>60</v>
      </c>
      <c r="F92" s="112">
        <f t="shared" si="8"/>
        <v>59</v>
      </c>
      <c r="G92" s="112">
        <f t="shared" si="8"/>
        <v>58</v>
      </c>
      <c r="H92" s="112">
        <f t="shared" si="8"/>
        <v>56</v>
      </c>
      <c r="I92" s="112">
        <f t="shared" si="8"/>
        <v>59</v>
      </c>
      <c r="J92" s="213">
        <f t="shared" si="8"/>
        <v>411</v>
      </c>
    </row>
    <row r="93" spans="2:10" ht="15" customHeight="1">
      <c r="B93" s="114">
        <v>2015</v>
      </c>
      <c r="C93" s="112">
        <f>C190</f>
        <v>60</v>
      </c>
      <c r="D93" s="112">
        <f t="shared" ref="D93:J93" si="9">D190</f>
        <v>57</v>
      </c>
      <c r="E93" s="112">
        <f t="shared" si="9"/>
        <v>59</v>
      </c>
      <c r="F93" s="112">
        <f t="shared" si="9"/>
        <v>59</v>
      </c>
      <c r="G93" s="112">
        <f t="shared" si="9"/>
        <v>56</v>
      </c>
      <c r="H93" s="112">
        <f t="shared" si="9"/>
        <v>55</v>
      </c>
      <c r="I93" s="112">
        <f t="shared" si="9"/>
        <v>53</v>
      </c>
      <c r="J93" s="213">
        <f t="shared" si="9"/>
        <v>399</v>
      </c>
    </row>
    <row r="94" spans="2:10" ht="15" customHeight="1">
      <c r="B94" s="114">
        <v>2016</v>
      </c>
      <c r="C94" s="112">
        <f>C191</f>
        <v>56</v>
      </c>
      <c r="D94" s="112">
        <f t="shared" ref="D94:J94" si="10">D191</f>
        <v>58</v>
      </c>
      <c r="E94" s="112">
        <f t="shared" si="10"/>
        <v>58</v>
      </c>
      <c r="F94" s="112">
        <f t="shared" si="10"/>
        <v>57</v>
      </c>
      <c r="G94" s="112">
        <f t="shared" si="10"/>
        <v>62</v>
      </c>
      <c r="H94" s="112">
        <f t="shared" si="10"/>
        <v>56</v>
      </c>
      <c r="I94" s="112">
        <f t="shared" si="10"/>
        <v>53</v>
      </c>
      <c r="J94" s="213">
        <f t="shared" si="10"/>
        <v>400</v>
      </c>
    </row>
    <row r="95" spans="2:10" ht="15" customHeight="1">
      <c r="B95" s="114">
        <v>2017</v>
      </c>
      <c r="C95" s="112">
        <f>C192</f>
        <v>59</v>
      </c>
      <c r="D95" s="112">
        <f t="shared" ref="D95:J95" si="11">D192</f>
        <v>56</v>
      </c>
      <c r="E95" s="112">
        <f t="shared" si="11"/>
        <v>59</v>
      </c>
      <c r="F95" s="112">
        <f t="shared" si="11"/>
        <v>59</v>
      </c>
      <c r="G95" s="112">
        <f t="shared" si="11"/>
        <v>60</v>
      </c>
      <c r="H95" s="112">
        <f t="shared" si="11"/>
        <v>60</v>
      </c>
      <c r="I95" s="112">
        <f t="shared" si="11"/>
        <v>54</v>
      </c>
      <c r="J95" s="213">
        <f t="shared" si="11"/>
        <v>407</v>
      </c>
    </row>
    <row r="96" spans="2:10" ht="15" customHeight="1">
      <c r="B96" s="307">
        <v>2018</v>
      </c>
      <c r="C96" s="112">
        <f t="shared" ref="C96:J96" si="12">C193</f>
        <v>43</v>
      </c>
      <c r="D96" s="112">
        <f t="shared" si="12"/>
        <v>59</v>
      </c>
      <c r="E96" s="112">
        <f t="shared" si="12"/>
        <v>56</v>
      </c>
      <c r="F96" s="112">
        <f t="shared" si="12"/>
        <v>57</v>
      </c>
      <c r="G96" s="112">
        <f t="shared" si="12"/>
        <v>58</v>
      </c>
      <c r="H96" s="112">
        <f t="shared" si="12"/>
        <v>54</v>
      </c>
      <c r="I96" s="112">
        <f t="shared" si="12"/>
        <v>62</v>
      </c>
      <c r="J96" s="213">
        <f t="shared" si="12"/>
        <v>389</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1.6666666666666666E-2</v>
      </c>
      <c r="E98" s="210">
        <f t="shared" ref="E98:I98" si="13">MEDIAN(((D91-E92)/D91),((D92-E93)/D92),((D93-E94)/D93),((D94-E95)/D94),((D95-E96)/D95))</f>
        <v>0</v>
      </c>
      <c r="F98" s="210">
        <f t="shared" si="13"/>
        <v>1.6666666666666666E-2</v>
      </c>
      <c r="G98" s="210">
        <f t="shared" si="13"/>
        <v>1.6949152542372881E-2</v>
      </c>
      <c r="H98" s="210">
        <f t="shared" si="13"/>
        <v>3.4482758620689655E-2</v>
      </c>
      <c r="I98" s="210">
        <f t="shared" si="13"/>
        <v>3.5714285714285712E-2</v>
      </c>
    </row>
    <row r="99" spans="2:10" ht="15" customHeight="1">
      <c r="B99" s="59"/>
      <c r="C99" s="60"/>
      <c r="D99" s="61"/>
      <c r="E99" s="61"/>
      <c r="F99" s="61"/>
      <c r="G99" s="61"/>
      <c r="H99" s="61"/>
      <c r="I99" s="61"/>
      <c r="J99" s="58"/>
    </row>
    <row r="100" spans="2:10" ht="15" customHeight="1">
      <c r="B100" s="15" t="str">
        <f>"Table 4B: "&amp;E3&amp;" Projected Roll by Stage (incorporating Projected P1 and Drop-Off Rates), 2019-2032"</f>
        <v>Table 4B: St Peter's RC Primary School Projected Roll by Stage (incorporating Projected P1 and Drop-Off Rates), 2019-2032</v>
      </c>
      <c r="F100" s="14"/>
      <c r="G100" s="14"/>
    </row>
    <row r="101" spans="2:10" ht="15" customHeight="1">
      <c r="F101" s="14"/>
      <c r="G101" s="14"/>
    </row>
    <row r="102" spans="2:10" ht="15" customHeight="1">
      <c r="B102" s="115"/>
      <c r="C102" s="109" t="s">
        <v>1</v>
      </c>
      <c r="D102" s="109" t="s">
        <v>2</v>
      </c>
      <c r="E102" s="109" t="s">
        <v>3</v>
      </c>
      <c r="F102" s="109" t="s">
        <v>4</v>
      </c>
      <c r="G102" s="109" t="s">
        <v>5</v>
      </c>
      <c r="H102" s="109" t="s">
        <v>6</v>
      </c>
      <c r="I102" s="109" t="s">
        <v>7</v>
      </c>
      <c r="J102" s="109" t="s">
        <v>8</v>
      </c>
    </row>
    <row r="103" spans="2:10" ht="15" customHeight="1">
      <c r="B103" s="114">
        <v>2019</v>
      </c>
      <c r="C103" s="113">
        <f t="shared" ref="C103:C116" si="14">J70</f>
        <v>54.577235772357724</v>
      </c>
      <c r="D103" s="324">
        <f>ROUND((C96)-(C96*$D$98),0)</f>
        <v>42</v>
      </c>
      <c r="E103" s="324">
        <f>ROUND((D96)-(D96*$E$98),0)</f>
        <v>59</v>
      </c>
      <c r="F103" s="324">
        <f>ROUND((E96)-(E96*$F$98),0)</f>
        <v>55</v>
      </c>
      <c r="G103" s="324">
        <f>ROUND((F96)-(F96*$G$98),0)</f>
        <v>56</v>
      </c>
      <c r="H103" s="324">
        <f>ROUND((G96)-(G96*$H$98),0)</f>
        <v>56</v>
      </c>
      <c r="I103" s="324">
        <f>ROUND((H96)-(H96*$I$98),0)</f>
        <v>52</v>
      </c>
      <c r="J103" s="111">
        <f t="shared" ref="J103:J116" si="15">SUM(C103:I103)</f>
        <v>374.57723577235771</v>
      </c>
    </row>
    <row r="104" spans="2:10" ht="15" customHeight="1">
      <c r="B104" s="114">
        <v>2020</v>
      </c>
      <c r="C104" s="113">
        <f t="shared" si="14"/>
        <v>50</v>
      </c>
      <c r="D104" s="324">
        <f>ROUND((C103-E50)-(C103*$D$98),0)</f>
        <v>53</v>
      </c>
      <c r="E104" s="112">
        <f t="shared" ref="E104:E116" si="16">ROUND((D103)-(D103*$E$98),0)</f>
        <v>42</v>
      </c>
      <c r="F104" s="112">
        <f t="shared" ref="F104:F116" si="17">ROUND((E103)-(E103*$F$98),0)</f>
        <v>58</v>
      </c>
      <c r="G104" s="112">
        <f t="shared" ref="G104:G116" si="18">ROUND((F103)-(F103*$G$98),0)</f>
        <v>54</v>
      </c>
      <c r="H104" s="112">
        <f t="shared" ref="H104:H116" si="19">ROUND((G103)-(G103*$H$98),0)</f>
        <v>54</v>
      </c>
      <c r="I104" s="112">
        <f t="shared" ref="I104:I116" si="20">ROUND((H103)-(H103*$I$98),0)</f>
        <v>54</v>
      </c>
      <c r="J104" s="111">
        <f t="shared" si="15"/>
        <v>365</v>
      </c>
    </row>
    <row r="105" spans="2:10" ht="15" customHeight="1">
      <c r="B105" s="114">
        <v>2021</v>
      </c>
      <c r="C105" s="113">
        <f t="shared" si="14"/>
        <v>47.634146341463413</v>
      </c>
      <c r="D105" s="324">
        <f>ROUND((C104-F50)-(C104*$D$98),0)</f>
        <v>48</v>
      </c>
      <c r="E105" s="112">
        <f t="shared" si="16"/>
        <v>53</v>
      </c>
      <c r="F105" s="112">
        <f t="shared" si="17"/>
        <v>41</v>
      </c>
      <c r="G105" s="112">
        <f t="shared" si="18"/>
        <v>57</v>
      </c>
      <c r="H105" s="112">
        <f t="shared" si="19"/>
        <v>52</v>
      </c>
      <c r="I105" s="112">
        <f t="shared" si="20"/>
        <v>52</v>
      </c>
      <c r="J105" s="111">
        <f t="shared" si="15"/>
        <v>350.63414634146341</v>
      </c>
    </row>
    <row r="106" spans="2:10" ht="15" customHeight="1">
      <c r="B106" s="114">
        <v>2022</v>
      </c>
      <c r="C106" s="113">
        <f t="shared" si="14"/>
        <v>46.642276422764226</v>
      </c>
      <c r="D106" s="324">
        <f>ROUND((C105-G50)-(C105*$D$98),0)</f>
        <v>46</v>
      </c>
      <c r="E106" s="112">
        <f t="shared" si="16"/>
        <v>48</v>
      </c>
      <c r="F106" s="112">
        <f t="shared" si="17"/>
        <v>52</v>
      </c>
      <c r="G106" s="112">
        <f t="shared" si="18"/>
        <v>40</v>
      </c>
      <c r="H106" s="112">
        <f t="shared" si="19"/>
        <v>55</v>
      </c>
      <c r="I106" s="112">
        <f t="shared" si="20"/>
        <v>50</v>
      </c>
      <c r="J106" s="111">
        <f t="shared" si="15"/>
        <v>337.64227642276421</v>
      </c>
    </row>
    <row r="107" spans="2:10" ht="15" customHeight="1">
      <c r="B107" s="114">
        <v>2023</v>
      </c>
      <c r="C107" s="113">
        <f t="shared" si="14"/>
        <v>49.617886178861788</v>
      </c>
      <c r="D107" s="324">
        <f>ROUND((C106-H50)-(C106*$D$98),0)</f>
        <v>45</v>
      </c>
      <c r="E107" s="112">
        <f t="shared" si="16"/>
        <v>46</v>
      </c>
      <c r="F107" s="112">
        <f t="shared" si="17"/>
        <v>47</v>
      </c>
      <c r="G107" s="112">
        <f t="shared" si="18"/>
        <v>51</v>
      </c>
      <c r="H107" s="112">
        <f t="shared" si="19"/>
        <v>39</v>
      </c>
      <c r="I107" s="112">
        <f t="shared" si="20"/>
        <v>53</v>
      </c>
      <c r="J107" s="111">
        <f t="shared" si="15"/>
        <v>330.6178861788618</v>
      </c>
    </row>
    <row r="108" spans="2:10" ht="15" customHeight="1">
      <c r="B108" s="114">
        <v>2024</v>
      </c>
      <c r="C108" s="113">
        <f t="shared" si="14"/>
        <v>50</v>
      </c>
      <c r="D108" s="324">
        <f>ROUND((C107-I50)-(C107*$D$98),0)</f>
        <v>47</v>
      </c>
      <c r="E108" s="112">
        <f t="shared" si="16"/>
        <v>45</v>
      </c>
      <c r="F108" s="112">
        <f t="shared" si="17"/>
        <v>45</v>
      </c>
      <c r="G108" s="112">
        <f t="shared" si="18"/>
        <v>46</v>
      </c>
      <c r="H108" s="112">
        <f t="shared" si="19"/>
        <v>49</v>
      </c>
      <c r="I108" s="112">
        <f t="shared" si="20"/>
        <v>38</v>
      </c>
      <c r="J108" s="111">
        <f t="shared" si="15"/>
        <v>320</v>
      </c>
    </row>
    <row r="109" spans="2:10" ht="15" customHeight="1">
      <c r="B109" s="114">
        <v>2025</v>
      </c>
      <c r="C109" s="113">
        <f t="shared" si="14"/>
        <v>50</v>
      </c>
      <c r="D109" s="324">
        <f>ROUND((C108-J50)-(C108*$D$98),0)</f>
        <v>47</v>
      </c>
      <c r="E109" s="112">
        <f t="shared" si="16"/>
        <v>47</v>
      </c>
      <c r="F109" s="112">
        <f t="shared" si="17"/>
        <v>44</v>
      </c>
      <c r="G109" s="112">
        <f t="shared" si="18"/>
        <v>44</v>
      </c>
      <c r="H109" s="112">
        <f t="shared" si="19"/>
        <v>44</v>
      </c>
      <c r="I109" s="112">
        <f t="shared" si="20"/>
        <v>47</v>
      </c>
      <c r="J109" s="111">
        <f t="shared" si="15"/>
        <v>323</v>
      </c>
    </row>
    <row r="110" spans="2:10" ht="15" customHeight="1">
      <c r="B110" s="114">
        <v>2026</v>
      </c>
      <c r="C110" s="113">
        <f t="shared" si="14"/>
        <v>50</v>
      </c>
      <c r="D110" s="324">
        <f>ROUND((C109-K50)-(C109*$D$98),0)</f>
        <v>47</v>
      </c>
      <c r="E110" s="112">
        <f t="shared" si="16"/>
        <v>47</v>
      </c>
      <c r="F110" s="112">
        <f t="shared" si="17"/>
        <v>46</v>
      </c>
      <c r="G110" s="112">
        <f t="shared" si="18"/>
        <v>43</v>
      </c>
      <c r="H110" s="112">
        <f t="shared" si="19"/>
        <v>42</v>
      </c>
      <c r="I110" s="112">
        <f t="shared" si="20"/>
        <v>42</v>
      </c>
      <c r="J110" s="111">
        <f t="shared" si="15"/>
        <v>317</v>
      </c>
    </row>
    <row r="111" spans="2:10" ht="15" customHeight="1">
      <c r="B111" s="114">
        <v>2027</v>
      </c>
      <c r="C111" s="113">
        <f t="shared" si="14"/>
        <v>50</v>
      </c>
      <c r="D111" s="324">
        <f>ROUND((C110-L50)-(C110*$D$98),0)</f>
        <v>47</v>
      </c>
      <c r="E111" s="112">
        <f t="shared" si="16"/>
        <v>47</v>
      </c>
      <c r="F111" s="112">
        <f t="shared" si="17"/>
        <v>46</v>
      </c>
      <c r="G111" s="112">
        <f t="shared" si="18"/>
        <v>45</v>
      </c>
      <c r="H111" s="112">
        <f t="shared" si="19"/>
        <v>42</v>
      </c>
      <c r="I111" s="112">
        <f t="shared" si="20"/>
        <v>41</v>
      </c>
      <c r="J111" s="111">
        <f t="shared" si="15"/>
        <v>318</v>
      </c>
    </row>
    <row r="112" spans="2:10" ht="15" customHeight="1">
      <c r="B112" s="114">
        <v>2028</v>
      </c>
      <c r="C112" s="113">
        <f t="shared" si="14"/>
        <v>53.585365853658537</v>
      </c>
      <c r="D112" s="324">
        <f>ROUND((C111-M50)-(C111*$D$98),0)</f>
        <v>46</v>
      </c>
      <c r="E112" s="112">
        <f t="shared" si="16"/>
        <v>47</v>
      </c>
      <c r="F112" s="112">
        <f t="shared" si="17"/>
        <v>46</v>
      </c>
      <c r="G112" s="112">
        <f t="shared" si="18"/>
        <v>45</v>
      </c>
      <c r="H112" s="112">
        <f t="shared" si="19"/>
        <v>43</v>
      </c>
      <c r="I112" s="112">
        <f t="shared" si="20"/>
        <v>41</v>
      </c>
      <c r="J112" s="111">
        <f t="shared" si="15"/>
        <v>321.58536585365857</v>
      </c>
    </row>
    <row r="113" spans="2:10" ht="15" customHeight="1">
      <c r="B113" s="114">
        <v>2029</v>
      </c>
      <c r="C113" s="113">
        <f t="shared" si="14"/>
        <v>53.585365853658537</v>
      </c>
      <c r="D113" s="324">
        <f>ROUND((C112-N50)-(C112*$D$98),0)</f>
        <v>50</v>
      </c>
      <c r="E113" s="112">
        <f t="shared" si="16"/>
        <v>46</v>
      </c>
      <c r="F113" s="112">
        <f t="shared" si="17"/>
        <v>46</v>
      </c>
      <c r="G113" s="112">
        <f t="shared" si="18"/>
        <v>45</v>
      </c>
      <c r="H113" s="112">
        <f t="shared" si="19"/>
        <v>43</v>
      </c>
      <c r="I113" s="112">
        <f t="shared" si="20"/>
        <v>41</v>
      </c>
      <c r="J113" s="111">
        <f t="shared" si="15"/>
        <v>324.58536585365857</v>
      </c>
    </row>
    <row r="114" spans="2:10" ht="15" customHeight="1">
      <c r="B114" s="114">
        <v>2030</v>
      </c>
      <c r="C114" s="113">
        <f t="shared" si="14"/>
        <v>53.585365853658537</v>
      </c>
      <c r="D114" s="324">
        <f>ROUND((C113-O50)-(C113*$D$98),0)</f>
        <v>50</v>
      </c>
      <c r="E114" s="112">
        <f t="shared" si="16"/>
        <v>50</v>
      </c>
      <c r="F114" s="112">
        <f t="shared" si="17"/>
        <v>45</v>
      </c>
      <c r="G114" s="112">
        <f t="shared" si="18"/>
        <v>45</v>
      </c>
      <c r="H114" s="112">
        <f t="shared" si="19"/>
        <v>43</v>
      </c>
      <c r="I114" s="112">
        <f t="shared" si="20"/>
        <v>41</v>
      </c>
      <c r="J114" s="111">
        <f t="shared" si="15"/>
        <v>327.58536585365857</v>
      </c>
    </row>
    <row r="115" spans="2:10" ht="15" customHeight="1">
      <c r="B115" s="114">
        <v>2031</v>
      </c>
      <c r="C115" s="113">
        <f t="shared" si="14"/>
        <v>53.585365853658537</v>
      </c>
      <c r="D115" s="324">
        <f>ROUND((C114-P50)-(C114*$D$98),0)</f>
        <v>50</v>
      </c>
      <c r="E115" s="112">
        <f t="shared" si="16"/>
        <v>50</v>
      </c>
      <c r="F115" s="112">
        <f t="shared" si="17"/>
        <v>49</v>
      </c>
      <c r="G115" s="112">
        <f t="shared" si="18"/>
        <v>44</v>
      </c>
      <c r="H115" s="112">
        <f t="shared" si="19"/>
        <v>43</v>
      </c>
      <c r="I115" s="112">
        <f t="shared" si="20"/>
        <v>41</v>
      </c>
      <c r="J115" s="111">
        <f t="shared" si="15"/>
        <v>330.58536585365857</v>
      </c>
    </row>
    <row r="116" spans="2:10" ht="15" customHeight="1">
      <c r="B116" s="114">
        <v>2032</v>
      </c>
      <c r="C116" s="113">
        <f t="shared" si="14"/>
        <v>53.585365853658537</v>
      </c>
      <c r="D116" s="324">
        <f>ROUND((C115-Q50)-(C115*$D$98),0)</f>
        <v>50</v>
      </c>
      <c r="E116" s="112">
        <f t="shared" si="16"/>
        <v>50</v>
      </c>
      <c r="F116" s="112">
        <f t="shared" si="17"/>
        <v>49</v>
      </c>
      <c r="G116" s="112">
        <f t="shared" si="18"/>
        <v>48</v>
      </c>
      <c r="H116" s="112">
        <f t="shared" si="19"/>
        <v>42</v>
      </c>
      <c r="I116" s="112">
        <f t="shared" si="20"/>
        <v>41</v>
      </c>
      <c r="J116" s="111">
        <f t="shared" si="15"/>
        <v>333.58536585365857</v>
      </c>
    </row>
    <row r="117" spans="2:10" ht="15" customHeight="1">
      <c r="F117" s="14"/>
      <c r="G117" s="14"/>
    </row>
    <row r="118" spans="2:10" ht="15" customHeight="1">
      <c r="B118" s="15" t="str">
        <f>"Table 4C: "&amp;E3&amp;" Projected Pupil Generation from Housing Development, 2019-2032"</f>
        <v>Table 4C: St Peter's RC Primary School Projected Pupil Generation from Housing Development, 2019-2032</v>
      </c>
      <c r="F118" s="14"/>
      <c r="G118" s="14"/>
    </row>
    <row r="119" spans="2:10" ht="15" customHeight="1">
      <c r="F119" s="14"/>
      <c r="G119" s="14"/>
    </row>
    <row r="120" spans="2:10" ht="15" customHeight="1">
      <c r="B120" s="115"/>
      <c r="C120" s="109" t="s">
        <v>1</v>
      </c>
      <c r="D120" s="109" t="s">
        <v>2</v>
      </c>
      <c r="E120" s="109" t="s">
        <v>3</v>
      </c>
      <c r="F120" s="109" t="s">
        <v>4</v>
      </c>
      <c r="G120" s="109" t="s">
        <v>5</v>
      </c>
      <c r="H120" s="109" t="s">
        <v>6</v>
      </c>
      <c r="I120" s="109" t="s">
        <v>7</v>
      </c>
      <c r="J120" s="109" t="s">
        <v>8</v>
      </c>
    </row>
    <row r="121" spans="2:10" ht="15" customHeight="1">
      <c r="B121" s="114">
        <v>2019</v>
      </c>
      <c r="C121" s="116" t="s">
        <v>97</v>
      </c>
      <c r="D121" s="112">
        <f>VLOOKUP($E$3,'Housing Generation'!$A$3:$BE$90,11,FALSE)</f>
        <v>0</v>
      </c>
      <c r="E121" s="112">
        <f>VLOOKUP($E$3,'Housing Generation'!$A$3:$BE$90,12,FALSE)</f>
        <v>0</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0</v>
      </c>
    </row>
    <row r="122" spans="2:10" ht="15" customHeight="1">
      <c r="B122" s="114">
        <v>2020</v>
      </c>
      <c r="C122" s="116" t="s">
        <v>97</v>
      </c>
      <c r="D122" s="112">
        <f>VLOOKUP($E$3,'Housing Generation'!$A$3:$BE$90,19,FALSE)</f>
        <v>1</v>
      </c>
      <c r="E122" s="112">
        <f>VLOOKUP($E$3,'Housing Generation'!$A$3:$BE$90,20,FALSE)</f>
        <v>0</v>
      </c>
      <c r="F122" s="112">
        <f>VLOOKUP($E$3,'Housing Generation'!$A$3:$BE$90,21,FALSE)</f>
        <v>0</v>
      </c>
      <c r="G122" s="112">
        <f>VLOOKUP($E$3,'Housing Generation'!$A$3:$BE$90,22,FALSE)</f>
        <v>0</v>
      </c>
      <c r="H122" s="112">
        <f>VLOOKUP($E$3,'Housing Generation'!$A$3:$BE$90,23,FALSE)</f>
        <v>0</v>
      </c>
      <c r="I122" s="112">
        <f>VLOOKUP($E$3,'Housing Generation'!$A$3:$BE$90,24,FALSE)</f>
        <v>0</v>
      </c>
      <c r="J122" s="111">
        <f t="shared" si="21"/>
        <v>1</v>
      </c>
    </row>
    <row r="123" spans="2:10" ht="15" customHeight="1">
      <c r="B123" s="114">
        <v>2021</v>
      </c>
      <c r="C123" s="116" t="s">
        <v>97</v>
      </c>
      <c r="D123" s="112">
        <f>VLOOKUP($E$3,'Housing Generation'!$A$3:$BE$90,27,FALSE)</f>
        <v>1</v>
      </c>
      <c r="E123" s="112">
        <f>VLOOKUP($E$3,'Housing Generation'!$A$3:$BE$90,28,FALSE)</f>
        <v>1</v>
      </c>
      <c r="F123" s="112">
        <f>VLOOKUP($E$3,'Housing Generation'!$A$3:$BE$90,29,FALSE)</f>
        <v>1</v>
      </c>
      <c r="G123" s="112">
        <f>VLOOKUP($E$3,'Housing Generation'!$A$3:$BE$90,30,FALSE)</f>
        <v>0</v>
      </c>
      <c r="H123" s="112">
        <f>VLOOKUP($E$3,'Housing Generation'!$A$3:$BE$90,31,FALSE)</f>
        <v>0</v>
      </c>
      <c r="I123" s="112">
        <f>VLOOKUP($E$3,'Housing Generation'!$A$3:$BE$90,32,FALSE)</f>
        <v>0</v>
      </c>
      <c r="J123" s="111">
        <f t="shared" si="21"/>
        <v>3</v>
      </c>
    </row>
    <row r="124" spans="2:10" ht="15" customHeight="1">
      <c r="B124" s="114">
        <v>2022</v>
      </c>
      <c r="C124" s="116" t="s">
        <v>97</v>
      </c>
      <c r="D124" s="112">
        <f>VLOOKUP($E$3,'Housing Generation'!$A$3:$BE$90,35,FALSE)</f>
        <v>1</v>
      </c>
      <c r="E124" s="112">
        <f>VLOOKUP($E$3,'Housing Generation'!$A$3:$BE$90,36,FALSE)</f>
        <v>1</v>
      </c>
      <c r="F124" s="112">
        <f>VLOOKUP($E$3,'Housing Generation'!$A$3:$BE$90,37,FALSE)</f>
        <v>1</v>
      </c>
      <c r="G124" s="112">
        <f>VLOOKUP($E$3,'Housing Generation'!$A$3:$BE$90,38,FALSE)</f>
        <v>0</v>
      </c>
      <c r="H124" s="112">
        <f>VLOOKUP($E$3,'Housing Generation'!$A$3:$BE$90,39,FALSE)</f>
        <v>0</v>
      </c>
      <c r="I124" s="112">
        <f>VLOOKUP($E$3,'Housing Generation'!$A$3:$BE$90,40,FALSE)</f>
        <v>0</v>
      </c>
      <c r="J124" s="111">
        <f t="shared" si="21"/>
        <v>3</v>
      </c>
    </row>
    <row r="125" spans="2:10" ht="15" customHeight="1">
      <c r="B125" s="114">
        <v>2023</v>
      </c>
      <c r="C125" s="116" t="s">
        <v>97</v>
      </c>
      <c r="D125" s="112">
        <f>VLOOKUP($E$3,'Housing Generation'!$A$3:$BE$90,43,FALSE)</f>
        <v>1</v>
      </c>
      <c r="E125" s="112">
        <f>VLOOKUP($E$3,'Housing Generation'!$A$3:$BE$90,44,FALSE)</f>
        <v>1</v>
      </c>
      <c r="F125" s="112">
        <f>VLOOKUP($E$3,'Housing Generation'!$A$3:$BE$90,45,FALSE)</f>
        <v>1</v>
      </c>
      <c r="G125" s="112">
        <f>VLOOKUP($E$3,'Housing Generation'!$A$3:$BE$90,46,FALSE)</f>
        <v>0</v>
      </c>
      <c r="H125" s="112">
        <f>VLOOKUP($E$3,'Housing Generation'!$A$3:$BE$90,47,FALSE)</f>
        <v>0</v>
      </c>
      <c r="I125" s="112">
        <f>VLOOKUP($E$3,'Housing Generation'!$A$3:$BE$90,48,FALSE)</f>
        <v>0</v>
      </c>
      <c r="J125" s="111">
        <f t="shared" si="21"/>
        <v>3</v>
      </c>
    </row>
    <row r="126" spans="2:10" ht="15" customHeight="1">
      <c r="B126" s="114">
        <v>2024</v>
      </c>
      <c r="C126" s="116" t="s">
        <v>97</v>
      </c>
      <c r="D126" s="112">
        <f>VLOOKUP($E$3,'Housing Generation'!$A$3:$BE$90,51,FALSE)</f>
        <v>1</v>
      </c>
      <c r="E126" s="112">
        <f>VLOOKUP($E$3,'Housing Generation'!$A$3:$BE$90,52,FALSE)</f>
        <v>1</v>
      </c>
      <c r="F126" s="112">
        <f>VLOOKUP($E$3,'Housing Generation'!$A$3:$BE$90,53,FALSE)</f>
        <v>1</v>
      </c>
      <c r="G126" s="112">
        <f>VLOOKUP($E$3,'Housing Generation'!$A$3:$BE$90,54,FALSE)</f>
        <v>1</v>
      </c>
      <c r="H126" s="112">
        <f>VLOOKUP($E$3,'Housing Generation'!$A$3:$BE$90,55,FALSE)</f>
        <v>1</v>
      </c>
      <c r="I126" s="112">
        <f>VLOOKUP($E$3,'Housing Generation'!$A$3:$BE$90,56,FALSE)</f>
        <v>1</v>
      </c>
      <c r="J126" s="111">
        <f t="shared" si="21"/>
        <v>6</v>
      </c>
    </row>
    <row r="127" spans="2:10" ht="15" customHeight="1">
      <c r="B127" s="114">
        <v>2025</v>
      </c>
      <c r="C127" s="240" t="s">
        <v>97</v>
      </c>
      <c r="D127" s="112">
        <f>VLOOKUP($E$3,'Housing Generation'!$A$3:$CK$90,59,FALSE)</f>
        <v>2</v>
      </c>
      <c r="E127" s="112">
        <f>VLOOKUP($E$3,'Housing Generation'!$A$3:$CK$90,60,FALSE)</f>
        <v>2</v>
      </c>
      <c r="F127" s="112">
        <f>VLOOKUP($E$3,'Housing Generation'!$A$3:$CK$90,61,FALSE)</f>
        <v>2</v>
      </c>
      <c r="G127" s="112">
        <f>VLOOKUP($E$3,'Housing Generation'!$A$3:$CK$90,62,FALSE)</f>
        <v>1</v>
      </c>
      <c r="H127" s="112">
        <f>VLOOKUP($E$3,'Housing Generation'!$A$3:$CK$90,63,FALSE)</f>
        <v>1</v>
      </c>
      <c r="I127" s="112">
        <f>VLOOKUP($E$3,'Housing Generation'!$A$3:$CK$90,64,FALSE)</f>
        <v>1</v>
      </c>
      <c r="J127" s="111">
        <f t="shared" si="21"/>
        <v>9</v>
      </c>
    </row>
    <row r="128" spans="2:10" ht="15" customHeight="1">
      <c r="B128" s="114">
        <v>2026</v>
      </c>
      <c r="C128" s="240" t="s">
        <v>97</v>
      </c>
      <c r="D128" s="112">
        <f>VLOOKUP($E$3,'Housing Generation'!$A$3:$CK$90,67,FALSE)</f>
        <v>2</v>
      </c>
      <c r="E128" s="112">
        <f>VLOOKUP($E$3,'Housing Generation'!$A$3:$CK$90,68,FALSE)</f>
        <v>2</v>
      </c>
      <c r="F128" s="112">
        <f>VLOOKUP($E$3,'Housing Generation'!$A$3:$CK$90,69,FALSE)</f>
        <v>2</v>
      </c>
      <c r="G128" s="112">
        <f>VLOOKUP($E$3,'Housing Generation'!$A$3:$CK$90,70,FALSE)</f>
        <v>2</v>
      </c>
      <c r="H128" s="112">
        <f>VLOOKUP($E$3,'Housing Generation'!$A$3:$CK$90,71,FALSE)</f>
        <v>1</v>
      </c>
      <c r="I128" s="112">
        <f>VLOOKUP($E$3,'Housing Generation'!$A$3:$CK$90,72,FALSE)</f>
        <v>1</v>
      </c>
      <c r="J128" s="111">
        <f t="shared" si="21"/>
        <v>10</v>
      </c>
    </row>
    <row r="129" spans="2:10" ht="15" customHeight="1">
      <c r="B129" s="114">
        <v>2027</v>
      </c>
      <c r="C129" s="240" t="s">
        <v>97</v>
      </c>
      <c r="D129" s="112">
        <f>VLOOKUP($E$3,'Housing Generation'!$A$3:$CK$90,75,FALSE)</f>
        <v>2</v>
      </c>
      <c r="E129" s="112">
        <f>VLOOKUP($E$3,'Housing Generation'!$A$3:$CK$90,76,FALSE)</f>
        <v>2</v>
      </c>
      <c r="F129" s="112">
        <f>VLOOKUP($E$3,'Housing Generation'!$A$3:$CK$90,77,FALSE)</f>
        <v>2</v>
      </c>
      <c r="G129" s="112">
        <f>VLOOKUP($E$3,'Housing Generation'!$A$3:$CK$90,78,FALSE)</f>
        <v>2</v>
      </c>
      <c r="H129" s="112">
        <f>VLOOKUP($E$3,'Housing Generation'!$A$3:$CK$90,79,FALSE)</f>
        <v>2</v>
      </c>
      <c r="I129" s="112">
        <f>VLOOKUP($E$3,'Housing Generation'!$A$3:$CK$90,80,FALSE)</f>
        <v>2</v>
      </c>
      <c r="J129" s="111">
        <f t="shared" si="21"/>
        <v>12</v>
      </c>
    </row>
    <row r="130" spans="2:10" ht="15" customHeight="1">
      <c r="B130" s="114">
        <v>2028</v>
      </c>
      <c r="C130" s="289" t="s">
        <v>97</v>
      </c>
      <c r="D130" s="112">
        <f>VLOOKUP($E$3,'Housing Generation'!$A$3:$CK$90,83,FALSE)</f>
        <v>3</v>
      </c>
      <c r="E130" s="112">
        <f>VLOOKUP($E$3,'Housing Generation'!$A$3:$CK$90,84,FALSE)</f>
        <v>2</v>
      </c>
      <c r="F130" s="112">
        <f>VLOOKUP($E$3,'Housing Generation'!$A$3:$CK$90,85,FALSE)</f>
        <v>2</v>
      </c>
      <c r="G130" s="112">
        <f>VLOOKUP($E$3,'Housing Generation'!$A$3:$CK$90,86,FALSE)</f>
        <v>2</v>
      </c>
      <c r="H130" s="112">
        <f>VLOOKUP($E$3,'Housing Generation'!$A$3:$CK$90,87,FALSE)</f>
        <v>2</v>
      </c>
      <c r="I130" s="112">
        <f>VLOOKUP($E$3,'Housing Generation'!$A$3:$CK$90,88,FALSE)</f>
        <v>2</v>
      </c>
      <c r="J130" s="111">
        <f t="shared" si="21"/>
        <v>13</v>
      </c>
    </row>
    <row r="131" spans="2:10" ht="15" customHeight="1">
      <c r="B131" s="114">
        <v>2029</v>
      </c>
      <c r="C131" s="289" t="s">
        <v>97</v>
      </c>
      <c r="D131" s="112">
        <f>VLOOKUP($E$3,'Housing Generation'!$A$3:$DQ$90,91,FALSE)</f>
        <v>3</v>
      </c>
      <c r="E131" s="112">
        <f>VLOOKUP($E$3,'Housing Generation'!$A$3:$DQ$90,92,FALSE)</f>
        <v>2</v>
      </c>
      <c r="F131" s="112">
        <f>VLOOKUP($E$3,'Housing Generation'!$A$3:$DQ$90,93,FALSE)</f>
        <v>2</v>
      </c>
      <c r="G131" s="112">
        <f>VLOOKUP($E$3,'Housing Generation'!$A$3:$DQ$90,94,FALSE)</f>
        <v>2</v>
      </c>
      <c r="H131" s="112">
        <f>VLOOKUP($E$3,'Housing Generation'!$A$3:$DQ$90,95,FALSE)</f>
        <v>2</v>
      </c>
      <c r="I131" s="112">
        <f>VLOOKUP($E$3,'Housing Generation'!$A$3:$DQ$90,96,FALSE)</f>
        <v>2</v>
      </c>
      <c r="J131" s="111">
        <f t="shared" si="21"/>
        <v>13</v>
      </c>
    </row>
    <row r="132" spans="2:10" ht="15" customHeight="1">
      <c r="B132" s="114">
        <v>2030</v>
      </c>
      <c r="C132" s="289" t="s">
        <v>97</v>
      </c>
      <c r="D132" s="112">
        <f>VLOOKUP($E$3,'Housing Generation'!$A$3:$DQ$90,99,FALSE)</f>
        <v>3</v>
      </c>
      <c r="E132" s="112">
        <f>VLOOKUP($E$3,'Housing Generation'!$A$3:$DQ$90,100,FALSE)</f>
        <v>3</v>
      </c>
      <c r="F132" s="112">
        <f>VLOOKUP($E$3,'Housing Generation'!$A$3:$DQ$90,101,FALSE)</f>
        <v>2</v>
      </c>
      <c r="G132" s="112">
        <f>VLOOKUP($E$3,'Housing Generation'!$A$3:$DQ$90,102,FALSE)</f>
        <v>2</v>
      </c>
      <c r="H132" s="112">
        <f>VLOOKUP($E$3,'Housing Generation'!$A$3:$DQ$90,103,FALSE)</f>
        <v>2</v>
      </c>
      <c r="I132" s="112">
        <f>VLOOKUP($E$3,'Housing Generation'!$A$3:$DQ$90,104,FALSE)</f>
        <v>2</v>
      </c>
      <c r="J132" s="111">
        <f t="shared" si="21"/>
        <v>14</v>
      </c>
    </row>
    <row r="133" spans="2:10" ht="15" customHeight="1">
      <c r="B133" s="114">
        <v>2031</v>
      </c>
      <c r="C133" s="289" t="s">
        <v>97</v>
      </c>
      <c r="D133" s="112">
        <f>VLOOKUP($E$3,'Housing Generation'!$A$3:$DQ$90,107,FALSE)</f>
        <v>3</v>
      </c>
      <c r="E133" s="112">
        <f>VLOOKUP($E$3,'Housing Generation'!$A$3:$DQ$90,108,FALSE)</f>
        <v>3</v>
      </c>
      <c r="F133" s="112">
        <f>VLOOKUP($E$3,'Housing Generation'!$A$3:$DQ$90,109,FALSE)</f>
        <v>2</v>
      </c>
      <c r="G133" s="112">
        <f>VLOOKUP($E$3,'Housing Generation'!$A$3:$DQ$90,110,FALSE)</f>
        <v>2</v>
      </c>
      <c r="H133" s="112">
        <f>VLOOKUP($E$3,'Housing Generation'!$A$3:$DQ$90,111,FALSE)</f>
        <v>2</v>
      </c>
      <c r="I133" s="112">
        <f>VLOOKUP($E$3,'Housing Generation'!$A$3:$DQ$90,112,FALSE)</f>
        <v>2</v>
      </c>
      <c r="J133" s="111">
        <f t="shared" si="21"/>
        <v>14</v>
      </c>
    </row>
    <row r="134" spans="2:10" ht="15" customHeight="1">
      <c r="B134" s="114">
        <v>2032</v>
      </c>
      <c r="C134" s="289" t="s">
        <v>97</v>
      </c>
      <c r="D134" s="112">
        <f>VLOOKUP($E$3,'Housing Generation'!$A$3:$DQ$90,115,FALSE)</f>
        <v>3</v>
      </c>
      <c r="E134" s="112">
        <f>VLOOKUP($E$3,'Housing Generation'!$A$3:$DQ$90,116,FALSE)</f>
        <v>3</v>
      </c>
      <c r="F134" s="112">
        <f>VLOOKUP($E$3,'Housing Generation'!$A$3:$DQ$90,117,FALSE)</f>
        <v>3</v>
      </c>
      <c r="G134" s="112">
        <f>VLOOKUP($E$3,'Housing Generation'!$A$3:$DQ$90,118,FALSE)</f>
        <v>2</v>
      </c>
      <c r="H134" s="112">
        <f>VLOOKUP($E$3,'Housing Generation'!$A$3:$DQ$90,119,FALSE)</f>
        <v>2</v>
      </c>
      <c r="I134" s="112">
        <f>VLOOKUP($E$3,'Housing Generation'!$A$3:$DQ$90,120,FALSE)</f>
        <v>2</v>
      </c>
      <c r="J134" s="111">
        <f t="shared" si="21"/>
        <v>15</v>
      </c>
    </row>
    <row r="135" spans="2:10" ht="15" hidden="1"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St Peter's RC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54.577235772357724</v>
      </c>
      <c r="D139" s="112">
        <f t="shared" ref="D139:I152" si="23">D121+D103</f>
        <v>42</v>
      </c>
      <c r="E139" s="112">
        <f t="shared" si="23"/>
        <v>59</v>
      </c>
      <c r="F139" s="112">
        <f t="shared" si="23"/>
        <v>55</v>
      </c>
      <c r="G139" s="112">
        <f t="shared" si="23"/>
        <v>56</v>
      </c>
      <c r="H139" s="112">
        <f t="shared" si="23"/>
        <v>56</v>
      </c>
      <c r="I139" s="112">
        <f t="shared" si="23"/>
        <v>52</v>
      </c>
      <c r="J139" s="111">
        <f t="shared" ref="J139:J147" si="24">SUM(C139:I139)</f>
        <v>374.57723577235771</v>
      </c>
    </row>
    <row r="140" spans="2:10" ht="15" customHeight="1">
      <c r="B140" s="114">
        <v>2020</v>
      </c>
      <c r="C140" s="113">
        <f t="shared" si="22"/>
        <v>50</v>
      </c>
      <c r="D140" s="112">
        <f t="shared" si="23"/>
        <v>54</v>
      </c>
      <c r="E140" s="112">
        <f t="shared" si="23"/>
        <v>42</v>
      </c>
      <c r="F140" s="112">
        <f t="shared" si="23"/>
        <v>58</v>
      </c>
      <c r="G140" s="112">
        <f t="shared" si="23"/>
        <v>54</v>
      </c>
      <c r="H140" s="112">
        <f t="shared" si="23"/>
        <v>54</v>
      </c>
      <c r="I140" s="112">
        <f t="shared" si="23"/>
        <v>54</v>
      </c>
      <c r="J140" s="111">
        <f t="shared" si="24"/>
        <v>366</v>
      </c>
    </row>
    <row r="141" spans="2:10" ht="15" customHeight="1">
      <c r="B141" s="114">
        <v>2021</v>
      </c>
      <c r="C141" s="113">
        <f t="shared" si="22"/>
        <v>47.634146341463413</v>
      </c>
      <c r="D141" s="112">
        <f t="shared" si="23"/>
        <v>49</v>
      </c>
      <c r="E141" s="112">
        <f t="shared" si="23"/>
        <v>54</v>
      </c>
      <c r="F141" s="112">
        <f t="shared" si="23"/>
        <v>42</v>
      </c>
      <c r="G141" s="112">
        <f t="shared" si="23"/>
        <v>57</v>
      </c>
      <c r="H141" s="112">
        <f t="shared" si="23"/>
        <v>52</v>
      </c>
      <c r="I141" s="112">
        <f t="shared" si="23"/>
        <v>52</v>
      </c>
      <c r="J141" s="111">
        <f t="shared" si="24"/>
        <v>353.63414634146341</v>
      </c>
    </row>
    <row r="142" spans="2:10" ht="15" customHeight="1">
      <c r="B142" s="114">
        <v>2022</v>
      </c>
      <c r="C142" s="113">
        <f t="shared" si="22"/>
        <v>46.642276422764226</v>
      </c>
      <c r="D142" s="112">
        <f t="shared" si="23"/>
        <v>47</v>
      </c>
      <c r="E142" s="112">
        <f t="shared" si="23"/>
        <v>49</v>
      </c>
      <c r="F142" s="112">
        <f t="shared" si="23"/>
        <v>53</v>
      </c>
      <c r="G142" s="112">
        <f t="shared" si="23"/>
        <v>40</v>
      </c>
      <c r="H142" s="112">
        <f t="shared" si="23"/>
        <v>55</v>
      </c>
      <c r="I142" s="112">
        <f t="shared" si="23"/>
        <v>50</v>
      </c>
      <c r="J142" s="111">
        <f t="shared" si="24"/>
        <v>340.64227642276421</v>
      </c>
    </row>
    <row r="143" spans="2:10" ht="15" customHeight="1">
      <c r="B143" s="114">
        <v>2023</v>
      </c>
      <c r="C143" s="113">
        <f t="shared" si="22"/>
        <v>49.617886178861788</v>
      </c>
      <c r="D143" s="112">
        <f t="shared" si="23"/>
        <v>46</v>
      </c>
      <c r="E143" s="112">
        <f t="shared" si="23"/>
        <v>47</v>
      </c>
      <c r="F143" s="112">
        <f t="shared" si="23"/>
        <v>48</v>
      </c>
      <c r="G143" s="112">
        <f t="shared" si="23"/>
        <v>51</v>
      </c>
      <c r="H143" s="112">
        <f t="shared" si="23"/>
        <v>39</v>
      </c>
      <c r="I143" s="112">
        <f t="shared" si="23"/>
        <v>53</v>
      </c>
      <c r="J143" s="111">
        <f t="shared" si="24"/>
        <v>333.6178861788618</v>
      </c>
    </row>
    <row r="144" spans="2:10" ht="15" customHeight="1">
      <c r="B144" s="114">
        <v>2024</v>
      </c>
      <c r="C144" s="113">
        <f t="shared" si="22"/>
        <v>50</v>
      </c>
      <c r="D144" s="112">
        <f t="shared" si="23"/>
        <v>48</v>
      </c>
      <c r="E144" s="112">
        <f t="shared" si="23"/>
        <v>46</v>
      </c>
      <c r="F144" s="112">
        <f t="shared" si="23"/>
        <v>46</v>
      </c>
      <c r="G144" s="112">
        <f t="shared" si="23"/>
        <v>47</v>
      </c>
      <c r="H144" s="112">
        <f t="shared" si="23"/>
        <v>50</v>
      </c>
      <c r="I144" s="112">
        <f t="shared" si="23"/>
        <v>39</v>
      </c>
      <c r="J144" s="111">
        <f t="shared" si="24"/>
        <v>326</v>
      </c>
    </row>
    <row r="145" spans="2:16" ht="15" customHeight="1">
      <c r="B145" s="114">
        <v>2025</v>
      </c>
      <c r="C145" s="113">
        <f t="shared" si="22"/>
        <v>50</v>
      </c>
      <c r="D145" s="112">
        <f t="shared" si="23"/>
        <v>49</v>
      </c>
      <c r="E145" s="112">
        <f t="shared" si="23"/>
        <v>49</v>
      </c>
      <c r="F145" s="112">
        <f t="shared" si="23"/>
        <v>46</v>
      </c>
      <c r="G145" s="112">
        <f t="shared" si="23"/>
        <v>45</v>
      </c>
      <c r="H145" s="112">
        <f t="shared" si="23"/>
        <v>45</v>
      </c>
      <c r="I145" s="112">
        <f t="shared" si="23"/>
        <v>48</v>
      </c>
      <c r="J145" s="111">
        <f t="shared" si="24"/>
        <v>332</v>
      </c>
    </row>
    <row r="146" spans="2:16" ht="15" customHeight="1">
      <c r="B146" s="114">
        <v>2026</v>
      </c>
      <c r="C146" s="113">
        <f t="shared" si="22"/>
        <v>50</v>
      </c>
      <c r="D146" s="112">
        <f t="shared" si="23"/>
        <v>49</v>
      </c>
      <c r="E146" s="112">
        <f t="shared" si="23"/>
        <v>49</v>
      </c>
      <c r="F146" s="112">
        <f t="shared" si="23"/>
        <v>48</v>
      </c>
      <c r="G146" s="112">
        <f t="shared" si="23"/>
        <v>45</v>
      </c>
      <c r="H146" s="112">
        <f t="shared" si="23"/>
        <v>43</v>
      </c>
      <c r="I146" s="112">
        <f t="shared" si="23"/>
        <v>43</v>
      </c>
      <c r="J146" s="111">
        <f t="shared" si="24"/>
        <v>327</v>
      </c>
    </row>
    <row r="147" spans="2:16" ht="15" customHeight="1">
      <c r="B147" s="114">
        <v>2027</v>
      </c>
      <c r="C147" s="113">
        <f t="shared" si="22"/>
        <v>50</v>
      </c>
      <c r="D147" s="112">
        <f t="shared" si="23"/>
        <v>49</v>
      </c>
      <c r="E147" s="112">
        <f t="shared" si="23"/>
        <v>49</v>
      </c>
      <c r="F147" s="112">
        <f t="shared" si="23"/>
        <v>48</v>
      </c>
      <c r="G147" s="112">
        <f t="shared" si="23"/>
        <v>47</v>
      </c>
      <c r="H147" s="112">
        <f t="shared" si="23"/>
        <v>44</v>
      </c>
      <c r="I147" s="112">
        <f t="shared" si="23"/>
        <v>43</v>
      </c>
      <c r="J147" s="111">
        <f t="shared" si="24"/>
        <v>330</v>
      </c>
    </row>
    <row r="148" spans="2:16" ht="15" customHeight="1">
      <c r="B148" s="114">
        <v>2028</v>
      </c>
      <c r="C148" s="113">
        <f t="shared" si="22"/>
        <v>53.585365853658537</v>
      </c>
      <c r="D148" s="112">
        <f t="shared" si="23"/>
        <v>49</v>
      </c>
      <c r="E148" s="112">
        <f t="shared" si="23"/>
        <v>49</v>
      </c>
      <c r="F148" s="112">
        <f t="shared" si="23"/>
        <v>48</v>
      </c>
      <c r="G148" s="112">
        <f t="shared" si="23"/>
        <v>47</v>
      </c>
      <c r="H148" s="112">
        <f t="shared" si="23"/>
        <v>45</v>
      </c>
      <c r="I148" s="112">
        <f t="shared" si="23"/>
        <v>43</v>
      </c>
      <c r="J148" s="111">
        <f t="shared" ref="J148:J152" si="25">SUM(C148:I148)</f>
        <v>334.58536585365857</v>
      </c>
    </row>
    <row r="149" spans="2:16" ht="15" customHeight="1">
      <c r="B149" s="114">
        <v>2029</v>
      </c>
      <c r="C149" s="113">
        <f t="shared" si="22"/>
        <v>53.585365853658537</v>
      </c>
      <c r="D149" s="112">
        <f t="shared" si="23"/>
        <v>53</v>
      </c>
      <c r="E149" s="112">
        <f t="shared" si="23"/>
        <v>48</v>
      </c>
      <c r="F149" s="112">
        <f t="shared" si="23"/>
        <v>48</v>
      </c>
      <c r="G149" s="112">
        <f t="shared" si="23"/>
        <v>47</v>
      </c>
      <c r="H149" s="112">
        <f t="shared" si="23"/>
        <v>45</v>
      </c>
      <c r="I149" s="112">
        <f t="shared" si="23"/>
        <v>43</v>
      </c>
      <c r="J149" s="111">
        <f t="shared" si="25"/>
        <v>337.58536585365857</v>
      </c>
    </row>
    <row r="150" spans="2:16" ht="15" customHeight="1">
      <c r="B150" s="114">
        <v>2030</v>
      </c>
      <c r="C150" s="113">
        <f t="shared" si="22"/>
        <v>53.585365853658537</v>
      </c>
      <c r="D150" s="112">
        <f t="shared" si="23"/>
        <v>53</v>
      </c>
      <c r="E150" s="112">
        <f t="shared" si="23"/>
        <v>53</v>
      </c>
      <c r="F150" s="112">
        <f t="shared" si="23"/>
        <v>47</v>
      </c>
      <c r="G150" s="112">
        <f t="shared" si="23"/>
        <v>47</v>
      </c>
      <c r="H150" s="112">
        <f t="shared" si="23"/>
        <v>45</v>
      </c>
      <c r="I150" s="112">
        <f t="shared" si="23"/>
        <v>43</v>
      </c>
      <c r="J150" s="111">
        <f t="shared" si="25"/>
        <v>341.58536585365857</v>
      </c>
    </row>
    <row r="151" spans="2:16" ht="15" customHeight="1">
      <c r="B151" s="114">
        <v>2031</v>
      </c>
      <c r="C151" s="113">
        <f t="shared" si="22"/>
        <v>53.585365853658537</v>
      </c>
      <c r="D151" s="112">
        <f t="shared" si="23"/>
        <v>53</v>
      </c>
      <c r="E151" s="112">
        <f t="shared" si="23"/>
        <v>53</v>
      </c>
      <c r="F151" s="112">
        <f t="shared" si="23"/>
        <v>51</v>
      </c>
      <c r="G151" s="112">
        <f t="shared" si="23"/>
        <v>46</v>
      </c>
      <c r="H151" s="112">
        <f t="shared" si="23"/>
        <v>45</v>
      </c>
      <c r="I151" s="112">
        <f t="shared" si="23"/>
        <v>43</v>
      </c>
      <c r="J151" s="111">
        <f t="shared" si="25"/>
        <v>344.58536585365857</v>
      </c>
    </row>
    <row r="152" spans="2:16" ht="15" customHeight="1">
      <c r="B152" s="114">
        <v>2032</v>
      </c>
      <c r="C152" s="113">
        <f t="shared" si="22"/>
        <v>53.585365853658537</v>
      </c>
      <c r="D152" s="112">
        <f t="shared" si="23"/>
        <v>53</v>
      </c>
      <c r="E152" s="112">
        <f t="shared" si="23"/>
        <v>53</v>
      </c>
      <c r="F152" s="112">
        <f t="shared" si="23"/>
        <v>52</v>
      </c>
      <c r="G152" s="112">
        <f t="shared" si="23"/>
        <v>50</v>
      </c>
      <c r="H152" s="112">
        <f t="shared" si="23"/>
        <v>44</v>
      </c>
      <c r="I152" s="112">
        <f t="shared" si="23"/>
        <v>43</v>
      </c>
      <c r="J152" s="111">
        <f t="shared" si="25"/>
        <v>348.58536585365857</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374.57723577235771</v>
      </c>
      <c r="D159" s="108">
        <f>J140</f>
        <v>366</v>
      </c>
      <c r="E159" s="108">
        <f>J141</f>
        <v>353.63414634146341</v>
      </c>
      <c r="F159" s="108">
        <f>J142</f>
        <v>340.64227642276421</v>
      </c>
      <c r="G159" s="108">
        <f>J143</f>
        <v>333.6178861788618</v>
      </c>
      <c r="H159" s="108">
        <f>J144</f>
        <v>326</v>
      </c>
      <c r="I159" s="108">
        <f>J145</f>
        <v>332</v>
      </c>
      <c r="J159" s="108">
        <f>J146</f>
        <v>327</v>
      </c>
      <c r="K159" s="108">
        <f>J147</f>
        <v>330</v>
      </c>
      <c r="L159" s="108">
        <f>J148</f>
        <v>334.58536585365857</v>
      </c>
      <c r="M159" s="108">
        <f>J149</f>
        <v>337.58536585365857</v>
      </c>
      <c r="N159" s="108">
        <f>J150</f>
        <v>341.58536585365857</v>
      </c>
      <c r="O159" s="108">
        <f>J151</f>
        <v>344.58536585365857</v>
      </c>
      <c r="P159" s="108">
        <f>J152</f>
        <v>348.58536585365857</v>
      </c>
    </row>
    <row r="160" spans="2:16" ht="15" customHeight="1">
      <c r="B160" s="107" t="s">
        <v>152</v>
      </c>
      <c r="C160" s="106">
        <f>VLOOKUP(C159,Capacity!$A$1:$C$645,2,TRUE)</f>
        <v>14</v>
      </c>
      <c r="D160" s="106">
        <f>VLOOKUP(D159,Capacity!$A$1:$C$645,2,TRUE)</f>
        <v>14</v>
      </c>
      <c r="E160" s="106">
        <f>VLOOKUP(E159,Capacity!$A$1:$C$645,2,TRUE)</f>
        <v>14</v>
      </c>
      <c r="F160" s="106">
        <f>VLOOKUP(F159,Capacity!$A$1:$C$645,2,TRUE)</f>
        <v>14</v>
      </c>
      <c r="G160" s="106">
        <f>VLOOKUP(G159,Capacity!$A$1:$C$645,2,TRUE)</f>
        <v>14</v>
      </c>
      <c r="H160" s="106">
        <f>VLOOKUP(H159,Capacity!$A$1:$C$645,2,TRUE)</f>
        <v>13</v>
      </c>
      <c r="I160" s="106">
        <f>VLOOKUP(I159,Capacity!$A$1:$C$645,2,TRUE)</f>
        <v>14</v>
      </c>
      <c r="J160" s="106">
        <f>VLOOKUP(J159,Capacity!$A$1:$C$645,2,TRUE)</f>
        <v>13</v>
      </c>
      <c r="K160" s="106">
        <f>VLOOKUP(K159,Capacity!$A$1:$C$645,2,TRUE)</f>
        <v>14</v>
      </c>
      <c r="L160" s="106">
        <f>VLOOKUP(L159,Capacity!$A$1:$C$645,2,TRUE)</f>
        <v>14</v>
      </c>
      <c r="M160" s="106">
        <f>VLOOKUP(M159,Capacity!$A$1:$C$645,2,TRUE)</f>
        <v>14</v>
      </c>
      <c r="N160" s="106">
        <f>VLOOKUP(N159,Capacity!$A$1:$C$645,2,TRUE)</f>
        <v>14</v>
      </c>
      <c r="O160" s="106">
        <f>VLOOKUP(O159,Capacity!$A$1:$C$645,2,TRUE)</f>
        <v>14</v>
      </c>
      <c r="P160" s="106">
        <f>VLOOKUP(P159,Capacity!$A$1:$C$645,2,TRUE)</f>
        <v>14</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535</v>
      </c>
      <c r="D169" s="97">
        <f>VLOOKUP($E$3,'Catchment Births'!$A$1:$U$90,11,FALSE)</f>
        <v>528</v>
      </c>
      <c r="E169" s="97">
        <f>VLOOKUP($E$3,'Catchment Births'!$A$1:$U$90,12,FALSE)</f>
        <v>576</v>
      </c>
      <c r="F169" s="97">
        <f>VLOOKUP($E$3,'Catchment Births'!$A$1:$U$90,13,FALSE)</f>
        <v>560</v>
      </c>
      <c r="G169" s="97">
        <f>VLOOKUP($E$3,'Catchment Births'!$A$1:$U$90,14,FALSE)</f>
        <v>582</v>
      </c>
      <c r="H169" s="97">
        <f>VLOOKUP($E$3,'Catchment Births'!$A$1:$U$90,15,FALSE)</f>
        <v>623</v>
      </c>
      <c r="I169" s="97">
        <f>VLOOKUP($E$3,'Catchment Births'!$A$1:$U$90,16,FALSE)</f>
        <v>563</v>
      </c>
      <c r="J169" s="97">
        <f>VLOOKUP($E$3,'Catchment Births'!$A$1:$U$90,17,FALSE)</f>
        <v>519</v>
      </c>
      <c r="K169" s="97">
        <f>VLOOKUP($E$3,'Catchment Births'!$A$1:$U$90,18,FALSE)</f>
        <v>544</v>
      </c>
      <c r="L169" s="97">
        <f>VLOOKUP($E$3,'Catchment Births'!$A$1:$U$90,19,FALSE)</f>
        <v>555</v>
      </c>
      <c r="M169" s="97">
        <f>VLOOKUP($E$3,'Catchment Births'!$A$1:$U$90,20,FALSE)</f>
        <v>579</v>
      </c>
      <c r="N169" s="97">
        <f>VLOOKUP($E$3,'Catchment Births'!$A$1:$U$90,21,FALSE)</f>
        <v>546</v>
      </c>
    </row>
    <row r="170" spans="2:14" ht="58.5" customHeight="1">
      <c r="B170" s="103" t="str">
        <f>"P1 "&amp;A35&amp;" Catchment Population (Actual)"</f>
        <v>P1 RC Catchment Population (Actual)</v>
      </c>
      <c r="C170" s="102" t="e">
        <v>#REF!</v>
      </c>
      <c r="D170" s="102">
        <v>59</v>
      </c>
      <c r="E170" s="102">
        <v>59</v>
      </c>
      <c r="F170" s="102">
        <v>58</v>
      </c>
      <c r="G170" s="102">
        <v>59</v>
      </c>
      <c r="H170" s="102">
        <v>61</v>
      </c>
      <c r="I170" s="102">
        <v>59</v>
      </c>
      <c r="J170" s="308">
        <f>VLOOKUP(E3,'Catchment Projections'!A1:BU92,42,FALSE)</f>
        <v>48</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180</v>
      </c>
      <c r="C172" s="99"/>
      <c r="D172" s="98"/>
      <c r="E172" s="98"/>
      <c r="F172" s="98"/>
      <c r="G172" s="97"/>
      <c r="H172" s="96"/>
      <c r="I172" s="96">
        <f>I170</f>
        <v>59</v>
      </c>
      <c r="J172" s="96" t="e">
        <f>#REF!</f>
        <v>#REF!</v>
      </c>
      <c r="K172" s="96">
        <f>D51</f>
        <v>52</v>
      </c>
      <c r="L172" s="96">
        <f>E51</f>
        <v>49</v>
      </c>
      <c r="M172" s="96">
        <f>F51</f>
        <v>45</v>
      </c>
      <c r="N172" s="96">
        <f>G51</f>
        <v>44</v>
      </c>
    </row>
    <row r="173" spans="2:14" ht="12.75">
      <c r="B173" s="62"/>
      <c r="C173" s="62"/>
      <c r="D173" s="62"/>
      <c r="E173" s="62"/>
      <c r="F173" s="62"/>
      <c r="G173" s="62"/>
      <c r="H173" s="62"/>
      <c r="I173" s="62"/>
      <c r="J173" s="62"/>
      <c r="K173" s="62"/>
    </row>
    <row r="174" spans="2:14" ht="15" customHeight="1">
      <c r="B174" s="64" t="str">
        <f>"Table 5: "&amp;E3&amp;" Roll by Stage, 2002-2018"</f>
        <v>Table 5: St Peter's RC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60</v>
      </c>
      <c r="D177" s="93">
        <v>63</v>
      </c>
      <c r="E177" s="93">
        <v>51</v>
      </c>
      <c r="F177" s="93">
        <v>61</v>
      </c>
      <c r="G177" s="93">
        <v>52</v>
      </c>
      <c r="H177" s="93">
        <v>57</v>
      </c>
      <c r="I177" s="93">
        <v>49</v>
      </c>
      <c r="J177" s="92">
        <v>393</v>
      </c>
      <c r="K177" s="62"/>
    </row>
    <row r="178" spans="2:11" ht="15" customHeight="1">
      <c r="B178" s="94">
        <v>2003</v>
      </c>
      <c r="C178" s="93">
        <v>58</v>
      </c>
      <c r="D178" s="93">
        <v>58</v>
      </c>
      <c r="E178" s="93">
        <v>64</v>
      </c>
      <c r="F178" s="93">
        <v>50</v>
      </c>
      <c r="G178" s="93">
        <v>54</v>
      </c>
      <c r="H178" s="93">
        <v>49</v>
      </c>
      <c r="I178" s="93">
        <v>53</v>
      </c>
      <c r="J178" s="92">
        <v>386</v>
      </c>
      <c r="K178" s="62"/>
    </row>
    <row r="179" spans="2:11" customFormat="1" ht="15" customHeight="1">
      <c r="B179" s="94">
        <v>2004</v>
      </c>
      <c r="C179" s="95">
        <v>60</v>
      </c>
      <c r="D179" s="95">
        <v>60</v>
      </c>
      <c r="E179" s="95">
        <v>60</v>
      </c>
      <c r="F179" s="95">
        <v>62</v>
      </c>
      <c r="G179" s="95">
        <v>46</v>
      </c>
      <c r="H179" s="95">
        <v>53</v>
      </c>
      <c r="I179" s="95">
        <v>48</v>
      </c>
      <c r="J179" s="92">
        <v>389</v>
      </c>
      <c r="K179" s="62"/>
    </row>
    <row r="180" spans="2:11" customFormat="1" ht="15" customHeight="1">
      <c r="B180" s="94">
        <v>2005</v>
      </c>
      <c r="C180" s="93">
        <v>55</v>
      </c>
      <c r="D180" s="93">
        <v>60</v>
      </c>
      <c r="E180" s="93">
        <v>60</v>
      </c>
      <c r="F180" s="93">
        <v>59</v>
      </c>
      <c r="G180" s="93">
        <v>62</v>
      </c>
      <c r="H180" s="93">
        <v>44</v>
      </c>
      <c r="I180" s="93">
        <v>51</v>
      </c>
      <c r="J180" s="92">
        <v>391</v>
      </c>
      <c r="K180" s="62"/>
    </row>
    <row r="181" spans="2:11" customFormat="1" ht="15" customHeight="1">
      <c r="B181" s="94">
        <v>2006</v>
      </c>
      <c r="C181" s="93">
        <v>56</v>
      </c>
      <c r="D181" s="93">
        <v>55</v>
      </c>
      <c r="E181" s="93">
        <v>59</v>
      </c>
      <c r="F181" s="93">
        <v>61</v>
      </c>
      <c r="G181" s="93">
        <v>59</v>
      </c>
      <c r="H181" s="93">
        <v>59</v>
      </c>
      <c r="I181" s="93">
        <v>44</v>
      </c>
      <c r="J181" s="92">
        <v>393</v>
      </c>
      <c r="K181" s="62"/>
    </row>
    <row r="182" spans="2:11" customFormat="1" ht="15" customHeight="1">
      <c r="B182" s="94">
        <v>2007</v>
      </c>
      <c r="C182" s="93">
        <v>51</v>
      </c>
      <c r="D182" s="93">
        <v>56</v>
      </c>
      <c r="E182" s="93">
        <v>55</v>
      </c>
      <c r="F182" s="93">
        <v>59</v>
      </c>
      <c r="G182" s="93">
        <v>58</v>
      </c>
      <c r="H182" s="93">
        <v>56</v>
      </c>
      <c r="I182" s="93">
        <v>55</v>
      </c>
      <c r="J182" s="92">
        <v>390</v>
      </c>
      <c r="K182" s="62"/>
    </row>
    <row r="183" spans="2:11" customFormat="1" ht="15" customHeight="1">
      <c r="B183" s="94">
        <v>2008</v>
      </c>
      <c r="C183" s="93">
        <v>60</v>
      </c>
      <c r="D183" s="93">
        <v>54</v>
      </c>
      <c r="E183" s="93">
        <v>55</v>
      </c>
      <c r="F183" s="93">
        <v>58</v>
      </c>
      <c r="G183" s="93">
        <v>59</v>
      </c>
      <c r="H183" s="93">
        <v>58</v>
      </c>
      <c r="I183" s="93">
        <v>53</v>
      </c>
      <c r="J183" s="92">
        <v>397</v>
      </c>
      <c r="K183" s="62"/>
    </row>
    <row r="184" spans="2:11" customFormat="1" ht="15" customHeight="1">
      <c r="B184" s="94">
        <v>2009</v>
      </c>
      <c r="C184" s="93">
        <v>59</v>
      </c>
      <c r="D184" s="93">
        <v>57</v>
      </c>
      <c r="E184" s="93">
        <v>54</v>
      </c>
      <c r="F184" s="93">
        <v>56</v>
      </c>
      <c r="G184" s="93">
        <v>61</v>
      </c>
      <c r="H184" s="93">
        <v>53</v>
      </c>
      <c r="I184" s="93">
        <v>53</v>
      </c>
      <c r="J184" s="94">
        <v>393</v>
      </c>
      <c r="K184" s="62"/>
    </row>
    <row r="185" spans="2:11" customFormat="1" ht="15" customHeight="1">
      <c r="B185" s="94">
        <v>2010</v>
      </c>
      <c r="C185" s="93">
        <v>60</v>
      </c>
      <c r="D185" s="93">
        <v>60</v>
      </c>
      <c r="E185" s="93">
        <v>60</v>
      </c>
      <c r="F185" s="93">
        <v>54</v>
      </c>
      <c r="G185" s="93">
        <v>62</v>
      </c>
      <c r="H185" s="93">
        <v>61</v>
      </c>
      <c r="I185" s="93">
        <v>58</v>
      </c>
      <c r="J185" s="92">
        <v>415</v>
      </c>
      <c r="K185" s="62"/>
    </row>
    <row r="186" spans="2:11" customFormat="1" ht="15" customHeight="1">
      <c r="B186" s="94">
        <v>2011</v>
      </c>
      <c r="C186" s="93">
        <v>61</v>
      </c>
      <c r="D186" s="93">
        <v>58</v>
      </c>
      <c r="E186" s="93">
        <v>58</v>
      </c>
      <c r="F186" s="93">
        <v>62</v>
      </c>
      <c r="G186" s="93">
        <v>50</v>
      </c>
      <c r="H186" s="93">
        <v>56</v>
      </c>
      <c r="I186" s="93">
        <v>60</v>
      </c>
      <c r="J186" s="92">
        <v>405</v>
      </c>
      <c r="K186" s="62"/>
    </row>
    <row r="187" spans="2:11" customFormat="1" ht="15" customHeight="1">
      <c r="B187" s="94">
        <v>2012</v>
      </c>
      <c r="C187" s="93">
        <v>61</v>
      </c>
      <c r="D187" s="93">
        <v>59</v>
      </c>
      <c r="E187" s="93">
        <v>61</v>
      </c>
      <c r="F187" s="93">
        <v>57</v>
      </c>
      <c r="G187" s="93">
        <v>64</v>
      </c>
      <c r="H187" s="93">
        <v>49</v>
      </c>
      <c r="I187" s="93">
        <v>57</v>
      </c>
      <c r="J187" s="92">
        <v>408</v>
      </c>
      <c r="K187" s="62"/>
    </row>
    <row r="188" spans="2:11" customFormat="1" ht="15" customHeight="1">
      <c r="B188" s="94">
        <v>2013</v>
      </c>
      <c r="C188" s="93">
        <v>60</v>
      </c>
      <c r="D188" s="93">
        <v>60</v>
      </c>
      <c r="E188" s="93">
        <v>60</v>
      </c>
      <c r="F188" s="93">
        <v>61</v>
      </c>
      <c r="G188" s="93">
        <v>58</v>
      </c>
      <c r="H188" s="93">
        <v>59</v>
      </c>
      <c r="I188" s="93">
        <v>43</v>
      </c>
      <c r="J188" s="94">
        <v>401</v>
      </c>
      <c r="K188" s="62"/>
    </row>
    <row r="189" spans="2:11" customFormat="1" ht="15" customHeight="1">
      <c r="B189" s="94">
        <v>2014</v>
      </c>
      <c r="C189" s="93">
        <v>61</v>
      </c>
      <c r="D189" s="93">
        <v>59</v>
      </c>
      <c r="E189" s="93">
        <v>60</v>
      </c>
      <c r="F189" s="93">
        <v>59</v>
      </c>
      <c r="G189" s="93">
        <v>58</v>
      </c>
      <c r="H189" s="93">
        <v>56</v>
      </c>
      <c r="I189" s="93">
        <v>59</v>
      </c>
      <c r="J189" s="92">
        <v>411</v>
      </c>
      <c r="K189" s="65"/>
    </row>
    <row r="190" spans="2:11" customFormat="1" ht="15" customHeight="1">
      <c r="B190" s="94">
        <v>2015</v>
      </c>
      <c r="C190" s="93">
        <v>60</v>
      </c>
      <c r="D190" s="93">
        <v>57</v>
      </c>
      <c r="E190" s="93">
        <v>59</v>
      </c>
      <c r="F190" s="93">
        <v>59</v>
      </c>
      <c r="G190" s="93">
        <v>56</v>
      </c>
      <c r="H190" s="93">
        <v>55</v>
      </c>
      <c r="I190" s="93">
        <v>53</v>
      </c>
      <c r="J190" s="92">
        <v>399</v>
      </c>
      <c r="K190" s="65"/>
    </row>
    <row r="191" spans="2:11" customFormat="1" ht="15" customHeight="1">
      <c r="B191" s="94">
        <v>2016</v>
      </c>
      <c r="C191" s="93">
        <v>56</v>
      </c>
      <c r="D191" s="93">
        <v>58</v>
      </c>
      <c r="E191" s="93">
        <v>58</v>
      </c>
      <c r="F191" s="93">
        <v>57</v>
      </c>
      <c r="G191" s="93">
        <v>62</v>
      </c>
      <c r="H191" s="93">
        <v>56</v>
      </c>
      <c r="I191" s="93">
        <v>53</v>
      </c>
      <c r="J191" s="92">
        <v>400</v>
      </c>
      <c r="K191" s="65"/>
    </row>
    <row r="192" spans="2:11" ht="15" customHeight="1">
      <c r="B192" s="94">
        <v>2017</v>
      </c>
      <c r="C192" s="93">
        <f>VLOOKUP($E$3,Rolls!A1:FA90,42,FALSE)</f>
        <v>59</v>
      </c>
      <c r="D192" s="93">
        <f>VLOOKUP($E$3,Rolls!A1:FA90,43,FALSE)</f>
        <v>56</v>
      </c>
      <c r="E192" s="93">
        <f>VLOOKUP($E$3,Rolls!A1:FA90,44,FALSE)</f>
        <v>59</v>
      </c>
      <c r="F192" s="93">
        <f>VLOOKUP($E$3,Rolls!A1:FA90,45,FALSE)</f>
        <v>59</v>
      </c>
      <c r="G192" s="93">
        <f>VLOOKUP($E$3,Rolls!A1:FA90,46,FALSE)</f>
        <v>60</v>
      </c>
      <c r="H192" s="93">
        <f>VLOOKUP($E$3,Rolls!A1:FA90,47,FALSE)</f>
        <v>60</v>
      </c>
      <c r="I192" s="93">
        <f>VLOOKUP($E$3,Rolls!A1:FA90,48,FALSE)</f>
        <v>54</v>
      </c>
      <c r="J192" s="92">
        <f>VLOOKUP($E$3,Rolls!A1:FA90,49,FALSE)</f>
        <v>407</v>
      </c>
      <c r="K192" s="65"/>
    </row>
    <row r="193" spans="2:11" ht="15" customHeight="1">
      <c r="B193" s="94">
        <v>2018</v>
      </c>
      <c r="C193" s="93">
        <f>VLOOKUP($E$3,Rolls!A1:FA90,50,FALSE)</f>
        <v>43</v>
      </c>
      <c r="D193" s="93">
        <f>VLOOKUP($E$3,Rolls!A1:FA90,51,FALSE)</f>
        <v>59</v>
      </c>
      <c r="E193" s="93">
        <f>VLOOKUP($E$3,Rolls!A1:FA90,52,FALSE)</f>
        <v>56</v>
      </c>
      <c r="F193" s="93">
        <f>VLOOKUP($E$3,Rolls!A1:FA90,53,FALSE)</f>
        <v>57</v>
      </c>
      <c r="G193" s="93">
        <f>VLOOKUP($E$3,Rolls!A1:FA90,54,FALSE)</f>
        <v>58</v>
      </c>
      <c r="H193" s="93">
        <f>VLOOKUP($E$3,Rolls!A1:FA90,55,FALSE)</f>
        <v>54</v>
      </c>
      <c r="I193" s="93">
        <f>VLOOKUP($E$3,Rolls!A1:FA90,56,FALSE)</f>
        <v>62</v>
      </c>
      <c r="J193" s="92">
        <f>VLOOKUP($E$3,Rolls!A1:FA90,57,FALSE)</f>
        <v>389</v>
      </c>
      <c r="K193" s="65"/>
    </row>
    <row r="195" spans="2:11" ht="15" customHeight="1">
      <c r="C195" s="203"/>
      <c r="D195" s="203"/>
      <c r="E195" s="203"/>
      <c r="F195" s="203"/>
      <c r="G195" s="203"/>
      <c r="H195" s="203"/>
      <c r="I195" s="203"/>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dimension ref="A1:Q193"/>
  <sheetViews>
    <sheetView topLeftCell="B51" zoomScaleNormal="100" workbookViewId="0">
      <selection activeCell="H60" sqref="H60"/>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66</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Stenhouse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420 Pupils (14 classes)</v>
      </c>
      <c r="G12" s="16"/>
      <c r="H12" s="16"/>
    </row>
    <row r="13" spans="2:10" ht="15" customHeight="1">
      <c r="C13" s="16"/>
      <c r="D13" s="16"/>
      <c r="E13" s="16"/>
      <c r="F13" s="16"/>
      <c r="G13" s="16"/>
      <c r="H13" s="16"/>
    </row>
    <row r="14" spans="2:10" ht="15" customHeight="1">
      <c r="B14" s="15" t="str">
        <f>"Figure 1: "&amp;E3&amp;" Roll, 2002-2015"</f>
        <v>Figure 1: Stenhouse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Stenhouse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49</v>
      </c>
      <c r="E49" s="108">
        <f>VLOOKUP($E$3,'Catchment Projections'!$A$1:$BU$90,46,FALSE)</f>
        <v>46</v>
      </c>
      <c r="F49" s="108">
        <f>VLOOKUP($E$3,'Catchment Projections'!$A$1:$BU$90,47,FALSE)</f>
        <v>44</v>
      </c>
      <c r="G49" s="108">
        <f>VLOOKUP($E$3,'Catchment Projections'!$A$1:$BU$90,48,FALSE)</f>
        <v>45</v>
      </c>
      <c r="H49" s="133">
        <f>VLOOKUP($E$3,'Catchment Projections'!$A$1:$BU$90,49,FALSE)</f>
        <v>45</v>
      </c>
      <c r="I49" s="133">
        <f>VLOOKUP($E$3,'Catchment Projections'!$A$1:$BU$90,50,FALSE)</f>
        <v>46</v>
      </c>
      <c r="J49" s="133">
        <f>VLOOKUP($E$3,'Catchment Projections'!$A$1:$BU$90,51,FALSE)</f>
        <v>47</v>
      </c>
      <c r="K49" s="133">
        <f>VLOOKUP($E$3,'Catchment Projections'!$A$1:$BU$90,52,FALSE)</f>
        <v>47</v>
      </c>
      <c r="L49" s="133">
        <f>VLOOKUP($E$3,'Catchment Projections'!$A$1:$BU$90,53,FALSE)</f>
        <v>47</v>
      </c>
      <c r="M49" s="133">
        <f>VLOOKUP($E$3,'Catchment Projections'!$A$1:$BU$90,54,FALSE)</f>
        <v>48</v>
      </c>
      <c r="N49" s="133">
        <f>VLOOKUP($E$3,'Catchment Projections'!$A$1:$BU$90,55,FALSE)</f>
        <v>48</v>
      </c>
      <c r="O49" s="133">
        <f>VLOOKUP($E$3,'Catchment Projections'!$A$1:$BU$90,56,FALSE)</f>
        <v>48</v>
      </c>
      <c r="P49" s="133">
        <f>VLOOKUP($E$3,'Catchment Projections'!$A$1:$BU$90,57,FALSE)</f>
        <v>48</v>
      </c>
      <c r="Q49" s="133">
        <f>VLOOKUP($E$3,'Catchment Projections'!$A$1:$BU$90,58,FALSE)</f>
        <v>48</v>
      </c>
    </row>
    <row r="50" spans="2:17" ht="15" customHeight="1" thickBot="1">
      <c r="B50" s="410" t="s">
        <v>141</v>
      </c>
      <c r="C50" s="411"/>
      <c r="D50" s="286">
        <f>VLOOKUP(E3,'Housing Generation'!$A$3:$DQ$90,10,FALSE)</f>
        <v>1</v>
      </c>
      <c r="E50" s="286">
        <f>VLOOKUP(E3,'Housing Generation'!$A$3:$DQ$90,18,FALSE)</f>
        <v>2</v>
      </c>
      <c r="F50" s="286">
        <f>VLOOKUP(E3,'Housing Generation'!$A$3:$DQ$90,26,FALSE)</f>
        <v>3</v>
      </c>
      <c r="G50" s="243">
        <f>VLOOKUP(E3,'Housing Generation'!$A$3:$DQ$90,34,FALSE)</f>
        <v>3</v>
      </c>
      <c r="H50" s="133">
        <f>VLOOKUP(E3,'Housing Generation'!$A$3:$DQ$90,42,FALSE)</f>
        <v>3</v>
      </c>
      <c r="I50" s="133">
        <f>VLOOKUP(E3,'Housing Generation'!$A$3:$DQ$90,50,FALSE)</f>
        <v>3</v>
      </c>
      <c r="J50" s="133">
        <f>VLOOKUP(E3,'Housing Generation'!$A$3:$CK$90,58,FALSE)</f>
        <v>3</v>
      </c>
      <c r="K50" s="133">
        <f>VLOOKUP(E3,'Housing Generation'!$A$3:$CK$90,66,FALSE)</f>
        <v>3</v>
      </c>
      <c r="L50" s="133">
        <f>VLOOKUP(E3,'Housing Generation'!$A$3:$DQ$90,74,FALSE)</f>
        <v>3</v>
      </c>
      <c r="M50" s="133">
        <f>VLOOKUP(E3,'Housing Generation'!$A$3:$DQ$90,82,FALSE)</f>
        <v>3</v>
      </c>
      <c r="N50" s="133">
        <f>VLOOKUP(E3,'Housing Generation'!$A$3:$DQ$90,90,FALSE)</f>
        <v>3</v>
      </c>
      <c r="O50" s="133">
        <f>VLOOKUP(E3,'Housing Generation'!$A$3:$DQ$90,98,FALSE)</f>
        <v>3</v>
      </c>
      <c r="P50" s="133">
        <f>VLOOKUP(E3,'Housing Generation'!$A$3:$DQ$90,106,FALSE)</f>
        <v>3</v>
      </c>
      <c r="Q50" s="133">
        <f>VLOOKUP(E3,'Housing Generation'!$A$3:$DQ$90,114,FALSE)</f>
        <v>3</v>
      </c>
    </row>
    <row r="51" spans="2:17" ht="15" customHeight="1" thickTop="1">
      <c r="B51" s="421" t="s">
        <v>130</v>
      </c>
      <c r="C51" s="422"/>
      <c r="D51" s="47">
        <f t="shared" ref="D51:Q51" si="0">SUM(D49:D50)</f>
        <v>50</v>
      </c>
      <c r="E51" s="47">
        <f t="shared" si="0"/>
        <v>48</v>
      </c>
      <c r="F51" s="80">
        <f t="shared" si="0"/>
        <v>47</v>
      </c>
      <c r="G51" s="244">
        <f t="shared" si="0"/>
        <v>48</v>
      </c>
      <c r="H51" s="71">
        <f t="shared" si="0"/>
        <v>48</v>
      </c>
      <c r="I51" s="71">
        <f t="shared" si="0"/>
        <v>49</v>
      </c>
      <c r="J51" s="71">
        <f t="shared" si="0"/>
        <v>50</v>
      </c>
      <c r="K51" s="71">
        <f t="shared" si="0"/>
        <v>50</v>
      </c>
      <c r="L51" s="71">
        <f t="shared" si="0"/>
        <v>50</v>
      </c>
      <c r="M51" s="71">
        <f t="shared" si="0"/>
        <v>51</v>
      </c>
      <c r="N51" s="71">
        <f t="shared" si="0"/>
        <v>51</v>
      </c>
      <c r="O51" s="71">
        <f t="shared" si="0"/>
        <v>51</v>
      </c>
      <c r="P51" s="71">
        <f t="shared" si="0"/>
        <v>51</v>
      </c>
      <c r="Q51" s="71">
        <f t="shared" si="0"/>
        <v>51</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67</v>
      </c>
      <c r="D60" s="358">
        <f>VLOOKUP($E$3,'Catchment Projections'!$A$1:$BZ$90,74,FALSE)</f>
        <v>41</v>
      </c>
      <c r="E60" s="303">
        <f>D60/C60</f>
        <v>0.61194029850746268</v>
      </c>
      <c r="G60" s="132">
        <v>2014</v>
      </c>
      <c r="H60" s="395">
        <f>VLOOKUP($G$60,$B$177:$C$215, 2, FALSE)</f>
        <v>47</v>
      </c>
      <c r="I60" s="120">
        <f>H60-D60</f>
        <v>6</v>
      </c>
      <c r="J60" s="121">
        <f>I60/H60</f>
        <v>0.1276595744680851</v>
      </c>
    </row>
    <row r="61" spans="2:17" ht="15" customHeight="1">
      <c r="B61" s="132">
        <v>2015</v>
      </c>
      <c r="C61" s="359">
        <f>VLOOKUP($E$3,'Catchment Projections'!$A$1:$BZ$90,41,FALSE)</f>
        <v>44</v>
      </c>
      <c r="D61" s="358">
        <f>VLOOKUP($E$3,'Catchment Projections'!$A$1:$BZ$90,75,FALSE)</f>
        <v>32</v>
      </c>
      <c r="E61" s="303">
        <f>D61/C61</f>
        <v>0.72727272727272729</v>
      </c>
      <c r="G61" s="132">
        <v>2015</v>
      </c>
      <c r="H61" s="395">
        <f>VLOOKUP($G$61,$B$177:$C$215, 2, FALSE)</f>
        <v>45</v>
      </c>
      <c r="I61" s="120">
        <f>H61-D61</f>
        <v>13</v>
      </c>
      <c r="J61" s="121">
        <f>I61/H61</f>
        <v>0.28888888888888886</v>
      </c>
    </row>
    <row r="62" spans="2:17" ht="15" customHeight="1">
      <c r="B62" s="131">
        <v>2016</v>
      </c>
      <c r="C62" s="359">
        <f>VLOOKUP($E$3,'Catchment Projections'!$A$1:$BZ$90,42,FALSE)</f>
        <v>46</v>
      </c>
      <c r="D62" s="358">
        <f>VLOOKUP($E$3,'Catchment Projections'!$A$1:$BZ$90,76,FALSE)</f>
        <v>33</v>
      </c>
      <c r="E62" s="57">
        <f>D62/C62</f>
        <v>0.71739130434782605</v>
      </c>
      <c r="G62" s="131">
        <v>2016</v>
      </c>
      <c r="H62" s="395">
        <f>VLOOKUP($G$62,$B$177:$C$215, 2, FALSE)</f>
        <v>43</v>
      </c>
      <c r="I62" s="120">
        <f>H62-D62</f>
        <v>10</v>
      </c>
      <c r="J62" s="121">
        <f>I62/H62</f>
        <v>0.23255813953488372</v>
      </c>
    </row>
    <row r="63" spans="2:17" ht="15" customHeight="1">
      <c r="B63" s="114">
        <v>2017</v>
      </c>
      <c r="C63" s="359">
        <f>VLOOKUP($E$3,'Catchment Projections'!$A$1:$BZ$90,43,FALSE)</f>
        <v>53</v>
      </c>
      <c r="D63" s="358">
        <f>VLOOKUP($E$3,'Catchment Projections'!$A$1:$BZ$90,77,FALSE)</f>
        <v>42</v>
      </c>
      <c r="E63" s="304">
        <f>D63/C63</f>
        <v>0.79245283018867929</v>
      </c>
      <c r="G63" s="114">
        <v>2017</v>
      </c>
      <c r="H63" s="395">
        <f>VLOOKUP($G$63,$B$177:$C$215, 2, FALSE)</f>
        <v>58</v>
      </c>
      <c r="I63" s="120">
        <f>H63-D63</f>
        <v>16</v>
      </c>
      <c r="J63" s="121">
        <f>I63/H63</f>
        <v>0.27586206896551724</v>
      </c>
    </row>
    <row r="64" spans="2:17" ht="15" customHeight="1">
      <c r="B64" s="114">
        <v>2018</v>
      </c>
      <c r="C64" s="359">
        <f>VLOOKUP($E$3,'Catchment Projections'!$A$1:$BZ$90,44,FALSE)</f>
        <v>58</v>
      </c>
      <c r="D64" s="358">
        <f>VLOOKUP($E$3,'Catchment Projections'!$A$1:$BZ$90,78,FALSE)</f>
        <v>45</v>
      </c>
      <c r="E64" s="305">
        <f>D64/C64</f>
        <v>0.77586206896551724</v>
      </c>
      <c r="G64" s="114">
        <v>2018</v>
      </c>
      <c r="H64" s="395">
        <f>VLOOKUP($G$64,$B$177:$C$215, 2, FALSE)</f>
        <v>51</v>
      </c>
      <c r="I64" s="120">
        <f>H64-D64</f>
        <v>6</v>
      </c>
      <c r="J64" s="121">
        <f>I64/H64</f>
        <v>0.11764705882352941</v>
      </c>
    </row>
    <row r="65" spans="2:10" ht="15" customHeight="1">
      <c r="B65" s="412" t="s">
        <v>136</v>
      </c>
      <c r="C65" s="413"/>
      <c r="D65" s="414"/>
      <c r="E65" s="137">
        <f>IF((AVERAGE(E62:E64))="#DIV/0!","n/a",(AVERAGE(E62:E64)))</f>
        <v>0.76190206783400749</v>
      </c>
      <c r="G65" s="415" t="s">
        <v>137</v>
      </c>
      <c r="H65" s="416"/>
      <c r="I65" s="138">
        <f>MEDIAN(I60:I64)</f>
        <v>10</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50</v>
      </c>
      <c r="D70" s="408"/>
      <c r="E70" s="122">
        <f>E65</f>
        <v>0.76190206783400749</v>
      </c>
      <c r="F70" s="120">
        <f t="shared" ref="F70:F83" si="1">C70*$E$65</f>
        <v>38.095103391700377</v>
      </c>
      <c r="G70" s="118">
        <f>IF(F70&lt;26,25,IF(F70&gt;135,140,IF(F70&gt;130,135,IF(F70&gt;125,130,IF(F70&gt;120,125,IF(F70&gt;115,120,IF(F70&gt;110,115,IF(F70&gt;105,110,IF(F70&gt;100,105,IF(F70&gt;99,100,IF(F70&gt;90,99,IF(F70&gt;75,90,IF(F70&gt;72,75,IF(F70&gt;66,72,IF(F70&gt;60,66,IF(F70&gt;50,60,IF(F70&gt;30,50,IF(F70&gt;25,30,0))))))))))))))))))</f>
        <v>50</v>
      </c>
      <c r="H70" s="119">
        <f t="shared" ref="H70:H83" si="2">G70-F70</f>
        <v>11.904896608299623</v>
      </c>
      <c r="I70" s="118" t="str">
        <f>IF(I$65&lt;H70, "NO", "YES")</f>
        <v>NO</v>
      </c>
      <c r="J70" s="117">
        <f t="shared" ref="J70:J83" si="3">IF(I70="YES",G70,(MIN((SUM(F70,$I$65)),G70)))</f>
        <v>48.095103391700377</v>
      </c>
    </row>
    <row r="71" spans="2:10" ht="15" customHeight="1">
      <c r="B71" s="114">
        <v>2020</v>
      </c>
      <c r="C71" s="433">
        <f>E51</f>
        <v>48</v>
      </c>
      <c r="D71" s="408"/>
      <c r="E71" s="121">
        <f>E65</f>
        <v>0.76190206783400749</v>
      </c>
      <c r="F71" s="120">
        <f t="shared" si="1"/>
        <v>36.571299256032361</v>
      </c>
      <c r="G71" s="118">
        <f t="shared" ref="G71:G83" si="4">IF(F71&lt;26,25,IF(F71&gt;135,140,IF(F71&gt;130,135,IF(F71&gt;125,130,IF(F71&gt;120,125,IF(F71&gt;115,120,IF(F71&gt;110,115,IF(F71&gt;105,110,IF(F71&gt;100,105,IF(F71&gt;99,100,IF(F71&gt;90,99,IF(F71&gt;75,90,IF(F71&gt;72,75,IF(F71&gt;66,72,IF(F71&gt;60,66,IF(F71&gt;50,60,IF(F71&gt;30,50,IF(F71&gt;25,30,0))))))))))))))))))</f>
        <v>50</v>
      </c>
      <c r="H71" s="119">
        <f t="shared" si="2"/>
        <v>13.428700743967639</v>
      </c>
      <c r="I71" s="118" t="str">
        <f t="shared" ref="I71:I83" si="5">IF(I$65&lt;H71, "NO", "YES")</f>
        <v>NO</v>
      </c>
      <c r="J71" s="117">
        <f t="shared" si="3"/>
        <v>46.571299256032361</v>
      </c>
    </row>
    <row r="72" spans="2:10" ht="15" customHeight="1">
      <c r="B72" s="114">
        <v>2021</v>
      </c>
      <c r="C72" s="430">
        <f>F51</f>
        <v>47</v>
      </c>
      <c r="D72" s="431"/>
      <c r="E72" s="121">
        <f>E65</f>
        <v>0.76190206783400749</v>
      </c>
      <c r="F72" s="120">
        <f t="shared" si="1"/>
        <v>35.809397188198353</v>
      </c>
      <c r="G72" s="118">
        <f t="shared" si="4"/>
        <v>50</v>
      </c>
      <c r="H72" s="119">
        <f t="shared" si="2"/>
        <v>14.190602811801647</v>
      </c>
      <c r="I72" s="118" t="str">
        <f t="shared" si="5"/>
        <v>NO</v>
      </c>
      <c r="J72" s="117">
        <f t="shared" si="3"/>
        <v>45.809397188198353</v>
      </c>
    </row>
    <row r="73" spans="2:10" ht="15" customHeight="1">
      <c r="B73" s="114">
        <v>2022</v>
      </c>
      <c r="C73" s="430">
        <f>G51</f>
        <v>48</v>
      </c>
      <c r="D73" s="431"/>
      <c r="E73" s="121">
        <f>E65</f>
        <v>0.76190206783400749</v>
      </c>
      <c r="F73" s="120">
        <f t="shared" si="1"/>
        <v>36.571299256032361</v>
      </c>
      <c r="G73" s="118">
        <f t="shared" si="4"/>
        <v>50</v>
      </c>
      <c r="H73" s="119">
        <f t="shared" si="2"/>
        <v>13.428700743967639</v>
      </c>
      <c r="I73" s="118" t="str">
        <f t="shared" si="5"/>
        <v>NO</v>
      </c>
      <c r="J73" s="117">
        <f t="shared" si="3"/>
        <v>46.571299256032361</v>
      </c>
    </row>
    <row r="74" spans="2:10" ht="15" customHeight="1">
      <c r="B74" s="114">
        <v>2023</v>
      </c>
      <c r="C74" s="430">
        <f>H51</f>
        <v>48</v>
      </c>
      <c r="D74" s="431"/>
      <c r="E74" s="121">
        <f>E65</f>
        <v>0.76190206783400749</v>
      </c>
      <c r="F74" s="120">
        <f t="shared" si="1"/>
        <v>36.571299256032361</v>
      </c>
      <c r="G74" s="118">
        <f t="shared" si="4"/>
        <v>50</v>
      </c>
      <c r="H74" s="119">
        <f t="shared" si="2"/>
        <v>13.428700743967639</v>
      </c>
      <c r="I74" s="118" t="str">
        <f t="shared" si="5"/>
        <v>NO</v>
      </c>
      <c r="J74" s="117">
        <f t="shared" si="3"/>
        <v>46.571299256032361</v>
      </c>
    </row>
    <row r="75" spans="2:10" ht="15" customHeight="1">
      <c r="B75" s="114">
        <v>2024</v>
      </c>
      <c r="C75" s="430">
        <f>I51</f>
        <v>49</v>
      </c>
      <c r="D75" s="431"/>
      <c r="E75" s="121">
        <f>E65</f>
        <v>0.76190206783400749</v>
      </c>
      <c r="F75" s="120">
        <f t="shared" si="1"/>
        <v>37.333201323866369</v>
      </c>
      <c r="G75" s="118">
        <f t="shared" si="4"/>
        <v>50</v>
      </c>
      <c r="H75" s="119">
        <f t="shared" si="2"/>
        <v>12.666798676133631</v>
      </c>
      <c r="I75" s="118" t="str">
        <f t="shared" si="5"/>
        <v>NO</v>
      </c>
      <c r="J75" s="117">
        <f t="shared" si="3"/>
        <v>47.333201323866369</v>
      </c>
    </row>
    <row r="76" spans="2:10" ht="15" customHeight="1">
      <c r="B76" s="114">
        <v>2025</v>
      </c>
      <c r="C76" s="430">
        <f>J51</f>
        <v>50</v>
      </c>
      <c r="D76" s="431"/>
      <c r="E76" s="121">
        <f>E65</f>
        <v>0.76190206783400749</v>
      </c>
      <c r="F76" s="120">
        <f t="shared" si="1"/>
        <v>38.095103391700377</v>
      </c>
      <c r="G76" s="118">
        <f t="shared" si="4"/>
        <v>50</v>
      </c>
      <c r="H76" s="119">
        <f t="shared" si="2"/>
        <v>11.904896608299623</v>
      </c>
      <c r="I76" s="118" t="str">
        <f t="shared" si="5"/>
        <v>NO</v>
      </c>
      <c r="J76" s="117">
        <f t="shared" si="3"/>
        <v>48.095103391700377</v>
      </c>
    </row>
    <row r="77" spans="2:10" ht="15" customHeight="1">
      <c r="B77" s="114">
        <v>2026</v>
      </c>
      <c r="C77" s="430">
        <f>K51</f>
        <v>50</v>
      </c>
      <c r="D77" s="431"/>
      <c r="E77" s="121">
        <f>E65</f>
        <v>0.76190206783400749</v>
      </c>
      <c r="F77" s="120">
        <f t="shared" si="1"/>
        <v>38.095103391700377</v>
      </c>
      <c r="G77" s="118">
        <f t="shared" si="4"/>
        <v>50</v>
      </c>
      <c r="H77" s="119">
        <f t="shared" si="2"/>
        <v>11.904896608299623</v>
      </c>
      <c r="I77" s="118" t="str">
        <f t="shared" si="5"/>
        <v>NO</v>
      </c>
      <c r="J77" s="117">
        <f t="shared" si="3"/>
        <v>48.095103391700377</v>
      </c>
    </row>
    <row r="78" spans="2:10" ht="15" customHeight="1">
      <c r="B78" s="114">
        <v>2027</v>
      </c>
      <c r="C78" s="430">
        <f>L51</f>
        <v>50</v>
      </c>
      <c r="D78" s="431"/>
      <c r="E78" s="121">
        <f>E65</f>
        <v>0.76190206783400749</v>
      </c>
      <c r="F78" s="120">
        <f t="shared" si="1"/>
        <v>38.095103391700377</v>
      </c>
      <c r="G78" s="118">
        <f t="shared" si="4"/>
        <v>50</v>
      </c>
      <c r="H78" s="119">
        <f t="shared" si="2"/>
        <v>11.904896608299623</v>
      </c>
      <c r="I78" s="118" t="str">
        <f t="shared" si="5"/>
        <v>NO</v>
      </c>
      <c r="J78" s="117">
        <f t="shared" si="3"/>
        <v>48.095103391700377</v>
      </c>
    </row>
    <row r="79" spans="2:10" ht="15" customHeight="1">
      <c r="B79" s="114">
        <v>2028</v>
      </c>
      <c r="C79" s="430">
        <f>M51</f>
        <v>51</v>
      </c>
      <c r="D79" s="431"/>
      <c r="E79" s="121">
        <f t="shared" ref="E79:E83" si="6">$E$65</f>
        <v>0.76190206783400749</v>
      </c>
      <c r="F79" s="120">
        <f t="shared" si="1"/>
        <v>38.857005459534385</v>
      </c>
      <c r="G79" s="118">
        <f t="shared" si="4"/>
        <v>50</v>
      </c>
      <c r="H79" s="119">
        <f t="shared" si="2"/>
        <v>11.142994540465615</v>
      </c>
      <c r="I79" s="118" t="str">
        <f t="shared" si="5"/>
        <v>NO</v>
      </c>
      <c r="J79" s="117">
        <f t="shared" si="3"/>
        <v>48.857005459534385</v>
      </c>
    </row>
    <row r="80" spans="2:10" ht="15" customHeight="1">
      <c r="B80" s="114">
        <v>2029</v>
      </c>
      <c r="C80" s="430">
        <f>N51</f>
        <v>51</v>
      </c>
      <c r="D80" s="431"/>
      <c r="E80" s="121">
        <f t="shared" si="6"/>
        <v>0.76190206783400749</v>
      </c>
      <c r="F80" s="120">
        <f t="shared" si="1"/>
        <v>38.857005459534385</v>
      </c>
      <c r="G80" s="118">
        <f t="shared" si="4"/>
        <v>50</v>
      </c>
      <c r="H80" s="119">
        <f t="shared" si="2"/>
        <v>11.142994540465615</v>
      </c>
      <c r="I80" s="118" t="str">
        <f t="shared" si="5"/>
        <v>NO</v>
      </c>
      <c r="J80" s="117">
        <f t="shared" si="3"/>
        <v>48.857005459534385</v>
      </c>
    </row>
    <row r="81" spans="2:10" ht="15" customHeight="1">
      <c r="B81" s="114">
        <v>2030</v>
      </c>
      <c r="C81" s="430">
        <f>O51</f>
        <v>51</v>
      </c>
      <c r="D81" s="431"/>
      <c r="E81" s="121">
        <f t="shared" si="6"/>
        <v>0.76190206783400749</v>
      </c>
      <c r="F81" s="120">
        <f t="shared" si="1"/>
        <v>38.857005459534385</v>
      </c>
      <c r="G81" s="118">
        <f t="shared" si="4"/>
        <v>50</v>
      </c>
      <c r="H81" s="119">
        <f t="shared" si="2"/>
        <v>11.142994540465615</v>
      </c>
      <c r="I81" s="118" t="str">
        <f t="shared" si="5"/>
        <v>NO</v>
      </c>
      <c r="J81" s="117">
        <f t="shared" si="3"/>
        <v>48.857005459534385</v>
      </c>
    </row>
    <row r="82" spans="2:10" ht="15" customHeight="1">
      <c r="B82" s="114">
        <v>2031</v>
      </c>
      <c r="C82" s="430">
        <f>P51</f>
        <v>51</v>
      </c>
      <c r="D82" s="431"/>
      <c r="E82" s="121">
        <f t="shared" si="6"/>
        <v>0.76190206783400749</v>
      </c>
      <c r="F82" s="120">
        <f t="shared" si="1"/>
        <v>38.857005459534385</v>
      </c>
      <c r="G82" s="118">
        <f t="shared" si="4"/>
        <v>50</v>
      </c>
      <c r="H82" s="119">
        <f t="shared" si="2"/>
        <v>11.142994540465615</v>
      </c>
      <c r="I82" s="118" t="str">
        <f t="shared" si="5"/>
        <v>NO</v>
      </c>
      <c r="J82" s="117">
        <f t="shared" si="3"/>
        <v>48.857005459534385</v>
      </c>
    </row>
    <row r="83" spans="2:10" ht="15" customHeight="1">
      <c r="B83" s="114">
        <v>2032</v>
      </c>
      <c r="C83" s="430">
        <f>Q51</f>
        <v>51</v>
      </c>
      <c r="D83" s="431"/>
      <c r="E83" s="121">
        <f t="shared" si="6"/>
        <v>0.76190206783400749</v>
      </c>
      <c r="F83" s="120">
        <f t="shared" si="1"/>
        <v>38.857005459534385</v>
      </c>
      <c r="G83" s="118">
        <f t="shared" si="4"/>
        <v>50</v>
      </c>
      <c r="H83" s="119">
        <f t="shared" si="2"/>
        <v>11.142994540465615</v>
      </c>
      <c r="I83" s="118" t="str">
        <f t="shared" si="5"/>
        <v>NO</v>
      </c>
      <c r="J83" s="117">
        <f t="shared" si="3"/>
        <v>48.857005459534385</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Stenhouse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49</v>
      </c>
      <c r="D91" s="112">
        <f t="shared" ref="D91:J91" si="7">D188</f>
        <v>52</v>
      </c>
      <c r="E91" s="112">
        <f t="shared" si="7"/>
        <v>45</v>
      </c>
      <c r="F91" s="112">
        <f t="shared" si="7"/>
        <v>37</v>
      </c>
      <c r="G91" s="112">
        <f t="shared" si="7"/>
        <v>40</v>
      </c>
      <c r="H91" s="112">
        <f t="shared" si="7"/>
        <v>31</v>
      </c>
      <c r="I91" s="112">
        <f t="shared" si="7"/>
        <v>40</v>
      </c>
      <c r="J91" s="213">
        <f t="shared" si="7"/>
        <v>294</v>
      </c>
    </row>
    <row r="92" spans="2:10" ht="15" customHeight="1">
      <c r="B92" s="114">
        <v>2014</v>
      </c>
      <c r="C92" s="112">
        <f>C189</f>
        <v>47</v>
      </c>
      <c r="D92" s="112">
        <f t="shared" ref="D92:J92" si="8">D189</f>
        <v>49</v>
      </c>
      <c r="E92" s="112">
        <f t="shared" si="8"/>
        <v>52</v>
      </c>
      <c r="F92" s="112">
        <f t="shared" si="8"/>
        <v>41</v>
      </c>
      <c r="G92" s="112">
        <f t="shared" si="8"/>
        <v>39</v>
      </c>
      <c r="H92" s="112">
        <f t="shared" si="8"/>
        <v>42</v>
      </c>
      <c r="I92" s="112">
        <f t="shared" si="8"/>
        <v>32</v>
      </c>
      <c r="J92" s="213">
        <f t="shared" si="8"/>
        <v>302</v>
      </c>
    </row>
    <row r="93" spans="2:10" ht="15" customHeight="1">
      <c r="B93" s="114">
        <v>2015</v>
      </c>
      <c r="C93" s="112">
        <f>C190</f>
        <v>45</v>
      </c>
      <c r="D93" s="112">
        <f t="shared" ref="D93:J93" si="9">D190</f>
        <v>51</v>
      </c>
      <c r="E93" s="112">
        <f t="shared" si="9"/>
        <v>46</v>
      </c>
      <c r="F93" s="112">
        <f t="shared" si="9"/>
        <v>49</v>
      </c>
      <c r="G93" s="112">
        <f t="shared" si="9"/>
        <v>41</v>
      </c>
      <c r="H93" s="112">
        <f t="shared" si="9"/>
        <v>35</v>
      </c>
      <c r="I93" s="112">
        <f t="shared" si="9"/>
        <v>42</v>
      </c>
      <c r="J93" s="213">
        <f t="shared" si="9"/>
        <v>309</v>
      </c>
    </row>
    <row r="94" spans="2:10" ht="15" customHeight="1">
      <c r="B94" s="114">
        <v>2016</v>
      </c>
      <c r="C94" s="112">
        <f>C191</f>
        <v>43</v>
      </c>
      <c r="D94" s="112">
        <f t="shared" ref="D94:J94" si="10">D191</f>
        <v>41</v>
      </c>
      <c r="E94" s="112">
        <f t="shared" si="10"/>
        <v>52</v>
      </c>
      <c r="F94" s="112">
        <f t="shared" si="10"/>
        <v>48</v>
      </c>
      <c r="G94" s="112">
        <f t="shared" si="10"/>
        <v>52</v>
      </c>
      <c r="H94" s="112">
        <f t="shared" si="10"/>
        <v>43</v>
      </c>
      <c r="I94" s="112">
        <f t="shared" si="10"/>
        <v>34</v>
      </c>
      <c r="J94" s="213">
        <f t="shared" si="10"/>
        <v>313</v>
      </c>
    </row>
    <row r="95" spans="2:10" ht="15" customHeight="1">
      <c r="B95" s="114">
        <v>2017</v>
      </c>
      <c r="C95" s="112">
        <f>C192</f>
        <v>58</v>
      </c>
      <c r="D95" s="112">
        <f t="shared" ref="D95:J95" si="11">D192</f>
        <v>45</v>
      </c>
      <c r="E95" s="112">
        <f t="shared" si="11"/>
        <v>44</v>
      </c>
      <c r="F95" s="112">
        <f t="shared" si="11"/>
        <v>49</v>
      </c>
      <c r="G95" s="112">
        <f t="shared" si="11"/>
        <v>48</v>
      </c>
      <c r="H95" s="112">
        <f t="shared" si="11"/>
        <v>49</v>
      </c>
      <c r="I95" s="112">
        <f t="shared" si="11"/>
        <v>39</v>
      </c>
      <c r="J95" s="213">
        <f t="shared" si="11"/>
        <v>332</v>
      </c>
    </row>
    <row r="96" spans="2:10" ht="15" customHeight="1">
      <c r="B96" s="307">
        <v>2018</v>
      </c>
      <c r="C96" s="112">
        <f t="shared" ref="C96:J96" si="12">C193</f>
        <v>51</v>
      </c>
      <c r="D96" s="112">
        <f t="shared" si="12"/>
        <v>55</v>
      </c>
      <c r="E96" s="112">
        <f t="shared" si="12"/>
        <v>50</v>
      </c>
      <c r="F96" s="112">
        <f t="shared" si="12"/>
        <v>52</v>
      </c>
      <c r="G96" s="112">
        <f t="shared" si="12"/>
        <v>47</v>
      </c>
      <c r="H96" s="112">
        <f t="shared" si="12"/>
        <v>50</v>
      </c>
      <c r="I96" s="112">
        <f t="shared" si="12"/>
        <v>45</v>
      </c>
      <c r="J96" s="213">
        <f t="shared" si="12"/>
        <v>350</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0</v>
      </c>
      <c r="E98" s="210">
        <f t="shared" ref="E98:I98" si="13">MEDIAN(((D91-E92)/D91),((D92-E93)/D92),((D93-E94)/D93),((D94-E95)/D94),((D95-E96)/D95))</f>
        <v>-1.9607843137254902E-2</v>
      </c>
      <c r="F98" s="210">
        <f t="shared" si="13"/>
        <v>5.7692307692307696E-2</v>
      </c>
      <c r="G98" s="210">
        <f t="shared" si="13"/>
        <v>0</v>
      </c>
      <c r="H98" s="210">
        <f t="shared" si="13"/>
        <v>-4.1666666666666664E-2</v>
      </c>
      <c r="I98" s="210">
        <f t="shared" si="13"/>
        <v>2.8571428571428571E-2</v>
      </c>
    </row>
    <row r="99" spans="2:10" ht="15" customHeight="1">
      <c r="B99" s="59"/>
      <c r="C99" s="60"/>
      <c r="D99" s="61"/>
      <c r="E99" s="61"/>
      <c r="F99" s="61"/>
      <c r="G99" s="61"/>
      <c r="H99" s="61"/>
      <c r="I99" s="61"/>
      <c r="J99" s="58"/>
    </row>
    <row r="100" spans="2:10" ht="15" customHeight="1">
      <c r="B100" s="15" t="str">
        <f>"Table 4B: "&amp;E3&amp;" Projected Roll by Stage (incorporating Projected P1 and Drop-Off Rates), 2019-2032"</f>
        <v>Table 4B: Stenhouse Primary School Projected Roll by Stage (incorporating Projected P1 and Drop-Off Rates), 2019-2032</v>
      </c>
      <c r="F100" s="14"/>
      <c r="G100" s="14"/>
    </row>
    <row r="101" spans="2:10" ht="15" customHeight="1">
      <c r="F101" s="14"/>
      <c r="G101" s="14"/>
    </row>
    <row r="102" spans="2:10" ht="15" customHeight="1">
      <c r="B102" s="115"/>
      <c r="C102" s="109" t="s">
        <v>1</v>
      </c>
      <c r="D102" s="109" t="s">
        <v>2</v>
      </c>
      <c r="E102" s="109" t="s">
        <v>3</v>
      </c>
      <c r="F102" s="109" t="s">
        <v>4</v>
      </c>
      <c r="G102" s="109" t="s">
        <v>5</v>
      </c>
      <c r="H102" s="109" t="s">
        <v>6</v>
      </c>
      <c r="I102" s="109" t="s">
        <v>7</v>
      </c>
      <c r="J102" s="109" t="s">
        <v>8</v>
      </c>
    </row>
    <row r="103" spans="2:10" ht="15" customHeight="1">
      <c r="B103" s="114">
        <v>2019</v>
      </c>
      <c r="C103" s="113">
        <f t="shared" ref="C103:C116" si="14">J70</f>
        <v>48.095103391700377</v>
      </c>
      <c r="D103" s="324">
        <f>ROUND((C96)-(C96*$D$98),0)</f>
        <v>51</v>
      </c>
      <c r="E103" s="324">
        <f>ROUND((D96)-(D96*$E$98),0)</f>
        <v>56</v>
      </c>
      <c r="F103" s="324">
        <f>ROUND((E96)-(E96*$F$98),0)</f>
        <v>47</v>
      </c>
      <c r="G103" s="324">
        <f>ROUND((F96)-(F96*$G$98),0)</f>
        <v>52</v>
      </c>
      <c r="H103" s="324">
        <f>ROUND((G96)-(G96*$H$98),0)</f>
        <v>49</v>
      </c>
      <c r="I103" s="324">
        <f>ROUND((H96)-(H96*$I$98),0)</f>
        <v>49</v>
      </c>
      <c r="J103" s="111">
        <f t="shared" ref="J103:J116" si="15">SUM(C103:I103)</f>
        <v>352.09510339170038</v>
      </c>
    </row>
    <row r="104" spans="2:10" ht="15" customHeight="1">
      <c r="B104" s="114">
        <v>2020</v>
      </c>
      <c r="C104" s="113">
        <f t="shared" si="14"/>
        <v>46.571299256032361</v>
      </c>
      <c r="D104" s="324">
        <f>ROUND((C103-E50)-(C103*$D$98),0)</f>
        <v>46</v>
      </c>
      <c r="E104" s="112">
        <f t="shared" ref="E104:E116" si="16">ROUND((D103)-(D103*$E$98),0)</f>
        <v>52</v>
      </c>
      <c r="F104" s="112">
        <f t="shared" ref="F104:F116" si="17">ROUND((E103)-(E103*$F$98),0)</f>
        <v>53</v>
      </c>
      <c r="G104" s="112">
        <f t="shared" ref="G104:G116" si="18">ROUND((F103)-(F103*$G$98),0)</f>
        <v>47</v>
      </c>
      <c r="H104" s="112">
        <f t="shared" ref="H104:H116" si="19">ROUND((G103)-(G103*$H$98),0)</f>
        <v>54</v>
      </c>
      <c r="I104" s="112">
        <f t="shared" ref="I104:I116" si="20">ROUND((H103)-(H103*$I$98),0)</f>
        <v>48</v>
      </c>
      <c r="J104" s="111">
        <f t="shared" si="15"/>
        <v>346.57129925603238</v>
      </c>
    </row>
    <row r="105" spans="2:10" ht="15" customHeight="1">
      <c r="B105" s="114">
        <v>2021</v>
      </c>
      <c r="C105" s="113">
        <f t="shared" si="14"/>
        <v>45.809397188198353</v>
      </c>
      <c r="D105" s="324">
        <f>ROUND((C104-F50)-(C104*$D$98),0)</f>
        <v>44</v>
      </c>
      <c r="E105" s="112">
        <f t="shared" si="16"/>
        <v>47</v>
      </c>
      <c r="F105" s="112">
        <f t="shared" si="17"/>
        <v>49</v>
      </c>
      <c r="G105" s="112">
        <f t="shared" si="18"/>
        <v>53</v>
      </c>
      <c r="H105" s="112">
        <f t="shared" si="19"/>
        <v>49</v>
      </c>
      <c r="I105" s="112">
        <f t="shared" si="20"/>
        <v>52</v>
      </c>
      <c r="J105" s="111">
        <f t="shared" si="15"/>
        <v>339.80939718819832</v>
      </c>
    </row>
    <row r="106" spans="2:10" ht="15" customHeight="1">
      <c r="B106" s="114">
        <v>2022</v>
      </c>
      <c r="C106" s="113">
        <f t="shared" si="14"/>
        <v>46.571299256032361</v>
      </c>
      <c r="D106" s="324">
        <f>ROUND((C105-G50)-(C105*$D$98),0)</f>
        <v>43</v>
      </c>
      <c r="E106" s="112">
        <f t="shared" si="16"/>
        <v>45</v>
      </c>
      <c r="F106" s="112">
        <f t="shared" si="17"/>
        <v>44</v>
      </c>
      <c r="G106" s="112">
        <f t="shared" si="18"/>
        <v>49</v>
      </c>
      <c r="H106" s="112">
        <f t="shared" si="19"/>
        <v>55</v>
      </c>
      <c r="I106" s="112">
        <f t="shared" si="20"/>
        <v>48</v>
      </c>
      <c r="J106" s="111">
        <f t="shared" si="15"/>
        <v>330.57129925603238</v>
      </c>
    </row>
    <row r="107" spans="2:10" ht="15" customHeight="1">
      <c r="B107" s="114">
        <v>2023</v>
      </c>
      <c r="C107" s="113">
        <f t="shared" si="14"/>
        <v>46.571299256032361</v>
      </c>
      <c r="D107" s="324">
        <f>ROUND((C106-H50)-(C106*$D$98),0)</f>
        <v>44</v>
      </c>
      <c r="E107" s="112">
        <f t="shared" si="16"/>
        <v>44</v>
      </c>
      <c r="F107" s="112">
        <f t="shared" si="17"/>
        <v>42</v>
      </c>
      <c r="G107" s="112">
        <f t="shared" si="18"/>
        <v>44</v>
      </c>
      <c r="H107" s="112">
        <f t="shared" si="19"/>
        <v>51</v>
      </c>
      <c r="I107" s="112">
        <f t="shared" si="20"/>
        <v>53</v>
      </c>
      <c r="J107" s="111">
        <f t="shared" si="15"/>
        <v>324.57129925603238</v>
      </c>
    </row>
    <row r="108" spans="2:10" ht="15" customHeight="1">
      <c r="B108" s="114">
        <v>2024</v>
      </c>
      <c r="C108" s="113">
        <f t="shared" si="14"/>
        <v>47.333201323866369</v>
      </c>
      <c r="D108" s="324">
        <f>ROUND((C107-I50)-(C107*$D$98),0)</f>
        <v>44</v>
      </c>
      <c r="E108" s="112">
        <f t="shared" si="16"/>
        <v>45</v>
      </c>
      <c r="F108" s="112">
        <f t="shared" si="17"/>
        <v>41</v>
      </c>
      <c r="G108" s="112">
        <f t="shared" si="18"/>
        <v>42</v>
      </c>
      <c r="H108" s="112">
        <f t="shared" si="19"/>
        <v>46</v>
      </c>
      <c r="I108" s="112">
        <f t="shared" si="20"/>
        <v>50</v>
      </c>
      <c r="J108" s="111">
        <f t="shared" si="15"/>
        <v>315.33320132386638</v>
      </c>
    </row>
    <row r="109" spans="2:10" ht="15" customHeight="1">
      <c r="B109" s="114">
        <v>2025</v>
      </c>
      <c r="C109" s="113">
        <f t="shared" si="14"/>
        <v>48.095103391700377</v>
      </c>
      <c r="D109" s="324">
        <f>ROUND((C108-J50)-(C108*$D$98),0)</f>
        <v>44</v>
      </c>
      <c r="E109" s="112">
        <f t="shared" si="16"/>
        <v>45</v>
      </c>
      <c r="F109" s="112">
        <f t="shared" si="17"/>
        <v>42</v>
      </c>
      <c r="G109" s="112">
        <f t="shared" si="18"/>
        <v>41</v>
      </c>
      <c r="H109" s="112">
        <f t="shared" si="19"/>
        <v>44</v>
      </c>
      <c r="I109" s="112">
        <f t="shared" si="20"/>
        <v>45</v>
      </c>
      <c r="J109" s="111">
        <f t="shared" si="15"/>
        <v>309.09510339170038</v>
      </c>
    </row>
    <row r="110" spans="2:10" ht="15" customHeight="1">
      <c r="B110" s="114">
        <v>2026</v>
      </c>
      <c r="C110" s="113">
        <f t="shared" si="14"/>
        <v>48.095103391700377</v>
      </c>
      <c r="D110" s="324">
        <f>ROUND((C109-K50)-(C109*$D$98),0)</f>
        <v>45</v>
      </c>
      <c r="E110" s="112">
        <f t="shared" si="16"/>
        <v>45</v>
      </c>
      <c r="F110" s="112">
        <f t="shared" si="17"/>
        <v>42</v>
      </c>
      <c r="G110" s="112">
        <f t="shared" si="18"/>
        <v>42</v>
      </c>
      <c r="H110" s="112">
        <f t="shared" si="19"/>
        <v>43</v>
      </c>
      <c r="I110" s="112">
        <f t="shared" si="20"/>
        <v>43</v>
      </c>
      <c r="J110" s="111">
        <f t="shared" si="15"/>
        <v>308.09510339170038</v>
      </c>
    </row>
    <row r="111" spans="2:10" ht="15" customHeight="1">
      <c r="B111" s="114">
        <v>2027</v>
      </c>
      <c r="C111" s="113">
        <f t="shared" si="14"/>
        <v>48.095103391700377</v>
      </c>
      <c r="D111" s="324">
        <f>ROUND((C110-L50)-(C110*$D$98),0)</f>
        <v>45</v>
      </c>
      <c r="E111" s="112">
        <f t="shared" si="16"/>
        <v>46</v>
      </c>
      <c r="F111" s="112">
        <f t="shared" si="17"/>
        <v>42</v>
      </c>
      <c r="G111" s="112">
        <f t="shared" si="18"/>
        <v>42</v>
      </c>
      <c r="H111" s="112">
        <f t="shared" si="19"/>
        <v>44</v>
      </c>
      <c r="I111" s="112">
        <f t="shared" si="20"/>
        <v>42</v>
      </c>
      <c r="J111" s="111">
        <f t="shared" si="15"/>
        <v>309.09510339170038</v>
      </c>
    </row>
    <row r="112" spans="2:10" ht="15" customHeight="1">
      <c r="B112" s="114">
        <v>2028</v>
      </c>
      <c r="C112" s="113">
        <f t="shared" si="14"/>
        <v>48.857005459534385</v>
      </c>
      <c r="D112" s="324">
        <f>ROUND((C111-M50)-(C111*$D$98),0)</f>
        <v>45</v>
      </c>
      <c r="E112" s="112">
        <f t="shared" si="16"/>
        <v>46</v>
      </c>
      <c r="F112" s="112">
        <f t="shared" si="17"/>
        <v>43</v>
      </c>
      <c r="G112" s="112">
        <f t="shared" si="18"/>
        <v>42</v>
      </c>
      <c r="H112" s="112">
        <f t="shared" si="19"/>
        <v>44</v>
      </c>
      <c r="I112" s="112">
        <f t="shared" si="20"/>
        <v>43</v>
      </c>
      <c r="J112" s="111">
        <f t="shared" si="15"/>
        <v>311.85700545953438</v>
      </c>
    </row>
    <row r="113" spans="2:10" ht="15" customHeight="1">
      <c r="B113" s="114">
        <v>2029</v>
      </c>
      <c r="C113" s="113">
        <f t="shared" si="14"/>
        <v>48.857005459534385</v>
      </c>
      <c r="D113" s="324">
        <f>ROUND((C112-N50)-(C112*$D$98),0)</f>
        <v>46</v>
      </c>
      <c r="E113" s="112">
        <f t="shared" si="16"/>
        <v>46</v>
      </c>
      <c r="F113" s="112">
        <f t="shared" si="17"/>
        <v>43</v>
      </c>
      <c r="G113" s="112">
        <f t="shared" si="18"/>
        <v>43</v>
      </c>
      <c r="H113" s="112">
        <f t="shared" si="19"/>
        <v>44</v>
      </c>
      <c r="I113" s="112">
        <f t="shared" si="20"/>
        <v>43</v>
      </c>
      <c r="J113" s="111">
        <f t="shared" si="15"/>
        <v>313.85700545953438</v>
      </c>
    </row>
    <row r="114" spans="2:10" ht="15" customHeight="1">
      <c r="B114" s="114">
        <v>2030</v>
      </c>
      <c r="C114" s="113">
        <f t="shared" si="14"/>
        <v>48.857005459534385</v>
      </c>
      <c r="D114" s="324">
        <f>ROUND((C113-O50)-(C113*$D$98),0)</f>
        <v>46</v>
      </c>
      <c r="E114" s="112">
        <f t="shared" si="16"/>
        <v>47</v>
      </c>
      <c r="F114" s="112">
        <f t="shared" si="17"/>
        <v>43</v>
      </c>
      <c r="G114" s="112">
        <f t="shared" si="18"/>
        <v>43</v>
      </c>
      <c r="H114" s="112">
        <f t="shared" si="19"/>
        <v>45</v>
      </c>
      <c r="I114" s="112">
        <f t="shared" si="20"/>
        <v>43</v>
      </c>
      <c r="J114" s="111">
        <f t="shared" si="15"/>
        <v>315.85700545953438</v>
      </c>
    </row>
    <row r="115" spans="2:10" ht="15" customHeight="1">
      <c r="B115" s="114">
        <v>2031</v>
      </c>
      <c r="C115" s="113">
        <f t="shared" si="14"/>
        <v>48.857005459534385</v>
      </c>
      <c r="D115" s="324">
        <f>ROUND((C114-P50)-(C114*$D$98),0)</f>
        <v>46</v>
      </c>
      <c r="E115" s="112">
        <f t="shared" si="16"/>
        <v>47</v>
      </c>
      <c r="F115" s="112">
        <f t="shared" si="17"/>
        <v>44</v>
      </c>
      <c r="G115" s="112">
        <f t="shared" si="18"/>
        <v>43</v>
      </c>
      <c r="H115" s="112">
        <f t="shared" si="19"/>
        <v>45</v>
      </c>
      <c r="I115" s="112">
        <f t="shared" si="20"/>
        <v>44</v>
      </c>
      <c r="J115" s="111">
        <f t="shared" si="15"/>
        <v>317.85700545953438</v>
      </c>
    </row>
    <row r="116" spans="2:10" ht="15" customHeight="1">
      <c r="B116" s="114">
        <v>2032</v>
      </c>
      <c r="C116" s="113">
        <f t="shared" si="14"/>
        <v>48.857005459534385</v>
      </c>
      <c r="D116" s="324">
        <f>ROUND((C115-Q50)-(C115*$D$98),0)</f>
        <v>46</v>
      </c>
      <c r="E116" s="112">
        <f t="shared" si="16"/>
        <v>47</v>
      </c>
      <c r="F116" s="112">
        <f t="shared" si="17"/>
        <v>44</v>
      </c>
      <c r="G116" s="112">
        <f t="shared" si="18"/>
        <v>44</v>
      </c>
      <c r="H116" s="112">
        <f t="shared" si="19"/>
        <v>45</v>
      </c>
      <c r="I116" s="112">
        <f t="shared" si="20"/>
        <v>44</v>
      </c>
      <c r="J116" s="111">
        <f t="shared" si="15"/>
        <v>318.85700545953438</v>
      </c>
    </row>
    <row r="117" spans="2:10" ht="15" customHeight="1">
      <c r="F117" s="14"/>
      <c r="G117" s="14"/>
    </row>
    <row r="118" spans="2:10" ht="15" customHeight="1">
      <c r="B118" s="15" t="str">
        <f>"Table 4C: "&amp;E3&amp;" Projected Pupil Generation from Housing Development, 2019-2032"</f>
        <v>Table 4C: Stenhouse Primary School Projected Pupil Generation from Housing Development, 2019-2032</v>
      </c>
      <c r="F118" s="14"/>
      <c r="G118" s="14"/>
    </row>
    <row r="119" spans="2:10" ht="15" customHeight="1">
      <c r="F119" s="14"/>
      <c r="G119" s="14"/>
    </row>
    <row r="120" spans="2:10" ht="15" customHeight="1">
      <c r="B120" s="115"/>
      <c r="C120" s="109" t="s">
        <v>1</v>
      </c>
      <c r="D120" s="109" t="s">
        <v>2</v>
      </c>
      <c r="E120" s="109" t="s">
        <v>3</v>
      </c>
      <c r="F120" s="109" t="s">
        <v>4</v>
      </c>
      <c r="G120" s="109" t="s">
        <v>5</v>
      </c>
      <c r="H120" s="109" t="s">
        <v>6</v>
      </c>
      <c r="I120" s="109" t="s">
        <v>7</v>
      </c>
      <c r="J120" s="109" t="s">
        <v>8</v>
      </c>
    </row>
    <row r="121" spans="2:10" ht="15" customHeight="1">
      <c r="B121" s="114">
        <v>2019</v>
      </c>
      <c r="C121" s="116" t="s">
        <v>97</v>
      </c>
      <c r="D121" s="112">
        <f>VLOOKUP($E$3,'Housing Generation'!$A$3:$BE$90,11,FALSE)</f>
        <v>1</v>
      </c>
      <c r="E121" s="112">
        <f>VLOOKUP($E$3,'Housing Generation'!$A$3:$BE$90,12,FALSE)</f>
        <v>1</v>
      </c>
      <c r="F121" s="112">
        <f>VLOOKUP($E$3,'Housing Generation'!$A$3:$BE$90,13,FALSE)</f>
        <v>1</v>
      </c>
      <c r="G121" s="112">
        <f>VLOOKUP($E$3,'Housing Generation'!$A$3:$BE$90,14,FALSE)</f>
        <v>0</v>
      </c>
      <c r="H121" s="112">
        <f>VLOOKUP($E$3,'Housing Generation'!$A$3:$BE$90,15,FALSE)</f>
        <v>0</v>
      </c>
      <c r="I121" s="112">
        <f>VLOOKUP($E$3,'Housing Generation'!$A$3:$BE$90,16,FALSE)</f>
        <v>0</v>
      </c>
      <c r="J121" s="111">
        <f t="shared" ref="J121:J134" si="21">SUM(D121:I121)</f>
        <v>3</v>
      </c>
    </row>
    <row r="122" spans="2:10" ht="15" customHeight="1">
      <c r="B122" s="114">
        <v>2020</v>
      </c>
      <c r="C122" s="116" t="s">
        <v>97</v>
      </c>
      <c r="D122" s="112">
        <f>VLOOKUP($E$3,'Housing Generation'!$A$3:$BE$90,19,FALSE)</f>
        <v>2</v>
      </c>
      <c r="E122" s="112">
        <f>VLOOKUP($E$3,'Housing Generation'!$A$3:$BE$90,20,FALSE)</f>
        <v>2</v>
      </c>
      <c r="F122" s="112">
        <f>VLOOKUP($E$3,'Housing Generation'!$A$3:$BE$90,21,FALSE)</f>
        <v>1</v>
      </c>
      <c r="G122" s="112">
        <f>VLOOKUP($E$3,'Housing Generation'!$A$3:$BE$90,22,FALSE)</f>
        <v>1</v>
      </c>
      <c r="H122" s="112">
        <f>VLOOKUP($E$3,'Housing Generation'!$A$3:$BE$90,23,FALSE)</f>
        <v>1</v>
      </c>
      <c r="I122" s="112">
        <f>VLOOKUP($E$3,'Housing Generation'!$A$3:$BE$90,24,FALSE)</f>
        <v>1</v>
      </c>
      <c r="J122" s="111">
        <f t="shared" si="21"/>
        <v>8</v>
      </c>
    </row>
    <row r="123" spans="2:10" ht="15" customHeight="1">
      <c r="B123" s="114">
        <v>2021</v>
      </c>
      <c r="C123" s="116" t="s">
        <v>97</v>
      </c>
      <c r="D123" s="112">
        <f>VLOOKUP($E$3,'Housing Generation'!$A$3:$BE$90,27,FALSE)</f>
        <v>3</v>
      </c>
      <c r="E123" s="112">
        <f>VLOOKUP($E$3,'Housing Generation'!$A$3:$BE$90,28,FALSE)</f>
        <v>2</v>
      </c>
      <c r="F123" s="112">
        <f>VLOOKUP($E$3,'Housing Generation'!$A$3:$BE$90,29,FALSE)</f>
        <v>2</v>
      </c>
      <c r="G123" s="112">
        <f>VLOOKUP($E$3,'Housing Generation'!$A$3:$BE$90,30,FALSE)</f>
        <v>2</v>
      </c>
      <c r="H123" s="112">
        <f>VLOOKUP($E$3,'Housing Generation'!$A$3:$BE$90,31,FALSE)</f>
        <v>2</v>
      </c>
      <c r="I123" s="112">
        <f>VLOOKUP($E$3,'Housing Generation'!$A$3:$BE$90,32,FALSE)</f>
        <v>2</v>
      </c>
      <c r="J123" s="111">
        <f t="shared" si="21"/>
        <v>13</v>
      </c>
    </row>
    <row r="124" spans="2:10" ht="15" customHeight="1">
      <c r="B124" s="114">
        <v>2022</v>
      </c>
      <c r="C124" s="116" t="s">
        <v>97</v>
      </c>
      <c r="D124" s="112">
        <f>VLOOKUP($E$3,'Housing Generation'!$A$3:$BE$90,35,FALSE)</f>
        <v>3</v>
      </c>
      <c r="E124" s="112">
        <f>VLOOKUP($E$3,'Housing Generation'!$A$3:$BE$90,36,FALSE)</f>
        <v>3</v>
      </c>
      <c r="F124" s="112">
        <f>VLOOKUP($E$3,'Housing Generation'!$A$3:$BE$90,37,FALSE)</f>
        <v>3</v>
      </c>
      <c r="G124" s="112">
        <f>VLOOKUP($E$3,'Housing Generation'!$A$3:$BE$90,38,FALSE)</f>
        <v>2</v>
      </c>
      <c r="H124" s="112">
        <f>VLOOKUP($E$3,'Housing Generation'!$A$3:$BE$90,39,FALSE)</f>
        <v>2</v>
      </c>
      <c r="I124" s="112">
        <f>VLOOKUP($E$3,'Housing Generation'!$A$3:$BE$90,40,FALSE)</f>
        <v>2</v>
      </c>
      <c r="J124" s="111">
        <f t="shared" si="21"/>
        <v>15</v>
      </c>
    </row>
    <row r="125" spans="2:10" ht="15" customHeight="1">
      <c r="B125" s="114">
        <v>2023</v>
      </c>
      <c r="C125" s="116" t="s">
        <v>97</v>
      </c>
      <c r="D125" s="112">
        <f>VLOOKUP($E$3,'Housing Generation'!$A$3:$BE$90,43,FALSE)</f>
        <v>3</v>
      </c>
      <c r="E125" s="112">
        <f>VLOOKUP($E$3,'Housing Generation'!$A$3:$BE$90,44,FALSE)</f>
        <v>3</v>
      </c>
      <c r="F125" s="112">
        <f>VLOOKUP($E$3,'Housing Generation'!$A$3:$BE$90,45,FALSE)</f>
        <v>3</v>
      </c>
      <c r="G125" s="112">
        <f>VLOOKUP($E$3,'Housing Generation'!$A$3:$BE$90,46,FALSE)</f>
        <v>2</v>
      </c>
      <c r="H125" s="112">
        <f>VLOOKUP($E$3,'Housing Generation'!$A$3:$BE$90,47,FALSE)</f>
        <v>2</v>
      </c>
      <c r="I125" s="112">
        <f>VLOOKUP($E$3,'Housing Generation'!$A$3:$BE$90,48,FALSE)</f>
        <v>2</v>
      </c>
      <c r="J125" s="111">
        <f t="shared" si="21"/>
        <v>15</v>
      </c>
    </row>
    <row r="126" spans="2:10" ht="15" customHeight="1">
      <c r="B126" s="114">
        <v>2024</v>
      </c>
      <c r="C126" s="116" t="s">
        <v>97</v>
      </c>
      <c r="D126" s="112">
        <f>VLOOKUP($E$3,'Housing Generation'!$A$3:$BE$90,51,FALSE)</f>
        <v>3</v>
      </c>
      <c r="E126" s="112">
        <f>VLOOKUP($E$3,'Housing Generation'!$A$3:$BE$90,52,FALSE)</f>
        <v>3</v>
      </c>
      <c r="F126" s="112">
        <f>VLOOKUP($E$3,'Housing Generation'!$A$3:$BE$90,53,FALSE)</f>
        <v>3</v>
      </c>
      <c r="G126" s="112">
        <f>VLOOKUP($E$3,'Housing Generation'!$A$3:$BE$90,54,FALSE)</f>
        <v>2</v>
      </c>
      <c r="H126" s="112">
        <f>VLOOKUP($E$3,'Housing Generation'!$A$3:$BE$90,55,FALSE)</f>
        <v>2</v>
      </c>
      <c r="I126" s="112">
        <f>VLOOKUP($E$3,'Housing Generation'!$A$3:$BE$90,56,FALSE)</f>
        <v>2</v>
      </c>
      <c r="J126" s="111">
        <f t="shared" si="21"/>
        <v>15</v>
      </c>
    </row>
    <row r="127" spans="2:10" ht="15" customHeight="1">
      <c r="B127" s="114">
        <v>2025</v>
      </c>
      <c r="C127" s="240" t="s">
        <v>97</v>
      </c>
      <c r="D127" s="112">
        <f>VLOOKUP($E$3,'Housing Generation'!$A$3:$CK$90,59,FALSE)</f>
        <v>3</v>
      </c>
      <c r="E127" s="112">
        <f>VLOOKUP($E$3,'Housing Generation'!$A$3:$CK$90,60,FALSE)</f>
        <v>3</v>
      </c>
      <c r="F127" s="112">
        <f>VLOOKUP($E$3,'Housing Generation'!$A$3:$CK$90,61,FALSE)</f>
        <v>3</v>
      </c>
      <c r="G127" s="112">
        <f>VLOOKUP($E$3,'Housing Generation'!$A$3:$CK$90,62,FALSE)</f>
        <v>2</v>
      </c>
      <c r="H127" s="112">
        <f>VLOOKUP($E$3,'Housing Generation'!$A$3:$CK$90,63,FALSE)</f>
        <v>2</v>
      </c>
      <c r="I127" s="112">
        <f>VLOOKUP($E$3,'Housing Generation'!$A$3:$CK$90,64,FALSE)</f>
        <v>2</v>
      </c>
      <c r="J127" s="111">
        <f t="shared" si="21"/>
        <v>15</v>
      </c>
    </row>
    <row r="128" spans="2:10" ht="15" customHeight="1">
      <c r="B128" s="114">
        <v>2026</v>
      </c>
      <c r="C128" s="240" t="s">
        <v>97</v>
      </c>
      <c r="D128" s="112">
        <f>VLOOKUP($E$3,'Housing Generation'!$A$3:$CK$90,67,FALSE)</f>
        <v>3</v>
      </c>
      <c r="E128" s="112">
        <f>VLOOKUP($E$3,'Housing Generation'!$A$3:$CK$90,68,FALSE)</f>
        <v>3</v>
      </c>
      <c r="F128" s="112">
        <f>VLOOKUP($E$3,'Housing Generation'!$A$3:$CK$90,69,FALSE)</f>
        <v>3</v>
      </c>
      <c r="G128" s="112">
        <f>VLOOKUP($E$3,'Housing Generation'!$A$3:$CK$90,70,FALSE)</f>
        <v>2</v>
      </c>
      <c r="H128" s="112">
        <f>VLOOKUP($E$3,'Housing Generation'!$A$3:$CK$90,71,FALSE)</f>
        <v>2</v>
      </c>
      <c r="I128" s="112">
        <f>VLOOKUP($E$3,'Housing Generation'!$A$3:$CK$90,72,FALSE)</f>
        <v>2</v>
      </c>
      <c r="J128" s="111">
        <f t="shared" si="21"/>
        <v>15</v>
      </c>
    </row>
    <row r="129" spans="2:10" ht="15" customHeight="1">
      <c r="B129" s="114">
        <v>2027</v>
      </c>
      <c r="C129" s="240" t="s">
        <v>97</v>
      </c>
      <c r="D129" s="112">
        <f>VLOOKUP($E$3,'Housing Generation'!$A$3:$CK$90,75,FALSE)</f>
        <v>3</v>
      </c>
      <c r="E129" s="112">
        <f>VLOOKUP($E$3,'Housing Generation'!$A$3:$CK$90,76,FALSE)</f>
        <v>3</v>
      </c>
      <c r="F129" s="112">
        <f>VLOOKUP($E$3,'Housing Generation'!$A$3:$CK$90,77,FALSE)</f>
        <v>3</v>
      </c>
      <c r="G129" s="112">
        <f>VLOOKUP($E$3,'Housing Generation'!$A$3:$CK$90,78,FALSE)</f>
        <v>2</v>
      </c>
      <c r="H129" s="112">
        <f>VLOOKUP($E$3,'Housing Generation'!$A$3:$CK$90,79,FALSE)</f>
        <v>2</v>
      </c>
      <c r="I129" s="112">
        <f>VLOOKUP($E$3,'Housing Generation'!$A$3:$CK$90,80,FALSE)</f>
        <v>2</v>
      </c>
      <c r="J129" s="111">
        <f t="shared" si="21"/>
        <v>15</v>
      </c>
    </row>
    <row r="130" spans="2:10" ht="15" customHeight="1">
      <c r="B130" s="114">
        <v>2028</v>
      </c>
      <c r="C130" s="289" t="s">
        <v>97</v>
      </c>
      <c r="D130" s="112">
        <f>VLOOKUP($E$3,'Housing Generation'!$A$3:$CK$90,83,FALSE)</f>
        <v>3</v>
      </c>
      <c r="E130" s="112">
        <f>VLOOKUP($E$3,'Housing Generation'!$A$3:$CK$90,84,FALSE)</f>
        <v>3</v>
      </c>
      <c r="F130" s="112">
        <f>VLOOKUP($E$3,'Housing Generation'!$A$3:$CK$90,85,FALSE)</f>
        <v>3</v>
      </c>
      <c r="G130" s="112">
        <f>VLOOKUP($E$3,'Housing Generation'!$A$3:$CK$90,86,FALSE)</f>
        <v>2</v>
      </c>
      <c r="H130" s="112">
        <f>VLOOKUP($E$3,'Housing Generation'!$A$3:$CK$90,87,FALSE)</f>
        <v>2</v>
      </c>
      <c r="I130" s="112">
        <f>VLOOKUP($E$3,'Housing Generation'!$A$3:$CK$90,88,FALSE)</f>
        <v>2</v>
      </c>
      <c r="J130" s="111">
        <f t="shared" si="21"/>
        <v>15</v>
      </c>
    </row>
    <row r="131" spans="2:10" ht="15" customHeight="1">
      <c r="B131" s="114">
        <v>2029</v>
      </c>
      <c r="C131" s="289" t="s">
        <v>97</v>
      </c>
      <c r="D131" s="112">
        <f>VLOOKUP($E$3,'Housing Generation'!$A$3:$DQ$90,91,FALSE)</f>
        <v>3</v>
      </c>
      <c r="E131" s="112">
        <f>VLOOKUP($E$3,'Housing Generation'!$A$3:$DQ$90,92,FALSE)</f>
        <v>3</v>
      </c>
      <c r="F131" s="112">
        <f>VLOOKUP($E$3,'Housing Generation'!$A$3:$DQ$90,93,FALSE)</f>
        <v>3</v>
      </c>
      <c r="G131" s="112">
        <f>VLOOKUP($E$3,'Housing Generation'!$A$3:$DQ$90,94,FALSE)</f>
        <v>2</v>
      </c>
      <c r="H131" s="112">
        <f>VLOOKUP($E$3,'Housing Generation'!$A$3:$DQ$90,95,FALSE)</f>
        <v>2</v>
      </c>
      <c r="I131" s="112">
        <f>VLOOKUP($E$3,'Housing Generation'!$A$3:$DQ$90,96,FALSE)</f>
        <v>2</v>
      </c>
      <c r="J131" s="111">
        <f t="shared" si="21"/>
        <v>15</v>
      </c>
    </row>
    <row r="132" spans="2:10" ht="15" customHeight="1">
      <c r="B132" s="114">
        <v>2030</v>
      </c>
      <c r="C132" s="289" t="s">
        <v>97</v>
      </c>
      <c r="D132" s="112">
        <f>VLOOKUP($E$3,'Housing Generation'!$A$3:$DQ$90,99,FALSE)</f>
        <v>3</v>
      </c>
      <c r="E132" s="112">
        <f>VLOOKUP($E$3,'Housing Generation'!$A$3:$DQ$90,100,FALSE)</f>
        <v>3</v>
      </c>
      <c r="F132" s="112">
        <f>VLOOKUP($E$3,'Housing Generation'!$A$3:$DQ$90,101,FALSE)</f>
        <v>3</v>
      </c>
      <c r="G132" s="112">
        <f>VLOOKUP($E$3,'Housing Generation'!$A$3:$DQ$90,102,FALSE)</f>
        <v>2</v>
      </c>
      <c r="H132" s="112">
        <f>VLOOKUP($E$3,'Housing Generation'!$A$3:$DQ$90,103,FALSE)</f>
        <v>2</v>
      </c>
      <c r="I132" s="112">
        <f>VLOOKUP($E$3,'Housing Generation'!$A$3:$DQ$90,104,FALSE)</f>
        <v>2</v>
      </c>
      <c r="J132" s="111">
        <f t="shared" si="21"/>
        <v>15</v>
      </c>
    </row>
    <row r="133" spans="2:10" ht="15" customHeight="1">
      <c r="B133" s="114">
        <v>2031</v>
      </c>
      <c r="C133" s="289" t="s">
        <v>97</v>
      </c>
      <c r="D133" s="112">
        <f>VLOOKUP($E$3,'Housing Generation'!$A$3:$DQ$90,107,FALSE)</f>
        <v>3</v>
      </c>
      <c r="E133" s="112">
        <f>VLOOKUP($E$3,'Housing Generation'!$A$3:$DQ$90,108,FALSE)</f>
        <v>3</v>
      </c>
      <c r="F133" s="112">
        <f>VLOOKUP($E$3,'Housing Generation'!$A$3:$DQ$90,109,FALSE)</f>
        <v>3</v>
      </c>
      <c r="G133" s="112">
        <f>VLOOKUP($E$3,'Housing Generation'!$A$3:$DQ$90,110,FALSE)</f>
        <v>2</v>
      </c>
      <c r="H133" s="112">
        <f>VLOOKUP($E$3,'Housing Generation'!$A$3:$DQ$90,111,FALSE)</f>
        <v>2</v>
      </c>
      <c r="I133" s="112">
        <f>VLOOKUP($E$3,'Housing Generation'!$A$3:$DQ$90,112,FALSE)</f>
        <v>2</v>
      </c>
      <c r="J133" s="111">
        <f t="shared" si="21"/>
        <v>15</v>
      </c>
    </row>
    <row r="134" spans="2:10" ht="15" customHeight="1">
      <c r="B134" s="114">
        <v>2032</v>
      </c>
      <c r="C134" s="289" t="s">
        <v>97</v>
      </c>
      <c r="D134" s="112">
        <f>VLOOKUP($E$3,'Housing Generation'!$A$3:$DQ$90,115,FALSE)</f>
        <v>3</v>
      </c>
      <c r="E134" s="112">
        <f>VLOOKUP($E$3,'Housing Generation'!$A$3:$DQ$90,116,FALSE)</f>
        <v>3</v>
      </c>
      <c r="F134" s="112">
        <f>VLOOKUP($E$3,'Housing Generation'!$A$3:$DQ$90,117,FALSE)</f>
        <v>3</v>
      </c>
      <c r="G134" s="112">
        <f>VLOOKUP($E$3,'Housing Generation'!$A$3:$DQ$90,118,FALSE)</f>
        <v>2</v>
      </c>
      <c r="H134" s="112">
        <f>VLOOKUP($E$3,'Housing Generation'!$A$3:$DQ$90,119,FALSE)</f>
        <v>2</v>
      </c>
      <c r="I134" s="112">
        <f>VLOOKUP($E$3,'Housing Generation'!$A$3:$DQ$90,120,FALSE)</f>
        <v>2</v>
      </c>
      <c r="J134" s="111">
        <f t="shared" si="21"/>
        <v>15</v>
      </c>
    </row>
    <row r="135" spans="2:10" ht="15"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Stenhouse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48.095103391700377</v>
      </c>
      <c r="D139" s="112">
        <f t="shared" ref="D139:I152" si="23">D121+D103</f>
        <v>52</v>
      </c>
      <c r="E139" s="112">
        <f t="shared" si="23"/>
        <v>57</v>
      </c>
      <c r="F139" s="112">
        <f t="shared" si="23"/>
        <v>48</v>
      </c>
      <c r="G139" s="112">
        <f t="shared" si="23"/>
        <v>52</v>
      </c>
      <c r="H139" s="112">
        <f t="shared" si="23"/>
        <v>49</v>
      </c>
      <c r="I139" s="112">
        <f t="shared" si="23"/>
        <v>49</v>
      </c>
      <c r="J139" s="111">
        <f t="shared" ref="J139:J147" si="24">SUM(C139:I139)</f>
        <v>355.09510339170038</v>
      </c>
    </row>
    <row r="140" spans="2:10" ht="15" customHeight="1">
      <c r="B140" s="114">
        <v>2020</v>
      </c>
      <c r="C140" s="113">
        <f t="shared" si="22"/>
        <v>46.571299256032361</v>
      </c>
      <c r="D140" s="112">
        <f t="shared" si="23"/>
        <v>48</v>
      </c>
      <c r="E140" s="112">
        <f t="shared" si="23"/>
        <v>54</v>
      </c>
      <c r="F140" s="112">
        <f t="shared" si="23"/>
        <v>54</v>
      </c>
      <c r="G140" s="112">
        <f t="shared" si="23"/>
        <v>48</v>
      </c>
      <c r="H140" s="112">
        <f t="shared" si="23"/>
        <v>55</v>
      </c>
      <c r="I140" s="112">
        <f t="shared" si="23"/>
        <v>49</v>
      </c>
      <c r="J140" s="111">
        <f t="shared" si="24"/>
        <v>354.57129925603238</v>
      </c>
    </row>
    <row r="141" spans="2:10" ht="15" customHeight="1">
      <c r="B141" s="114">
        <v>2021</v>
      </c>
      <c r="C141" s="113">
        <f t="shared" si="22"/>
        <v>45.809397188198353</v>
      </c>
      <c r="D141" s="112">
        <f t="shared" si="23"/>
        <v>47</v>
      </c>
      <c r="E141" s="112">
        <f t="shared" si="23"/>
        <v>49</v>
      </c>
      <c r="F141" s="112">
        <f t="shared" si="23"/>
        <v>51</v>
      </c>
      <c r="G141" s="112">
        <f t="shared" si="23"/>
        <v>55</v>
      </c>
      <c r="H141" s="112">
        <f t="shared" si="23"/>
        <v>51</v>
      </c>
      <c r="I141" s="112">
        <f t="shared" si="23"/>
        <v>54</v>
      </c>
      <c r="J141" s="111">
        <f t="shared" si="24"/>
        <v>352.80939718819832</v>
      </c>
    </row>
    <row r="142" spans="2:10" ht="15" customHeight="1">
      <c r="B142" s="114">
        <v>2022</v>
      </c>
      <c r="C142" s="113">
        <f t="shared" si="22"/>
        <v>46.571299256032361</v>
      </c>
      <c r="D142" s="112">
        <f t="shared" si="23"/>
        <v>46</v>
      </c>
      <c r="E142" s="112">
        <f t="shared" si="23"/>
        <v>48</v>
      </c>
      <c r="F142" s="112">
        <f t="shared" si="23"/>
        <v>47</v>
      </c>
      <c r="G142" s="112">
        <f t="shared" si="23"/>
        <v>51</v>
      </c>
      <c r="H142" s="112">
        <f t="shared" si="23"/>
        <v>57</v>
      </c>
      <c r="I142" s="112">
        <f t="shared" si="23"/>
        <v>50</v>
      </c>
      <c r="J142" s="111">
        <f t="shared" si="24"/>
        <v>345.57129925603238</v>
      </c>
    </row>
    <row r="143" spans="2:10" ht="15" customHeight="1">
      <c r="B143" s="114">
        <v>2023</v>
      </c>
      <c r="C143" s="113">
        <f t="shared" si="22"/>
        <v>46.571299256032361</v>
      </c>
      <c r="D143" s="112">
        <f t="shared" si="23"/>
        <v>47</v>
      </c>
      <c r="E143" s="112">
        <f t="shared" si="23"/>
        <v>47</v>
      </c>
      <c r="F143" s="112">
        <f t="shared" si="23"/>
        <v>45</v>
      </c>
      <c r="G143" s="112">
        <f t="shared" si="23"/>
        <v>46</v>
      </c>
      <c r="H143" s="112">
        <f t="shared" si="23"/>
        <v>53</v>
      </c>
      <c r="I143" s="112">
        <f t="shared" si="23"/>
        <v>55</v>
      </c>
      <c r="J143" s="111">
        <f t="shared" si="24"/>
        <v>339.57129925603238</v>
      </c>
    </row>
    <row r="144" spans="2:10" ht="15" customHeight="1">
      <c r="B144" s="114">
        <v>2024</v>
      </c>
      <c r="C144" s="113">
        <f t="shared" si="22"/>
        <v>47.333201323866369</v>
      </c>
      <c r="D144" s="112">
        <f t="shared" si="23"/>
        <v>47</v>
      </c>
      <c r="E144" s="112">
        <f t="shared" si="23"/>
        <v>48</v>
      </c>
      <c r="F144" s="112">
        <f t="shared" si="23"/>
        <v>44</v>
      </c>
      <c r="G144" s="112">
        <f t="shared" si="23"/>
        <v>44</v>
      </c>
      <c r="H144" s="112">
        <f t="shared" si="23"/>
        <v>48</v>
      </c>
      <c r="I144" s="112">
        <f t="shared" si="23"/>
        <v>52</v>
      </c>
      <c r="J144" s="111">
        <f t="shared" si="24"/>
        <v>330.33320132386638</v>
      </c>
    </row>
    <row r="145" spans="2:16" ht="15" customHeight="1">
      <c r="B145" s="114">
        <v>2025</v>
      </c>
      <c r="C145" s="113">
        <f t="shared" si="22"/>
        <v>48.095103391700377</v>
      </c>
      <c r="D145" s="112">
        <f t="shared" si="23"/>
        <v>47</v>
      </c>
      <c r="E145" s="112">
        <f t="shared" si="23"/>
        <v>48</v>
      </c>
      <c r="F145" s="112">
        <f t="shared" si="23"/>
        <v>45</v>
      </c>
      <c r="G145" s="112">
        <f t="shared" si="23"/>
        <v>43</v>
      </c>
      <c r="H145" s="112">
        <f t="shared" si="23"/>
        <v>46</v>
      </c>
      <c r="I145" s="112">
        <f t="shared" si="23"/>
        <v>47</v>
      </c>
      <c r="J145" s="111">
        <f t="shared" si="24"/>
        <v>324.09510339170038</v>
      </c>
    </row>
    <row r="146" spans="2:16" ht="15" customHeight="1">
      <c r="B146" s="114">
        <v>2026</v>
      </c>
      <c r="C146" s="113">
        <f t="shared" si="22"/>
        <v>48.095103391700377</v>
      </c>
      <c r="D146" s="112">
        <f t="shared" si="23"/>
        <v>48</v>
      </c>
      <c r="E146" s="112">
        <f t="shared" si="23"/>
        <v>48</v>
      </c>
      <c r="F146" s="112">
        <f t="shared" si="23"/>
        <v>45</v>
      </c>
      <c r="G146" s="112">
        <f t="shared" si="23"/>
        <v>44</v>
      </c>
      <c r="H146" s="112">
        <f t="shared" si="23"/>
        <v>45</v>
      </c>
      <c r="I146" s="112">
        <f t="shared" si="23"/>
        <v>45</v>
      </c>
      <c r="J146" s="111">
        <f t="shared" si="24"/>
        <v>323.09510339170038</v>
      </c>
    </row>
    <row r="147" spans="2:16" ht="15" customHeight="1">
      <c r="B147" s="114">
        <v>2027</v>
      </c>
      <c r="C147" s="113">
        <f t="shared" si="22"/>
        <v>48.095103391700377</v>
      </c>
      <c r="D147" s="112">
        <f t="shared" si="23"/>
        <v>48</v>
      </c>
      <c r="E147" s="112">
        <f t="shared" si="23"/>
        <v>49</v>
      </c>
      <c r="F147" s="112">
        <f t="shared" si="23"/>
        <v>45</v>
      </c>
      <c r="G147" s="112">
        <f t="shared" si="23"/>
        <v>44</v>
      </c>
      <c r="H147" s="112">
        <f t="shared" si="23"/>
        <v>46</v>
      </c>
      <c r="I147" s="112">
        <f t="shared" si="23"/>
        <v>44</v>
      </c>
      <c r="J147" s="111">
        <f t="shared" si="24"/>
        <v>324.09510339170038</v>
      </c>
    </row>
    <row r="148" spans="2:16" ht="15" customHeight="1">
      <c r="B148" s="114">
        <v>2028</v>
      </c>
      <c r="C148" s="113">
        <f t="shared" si="22"/>
        <v>48.857005459534385</v>
      </c>
      <c r="D148" s="112">
        <f t="shared" si="23"/>
        <v>48</v>
      </c>
      <c r="E148" s="112">
        <f t="shared" si="23"/>
        <v>49</v>
      </c>
      <c r="F148" s="112">
        <f t="shared" si="23"/>
        <v>46</v>
      </c>
      <c r="G148" s="112">
        <f t="shared" si="23"/>
        <v>44</v>
      </c>
      <c r="H148" s="112">
        <f t="shared" si="23"/>
        <v>46</v>
      </c>
      <c r="I148" s="112">
        <f t="shared" si="23"/>
        <v>45</v>
      </c>
      <c r="J148" s="111">
        <f t="shared" ref="J148:J152" si="25">SUM(C148:I148)</f>
        <v>326.85700545953438</v>
      </c>
    </row>
    <row r="149" spans="2:16" ht="15" customHeight="1">
      <c r="B149" s="114">
        <v>2029</v>
      </c>
      <c r="C149" s="113">
        <f t="shared" si="22"/>
        <v>48.857005459534385</v>
      </c>
      <c r="D149" s="112">
        <f t="shared" si="23"/>
        <v>49</v>
      </c>
      <c r="E149" s="112">
        <f t="shared" si="23"/>
        <v>49</v>
      </c>
      <c r="F149" s="112">
        <f t="shared" si="23"/>
        <v>46</v>
      </c>
      <c r="G149" s="112">
        <f t="shared" si="23"/>
        <v>45</v>
      </c>
      <c r="H149" s="112">
        <f t="shared" si="23"/>
        <v>46</v>
      </c>
      <c r="I149" s="112">
        <f t="shared" si="23"/>
        <v>45</v>
      </c>
      <c r="J149" s="111">
        <f t="shared" si="25"/>
        <v>328.85700545953438</v>
      </c>
    </row>
    <row r="150" spans="2:16" ht="15" customHeight="1">
      <c r="B150" s="114">
        <v>2030</v>
      </c>
      <c r="C150" s="113">
        <f t="shared" si="22"/>
        <v>48.857005459534385</v>
      </c>
      <c r="D150" s="112">
        <f t="shared" si="23"/>
        <v>49</v>
      </c>
      <c r="E150" s="112">
        <f t="shared" si="23"/>
        <v>50</v>
      </c>
      <c r="F150" s="112">
        <f t="shared" si="23"/>
        <v>46</v>
      </c>
      <c r="G150" s="112">
        <f t="shared" si="23"/>
        <v>45</v>
      </c>
      <c r="H150" s="112">
        <f t="shared" si="23"/>
        <v>47</v>
      </c>
      <c r="I150" s="112">
        <f t="shared" si="23"/>
        <v>45</v>
      </c>
      <c r="J150" s="111">
        <f t="shared" si="25"/>
        <v>330.85700545953438</v>
      </c>
    </row>
    <row r="151" spans="2:16" ht="15" customHeight="1">
      <c r="B151" s="114">
        <v>2031</v>
      </c>
      <c r="C151" s="113">
        <f t="shared" si="22"/>
        <v>48.857005459534385</v>
      </c>
      <c r="D151" s="112">
        <f t="shared" si="23"/>
        <v>49</v>
      </c>
      <c r="E151" s="112">
        <f t="shared" si="23"/>
        <v>50</v>
      </c>
      <c r="F151" s="112">
        <f t="shared" si="23"/>
        <v>47</v>
      </c>
      <c r="G151" s="112">
        <f t="shared" si="23"/>
        <v>45</v>
      </c>
      <c r="H151" s="112">
        <f t="shared" si="23"/>
        <v>47</v>
      </c>
      <c r="I151" s="112">
        <f t="shared" si="23"/>
        <v>46</v>
      </c>
      <c r="J151" s="111">
        <f t="shared" si="25"/>
        <v>332.85700545953438</v>
      </c>
    </row>
    <row r="152" spans="2:16" ht="15" customHeight="1">
      <c r="B152" s="114">
        <v>2032</v>
      </c>
      <c r="C152" s="113">
        <f t="shared" si="22"/>
        <v>48.857005459534385</v>
      </c>
      <c r="D152" s="112">
        <f t="shared" si="23"/>
        <v>49</v>
      </c>
      <c r="E152" s="112">
        <f t="shared" si="23"/>
        <v>50</v>
      </c>
      <c r="F152" s="112">
        <f t="shared" si="23"/>
        <v>47</v>
      </c>
      <c r="G152" s="112">
        <f t="shared" si="23"/>
        <v>46</v>
      </c>
      <c r="H152" s="112">
        <f t="shared" si="23"/>
        <v>47</v>
      </c>
      <c r="I152" s="112">
        <f t="shared" si="23"/>
        <v>46</v>
      </c>
      <c r="J152" s="111">
        <f t="shared" si="25"/>
        <v>333.85700545953438</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355.09510339170038</v>
      </c>
      <c r="D159" s="108">
        <f>J140</f>
        <v>354.57129925603238</v>
      </c>
      <c r="E159" s="108">
        <f>J141</f>
        <v>352.80939718819832</v>
      </c>
      <c r="F159" s="108">
        <f>J142</f>
        <v>345.57129925603238</v>
      </c>
      <c r="G159" s="108">
        <f>J143</f>
        <v>339.57129925603238</v>
      </c>
      <c r="H159" s="108">
        <f>J144</f>
        <v>330.33320132386638</v>
      </c>
      <c r="I159" s="108">
        <f>J145</f>
        <v>324.09510339170038</v>
      </c>
      <c r="J159" s="108">
        <f>J146</f>
        <v>323.09510339170038</v>
      </c>
      <c r="K159" s="108">
        <f>J147</f>
        <v>324.09510339170038</v>
      </c>
      <c r="L159" s="108">
        <f>J148</f>
        <v>326.85700545953438</v>
      </c>
      <c r="M159" s="108">
        <f>J149</f>
        <v>328.85700545953438</v>
      </c>
      <c r="N159" s="108">
        <f>J150</f>
        <v>330.85700545953438</v>
      </c>
      <c r="O159" s="108">
        <f>J151</f>
        <v>332.85700545953438</v>
      </c>
      <c r="P159" s="108">
        <f>J152</f>
        <v>333.85700545953438</v>
      </c>
    </row>
    <row r="160" spans="2:16" ht="15" customHeight="1">
      <c r="B160" s="107" t="s">
        <v>152</v>
      </c>
      <c r="C160" s="106">
        <f>VLOOKUP(C159,Capacity!$A$1:$C$645,2,TRUE)</f>
        <v>14</v>
      </c>
      <c r="D160" s="106">
        <f>VLOOKUP(D159,Capacity!$A$1:$C$645,2,TRUE)</f>
        <v>14</v>
      </c>
      <c r="E160" s="106">
        <f>VLOOKUP(E159,Capacity!$A$1:$C$645,2,TRUE)</f>
        <v>14</v>
      </c>
      <c r="F160" s="106">
        <f>VLOOKUP(F159,Capacity!$A$1:$C$645,2,TRUE)</f>
        <v>14</v>
      </c>
      <c r="G160" s="106">
        <f>VLOOKUP(G159,Capacity!$A$1:$C$645,2,TRUE)</f>
        <v>14</v>
      </c>
      <c r="H160" s="106">
        <f>VLOOKUP(H159,Capacity!$A$1:$C$645,2,TRUE)</f>
        <v>14</v>
      </c>
      <c r="I160" s="106">
        <f>VLOOKUP(I159,Capacity!$A$1:$C$645,2,TRUE)</f>
        <v>13</v>
      </c>
      <c r="J160" s="106">
        <f>VLOOKUP(J159,Capacity!$A$1:$C$645,2,TRUE)</f>
        <v>13</v>
      </c>
      <c r="K160" s="106">
        <f>VLOOKUP(K159,Capacity!$A$1:$C$645,2,TRUE)</f>
        <v>13</v>
      </c>
      <c r="L160" s="106">
        <f>VLOOKUP(L159,Capacity!$A$1:$C$645,2,TRUE)</f>
        <v>13</v>
      </c>
      <c r="M160" s="106">
        <f>VLOOKUP(M159,Capacity!$A$1:$C$645,2,TRUE)</f>
        <v>13</v>
      </c>
      <c r="N160" s="106">
        <f>VLOOKUP(N159,Capacity!$A$1:$C$645,2,TRUE)</f>
        <v>14</v>
      </c>
      <c r="O160" s="106">
        <f>VLOOKUP(O159,Capacity!$A$1:$C$645,2,TRUE)</f>
        <v>14</v>
      </c>
      <c r="P160" s="106">
        <f>VLOOKUP(P159,Capacity!$A$1:$C$645,2,TRUE)</f>
        <v>14</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75">
      <c r="B164" s="63" t="s">
        <v>145</v>
      </c>
      <c r="C164" s="62"/>
      <c r="D164" s="62"/>
      <c r="E164" s="62"/>
      <c r="F164" s="62"/>
      <c r="G164" s="62"/>
      <c r="H164" s="62"/>
      <c r="I164" s="62"/>
      <c r="J164" s="62"/>
      <c r="K164" s="62"/>
      <c r="L164" s="62"/>
      <c r="M164" s="62"/>
    </row>
    <row r="165" spans="2:14" ht="12.75">
      <c r="B165" s="62"/>
      <c r="C165" s="62"/>
      <c r="D165" s="62"/>
      <c r="E165" s="62"/>
      <c r="F165" s="62"/>
      <c r="G165" s="62"/>
      <c r="H165" s="62"/>
      <c r="I165" s="62"/>
      <c r="J165" s="62"/>
      <c r="K165" s="62"/>
      <c r="L165" s="62"/>
      <c r="M165" s="62"/>
    </row>
    <row r="166" spans="2:14">
      <c r="B166" s="64" t="s">
        <v>146</v>
      </c>
      <c r="C166" s="65"/>
      <c r="D166" s="65"/>
      <c r="E166" s="65"/>
      <c r="F166" s="65"/>
      <c r="G166" s="65"/>
      <c r="H166" s="65"/>
      <c r="I166" s="65"/>
      <c r="J166" s="65"/>
      <c r="K166" s="62"/>
      <c r="L166" s="62"/>
      <c r="M166" s="62"/>
    </row>
    <row r="167" spans="2:14">
      <c r="B167" s="64"/>
      <c r="C167" s="65"/>
      <c r="D167" s="65"/>
      <c r="E167" s="65"/>
      <c r="F167" s="65"/>
      <c r="G167" s="65"/>
      <c r="H167" s="65"/>
      <c r="I167" s="65"/>
      <c r="J167" s="65"/>
      <c r="K167" s="62"/>
      <c r="L167" s="62"/>
      <c r="M167" s="62"/>
    </row>
    <row r="168" spans="2:14">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45">
      <c r="B169" s="103" t="s">
        <v>129</v>
      </c>
      <c r="C169" s="97">
        <f>VLOOKUP($E$3,'Catchment Births'!$A$1:$U$90,10,FALSE)</f>
        <v>49</v>
      </c>
      <c r="D169" s="97">
        <f>VLOOKUP($E$3,'Catchment Births'!$A$1:$U$90,11,FALSE)</f>
        <v>48</v>
      </c>
      <c r="E169" s="97">
        <f>VLOOKUP($E$3,'Catchment Births'!$A$1:$U$90,12,FALSE)</f>
        <v>50</v>
      </c>
      <c r="F169" s="97">
        <f>VLOOKUP($E$3,'Catchment Births'!$A$1:$U$90,13,FALSE)</f>
        <v>68</v>
      </c>
      <c r="G169" s="97">
        <f>VLOOKUP($E$3,'Catchment Births'!$A$1:$U$90,14,FALSE)</f>
        <v>70</v>
      </c>
      <c r="H169" s="97">
        <f>VLOOKUP($E$3,'Catchment Births'!$A$1:$U$90,15,FALSE)</f>
        <v>83</v>
      </c>
      <c r="I169" s="97">
        <f>VLOOKUP($E$3,'Catchment Births'!$A$1:$U$90,16,FALSE)</f>
        <v>85</v>
      </c>
      <c r="J169" s="97">
        <f>VLOOKUP($E$3,'Catchment Births'!$A$1:$U$90,17,FALSE)</f>
        <v>71</v>
      </c>
      <c r="K169" s="97">
        <f>VLOOKUP($E$3,'Catchment Births'!$A$1:$U$90,18,FALSE)</f>
        <v>97</v>
      </c>
      <c r="L169" s="97">
        <f>VLOOKUP($E$3,'Catchment Births'!$A$1:$U$90,19,FALSE)</f>
        <v>71</v>
      </c>
      <c r="M169" s="97">
        <f>VLOOKUP($E$3,'Catchment Births'!$A$1:$U$90,20,FALSE)</f>
        <v>74</v>
      </c>
      <c r="N169" s="97">
        <f>VLOOKUP($E$3,'Catchment Births'!$A$1:$U$90,21,FALSE)</f>
        <v>69</v>
      </c>
    </row>
    <row r="170" spans="2:14" ht="58.5" customHeight="1">
      <c r="B170" s="103" t="str">
        <f>"P1 "&amp;A35&amp;" Catchment Population (Actual)"</f>
        <v>P1 ND Catchment Population (Actual)</v>
      </c>
      <c r="C170" s="102" t="e">
        <v>#REF!</v>
      </c>
      <c r="D170" s="102">
        <v>53</v>
      </c>
      <c r="E170" s="102">
        <v>48</v>
      </c>
      <c r="F170" s="102">
        <v>63</v>
      </c>
      <c r="G170" s="102">
        <v>54</v>
      </c>
      <c r="H170" s="102">
        <v>67</v>
      </c>
      <c r="I170" s="102">
        <v>44</v>
      </c>
      <c r="J170" s="308">
        <f>VLOOKUP(E3,'Catchment Projections'!A1:BU92,42,FALSE)</f>
        <v>46</v>
      </c>
      <c r="K170" s="62"/>
      <c r="L170" s="62"/>
      <c r="M170" s="62"/>
    </row>
    <row r="171" spans="2:14" ht="58.5" customHeight="1">
      <c r="B171" s="88" t="s">
        <v>160</v>
      </c>
      <c r="C171" s="100"/>
      <c r="D171" s="100"/>
      <c r="E171" s="100"/>
      <c r="F171" s="100"/>
      <c r="G171" s="100"/>
      <c r="H171" s="100"/>
      <c r="I171" s="101"/>
      <c r="J171" s="89">
        <f>D53</f>
        <v>0</v>
      </c>
      <c r="K171" s="62"/>
      <c r="L171" s="62"/>
      <c r="M171" s="62"/>
    </row>
    <row r="172" spans="2:14">
      <c r="B172" s="99" t="s">
        <v>140</v>
      </c>
      <c r="C172" s="99"/>
      <c r="D172" s="98"/>
      <c r="E172" s="98"/>
      <c r="F172" s="98"/>
      <c r="G172" s="97"/>
      <c r="H172" s="96"/>
      <c r="I172" s="96">
        <f>I170</f>
        <v>44</v>
      </c>
      <c r="J172" s="96" t="e">
        <f>#REF!</f>
        <v>#REF!</v>
      </c>
      <c r="K172" s="96">
        <f>D51</f>
        <v>50</v>
      </c>
      <c r="L172" s="96">
        <f>E51</f>
        <v>48</v>
      </c>
      <c r="M172" s="96">
        <f>F51</f>
        <v>47</v>
      </c>
      <c r="N172" s="96">
        <f>G51</f>
        <v>48</v>
      </c>
    </row>
    <row r="173" spans="2:14" ht="12.75">
      <c r="B173" s="62"/>
      <c r="C173" s="62"/>
      <c r="D173" s="62"/>
      <c r="E173" s="62"/>
      <c r="F173" s="62"/>
      <c r="G173" s="62"/>
      <c r="H173" s="62"/>
      <c r="I173" s="62"/>
      <c r="J173" s="62"/>
      <c r="K173" s="62"/>
    </row>
    <row r="174" spans="2:14" ht="15" customHeight="1">
      <c r="B174" s="64" t="str">
        <f>"Table 5: "&amp;E3&amp;" Roll by Stage, 2002-2018"</f>
        <v>Table 5: Stenhouse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47</v>
      </c>
      <c r="D177" s="93">
        <v>47</v>
      </c>
      <c r="E177" s="93">
        <v>40</v>
      </c>
      <c r="F177" s="93">
        <v>40</v>
      </c>
      <c r="G177" s="93">
        <v>48</v>
      </c>
      <c r="H177" s="93">
        <v>46</v>
      </c>
      <c r="I177" s="93">
        <v>54</v>
      </c>
      <c r="J177" s="92">
        <v>322</v>
      </c>
      <c r="K177" s="62"/>
    </row>
    <row r="178" spans="2:11" ht="15" customHeight="1">
      <c r="B178" s="94">
        <v>2003</v>
      </c>
      <c r="C178" s="93">
        <v>43</v>
      </c>
      <c r="D178" s="93">
        <v>42</v>
      </c>
      <c r="E178" s="93">
        <v>46</v>
      </c>
      <c r="F178" s="93">
        <v>42</v>
      </c>
      <c r="G178" s="93">
        <v>40</v>
      </c>
      <c r="H178" s="93">
        <v>52</v>
      </c>
      <c r="I178" s="93">
        <v>45</v>
      </c>
      <c r="J178" s="92">
        <v>310</v>
      </c>
      <c r="K178" s="62"/>
    </row>
    <row r="179" spans="2:11" customFormat="1" ht="15" customHeight="1">
      <c r="B179" s="94">
        <v>2004</v>
      </c>
      <c r="C179" s="95">
        <v>29</v>
      </c>
      <c r="D179" s="95">
        <v>37</v>
      </c>
      <c r="E179" s="95">
        <v>47</v>
      </c>
      <c r="F179" s="95">
        <v>51</v>
      </c>
      <c r="G179" s="95">
        <v>43</v>
      </c>
      <c r="H179" s="95">
        <v>39</v>
      </c>
      <c r="I179" s="95">
        <v>50</v>
      </c>
      <c r="J179" s="92">
        <v>296</v>
      </c>
      <c r="K179" s="62"/>
    </row>
    <row r="180" spans="2:11" customFormat="1" ht="15" customHeight="1">
      <c r="B180" s="94">
        <v>2005</v>
      </c>
      <c r="C180" s="93">
        <v>36</v>
      </c>
      <c r="D180" s="93">
        <v>34</v>
      </c>
      <c r="E180" s="93">
        <v>40</v>
      </c>
      <c r="F180" s="93">
        <v>47</v>
      </c>
      <c r="G180" s="93">
        <v>55</v>
      </c>
      <c r="H180" s="93">
        <v>41</v>
      </c>
      <c r="I180" s="93">
        <v>39</v>
      </c>
      <c r="J180" s="92">
        <v>292</v>
      </c>
      <c r="K180" s="62"/>
    </row>
    <row r="181" spans="2:11" customFormat="1" ht="15" customHeight="1">
      <c r="B181" s="94">
        <v>2006</v>
      </c>
      <c r="C181" s="93">
        <v>40</v>
      </c>
      <c r="D181" s="93">
        <v>38</v>
      </c>
      <c r="E181" s="93">
        <v>32</v>
      </c>
      <c r="F181" s="93">
        <v>40</v>
      </c>
      <c r="G181" s="93">
        <v>49</v>
      </c>
      <c r="H181" s="93">
        <v>57</v>
      </c>
      <c r="I181" s="93">
        <v>44</v>
      </c>
      <c r="J181" s="92">
        <v>300</v>
      </c>
      <c r="K181" s="62"/>
    </row>
    <row r="182" spans="2:11" customFormat="1" ht="15" customHeight="1">
      <c r="B182" s="94">
        <v>2007</v>
      </c>
      <c r="C182" s="93">
        <v>35</v>
      </c>
      <c r="D182" s="93">
        <v>44</v>
      </c>
      <c r="E182" s="93">
        <v>40</v>
      </c>
      <c r="F182" s="93">
        <v>29</v>
      </c>
      <c r="G182" s="93">
        <v>41</v>
      </c>
      <c r="H182" s="93">
        <v>50</v>
      </c>
      <c r="I182" s="93">
        <v>52</v>
      </c>
      <c r="J182" s="92">
        <v>291</v>
      </c>
      <c r="K182" s="62"/>
    </row>
    <row r="183" spans="2:11" customFormat="1" ht="15" customHeight="1">
      <c r="B183" s="94">
        <v>2008</v>
      </c>
      <c r="C183" s="93">
        <v>33</v>
      </c>
      <c r="D183" s="93">
        <v>35</v>
      </c>
      <c r="E183" s="93">
        <v>38</v>
      </c>
      <c r="F183" s="93">
        <v>37</v>
      </c>
      <c r="G183" s="93">
        <v>29</v>
      </c>
      <c r="H183" s="93">
        <v>37</v>
      </c>
      <c r="I183" s="93">
        <v>49</v>
      </c>
      <c r="J183" s="92">
        <v>258</v>
      </c>
      <c r="K183" s="62"/>
    </row>
    <row r="184" spans="2:11" customFormat="1" ht="15" customHeight="1">
      <c r="B184" s="94">
        <v>2009</v>
      </c>
      <c r="C184" s="93">
        <v>42</v>
      </c>
      <c r="D184" s="93">
        <v>36</v>
      </c>
      <c r="E184" s="93">
        <v>36</v>
      </c>
      <c r="F184" s="93">
        <v>36</v>
      </c>
      <c r="G184" s="93">
        <v>34</v>
      </c>
      <c r="H184" s="93">
        <v>31</v>
      </c>
      <c r="I184" s="93">
        <v>38</v>
      </c>
      <c r="J184" s="94">
        <v>253</v>
      </c>
      <c r="K184" s="62"/>
    </row>
    <row r="185" spans="2:11" customFormat="1" ht="15" customHeight="1">
      <c r="B185" s="94">
        <v>2010</v>
      </c>
      <c r="C185" s="93">
        <v>42</v>
      </c>
      <c r="D185" s="93">
        <v>45</v>
      </c>
      <c r="E185" s="93">
        <v>36</v>
      </c>
      <c r="F185" s="93">
        <v>39</v>
      </c>
      <c r="G185" s="93">
        <v>35</v>
      </c>
      <c r="H185" s="93">
        <v>34</v>
      </c>
      <c r="I185" s="93">
        <v>31</v>
      </c>
      <c r="J185" s="92">
        <v>262</v>
      </c>
      <c r="K185" s="62"/>
    </row>
    <row r="186" spans="2:11" customFormat="1" ht="15" customHeight="1">
      <c r="B186" s="94">
        <v>2011</v>
      </c>
      <c r="C186" s="93">
        <v>45</v>
      </c>
      <c r="D186" s="93">
        <v>41</v>
      </c>
      <c r="E186" s="93">
        <v>38</v>
      </c>
      <c r="F186" s="93">
        <v>33</v>
      </c>
      <c r="G186" s="93">
        <v>41</v>
      </c>
      <c r="H186" s="93">
        <v>36</v>
      </c>
      <c r="I186" s="93">
        <v>36</v>
      </c>
      <c r="J186" s="92">
        <v>270</v>
      </c>
      <c r="K186" s="62"/>
    </row>
    <row r="187" spans="2:11" customFormat="1" ht="15" customHeight="1">
      <c r="B187" s="94">
        <v>2012</v>
      </c>
      <c r="C187" s="93">
        <v>54</v>
      </c>
      <c r="D187" s="93">
        <v>42</v>
      </c>
      <c r="E187" s="93">
        <v>39</v>
      </c>
      <c r="F187" s="93">
        <v>40</v>
      </c>
      <c r="G187" s="93">
        <v>33</v>
      </c>
      <c r="H187" s="93">
        <v>39</v>
      </c>
      <c r="I187" s="93">
        <v>39</v>
      </c>
      <c r="J187" s="92">
        <v>286</v>
      </c>
      <c r="K187" s="62"/>
    </row>
    <row r="188" spans="2:11" customFormat="1" ht="15" customHeight="1">
      <c r="B188" s="94">
        <v>2013</v>
      </c>
      <c r="C188" s="93">
        <v>49</v>
      </c>
      <c r="D188" s="93">
        <v>52</v>
      </c>
      <c r="E188" s="93">
        <v>45</v>
      </c>
      <c r="F188" s="93">
        <v>37</v>
      </c>
      <c r="G188" s="93">
        <v>40</v>
      </c>
      <c r="H188" s="93">
        <v>31</v>
      </c>
      <c r="I188" s="93">
        <v>40</v>
      </c>
      <c r="J188" s="94">
        <v>294</v>
      </c>
      <c r="K188" s="62"/>
    </row>
    <row r="189" spans="2:11" customFormat="1" ht="15" customHeight="1">
      <c r="B189" s="94">
        <v>2014</v>
      </c>
      <c r="C189" s="93">
        <v>47</v>
      </c>
      <c r="D189" s="93">
        <v>49</v>
      </c>
      <c r="E189" s="93">
        <v>52</v>
      </c>
      <c r="F189" s="93">
        <v>41</v>
      </c>
      <c r="G189" s="93">
        <v>39</v>
      </c>
      <c r="H189" s="93">
        <v>42</v>
      </c>
      <c r="I189" s="93">
        <v>32</v>
      </c>
      <c r="J189" s="92">
        <v>302</v>
      </c>
      <c r="K189" s="65"/>
    </row>
    <row r="190" spans="2:11" customFormat="1" ht="15" customHeight="1">
      <c r="B190" s="94">
        <v>2015</v>
      </c>
      <c r="C190" s="93">
        <v>45</v>
      </c>
      <c r="D190" s="93">
        <v>51</v>
      </c>
      <c r="E190" s="93">
        <v>46</v>
      </c>
      <c r="F190" s="93">
        <v>49</v>
      </c>
      <c r="G190" s="93">
        <v>41</v>
      </c>
      <c r="H190" s="93">
        <v>35</v>
      </c>
      <c r="I190" s="93">
        <v>42</v>
      </c>
      <c r="J190" s="92">
        <v>309</v>
      </c>
      <c r="K190" s="65"/>
    </row>
    <row r="191" spans="2:11" customFormat="1" ht="15" customHeight="1">
      <c r="B191" s="94">
        <v>2016</v>
      </c>
      <c r="C191" s="93">
        <v>43</v>
      </c>
      <c r="D191" s="93">
        <v>41</v>
      </c>
      <c r="E191" s="93">
        <v>52</v>
      </c>
      <c r="F191" s="93">
        <v>48</v>
      </c>
      <c r="G191" s="93">
        <v>52</v>
      </c>
      <c r="H191" s="93">
        <v>43</v>
      </c>
      <c r="I191" s="93">
        <v>34</v>
      </c>
      <c r="J191" s="92">
        <v>313</v>
      </c>
      <c r="K191" s="65"/>
    </row>
    <row r="192" spans="2:11" ht="15" customHeight="1">
      <c r="B192" s="94">
        <v>2017</v>
      </c>
      <c r="C192" s="93">
        <f>VLOOKUP($E$3,Rolls!A1:FA90,42,FALSE)</f>
        <v>58</v>
      </c>
      <c r="D192" s="93">
        <f>VLOOKUP($E$3,Rolls!A1:FA90,43,FALSE)</f>
        <v>45</v>
      </c>
      <c r="E192" s="93">
        <f>VLOOKUP($E$3,Rolls!A1:FA90,44,FALSE)</f>
        <v>44</v>
      </c>
      <c r="F192" s="93">
        <f>VLOOKUP($E$3,Rolls!A1:FA90,45,FALSE)</f>
        <v>49</v>
      </c>
      <c r="G192" s="93">
        <f>VLOOKUP($E$3,Rolls!A1:FA90,46,FALSE)</f>
        <v>48</v>
      </c>
      <c r="H192" s="93">
        <f>VLOOKUP($E$3,Rolls!A1:FA90,47,FALSE)</f>
        <v>49</v>
      </c>
      <c r="I192" s="93">
        <f>VLOOKUP($E$3,Rolls!A1:FA90,48,FALSE)</f>
        <v>39</v>
      </c>
      <c r="J192" s="92">
        <f>VLOOKUP($E$3,Rolls!A1:FA90,49,FALSE)</f>
        <v>332</v>
      </c>
      <c r="K192" s="65"/>
    </row>
    <row r="193" spans="2:11" ht="15" customHeight="1">
      <c r="B193" s="94">
        <v>2018</v>
      </c>
      <c r="C193" s="93">
        <f>VLOOKUP($E$3,Rolls!A1:FA90,50,FALSE)</f>
        <v>51</v>
      </c>
      <c r="D193" s="93">
        <f>VLOOKUP($E$3,Rolls!A1:FA90,51,FALSE)</f>
        <v>55</v>
      </c>
      <c r="E193" s="93">
        <f>VLOOKUP($E$3,Rolls!A1:FA90,52,FALSE)</f>
        <v>50</v>
      </c>
      <c r="F193" s="93">
        <f>VLOOKUP($E$3,Rolls!A1:FA90,53,FALSE)</f>
        <v>52</v>
      </c>
      <c r="G193" s="93">
        <f>VLOOKUP($E$3,Rolls!A1:FA90,54,FALSE)</f>
        <v>47</v>
      </c>
      <c r="H193" s="93">
        <f>VLOOKUP($E$3,Rolls!A1:FA90,55,FALSE)</f>
        <v>50</v>
      </c>
      <c r="I193" s="93">
        <f>VLOOKUP($E$3,Rolls!A1:FA90,56,FALSE)</f>
        <v>45</v>
      </c>
      <c r="J193" s="92">
        <f>VLOOKUP($E$3,Rolls!A1:FA90,57,FALSE)</f>
        <v>350</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A1:Q193"/>
  <sheetViews>
    <sheetView topLeftCell="B39" zoomScaleNormal="100" workbookViewId="0">
      <selection activeCell="H60" sqref="H60"/>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67</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Stockbridge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294 Pupils (11 classes)</v>
      </c>
      <c r="G12" s="16"/>
      <c r="H12" s="16"/>
    </row>
    <row r="13" spans="2:10" ht="15" customHeight="1">
      <c r="C13" s="16"/>
      <c r="D13" s="16"/>
      <c r="E13" s="16"/>
      <c r="F13" s="16"/>
      <c r="G13" s="16"/>
      <c r="H13" s="16"/>
    </row>
    <row r="14" spans="2:10" ht="15" customHeight="1">
      <c r="B14" s="15" t="str">
        <f>"Figure 1: "&amp;E3&amp;" Roll, 2002-2015"</f>
        <v>Figure 1: Stockbridge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Stockbridge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36</v>
      </c>
      <c r="E49" s="108">
        <f>VLOOKUP($E$3,'Catchment Projections'!$A$1:$BU$90,46,FALSE)</f>
        <v>29</v>
      </c>
      <c r="F49" s="108">
        <f>VLOOKUP($E$3,'Catchment Projections'!$A$1:$BU$90,47,FALSE)</f>
        <v>33</v>
      </c>
      <c r="G49" s="108">
        <f>VLOOKUP($E$3,'Catchment Projections'!$A$1:$BU$90,48,FALSE)</f>
        <v>25</v>
      </c>
      <c r="H49" s="133">
        <f>VLOOKUP($E$3,'Catchment Projections'!$A$1:$BU$90,49,FALSE)</f>
        <v>29</v>
      </c>
      <c r="I49" s="133">
        <f>VLOOKUP($E$3,'Catchment Projections'!$A$1:$BU$90,50,FALSE)</f>
        <v>29</v>
      </c>
      <c r="J49" s="133">
        <f>VLOOKUP($E$3,'Catchment Projections'!$A$1:$BU$90,51,FALSE)</f>
        <v>30</v>
      </c>
      <c r="K49" s="133">
        <f>VLOOKUP($E$3,'Catchment Projections'!$A$1:$BU$90,52,FALSE)</f>
        <v>30</v>
      </c>
      <c r="L49" s="133">
        <f>VLOOKUP($E$3,'Catchment Projections'!$A$1:$BU$90,53,FALSE)</f>
        <v>30</v>
      </c>
      <c r="M49" s="133">
        <f>VLOOKUP($E$3,'Catchment Projections'!$A$1:$BU$90,54,FALSE)</f>
        <v>31</v>
      </c>
      <c r="N49" s="133">
        <f>VLOOKUP($E$3,'Catchment Projections'!$A$1:$BU$90,55,FALSE)</f>
        <v>31</v>
      </c>
      <c r="O49" s="133">
        <f>VLOOKUP($E$3,'Catchment Projections'!$A$1:$BU$90,56,FALSE)</f>
        <v>31</v>
      </c>
      <c r="P49" s="133">
        <f>VLOOKUP($E$3,'Catchment Projections'!$A$1:$BU$90,57,FALSE)</f>
        <v>31</v>
      </c>
      <c r="Q49" s="133">
        <f>VLOOKUP($E$3,'Catchment Projections'!$A$1:$BU$90,58,FALSE)</f>
        <v>31</v>
      </c>
    </row>
    <row r="50" spans="2:17" ht="15" customHeight="1" thickBot="1">
      <c r="B50" s="410" t="s">
        <v>141</v>
      </c>
      <c r="C50" s="411"/>
      <c r="D50" s="286">
        <f>VLOOKUP(E3,'Housing Generation'!$A$3:$DQ$90,10,FALSE)</f>
        <v>0</v>
      </c>
      <c r="E50" s="286">
        <f>VLOOKUP(E3,'Housing Generation'!$A$3:$DQ$90,18,FALSE)</f>
        <v>0</v>
      </c>
      <c r="F50" s="286">
        <f>VLOOKUP(E3,'Housing Generation'!$A$3:$DQ$90,26,FALSE)</f>
        <v>1</v>
      </c>
      <c r="G50" s="243">
        <f>VLOOKUP(E3,'Housing Generation'!$A$3:$DQ$90,34,FALSE)</f>
        <v>1</v>
      </c>
      <c r="H50" s="133">
        <f>VLOOKUP(E3,'Housing Generation'!$A$3:$DQ$90,42,FALSE)</f>
        <v>1</v>
      </c>
      <c r="I50" s="133">
        <f>VLOOKUP(E3,'Housing Generation'!$A$3:$DQ$90,50,FALSE)</f>
        <v>1</v>
      </c>
      <c r="J50" s="133">
        <f>VLOOKUP(E3,'Housing Generation'!$A$3:$CK$90,58,FALSE)</f>
        <v>1</v>
      </c>
      <c r="K50" s="133">
        <f>VLOOKUP(E3,'Housing Generation'!$A$3:$CK$90,66,FALSE)</f>
        <v>1</v>
      </c>
      <c r="L50" s="133">
        <f>VLOOKUP(E3,'Housing Generation'!$A$3:$DQ$90,74,FALSE)</f>
        <v>1</v>
      </c>
      <c r="M50" s="133">
        <f>VLOOKUP(E3,'Housing Generation'!$A$3:$DQ$90,82,FALSE)</f>
        <v>1</v>
      </c>
      <c r="N50" s="133">
        <f>VLOOKUP(E3,'Housing Generation'!$A$3:$DQ$90,90,FALSE)</f>
        <v>1</v>
      </c>
      <c r="O50" s="133">
        <f>VLOOKUP(E3,'Housing Generation'!$A$3:$DQ$90,98,FALSE)</f>
        <v>1</v>
      </c>
      <c r="P50" s="133">
        <f>VLOOKUP(E3,'Housing Generation'!$A$3:$DQ$90,106,FALSE)</f>
        <v>1</v>
      </c>
      <c r="Q50" s="133">
        <f>VLOOKUP(E3,'Housing Generation'!$A$3:$DQ$90,114,FALSE)</f>
        <v>1</v>
      </c>
    </row>
    <row r="51" spans="2:17" ht="15" customHeight="1" thickTop="1">
      <c r="B51" s="421" t="s">
        <v>130</v>
      </c>
      <c r="C51" s="422"/>
      <c r="D51" s="47">
        <f t="shared" ref="D51:Q51" si="0">SUM(D49:D50)</f>
        <v>36</v>
      </c>
      <c r="E51" s="47">
        <f t="shared" si="0"/>
        <v>29</v>
      </c>
      <c r="F51" s="80">
        <f t="shared" si="0"/>
        <v>34</v>
      </c>
      <c r="G51" s="244">
        <f t="shared" si="0"/>
        <v>26</v>
      </c>
      <c r="H51" s="71">
        <f t="shared" si="0"/>
        <v>30</v>
      </c>
      <c r="I51" s="71">
        <f t="shared" si="0"/>
        <v>30</v>
      </c>
      <c r="J51" s="71">
        <f t="shared" si="0"/>
        <v>31</v>
      </c>
      <c r="K51" s="71">
        <f t="shared" si="0"/>
        <v>31</v>
      </c>
      <c r="L51" s="71">
        <f t="shared" si="0"/>
        <v>31</v>
      </c>
      <c r="M51" s="71">
        <f t="shared" si="0"/>
        <v>32</v>
      </c>
      <c r="N51" s="71">
        <f t="shared" si="0"/>
        <v>32</v>
      </c>
      <c r="O51" s="71">
        <f t="shared" si="0"/>
        <v>32</v>
      </c>
      <c r="P51" s="71">
        <f t="shared" si="0"/>
        <v>32</v>
      </c>
      <c r="Q51" s="71">
        <f t="shared" si="0"/>
        <v>32</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33</v>
      </c>
      <c r="D60" s="358">
        <f>VLOOKUP($E$3,'Catchment Projections'!$A$1:$BZ$90,74,FALSE)</f>
        <v>33</v>
      </c>
      <c r="E60" s="303">
        <f>D60/C60</f>
        <v>1</v>
      </c>
      <c r="G60" s="132">
        <v>2014</v>
      </c>
      <c r="H60" s="395">
        <f>VLOOKUP($G$60,$B$177:$C$215, 2, FALSE)</f>
        <v>35</v>
      </c>
      <c r="I60" s="120">
        <f>H60-D60</f>
        <v>2</v>
      </c>
      <c r="J60" s="121">
        <f>I60/H60</f>
        <v>5.7142857142857141E-2</v>
      </c>
    </row>
    <row r="61" spans="2:17" ht="15" customHeight="1">
      <c r="B61" s="132">
        <v>2015</v>
      </c>
      <c r="C61" s="359">
        <f>VLOOKUP($E$3,'Catchment Projections'!$A$1:$BZ$90,41,FALSE)</f>
        <v>40</v>
      </c>
      <c r="D61" s="358">
        <f>VLOOKUP($E$3,'Catchment Projections'!$A$1:$BZ$90,75,FALSE)</f>
        <v>40</v>
      </c>
      <c r="E61" s="303">
        <f>D61/C61</f>
        <v>1</v>
      </c>
      <c r="G61" s="132">
        <v>2015</v>
      </c>
      <c r="H61" s="395">
        <f>VLOOKUP($G$61,$B$177:$C$215, 2, FALSE)</f>
        <v>44</v>
      </c>
      <c r="I61" s="120">
        <f>H61-D61</f>
        <v>4</v>
      </c>
      <c r="J61" s="121">
        <f>I61/H61</f>
        <v>9.0909090909090912E-2</v>
      </c>
    </row>
    <row r="62" spans="2:17" ht="15" customHeight="1">
      <c r="B62" s="131">
        <v>2016</v>
      </c>
      <c r="C62" s="359">
        <f>VLOOKUP($E$3,'Catchment Projections'!$A$1:$BZ$90,42,FALSE)</f>
        <v>32</v>
      </c>
      <c r="D62" s="358">
        <f>VLOOKUP($E$3,'Catchment Projections'!$A$1:$BZ$90,76,FALSE)</f>
        <v>31</v>
      </c>
      <c r="E62" s="57">
        <f>D62/C62</f>
        <v>0.96875</v>
      </c>
      <c r="G62" s="131">
        <v>2016</v>
      </c>
      <c r="H62" s="395">
        <f>VLOOKUP($G$62,$B$177:$C$215, 2, FALSE)</f>
        <v>36</v>
      </c>
      <c r="I62" s="120">
        <f>H62-D62</f>
        <v>5</v>
      </c>
      <c r="J62" s="121">
        <f>I62/H62</f>
        <v>0.1388888888888889</v>
      </c>
    </row>
    <row r="63" spans="2:17" ht="15" customHeight="1">
      <c r="B63" s="114">
        <v>2017</v>
      </c>
      <c r="C63" s="359">
        <f>VLOOKUP($E$3,'Catchment Projections'!$A$1:$BZ$90,43,FALSE)</f>
        <v>42</v>
      </c>
      <c r="D63" s="358">
        <f>VLOOKUP($E$3,'Catchment Projections'!$A$1:$BZ$90,77,FALSE)</f>
        <v>41</v>
      </c>
      <c r="E63" s="304">
        <f>D63/C63</f>
        <v>0.97619047619047616</v>
      </c>
      <c r="G63" s="114">
        <v>2017</v>
      </c>
      <c r="H63" s="395">
        <f>VLOOKUP($G$63,$B$177:$C$215, 2, FALSE)</f>
        <v>43</v>
      </c>
      <c r="I63" s="120">
        <f>H63-D63</f>
        <v>2</v>
      </c>
      <c r="J63" s="121">
        <f>I63/H63</f>
        <v>4.6511627906976744E-2</v>
      </c>
    </row>
    <row r="64" spans="2:17" ht="15" customHeight="1">
      <c r="B64" s="114">
        <v>2018</v>
      </c>
      <c r="C64" s="359">
        <f>VLOOKUP($E$3,'Catchment Projections'!$A$1:$BZ$90,44,FALSE)</f>
        <v>33</v>
      </c>
      <c r="D64" s="358">
        <f>VLOOKUP($E$3,'Catchment Projections'!$A$1:$BZ$90,78,FALSE)</f>
        <v>32</v>
      </c>
      <c r="E64" s="305">
        <f>D64/C64</f>
        <v>0.96969696969696972</v>
      </c>
      <c r="G64" s="114">
        <v>2018</v>
      </c>
      <c r="H64" s="395">
        <f>VLOOKUP($G$64,$B$177:$C$215, 2, FALSE)</f>
        <v>39</v>
      </c>
      <c r="I64" s="120">
        <f>H64-D64</f>
        <v>7</v>
      </c>
      <c r="J64" s="121">
        <f>I64/H64</f>
        <v>0.17948717948717949</v>
      </c>
    </row>
    <row r="65" spans="2:10" ht="15" customHeight="1">
      <c r="B65" s="412" t="s">
        <v>136</v>
      </c>
      <c r="C65" s="413"/>
      <c r="D65" s="414"/>
      <c r="E65" s="137">
        <f>IF((AVERAGE(E62:E64))="#DIV/0!","n/a",(AVERAGE(E62:E64)))</f>
        <v>0.9715458152958153</v>
      </c>
      <c r="G65" s="415" t="s">
        <v>137</v>
      </c>
      <c r="H65" s="416"/>
      <c r="I65" s="138">
        <f>MEDIAN(I60:I64)</f>
        <v>4</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36</v>
      </c>
      <c r="D70" s="408"/>
      <c r="E70" s="122">
        <f>E65</f>
        <v>0.9715458152958153</v>
      </c>
      <c r="F70" s="120">
        <f t="shared" ref="F70:F83" si="1">C70*$E$65</f>
        <v>34.975649350649348</v>
      </c>
      <c r="G70" s="118">
        <f>IF(F70&lt;26,25,IF(F70&gt;135,140,IF(F70&gt;130,135,IF(F70&gt;125,130,IF(F70&gt;120,125,IF(F70&gt;115,120,IF(F70&gt;110,115,IF(F70&gt;105,110,IF(F70&gt;100,105,IF(F70&gt;99,100,IF(F70&gt;90,99,IF(F70&gt;75,90,IF(F70&gt;72,75,IF(F70&gt;66,72,IF(F70&gt;60,66,IF(F70&gt;50,60,IF(F70&gt;30,50,IF(F70&gt;25,30,0))))))))))))))))))</f>
        <v>50</v>
      </c>
      <c r="H70" s="119">
        <f t="shared" ref="H70:H83" si="2">G70-F70</f>
        <v>15.024350649350652</v>
      </c>
      <c r="I70" s="118" t="str">
        <f>IF(I$65&lt;H70, "NO", "YES")</f>
        <v>NO</v>
      </c>
      <c r="J70" s="117">
        <f t="shared" ref="J70:J83" si="3">IF(I70="YES",G70,(MIN((SUM(F70,$I$65)),G70)))</f>
        <v>38.975649350649348</v>
      </c>
    </row>
    <row r="71" spans="2:10" ht="15" customHeight="1">
      <c r="B71" s="114">
        <v>2020</v>
      </c>
      <c r="C71" s="433">
        <f>E51</f>
        <v>29</v>
      </c>
      <c r="D71" s="408"/>
      <c r="E71" s="121">
        <f>E65</f>
        <v>0.9715458152958153</v>
      </c>
      <c r="F71" s="120">
        <f t="shared" si="1"/>
        <v>28.174828643578643</v>
      </c>
      <c r="G71" s="118">
        <f t="shared" ref="G71:G83" si="4">IF(F71&lt;26,25,IF(F71&gt;135,140,IF(F71&gt;130,135,IF(F71&gt;125,130,IF(F71&gt;120,125,IF(F71&gt;115,120,IF(F71&gt;110,115,IF(F71&gt;105,110,IF(F71&gt;100,105,IF(F71&gt;99,100,IF(F71&gt;90,99,IF(F71&gt;75,90,IF(F71&gt;72,75,IF(F71&gt;66,72,IF(F71&gt;60,66,IF(F71&gt;50,60,IF(F71&gt;30,50,IF(F71&gt;25,30,0))))))))))))))))))</f>
        <v>30</v>
      </c>
      <c r="H71" s="119">
        <f t="shared" si="2"/>
        <v>1.8251713564213574</v>
      </c>
      <c r="I71" s="118" t="str">
        <f t="shared" ref="I71:I83" si="5">IF(I$65&lt;H71, "NO", "YES")</f>
        <v>YES</v>
      </c>
      <c r="J71" s="117">
        <f t="shared" si="3"/>
        <v>30</v>
      </c>
    </row>
    <row r="72" spans="2:10" ht="15" customHeight="1">
      <c r="B72" s="114">
        <v>2021</v>
      </c>
      <c r="C72" s="430">
        <f>F51</f>
        <v>34</v>
      </c>
      <c r="D72" s="431"/>
      <c r="E72" s="121">
        <f>E65</f>
        <v>0.9715458152958153</v>
      </c>
      <c r="F72" s="120">
        <f t="shared" si="1"/>
        <v>33.032557720057717</v>
      </c>
      <c r="G72" s="118">
        <f t="shared" si="4"/>
        <v>50</v>
      </c>
      <c r="H72" s="119">
        <f t="shared" si="2"/>
        <v>16.967442279942283</v>
      </c>
      <c r="I72" s="118" t="str">
        <f t="shared" si="5"/>
        <v>NO</v>
      </c>
      <c r="J72" s="117">
        <f t="shared" si="3"/>
        <v>37.032557720057717</v>
      </c>
    </row>
    <row r="73" spans="2:10" ht="15" customHeight="1">
      <c r="B73" s="114">
        <v>2022</v>
      </c>
      <c r="C73" s="430">
        <f>G51</f>
        <v>26</v>
      </c>
      <c r="D73" s="431"/>
      <c r="E73" s="121">
        <f>E65</f>
        <v>0.9715458152958153</v>
      </c>
      <c r="F73" s="120">
        <f t="shared" si="1"/>
        <v>25.260191197691199</v>
      </c>
      <c r="G73" s="118">
        <f t="shared" si="4"/>
        <v>25</v>
      </c>
      <c r="H73" s="119">
        <f t="shared" si="2"/>
        <v>-0.26019119769119925</v>
      </c>
      <c r="I73" s="118" t="str">
        <f t="shared" si="5"/>
        <v>YES</v>
      </c>
      <c r="J73" s="117">
        <f t="shared" si="3"/>
        <v>25</v>
      </c>
    </row>
    <row r="74" spans="2:10" ht="15" customHeight="1">
      <c r="B74" s="114">
        <v>2023</v>
      </c>
      <c r="C74" s="430">
        <f>H51</f>
        <v>30</v>
      </c>
      <c r="D74" s="431"/>
      <c r="E74" s="121">
        <f>E65</f>
        <v>0.9715458152958153</v>
      </c>
      <c r="F74" s="120">
        <f t="shared" si="1"/>
        <v>29.146374458874458</v>
      </c>
      <c r="G74" s="118">
        <f t="shared" si="4"/>
        <v>30</v>
      </c>
      <c r="H74" s="119">
        <f t="shared" si="2"/>
        <v>0.85362554112554179</v>
      </c>
      <c r="I74" s="118" t="str">
        <f t="shared" si="5"/>
        <v>YES</v>
      </c>
      <c r="J74" s="117">
        <f t="shared" si="3"/>
        <v>30</v>
      </c>
    </row>
    <row r="75" spans="2:10" ht="15" customHeight="1">
      <c r="B75" s="114">
        <v>2024</v>
      </c>
      <c r="C75" s="430">
        <f>I51</f>
        <v>30</v>
      </c>
      <c r="D75" s="431"/>
      <c r="E75" s="121">
        <f>E65</f>
        <v>0.9715458152958153</v>
      </c>
      <c r="F75" s="120">
        <f t="shared" si="1"/>
        <v>29.146374458874458</v>
      </c>
      <c r="G75" s="118">
        <f t="shared" si="4"/>
        <v>30</v>
      </c>
      <c r="H75" s="119">
        <f t="shared" si="2"/>
        <v>0.85362554112554179</v>
      </c>
      <c r="I75" s="118" t="str">
        <f t="shared" si="5"/>
        <v>YES</v>
      </c>
      <c r="J75" s="117">
        <f t="shared" si="3"/>
        <v>30</v>
      </c>
    </row>
    <row r="76" spans="2:10" ht="15" customHeight="1">
      <c r="B76" s="114">
        <v>2025</v>
      </c>
      <c r="C76" s="430">
        <f>J51</f>
        <v>31</v>
      </c>
      <c r="D76" s="431"/>
      <c r="E76" s="121">
        <f>E65</f>
        <v>0.9715458152958153</v>
      </c>
      <c r="F76" s="120">
        <f t="shared" si="1"/>
        <v>30.117920274170274</v>
      </c>
      <c r="G76" s="118">
        <f t="shared" si="4"/>
        <v>50</v>
      </c>
      <c r="H76" s="119">
        <f t="shared" si="2"/>
        <v>19.882079725829726</v>
      </c>
      <c r="I76" s="118" t="str">
        <f t="shared" si="5"/>
        <v>NO</v>
      </c>
      <c r="J76" s="117">
        <f t="shared" si="3"/>
        <v>34.117920274170274</v>
      </c>
    </row>
    <row r="77" spans="2:10" ht="15" customHeight="1">
      <c r="B77" s="114">
        <v>2026</v>
      </c>
      <c r="C77" s="430">
        <f>K51</f>
        <v>31</v>
      </c>
      <c r="D77" s="431"/>
      <c r="E77" s="121">
        <f>E65</f>
        <v>0.9715458152958153</v>
      </c>
      <c r="F77" s="120">
        <f t="shared" si="1"/>
        <v>30.117920274170274</v>
      </c>
      <c r="G77" s="118">
        <f t="shared" si="4"/>
        <v>50</v>
      </c>
      <c r="H77" s="119">
        <f t="shared" si="2"/>
        <v>19.882079725829726</v>
      </c>
      <c r="I77" s="118" t="str">
        <f t="shared" si="5"/>
        <v>NO</v>
      </c>
      <c r="J77" s="117">
        <f t="shared" si="3"/>
        <v>34.117920274170274</v>
      </c>
    </row>
    <row r="78" spans="2:10" ht="15" customHeight="1">
      <c r="B78" s="114">
        <v>2027</v>
      </c>
      <c r="C78" s="430">
        <f>L51</f>
        <v>31</v>
      </c>
      <c r="D78" s="431"/>
      <c r="E78" s="121">
        <f>E65</f>
        <v>0.9715458152958153</v>
      </c>
      <c r="F78" s="120">
        <f t="shared" si="1"/>
        <v>30.117920274170274</v>
      </c>
      <c r="G78" s="118">
        <f t="shared" si="4"/>
        <v>50</v>
      </c>
      <c r="H78" s="119">
        <f t="shared" si="2"/>
        <v>19.882079725829726</v>
      </c>
      <c r="I78" s="118" t="str">
        <f t="shared" si="5"/>
        <v>NO</v>
      </c>
      <c r="J78" s="117">
        <f t="shared" si="3"/>
        <v>34.117920274170274</v>
      </c>
    </row>
    <row r="79" spans="2:10" ht="15" customHeight="1">
      <c r="B79" s="114">
        <v>2028</v>
      </c>
      <c r="C79" s="430">
        <f>M51</f>
        <v>32</v>
      </c>
      <c r="D79" s="431"/>
      <c r="E79" s="121">
        <f t="shared" ref="E79:E83" si="6">$E$65</f>
        <v>0.9715458152958153</v>
      </c>
      <c r="F79" s="120">
        <f t="shared" si="1"/>
        <v>31.089466089466089</v>
      </c>
      <c r="G79" s="118">
        <f t="shared" si="4"/>
        <v>50</v>
      </c>
      <c r="H79" s="119">
        <f t="shared" si="2"/>
        <v>18.910533910533911</v>
      </c>
      <c r="I79" s="118" t="str">
        <f t="shared" si="5"/>
        <v>NO</v>
      </c>
      <c r="J79" s="117">
        <f t="shared" si="3"/>
        <v>35.089466089466086</v>
      </c>
    </row>
    <row r="80" spans="2:10" ht="15" customHeight="1">
      <c r="B80" s="114">
        <v>2029</v>
      </c>
      <c r="C80" s="430">
        <f>N51</f>
        <v>32</v>
      </c>
      <c r="D80" s="431"/>
      <c r="E80" s="121">
        <f t="shared" si="6"/>
        <v>0.9715458152958153</v>
      </c>
      <c r="F80" s="120">
        <f t="shared" si="1"/>
        <v>31.089466089466089</v>
      </c>
      <c r="G80" s="118">
        <f t="shared" si="4"/>
        <v>50</v>
      </c>
      <c r="H80" s="119">
        <f t="shared" si="2"/>
        <v>18.910533910533911</v>
      </c>
      <c r="I80" s="118" t="str">
        <f t="shared" si="5"/>
        <v>NO</v>
      </c>
      <c r="J80" s="117">
        <f t="shared" si="3"/>
        <v>35.089466089466086</v>
      </c>
    </row>
    <row r="81" spans="2:10" ht="15" customHeight="1">
      <c r="B81" s="114">
        <v>2030</v>
      </c>
      <c r="C81" s="430">
        <f>O51</f>
        <v>32</v>
      </c>
      <c r="D81" s="431"/>
      <c r="E81" s="121">
        <f t="shared" si="6"/>
        <v>0.9715458152958153</v>
      </c>
      <c r="F81" s="120">
        <f t="shared" si="1"/>
        <v>31.089466089466089</v>
      </c>
      <c r="G81" s="118">
        <f t="shared" si="4"/>
        <v>50</v>
      </c>
      <c r="H81" s="119">
        <f t="shared" si="2"/>
        <v>18.910533910533911</v>
      </c>
      <c r="I81" s="118" t="str">
        <f t="shared" si="5"/>
        <v>NO</v>
      </c>
      <c r="J81" s="117">
        <f t="shared" si="3"/>
        <v>35.089466089466086</v>
      </c>
    </row>
    <row r="82" spans="2:10" ht="15" customHeight="1">
      <c r="B82" s="114">
        <v>2031</v>
      </c>
      <c r="C82" s="430">
        <f>P51</f>
        <v>32</v>
      </c>
      <c r="D82" s="431"/>
      <c r="E82" s="121">
        <f t="shared" si="6"/>
        <v>0.9715458152958153</v>
      </c>
      <c r="F82" s="120">
        <f t="shared" si="1"/>
        <v>31.089466089466089</v>
      </c>
      <c r="G82" s="118">
        <f t="shared" si="4"/>
        <v>50</v>
      </c>
      <c r="H82" s="119">
        <f t="shared" si="2"/>
        <v>18.910533910533911</v>
      </c>
      <c r="I82" s="118" t="str">
        <f t="shared" si="5"/>
        <v>NO</v>
      </c>
      <c r="J82" s="117">
        <f t="shared" si="3"/>
        <v>35.089466089466086</v>
      </c>
    </row>
    <row r="83" spans="2:10" ht="15" customHeight="1">
      <c r="B83" s="114">
        <v>2032</v>
      </c>
      <c r="C83" s="430">
        <f>Q51</f>
        <v>32</v>
      </c>
      <c r="D83" s="431"/>
      <c r="E83" s="121">
        <f t="shared" si="6"/>
        <v>0.9715458152958153</v>
      </c>
      <c r="F83" s="120">
        <f t="shared" si="1"/>
        <v>31.089466089466089</v>
      </c>
      <c r="G83" s="118">
        <f t="shared" si="4"/>
        <v>50</v>
      </c>
      <c r="H83" s="119">
        <f t="shared" si="2"/>
        <v>18.910533910533911</v>
      </c>
      <c r="I83" s="118" t="str">
        <f t="shared" si="5"/>
        <v>NO</v>
      </c>
      <c r="J83" s="117">
        <f t="shared" si="3"/>
        <v>35.089466089466086</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Stockbridge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46</v>
      </c>
      <c r="D91" s="112">
        <f t="shared" ref="D91:J91" si="7">D188</f>
        <v>30</v>
      </c>
      <c r="E91" s="112">
        <f t="shared" si="7"/>
        <v>29</v>
      </c>
      <c r="F91" s="112">
        <f t="shared" si="7"/>
        <v>31</v>
      </c>
      <c r="G91" s="112">
        <f t="shared" si="7"/>
        <v>27</v>
      </c>
      <c r="H91" s="112">
        <f t="shared" si="7"/>
        <v>24</v>
      </c>
      <c r="I91" s="112">
        <f t="shared" si="7"/>
        <v>23</v>
      </c>
      <c r="J91" s="213">
        <f t="shared" si="7"/>
        <v>210</v>
      </c>
    </row>
    <row r="92" spans="2:10" ht="15" customHeight="1">
      <c r="B92" s="114">
        <v>2014</v>
      </c>
      <c r="C92" s="112">
        <f>C189</f>
        <v>35</v>
      </c>
      <c r="D92" s="112">
        <f t="shared" ref="D92:J92" si="8">D189</f>
        <v>44</v>
      </c>
      <c r="E92" s="112">
        <f t="shared" si="8"/>
        <v>31</v>
      </c>
      <c r="F92" s="112">
        <f t="shared" si="8"/>
        <v>29</v>
      </c>
      <c r="G92" s="112">
        <f t="shared" si="8"/>
        <v>32</v>
      </c>
      <c r="H92" s="112">
        <f t="shared" si="8"/>
        <v>25</v>
      </c>
      <c r="I92" s="112">
        <f t="shared" si="8"/>
        <v>30</v>
      </c>
      <c r="J92" s="213">
        <f t="shared" si="8"/>
        <v>226</v>
      </c>
    </row>
    <row r="93" spans="2:10" ht="15" customHeight="1">
      <c r="B93" s="114">
        <v>2015</v>
      </c>
      <c r="C93" s="112">
        <f>C190</f>
        <v>44</v>
      </c>
      <c r="D93" s="112">
        <f t="shared" ref="D93:J93" si="9">D190</f>
        <v>36</v>
      </c>
      <c r="E93" s="112">
        <f t="shared" si="9"/>
        <v>48</v>
      </c>
      <c r="F93" s="112">
        <f t="shared" si="9"/>
        <v>31</v>
      </c>
      <c r="G93" s="112">
        <f t="shared" si="9"/>
        <v>32</v>
      </c>
      <c r="H93" s="112">
        <f t="shared" si="9"/>
        <v>29</v>
      </c>
      <c r="I93" s="112">
        <f t="shared" si="9"/>
        <v>30</v>
      </c>
      <c r="J93" s="213">
        <f t="shared" si="9"/>
        <v>250</v>
      </c>
    </row>
    <row r="94" spans="2:10" ht="15" customHeight="1">
      <c r="B94" s="114">
        <v>2016</v>
      </c>
      <c r="C94" s="112">
        <f>C191</f>
        <v>36</v>
      </c>
      <c r="D94" s="112">
        <f t="shared" ref="D94:J94" si="10">D191</f>
        <v>43</v>
      </c>
      <c r="E94" s="112">
        <f t="shared" si="10"/>
        <v>33</v>
      </c>
      <c r="F94" s="112">
        <f t="shared" si="10"/>
        <v>49</v>
      </c>
      <c r="G94" s="112">
        <f t="shared" si="10"/>
        <v>30</v>
      </c>
      <c r="H94" s="112">
        <f t="shared" si="10"/>
        <v>29</v>
      </c>
      <c r="I94" s="112">
        <f t="shared" si="10"/>
        <v>24</v>
      </c>
      <c r="J94" s="213">
        <f t="shared" si="10"/>
        <v>244</v>
      </c>
    </row>
    <row r="95" spans="2:10" ht="15" customHeight="1">
      <c r="B95" s="114">
        <v>2017</v>
      </c>
      <c r="C95" s="112">
        <f>C192</f>
        <v>43</v>
      </c>
      <c r="D95" s="112">
        <f t="shared" ref="D95:J95" si="11">D192</f>
        <v>36</v>
      </c>
      <c r="E95" s="112">
        <f t="shared" si="11"/>
        <v>43</v>
      </c>
      <c r="F95" s="112">
        <f t="shared" si="11"/>
        <v>37</v>
      </c>
      <c r="G95" s="112">
        <f t="shared" si="11"/>
        <v>49</v>
      </c>
      <c r="H95" s="112">
        <f t="shared" si="11"/>
        <v>31</v>
      </c>
      <c r="I95" s="112">
        <f t="shared" si="11"/>
        <v>29</v>
      </c>
      <c r="J95" s="213">
        <f t="shared" si="11"/>
        <v>268</v>
      </c>
    </row>
    <row r="96" spans="2:10" ht="15" customHeight="1">
      <c r="B96" s="307">
        <v>2018</v>
      </c>
      <c r="C96" s="112">
        <f t="shared" ref="C96:J96" si="12">C193</f>
        <v>39</v>
      </c>
      <c r="D96" s="112">
        <f t="shared" si="12"/>
        <v>36</v>
      </c>
      <c r="E96" s="112">
        <f t="shared" si="12"/>
        <v>31</v>
      </c>
      <c r="F96" s="112">
        <f t="shared" si="12"/>
        <v>40</v>
      </c>
      <c r="G96" s="112">
        <f t="shared" si="12"/>
        <v>34</v>
      </c>
      <c r="H96" s="112">
        <f t="shared" si="12"/>
        <v>46</v>
      </c>
      <c r="I96" s="112">
        <f t="shared" si="12"/>
        <v>28</v>
      </c>
      <c r="J96" s="213">
        <f t="shared" si="12"/>
        <v>254</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2.2727272727272728E-2</v>
      </c>
      <c r="E98" s="210">
        <f t="shared" ref="E98:I98" si="13">MEDIAN(((D91-E92)/D91),((D92-E93)/D92),((D93-E94)/D93),((D94-E95)/D94),((D95-E96)/D95))</f>
        <v>0</v>
      </c>
      <c r="F98" s="210">
        <f t="shared" si="13"/>
        <v>0</v>
      </c>
      <c r="G98" s="210">
        <f t="shared" si="13"/>
        <v>0</v>
      </c>
      <c r="H98" s="210">
        <f t="shared" si="13"/>
        <v>7.407407407407407E-2</v>
      </c>
      <c r="I98" s="210">
        <f t="shared" si="13"/>
        <v>0</v>
      </c>
    </row>
    <row r="99" spans="2:10" ht="18.75">
      <c r="B99" s="59"/>
      <c r="C99" s="60"/>
      <c r="D99" s="61"/>
      <c r="E99" s="61"/>
      <c r="F99" s="61"/>
      <c r="G99" s="61"/>
      <c r="H99" s="61"/>
      <c r="I99" s="61"/>
      <c r="J99" s="58"/>
    </row>
    <row r="100" spans="2:10">
      <c r="B100" s="15" t="str">
        <f>"Table 4B: "&amp;E3&amp;" Projected Roll by Stage (incorporating Projected P1 and Drop-Off Rates), 2019-2032"</f>
        <v>Table 4B: Stockbridge Primary School Projected Roll by Stage (incorporating Projected P1 and Drop-Off Rates), 2019-2032</v>
      </c>
      <c r="F100" s="14"/>
      <c r="G100" s="14"/>
    </row>
    <row r="101" spans="2:10" ht="12.75">
      <c r="F101" s="14"/>
      <c r="G101" s="14"/>
    </row>
    <row r="102" spans="2:10">
      <c r="B102" s="115"/>
      <c r="C102" s="109" t="s">
        <v>1</v>
      </c>
      <c r="D102" s="109" t="s">
        <v>2</v>
      </c>
      <c r="E102" s="109" t="s">
        <v>3</v>
      </c>
      <c r="F102" s="109" t="s">
        <v>4</v>
      </c>
      <c r="G102" s="109" t="s">
        <v>5</v>
      </c>
      <c r="H102" s="109" t="s">
        <v>6</v>
      </c>
      <c r="I102" s="109" t="s">
        <v>7</v>
      </c>
      <c r="J102" s="109" t="s">
        <v>8</v>
      </c>
    </row>
    <row r="103" spans="2:10">
      <c r="B103" s="114">
        <v>2019</v>
      </c>
      <c r="C103" s="113">
        <f t="shared" ref="C103:C116" si="14">J70</f>
        <v>38.975649350649348</v>
      </c>
      <c r="D103" s="324">
        <f>ROUND((C96)-(C96*$D$98),0)</f>
        <v>38</v>
      </c>
      <c r="E103" s="324">
        <f>ROUND((D96)-(D96*$E$98),0)</f>
        <v>36</v>
      </c>
      <c r="F103" s="324">
        <f>ROUND((E96)-(E96*$F$98),0)</f>
        <v>31</v>
      </c>
      <c r="G103" s="324">
        <f>ROUND((F96)-(F96*$G$98),0)</f>
        <v>40</v>
      </c>
      <c r="H103" s="324">
        <f>ROUND((G96)-(G96*$H$98),0)</f>
        <v>31</v>
      </c>
      <c r="I103" s="324">
        <f>ROUND((H96)-(H96*$I$98),0)</f>
        <v>46</v>
      </c>
      <c r="J103" s="111">
        <f t="shared" ref="J103:J116" si="15">SUM(C103:I103)</f>
        <v>260.97564935064935</v>
      </c>
    </row>
    <row r="104" spans="2:10">
      <c r="B104" s="114">
        <v>2020</v>
      </c>
      <c r="C104" s="113">
        <f t="shared" si="14"/>
        <v>30</v>
      </c>
      <c r="D104" s="324">
        <f>ROUND((C103-E50)-(C103*$D$98),0)</f>
        <v>38</v>
      </c>
      <c r="E104" s="112">
        <f t="shared" ref="E104:E116" si="16">ROUND((D103)-(D103*$E$98),0)</f>
        <v>38</v>
      </c>
      <c r="F104" s="112">
        <f t="shared" ref="F104:F116" si="17">ROUND((E103)-(E103*$F$98),0)</f>
        <v>36</v>
      </c>
      <c r="G104" s="112">
        <f t="shared" ref="G104:G116" si="18">ROUND((F103)-(F103*$G$98),0)</f>
        <v>31</v>
      </c>
      <c r="H104" s="112">
        <f t="shared" ref="H104:H116" si="19">ROUND((G103)-(G103*$H$98),0)</f>
        <v>37</v>
      </c>
      <c r="I104" s="112">
        <f t="shared" ref="I104:I116" si="20">ROUND((H103)-(H103*$I$98),0)</f>
        <v>31</v>
      </c>
      <c r="J104" s="111">
        <f t="shared" si="15"/>
        <v>241</v>
      </c>
    </row>
    <row r="105" spans="2:10">
      <c r="B105" s="114">
        <v>2021</v>
      </c>
      <c r="C105" s="113">
        <f t="shared" si="14"/>
        <v>37.032557720057717</v>
      </c>
      <c r="D105" s="324">
        <f>ROUND((C104-F50)-(C104*$D$98),0)</f>
        <v>28</v>
      </c>
      <c r="E105" s="112">
        <f t="shared" si="16"/>
        <v>38</v>
      </c>
      <c r="F105" s="112">
        <f t="shared" si="17"/>
        <v>38</v>
      </c>
      <c r="G105" s="112">
        <f t="shared" si="18"/>
        <v>36</v>
      </c>
      <c r="H105" s="112">
        <f t="shared" si="19"/>
        <v>29</v>
      </c>
      <c r="I105" s="112">
        <f t="shared" si="20"/>
        <v>37</v>
      </c>
      <c r="J105" s="111">
        <f t="shared" si="15"/>
        <v>243.03255772005772</v>
      </c>
    </row>
    <row r="106" spans="2:10">
      <c r="B106" s="114">
        <v>2022</v>
      </c>
      <c r="C106" s="113">
        <f t="shared" si="14"/>
        <v>25</v>
      </c>
      <c r="D106" s="324">
        <f>ROUND((C105-G50)-(C105*$D$98),0)</f>
        <v>35</v>
      </c>
      <c r="E106" s="112">
        <f t="shared" si="16"/>
        <v>28</v>
      </c>
      <c r="F106" s="112">
        <f t="shared" si="17"/>
        <v>38</v>
      </c>
      <c r="G106" s="112">
        <f t="shared" si="18"/>
        <v>38</v>
      </c>
      <c r="H106" s="112">
        <f t="shared" si="19"/>
        <v>33</v>
      </c>
      <c r="I106" s="112">
        <f t="shared" si="20"/>
        <v>29</v>
      </c>
      <c r="J106" s="111">
        <f t="shared" si="15"/>
        <v>226</v>
      </c>
    </row>
    <row r="107" spans="2:10">
      <c r="B107" s="114">
        <v>2023</v>
      </c>
      <c r="C107" s="113">
        <f t="shared" si="14"/>
        <v>30</v>
      </c>
      <c r="D107" s="324">
        <f>ROUND((C106-H50)-(C106*$D$98),0)</f>
        <v>23</v>
      </c>
      <c r="E107" s="112">
        <f t="shared" si="16"/>
        <v>35</v>
      </c>
      <c r="F107" s="112">
        <f t="shared" si="17"/>
        <v>28</v>
      </c>
      <c r="G107" s="112">
        <f t="shared" si="18"/>
        <v>38</v>
      </c>
      <c r="H107" s="112">
        <f t="shared" si="19"/>
        <v>35</v>
      </c>
      <c r="I107" s="112">
        <f t="shared" si="20"/>
        <v>33</v>
      </c>
      <c r="J107" s="111">
        <f t="shared" si="15"/>
        <v>222</v>
      </c>
    </row>
    <row r="108" spans="2:10">
      <c r="B108" s="114">
        <v>2024</v>
      </c>
      <c r="C108" s="113">
        <f t="shared" si="14"/>
        <v>30</v>
      </c>
      <c r="D108" s="324">
        <f>ROUND((C107-I50)-(C107*$D$98),0)</f>
        <v>28</v>
      </c>
      <c r="E108" s="112">
        <f t="shared" si="16"/>
        <v>23</v>
      </c>
      <c r="F108" s="112">
        <f t="shared" si="17"/>
        <v>35</v>
      </c>
      <c r="G108" s="112">
        <f t="shared" si="18"/>
        <v>28</v>
      </c>
      <c r="H108" s="112">
        <f t="shared" si="19"/>
        <v>35</v>
      </c>
      <c r="I108" s="112">
        <f t="shared" si="20"/>
        <v>35</v>
      </c>
      <c r="J108" s="111">
        <f t="shared" si="15"/>
        <v>214</v>
      </c>
    </row>
    <row r="109" spans="2:10">
      <c r="B109" s="114">
        <v>2025</v>
      </c>
      <c r="C109" s="113">
        <f t="shared" si="14"/>
        <v>34.117920274170274</v>
      </c>
      <c r="D109" s="324">
        <f>ROUND((C108-J50)-(C108*$D$98),0)</f>
        <v>28</v>
      </c>
      <c r="E109" s="112">
        <f t="shared" si="16"/>
        <v>28</v>
      </c>
      <c r="F109" s="112">
        <f t="shared" si="17"/>
        <v>23</v>
      </c>
      <c r="G109" s="112">
        <f t="shared" si="18"/>
        <v>35</v>
      </c>
      <c r="H109" s="112">
        <f t="shared" si="19"/>
        <v>26</v>
      </c>
      <c r="I109" s="112">
        <f t="shared" si="20"/>
        <v>35</v>
      </c>
      <c r="J109" s="111">
        <f t="shared" si="15"/>
        <v>209.11792027417027</v>
      </c>
    </row>
    <row r="110" spans="2:10">
      <c r="B110" s="114">
        <v>2026</v>
      </c>
      <c r="C110" s="113">
        <f t="shared" si="14"/>
        <v>34.117920274170274</v>
      </c>
      <c r="D110" s="324">
        <f>ROUND((C109-K50)-(C109*$D$98),0)</f>
        <v>32</v>
      </c>
      <c r="E110" s="112">
        <f t="shared" si="16"/>
        <v>28</v>
      </c>
      <c r="F110" s="112">
        <f t="shared" si="17"/>
        <v>28</v>
      </c>
      <c r="G110" s="112">
        <f t="shared" si="18"/>
        <v>23</v>
      </c>
      <c r="H110" s="112">
        <f t="shared" si="19"/>
        <v>32</v>
      </c>
      <c r="I110" s="112">
        <f t="shared" si="20"/>
        <v>26</v>
      </c>
      <c r="J110" s="111">
        <f t="shared" si="15"/>
        <v>203.11792027417027</v>
      </c>
    </row>
    <row r="111" spans="2:10">
      <c r="B111" s="114">
        <v>2027</v>
      </c>
      <c r="C111" s="113">
        <f t="shared" si="14"/>
        <v>34.117920274170274</v>
      </c>
      <c r="D111" s="324">
        <f>ROUND((C110-L50)-(C110*$D$98),0)</f>
        <v>32</v>
      </c>
      <c r="E111" s="112">
        <f t="shared" si="16"/>
        <v>32</v>
      </c>
      <c r="F111" s="112">
        <f t="shared" si="17"/>
        <v>28</v>
      </c>
      <c r="G111" s="112">
        <f t="shared" si="18"/>
        <v>28</v>
      </c>
      <c r="H111" s="112">
        <f t="shared" si="19"/>
        <v>21</v>
      </c>
      <c r="I111" s="112">
        <f t="shared" si="20"/>
        <v>32</v>
      </c>
      <c r="J111" s="111">
        <f t="shared" si="15"/>
        <v>207.11792027417027</v>
      </c>
    </row>
    <row r="112" spans="2:10">
      <c r="B112" s="114">
        <v>2028</v>
      </c>
      <c r="C112" s="113">
        <f t="shared" si="14"/>
        <v>35.089466089466086</v>
      </c>
      <c r="D112" s="324">
        <f>ROUND((C111-M50)-(C111*$D$98),0)</f>
        <v>32</v>
      </c>
      <c r="E112" s="112">
        <f t="shared" si="16"/>
        <v>32</v>
      </c>
      <c r="F112" s="112">
        <f t="shared" si="17"/>
        <v>32</v>
      </c>
      <c r="G112" s="112">
        <f t="shared" si="18"/>
        <v>28</v>
      </c>
      <c r="H112" s="112">
        <f t="shared" si="19"/>
        <v>26</v>
      </c>
      <c r="I112" s="112">
        <f t="shared" si="20"/>
        <v>21</v>
      </c>
      <c r="J112" s="111">
        <f t="shared" si="15"/>
        <v>206.0894660894661</v>
      </c>
    </row>
    <row r="113" spans="2:10" ht="15" customHeight="1">
      <c r="B113" s="114">
        <v>2029</v>
      </c>
      <c r="C113" s="113">
        <f t="shared" si="14"/>
        <v>35.089466089466086</v>
      </c>
      <c r="D113" s="324">
        <f>ROUND((C112-N50)-(C112*$D$98),0)</f>
        <v>33</v>
      </c>
      <c r="E113" s="112">
        <f t="shared" si="16"/>
        <v>32</v>
      </c>
      <c r="F113" s="112">
        <f t="shared" si="17"/>
        <v>32</v>
      </c>
      <c r="G113" s="112">
        <f t="shared" si="18"/>
        <v>32</v>
      </c>
      <c r="H113" s="112">
        <f t="shared" si="19"/>
        <v>26</v>
      </c>
      <c r="I113" s="112">
        <f t="shared" si="20"/>
        <v>26</v>
      </c>
      <c r="J113" s="111">
        <f t="shared" si="15"/>
        <v>216.0894660894661</v>
      </c>
    </row>
    <row r="114" spans="2:10" ht="15" customHeight="1">
      <c r="B114" s="114">
        <v>2030</v>
      </c>
      <c r="C114" s="113">
        <f t="shared" si="14"/>
        <v>35.089466089466086</v>
      </c>
      <c r="D114" s="324">
        <f>ROUND((C113-O50)-(C113*$D$98),0)</f>
        <v>33</v>
      </c>
      <c r="E114" s="112">
        <f t="shared" si="16"/>
        <v>33</v>
      </c>
      <c r="F114" s="112">
        <f t="shared" si="17"/>
        <v>32</v>
      </c>
      <c r="G114" s="112">
        <f t="shared" si="18"/>
        <v>32</v>
      </c>
      <c r="H114" s="112">
        <f t="shared" si="19"/>
        <v>30</v>
      </c>
      <c r="I114" s="112">
        <f t="shared" si="20"/>
        <v>26</v>
      </c>
      <c r="J114" s="111">
        <f t="shared" si="15"/>
        <v>221.0894660894661</v>
      </c>
    </row>
    <row r="115" spans="2:10" ht="15" customHeight="1">
      <c r="B115" s="114">
        <v>2031</v>
      </c>
      <c r="C115" s="113">
        <f t="shared" si="14"/>
        <v>35.089466089466086</v>
      </c>
      <c r="D115" s="324">
        <f>ROUND((C114-P50)-(C114*$D$98),0)</f>
        <v>33</v>
      </c>
      <c r="E115" s="112">
        <f t="shared" si="16"/>
        <v>33</v>
      </c>
      <c r="F115" s="112">
        <f t="shared" si="17"/>
        <v>33</v>
      </c>
      <c r="G115" s="112">
        <f t="shared" si="18"/>
        <v>32</v>
      </c>
      <c r="H115" s="112">
        <f t="shared" si="19"/>
        <v>30</v>
      </c>
      <c r="I115" s="112">
        <f t="shared" si="20"/>
        <v>30</v>
      </c>
      <c r="J115" s="111">
        <f t="shared" si="15"/>
        <v>226.0894660894661</v>
      </c>
    </row>
    <row r="116" spans="2:10" ht="15" customHeight="1">
      <c r="B116" s="114">
        <v>2032</v>
      </c>
      <c r="C116" s="113">
        <f t="shared" si="14"/>
        <v>35.089466089466086</v>
      </c>
      <c r="D116" s="324">
        <f>ROUND((C115-Q50)-(C115*$D$98),0)</f>
        <v>33</v>
      </c>
      <c r="E116" s="112">
        <f t="shared" si="16"/>
        <v>33</v>
      </c>
      <c r="F116" s="112">
        <f t="shared" si="17"/>
        <v>33</v>
      </c>
      <c r="G116" s="112">
        <f t="shared" si="18"/>
        <v>33</v>
      </c>
      <c r="H116" s="112">
        <f t="shared" si="19"/>
        <v>30</v>
      </c>
      <c r="I116" s="112">
        <f t="shared" si="20"/>
        <v>30</v>
      </c>
      <c r="J116" s="111">
        <f t="shared" si="15"/>
        <v>227.0894660894661</v>
      </c>
    </row>
    <row r="117" spans="2:10" ht="15" hidden="1" customHeight="1">
      <c r="F117" s="14"/>
      <c r="G117" s="14"/>
    </row>
    <row r="118" spans="2:10" ht="15" hidden="1" customHeight="1">
      <c r="B118" s="15" t="str">
        <f>"Table 4C: "&amp;E3&amp;" Projected Pupil Generation from Housing Development, 2019-2032"</f>
        <v>Table 4C: Stockbridge Primary School Projected Pupil Generation from Housing Development, 2019-2032</v>
      </c>
      <c r="F118" s="14"/>
      <c r="G118" s="14"/>
    </row>
    <row r="119" spans="2:10" ht="15" hidden="1" customHeight="1">
      <c r="F119" s="14"/>
      <c r="G119" s="14"/>
    </row>
    <row r="120" spans="2:10" ht="15" hidden="1" customHeight="1">
      <c r="B120" s="115"/>
      <c r="C120" s="109" t="s">
        <v>1</v>
      </c>
      <c r="D120" s="109" t="s">
        <v>2</v>
      </c>
      <c r="E120" s="109" t="s">
        <v>3</v>
      </c>
      <c r="F120" s="109" t="s">
        <v>4</v>
      </c>
      <c r="G120" s="109" t="s">
        <v>5</v>
      </c>
      <c r="H120" s="109" t="s">
        <v>6</v>
      </c>
      <c r="I120" s="109" t="s">
        <v>7</v>
      </c>
      <c r="J120" s="109" t="s">
        <v>8</v>
      </c>
    </row>
    <row r="121" spans="2:10" ht="15" hidden="1" customHeight="1">
      <c r="B121" s="114">
        <v>2019</v>
      </c>
      <c r="C121" s="116" t="s">
        <v>97</v>
      </c>
      <c r="D121" s="112">
        <f>VLOOKUP($E$3,'Housing Generation'!$A$3:$BE$90,11,FALSE)</f>
        <v>0</v>
      </c>
      <c r="E121" s="112">
        <f>VLOOKUP($E$3,'Housing Generation'!$A$3:$BE$90,12,FALSE)</f>
        <v>0</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0</v>
      </c>
    </row>
    <row r="122" spans="2:10" ht="15" hidden="1" customHeight="1">
      <c r="B122" s="114">
        <v>2020</v>
      </c>
      <c r="C122" s="116" t="s">
        <v>97</v>
      </c>
      <c r="D122" s="112">
        <f>VLOOKUP($E$3,'Housing Generation'!$A$3:$BE$90,19,FALSE)</f>
        <v>0</v>
      </c>
      <c r="E122" s="112">
        <f>VLOOKUP($E$3,'Housing Generation'!$A$3:$BE$90,20,FALSE)</f>
        <v>0</v>
      </c>
      <c r="F122" s="112">
        <f>VLOOKUP($E$3,'Housing Generation'!$A$3:$BE$90,21,FALSE)</f>
        <v>0</v>
      </c>
      <c r="G122" s="112">
        <f>VLOOKUP($E$3,'Housing Generation'!$A$3:$BE$90,22,FALSE)</f>
        <v>0</v>
      </c>
      <c r="H122" s="112">
        <f>VLOOKUP($E$3,'Housing Generation'!$A$3:$BE$90,23,FALSE)</f>
        <v>0</v>
      </c>
      <c r="I122" s="112">
        <f>VLOOKUP($E$3,'Housing Generation'!$A$3:$BE$90,24,FALSE)</f>
        <v>0</v>
      </c>
      <c r="J122" s="111">
        <f t="shared" si="21"/>
        <v>0</v>
      </c>
    </row>
    <row r="123" spans="2:10" ht="15" hidden="1" customHeight="1">
      <c r="B123" s="114">
        <v>2021</v>
      </c>
      <c r="C123" s="116" t="s">
        <v>97</v>
      </c>
      <c r="D123" s="112">
        <f>VLOOKUP($E$3,'Housing Generation'!$A$3:$BE$90,27,FALSE)</f>
        <v>0</v>
      </c>
      <c r="E123" s="112">
        <f>VLOOKUP($E$3,'Housing Generation'!$A$3:$BE$90,28,FALSE)</f>
        <v>0</v>
      </c>
      <c r="F123" s="112">
        <f>VLOOKUP($E$3,'Housing Generation'!$A$3:$BE$90,29,FALSE)</f>
        <v>0</v>
      </c>
      <c r="G123" s="112">
        <f>VLOOKUP($E$3,'Housing Generation'!$A$3:$BE$90,30,FALSE)</f>
        <v>0</v>
      </c>
      <c r="H123" s="112">
        <f>VLOOKUP($E$3,'Housing Generation'!$A$3:$BE$90,31,FALSE)</f>
        <v>0</v>
      </c>
      <c r="I123" s="112">
        <f>VLOOKUP($E$3,'Housing Generation'!$A$3:$BE$90,32,FALSE)</f>
        <v>0</v>
      </c>
      <c r="J123" s="111">
        <f t="shared" si="21"/>
        <v>0</v>
      </c>
    </row>
    <row r="124" spans="2:10" ht="15" hidden="1" customHeight="1">
      <c r="B124" s="114">
        <v>2022</v>
      </c>
      <c r="C124" s="116" t="s">
        <v>97</v>
      </c>
      <c r="D124" s="112">
        <f>VLOOKUP($E$3,'Housing Generation'!$A$3:$BE$90,35,FALSE)</f>
        <v>1</v>
      </c>
      <c r="E124" s="112">
        <f>VLOOKUP($E$3,'Housing Generation'!$A$3:$BE$90,36,FALSE)</f>
        <v>1</v>
      </c>
      <c r="F124" s="112">
        <f>VLOOKUP($E$3,'Housing Generation'!$A$3:$BE$90,37,FALSE)</f>
        <v>0</v>
      </c>
      <c r="G124" s="112">
        <f>VLOOKUP($E$3,'Housing Generation'!$A$3:$BE$90,38,FALSE)</f>
        <v>0</v>
      </c>
      <c r="H124" s="112">
        <f>VLOOKUP($E$3,'Housing Generation'!$A$3:$BE$90,39,FALSE)</f>
        <v>0</v>
      </c>
      <c r="I124" s="112">
        <f>VLOOKUP($E$3,'Housing Generation'!$A$3:$BE$90,40,FALSE)</f>
        <v>0</v>
      </c>
      <c r="J124" s="111">
        <f t="shared" si="21"/>
        <v>2</v>
      </c>
    </row>
    <row r="125" spans="2:10" ht="15" hidden="1" customHeight="1">
      <c r="B125" s="114">
        <v>2023</v>
      </c>
      <c r="C125" s="116" t="s">
        <v>97</v>
      </c>
      <c r="D125" s="112">
        <f>VLOOKUP($E$3,'Housing Generation'!$A$3:$BE$90,43,FALSE)</f>
        <v>1</v>
      </c>
      <c r="E125" s="112">
        <f>VLOOKUP($E$3,'Housing Generation'!$A$3:$BE$90,44,FALSE)</f>
        <v>1</v>
      </c>
      <c r="F125" s="112">
        <f>VLOOKUP($E$3,'Housing Generation'!$A$3:$BE$90,45,FALSE)</f>
        <v>1</v>
      </c>
      <c r="G125" s="112">
        <f>VLOOKUP($E$3,'Housing Generation'!$A$3:$BE$90,46,FALSE)</f>
        <v>1</v>
      </c>
      <c r="H125" s="112">
        <f>VLOOKUP($E$3,'Housing Generation'!$A$3:$BE$90,47,FALSE)</f>
        <v>0</v>
      </c>
      <c r="I125" s="112">
        <f>VLOOKUP($E$3,'Housing Generation'!$A$3:$BE$90,48,FALSE)</f>
        <v>0</v>
      </c>
      <c r="J125" s="111">
        <f t="shared" si="21"/>
        <v>4</v>
      </c>
    </row>
    <row r="126" spans="2:10" ht="15" hidden="1" customHeight="1">
      <c r="B126" s="114">
        <v>2024</v>
      </c>
      <c r="C126" s="116" t="s">
        <v>97</v>
      </c>
      <c r="D126" s="112">
        <f>VLOOKUP($E$3,'Housing Generation'!$A$3:$BE$90,51,FALSE)</f>
        <v>1</v>
      </c>
      <c r="E126" s="112">
        <f>VLOOKUP($E$3,'Housing Generation'!$A$3:$BE$90,52,FALSE)</f>
        <v>1</v>
      </c>
      <c r="F126" s="112">
        <f>VLOOKUP($E$3,'Housing Generation'!$A$3:$BE$90,53,FALSE)</f>
        <v>1</v>
      </c>
      <c r="G126" s="112">
        <f>VLOOKUP($E$3,'Housing Generation'!$A$3:$BE$90,54,FALSE)</f>
        <v>1</v>
      </c>
      <c r="H126" s="112">
        <f>VLOOKUP($E$3,'Housing Generation'!$A$3:$BE$90,55,FALSE)</f>
        <v>0</v>
      </c>
      <c r="I126" s="112">
        <f>VLOOKUP($E$3,'Housing Generation'!$A$3:$BE$90,56,FALSE)</f>
        <v>0</v>
      </c>
      <c r="J126" s="111">
        <f t="shared" si="21"/>
        <v>4</v>
      </c>
    </row>
    <row r="127" spans="2:10" ht="15" hidden="1" customHeight="1">
      <c r="B127" s="114">
        <v>2025</v>
      </c>
      <c r="C127" s="240" t="s">
        <v>97</v>
      </c>
      <c r="D127" s="112">
        <f>VLOOKUP($E$3,'Housing Generation'!$A$3:$CK$90,59,FALSE)</f>
        <v>1</v>
      </c>
      <c r="E127" s="112">
        <f>VLOOKUP($E$3,'Housing Generation'!$A$3:$CK$90,60,FALSE)</f>
        <v>1</v>
      </c>
      <c r="F127" s="112">
        <f>VLOOKUP($E$3,'Housing Generation'!$A$3:$CK$90,61,FALSE)</f>
        <v>1</v>
      </c>
      <c r="G127" s="112">
        <f>VLOOKUP($E$3,'Housing Generation'!$A$3:$CK$90,62,FALSE)</f>
        <v>1</v>
      </c>
      <c r="H127" s="112">
        <f>VLOOKUP($E$3,'Housing Generation'!$A$3:$CK$90,63,FALSE)</f>
        <v>0</v>
      </c>
      <c r="I127" s="112">
        <f>VLOOKUP($E$3,'Housing Generation'!$A$3:$CK$90,64,FALSE)</f>
        <v>0</v>
      </c>
      <c r="J127" s="111">
        <f t="shared" si="21"/>
        <v>4</v>
      </c>
    </row>
    <row r="128" spans="2:10" ht="15" hidden="1" customHeight="1">
      <c r="B128" s="114">
        <v>2026</v>
      </c>
      <c r="C128" s="240" t="s">
        <v>97</v>
      </c>
      <c r="D128" s="112">
        <f>VLOOKUP($E$3,'Housing Generation'!$A$3:$CK$90,67,FALSE)</f>
        <v>1</v>
      </c>
      <c r="E128" s="112">
        <f>VLOOKUP($E$3,'Housing Generation'!$A$3:$CK$90,68,FALSE)</f>
        <v>1</v>
      </c>
      <c r="F128" s="112">
        <f>VLOOKUP($E$3,'Housing Generation'!$A$3:$CK$90,69,FALSE)</f>
        <v>1</v>
      </c>
      <c r="G128" s="112">
        <f>VLOOKUP($E$3,'Housing Generation'!$A$3:$CK$90,70,FALSE)</f>
        <v>1</v>
      </c>
      <c r="H128" s="112">
        <f>VLOOKUP($E$3,'Housing Generation'!$A$3:$CK$90,71,FALSE)</f>
        <v>0</v>
      </c>
      <c r="I128" s="112">
        <f>VLOOKUP($E$3,'Housing Generation'!$A$3:$CK$90,72,FALSE)</f>
        <v>0</v>
      </c>
      <c r="J128" s="111">
        <f t="shared" si="21"/>
        <v>4</v>
      </c>
    </row>
    <row r="129" spans="2:10" ht="15" hidden="1" customHeight="1">
      <c r="B129" s="114">
        <v>2027</v>
      </c>
      <c r="C129" s="240" t="s">
        <v>97</v>
      </c>
      <c r="D129" s="112">
        <f>VLOOKUP($E$3,'Housing Generation'!$A$3:$CK$90,75,FALSE)</f>
        <v>1</v>
      </c>
      <c r="E129" s="112">
        <f>VLOOKUP($E$3,'Housing Generation'!$A$3:$CK$90,76,FALSE)</f>
        <v>1</v>
      </c>
      <c r="F129" s="112">
        <f>VLOOKUP($E$3,'Housing Generation'!$A$3:$CK$90,77,FALSE)</f>
        <v>1</v>
      </c>
      <c r="G129" s="112">
        <f>VLOOKUP($E$3,'Housing Generation'!$A$3:$CK$90,78,FALSE)</f>
        <v>1</v>
      </c>
      <c r="H129" s="112">
        <f>VLOOKUP($E$3,'Housing Generation'!$A$3:$CK$90,79,FALSE)</f>
        <v>0</v>
      </c>
      <c r="I129" s="112">
        <f>VLOOKUP($E$3,'Housing Generation'!$A$3:$CK$90,80,FALSE)</f>
        <v>0</v>
      </c>
      <c r="J129" s="111">
        <f t="shared" si="21"/>
        <v>4</v>
      </c>
    </row>
    <row r="130" spans="2:10" ht="15" customHeight="1">
      <c r="B130" s="114">
        <v>2028</v>
      </c>
      <c r="C130" s="289" t="s">
        <v>97</v>
      </c>
      <c r="D130" s="112">
        <f>VLOOKUP($E$3,'Housing Generation'!$A$3:$CK$90,83,FALSE)</f>
        <v>1</v>
      </c>
      <c r="E130" s="112">
        <f>VLOOKUP($E$3,'Housing Generation'!$A$3:$CK$90,84,FALSE)</f>
        <v>1</v>
      </c>
      <c r="F130" s="112">
        <f>VLOOKUP($E$3,'Housing Generation'!$A$3:$CK$90,85,FALSE)</f>
        <v>1</v>
      </c>
      <c r="G130" s="112">
        <f>VLOOKUP($E$3,'Housing Generation'!$A$3:$CK$90,86,FALSE)</f>
        <v>1</v>
      </c>
      <c r="H130" s="112">
        <f>VLOOKUP($E$3,'Housing Generation'!$A$3:$CK$90,87,FALSE)</f>
        <v>0</v>
      </c>
      <c r="I130" s="112">
        <f>VLOOKUP($E$3,'Housing Generation'!$A$3:$CK$90,88,FALSE)</f>
        <v>0</v>
      </c>
      <c r="J130" s="111">
        <f t="shared" si="21"/>
        <v>4</v>
      </c>
    </row>
    <row r="131" spans="2:10" ht="15" customHeight="1">
      <c r="B131" s="114">
        <v>2029</v>
      </c>
      <c r="C131" s="289" t="s">
        <v>97</v>
      </c>
      <c r="D131" s="112">
        <f>VLOOKUP($E$3,'Housing Generation'!$A$3:$DQ$90,91,FALSE)</f>
        <v>1</v>
      </c>
      <c r="E131" s="112">
        <f>VLOOKUP($E$3,'Housing Generation'!$A$3:$DQ$90,92,FALSE)</f>
        <v>1</v>
      </c>
      <c r="F131" s="112">
        <f>VLOOKUP($E$3,'Housing Generation'!$A$3:$DQ$90,93,FALSE)</f>
        <v>1</v>
      </c>
      <c r="G131" s="112">
        <f>VLOOKUP($E$3,'Housing Generation'!$A$3:$DQ$90,94,FALSE)</f>
        <v>1</v>
      </c>
      <c r="H131" s="112">
        <f>VLOOKUP($E$3,'Housing Generation'!$A$3:$DQ$90,95,FALSE)</f>
        <v>0</v>
      </c>
      <c r="I131" s="112">
        <f>VLOOKUP($E$3,'Housing Generation'!$A$3:$DQ$90,96,FALSE)</f>
        <v>0</v>
      </c>
      <c r="J131" s="111">
        <f t="shared" si="21"/>
        <v>4</v>
      </c>
    </row>
    <row r="132" spans="2:10" ht="15" customHeight="1">
      <c r="B132" s="114">
        <v>2030</v>
      </c>
      <c r="C132" s="289" t="s">
        <v>97</v>
      </c>
      <c r="D132" s="112">
        <f>VLOOKUP($E$3,'Housing Generation'!$A$3:$DQ$90,99,FALSE)</f>
        <v>1</v>
      </c>
      <c r="E132" s="112">
        <f>VLOOKUP($E$3,'Housing Generation'!$A$3:$DQ$90,100,FALSE)</f>
        <v>1</v>
      </c>
      <c r="F132" s="112">
        <f>VLOOKUP($E$3,'Housing Generation'!$A$3:$DQ$90,101,FALSE)</f>
        <v>1</v>
      </c>
      <c r="G132" s="112">
        <f>VLOOKUP($E$3,'Housing Generation'!$A$3:$DQ$90,102,FALSE)</f>
        <v>1</v>
      </c>
      <c r="H132" s="112">
        <f>VLOOKUP($E$3,'Housing Generation'!$A$3:$DQ$90,103,FALSE)</f>
        <v>0</v>
      </c>
      <c r="I132" s="112">
        <f>VLOOKUP($E$3,'Housing Generation'!$A$3:$DQ$90,104,FALSE)</f>
        <v>0</v>
      </c>
      <c r="J132" s="111">
        <f t="shared" si="21"/>
        <v>4</v>
      </c>
    </row>
    <row r="133" spans="2:10" ht="15" customHeight="1">
      <c r="B133" s="114">
        <v>2031</v>
      </c>
      <c r="C133" s="289" t="s">
        <v>97</v>
      </c>
      <c r="D133" s="112">
        <f>VLOOKUP($E$3,'Housing Generation'!$A$3:$DQ$90,107,FALSE)</f>
        <v>1</v>
      </c>
      <c r="E133" s="112">
        <f>VLOOKUP($E$3,'Housing Generation'!$A$3:$DQ$90,108,FALSE)</f>
        <v>1</v>
      </c>
      <c r="F133" s="112">
        <f>VLOOKUP($E$3,'Housing Generation'!$A$3:$DQ$90,109,FALSE)</f>
        <v>1</v>
      </c>
      <c r="G133" s="112">
        <f>VLOOKUP($E$3,'Housing Generation'!$A$3:$DQ$90,110,FALSE)</f>
        <v>1</v>
      </c>
      <c r="H133" s="112">
        <f>VLOOKUP($E$3,'Housing Generation'!$A$3:$DQ$90,111,FALSE)</f>
        <v>0</v>
      </c>
      <c r="I133" s="112">
        <f>VLOOKUP($E$3,'Housing Generation'!$A$3:$DQ$90,112,FALSE)</f>
        <v>0</v>
      </c>
      <c r="J133" s="111">
        <f t="shared" si="21"/>
        <v>4</v>
      </c>
    </row>
    <row r="134" spans="2:10" ht="15" customHeight="1">
      <c r="B134" s="114">
        <v>2032</v>
      </c>
      <c r="C134" s="289" t="s">
        <v>97</v>
      </c>
      <c r="D134" s="112">
        <f>VLOOKUP($E$3,'Housing Generation'!$A$3:$DQ$90,115,FALSE)</f>
        <v>1</v>
      </c>
      <c r="E134" s="112">
        <f>VLOOKUP($E$3,'Housing Generation'!$A$3:$DQ$90,116,FALSE)</f>
        <v>1</v>
      </c>
      <c r="F134" s="112">
        <f>VLOOKUP($E$3,'Housing Generation'!$A$3:$DQ$90,117,FALSE)</f>
        <v>1</v>
      </c>
      <c r="G134" s="112">
        <f>VLOOKUP($E$3,'Housing Generation'!$A$3:$DQ$90,118,FALSE)</f>
        <v>1</v>
      </c>
      <c r="H134" s="112">
        <f>VLOOKUP($E$3,'Housing Generation'!$A$3:$DQ$90,119,FALSE)</f>
        <v>0</v>
      </c>
      <c r="I134" s="112">
        <f>VLOOKUP($E$3,'Housing Generation'!$A$3:$DQ$90,120,FALSE)</f>
        <v>0</v>
      </c>
      <c r="J134" s="111">
        <f t="shared" si="21"/>
        <v>4</v>
      </c>
    </row>
    <row r="135" spans="2:10" ht="15" hidden="1"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Stockbridge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38.975649350649348</v>
      </c>
      <c r="D139" s="112">
        <f t="shared" ref="D139:I152" si="23">D121+D103</f>
        <v>38</v>
      </c>
      <c r="E139" s="112">
        <f t="shared" si="23"/>
        <v>36</v>
      </c>
      <c r="F139" s="112">
        <f t="shared" si="23"/>
        <v>31</v>
      </c>
      <c r="G139" s="112">
        <f t="shared" si="23"/>
        <v>40</v>
      </c>
      <c r="H139" s="112">
        <f t="shared" si="23"/>
        <v>31</v>
      </c>
      <c r="I139" s="112">
        <f t="shared" si="23"/>
        <v>46</v>
      </c>
      <c r="J139" s="111">
        <f t="shared" ref="J139:J147" si="24">SUM(C139:I139)</f>
        <v>260.97564935064935</v>
      </c>
    </row>
    <row r="140" spans="2:10" ht="15" customHeight="1">
      <c r="B140" s="114">
        <v>2020</v>
      </c>
      <c r="C140" s="113">
        <f t="shared" si="22"/>
        <v>30</v>
      </c>
      <c r="D140" s="112">
        <f t="shared" si="23"/>
        <v>38</v>
      </c>
      <c r="E140" s="112">
        <f t="shared" si="23"/>
        <v>38</v>
      </c>
      <c r="F140" s="112">
        <f t="shared" si="23"/>
        <v>36</v>
      </c>
      <c r="G140" s="112">
        <f t="shared" si="23"/>
        <v>31</v>
      </c>
      <c r="H140" s="112">
        <f t="shared" si="23"/>
        <v>37</v>
      </c>
      <c r="I140" s="112">
        <f t="shared" si="23"/>
        <v>31</v>
      </c>
      <c r="J140" s="111">
        <f t="shared" si="24"/>
        <v>241</v>
      </c>
    </row>
    <row r="141" spans="2:10" ht="15" customHeight="1">
      <c r="B141" s="114">
        <v>2021</v>
      </c>
      <c r="C141" s="113">
        <f t="shared" si="22"/>
        <v>37.032557720057717</v>
      </c>
      <c r="D141" s="112">
        <f t="shared" si="23"/>
        <v>28</v>
      </c>
      <c r="E141" s="112">
        <f t="shared" si="23"/>
        <v>38</v>
      </c>
      <c r="F141" s="112">
        <f t="shared" si="23"/>
        <v>38</v>
      </c>
      <c r="G141" s="112">
        <f t="shared" si="23"/>
        <v>36</v>
      </c>
      <c r="H141" s="112">
        <f t="shared" si="23"/>
        <v>29</v>
      </c>
      <c r="I141" s="112">
        <f t="shared" si="23"/>
        <v>37</v>
      </c>
      <c r="J141" s="111">
        <f t="shared" si="24"/>
        <v>243.03255772005772</v>
      </c>
    </row>
    <row r="142" spans="2:10" ht="15" customHeight="1">
      <c r="B142" s="114">
        <v>2022</v>
      </c>
      <c r="C142" s="113">
        <f t="shared" si="22"/>
        <v>25</v>
      </c>
      <c r="D142" s="112">
        <f t="shared" si="23"/>
        <v>36</v>
      </c>
      <c r="E142" s="112">
        <f t="shared" si="23"/>
        <v>29</v>
      </c>
      <c r="F142" s="112">
        <f t="shared" si="23"/>
        <v>38</v>
      </c>
      <c r="G142" s="112">
        <f t="shared" si="23"/>
        <v>38</v>
      </c>
      <c r="H142" s="112">
        <f t="shared" si="23"/>
        <v>33</v>
      </c>
      <c r="I142" s="112">
        <f t="shared" si="23"/>
        <v>29</v>
      </c>
      <c r="J142" s="111">
        <f t="shared" si="24"/>
        <v>228</v>
      </c>
    </row>
    <row r="143" spans="2:10" ht="15" customHeight="1">
      <c r="B143" s="114">
        <v>2023</v>
      </c>
      <c r="C143" s="113">
        <f t="shared" si="22"/>
        <v>30</v>
      </c>
      <c r="D143" s="112">
        <f t="shared" si="23"/>
        <v>24</v>
      </c>
      <c r="E143" s="112">
        <f t="shared" si="23"/>
        <v>36</v>
      </c>
      <c r="F143" s="112">
        <f t="shared" si="23"/>
        <v>29</v>
      </c>
      <c r="G143" s="112">
        <f t="shared" si="23"/>
        <v>39</v>
      </c>
      <c r="H143" s="112">
        <f t="shared" si="23"/>
        <v>35</v>
      </c>
      <c r="I143" s="112">
        <f t="shared" si="23"/>
        <v>33</v>
      </c>
      <c r="J143" s="111">
        <f t="shared" si="24"/>
        <v>226</v>
      </c>
    </row>
    <row r="144" spans="2:10" ht="15" customHeight="1">
      <c r="B144" s="114">
        <v>2024</v>
      </c>
      <c r="C144" s="113">
        <f t="shared" si="22"/>
        <v>30</v>
      </c>
      <c r="D144" s="112">
        <f t="shared" si="23"/>
        <v>29</v>
      </c>
      <c r="E144" s="112">
        <f t="shared" si="23"/>
        <v>24</v>
      </c>
      <c r="F144" s="112">
        <f t="shared" si="23"/>
        <v>36</v>
      </c>
      <c r="G144" s="112">
        <f t="shared" si="23"/>
        <v>29</v>
      </c>
      <c r="H144" s="112">
        <f t="shared" si="23"/>
        <v>35</v>
      </c>
      <c r="I144" s="112">
        <f t="shared" si="23"/>
        <v>35</v>
      </c>
      <c r="J144" s="111">
        <f t="shared" si="24"/>
        <v>218</v>
      </c>
    </row>
    <row r="145" spans="2:16" ht="15" customHeight="1">
      <c r="B145" s="114">
        <v>2025</v>
      </c>
      <c r="C145" s="113">
        <f t="shared" si="22"/>
        <v>34.117920274170274</v>
      </c>
      <c r="D145" s="112">
        <f t="shared" si="23"/>
        <v>29</v>
      </c>
      <c r="E145" s="112">
        <f t="shared" si="23"/>
        <v>29</v>
      </c>
      <c r="F145" s="112">
        <f t="shared" si="23"/>
        <v>24</v>
      </c>
      <c r="G145" s="112">
        <f t="shared" si="23"/>
        <v>36</v>
      </c>
      <c r="H145" s="112">
        <f t="shared" si="23"/>
        <v>26</v>
      </c>
      <c r="I145" s="112">
        <f t="shared" si="23"/>
        <v>35</v>
      </c>
      <c r="J145" s="111">
        <f t="shared" si="24"/>
        <v>213.11792027417027</v>
      </c>
    </row>
    <row r="146" spans="2:16" ht="15" customHeight="1">
      <c r="B146" s="114">
        <v>2026</v>
      </c>
      <c r="C146" s="113">
        <f t="shared" si="22"/>
        <v>34.117920274170274</v>
      </c>
      <c r="D146" s="112">
        <f t="shared" si="23"/>
        <v>33</v>
      </c>
      <c r="E146" s="112">
        <f t="shared" si="23"/>
        <v>29</v>
      </c>
      <c r="F146" s="112">
        <f t="shared" si="23"/>
        <v>29</v>
      </c>
      <c r="G146" s="112">
        <f t="shared" si="23"/>
        <v>24</v>
      </c>
      <c r="H146" s="112">
        <f t="shared" si="23"/>
        <v>32</v>
      </c>
      <c r="I146" s="112">
        <f t="shared" si="23"/>
        <v>26</v>
      </c>
      <c r="J146" s="111">
        <f t="shared" si="24"/>
        <v>207.11792027417027</v>
      </c>
    </row>
    <row r="147" spans="2:16" ht="15" customHeight="1">
      <c r="B147" s="114">
        <v>2027</v>
      </c>
      <c r="C147" s="113">
        <f t="shared" si="22"/>
        <v>34.117920274170274</v>
      </c>
      <c r="D147" s="112">
        <f t="shared" si="23"/>
        <v>33</v>
      </c>
      <c r="E147" s="112">
        <f t="shared" si="23"/>
        <v>33</v>
      </c>
      <c r="F147" s="112">
        <f t="shared" si="23"/>
        <v>29</v>
      </c>
      <c r="G147" s="112">
        <f t="shared" si="23"/>
        <v>29</v>
      </c>
      <c r="H147" s="112">
        <f t="shared" si="23"/>
        <v>21</v>
      </c>
      <c r="I147" s="112">
        <f t="shared" si="23"/>
        <v>32</v>
      </c>
      <c r="J147" s="111">
        <f t="shared" si="24"/>
        <v>211.11792027417027</v>
      </c>
    </row>
    <row r="148" spans="2:16" ht="15" customHeight="1">
      <c r="B148" s="114">
        <v>2028</v>
      </c>
      <c r="C148" s="113">
        <f t="shared" si="22"/>
        <v>35.089466089466086</v>
      </c>
      <c r="D148" s="112">
        <f t="shared" si="23"/>
        <v>33</v>
      </c>
      <c r="E148" s="112">
        <f t="shared" si="23"/>
        <v>33</v>
      </c>
      <c r="F148" s="112">
        <f t="shared" si="23"/>
        <v>33</v>
      </c>
      <c r="G148" s="112">
        <f t="shared" si="23"/>
        <v>29</v>
      </c>
      <c r="H148" s="112">
        <f t="shared" si="23"/>
        <v>26</v>
      </c>
      <c r="I148" s="112">
        <f t="shared" si="23"/>
        <v>21</v>
      </c>
      <c r="J148" s="111">
        <f t="shared" ref="J148:J152" si="25">SUM(C148:I148)</f>
        <v>210.0894660894661</v>
      </c>
    </row>
    <row r="149" spans="2:16" ht="15" customHeight="1">
      <c r="B149" s="114">
        <v>2029</v>
      </c>
      <c r="C149" s="113">
        <f t="shared" si="22"/>
        <v>35.089466089466086</v>
      </c>
      <c r="D149" s="112">
        <f t="shared" si="23"/>
        <v>34</v>
      </c>
      <c r="E149" s="112">
        <f t="shared" si="23"/>
        <v>33</v>
      </c>
      <c r="F149" s="112">
        <f t="shared" si="23"/>
        <v>33</v>
      </c>
      <c r="G149" s="112">
        <f t="shared" si="23"/>
        <v>33</v>
      </c>
      <c r="H149" s="112">
        <f t="shared" si="23"/>
        <v>26</v>
      </c>
      <c r="I149" s="112">
        <f t="shared" si="23"/>
        <v>26</v>
      </c>
      <c r="J149" s="111">
        <f t="shared" si="25"/>
        <v>220.0894660894661</v>
      </c>
    </row>
    <row r="150" spans="2:16" ht="15" customHeight="1">
      <c r="B150" s="114">
        <v>2030</v>
      </c>
      <c r="C150" s="113">
        <f t="shared" si="22"/>
        <v>35.089466089466086</v>
      </c>
      <c r="D150" s="112">
        <f t="shared" si="23"/>
        <v>34</v>
      </c>
      <c r="E150" s="112">
        <f t="shared" si="23"/>
        <v>34</v>
      </c>
      <c r="F150" s="112">
        <f t="shared" si="23"/>
        <v>33</v>
      </c>
      <c r="G150" s="112">
        <f t="shared" si="23"/>
        <v>33</v>
      </c>
      <c r="H150" s="112">
        <f t="shared" si="23"/>
        <v>30</v>
      </c>
      <c r="I150" s="112">
        <f t="shared" si="23"/>
        <v>26</v>
      </c>
      <c r="J150" s="111">
        <f t="shared" si="25"/>
        <v>225.0894660894661</v>
      </c>
    </row>
    <row r="151" spans="2:16" ht="15" customHeight="1">
      <c r="B151" s="114">
        <v>2031</v>
      </c>
      <c r="C151" s="113">
        <f t="shared" si="22"/>
        <v>35.089466089466086</v>
      </c>
      <c r="D151" s="112">
        <f t="shared" si="23"/>
        <v>34</v>
      </c>
      <c r="E151" s="112">
        <f t="shared" si="23"/>
        <v>34</v>
      </c>
      <c r="F151" s="112">
        <f t="shared" si="23"/>
        <v>34</v>
      </c>
      <c r="G151" s="112">
        <f t="shared" si="23"/>
        <v>33</v>
      </c>
      <c r="H151" s="112">
        <f t="shared" si="23"/>
        <v>30</v>
      </c>
      <c r="I151" s="112">
        <f t="shared" si="23"/>
        <v>30</v>
      </c>
      <c r="J151" s="111">
        <f t="shared" si="25"/>
        <v>230.0894660894661</v>
      </c>
    </row>
    <row r="152" spans="2:16" ht="15" customHeight="1">
      <c r="B152" s="114">
        <v>2032</v>
      </c>
      <c r="C152" s="113">
        <f t="shared" si="22"/>
        <v>35.089466089466086</v>
      </c>
      <c r="D152" s="112">
        <f t="shared" si="23"/>
        <v>34</v>
      </c>
      <c r="E152" s="112">
        <f t="shared" si="23"/>
        <v>34</v>
      </c>
      <c r="F152" s="112">
        <f t="shared" si="23"/>
        <v>34</v>
      </c>
      <c r="G152" s="112">
        <f t="shared" si="23"/>
        <v>34</v>
      </c>
      <c r="H152" s="112">
        <f t="shared" si="23"/>
        <v>30</v>
      </c>
      <c r="I152" s="112">
        <f t="shared" si="23"/>
        <v>30</v>
      </c>
      <c r="J152" s="111">
        <f t="shared" si="25"/>
        <v>231.0894660894661</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260.97564935064935</v>
      </c>
      <c r="D159" s="108">
        <f>J140</f>
        <v>241</v>
      </c>
      <c r="E159" s="108">
        <f>J141</f>
        <v>243.03255772005772</v>
      </c>
      <c r="F159" s="108">
        <f>J142</f>
        <v>228</v>
      </c>
      <c r="G159" s="108">
        <f>J143</f>
        <v>226</v>
      </c>
      <c r="H159" s="108">
        <f>J144</f>
        <v>218</v>
      </c>
      <c r="I159" s="108">
        <f>J145</f>
        <v>213.11792027417027</v>
      </c>
      <c r="J159" s="108">
        <f>J146</f>
        <v>207.11792027417027</v>
      </c>
      <c r="K159" s="108">
        <f>J147</f>
        <v>211.11792027417027</v>
      </c>
      <c r="L159" s="108">
        <f>J148</f>
        <v>210.0894660894661</v>
      </c>
      <c r="M159" s="108">
        <f>J149</f>
        <v>220.0894660894661</v>
      </c>
      <c r="N159" s="108">
        <f>J150</f>
        <v>225.0894660894661</v>
      </c>
      <c r="O159" s="108">
        <f>J151</f>
        <v>230.0894660894661</v>
      </c>
      <c r="P159" s="108">
        <f>J152</f>
        <v>231.0894660894661</v>
      </c>
    </row>
    <row r="160" spans="2:16" ht="15" customHeight="1">
      <c r="B160" s="107" t="s">
        <v>152</v>
      </c>
      <c r="C160" s="106">
        <f>VLOOKUP(C159,Capacity!$A$1:$C$645,2,TRUE)</f>
        <v>11</v>
      </c>
      <c r="D160" s="106">
        <f>VLOOKUP(D159,Capacity!$A$1:$C$645,2,TRUE)</f>
        <v>10</v>
      </c>
      <c r="E160" s="106">
        <f>VLOOKUP(E159,Capacity!$A$1:$C$645,2,TRUE)</f>
        <v>10</v>
      </c>
      <c r="F160" s="106">
        <f>VLOOKUP(F159,Capacity!$A$1:$C$645,2,TRUE)</f>
        <v>9</v>
      </c>
      <c r="G160" s="106">
        <f>VLOOKUP(G159,Capacity!$A$1:$C$645,2,TRUE)</f>
        <v>9</v>
      </c>
      <c r="H160" s="106">
        <f>VLOOKUP(H159,Capacity!$A$1:$C$645,2,TRUE)</f>
        <v>9</v>
      </c>
      <c r="I160" s="106">
        <f>VLOOKUP(I159,Capacity!$A$1:$C$645,2,TRUE)</f>
        <v>8</v>
      </c>
      <c r="J160" s="106">
        <f>VLOOKUP(J159,Capacity!$A$1:$C$645,2,TRUE)</f>
        <v>7</v>
      </c>
      <c r="K160" s="106">
        <f>VLOOKUP(K159,Capacity!$A$1:$C$645,2,TRUE)</f>
        <v>8</v>
      </c>
      <c r="L160" s="106">
        <f>VLOOKUP(L159,Capacity!$A$1:$C$645,2,TRUE)</f>
        <v>7</v>
      </c>
      <c r="M160" s="106">
        <f>VLOOKUP(M159,Capacity!$A$1:$C$645,2,TRUE)</f>
        <v>9</v>
      </c>
      <c r="N160" s="106">
        <f>VLOOKUP(N159,Capacity!$A$1:$C$645,2,TRUE)</f>
        <v>9</v>
      </c>
      <c r="O160" s="106">
        <f>VLOOKUP(O159,Capacity!$A$1:$C$645,2,TRUE)</f>
        <v>9</v>
      </c>
      <c r="P160" s="106">
        <f>VLOOKUP(P159,Capacity!$A$1:$C$645,2,TRUE)</f>
        <v>9</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 customHeight="1">
      <c r="B164" s="63" t="s">
        <v>145</v>
      </c>
      <c r="C164" s="62"/>
      <c r="D164" s="62"/>
      <c r="E164" s="62"/>
      <c r="F164" s="62"/>
      <c r="G164" s="62"/>
      <c r="H164" s="62"/>
      <c r="I164" s="62"/>
      <c r="J164" s="62"/>
      <c r="K164" s="62"/>
      <c r="L164" s="62"/>
      <c r="M164" s="62"/>
    </row>
    <row r="165" spans="2:14" ht="15" customHeight="1">
      <c r="B165" s="62"/>
      <c r="C165" s="62"/>
      <c r="D165" s="62"/>
      <c r="E165" s="62"/>
      <c r="F165" s="62"/>
      <c r="G165" s="62"/>
      <c r="H165" s="62"/>
      <c r="I165" s="62"/>
      <c r="J165" s="62"/>
      <c r="K165" s="62"/>
      <c r="L165" s="62"/>
      <c r="M165" s="62"/>
    </row>
    <row r="166" spans="2:14" ht="15" customHeight="1">
      <c r="B166" s="64" t="s">
        <v>146</v>
      </c>
      <c r="C166" s="65"/>
      <c r="D166" s="65"/>
      <c r="E166" s="65"/>
      <c r="F166" s="65"/>
      <c r="G166" s="65"/>
      <c r="H166" s="65"/>
      <c r="I166" s="65"/>
      <c r="J166" s="65"/>
      <c r="K166" s="62"/>
      <c r="L166" s="62"/>
      <c r="M166" s="62"/>
    </row>
    <row r="167" spans="2:14" ht="15" customHeight="1">
      <c r="B167" s="64"/>
      <c r="C167" s="65"/>
      <c r="D167" s="65"/>
      <c r="E167" s="65"/>
      <c r="F167" s="65"/>
      <c r="G167" s="65"/>
      <c r="H167" s="65"/>
      <c r="I167" s="65"/>
      <c r="J167" s="65"/>
      <c r="K167" s="62"/>
      <c r="L167" s="62"/>
      <c r="M167" s="62"/>
    </row>
    <row r="168" spans="2:14" ht="15" customHeight="1">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15" customHeight="1">
      <c r="B169" s="103" t="s">
        <v>129</v>
      </c>
      <c r="C169" s="97">
        <f>VLOOKUP($E$3,'Catchment Births'!$A$1:$U$90,10,FALSE)</f>
        <v>92</v>
      </c>
      <c r="D169" s="97">
        <f>VLOOKUP($E$3,'Catchment Births'!$A$1:$U$90,11,FALSE)</f>
        <v>82</v>
      </c>
      <c r="E169" s="97">
        <f>VLOOKUP($E$3,'Catchment Births'!$A$1:$U$90,12,FALSE)</f>
        <v>84</v>
      </c>
      <c r="F169" s="97">
        <f>VLOOKUP($E$3,'Catchment Births'!$A$1:$U$90,13,FALSE)</f>
        <v>80</v>
      </c>
      <c r="G169" s="97">
        <f>VLOOKUP($E$3,'Catchment Births'!$A$1:$U$90,14,FALSE)</f>
        <v>78</v>
      </c>
      <c r="H169" s="97">
        <f>VLOOKUP($E$3,'Catchment Births'!$A$1:$U$90,15,FALSE)</f>
        <v>77</v>
      </c>
      <c r="I169" s="97">
        <f>VLOOKUP($E$3,'Catchment Births'!$A$1:$U$90,16,FALSE)</f>
        <v>91</v>
      </c>
      <c r="J169" s="97">
        <f>VLOOKUP($E$3,'Catchment Births'!$A$1:$U$90,17,FALSE)</f>
        <v>87</v>
      </c>
      <c r="K169" s="97">
        <f>VLOOKUP($E$3,'Catchment Births'!$A$1:$U$90,18,FALSE)</f>
        <v>82</v>
      </c>
      <c r="L169" s="97">
        <f>VLOOKUP($E$3,'Catchment Births'!$A$1:$U$90,19,FALSE)</f>
        <v>103</v>
      </c>
      <c r="M169" s="97">
        <f>VLOOKUP($E$3,'Catchment Births'!$A$1:$U$90,20,FALSE)</f>
        <v>92</v>
      </c>
      <c r="N169" s="97">
        <f>VLOOKUP($E$3,'Catchment Births'!$A$1:$U$90,21,FALSE)</f>
        <v>72</v>
      </c>
    </row>
    <row r="170" spans="2:14" ht="15" customHeight="1">
      <c r="B170" s="103" t="str">
        <f>"P1 "&amp;A35&amp;" Catchment Population (Actual)"</f>
        <v>P1 ND Catchment Population (Actual)</v>
      </c>
      <c r="C170" s="102" t="e">
        <v>#REF!</v>
      </c>
      <c r="D170" s="102">
        <v>23</v>
      </c>
      <c r="E170" s="102">
        <v>30</v>
      </c>
      <c r="F170" s="102">
        <v>33</v>
      </c>
      <c r="G170" s="102">
        <v>44</v>
      </c>
      <c r="H170" s="102">
        <v>33</v>
      </c>
      <c r="I170" s="102">
        <v>40</v>
      </c>
      <c r="J170" s="308">
        <f>VLOOKUP(E3,'Catchment Projections'!A1:BU92,42,FALSE)</f>
        <v>32</v>
      </c>
      <c r="K170" s="62"/>
      <c r="L170" s="62"/>
      <c r="M170" s="62"/>
    </row>
    <row r="171" spans="2:14" ht="15" customHeight="1">
      <c r="B171" s="88" t="s">
        <v>160</v>
      </c>
      <c r="C171" s="100"/>
      <c r="D171" s="100"/>
      <c r="E171" s="100"/>
      <c r="F171" s="100"/>
      <c r="G171" s="100"/>
      <c r="H171" s="100"/>
      <c r="I171" s="101"/>
      <c r="J171" s="89">
        <f>D53</f>
        <v>0</v>
      </c>
      <c r="K171" s="62"/>
      <c r="L171" s="62"/>
      <c r="M171" s="62"/>
    </row>
    <row r="172" spans="2:14" ht="15" customHeight="1">
      <c r="B172" s="99" t="s">
        <v>140</v>
      </c>
      <c r="C172" s="99"/>
      <c r="D172" s="98"/>
      <c r="E172" s="98"/>
      <c r="F172" s="98"/>
      <c r="G172" s="97"/>
      <c r="H172" s="96"/>
      <c r="I172" s="96">
        <f>I170</f>
        <v>40</v>
      </c>
      <c r="J172" s="96" t="e">
        <f>#REF!</f>
        <v>#REF!</v>
      </c>
      <c r="K172" s="96">
        <f>D51</f>
        <v>36</v>
      </c>
      <c r="L172" s="96">
        <f>E51</f>
        <v>29</v>
      </c>
      <c r="M172" s="96">
        <f>F51</f>
        <v>34</v>
      </c>
      <c r="N172" s="96">
        <f>G51</f>
        <v>26</v>
      </c>
    </row>
    <row r="173" spans="2:14" ht="15" customHeight="1">
      <c r="B173" s="62"/>
      <c r="C173" s="62"/>
      <c r="D173" s="62"/>
      <c r="E173" s="62"/>
      <c r="F173" s="62"/>
      <c r="G173" s="62"/>
      <c r="H173" s="62"/>
      <c r="I173" s="62"/>
      <c r="J173" s="62"/>
      <c r="K173" s="62"/>
    </row>
    <row r="174" spans="2:14" ht="15" customHeight="1">
      <c r="B174" s="64" t="str">
        <f>"Table 5: "&amp;E3&amp;" Roll by Stage, 2002-2018"</f>
        <v>Table 5: Stockbridge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24</v>
      </c>
      <c r="D177" s="93">
        <v>29</v>
      </c>
      <c r="E177" s="93">
        <v>33</v>
      </c>
      <c r="F177" s="93">
        <v>32</v>
      </c>
      <c r="G177" s="93">
        <v>28</v>
      </c>
      <c r="H177" s="93">
        <v>25</v>
      </c>
      <c r="I177" s="93">
        <v>23</v>
      </c>
      <c r="J177" s="92">
        <v>194</v>
      </c>
      <c r="K177" s="62"/>
    </row>
    <row r="178" spans="2:11" ht="15" customHeight="1">
      <c r="B178" s="94">
        <v>2003</v>
      </c>
      <c r="C178" s="93">
        <v>28</v>
      </c>
      <c r="D178" s="93">
        <v>25</v>
      </c>
      <c r="E178" s="93">
        <v>25</v>
      </c>
      <c r="F178" s="93">
        <v>32</v>
      </c>
      <c r="G178" s="93">
        <v>32</v>
      </c>
      <c r="H178" s="93">
        <v>23</v>
      </c>
      <c r="I178" s="93">
        <v>26</v>
      </c>
      <c r="J178" s="92">
        <v>191</v>
      </c>
      <c r="K178" s="62"/>
    </row>
    <row r="179" spans="2:11" customFormat="1" ht="15" customHeight="1">
      <c r="B179" s="94">
        <v>2004</v>
      </c>
      <c r="C179" s="95">
        <v>15</v>
      </c>
      <c r="D179" s="95">
        <v>29</v>
      </c>
      <c r="E179" s="95">
        <v>28</v>
      </c>
      <c r="F179" s="95">
        <v>26</v>
      </c>
      <c r="G179" s="95">
        <v>26</v>
      </c>
      <c r="H179" s="95">
        <v>28</v>
      </c>
      <c r="I179" s="95">
        <v>23</v>
      </c>
      <c r="J179" s="92">
        <v>175</v>
      </c>
      <c r="K179" s="62"/>
    </row>
    <row r="180" spans="2:11" customFormat="1" ht="15" customHeight="1">
      <c r="B180" s="94">
        <v>2005</v>
      </c>
      <c r="C180" s="93">
        <v>21</v>
      </c>
      <c r="D180" s="93">
        <v>17</v>
      </c>
      <c r="E180" s="93">
        <v>24</v>
      </c>
      <c r="F180" s="93">
        <v>25</v>
      </c>
      <c r="G180" s="93">
        <v>28</v>
      </c>
      <c r="H180" s="93">
        <v>19</v>
      </c>
      <c r="I180" s="93">
        <v>28</v>
      </c>
      <c r="J180" s="92">
        <v>162</v>
      </c>
      <c r="K180" s="62"/>
    </row>
    <row r="181" spans="2:11" customFormat="1" ht="15" customHeight="1">
      <c r="B181" s="94">
        <v>2006</v>
      </c>
      <c r="C181" s="93">
        <v>28</v>
      </c>
      <c r="D181" s="93">
        <v>30</v>
      </c>
      <c r="E181" s="93">
        <v>19</v>
      </c>
      <c r="F181" s="93">
        <v>27</v>
      </c>
      <c r="G181" s="93">
        <v>26</v>
      </c>
      <c r="H181" s="93">
        <v>28</v>
      </c>
      <c r="I181" s="93">
        <v>20</v>
      </c>
      <c r="J181" s="92">
        <v>178</v>
      </c>
      <c r="K181" s="62"/>
    </row>
    <row r="182" spans="2:11" customFormat="1" ht="15" customHeight="1">
      <c r="B182" s="94">
        <v>2007</v>
      </c>
      <c r="C182" s="93">
        <v>25</v>
      </c>
      <c r="D182" s="93">
        <v>30</v>
      </c>
      <c r="E182" s="93">
        <v>25</v>
      </c>
      <c r="F182" s="93">
        <v>23</v>
      </c>
      <c r="G182" s="93">
        <v>31</v>
      </c>
      <c r="H182" s="93">
        <v>27</v>
      </c>
      <c r="I182" s="93">
        <v>26</v>
      </c>
      <c r="J182" s="92">
        <v>187</v>
      </c>
      <c r="K182" s="62"/>
    </row>
    <row r="183" spans="2:11" customFormat="1" ht="15" customHeight="1">
      <c r="B183" s="94">
        <v>2008</v>
      </c>
      <c r="C183" s="93">
        <v>26</v>
      </c>
      <c r="D183" s="93">
        <v>25</v>
      </c>
      <c r="E183" s="93">
        <v>28</v>
      </c>
      <c r="F183" s="93">
        <v>27</v>
      </c>
      <c r="G183" s="93">
        <v>18</v>
      </c>
      <c r="H183" s="93">
        <v>31</v>
      </c>
      <c r="I183" s="93">
        <v>28</v>
      </c>
      <c r="J183" s="92">
        <v>183</v>
      </c>
      <c r="K183" s="62"/>
    </row>
    <row r="184" spans="2:11" customFormat="1" ht="15" customHeight="1">
      <c r="B184" s="94">
        <v>2009</v>
      </c>
      <c r="C184" s="93">
        <v>29</v>
      </c>
      <c r="D184" s="93">
        <v>26</v>
      </c>
      <c r="E184" s="93">
        <v>25</v>
      </c>
      <c r="F184" s="93">
        <v>29</v>
      </c>
      <c r="G184" s="93">
        <v>22</v>
      </c>
      <c r="H184" s="93">
        <v>16</v>
      </c>
      <c r="I184" s="93">
        <v>27</v>
      </c>
      <c r="J184" s="94">
        <v>174</v>
      </c>
      <c r="K184" s="62"/>
    </row>
    <row r="185" spans="2:11" customFormat="1" ht="15" customHeight="1">
      <c r="B185" s="94">
        <v>2010</v>
      </c>
      <c r="C185" s="93">
        <v>28</v>
      </c>
      <c r="D185" s="93">
        <v>30</v>
      </c>
      <c r="E185" s="93">
        <v>28</v>
      </c>
      <c r="F185" s="93">
        <v>27</v>
      </c>
      <c r="G185" s="93">
        <v>27</v>
      </c>
      <c r="H185" s="93">
        <v>23</v>
      </c>
      <c r="I185" s="93">
        <v>19</v>
      </c>
      <c r="J185" s="92">
        <v>182</v>
      </c>
      <c r="K185" s="62"/>
    </row>
    <row r="186" spans="2:11" customFormat="1" ht="15" customHeight="1">
      <c r="B186" s="94">
        <v>2011</v>
      </c>
      <c r="C186" s="93">
        <v>30</v>
      </c>
      <c r="D186" s="93">
        <v>29</v>
      </c>
      <c r="E186" s="93">
        <v>28</v>
      </c>
      <c r="F186" s="93">
        <v>31</v>
      </c>
      <c r="G186" s="93">
        <v>27</v>
      </c>
      <c r="H186" s="93">
        <v>26</v>
      </c>
      <c r="I186" s="93">
        <v>24</v>
      </c>
      <c r="J186" s="92">
        <v>195</v>
      </c>
      <c r="K186" s="62"/>
    </row>
    <row r="187" spans="2:11" customFormat="1" ht="15" customHeight="1">
      <c r="B187" s="94">
        <v>2012</v>
      </c>
      <c r="C187" s="93">
        <v>33</v>
      </c>
      <c r="D187" s="93">
        <v>30</v>
      </c>
      <c r="E187" s="93">
        <v>28</v>
      </c>
      <c r="F187" s="93">
        <v>28</v>
      </c>
      <c r="G187" s="93">
        <v>27</v>
      </c>
      <c r="H187" s="93">
        <v>25</v>
      </c>
      <c r="I187" s="93">
        <v>24</v>
      </c>
      <c r="J187" s="92">
        <v>195</v>
      </c>
      <c r="K187" s="62"/>
    </row>
    <row r="188" spans="2:11" customFormat="1" ht="15" customHeight="1">
      <c r="B188" s="94">
        <v>2013</v>
      </c>
      <c r="C188" s="93">
        <v>46</v>
      </c>
      <c r="D188" s="93">
        <v>30</v>
      </c>
      <c r="E188" s="93">
        <v>29</v>
      </c>
      <c r="F188" s="93">
        <v>31</v>
      </c>
      <c r="G188" s="93">
        <v>27</v>
      </c>
      <c r="H188" s="93">
        <v>24</v>
      </c>
      <c r="I188" s="93">
        <v>23</v>
      </c>
      <c r="J188" s="94">
        <v>210</v>
      </c>
      <c r="K188" s="62"/>
    </row>
    <row r="189" spans="2:11" customFormat="1" ht="15" customHeight="1">
      <c r="B189" s="94">
        <v>2014</v>
      </c>
      <c r="C189" s="93">
        <v>35</v>
      </c>
      <c r="D189" s="93">
        <v>44</v>
      </c>
      <c r="E189" s="93">
        <v>31</v>
      </c>
      <c r="F189" s="93">
        <v>29</v>
      </c>
      <c r="G189" s="93">
        <v>32</v>
      </c>
      <c r="H189" s="93">
        <v>25</v>
      </c>
      <c r="I189" s="93">
        <v>30</v>
      </c>
      <c r="J189" s="92">
        <v>226</v>
      </c>
      <c r="K189" s="65"/>
    </row>
    <row r="190" spans="2:11" customFormat="1" ht="15" customHeight="1">
      <c r="B190" s="94">
        <v>2015</v>
      </c>
      <c r="C190" s="93">
        <v>44</v>
      </c>
      <c r="D190" s="93">
        <v>36</v>
      </c>
      <c r="E190" s="93">
        <v>48</v>
      </c>
      <c r="F190" s="93">
        <v>31</v>
      </c>
      <c r="G190" s="93">
        <v>32</v>
      </c>
      <c r="H190" s="93">
        <v>29</v>
      </c>
      <c r="I190" s="93">
        <v>30</v>
      </c>
      <c r="J190" s="92">
        <v>250</v>
      </c>
      <c r="K190" s="65"/>
    </row>
    <row r="191" spans="2:11" customFormat="1" ht="15" customHeight="1">
      <c r="B191" s="94">
        <v>2016</v>
      </c>
      <c r="C191" s="93">
        <v>36</v>
      </c>
      <c r="D191" s="93">
        <v>43</v>
      </c>
      <c r="E191" s="93">
        <v>33</v>
      </c>
      <c r="F191" s="93">
        <v>49</v>
      </c>
      <c r="G191" s="93">
        <v>30</v>
      </c>
      <c r="H191" s="93">
        <v>29</v>
      </c>
      <c r="I191" s="93">
        <v>24</v>
      </c>
      <c r="J191" s="92">
        <v>244</v>
      </c>
      <c r="K191" s="65"/>
    </row>
    <row r="192" spans="2:11" ht="15" customHeight="1">
      <c r="B192" s="94">
        <v>2017</v>
      </c>
      <c r="C192" s="93">
        <f>VLOOKUP($E$3,Rolls!A1:FA90,42,FALSE)</f>
        <v>43</v>
      </c>
      <c r="D192" s="93">
        <f>VLOOKUP($E$3,Rolls!A1:FA90,43,FALSE)</f>
        <v>36</v>
      </c>
      <c r="E192" s="93">
        <f>VLOOKUP($E$3,Rolls!A1:FA90,44,FALSE)</f>
        <v>43</v>
      </c>
      <c r="F192" s="93">
        <f>VLOOKUP($E$3,Rolls!A1:FA90,45,FALSE)</f>
        <v>37</v>
      </c>
      <c r="G192" s="93">
        <f>VLOOKUP($E$3,Rolls!A1:FA90,46,FALSE)</f>
        <v>49</v>
      </c>
      <c r="H192" s="93">
        <f>VLOOKUP($E$3,Rolls!A1:FA90,47,FALSE)</f>
        <v>31</v>
      </c>
      <c r="I192" s="93">
        <f>VLOOKUP($E$3,Rolls!A1:FA90,48,FALSE)</f>
        <v>29</v>
      </c>
      <c r="J192" s="92">
        <f>VLOOKUP($E$3,Rolls!A1:FA90,49,FALSE)</f>
        <v>268</v>
      </c>
      <c r="K192" s="65"/>
    </row>
    <row r="193" spans="2:11" ht="15" customHeight="1">
      <c r="B193" s="94">
        <v>2018</v>
      </c>
      <c r="C193" s="93">
        <f>VLOOKUP($E$3,Rolls!A1:FA90,50,FALSE)</f>
        <v>39</v>
      </c>
      <c r="D193" s="93">
        <f>VLOOKUP($E$3,Rolls!A1:FA90,51,FALSE)</f>
        <v>36</v>
      </c>
      <c r="E193" s="93">
        <f>VLOOKUP($E$3,Rolls!A1:FA90,52,FALSE)</f>
        <v>31</v>
      </c>
      <c r="F193" s="93">
        <f>VLOOKUP($E$3,Rolls!A1:FA90,53,FALSE)</f>
        <v>40</v>
      </c>
      <c r="G193" s="93">
        <f>VLOOKUP($E$3,Rolls!A1:FA90,54,FALSE)</f>
        <v>34</v>
      </c>
      <c r="H193" s="93">
        <f>VLOOKUP($E$3,Rolls!A1:FA90,55,FALSE)</f>
        <v>46</v>
      </c>
      <c r="I193" s="93">
        <f>VLOOKUP($E$3,Rolls!A1:FA90,56,FALSE)</f>
        <v>28</v>
      </c>
      <c r="J193" s="92">
        <f>VLOOKUP($E$3,Rolls!A1:FA90,57,FALSE)</f>
        <v>254</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dimension ref="A1:Q193"/>
  <sheetViews>
    <sheetView topLeftCell="B39" zoomScaleNormal="100" workbookViewId="0">
      <selection activeCell="H60" sqref="H60"/>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68</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The Royal High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420 Pupils (14 classes)</v>
      </c>
      <c r="G12" s="16"/>
      <c r="H12" s="16"/>
    </row>
    <row r="13" spans="2:10" ht="15" customHeight="1">
      <c r="C13" s="16"/>
      <c r="D13" s="16"/>
      <c r="E13" s="16"/>
      <c r="F13" s="16"/>
      <c r="G13" s="16"/>
      <c r="H13" s="16"/>
    </row>
    <row r="14" spans="2:10" ht="15" customHeight="1">
      <c r="B14" s="15" t="str">
        <f>"Figure 1: "&amp;E3&amp;" Roll, 2002-2015"</f>
        <v>Figure 1: The Royal High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The Royal High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42</v>
      </c>
      <c r="E49" s="108">
        <f>VLOOKUP($E$3,'Catchment Projections'!$A$1:$BU$90,46,FALSE)</f>
        <v>29</v>
      </c>
      <c r="F49" s="108">
        <f>VLOOKUP($E$3,'Catchment Projections'!$A$1:$BU$90,47,FALSE)</f>
        <v>45</v>
      </c>
      <c r="G49" s="108">
        <f>VLOOKUP($E$3,'Catchment Projections'!$A$1:$BU$90,48,FALSE)</f>
        <v>42</v>
      </c>
      <c r="H49" s="133">
        <f>VLOOKUP($E$3,'Catchment Projections'!$A$1:$BU$90,49,FALSE)</f>
        <v>39</v>
      </c>
      <c r="I49" s="133">
        <f>VLOOKUP($E$3,'Catchment Projections'!$A$1:$BU$90,50,FALSE)</f>
        <v>40</v>
      </c>
      <c r="J49" s="133">
        <f>VLOOKUP($E$3,'Catchment Projections'!$A$1:$BU$90,51,FALSE)</f>
        <v>40</v>
      </c>
      <c r="K49" s="133">
        <f>VLOOKUP($E$3,'Catchment Projections'!$A$1:$BU$90,52,FALSE)</f>
        <v>41</v>
      </c>
      <c r="L49" s="133">
        <f>VLOOKUP($E$3,'Catchment Projections'!$A$1:$BU$90,53,FALSE)</f>
        <v>41</v>
      </c>
      <c r="M49" s="133">
        <f>VLOOKUP($E$3,'Catchment Projections'!$A$1:$BU$90,54,FALSE)</f>
        <v>41</v>
      </c>
      <c r="N49" s="133">
        <f>VLOOKUP($E$3,'Catchment Projections'!$A$1:$BU$90,55,FALSE)</f>
        <v>42</v>
      </c>
      <c r="O49" s="133">
        <f>VLOOKUP($E$3,'Catchment Projections'!$A$1:$BU$90,56,FALSE)</f>
        <v>42</v>
      </c>
      <c r="P49" s="133">
        <f>VLOOKUP($E$3,'Catchment Projections'!$A$1:$BU$90,57,FALSE)</f>
        <v>42</v>
      </c>
      <c r="Q49" s="133">
        <f>VLOOKUP($E$3,'Catchment Projections'!$A$1:$BU$90,58,FALSE)</f>
        <v>42</v>
      </c>
    </row>
    <row r="50" spans="2:17" ht="15" customHeight="1" thickBot="1">
      <c r="B50" s="410" t="s">
        <v>141</v>
      </c>
      <c r="C50" s="411"/>
      <c r="D50" s="286">
        <f>VLOOKUP(E3,'Housing Generation'!$A$3:$DQ$90,10,FALSE)</f>
        <v>3</v>
      </c>
      <c r="E50" s="286">
        <f>VLOOKUP(E3,'Housing Generation'!$A$3:$DQ$90,18,FALSE)</f>
        <v>3</v>
      </c>
      <c r="F50" s="286">
        <f>VLOOKUP(E3,'Housing Generation'!$A$3:$DQ$90,26,FALSE)</f>
        <v>3</v>
      </c>
      <c r="G50" s="243">
        <f>VLOOKUP(E3,'Housing Generation'!$A$3:$DQ$90,34,FALSE)</f>
        <v>4</v>
      </c>
      <c r="H50" s="133">
        <f>VLOOKUP(E3,'Housing Generation'!$A$3:$DQ$90,42,FALSE)</f>
        <v>5</v>
      </c>
      <c r="I50" s="133">
        <f>VLOOKUP(E3,'Housing Generation'!$A$3:$DQ$90,50,FALSE)</f>
        <v>7</v>
      </c>
      <c r="J50" s="133">
        <f>VLOOKUP(E3,'Housing Generation'!$A$3:$CK$90,58,FALSE)</f>
        <v>8</v>
      </c>
      <c r="K50" s="133">
        <f>VLOOKUP(E3,'Housing Generation'!$A$3:$CK$90,66,FALSE)</f>
        <v>9</v>
      </c>
      <c r="L50" s="133">
        <f>VLOOKUP(E3,'Housing Generation'!$A$3:$DQ$90,74,FALSE)</f>
        <v>9</v>
      </c>
      <c r="M50" s="133">
        <f>VLOOKUP(E3,'Housing Generation'!$A$3:$DQ$90,82,FALSE)</f>
        <v>9</v>
      </c>
      <c r="N50" s="133">
        <f>VLOOKUP(E3,'Housing Generation'!$A$3:$DQ$90,90,FALSE)</f>
        <v>9</v>
      </c>
      <c r="O50" s="133">
        <f>VLOOKUP(E3,'Housing Generation'!$A$3:$DQ$90,98,FALSE)</f>
        <v>9</v>
      </c>
      <c r="P50" s="133">
        <f>VLOOKUP(E3,'Housing Generation'!$A$3:$DQ$90,106,FALSE)</f>
        <v>9</v>
      </c>
      <c r="Q50" s="133">
        <f>VLOOKUP(E3,'Housing Generation'!$A$3:$DQ$90,114,FALSE)</f>
        <v>9</v>
      </c>
    </row>
    <row r="51" spans="2:17" ht="15" customHeight="1" thickTop="1">
      <c r="B51" s="421" t="s">
        <v>130</v>
      </c>
      <c r="C51" s="422"/>
      <c r="D51" s="47">
        <f t="shared" ref="D51:Q51" si="0">SUM(D49:D50)</f>
        <v>45</v>
      </c>
      <c r="E51" s="47">
        <f t="shared" si="0"/>
        <v>32</v>
      </c>
      <c r="F51" s="80">
        <f t="shared" si="0"/>
        <v>48</v>
      </c>
      <c r="G51" s="244">
        <f t="shared" si="0"/>
        <v>46</v>
      </c>
      <c r="H51" s="71">
        <f t="shared" si="0"/>
        <v>44</v>
      </c>
      <c r="I51" s="71">
        <f t="shared" si="0"/>
        <v>47</v>
      </c>
      <c r="J51" s="71">
        <f t="shared" si="0"/>
        <v>48</v>
      </c>
      <c r="K51" s="71">
        <f t="shared" si="0"/>
        <v>50</v>
      </c>
      <c r="L51" s="71">
        <f t="shared" si="0"/>
        <v>50</v>
      </c>
      <c r="M51" s="71">
        <f t="shared" si="0"/>
        <v>50</v>
      </c>
      <c r="N51" s="71">
        <f t="shared" si="0"/>
        <v>51</v>
      </c>
      <c r="O51" s="71">
        <f t="shared" si="0"/>
        <v>51</v>
      </c>
      <c r="P51" s="71">
        <f t="shared" si="0"/>
        <v>51</v>
      </c>
      <c r="Q51" s="71">
        <f t="shared" si="0"/>
        <v>51</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31</v>
      </c>
      <c r="D60" s="358">
        <f>VLOOKUP($E$3,'Catchment Projections'!$A$1:$BZ$90,74,FALSE)</f>
        <v>23</v>
      </c>
      <c r="E60" s="303">
        <f>D60/C60</f>
        <v>0.74193548387096775</v>
      </c>
      <c r="G60" s="132">
        <v>2014</v>
      </c>
      <c r="H60" s="395">
        <f>VLOOKUP($G$60,$B$177:$C$215, 2, FALSE)</f>
        <v>48</v>
      </c>
      <c r="I60" s="120">
        <f>H60-D60</f>
        <v>25</v>
      </c>
      <c r="J60" s="121">
        <f>I60/H60</f>
        <v>0.52083333333333337</v>
      </c>
    </row>
    <row r="61" spans="2:17" ht="15" customHeight="1">
      <c r="B61" s="132">
        <v>2015</v>
      </c>
      <c r="C61" s="359">
        <f>VLOOKUP($E$3,'Catchment Projections'!$A$1:$BZ$90,41,FALSE)</f>
        <v>36</v>
      </c>
      <c r="D61" s="358">
        <f>VLOOKUP($E$3,'Catchment Projections'!$A$1:$BZ$90,75,FALSE)</f>
        <v>33</v>
      </c>
      <c r="E61" s="303">
        <f>D61/C61</f>
        <v>0.91666666666666663</v>
      </c>
      <c r="G61" s="132">
        <v>2015</v>
      </c>
      <c r="H61" s="395">
        <f>VLOOKUP($G$61,$B$177:$C$215, 2, FALSE)</f>
        <v>47</v>
      </c>
      <c r="I61" s="120">
        <f>H61-D61</f>
        <v>14</v>
      </c>
      <c r="J61" s="121">
        <f>I61/H61</f>
        <v>0.2978723404255319</v>
      </c>
    </row>
    <row r="62" spans="2:17" ht="15" customHeight="1">
      <c r="B62" s="131">
        <v>2016</v>
      </c>
      <c r="C62" s="359">
        <f>VLOOKUP($E$3,'Catchment Projections'!$A$1:$BZ$90,42,FALSE)</f>
        <v>33</v>
      </c>
      <c r="D62" s="358">
        <f>VLOOKUP($E$3,'Catchment Projections'!$A$1:$BZ$90,76,FALSE)</f>
        <v>23</v>
      </c>
      <c r="E62" s="57">
        <f>D62/C62</f>
        <v>0.69696969696969702</v>
      </c>
      <c r="G62" s="131">
        <v>2016</v>
      </c>
      <c r="H62" s="395">
        <f>VLOOKUP($G$62,$B$177:$C$215, 2, FALSE)</f>
        <v>32</v>
      </c>
      <c r="I62" s="120">
        <f>H62-D62</f>
        <v>9</v>
      </c>
      <c r="J62" s="121">
        <f>I62/H62</f>
        <v>0.28125</v>
      </c>
    </row>
    <row r="63" spans="2:17" ht="15" customHeight="1">
      <c r="B63" s="114">
        <v>2017</v>
      </c>
      <c r="C63" s="359">
        <f>VLOOKUP($E$3,'Catchment Projections'!$A$1:$BZ$90,43,FALSE)</f>
        <v>40</v>
      </c>
      <c r="D63" s="358">
        <f>VLOOKUP($E$3,'Catchment Projections'!$A$1:$BZ$90,77,FALSE)</f>
        <v>36</v>
      </c>
      <c r="E63" s="304">
        <f>D63/C63</f>
        <v>0.9</v>
      </c>
      <c r="G63" s="114">
        <v>2017</v>
      </c>
      <c r="H63" s="395">
        <f>VLOOKUP($G$63,$B$177:$C$215, 2, FALSE)</f>
        <v>48</v>
      </c>
      <c r="I63" s="120">
        <f>H63-D63</f>
        <v>12</v>
      </c>
      <c r="J63" s="121">
        <f>I63/H63</f>
        <v>0.25</v>
      </c>
    </row>
    <row r="64" spans="2:17" ht="15" customHeight="1">
      <c r="B64" s="114">
        <v>2018</v>
      </c>
      <c r="C64" s="359">
        <f>VLOOKUP($E$3,'Catchment Projections'!$A$1:$BZ$90,44,FALSE)</f>
        <v>31</v>
      </c>
      <c r="D64" s="358">
        <f>VLOOKUP($E$3,'Catchment Projections'!$A$1:$BZ$90,78,FALSE)</f>
        <v>28</v>
      </c>
      <c r="E64" s="305">
        <f>D64/C64</f>
        <v>0.90322580645161288</v>
      </c>
      <c r="G64" s="114">
        <v>2018</v>
      </c>
      <c r="H64" s="395">
        <f>VLOOKUP($G$64,$B$177:$C$215, 2, FALSE)</f>
        <v>46</v>
      </c>
      <c r="I64" s="120">
        <f>H64-D64</f>
        <v>18</v>
      </c>
      <c r="J64" s="121">
        <f>I64/H64</f>
        <v>0.39130434782608697</v>
      </c>
    </row>
    <row r="65" spans="2:10" ht="15" customHeight="1">
      <c r="B65" s="412" t="s">
        <v>136</v>
      </c>
      <c r="C65" s="413"/>
      <c r="D65" s="414"/>
      <c r="E65" s="137">
        <f>IF((AVERAGE(E62:E64))="#DIV/0!","n/a",(AVERAGE(E62:E64)))</f>
        <v>0.83339850114043668</v>
      </c>
      <c r="G65" s="415" t="s">
        <v>137</v>
      </c>
      <c r="H65" s="416"/>
      <c r="I65" s="138">
        <f>MEDIAN(I60:I64)</f>
        <v>14</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45</v>
      </c>
      <c r="D70" s="408"/>
      <c r="E70" s="122">
        <f>E65</f>
        <v>0.83339850114043668</v>
      </c>
      <c r="F70" s="120">
        <f t="shared" ref="F70:F83" si="1">C70*$E$65</f>
        <v>37.502932551319653</v>
      </c>
      <c r="G70" s="118">
        <f>IF(F70&lt;26,25,IF(F70&gt;135,140,IF(F70&gt;130,135,IF(F70&gt;125,130,IF(F70&gt;120,125,IF(F70&gt;115,120,IF(F70&gt;110,115,IF(F70&gt;105,110,IF(F70&gt;100,105,IF(F70&gt;99,100,IF(F70&gt;90,99,IF(F70&gt;75,90,IF(F70&gt;72,75,IF(F70&gt;66,72,IF(F70&gt;60,66,IF(F70&gt;50,60,IF(F70&gt;30,50,IF(F70&gt;25,30,0))))))))))))))))))</f>
        <v>50</v>
      </c>
      <c r="H70" s="119">
        <f t="shared" ref="H70:H83" si="2">G70-F70</f>
        <v>12.497067448680347</v>
      </c>
      <c r="I70" s="118" t="str">
        <f>IF(I$65&lt;H70, "NO", "YES")</f>
        <v>YES</v>
      </c>
      <c r="J70" s="117">
        <f t="shared" ref="J70:J83" si="3">IF(I70="YES",G70,(MIN((SUM(F70,$I$65)),G70)))</f>
        <v>50</v>
      </c>
    </row>
    <row r="71" spans="2:10" ht="15" customHeight="1">
      <c r="B71" s="114">
        <v>2020</v>
      </c>
      <c r="C71" s="433">
        <f>E51</f>
        <v>32</v>
      </c>
      <c r="D71" s="408"/>
      <c r="E71" s="121">
        <f>E65</f>
        <v>0.83339850114043668</v>
      </c>
      <c r="F71" s="120">
        <f t="shared" si="1"/>
        <v>26.668752036493974</v>
      </c>
      <c r="G71" s="118">
        <f t="shared" ref="G71:G83" si="4">IF(F71&lt;26,25,IF(F71&gt;135,140,IF(F71&gt;130,135,IF(F71&gt;125,130,IF(F71&gt;120,125,IF(F71&gt;115,120,IF(F71&gt;110,115,IF(F71&gt;105,110,IF(F71&gt;100,105,IF(F71&gt;99,100,IF(F71&gt;90,99,IF(F71&gt;75,90,IF(F71&gt;72,75,IF(F71&gt;66,72,IF(F71&gt;60,66,IF(F71&gt;50,60,IF(F71&gt;30,50,IF(F71&gt;25,30,0))))))))))))))))))</f>
        <v>30</v>
      </c>
      <c r="H71" s="119">
        <f t="shared" si="2"/>
        <v>3.3312479635060264</v>
      </c>
      <c r="I71" s="118" t="str">
        <f t="shared" ref="I71:I83" si="5">IF(I$65&lt;H71, "NO", "YES")</f>
        <v>YES</v>
      </c>
      <c r="J71" s="117">
        <f t="shared" si="3"/>
        <v>30</v>
      </c>
    </row>
    <row r="72" spans="2:10" ht="15" customHeight="1">
      <c r="B72" s="114">
        <v>2021</v>
      </c>
      <c r="C72" s="430">
        <f>F51</f>
        <v>48</v>
      </c>
      <c r="D72" s="431"/>
      <c r="E72" s="121">
        <f>E65</f>
        <v>0.83339850114043668</v>
      </c>
      <c r="F72" s="120">
        <f t="shared" si="1"/>
        <v>40.003128054740962</v>
      </c>
      <c r="G72" s="118">
        <f t="shared" si="4"/>
        <v>50</v>
      </c>
      <c r="H72" s="119">
        <f t="shared" si="2"/>
        <v>9.9968719452590378</v>
      </c>
      <c r="I72" s="118" t="str">
        <f t="shared" si="5"/>
        <v>YES</v>
      </c>
      <c r="J72" s="117">
        <f t="shared" si="3"/>
        <v>50</v>
      </c>
    </row>
    <row r="73" spans="2:10" ht="15" customHeight="1">
      <c r="B73" s="114">
        <v>2022</v>
      </c>
      <c r="C73" s="430">
        <f>G51</f>
        <v>46</v>
      </c>
      <c r="D73" s="431"/>
      <c r="E73" s="121">
        <f>E65</f>
        <v>0.83339850114043668</v>
      </c>
      <c r="F73" s="120">
        <f t="shared" si="1"/>
        <v>38.336331052460089</v>
      </c>
      <c r="G73" s="118">
        <f t="shared" si="4"/>
        <v>50</v>
      </c>
      <c r="H73" s="119">
        <f t="shared" si="2"/>
        <v>11.663668947539911</v>
      </c>
      <c r="I73" s="118" t="str">
        <f t="shared" si="5"/>
        <v>YES</v>
      </c>
      <c r="J73" s="117">
        <f t="shared" si="3"/>
        <v>50</v>
      </c>
    </row>
    <row r="74" spans="2:10" ht="15" customHeight="1">
      <c r="B74" s="114">
        <v>2023</v>
      </c>
      <c r="C74" s="430">
        <f>H51</f>
        <v>44</v>
      </c>
      <c r="D74" s="431"/>
      <c r="E74" s="121">
        <f>E65</f>
        <v>0.83339850114043668</v>
      </c>
      <c r="F74" s="120">
        <f t="shared" si="1"/>
        <v>36.669534050179216</v>
      </c>
      <c r="G74" s="118">
        <f t="shared" si="4"/>
        <v>50</v>
      </c>
      <c r="H74" s="119">
        <f t="shared" si="2"/>
        <v>13.330465949820784</v>
      </c>
      <c r="I74" s="118" t="str">
        <f t="shared" si="5"/>
        <v>YES</v>
      </c>
      <c r="J74" s="117">
        <f t="shared" si="3"/>
        <v>50</v>
      </c>
    </row>
    <row r="75" spans="2:10" ht="15" customHeight="1">
      <c r="B75" s="114">
        <v>2024</v>
      </c>
      <c r="C75" s="430">
        <f>I51</f>
        <v>47</v>
      </c>
      <c r="D75" s="431"/>
      <c r="E75" s="121">
        <f>E65</f>
        <v>0.83339850114043668</v>
      </c>
      <c r="F75" s="120">
        <f t="shared" si="1"/>
        <v>39.169729553600526</v>
      </c>
      <c r="G75" s="118">
        <f t="shared" si="4"/>
        <v>50</v>
      </c>
      <c r="H75" s="119">
        <f t="shared" si="2"/>
        <v>10.830270446399474</v>
      </c>
      <c r="I75" s="118" t="str">
        <f t="shared" si="5"/>
        <v>YES</v>
      </c>
      <c r="J75" s="117">
        <f t="shared" si="3"/>
        <v>50</v>
      </c>
    </row>
    <row r="76" spans="2:10" ht="15" customHeight="1">
      <c r="B76" s="114">
        <v>2025</v>
      </c>
      <c r="C76" s="430">
        <f>J51</f>
        <v>48</v>
      </c>
      <c r="D76" s="431"/>
      <c r="E76" s="121">
        <f>E65</f>
        <v>0.83339850114043668</v>
      </c>
      <c r="F76" s="120">
        <f t="shared" si="1"/>
        <v>40.003128054740962</v>
      </c>
      <c r="G76" s="118">
        <f t="shared" si="4"/>
        <v>50</v>
      </c>
      <c r="H76" s="119">
        <f t="shared" si="2"/>
        <v>9.9968719452590378</v>
      </c>
      <c r="I76" s="118" t="str">
        <f t="shared" si="5"/>
        <v>YES</v>
      </c>
      <c r="J76" s="117">
        <f t="shared" si="3"/>
        <v>50</v>
      </c>
    </row>
    <row r="77" spans="2:10" ht="15" customHeight="1">
      <c r="B77" s="114">
        <v>2026</v>
      </c>
      <c r="C77" s="430">
        <f>K51</f>
        <v>50</v>
      </c>
      <c r="D77" s="431"/>
      <c r="E77" s="121">
        <f>E65</f>
        <v>0.83339850114043668</v>
      </c>
      <c r="F77" s="120">
        <f t="shared" si="1"/>
        <v>41.669925057021835</v>
      </c>
      <c r="G77" s="118">
        <f t="shared" si="4"/>
        <v>50</v>
      </c>
      <c r="H77" s="119">
        <f t="shared" si="2"/>
        <v>8.3300749429781646</v>
      </c>
      <c r="I77" s="118" t="str">
        <f t="shared" si="5"/>
        <v>YES</v>
      </c>
      <c r="J77" s="117">
        <f t="shared" si="3"/>
        <v>50</v>
      </c>
    </row>
    <row r="78" spans="2:10" ht="15" customHeight="1">
      <c r="B78" s="114">
        <v>2027</v>
      </c>
      <c r="C78" s="430">
        <f>L51</f>
        <v>50</v>
      </c>
      <c r="D78" s="431"/>
      <c r="E78" s="121">
        <f>E65</f>
        <v>0.83339850114043668</v>
      </c>
      <c r="F78" s="120">
        <f t="shared" si="1"/>
        <v>41.669925057021835</v>
      </c>
      <c r="G78" s="118">
        <f t="shared" si="4"/>
        <v>50</v>
      </c>
      <c r="H78" s="119">
        <f t="shared" si="2"/>
        <v>8.3300749429781646</v>
      </c>
      <c r="I78" s="118" t="str">
        <f t="shared" si="5"/>
        <v>YES</v>
      </c>
      <c r="J78" s="117">
        <f t="shared" si="3"/>
        <v>50</v>
      </c>
    </row>
    <row r="79" spans="2:10" ht="15" customHeight="1">
      <c r="B79" s="114">
        <v>2028</v>
      </c>
      <c r="C79" s="430">
        <f>M51</f>
        <v>50</v>
      </c>
      <c r="D79" s="431"/>
      <c r="E79" s="121">
        <f t="shared" ref="E79:E83" si="6">$E$65</f>
        <v>0.83339850114043668</v>
      </c>
      <c r="F79" s="120">
        <f t="shared" si="1"/>
        <v>41.669925057021835</v>
      </c>
      <c r="G79" s="118">
        <f t="shared" si="4"/>
        <v>50</v>
      </c>
      <c r="H79" s="119">
        <f t="shared" si="2"/>
        <v>8.3300749429781646</v>
      </c>
      <c r="I79" s="118" t="str">
        <f t="shared" si="5"/>
        <v>YES</v>
      </c>
      <c r="J79" s="117">
        <f t="shared" si="3"/>
        <v>50</v>
      </c>
    </row>
    <row r="80" spans="2:10" ht="15" customHeight="1">
      <c r="B80" s="114">
        <v>2029</v>
      </c>
      <c r="C80" s="430">
        <f>N51</f>
        <v>51</v>
      </c>
      <c r="D80" s="431"/>
      <c r="E80" s="121">
        <f t="shared" si="6"/>
        <v>0.83339850114043668</v>
      </c>
      <c r="F80" s="120">
        <f t="shared" si="1"/>
        <v>42.503323558162272</v>
      </c>
      <c r="G80" s="118">
        <f t="shared" si="4"/>
        <v>50</v>
      </c>
      <c r="H80" s="119">
        <f t="shared" si="2"/>
        <v>7.4966764418377281</v>
      </c>
      <c r="I80" s="118" t="str">
        <f t="shared" si="5"/>
        <v>YES</v>
      </c>
      <c r="J80" s="117">
        <f t="shared" si="3"/>
        <v>50</v>
      </c>
    </row>
    <row r="81" spans="2:10" ht="15" customHeight="1">
      <c r="B81" s="114">
        <v>2030</v>
      </c>
      <c r="C81" s="430">
        <f>O51</f>
        <v>51</v>
      </c>
      <c r="D81" s="431"/>
      <c r="E81" s="121">
        <f t="shared" si="6"/>
        <v>0.83339850114043668</v>
      </c>
      <c r="F81" s="120">
        <f t="shared" si="1"/>
        <v>42.503323558162272</v>
      </c>
      <c r="G81" s="118">
        <f t="shared" si="4"/>
        <v>50</v>
      </c>
      <c r="H81" s="119">
        <f t="shared" si="2"/>
        <v>7.4966764418377281</v>
      </c>
      <c r="I81" s="118" t="str">
        <f t="shared" si="5"/>
        <v>YES</v>
      </c>
      <c r="J81" s="117">
        <f t="shared" si="3"/>
        <v>50</v>
      </c>
    </row>
    <row r="82" spans="2:10" ht="15" customHeight="1">
      <c r="B82" s="114">
        <v>2031</v>
      </c>
      <c r="C82" s="430">
        <f>P51</f>
        <v>51</v>
      </c>
      <c r="D82" s="431"/>
      <c r="E82" s="121">
        <f t="shared" si="6"/>
        <v>0.83339850114043668</v>
      </c>
      <c r="F82" s="120">
        <f t="shared" si="1"/>
        <v>42.503323558162272</v>
      </c>
      <c r="G82" s="118">
        <f t="shared" si="4"/>
        <v>50</v>
      </c>
      <c r="H82" s="119">
        <f t="shared" si="2"/>
        <v>7.4966764418377281</v>
      </c>
      <c r="I82" s="118" t="str">
        <f t="shared" si="5"/>
        <v>YES</v>
      </c>
      <c r="J82" s="117">
        <f t="shared" si="3"/>
        <v>50</v>
      </c>
    </row>
    <row r="83" spans="2:10" ht="15" customHeight="1">
      <c r="B83" s="114">
        <v>2032</v>
      </c>
      <c r="C83" s="430">
        <f>Q51</f>
        <v>51</v>
      </c>
      <c r="D83" s="431"/>
      <c r="E83" s="121">
        <f t="shared" si="6"/>
        <v>0.83339850114043668</v>
      </c>
      <c r="F83" s="120">
        <f t="shared" si="1"/>
        <v>42.503323558162272</v>
      </c>
      <c r="G83" s="118">
        <f t="shared" si="4"/>
        <v>50</v>
      </c>
      <c r="H83" s="119">
        <f t="shared" si="2"/>
        <v>7.4966764418377281</v>
      </c>
      <c r="I83" s="118" t="str">
        <f t="shared" si="5"/>
        <v>YES</v>
      </c>
      <c r="J83" s="117">
        <f t="shared" si="3"/>
        <v>50</v>
      </c>
    </row>
    <row r="84" spans="2:10" ht="15" customHeight="1">
      <c r="C84" s="16"/>
      <c r="D84" s="16"/>
      <c r="E84" s="16"/>
      <c r="F84" s="16"/>
      <c r="G84" s="16" t="s">
        <v>285</v>
      </c>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The Royal High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49</v>
      </c>
      <c r="D91" s="112">
        <f t="shared" ref="D91:J91" si="7">D188</f>
        <v>35</v>
      </c>
      <c r="E91" s="112">
        <f t="shared" si="7"/>
        <v>47</v>
      </c>
      <c r="F91" s="112">
        <f t="shared" si="7"/>
        <v>59</v>
      </c>
      <c r="G91" s="112">
        <f t="shared" si="7"/>
        <v>52</v>
      </c>
      <c r="H91" s="112">
        <f t="shared" si="7"/>
        <v>54</v>
      </c>
      <c r="I91" s="112">
        <f t="shared" si="7"/>
        <v>42</v>
      </c>
      <c r="J91" s="213">
        <f t="shared" si="7"/>
        <v>338</v>
      </c>
    </row>
    <row r="92" spans="2:10" ht="15" customHeight="1">
      <c r="B92" s="114">
        <v>2014</v>
      </c>
      <c r="C92" s="112">
        <f>C189</f>
        <v>48</v>
      </c>
      <c r="D92" s="112">
        <f t="shared" ref="D92:J92" si="8">D189</f>
        <v>52</v>
      </c>
      <c r="E92" s="112">
        <f t="shared" si="8"/>
        <v>38</v>
      </c>
      <c r="F92" s="112">
        <f t="shared" si="8"/>
        <v>47</v>
      </c>
      <c r="G92" s="112">
        <f t="shared" si="8"/>
        <v>57</v>
      </c>
      <c r="H92" s="112">
        <f t="shared" si="8"/>
        <v>49</v>
      </c>
      <c r="I92" s="112">
        <f t="shared" si="8"/>
        <v>51</v>
      </c>
      <c r="J92" s="213">
        <f t="shared" si="8"/>
        <v>342</v>
      </c>
    </row>
    <row r="93" spans="2:10" ht="15" customHeight="1">
      <c r="B93" s="114">
        <v>2015</v>
      </c>
      <c r="C93" s="112">
        <f>C190</f>
        <v>47</v>
      </c>
      <c r="D93" s="112">
        <f t="shared" ref="D93:J93" si="9">D190</f>
        <v>43</v>
      </c>
      <c r="E93" s="112">
        <f t="shared" si="9"/>
        <v>53</v>
      </c>
      <c r="F93" s="112">
        <f t="shared" si="9"/>
        <v>38</v>
      </c>
      <c r="G93" s="112">
        <f t="shared" si="9"/>
        <v>47</v>
      </c>
      <c r="H93" s="112">
        <f t="shared" si="9"/>
        <v>59</v>
      </c>
      <c r="I93" s="112">
        <f t="shared" si="9"/>
        <v>52</v>
      </c>
      <c r="J93" s="213">
        <f t="shared" si="9"/>
        <v>339</v>
      </c>
    </row>
    <row r="94" spans="2:10" ht="15" customHeight="1">
      <c r="B94" s="114">
        <v>2016</v>
      </c>
      <c r="C94" s="112">
        <f>C191</f>
        <v>32</v>
      </c>
      <c r="D94" s="112">
        <f t="shared" ref="D94:J94" si="10">D191</f>
        <v>49</v>
      </c>
      <c r="E94" s="112">
        <f t="shared" si="10"/>
        <v>46</v>
      </c>
      <c r="F94" s="112">
        <f t="shared" si="10"/>
        <v>54</v>
      </c>
      <c r="G94" s="112">
        <f t="shared" si="10"/>
        <v>41</v>
      </c>
      <c r="H94" s="112">
        <f t="shared" si="10"/>
        <v>49</v>
      </c>
      <c r="I94" s="112">
        <f t="shared" si="10"/>
        <v>58</v>
      </c>
      <c r="J94" s="213">
        <f t="shared" si="10"/>
        <v>329</v>
      </c>
    </row>
    <row r="95" spans="2:10" ht="15" customHeight="1">
      <c r="B95" s="114">
        <v>2017</v>
      </c>
      <c r="C95" s="112">
        <f>C192</f>
        <v>48</v>
      </c>
      <c r="D95" s="112">
        <f t="shared" ref="D95:J95" si="11">D192</f>
        <v>33</v>
      </c>
      <c r="E95" s="112">
        <f t="shared" si="11"/>
        <v>48</v>
      </c>
      <c r="F95" s="112">
        <f t="shared" si="11"/>
        <v>47</v>
      </c>
      <c r="G95" s="112">
        <f t="shared" si="11"/>
        <v>57</v>
      </c>
      <c r="H95" s="112">
        <f t="shared" si="11"/>
        <v>43</v>
      </c>
      <c r="I95" s="112">
        <f t="shared" si="11"/>
        <v>54</v>
      </c>
      <c r="J95" s="213">
        <f t="shared" si="11"/>
        <v>330</v>
      </c>
    </row>
    <row r="96" spans="2:10" ht="15" customHeight="1">
      <c r="B96" s="307">
        <v>2018</v>
      </c>
      <c r="C96" s="112">
        <f t="shared" ref="C96:J96" si="12">C193</f>
        <v>46</v>
      </c>
      <c r="D96" s="112">
        <f t="shared" si="12"/>
        <v>51</v>
      </c>
      <c r="E96" s="112">
        <f t="shared" si="12"/>
        <v>31</v>
      </c>
      <c r="F96" s="112">
        <f t="shared" si="12"/>
        <v>49</v>
      </c>
      <c r="G96" s="112">
        <f t="shared" si="12"/>
        <v>47</v>
      </c>
      <c r="H96" s="112">
        <f t="shared" si="12"/>
        <v>59</v>
      </c>
      <c r="I96" s="112">
        <f t="shared" si="12"/>
        <v>46</v>
      </c>
      <c r="J96" s="213">
        <f t="shared" si="12"/>
        <v>329</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-4.2553191489361701E-2</v>
      </c>
      <c r="E98" s="210">
        <f t="shared" ref="E98:I98" si="13">MEDIAN(((D91-E92)/D91),((D92-E93)/D92),((D93-E94)/D93),((D94-E95)/D94),((D95-E96)/D95))</f>
        <v>-1.9230769230769232E-2</v>
      </c>
      <c r="F98" s="210">
        <f t="shared" si="13"/>
        <v>-1.8867924528301886E-2</v>
      </c>
      <c r="G98" s="210">
        <f t="shared" si="13"/>
        <v>0</v>
      </c>
      <c r="H98" s="210">
        <f t="shared" si="13"/>
        <v>-3.5087719298245612E-2</v>
      </c>
      <c r="I98" s="210">
        <f t="shared" si="13"/>
        <v>-6.1224489795918366E-2</v>
      </c>
    </row>
    <row r="99" spans="2:10" ht="15" customHeight="1">
      <c r="B99" s="59"/>
      <c r="C99" s="60"/>
      <c r="D99" s="61"/>
      <c r="E99" s="61"/>
      <c r="F99" s="61"/>
      <c r="G99" s="61"/>
      <c r="H99" s="61"/>
      <c r="I99" s="61"/>
      <c r="J99" s="58"/>
    </row>
    <row r="100" spans="2:10" ht="15" customHeight="1">
      <c r="B100" s="15" t="str">
        <f>"Table 4B: "&amp;E3&amp;" Projected Roll by Stage (incorporating Projected P1 and Drop-Off Rates), 2019-2032"</f>
        <v>Table 4B: The Royal High Primary School Projected Roll by Stage (incorporating Projected P1 and Drop-Off Rates), 2019-2032</v>
      </c>
      <c r="F100" s="14"/>
      <c r="G100" s="14"/>
    </row>
    <row r="101" spans="2:10" ht="15" customHeight="1">
      <c r="F101" s="14"/>
      <c r="G101" s="14"/>
    </row>
    <row r="102" spans="2:10" ht="15" customHeight="1">
      <c r="B102" s="115"/>
      <c r="C102" s="109" t="s">
        <v>1</v>
      </c>
      <c r="D102" s="109" t="s">
        <v>2</v>
      </c>
      <c r="E102" s="109" t="s">
        <v>3</v>
      </c>
      <c r="F102" s="109" t="s">
        <v>4</v>
      </c>
      <c r="G102" s="109" t="s">
        <v>5</v>
      </c>
      <c r="H102" s="109" t="s">
        <v>6</v>
      </c>
      <c r="I102" s="109" t="s">
        <v>7</v>
      </c>
      <c r="J102" s="109" t="s">
        <v>8</v>
      </c>
    </row>
    <row r="103" spans="2:10" ht="15" customHeight="1">
      <c r="B103" s="114">
        <v>2019</v>
      </c>
      <c r="C103" s="113">
        <f t="shared" ref="C103:C116" si="14">J70</f>
        <v>50</v>
      </c>
      <c r="D103" s="324">
        <f>ROUND((C96)-(C96*$D$98),0)</f>
        <v>48</v>
      </c>
      <c r="E103" s="324">
        <f>ROUND((D96)-(D96*$E$98),0)</f>
        <v>52</v>
      </c>
      <c r="F103" s="324">
        <f>ROUND((E96)-(E96*$F$98),0)</f>
        <v>32</v>
      </c>
      <c r="G103" s="324">
        <f>ROUND((F96)-(F96*$G$98),0)</f>
        <v>49</v>
      </c>
      <c r="H103" s="324">
        <f>ROUND((G96)-(G96*$H$98),0)</f>
        <v>49</v>
      </c>
      <c r="I103" s="324">
        <f>ROUND((H96)-(H96*$I$98),0)</f>
        <v>63</v>
      </c>
      <c r="J103" s="111">
        <f t="shared" ref="J103:J116" si="15">SUM(C103:I103)</f>
        <v>343</v>
      </c>
    </row>
    <row r="104" spans="2:10" ht="15" customHeight="1">
      <c r="B104" s="114">
        <v>2020</v>
      </c>
      <c r="C104" s="113">
        <f t="shared" si="14"/>
        <v>30</v>
      </c>
      <c r="D104" s="324">
        <f>ROUND((C103-E50)-(C103*$D$98),0)</f>
        <v>49</v>
      </c>
      <c r="E104" s="112">
        <f t="shared" ref="E104:E116" si="16">ROUND((D103)-(D103*$E$98),0)</f>
        <v>49</v>
      </c>
      <c r="F104" s="112">
        <f t="shared" ref="F104:F116" si="17">ROUND((E103)-(E103*$F$98),0)</f>
        <v>53</v>
      </c>
      <c r="G104" s="112">
        <f t="shared" ref="G104:G116" si="18">ROUND((F103)-(F103*$G$98),0)</f>
        <v>32</v>
      </c>
      <c r="H104" s="112">
        <f t="shared" ref="H104:H116" si="19">ROUND((G103)-(G103*$H$98),0)</f>
        <v>51</v>
      </c>
      <c r="I104" s="112">
        <f t="shared" ref="I104:I116" si="20">ROUND((H103)-(H103*$I$98),0)</f>
        <v>52</v>
      </c>
      <c r="J104" s="111">
        <f t="shared" si="15"/>
        <v>316</v>
      </c>
    </row>
    <row r="105" spans="2:10" ht="15" customHeight="1">
      <c r="B105" s="114">
        <v>2021</v>
      </c>
      <c r="C105" s="113">
        <f t="shared" si="14"/>
        <v>50</v>
      </c>
      <c r="D105" s="324">
        <f>ROUND((C104-F50)-(C104*$D$98),0)</f>
        <v>28</v>
      </c>
      <c r="E105" s="112">
        <f t="shared" si="16"/>
        <v>50</v>
      </c>
      <c r="F105" s="112">
        <f t="shared" si="17"/>
        <v>50</v>
      </c>
      <c r="G105" s="112">
        <f t="shared" si="18"/>
        <v>53</v>
      </c>
      <c r="H105" s="112">
        <f t="shared" si="19"/>
        <v>33</v>
      </c>
      <c r="I105" s="112">
        <f t="shared" si="20"/>
        <v>54</v>
      </c>
      <c r="J105" s="111">
        <f t="shared" si="15"/>
        <v>318</v>
      </c>
    </row>
    <row r="106" spans="2:10" ht="15" customHeight="1">
      <c r="B106" s="114">
        <v>2022</v>
      </c>
      <c r="C106" s="113">
        <f t="shared" si="14"/>
        <v>50</v>
      </c>
      <c r="D106" s="324">
        <f>ROUND((C105-G50)-(C105*$D$98),0)</f>
        <v>48</v>
      </c>
      <c r="E106" s="112">
        <f t="shared" si="16"/>
        <v>29</v>
      </c>
      <c r="F106" s="112">
        <f t="shared" si="17"/>
        <v>51</v>
      </c>
      <c r="G106" s="112">
        <f t="shared" si="18"/>
        <v>50</v>
      </c>
      <c r="H106" s="112">
        <f t="shared" si="19"/>
        <v>55</v>
      </c>
      <c r="I106" s="112">
        <f t="shared" si="20"/>
        <v>35</v>
      </c>
      <c r="J106" s="111">
        <f t="shared" si="15"/>
        <v>318</v>
      </c>
    </row>
    <row r="107" spans="2:10" ht="15" customHeight="1">
      <c r="B107" s="114">
        <v>2023</v>
      </c>
      <c r="C107" s="113">
        <f t="shared" si="14"/>
        <v>50</v>
      </c>
      <c r="D107" s="324">
        <f>ROUND((C106-H50)-(C106*$D$98),0)</f>
        <v>47</v>
      </c>
      <c r="E107" s="112">
        <f t="shared" si="16"/>
        <v>49</v>
      </c>
      <c r="F107" s="112">
        <f t="shared" si="17"/>
        <v>30</v>
      </c>
      <c r="G107" s="112">
        <f t="shared" si="18"/>
        <v>51</v>
      </c>
      <c r="H107" s="112">
        <f t="shared" si="19"/>
        <v>52</v>
      </c>
      <c r="I107" s="112">
        <f t="shared" si="20"/>
        <v>58</v>
      </c>
      <c r="J107" s="111">
        <f t="shared" si="15"/>
        <v>337</v>
      </c>
    </row>
    <row r="108" spans="2:10" ht="15" customHeight="1">
      <c r="B108" s="114">
        <v>2024</v>
      </c>
      <c r="C108" s="113">
        <f t="shared" si="14"/>
        <v>50</v>
      </c>
      <c r="D108" s="324">
        <f>ROUND((C107-I50)-(C107*$D$98),0)</f>
        <v>45</v>
      </c>
      <c r="E108" s="112">
        <f t="shared" si="16"/>
        <v>48</v>
      </c>
      <c r="F108" s="112">
        <f t="shared" si="17"/>
        <v>50</v>
      </c>
      <c r="G108" s="112">
        <f t="shared" si="18"/>
        <v>30</v>
      </c>
      <c r="H108" s="112">
        <f t="shared" si="19"/>
        <v>53</v>
      </c>
      <c r="I108" s="112">
        <f t="shared" si="20"/>
        <v>55</v>
      </c>
      <c r="J108" s="111">
        <f t="shared" si="15"/>
        <v>331</v>
      </c>
    </row>
    <row r="109" spans="2:10" ht="15" customHeight="1">
      <c r="B109" s="114">
        <v>2025</v>
      </c>
      <c r="C109" s="113">
        <f t="shared" si="14"/>
        <v>50</v>
      </c>
      <c r="D109" s="324">
        <f>ROUND((C108-J50)-(C108*$D$98),0)</f>
        <v>44</v>
      </c>
      <c r="E109" s="112">
        <f t="shared" si="16"/>
        <v>46</v>
      </c>
      <c r="F109" s="112">
        <f t="shared" si="17"/>
        <v>49</v>
      </c>
      <c r="G109" s="112">
        <f t="shared" si="18"/>
        <v>50</v>
      </c>
      <c r="H109" s="112">
        <f t="shared" si="19"/>
        <v>31</v>
      </c>
      <c r="I109" s="112">
        <f t="shared" si="20"/>
        <v>56</v>
      </c>
      <c r="J109" s="111">
        <f t="shared" si="15"/>
        <v>326</v>
      </c>
    </row>
    <row r="110" spans="2:10" ht="15" customHeight="1">
      <c r="B110" s="114">
        <v>2026</v>
      </c>
      <c r="C110" s="113">
        <f t="shared" si="14"/>
        <v>50</v>
      </c>
      <c r="D110" s="324">
        <f>ROUND((C109-K50)-(C109*$D$98),0)</f>
        <v>43</v>
      </c>
      <c r="E110" s="112">
        <f t="shared" si="16"/>
        <v>45</v>
      </c>
      <c r="F110" s="112">
        <f t="shared" si="17"/>
        <v>47</v>
      </c>
      <c r="G110" s="112">
        <f t="shared" si="18"/>
        <v>49</v>
      </c>
      <c r="H110" s="112">
        <f t="shared" si="19"/>
        <v>52</v>
      </c>
      <c r="I110" s="112">
        <f t="shared" si="20"/>
        <v>33</v>
      </c>
      <c r="J110" s="111">
        <f t="shared" si="15"/>
        <v>319</v>
      </c>
    </row>
    <row r="111" spans="2:10" ht="15" customHeight="1">
      <c r="B111" s="114">
        <v>2027</v>
      </c>
      <c r="C111" s="113">
        <f t="shared" si="14"/>
        <v>50</v>
      </c>
      <c r="D111" s="324">
        <f>ROUND((C110-L50)-(C110*$D$98),0)</f>
        <v>43</v>
      </c>
      <c r="E111" s="112">
        <f t="shared" si="16"/>
        <v>44</v>
      </c>
      <c r="F111" s="112">
        <f t="shared" si="17"/>
        <v>46</v>
      </c>
      <c r="G111" s="112">
        <f t="shared" si="18"/>
        <v>47</v>
      </c>
      <c r="H111" s="112">
        <f t="shared" si="19"/>
        <v>51</v>
      </c>
      <c r="I111" s="112">
        <f t="shared" si="20"/>
        <v>55</v>
      </c>
      <c r="J111" s="111">
        <f t="shared" si="15"/>
        <v>336</v>
      </c>
    </row>
    <row r="112" spans="2:10" ht="15" customHeight="1">
      <c r="B112" s="114">
        <v>2028</v>
      </c>
      <c r="C112" s="113">
        <f t="shared" si="14"/>
        <v>50</v>
      </c>
      <c r="D112" s="324">
        <f>ROUND((C111-M50)-(C111*$D$98),0)</f>
        <v>43</v>
      </c>
      <c r="E112" s="112">
        <f t="shared" si="16"/>
        <v>44</v>
      </c>
      <c r="F112" s="112">
        <f t="shared" si="17"/>
        <v>45</v>
      </c>
      <c r="G112" s="112">
        <f t="shared" si="18"/>
        <v>46</v>
      </c>
      <c r="H112" s="112">
        <f t="shared" si="19"/>
        <v>49</v>
      </c>
      <c r="I112" s="112">
        <f t="shared" si="20"/>
        <v>54</v>
      </c>
      <c r="J112" s="111">
        <f t="shared" si="15"/>
        <v>331</v>
      </c>
    </row>
    <row r="113" spans="2:10" ht="15" customHeight="1">
      <c r="B113" s="114">
        <v>2029</v>
      </c>
      <c r="C113" s="113">
        <f t="shared" si="14"/>
        <v>50</v>
      </c>
      <c r="D113" s="324">
        <f>ROUND((C112-N50)-(C112*$D$98),0)</f>
        <v>43</v>
      </c>
      <c r="E113" s="112">
        <f t="shared" si="16"/>
        <v>44</v>
      </c>
      <c r="F113" s="112">
        <f t="shared" si="17"/>
        <v>45</v>
      </c>
      <c r="G113" s="112">
        <f t="shared" si="18"/>
        <v>45</v>
      </c>
      <c r="H113" s="112">
        <f t="shared" si="19"/>
        <v>48</v>
      </c>
      <c r="I113" s="112">
        <f t="shared" si="20"/>
        <v>52</v>
      </c>
      <c r="J113" s="111">
        <f t="shared" si="15"/>
        <v>327</v>
      </c>
    </row>
    <row r="114" spans="2:10" ht="15" customHeight="1">
      <c r="B114" s="114">
        <v>2030</v>
      </c>
      <c r="C114" s="113">
        <f t="shared" si="14"/>
        <v>50</v>
      </c>
      <c r="D114" s="324">
        <f>ROUND((C113-O50)-(C113*$D$98),0)</f>
        <v>43</v>
      </c>
      <c r="E114" s="112">
        <f t="shared" si="16"/>
        <v>44</v>
      </c>
      <c r="F114" s="112">
        <f t="shared" si="17"/>
        <v>45</v>
      </c>
      <c r="G114" s="112">
        <f t="shared" si="18"/>
        <v>45</v>
      </c>
      <c r="H114" s="112">
        <f t="shared" si="19"/>
        <v>47</v>
      </c>
      <c r="I114" s="112">
        <f t="shared" si="20"/>
        <v>51</v>
      </c>
      <c r="J114" s="111">
        <f t="shared" si="15"/>
        <v>325</v>
      </c>
    </row>
    <row r="115" spans="2:10" ht="15" customHeight="1">
      <c r="B115" s="114">
        <v>2031</v>
      </c>
      <c r="C115" s="113">
        <f t="shared" si="14"/>
        <v>50</v>
      </c>
      <c r="D115" s="324">
        <f>ROUND((C114-P50)-(C114*$D$98),0)</f>
        <v>43</v>
      </c>
      <c r="E115" s="112">
        <f t="shared" si="16"/>
        <v>44</v>
      </c>
      <c r="F115" s="112">
        <f t="shared" si="17"/>
        <v>45</v>
      </c>
      <c r="G115" s="112">
        <f t="shared" si="18"/>
        <v>45</v>
      </c>
      <c r="H115" s="112">
        <f t="shared" si="19"/>
        <v>47</v>
      </c>
      <c r="I115" s="112">
        <f t="shared" si="20"/>
        <v>50</v>
      </c>
      <c r="J115" s="111">
        <f t="shared" si="15"/>
        <v>324</v>
      </c>
    </row>
    <row r="116" spans="2:10" ht="15" customHeight="1">
      <c r="B116" s="114">
        <v>2032</v>
      </c>
      <c r="C116" s="113">
        <f t="shared" si="14"/>
        <v>50</v>
      </c>
      <c r="D116" s="324">
        <f>ROUND((C115-Q50)-(C115*$D$98),0)</f>
        <v>43</v>
      </c>
      <c r="E116" s="112">
        <f t="shared" si="16"/>
        <v>44</v>
      </c>
      <c r="F116" s="112">
        <f t="shared" si="17"/>
        <v>45</v>
      </c>
      <c r="G116" s="112">
        <f t="shared" si="18"/>
        <v>45</v>
      </c>
      <c r="H116" s="112">
        <f t="shared" si="19"/>
        <v>47</v>
      </c>
      <c r="I116" s="112">
        <f t="shared" si="20"/>
        <v>50</v>
      </c>
      <c r="J116" s="111">
        <f t="shared" si="15"/>
        <v>324</v>
      </c>
    </row>
    <row r="117" spans="2:10" ht="15" customHeight="1">
      <c r="F117" s="14"/>
      <c r="G117" s="14"/>
    </row>
    <row r="118" spans="2:10" ht="15" customHeight="1">
      <c r="B118" s="15" t="str">
        <f>"Table 4C: "&amp;E3&amp;" Projected Pupil Generation from Housing Development, 2019-2032"</f>
        <v>Table 4C: The Royal High Primary School Projected Pupil Generation from Housing Development, 2019-2032</v>
      </c>
      <c r="F118" s="14"/>
      <c r="G118" s="14"/>
    </row>
    <row r="119" spans="2:10" ht="15" customHeight="1">
      <c r="F119" s="14"/>
      <c r="G119" s="14"/>
    </row>
    <row r="120" spans="2:10" ht="15" customHeight="1">
      <c r="B120" s="115"/>
      <c r="C120" s="109" t="s">
        <v>1</v>
      </c>
      <c r="D120" s="109" t="s">
        <v>2</v>
      </c>
      <c r="E120" s="109" t="s">
        <v>3</v>
      </c>
      <c r="F120" s="109" t="s">
        <v>4</v>
      </c>
      <c r="G120" s="109" t="s">
        <v>5</v>
      </c>
      <c r="H120" s="109" t="s">
        <v>6</v>
      </c>
      <c r="I120" s="109" t="s">
        <v>7</v>
      </c>
      <c r="J120" s="109" t="s">
        <v>8</v>
      </c>
    </row>
    <row r="121" spans="2:10" ht="15" customHeight="1">
      <c r="B121" s="114">
        <v>2019</v>
      </c>
      <c r="C121" s="116" t="s">
        <v>97</v>
      </c>
      <c r="D121" s="112">
        <f>VLOOKUP($E$3,'Housing Generation'!$A$3:$BE$90,11,FALSE)</f>
        <v>2</v>
      </c>
      <c r="E121" s="112">
        <f>VLOOKUP($E$3,'Housing Generation'!$A$3:$BE$90,12,FALSE)</f>
        <v>2</v>
      </c>
      <c r="F121" s="112">
        <f>VLOOKUP($E$3,'Housing Generation'!$A$3:$BE$90,13,FALSE)</f>
        <v>2</v>
      </c>
      <c r="G121" s="112">
        <f>VLOOKUP($E$3,'Housing Generation'!$A$3:$BE$90,14,FALSE)</f>
        <v>2</v>
      </c>
      <c r="H121" s="112">
        <f>VLOOKUP($E$3,'Housing Generation'!$A$3:$BE$90,15,FALSE)</f>
        <v>2</v>
      </c>
      <c r="I121" s="112">
        <f>VLOOKUP($E$3,'Housing Generation'!$A$3:$BE$90,16,FALSE)</f>
        <v>2</v>
      </c>
      <c r="J121" s="111">
        <f t="shared" ref="J121:J134" si="21">SUM(D121:I121)</f>
        <v>12</v>
      </c>
    </row>
    <row r="122" spans="2:10" ht="15" customHeight="1">
      <c r="B122" s="114">
        <v>2020</v>
      </c>
      <c r="C122" s="116" t="s">
        <v>97</v>
      </c>
      <c r="D122" s="112">
        <f>VLOOKUP($E$3,'Housing Generation'!$A$3:$BE$90,19,FALSE)</f>
        <v>3</v>
      </c>
      <c r="E122" s="112">
        <f>VLOOKUP($E$3,'Housing Generation'!$A$3:$BE$90,20,FALSE)</f>
        <v>3</v>
      </c>
      <c r="F122" s="112">
        <f>VLOOKUP($E$3,'Housing Generation'!$A$3:$BE$90,21,FALSE)</f>
        <v>3</v>
      </c>
      <c r="G122" s="112">
        <f>VLOOKUP($E$3,'Housing Generation'!$A$3:$BE$90,22,FALSE)</f>
        <v>3</v>
      </c>
      <c r="H122" s="112">
        <f>VLOOKUP($E$3,'Housing Generation'!$A$3:$BE$90,23,FALSE)</f>
        <v>2</v>
      </c>
      <c r="I122" s="112">
        <f>VLOOKUP($E$3,'Housing Generation'!$A$3:$BE$90,24,FALSE)</f>
        <v>2</v>
      </c>
      <c r="J122" s="111">
        <f t="shared" si="21"/>
        <v>16</v>
      </c>
    </row>
    <row r="123" spans="2:10" ht="15" customHeight="1">
      <c r="B123" s="114">
        <v>2021</v>
      </c>
      <c r="C123" s="116" t="s">
        <v>97</v>
      </c>
      <c r="D123" s="112">
        <f>VLOOKUP($E$3,'Housing Generation'!$A$3:$BE$90,27,FALSE)</f>
        <v>3</v>
      </c>
      <c r="E123" s="112">
        <f>VLOOKUP($E$3,'Housing Generation'!$A$3:$BE$90,28,FALSE)</f>
        <v>3</v>
      </c>
      <c r="F123" s="112">
        <f>VLOOKUP($E$3,'Housing Generation'!$A$3:$BE$90,29,FALSE)</f>
        <v>3</v>
      </c>
      <c r="G123" s="112">
        <f>VLOOKUP($E$3,'Housing Generation'!$A$3:$BE$90,30,FALSE)</f>
        <v>3</v>
      </c>
      <c r="H123" s="112">
        <f>VLOOKUP($E$3,'Housing Generation'!$A$3:$BE$90,31,FALSE)</f>
        <v>3</v>
      </c>
      <c r="I123" s="112">
        <f>VLOOKUP($E$3,'Housing Generation'!$A$3:$BE$90,32,FALSE)</f>
        <v>3</v>
      </c>
      <c r="J123" s="111">
        <f t="shared" si="21"/>
        <v>18</v>
      </c>
    </row>
    <row r="124" spans="2:10" ht="15" customHeight="1">
      <c r="B124" s="114">
        <v>2022</v>
      </c>
      <c r="C124" s="116" t="s">
        <v>97</v>
      </c>
      <c r="D124" s="112">
        <f>VLOOKUP($E$3,'Housing Generation'!$A$3:$BE$90,35,FALSE)</f>
        <v>4</v>
      </c>
      <c r="E124" s="112">
        <f>VLOOKUP($E$3,'Housing Generation'!$A$3:$BE$90,36,FALSE)</f>
        <v>4</v>
      </c>
      <c r="F124" s="112">
        <f>VLOOKUP($E$3,'Housing Generation'!$A$3:$BE$90,37,FALSE)</f>
        <v>4</v>
      </c>
      <c r="G124" s="112">
        <f>VLOOKUP($E$3,'Housing Generation'!$A$3:$BE$90,38,FALSE)</f>
        <v>4</v>
      </c>
      <c r="H124" s="112">
        <f>VLOOKUP($E$3,'Housing Generation'!$A$3:$BE$90,39,FALSE)</f>
        <v>3</v>
      </c>
      <c r="I124" s="112">
        <f>VLOOKUP($E$3,'Housing Generation'!$A$3:$BE$90,40,FALSE)</f>
        <v>3</v>
      </c>
      <c r="J124" s="111">
        <f t="shared" si="21"/>
        <v>22</v>
      </c>
    </row>
    <row r="125" spans="2:10" ht="15" customHeight="1">
      <c r="B125" s="114">
        <v>2023</v>
      </c>
      <c r="C125" s="116" t="s">
        <v>97</v>
      </c>
      <c r="D125" s="112">
        <f>VLOOKUP($E$3,'Housing Generation'!$A$3:$BE$90,43,FALSE)</f>
        <v>5</v>
      </c>
      <c r="E125" s="112">
        <f>VLOOKUP($E$3,'Housing Generation'!$A$3:$BE$90,44,FALSE)</f>
        <v>5</v>
      </c>
      <c r="F125" s="112">
        <f>VLOOKUP($E$3,'Housing Generation'!$A$3:$BE$90,45,FALSE)</f>
        <v>5</v>
      </c>
      <c r="G125" s="112">
        <f>VLOOKUP($E$3,'Housing Generation'!$A$3:$BE$90,46,FALSE)</f>
        <v>5</v>
      </c>
      <c r="H125" s="112">
        <f>VLOOKUP($E$3,'Housing Generation'!$A$3:$BE$90,47,FALSE)</f>
        <v>5</v>
      </c>
      <c r="I125" s="112">
        <f>VLOOKUP($E$3,'Housing Generation'!$A$3:$BE$90,48,FALSE)</f>
        <v>5</v>
      </c>
      <c r="J125" s="111">
        <f t="shared" si="21"/>
        <v>30</v>
      </c>
    </row>
    <row r="126" spans="2:10" ht="15" customHeight="1">
      <c r="B126" s="114">
        <v>2024</v>
      </c>
      <c r="C126" s="116" t="s">
        <v>97</v>
      </c>
      <c r="D126" s="112">
        <f>VLOOKUP($E$3,'Housing Generation'!$A$3:$BE$90,51,FALSE)</f>
        <v>7</v>
      </c>
      <c r="E126" s="112">
        <f>VLOOKUP($E$3,'Housing Generation'!$A$3:$BE$90,52,FALSE)</f>
        <v>7</v>
      </c>
      <c r="F126" s="112">
        <f>VLOOKUP($E$3,'Housing Generation'!$A$3:$BE$90,53,FALSE)</f>
        <v>6</v>
      </c>
      <c r="G126" s="112">
        <f>VLOOKUP($E$3,'Housing Generation'!$A$3:$BE$90,54,FALSE)</f>
        <v>6</v>
      </c>
      <c r="H126" s="112">
        <f>VLOOKUP($E$3,'Housing Generation'!$A$3:$BE$90,55,FALSE)</f>
        <v>6</v>
      </c>
      <c r="I126" s="112">
        <f>VLOOKUP($E$3,'Housing Generation'!$A$3:$BE$90,56,FALSE)</f>
        <v>6</v>
      </c>
      <c r="J126" s="111">
        <f t="shared" si="21"/>
        <v>38</v>
      </c>
    </row>
    <row r="127" spans="2:10" ht="15" customHeight="1">
      <c r="B127" s="114">
        <v>2025</v>
      </c>
      <c r="C127" s="240" t="s">
        <v>97</v>
      </c>
      <c r="D127" s="112">
        <f>VLOOKUP($E$3,'Housing Generation'!$A$3:$CK$90,59,FALSE)</f>
        <v>8</v>
      </c>
      <c r="E127" s="112">
        <f>VLOOKUP($E$3,'Housing Generation'!$A$3:$CK$90,60,FALSE)</f>
        <v>8</v>
      </c>
      <c r="F127" s="112">
        <f>VLOOKUP($E$3,'Housing Generation'!$A$3:$CK$90,61,FALSE)</f>
        <v>8</v>
      </c>
      <c r="G127" s="112">
        <f>VLOOKUP($E$3,'Housing Generation'!$A$3:$CK$90,62,FALSE)</f>
        <v>8</v>
      </c>
      <c r="H127" s="112">
        <f>VLOOKUP($E$3,'Housing Generation'!$A$3:$CK$90,63,FALSE)</f>
        <v>7</v>
      </c>
      <c r="I127" s="112">
        <f>VLOOKUP($E$3,'Housing Generation'!$A$3:$CK$90,64,FALSE)</f>
        <v>7</v>
      </c>
      <c r="J127" s="111">
        <f t="shared" si="21"/>
        <v>46</v>
      </c>
    </row>
    <row r="128" spans="2:10" ht="15" customHeight="1">
      <c r="B128" s="114">
        <v>2026</v>
      </c>
      <c r="C128" s="240" t="s">
        <v>97</v>
      </c>
      <c r="D128" s="112">
        <f>VLOOKUP($E$3,'Housing Generation'!$A$3:$CK$90,67,FALSE)</f>
        <v>9</v>
      </c>
      <c r="E128" s="112">
        <f>VLOOKUP($E$3,'Housing Generation'!$A$3:$CK$90,68,FALSE)</f>
        <v>9</v>
      </c>
      <c r="F128" s="112">
        <f>VLOOKUP($E$3,'Housing Generation'!$A$3:$CK$90,69,FALSE)</f>
        <v>9</v>
      </c>
      <c r="G128" s="112">
        <f>VLOOKUP($E$3,'Housing Generation'!$A$3:$CK$90,70,FALSE)</f>
        <v>9</v>
      </c>
      <c r="H128" s="112">
        <f>VLOOKUP($E$3,'Housing Generation'!$A$3:$CK$90,71,FALSE)</f>
        <v>9</v>
      </c>
      <c r="I128" s="112">
        <f>VLOOKUP($E$3,'Housing Generation'!$A$3:$CK$90,72,FALSE)</f>
        <v>9</v>
      </c>
      <c r="J128" s="111">
        <f t="shared" si="21"/>
        <v>54</v>
      </c>
    </row>
    <row r="129" spans="2:10" ht="15" customHeight="1">
      <c r="B129" s="114">
        <v>2027</v>
      </c>
      <c r="C129" s="240" t="s">
        <v>97</v>
      </c>
      <c r="D129" s="112">
        <f>VLOOKUP($E$3,'Housing Generation'!$A$3:$CK$90,75,FALSE)</f>
        <v>9</v>
      </c>
      <c r="E129" s="112">
        <f>VLOOKUP($E$3,'Housing Generation'!$A$3:$CK$90,76,FALSE)</f>
        <v>9</v>
      </c>
      <c r="F129" s="112">
        <f>VLOOKUP($E$3,'Housing Generation'!$A$3:$CK$90,77,FALSE)</f>
        <v>9</v>
      </c>
      <c r="G129" s="112">
        <f>VLOOKUP($E$3,'Housing Generation'!$A$3:$CK$90,78,FALSE)</f>
        <v>9</v>
      </c>
      <c r="H129" s="112">
        <f>VLOOKUP($E$3,'Housing Generation'!$A$3:$CK$90,79,FALSE)</f>
        <v>9</v>
      </c>
      <c r="I129" s="112">
        <f>VLOOKUP($E$3,'Housing Generation'!$A$3:$CK$90,80,FALSE)</f>
        <v>9</v>
      </c>
      <c r="J129" s="111">
        <f t="shared" si="21"/>
        <v>54</v>
      </c>
    </row>
    <row r="130" spans="2:10" ht="15" customHeight="1">
      <c r="B130" s="114">
        <v>2028</v>
      </c>
      <c r="C130" s="289" t="s">
        <v>97</v>
      </c>
      <c r="D130" s="112">
        <f>VLOOKUP($E$3,'Housing Generation'!$A$3:$CK$90,83,FALSE)</f>
        <v>9</v>
      </c>
      <c r="E130" s="112">
        <f>VLOOKUP($E$3,'Housing Generation'!$A$3:$CK$90,84,FALSE)</f>
        <v>9</v>
      </c>
      <c r="F130" s="112">
        <f>VLOOKUP($E$3,'Housing Generation'!$A$3:$CK$90,85,FALSE)</f>
        <v>9</v>
      </c>
      <c r="G130" s="112">
        <f>VLOOKUP($E$3,'Housing Generation'!$A$3:$CK$90,86,FALSE)</f>
        <v>9</v>
      </c>
      <c r="H130" s="112">
        <f>VLOOKUP($E$3,'Housing Generation'!$A$3:$CK$90,87,FALSE)</f>
        <v>9</v>
      </c>
      <c r="I130" s="112">
        <f>VLOOKUP($E$3,'Housing Generation'!$A$3:$CK$90,88,FALSE)</f>
        <v>9</v>
      </c>
      <c r="J130" s="111">
        <f t="shared" si="21"/>
        <v>54</v>
      </c>
    </row>
    <row r="131" spans="2:10" ht="15" customHeight="1">
      <c r="B131" s="114">
        <v>2029</v>
      </c>
      <c r="C131" s="289" t="s">
        <v>97</v>
      </c>
      <c r="D131" s="112">
        <f>VLOOKUP($E$3,'Housing Generation'!$A$3:$DQ$90,91,FALSE)</f>
        <v>9</v>
      </c>
      <c r="E131" s="112">
        <f>VLOOKUP($E$3,'Housing Generation'!$A$3:$DQ$90,92,FALSE)</f>
        <v>9</v>
      </c>
      <c r="F131" s="112">
        <f>VLOOKUP($E$3,'Housing Generation'!$A$3:$DQ$90,93,FALSE)</f>
        <v>9</v>
      </c>
      <c r="G131" s="112">
        <f>VLOOKUP($E$3,'Housing Generation'!$A$3:$DQ$90,94,FALSE)</f>
        <v>9</v>
      </c>
      <c r="H131" s="112">
        <f>VLOOKUP($E$3,'Housing Generation'!$A$3:$DQ$90,95,FALSE)</f>
        <v>9</v>
      </c>
      <c r="I131" s="112">
        <f>VLOOKUP($E$3,'Housing Generation'!$A$3:$DQ$90,96,FALSE)</f>
        <v>9</v>
      </c>
      <c r="J131" s="111">
        <f t="shared" si="21"/>
        <v>54</v>
      </c>
    </row>
    <row r="132" spans="2:10" ht="15" customHeight="1">
      <c r="B132" s="114">
        <v>2030</v>
      </c>
      <c r="C132" s="289" t="s">
        <v>97</v>
      </c>
      <c r="D132" s="112">
        <f>VLOOKUP($E$3,'Housing Generation'!$A$3:$DQ$90,99,FALSE)</f>
        <v>9</v>
      </c>
      <c r="E132" s="112">
        <f>VLOOKUP($E$3,'Housing Generation'!$A$3:$DQ$90,100,FALSE)</f>
        <v>9</v>
      </c>
      <c r="F132" s="112">
        <f>VLOOKUP($E$3,'Housing Generation'!$A$3:$DQ$90,101,FALSE)</f>
        <v>9</v>
      </c>
      <c r="G132" s="112">
        <f>VLOOKUP($E$3,'Housing Generation'!$A$3:$DQ$90,102,FALSE)</f>
        <v>9</v>
      </c>
      <c r="H132" s="112">
        <f>VLOOKUP($E$3,'Housing Generation'!$A$3:$DQ$90,103,FALSE)</f>
        <v>9</v>
      </c>
      <c r="I132" s="112">
        <f>VLOOKUP($E$3,'Housing Generation'!$A$3:$DQ$90,104,FALSE)</f>
        <v>9</v>
      </c>
      <c r="J132" s="111">
        <f t="shared" si="21"/>
        <v>54</v>
      </c>
    </row>
    <row r="133" spans="2:10" ht="15" customHeight="1">
      <c r="B133" s="114">
        <v>2031</v>
      </c>
      <c r="C133" s="289" t="s">
        <v>97</v>
      </c>
      <c r="D133" s="112">
        <f>VLOOKUP($E$3,'Housing Generation'!$A$3:$DQ$90,107,FALSE)</f>
        <v>9</v>
      </c>
      <c r="E133" s="112">
        <f>VLOOKUP($E$3,'Housing Generation'!$A$3:$DQ$90,108,FALSE)</f>
        <v>9</v>
      </c>
      <c r="F133" s="112">
        <f>VLOOKUP($E$3,'Housing Generation'!$A$3:$DQ$90,109,FALSE)</f>
        <v>9</v>
      </c>
      <c r="G133" s="112">
        <f>VLOOKUP($E$3,'Housing Generation'!$A$3:$DQ$90,110,FALSE)</f>
        <v>9</v>
      </c>
      <c r="H133" s="112">
        <f>VLOOKUP($E$3,'Housing Generation'!$A$3:$DQ$90,111,FALSE)</f>
        <v>9</v>
      </c>
      <c r="I133" s="112">
        <f>VLOOKUP($E$3,'Housing Generation'!$A$3:$DQ$90,112,FALSE)</f>
        <v>9</v>
      </c>
      <c r="J133" s="111">
        <f t="shared" si="21"/>
        <v>54</v>
      </c>
    </row>
    <row r="134" spans="2:10" ht="15" customHeight="1">
      <c r="B134" s="114">
        <v>2032</v>
      </c>
      <c r="C134" s="289" t="s">
        <v>97</v>
      </c>
      <c r="D134" s="112">
        <f>VLOOKUP($E$3,'Housing Generation'!$A$3:$DQ$90,115,FALSE)</f>
        <v>9</v>
      </c>
      <c r="E134" s="112">
        <f>VLOOKUP($E$3,'Housing Generation'!$A$3:$DQ$90,116,FALSE)</f>
        <v>9</v>
      </c>
      <c r="F134" s="112">
        <f>VLOOKUP($E$3,'Housing Generation'!$A$3:$DQ$90,117,FALSE)</f>
        <v>9</v>
      </c>
      <c r="G134" s="112">
        <f>VLOOKUP($E$3,'Housing Generation'!$A$3:$DQ$90,118,FALSE)</f>
        <v>9</v>
      </c>
      <c r="H134" s="112">
        <f>VLOOKUP($E$3,'Housing Generation'!$A$3:$DQ$90,119,FALSE)</f>
        <v>9</v>
      </c>
      <c r="I134" s="112">
        <f>VLOOKUP($E$3,'Housing Generation'!$A$3:$DQ$90,120,FALSE)</f>
        <v>9</v>
      </c>
      <c r="J134" s="111">
        <f t="shared" si="21"/>
        <v>54</v>
      </c>
    </row>
    <row r="135" spans="2:10" ht="15"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The Royal High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50</v>
      </c>
      <c r="D139" s="112">
        <f t="shared" ref="D139:I152" si="23">D121+D103</f>
        <v>50</v>
      </c>
      <c r="E139" s="112">
        <f t="shared" si="23"/>
        <v>54</v>
      </c>
      <c r="F139" s="112">
        <f t="shared" si="23"/>
        <v>34</v>
      </c>
      <c r="G139" s="112">
        <f t="shared" si="23"/>
        <v>51</v>
      </c>
      <c r="H139" s="112">
        <f t="shared" si="23"/>
        <v>51</v>
      </c>
      <c r="I139" s="112">
        <f t="shared" si="23"/>
        <v>65</v>
      </c>
      <c r="J139" s="111">
        <f t="shared" ref="J139:J147" si="24">SUM(C139:I139)</f>
        <v>355</v>
      </c>
    </row>
    <row r="140" spans="2:10" ht="15" customHeight="1">
      <c r="B140" s="114">
        <v>2020</v>
      </c>
      <c r="C140" s="113">
        <f t="shared" si="22"/>
        <v>30</v>
      </c>
      <c r="D140" s="112">
        <f t="shared" si="23"/>
        <v>52</v>
      </c>
      <c r="E140" s="112">
        <f t="shared" si="23"/>
        <v>52</v>
      </c>
      <c r="F140" s="112">
        <f t="shared" si="23"/>
        <v>56</v>
      </c>
      <c r="G140" s="112">
        <f t="shared" si="23"/>
        <v>35</v>
      </c>
      <c r="H140" s="112">
        <f t="shared" si="23"/>
        <v>53</v>
      </c>
      <c r="I140" s="112">
        <f t="shared" si="23"/>
        <v>54</v>
      </c>
      <c r="J140" s="111">
        <f t="shared" si="24"/>
        <v>332</v>
      </c>
    </row>
    <row r="141" spans="2:10" ht="15" customHeight="1">
      <c r="B141" s="114">
        <v>2021</v>
      </c>
      <c r="C141" s="113">
        <f t="shared" si="22"/>
        <v>50</v>
      </c>
      <c r="D141" s="112">
        <f t="shared" si="23"/>
        <v>31</v>
      </c>
      <c r="E141" s="112">
        <f t="shared" si="23"/>
        <v>53</v>
      </c>
      <c r="F141" s="112">
        <f t="shared" si="23"/>
        <v>53</v>
      </c>
      <c r="G141" s="112">
        <f t="shared" si="23"/>
        <v>56</v>
      </c>
      <c r="H141" s="112">
        <f t="shared" si="23"/>
        <v>36</v>
      </c>
      <c r="I141" s="112">
        <f t="shared" si="23"/>
        <v>57</v>
      </c>
      <c r="J141" s="111">
        <f t="shared" si="24"/>
        <v>336</v>
      </c>
    </row>
    <row r="142" spans="2:10" ht="15" customHeight="1">
      <c r="B142" s="114">
        <v>2022</v>
      </c>
      <c r="C142" s="113">
        <f t="shared" si="22"/>
        <v>50</v>
      </c>
      <c r="D142" s="112">
        <f t="shared" si="23"/>
        <v>52</v>
      </c>
      <c r="E142" s="112">
        <f t="shared" si="23"/>
        <v>33</v>
      </c>
      <c r="F142" s="112">
        <f t="shared" si="23"/>
        <v>55</v>
      </c>
      <c r="G142" s="112">
        <f t="shared" si="23"/>
        <v>54</v>
      </c>
      <c r="H142" s="112">
        <f t="shared" si="23"/>
        <v>58</v>
      </c>
      <c r="I142" s="112">
        <f t="shared" si="23"/>
        <v>38</v>
      </c>
      <c r="J142" s="111">
        <f t="shared" si="24"/>
        <v>340</v>
      </c>
    </row>
    <row r="143" spans="2:10" ht="15" customHeight="1">
      <c r="B143" s="114">
        <v>2023</v>
      </c>
      <c r="C143" s="113">
        <f t="shared" si="22"/>
        <v>50</v>
      </c>
      <c r="D143" s="112">
        <f t="shared" si="23"/>
        <v>52</v>
      </c>
      <c r="E143" s="112">
        <f t="shared" si="23"/>
        <v>54</v>
      </c>
      <c r="F143" s="112">
        <f t="shared" si="23"/>
        <v>35</v>
      </c>
      <c r="G143" s="112">
        <f t="shared" si="23"/>
        <v>56</v>
      </c>
      <c r="H143" s="112">
        <f t="shared" si="23"/>
        <v>57</v>
      </c>
      <c r="I143" s="112">
        <f t="shared" si="23"/>
        <v>63</v>
      </c>
      <c r="J143" s="111">
        <f t="shared" si="24"/>
        <v>367</v>
      </c>
    </row>
    <row r="144" spans="2:10" ht="15" customHeight="1">
      <c r="B144" s="114">
        <v>2024</v>
      </c>
      <c r="C144" s="113">
        <f t="shared" si="22"/>
        <v>50</v>
      </c>
      <c r="D144" s="112">
        <f t="shared" si="23"/>
        <v>52</v>
      </c>
      <c r="E144" s="112">
        <f t="shared" si="23"/>
        <v>55</v>
      </c>
      <c r="F144" s="112">
        <f t="shared" si="23"/>
        <v>56</v>
      </c>
      <c r="G144" s="112">
        <f t="shared" si="23"/>
        <v>36</v>
      </c>
      <c r="H144" s="112">
        <f t="shared" si="23"/>
        <v>59</v>
      </c>
      <c r="I144" s="112">
        <f t="shared" si="23"/>
        <v>61</v>
      </c>
      <c r="J144" s="111">
        <f t="shared" si="24"/>
        <v>369</v>
      </c>
    </row>
    <row r="145" spans="2:16" ht="15" customHeight="1">
      <c r="B145" s="114">
        <v>2025</v>
      </c>
      <c r="C145" s="113">
        <f t="shared" si="22"/>
        <v>50</v>
      </c>
      <c r="D145" s="112">
        <f t="shared" si="23"/>
        <v>52</v>
      </c>
      <c r="E145" s="112">
        <f t="shared" si="23"/>
        <v>54</v>
      </c>
      <c r="F145" s="112">
        <f t="shared" si="23"/>
        <v>57</v>
      </c>
      <c r="G145" s="112">
        <f t="shared" si="23"/>
        <v>58</v>
      </c>
      <c r="H145" s="112">
        <f t="shared" si="23"/>
        <v>38</v>
      </c>
      <c r="I145" s="112">
        <f t="shared" si="23"/>
        <v>63</v>
      </c>
      <c r="J145" s="111">
        <f t="shared" si="24"/>
        <v>372</v>
      </c>
    </row>
    <row r="146" spans="2:16" ht="15" customHeight="1">
      <c r="B146" s="114">
        <v>2026</v>
      </c>
      <c r="C146" s="113">
        <f t="shared" si="22"/>
        <v>50</v>
      </c>
      <c r="D146" s="112">
        <f t="shared" si="23"/>
        <v>52</v>
      </c>
      <c r="E146" s="112">
        <f t="shared" si="23"/>
        <v>54</v>
      </c>
      <c r="F146" s="112">
        <f t="shared" si="23"/>
        <v>56</v>
      </c>
      <c r="G146" s="112">
        <f t="shared" si="23"/>
        <v>58</v>
      </c>
      <c r="H146" s="112">
        <f t="shared" si="23"/>
        <v>61</v>
      </c>
      <c r="I146" s="112">
        <f t="shared" si="23"/>
        <v>42</v>
      </c>
      <c r="J146" s="111">
        <f t="shared" si="24"/>
        <v>373</v>
      </c>
    </row>
    <row r="147" spans="2:16" ht="15" customHeight="1">
      <c r="B147" s="114">
        <v>2027</v>
      </c>
      <c r="C147" s="113">
        <f t="shared" si="22"/>
        <v>50</v>
      </c>
      <c r="D147" s="112">
        <f t="shared" si="23"/>
        <v>52</v>
      </c>
      <c r="E147" s="112">
        <f t="shared" si="23"/>
        <v>53</v>
      </c>
      <c r="F147" s="112">
        <f t="shared" si="23"/>
        <v>55</v>
      </c>
      <c r="G147" s="112">
        <f t="shared" si="23"/>
        <v>56</v>
      </c>
      <c r="H147" s="112">
        <f t="shared" si="23"/>
        <v>60</v>
      </c>
      <c r="I147" s="112">
        <f t="shared" si="23"/>
        <v>64</v>
      </c>
      <c r="J147" s="111">
        <f t="shared" si="24"/>
        <v>390</v>
      </c>
    </row>
    <row r="148" spans="2:16" ht="15" customHeight="1">
      <c r="B148" s="114">
        <v>2028</v>
      </c>
      <c r="C148" s="113">
        <f t="shared" si="22"/>
        <v>50</v>
      </c>
      <c r="D148" s="112">
        <f t="shared" si="23"/>
        <v>52</v>
      </c>
      <c r="E148" s="112">
        <f t="shared" si="23"/>
        <v>53</v>
      </c>
      <c r="F148" s="112">
        <f t="shared" si="23"/>
        <v>54</v>
      </c>
      <c r="G148" s="112">
        <f t="shared" si="23"/>
        <v>55</v>
      </c>
      <c r="H148" s="112">
        <f t="shared" si="23"/>
        <v>58</v>
      </c>
      <c r="I148" s="112">
        <f t="shared" si="23"/>
        <v>63</v>
      </c>
      <c r="J148" s="111">
        <f t="shared" ref="J148:J152" si="25">SUM(C148:I148)</f>
        <v>385</v>
      </c>
    </row>
    <row r="149" spans="2:16" ht="15" customHeight="1">
      <c r="B149" s="114">
        <v>2029</v>
      </c>
      <c r="C149" s="113">
        <f t="shared" si="22"/>
        <v>50</v>
      </c>
      <c r="D149" s="112">
        <f t="shared" si="23"/>
        <v>52</v>
      </c>
      <c r="E149" s="112">
        <f t="shared" si="23"/>
        <v>53</v>
      </c>
      <c r="F149" s="112">
        <f t="shared" si="23"/>
        <v>54</v>
      </c>
      <c r="G149" s="112">
        <f t="shared" si="23"/>
        <v>54</v>
      </c>
      <c r="H149" s="112">
        <f t="shared" si="23"/>
        <v>57</v>
      </c>
      <c r="I149" s="112">
        <f t="shared" si="23"/>
        <v>61</v>
      </c>
      <c r="J149" s="111">
        <f t="shared" si="25"/>
        <v>381</v>
      </c>
    </row>
    <row r="150" spans="2:16" ht="15" customHeight="1">
      <c r="B150" s="114">
        <v>2030</v>
      </c>
      <c r="C150" s="113">
        <f t="shared" si="22"/>
        <v>50</v>
      </c>
      <c r="D150" s="112">
        <f t="shared" si="23"/>
        <v>52</v>
      </c>
      <c r="E150" s="112">
        <f t="shared" si="23"/>
        <v>53</v>
      </c>
      <c r="F150" s="112">
        <f t="shared" si="23"/>
        <v>54</v>
      </c>
      <c r="G150" s="112">
        <f t="shared" si="23"/>
        <v>54</v>
      </c>
      <c r="H150" s="112">
        <f t="shared" si="23"/>
        <v>56</v>
      </c>
      <c r="I150" s="112">
        <f t="shared" si="23"/>
        <v>60</v>
      </c>
      <c r="J150" s="111">
        <f t="shared" si="25"/>
        <v>379</v>
      </c>
    </row>
    <row r="151" spans="2:16" ht="15" customHeight="1">
      <c r="B151" s="114">
        <v>2031</v>
      </c>
      <c r="C151" s="113">
        <f t="shared" si="22"/>
        <v>50</v>
      </c>
      <c r="D151" s="112">
        <f t="shared" si="23"/>
        <v>52</v>
      </c>
      <c r="E151" s="112">
        <f t="shared" si="23"/>
        <v>53</v>
      </c>
      <c r="F151" s="112">
        <f t="shared" si="23"/>
        <v>54</v>
      </c>
      <c r="G151" s="112">
        <f t="shared" si="23"/>
        <v>54</v>
      </c>
      <c r="H151" s="112">
        <f t="shared" si="23"/>
        <v>56</v>
      </c>
      <c r="I151" s="112">
        <f t="shared" si="23"/>
        <v>59</v>
      </c>
      <c r="J151" s="111">
        <f t="shared" si="25"/>
        <v>378</v>
      </c>
    </row>
    <row r="152" spans="2:16" ht="15" customHeight="1">
      <c r="B152" s="114">
        <v>2032</v>
      </c>
      <c r="C152" s="113">
        <f t="shared" si="22"/>
        <v>50</v>
      </c>
      <c r="D152" s="112">
        <f t="shared" si="23"/>
        <v>52</v>
      </c>
      <c r="E152" s="112">
        <f t="shared" si="23"/>
        <v>53</v>
      </c>
      <c r="F152" s="112">
        <f t="shared" si="23"/>
        <v>54</v>
      </c>
      <c r="G152" s="112">
        <f t="shared" si="23"/>
        <v>54</v>
      </c>
      <c r="H152" s="112">
        <f t="shared" si="23"/>
        <v>56</v>
      </c>
      <c r="I152" s="112">
        <f t="shared" si="23"/>
        <v>59</v>
      </c>
      <c r="J152" s="111">
        <f t="shared" si="25"/>
        <v>378</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355</v>
      </c>
      <c r="D159" s="108">
        <f>J140</f>
        <v>332</v>
      </c>
      <c r="E159" s="108">
        <f>J141</f>
        <v>336</v>
      </c>
      <c r="F159" s="108">
        <f>J142</f>
        <v>340</v>
      </c>
      <c r="G159" s="108">
        <f>J143</f>
        <v>367</v>
      </c>
      <c r="H159" s="108">
        <f>J144</f>
        <v>369</v>
      </c>
      <c r="I159" s="108">
        <f>J145</f>
        <v>372</v>
      </c>
      <c r="J159" s="108">
        <f>J146</f>
        <v>373</v>
      </c>
      <c r="K159" s="108">
        <f>J147</f>
        <v>390</v>
      </c>
      <c r="L159" s="108">
        <f>J148</f>
        <v>385</v>
      </c>
      <c r="M159" s="108">
        <f>J149</f>
        <v>381</v>
      </c>
      <c r="N159" s="108">
        <f>J150</f>
        <v>379</v>
      </c>
      <c r="O159" s="108">
        <f>J151</f>
        <v>378</v>
      </c>
      <c r="P159" s="108">
        <f>J152</f>
        <v>378</v>
      </c>
    </row>
    <row r="160" spans="2:16" ht="15" customHeight="1">
      <c r="B160" s="107" t="s">
        <v>152</v>
      </c>
      <c r="C160" s="106">
        <f>VLOOKUP(C159,Capacity!$A$1:$C$645,2,TRUE)</f>
        <v>14</v>
      </c>
      <c r="D160" s="106">
        <f>VLOOKUP(D159,Capacity!$A$1:$C$645,2,TRUE)</f>
        <v>14</v>
      </c>
      <c r="E160" s="106">
        <f>VLOOKUP(E159,Capacity!$A$1:$C$645,2,TRUE)</f>
        <v>14</v>
      </c>
      <c r="F160" s="106">
        <f>VLOOKUP(F159,Capacity!$A$1:$C$645,2,TRUE)</f>
        <v>14</v>
      </c>
      <c r="G160" s="106">
        <f>VLOOKUP(G159,Capacity!$A$1:$C$645,2,TRUE)</f>
        <v>14</v>
      </c>
      <c r="H160" s="106">
        <f>VLOOKUP(H159,Capacity!$A$1:$C$645,2,TRUE)</f>
        <v>14</v>
      </c>
      <c r="I160" s="106">
        <f>VLOOKUP(I159,Capacity!$A$1:$C$645,2,TRUE)</f>
        <v>14</v>
      </c>
      <c r="J160" s="106">
        <f>VLOOKUP(J159,Capacity!$A$1:$C$645,2,TRUE)</f>
        <v>14</v>
      </c>
      <c r="K160" s="106">
        <f>VLOOKUP(K159,Capacity!$A$1:$C$645,2,TRUE)</f>
        <v>14</v>
      </c>
      <c r="L160" s="106">
        <f>VLOOKUP(L159,Capacity!$A$1:$C$645,2,TRUE)</f>
        <v>14</v>
      </c>
      <c r="M160" s="106">
        <f>VLOOKUP(M159,Capacity!$A$1:$C$645,2,TRUE)</f>
        <v>14</v>
      </c>
      <c r="N160" s="106">
        <f>VLOOKUP(N159,Capacity!$A$1:$C$645,2,TRUE)</f>
        <v>14</v>
      </c>
      <c r="O160" s="106">
        <f>VLOOKUP(O159,Capacity!$A$1:$C$645,2,TRUE)</f>
        <v>14</v>
      </c>
      <c r="P160" s="106">
        <f>VLOOKUP(P159,Capacity!$A$1:$C$645,2,TRUE)</f>
        <v>14</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 customHeight="1">
      <c r="B164" s="63" t="s">
        <v>145</v>
      </c>
      <c r="C164" s="62"/>
      <c r="D164" s="62"/>
      <c r="E164" s="62"/>
      <c r="F164" s="62"/>
      <c r="G164" s="62"/>
      <c r="H164" s="62"/>
      <c r="I164" s="62"/>
      <c r="J164" s="62"/>
      <c r="K164" s="62"/>
      <c r="L164" s="62"/>
      <c r="M164" s="62"/>
    </row>
    <row r="165" spans="2:14" ht="15" customHeight="1">
      <c r="B165" s="62"/>
      <c r="C165" s="62"/>
      <c r="D165" s="62"/>
      <c r="E165" s="62"/>
      <c r="F165" s="62"/>
      <c r="G165" s="62"/>
      <c r="H165" s="62"/>
      <c r="I165" s="62"/>
      <c r="J165" s="62"/>
      <c r="K165" s="62"/>
      <c r="L165" s="62"/>
      <c r="M165" s="62"/>
    </row>
    <row r="166" spans="2:14" ht="15" customHeight="1">
      <c r="B166" s="64" t="s">
        <v>146</v>
      </c>
      <c r="C166" s="65"/>
      <c r="D166" s="65"/>
      <c r="E166" s="65"/>
      <c r="F166" s="65"/>
      <c r="G166" s="65"/>
      <c r="H166" s="65"/>
      <c r="I166" s="65"/>
      <c r="J166" s="65"/>
      <c r="K166" s="62"/>
      <c r="L166" s="62"/>
      <c r="M166" s="62"/>
    </row>
    <row r="167" spans="2:14" ht="15" customHeight="1">
      <c r="B167" s="64"/>
      <c r="C167" s="65"/>
      <c r="D167" s="65"/>
      <c r="E167" s="65"/>
      <c r="F167" s="65"/>
      <c r="G167" s="65"/>
      <c r="H167" s="65"/>
      <c r="I167" s="65"/>
      <c r="J167" s="65"/>
      <c r="K167" s="62"/>
      <c r="L167" s="62"/>
      <c r="M167" s="62"/>
    </row>
    <row r="168" spans="2:14" ht="15" customHeight="1">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15" customHeight="1">
      <c r="B169" s="103" t="s">
        <v>129</v>
      </c>
      <c r="C169" s="97">
        <f>VLOOKUP($E$3,'Catchment Births'!$A$1:$U$90,10,FALSE)</f>
        <v>28</v>
      </c>
      <c r="D169" s="97">
        <f>VLOOKUP($E$3,'Catchment Births'!$A$1:$U$90,11,FALSE)</f>
        <v>44</v>
      </c>
      <c r="E169" s="97">
        <f>VLOOKUP($E$3,'Catchment Births'!$A$1:$U$90,12,FALSE)</f>
        <v>34</v>
      </c>
      <c r="F169" s="97">
        <f>VLOOKUP($E$3,'Catchment Births'!$A$1:$U$90,13,FALSE)</f>
        <v>42</v>
      </c>
      <c r="G169" s="97">
        <f>VLOOKUP($E$3,'Catchment Births'!$A$1:$U$90,14,FALSE)</f>
        <v>43</v>
      </c>
      <c r="H169" s="97">
        <f>VLOOKUP($E$3,'Catchment Births'!$A$1:$U$90,15,FALSE)</f>
        <v>39</v>
      </c>
      <c r="I169" s="97">
        <f>VLOOKUP($E$3,'Catchment Births'!$A$1:$U$90,16,FALSE)</f>
        <v>49</v>
      </c>
      <c r="J169" s="97">
        <f>VLOOKUP($E$3,'Catchment Births'!$A$1:$U$90,17,FALSE)</f>
        <v>37</v>
      </c>
      <c r="K169" s="97">
        <f>VLOOKUP($E$3,'Catchment Births'!$A$1:$U$90,18,FALSE)</f>
        <v>40</v>
      </c>
      <c r="L169" s="97">
        <f>VLOOKUP($E$3,'Catchment Births'!$A$1:$U$90,19,FALSE)</f>
        <v>38</v>
      </c>
      <c r="M169" s="97">
        <f>VLOOKUP($E$3,'Catchment Births'!$A$1:$U$90,20,FALSE)</f>
        <v>49</v>
      </c>
      <c r="N169" s="97">
        <f>VLOOKUP($E$3,'Catchment Births'!$A$1:$U$90,21,FALSE)</f>
        <v>34</v>
      </c>
    </row>
    <row r="170" spans="2:14" ht="15" customHeight="1">
      <c r="B170" s="103" t="str">
        <f>"P1 "&amp;A35&amp;" Catchment Population (Actual)"</f>
        <v>P1 ND Catchment Population (Actual)</v>
      </c>
      <c r="C170" s="102" t="e">
        <v>#REF!</v>
      </c>
      <c r="D170" s="102">
        <v>41</v>
      </c>
      <c r="E170" s="102">
        <v>30</v>
      </c>
      <c r="F170" s="102">
        <v>28</v>
      </c>
      <c r="G170" s="102">
        <v>35</v>
      </c>
      <c r="H170" s="102">
        <v>31</v>
      </c>
      <c r="I170" s="102">
        <v>36</v>
      </c>
      <c r="J170" s="308">
        <f>VLOOKUP(E3,'Catchment Projections'!A1:BU92,42,FALSE)</f>
        <v>33</v>
      </c>
      <c r="K170" s="62"/>
      <c r="L170" s="62"/>
      <c r="M170" s="62"/>
    </row>
    <row r="171" spans="2:14" ht="15" customHeight="1">
      <c r="B171" s="88" t="s">
        <v>160</v>
      </c>
      <c r="C171" s="100"/>
      <c r="D171" s="100"/>
      <c r="E171" s="100"/>
      <c r="F171" s="100"/>
      <c r="G171" s="100"/>
      <c r="H171" s="100"/>
      <c r="I171" s="101"/>
      <c r="J171" s="89">
        <f>D53</f>
        <v>0</v>
      </c>
      <c r="K171" s="62"/>
      <c r="L171" s="62"/>
      <c r="M171" s="62"/>
    </row>
    <row r="172" spans="2:14" ht="15" customHeight="1">
      <c r="B172" s="99" t="s">
        <v>140</v>
      </c>
      <c r="C172" s="99"/>
      <c r="D172" s="98"/>
      <c r="E172" s="98"/>
      <c r="F172" s="98"/>
      <c r="G172" s="97"/>
      <c r="H172" s="96"/>
      <c r="I172" s="96">
        <f>I170</f>
        <v>36</v>
      </c>
      <c r="J172" s="96" t="e">
        <f>#REF!</f>
        <v>#REF!</v>
      </c>
      <c r="K172" s="96">
        <f>D51</f>
        <v>45</v>
      </c>
      <c r="L172" s="96">
        <f>E51</f>
        <v>32</v>
      </c>
      <c r="M172" s="96">
        <f>F51</f>
        <v>48</v>
      </c>
      <c r="N172" s="96">
        <f>G51</f>
        <v>46</v>
      </c>
    </row>
    <row r="173" spans="2:14" ht="15" customHeight="1">
      <c r="B173" s="62"/>
      <c r="C173" s="62"/>
      <c r="D173" s="62"/>
      <c r="E173" s="62"/>
      <c r="F173" s="62"/>
      <c r="G173" s="62"/>
      <c r="H173" s="62"/>
      <c r="I173" s="62"/>
      <c r="J173" s="62"/>
      <c r="K173" s="62"/>
    </row>
    <row r="174" spans="2:14" ht="15" customHeight="1">
      <c r="B174" s="64" t="str">
        <f>"Table 5: "&amp;E3&amp;" Roll by Stage, 2002-2018"</f>
        <v>Table 5: The Royal High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48</v>
      </c>
      <c r="D177" s="93">
        <v>60</v>
      </c>
      <c r="E177" s="93">
        <v>55</v>
      </c>
      <c r="F177" s="93">
        <v>60</v>
      </c>
      <c r="G177" s="93">
        <v>58</v>
      </c>
      <c r="H177" s="93">
        <v>56</v>
      </c>
      <c r="I177" s="93">
        <v>60</v>
      </c>
      <c r="J177" s="92">
        <f t="shared" ref="J177:J190" si="26">SUM(C177:I177)</f>
        <v>397</v>
      </c>
      <c r="K177" s="62"/>
    </row>
    <row r="178" spans="2:11" ht="15" customHeight="1">
      <c r="B178" s="94">
        <v>2003</v>
      </c>
      <c r="C178" s="93">
        <v>60</v>
      </c>
      <c r="D178" s="93">
        <v>46</v>
      </c>
      <c r="E178" s="93">
        <v>58</v>
      </c>
      <c r="F178" s="93">
        <v>55</v>
      </c>
      <c r="G178" s="93">
        <v>58</v>
      </c>
      <c r="H178" s="93">
        <v>59</v>
      </c>
      <c r="I178" s="93">
        <v>54</v>
      </c>
      <c r="J178" s="92">
        <f t="shared" si="26"/>
        <v>390</v>
      </c>
      <c r="K178" s="62"/>
    </row>
    <row r="179" spans="2:11" customFormat="1" ht="15" customHeight="1">
      <c r="B179" s="94">
        <v>2004</v>
      </c>
      <c r="C179" s="95">
        <v>30</v>
      </c>
      <c r="D179" s="95">
        <v>60</v>
      </c>
      <c r="E179" s="95">
        <v>47</v>
      </c>
      <c r="F179" s="95">
        <v>58</v>
      </c>
      <c r="G179" s="95">
        <v>58</v>
      </c>
      <c r="H179" s="95">
        <v>59</v>
      </c>
      <c r="I179" s="95">
        <v>56</v>
      </c>
      <c r="J179" s="92">
        <f t="shared" si="26"/>
        <v>368</v>
      </c>
      <c r="K179" s="62"/>
    </row>
    <row r="180" spans="2:11" customFormat="1" ht="15" customHeight="1">
      <c r="B180" s="94">
        <v>2005</v>
      </c>
      <c r="C180" s="93">
        <v>44</v>
      </c>
      <c r="D180" s="93">
        <v>28</v>
      </c>
      <c r="E180" s="93">
        <v>58</v>
      </c>
      <c r="F180" s="93">
        <v>51</v>
      </c>
      <c r="G180" s="93">
        <v>57</v>
      </c>
      <c r="H180" s="93">
        <v>57</v>
      </c>
      <c r="I180" s="93">
        <v>60</v>
      </c>
      <c r="J180" s="92">
        <f t="shared" si="26"/>
        <v>355</v>
      </c>
      <c r="K180" s="62"/>
    </row>
    <row r="181" spans="2:11" customFormat="1" ht="15" customHeight="1">
      <c r="B181" s="94">
        <v>2006</v>
      </c>
      <c r="C181" s="93">
        <v>54</v>
      </c>
      <c r="D181" s="93">
        <v>42</v>
      </c>
      <c r="E181" s="93">
        <v>30</v>
      </c>
      <c r="F181" s="93">
        <v>56</v>
      </c>
      <c r="G181" s="93">
        <v>46</v>
      </c>
      <c r="H181" s="93">
        <v>53</v>
      </c>
      <c r="I181" s="93">
        <v>51</v>
      </c>
      <c r="J181" s="92">
        <f t="shared" si="26"/>
        <v>332</v>
      </c>
      <c r="K181" s="62"/>
    </row>
    <row r="182" spans="2:11" customFormat="1" ht="15" customHeight="1">
      <c r="B182" s="94">
        <v>2007</v>
      </c>
      <c r="C182" s="93">
        <v>44</v>
      </c>
      <c r="D182" s="93">
        <v>51</v>
      </c>
      <c r="E182" s="93">
        <v>39</v>
      </c>
      <c r="F182" s="93">
        <v>30</v>
      </c>
      <c r="G182" s="93">
        <v>53</v>
      </c>
      <c r="H182" s="93">
        <v>47</v>
      </c>
      <c r="I182" s="93">
        <v>50</v>
      </c>
      <c r="J182" s="92">
        <f t="shared" si="26"/>
        <v>314</v>
      </c>
      <c r="K182" s="62"/>
    </row>
    <row r="183" spans="2:11" customFormat="1" ht="15" customHeight="1">
      <c r="B183" s="94">
        <v>2008</v>
      </c>
      <c r="C183" s="93">
        <v>58</v>
      </c>
      <c r="D183" s="93">
        <v>41</v>
      </c>
      <c r="E183" s="93">
        <v>49</v>
      </c>
      <c r="F183" s="93">
        <v>40</v>
      </c>
      <c r="G183" s="93">
        <v>27</v>
      </c>
      <c r="H183" s="93">
        <v>59</v>
      </c>
      <c r="I183" s="93">
        <v>48</v>
      </c>
      <c r="J183" s="92">
        <f t="shared" si="26"/>
        <v>322</v>
      </c>
      <c r="K183" s="62"/>
    </row>
    <row r="184" spans="2:11" customFormat="1" ht="15" customHeight="1">
      <c r="B184" s="94">
        <v>2009</v>
      </c>
      <c r="C184" s="93">
        <v>45</v>
      </c>
      <c r="D184" s="93">
        <v>57</v>
      </c>
      <c r="E184" s="93">
        <v>42</v>
      </c>
      <c r="F184" s="93">
        <v>50</v>
      </c>
      <c r="G184" s="93">
        <v>41</v>
      </c>
      <c r="H184" s="93">
        <v>30</v>
      </c>
      <c r="I184" s="93">
        <v>56</v>
      </c>
      <c r="J184" s="92">
        <f t="shared" si="26"/>
        <v>321</v>
      </c>
      <c r="K184" s="62"/>
    </row>
    <row r="185" spans="2:11" customFormat="1" ht="15" customHeight="1">
      <c r="B185" s="94">
        <v>2010</v>
      </c>
      <c r="C185" s="93">
        <v>58</v>
      </c>
      <c r="D185" s="93">
        <v>47</v>
      </c>
      <c r="E185" s="93">
        <v>58</v>
      </c>
      <c r="F185" s="93">
        <v>46</v>
      </c>
      <c r="G185" s="93">
        <v>49</v>
      </c>
      <c r="H185" s="93">
        <v>42</v>
      </c>
      <c r="I185" s="93">
        <v>30</v>
      </c>
      <c r="J185" s="92">
        <f t="shared" si="26"/>
        <v>330</v>
      </c>
      <c r="K185" s="62"/>
    </row>
    <row r="186" spans="2:11" customFormat="1" ht="15" customHeight="1">
      <c r="B186" s="94">
        <v>2011</v>
      </c>
      <c r="C186" s="93">
        <v>48</v>
      </c>
      <c r="D186" s="93">
        <v>60</v>
      </c>
      <c r="E186" s="93">
        <v>49</v>
      </c>
      <c r="F186" s="93">
        <v>57</v>
      </c>
      <c r="G186" s="93">
        <v>48</v>
      </c>
      <c r="H186" s="93">
        <v>48</v>
      </c>
      <c r="I186" s="93">
        <v>41</v>
      </c>
      <c r="J186" s="92">
        <f t="shared" si="26"/>
        <v>351</v>
      </c>
      <c r="K186" s="62"/>
    </row>
    <row r="187" spans="2:11" customFormat="1" ht="15" customHeight="1">
      <c r="B187" s="94">
        <v>2012</v>
      </c>
      <c r="C187" s="93">
        <v>33</v>
      </c>
      <c r="D187" s="93">
        <v>47</v>
      </c>
      <c r="E187" s="93">
        <v>59</v>
      </c>
      <c r="F187" s="93">
        <v>50</v>
      </c>
      <c r="G187" s="93">
        <v>56</v>
      </c>
      <c r="H187" s="93">
        <v>47</v>
      </c>
      <c r="I187" s="93">
        <v>52</v>
      </c>
      <c r="J187" s="92">
        <f t="shared" si="26"/>
        <v>344</v>
      </c>
      <c r="K187" s="62"/>
    </row>
    <row r="188" spans="2:11" customFormat="1" ht="15" customHeight="1">
      <c r="B188" s="94">
        <v>2013</v>
      </c>
      <c r="C188" s="93">
        <v>49</v>
      </c>
      <c r="D188" s="93">
        <v>35</v>
      </c>
      <c r="E188" s="93">
        <v>47</v>
      </c>
      <c r="F188" s="93">
        <v>59</v>
      </c>
      <c r="G188" s="93">
        <v>52</v>
      </c>
      <c r="H188" s="93">
        <v>54</v>
      </c>
      <c r="I188" s="93">
        <v>42</v>
      </c>
      <c r="J188" s="92">
        <f t="shared" si="26"/>
        <v>338</v>
      </c>
      <c r="K188" s="62"/>
    </row>
    <row r="189" spans="2:11" customFormat="1" ht="15" customHeight="1">
      <c r="B189" s="94">
        <v>2014</v>
      </c>
      <c r="C189" s="93">
        <v>48</v>
      </c>
      <c r="D189" s="93">
        <v>52</v>
      </c>
      <c r="E189" s="93">
        <v>38</v>
      </c>
      <c r="F189" s="93">
        <v>47</v>
      </c>
      <c r="G189" s="93">
        <v>57</v>
      </c>
      <c r="H189" s="93">
        <v>49</v>
      </c>
      <c r="I189" s="93">
        <v>51</v>
      </c>
      <c r="J189" s="92">
        <f t="shared" si="26"/>
        <v>342</v>
      </c>
      <c r="K189" s="65"/>
    </row>
    <row r="190" spans="2:11" customFormat="1" ht="15" customHeight="1">
      <c r="B190" s="94">
        <v>2015</v>
      </c>
      <c r="C190" s="93">
        <v>47</v>
      </c>
      <c r="D190" s="93">
        <v>43</v>
      </c>
      <c r="E190" s="93">
        <v>53</v>
      </c>
      <c r="F190" s="93">
        <v>38</v>
      </c>
      <c r="G190" s="93">
        <v>47</v>
      </c>
      <c r="H190" s="93">
        <v>59</v>
      </c>
      <c r="I190" s="93">
        <v>52</v>
      </c>
      <c r="J190" s="92">
        <f t="shared" si="26"/>
        <v>339</v>
      </c>
      <c r="K190" s="65"/>
    </row>
    <row r="191" spans="2:11" customFormat="1" ht="15" customHeight="1">
      <c r="B191" s="94">
        <v>2016</v>
      </c>
      <c r="C191" s="93">
        <v>32</v>
      </c>
      <c r="D191" s="93">
        <v>49</v>
      </c>
      <c r="E191" s="93">
        <v>46</v>
      </c>
      <c r="F191" s="93">
        <v>54</v>
      </c>
      <c r="G191" s="93">
        <v>41</v>
      </c>
      <c r="H191" s="93">
        <v>49</v>
      </c>
      <c r="I191" s="93">
        <v>58</v>
      </c>
      <c r="J191" s="92">
        <f>SUM(C191:I191)</f>
        <v>329</v>
      </c>
      <c r="K191" s="65"/>
    </row>
    <row r="192" spans="2:11" ht="15" customHeight="1">
      <c r="B192" s="94">
        <v>2017</v>
      </c>
      <c r="C192" s="93">
        <f>VLOOKUP($E$3,Rolls!A1:FA90,42,FALSE)</f>
        <v>48</v>
      </c>
      <c r="D192" s="93">
        <f>VLOOKUP($E$3,Rolls!A1:FA90,43,FALSE)</f>
        <v>33</v>
      </c>
      <c r="E192" s="93">
        <f>VLOOKUP($E$3,Rolls!A1:FA90,44,FALSE)</f>
        <v>48</v>
      </c>
      <c r="F192" s="93">
        <f>VLOOKUP($E$3,Rolls!A1:FA90,45,FALSE)</f>
        <v>47</v>
      </c>
      <c r="G192" s="93">
        <f>VLOOKUP($E$3,Rolls!A1:FA90,46,FALSE)</f>
        <v>57</v>
      </c>
      <c r="H192" s="93">
        <f>VLOOKUP($E$3,Rolls!A1:FA90,47,FALSE)</f>
        <v>43</v>
      </c>
      <c r="I192" s="93">
        <f>VLOOKUP($E$3,Rolls!A1:FA90,48,FALSE)</f>
        <v>54</v>
      </c>
      <c r="J192" s="92">
        <f>VLOOKUP($E$3,Rolls!A1:FA90,49,FALSE)</f>
        <v>330</v>
      </c>
      <c r="K192" s="65"/>
    </row>
    <row r="193" spans="2:11" ht="15" customHeight="1">
      <c r="B193" s="94">
        <v>2018</v>
      </c>
      <c r="C193" s="93">
        <f>VLOOKUP($E$3,Rolls!A1:FA90,50,FALSE)</f>
        <v>46</v>
      </c>
      <c r="D193" s="93">
        <f>VLOOKUP($E$3,Rolls!A1:FA90,51,FALSE)</f>
        <v>51</v>
      </c>
      <c r="E193" s="93">
        <f>VLOOKUP($E$3,Rolls!A1:FA90,52,FALSE)</f>
        <v>31</v>
      </c>
      <c r="F193" s="93">
        <f>VLOOKUP($E$3,Rolls!A1:FA90,53,FALSE)</f>
        <v>49</v>
      </c>
      <c r="G193" s="93">
        <f>VLOOKUP($E$3,Rolls!A1:FA90,54,FALSE)</f>
        <v>47</v>
      </c>
      <c r="H193" s="93">
        <f>VLOOKUP($E$3,Rolls!A1:FA90,55,FALSE)</f>
        <v>59</v>
      </c>
      <c r="I193" s="93">
        <f>VLOOKUP($E$3,Rolls!A1:FA90,56,FALSE)</f>
        <v>46</v>
      </c>
      <c r="J193" s="92">
        <f>VLOOKUP($E$3,Rolls!A1:FA90,57,FALSE)</f>
        <v>329</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dimension ref="A1:Q193"/>
  <sheetViews>
    <sheetView topLeftCell="B39" zoomScaleNormal="100" workbookViewId="0">
      <selection activeCell="H60" sqref="H60"/>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69</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Tollcross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315 Pupils (12 classes)</v>
      </c>
      <c r="G12" s="16"/>
      <c r="H12" s="16"/>
    </row>
    <row r="13" spans="2:10" ht="15" customHeight="1">
      <c r="C13" s="16"/>
      <c r="D13" s="16"/>
      <c r="E13" s="16"/>
      <c r="F13" s="16"/>
      <c r="G13" s="16"/>
      <c r="H13" s="16"/>
    </row>
    <row r="14" spans="2:10" ht="15" customHeight="1">
      <c r="B14" s="15" t="str">
        <f>"Figure 1: "&amp;E3&amp;" Roll, 2002-2015"</f>
        <v>Figure 1: Tollcross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Tollcross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30</v>
      </c>
      <c r="E49" s="108">
        <f>VLOOKUP($E$3,'Catchment Projections'!$A$1:$BU$90,46,FALSE)</f>
        <v>35</v>
      </c>
      <c r="F49" s="108">
        <f>VLOOKUP($E$3,'Catchment Projections'!$A$1:$BU$90,47,FALSE)</f>
        <v>21</v>
      </c>
      <c r="G49" s="108">
        <f>VLOOKUP($E$3,'Catchment Projections'!$A$1:$BU$90,48,FALSE)</f>
        <v>20</v>
      </c>
      <c r="H49" s="133">
        <f>VLOOKUP($E$3,'Catchment Projections'!$A$1:$BU$90,49,FALSE)</f>
        <v>26</v>
      </c>
      <c r="I49" s="133">
        <f>VLOOKUP($E$3,'Catchment Projections'!$A$1:$BU$90,50,FALSE)</f>
        <v>26</v>
      </c>
      <c r="J49" s="133">
        <f>VLOOKUP($E$3,'Catchment Projections'!$A$1:$BU$90,51,FALSE)</f>
        <v>26</v>
      </c>
      <c r="K49" s="133">
        <f>VLOOKUP($E$3,'Catchment Projections'!$A$1:$BU$90,52,FALSE)</f>
        <v>27</v>
      </c>
      <c r="L49" s="133">
        <f>VLOOKUP($E$3,'Catchment Projections'!$A$1:$BU$90,53,FALSE)</f>
        <v>27</v>
      </c>
      <c r="M49" s="133">
        <f>VLOOKUP($E$3,'Catchment Projections'!$A$1:$BU$90,54,FALSE)</f>
        <v>27</v>
      </c>
      <c r="N49" s="133">
        <f>VLOOKUP($E$3,'Catchment Projections'!$A$1:$BU$90,55,FALSE)</f>
        <v>27</v>
      </c>
      <c r="O49" s="133">
        <f>VLOOKUP($E$3,'Catchment Projections'!$A$1:$BU$90,56,FALSE)</f>
        <v>27</v>
      </c>
      <c r="P49" s="133">
        <f>VLOOKUP($E$3,'Catchment Projections'!$A$1:$BU$90,57,FALSE)</f>
        <v>27</v>
      </c>
      <c r="Q49" s="133">
        <f>VLOOKUP($E$3,'Catchment Projections'!$A$1:$BU$90,58,FALSE)</f>
        <v>27</v>
      </c>
    </row>
    <row r="50" spans="2:17" ht="15" customHeight="1" thickBot="1">
      <c r="B50" s="410" t="s">
        <v>141</v>
      </c>
      <c r="C50" s="411"/>
      <c r="D50" s="286">
        <f>VLOOKUP(E3,'Housing Generation'!$A$3:$DQ$90,10,FALSE)</f>
        <v>0</v>
      </c>
      <c r="E50" s="286">
        <f>VLOOKUP(E3,'Housing Generation'!$A$3:$DQ$90,18,FALSE)</f>
        <v>1</v>
      </c>
      <c r="F50" s="286">
        <f>VLOOKUP(E3,'Housing Generation'!$A$3:$DQ$90,26,FALSE)</f>
        <v>1</v>
      </c>
      <c r="G50" s="243">
        <f>VLOOKUP(E3,'Housing Generation'!$A$3:$DQ$90,34,FALSE)</f>
        <v>1</v>
      </c>
      <c r="H50" s="133">
        <f>VLOOKUP(E3,'Housing Generation'!$A$3:$DQ$90,42,FALSE)</f>
        <v>1</v>
      </c>
      <c r="I50" s="133">
        <f>VLOOKUP(E3,'Housing Generation'!$A$3:$DQ$90,50,FALSE)</f>
        <v>2</v>
      </c>
      <c r="J50" s="133">
        <f>VLOOKUP(E3,'Housing Generation'!$A$3:$CK$90,58,FALSE)</f>
        <v>2</v>
      </c>
      <c r="K50" s="133">
        <f>VLOOKUP(E3,'Housing Generation'!$A$3:$CK$90,66,FALSE)</f>
        <v>2</v>
      </c>
      <c r="L50" s="133">
        <f>VLOOKUP(E3,'Housing Generation'!$A$3:$DQ$90,74,FALSE)</f>
        <v>2</v>
      </c>
      <c r="M50" s="133">
        <f>VLOOKUP(E3,'Housing Generation'!$A$3:$DQ$90,82,FALSE)</f>
        <v>2</v>
      </c>
      <c r="N50" s="133">
        <f>VLOOKUP(E3,'Housing Generation'!$A$3:$DQ$90,90,FALSE)</f>
        <v>2</v>
      </c>
      <c r="O50" s="133">
        <f>VLOOKUP(E3,'Housing Generation'!$A$3:$DQ$90,98,FALSE)</f>
        <v>2</v>
      </c>
      <c r="P50" s="133">
        <f>VLOOKUP(E3,'Housing Generation'!$A$3:$DQ$90,106,FALSE)</f>
        <v>2</v>
      </c>
      <c r="Q50" s="133">
        <f>VLOOKUP(E3,'Housing Generation'!$A$3:$DQ$90,114,FALSE)</f>
        <v>2</v>
      </c>
    </row>
    <row r="51" spans="2:17" ht="15" customHeight="1" thickTop="1">
      <c r="B51" s="421" t="s">
        <v>130</v>
      </c>
      <c r="C51" s="422"/>
      <c r="D51" s="47">
        <f t="shared" ref="D51:Q51" si="0">SUM(D49:D50)</f>
        <v>30</v>
      </c>
      <c r="E51" s="47">
        <f t="shared" si="0"/>
        <v>36</v>
      </c>
      <c r="F51" s="80">
        <f t="shared" si="0"/>
        <v>22</v>
      </c>
      <c r="G51" s="244">
        <f t="shared" si="0"/>
        <v>21</v>
      </c>
      <c r="H51" s="71">
        <f t="shared" si="0"/>
        <v>27</v>
      </c>
      <c r="I51" s="71">
        <f t="shared" si="0"/>
        <v>28</v>
      </c>
      <c r="J51" s="71">
        <f t="shared" si="0"/>
        <v>28</v>
      </c>
      <c r="K51" s="71">
        <f t="shared" si="0"/>
        <v>29</v>
      </c>
      <c r="L51" s="71">
        <f t="shared" si="0"/>
        <v>29</v>
      </c>
      <c r="M51" s="71">
        <f t="shared" si="0"/>
        <v>29</v>
      </c>
      <c r="N51" s="71">
        <f t="shared" si="0"/>
        <v>29</v>
      </c>
      <c r="O51" s="71">
        <f t="shared" si="0"/>
        <v>29</v>
      </c>
      <c r="P51" s="71">
        <f t="shared" si="0"/>
        <v>29</v>
      </c>
      <c r="Q51" s="71">
        <f t="shared" si="0"/>
        <v>29</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24</v>
      </c>
      <c r="D60" s="358">
        <f>VLOOKUP($E$3,'Catchment Projections'!$A$1:$BZ$90,74,FALSE)</f>
        <v>21</v>
      </c>
      <c r="E60" s="303">
        <f>D60/C60</f>
        <v>0.875</v>
      </c>
      <c r="G60" s="132">
        <v>2014</v>
      </c>
      <c r="H60" s="395">
        <f>VLOOKUP($G$60,$B$177:$C$215, 2, FALSE)</f>
        <v>47</v>
      </c>
      <c r="I60" s="120">
        <f>H60-D60</f>
        <v>26</v>
      </c>
      <c r="J60" s="121">
        <f>I60/H60</f>
        <v>0.55319148936170215</v>
      </c>
    </row>
    <row r="61" spans="2:17" ht="15" customHeight="1">
      <c r="B61" s="132">
        <v>2015</v>
      </c>
      <c r="C61" s="359">
        <f>VLOOKUP($E$3,'Catchment Projections'!$A$1:$BZ$90,41,FALSE)</f>
        <v>20</v>
      </c>
      <c r="D61" s="358">
        <f>VLOOKUP($E$3,'Catchment Projections'!$A$1:$BZ$90,75,FALSE)</f>
        <v>18</v>
      </c>
      <c r="E61" s="303">
        <f>D61/C61</f>
        <v>0.9</v>
      </c>
      <c r="G61" s="132">
        <v>2015</v>
      </c>
      <c r="H61" s="395">
        <f>VLOOKUP($G$61,$B$177:$C$215, 2, FALSE)</f>
        <v>33</v>
      </c>
      <c r="I61" s="120">
        <f>H61-D61</f>
        <v>15</v>
      </c>
      <c r="J61" s="121">
        <f>I61/H61</f>
        <v>0.45454545454545453</v>
      </c>
    </row>
    <row r="62" spans="2:17" ht="15" customHeight="1">
      <c r="B62" s="131">
        <v>2016</v>
      </c>
      <c r="C62" s="359">
        <f>VLOOKUP($E$3,'Catchment Projections'!$A$1:$BZ$90,42,FALSE)</f>
        <v>26</v>
      </c>
      <c r="D62" s="358">
        <f>VLOOKUP($E$3,'Catchment Projections'!$A$1:$BZ$90,76,FALSE)</f>
        <v>21</v>
      </c>
      <c r="E62" s="57">
        <f>D62/C62</f>
        <v>0.80769230769230771</v>
      </c>
      <c r="G62" s="131">
        <v>2016</v>
      </c>
      <c r="H62" s="395">
        <f>VLOOKUP($G$62,$B$177:$C$215, 2, FALSE)</f>
        <v>34</v>
      </c>
      <c r="I62" s="120">
        <f>H62-D62</f>
        <v>13</v>
      </c>
      <c r="J62" s="121">
        <f>I62/H62</f>
        <v>0.38235294117647056</v>
      </c>
    </row>
    <row r="63" spans="2:17" ht="15" customHeight="1">
      <c r="B63" s="114">
        <v>2017</v>
      </c>
      <c r="C63" s="359">
        <f>VLOOKUP($E$3,'Catchment Projections'!$A$1:$BZ$90,43,FALSE)</f>
        <v>25</v>
      </c>
      <c r="D63" s="358">
        <f>VLOOKUP($E$3,'Catchment Projections'!$A$1:$BZ$90,77,FALSE)</f>
        <v>22</v>
      </c>
      <c r="E63" s="304">
        <f>D63/C63</f>
        <v>0.88</v>
      </c>
      <c r="G63" s="114">
        <v>2017</v>
      </c>
      <c r="H63" s="395">
        <f>VLOOKUP($G$63,$B$177:$C$215, 2, FALSE)</f>
        <v>34</v>
      </c>
      <c r="I63" s="120">
        <f>H63-D63</f>
        <v>12</v>
      </c>
      <c r="J63" s="121">
        <f>I63/H63</f>
        <v>0.35294117647058826</v>
      </c>
    </row>
    <row r="64" spans="2:17" ht="15" customHeight="1">
      <c r="B64" s="114">
        <v>2018</v>
      </c>
      <c r="C64" s="359">
        <f>VLOOKUP($E$3,'Catchment Projections'!$A$1:$BZ$90,44,FALSE)</f>
        <v>30</v>
      </c>
      <c r="D64" s="358">
        <f>VLOOKUP($E$3,'Catchment Projections'!$A$1:$BZ$90,78,FALSE)</f>
        <v>25</v>
      </c>
      <c r="E64" s="305">
        <f>D64/C64</f>
        <v>0.83333333333333337</v>
      </c>
      <c r="G64" s="114">
        <v>2018</v>
      </c>
      <c r="H64" s="395">
        <f>VLOOKUP($G$64,$B$177:$C$215, 2, FALSE)</f>
        <v>38</v>
      </c>
      <c r="I64" s="120">
        <f>H64-D64</f>
        <v>13</v>
      </c>
      <c r="J64" s="121">
        <f>I64/H64</f>
        <v>0.34210526315789475</v>
      </c>
    </row>
    <row r="65" spans="2:10" ht="15" customHeight="1">
      <c r="B65" s="412" t="s">
        <v>136</v>
      </c>
      <c r="C65" s="413"/>
      <c r="D65" s="414"/>
      <c r="E65" s="137">
        <f>IF((AVERAGE(E62:E64))="#DIV/0!","n/a",(AVERAGE(E62:E64)))</f>
        <v>0.8403418803418804</v>
      </c>
      <c r="G65" s="415" t="s">
        <v>137</v>
      </c>
      <c r="H65" s="416"/>
      <c r="I65" s="138">
        <f>MEDIAN(I60:I64)</f>
        <v>13</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30</v>
      </c>
      <c r="D70" s="408"/>
      <c r="E70" s="122">
        <f>E65</f>
        <v>0.8403418803418804</v>
      </c>
      <c r="F70" s="120">
        <f t="shared" ref="F70:F83" si="1">C70*$E$65</f>
        <v>25.210256410256413</v>
      </c>
      <c r="G70" s="118">
        <f>IF(F70&lt;26,25,IF(F70&gt;135,140,IF(F70&gt;130,135,IF(F70&gt;125,130,IF(F70&gt;120,125,IF(F70&gt;115,120,IF(F70&gt;110,115,IF(F70&gt;105,110,IF(F70&gt;100,105,IF(F70&gt;99,100,IF(F70&gt;90,99,IF(F70&gt;75,90,IF(F70&gt;72,75,IF(F70&gt;66,72,IF(F70&gt;60,66,IF(F70&gt;50,60,IF(F70&gt;30,50,IF(F70&gt;25,30,0))))))))))))))))))</f>
        <v>25</v>
      </c>
      <c r="H70" s="119">
        <f t="shared" ref="H70:H83" si="2">G70-F70</f>
        <v>-0.21025641025641306</v>
      </c>
      <c r="I70" s="118" t="str">
        <f>IF(I$65&lt;H70, "NO", "YES")</f>
        <v>YES</v>
      </c>
      <c r="J70" s="117">
        <f t="shared" ref="J70:J83" si="3">IF(I70="YES",G70,(MIN((SUM(F70,$I$65)),G70)))</f>
        <v>25</v>
      </c>
    </row>
    <row r="71" spans="2:10" ht="15" customHeight="1">
      <c r="B71" s="114">
        <v>2020</v>
      </c>
      <c r="C71" s="433">
        <f>E51</f>
        <v>36</v>
      </c>
      <c r="D71" s="408"/>
      <c r="E71" s="121">
        <f>E65</f>
        <v>0.8403418803418804</v>
      </c>
      <c r="F71" s="120">
        <f t="shared" si="1"/>
        <v>30.252307692307696</v>
      </c>
      <c r="G71" s="118">
        <f t="shared" ref="G71:G83" si="4">IF(F71&lt;26,25,IF(F71&gt;135,140,IF(F71&gt;130,135,IF(F71&gt;125,130,IF(F71&gt;120,125,IF(F71&gt;115,120,IF(F71&gt;110,115,IF(F71&gt;105,110,IF(F71&gt;100,105,IF(F71&gt;99,100,IF(F71&gt;90,99,IF(F71&gt;75,90,IF(F71&gt;72,75,IF(F71&gt;66,72,IF(F71&gt;60,66,IF(F71&gt;50,60,IF(F71&gt;30,50,IF(F71&gt;25,30,0))))))))))))))))))</f>
        <v>50</v>
      </c>
      <c r="H71" s="119">
        <f t="shared" si="2"/>
        <v>19.747692307692304</v>
      </c>
      <c r="I71" s="118" t="str">
        <f t="shared" ref="I71:I83" si="5">IF(I$65&lt;H71, "NO", "YES")</f>
        <v>NO</v>
      </c>
      <c r="J71" s="117">
        <f t="shared" si="3"/>
        <v>43.252307692307696</v>
      </c>
    </row>
    <row r="72" spans="2:10" ht="15" customHeight="1">
      <c r="B72" s="114">
        <v>2021</v>
      </c>
      <c r="C72" s="430">
        <f>F51</f>
        <v>22</v>
      </c>
      <c r="D72" s="431"/>
      <c r="E72" s="121">
        <f>E65</f>
        <v>0.8403418803418804</v>
      </c>
      <c r="F72" s="120">
        <f t="shared" si="1"/>
        <v>18.487521367521367</v>
      </c>
      <c r="G72" s="118">
        <f t="shared" si="4"/>
        <v>25</v>
      </c>
      <c r="H72" s="119">
        <f t="shared" si="2"/>
        <v>6.5124786324786328</v>
      </c>
      <c r="I72" s="118" t="str">
        <f t="shared" si="5"/>
        <v>YES</v>
      </c>
      <c r="J72" s="117">
        <f t="shared" si="3"/>
        <v>25</v>
      </c>
    </row>
    <row r="73" spans="2:10" ht="15" customHeight="1">
      <c r="B73" s="114">
        <v>2022</v>
      </c>
      <c r="C73" s="430">
        <f>G51</f>
        <v>21</v>
      </c>
      <c r="D73" s="431"/>
      <c r="E73" s="121">
        <f>E65</f>
        <v>0.8403418803418804</v>
      </c>
      <c r="F73" s="120">
        <f t="shared" si="1"/>
        <v>17.647179487179489</v>
      </c>
      <c r="G73" s="118">
        <f t="shared" si="4"/>
        <v>25</v>
      </c>
      <c r="H73" s="119">
        <f t="shared" si="2"/>
        <v>7.3528205128205109</v>
      </c>
      <c r="I73" s="118" t="str">
        <f t="shared" si="5"/>
        <v>YES</v>
      </c>
      <c r="J73" s="117">
        <f t="shared" si="3"/>
        <v>25</v>
      </c>
    </row>
    <row r="74" spans="2:10" ht="15" customHeight="1">
      <c r="B74" s="114">
        <v>2023</v>
      </c>
      <c r="C74" s="430">
        <f>H51</f>
        <v>27</v>
      </c>
      <c r="D74" s="431"/>
      <c r="E74" s="121">
        <f>E65</f>
        <v>0.8403418803418804</v>
      </c>
      <c r="F74" s="120">
        <f t="shared" si="1"/>
        <v>22.689230769230772</v>
      </c>
      <c r="G74" s="118">
        <f t="shared" si="4"/>
        <v>25</v>
      </c>
      <c r="H74" s="119">
        <f t="shared" si="2"/>
        <v>2.3107692307692282</v>
      </c>
      <c r="I74" s="118" t="str">
        <f t="shared" si="5"/>
        <v>YES</v>
      </c>
      <c r="J74" s="117">
        <f t="shared" si="3"/>
        <v>25</v>
      </c>
    </row>
    <row r="75" spans="2:10" ht="15" customHeight="1">
      <c r="B75" s="114">
        <v>2024</v>
      </c>
      <c r="C75" s="430">
        <f>I51</f>
        <v>28</v>
      </c>
      <c r="D75" s="431"/>
      <c r="E75" s="121">
        <f>E65</f>
        <v>0.8403418803418804</v>
      </c>
      <c r="F75" s="120">
        <f t="shared" si="1"/>
        <v>23.52957264957265</v>
      </c>
      <c r="G75" s="118">
        <f t="shared" si="4"/>
        <v>25</v>
      </c>
      <c r="H75" s="119">
        <f t="shared" si="2"/>
        <v>1.4704273504273502</v>
      </c>
      <c r="I75" s="118" t="str">
        <f t="shared" si="5"/>
        <v>YES</v>
      </c>
      <c r="J75" s="117">
        <f t="shared" si="3"/>
        <v>25</v>
      </c>
    </row>
    <row r="76" spans="2:10" ht="15" customHeight="1">
      <c r="B76" s="114">
        <v>2025</v>
      </c>
      <c r="C76" s="430">
        <f>J51</f>
        <v>28</v>
      </c>
      <c r="D76" s="431"/>
      <c r="E76" s="121">
        <f>E65</f>
        <v>0.8403418803418804</v>
      </c>
      <c r="F76" s="120">
        <f t="shared" si="1"/>
        <v>23.52957264957265</v>
      </c>
      <c r="G76" s="118">
        <f t="shared" si="4"/>
        <v>25</v>
      </c>
      <c r="H76" s="119">
        <f t="shared" si="2"/>
        <v>1.4704273504273502</v>
      </c>
      <c r="I76" s="118" t="str">
        <f t="shared" si="5"/>
        <v>YES</v>
      </c>
      <c r="J76" s="117">
        <f t="shared" si="3"/>
        <v>25</v>
      </c>
    </row>
    <row r="77" spans="2:10" ht="15" customHeight="1">
      <c r="B77" s="114">
        <v>2026</v>
      </c>
      <c r="C77" s="430">
        <f>K51</f>
        <v>29</v>
      </c>
      <c r="D77" s="431"/>
      <c r="E77" s="121">
        <f>E65</f>
        <v>0.8403418803418804</v>
      </c>
      <c r="F77" s="120">
        <f t="shared" si="1"/>
        <v>24.369914529914531</v>
      </c>
      <c r="G77" s="118">
        <f t="shared" si="4"/>
        <v>25</v>
      </c>
      <c r="H77" s="119">
        <f t="shared" si="2"/>
        <v>0.63008547008546856</v>
      </c>
      <c r="I77" s="118" t="str">
        <f t="shared" si="5"/>
        <v>YES</v>
      </c>
      <c r="J77" s="117">
        <f t="shared" si="3"/>
        <v>25</v>
      </c>
    </row>
    <row r="78" spans="2:10" ht="15" customHeight="1">
      <c r="B78" s="114">
        <v>2027</v>
      </c>
      <c r="C78" s="430">
        <f>L51</f>
        <v>29</v>
      </c>
      <c r="D78" s="431"/>
      <c r="E78" s="121">
        <f>E65</f>
        <v>0.8403418803418804</v>
      </c>
      <c r="F78" s="120">
        <f t="shared" si="1"/>
        <v>24.369914529914531</v>
      </c>
      <c r="G78" s="118">
        <f t="shared" si="4"/>
        <v>25</v>
      </c>
      <c r="H78" s="119">
        <f t="shared" si="2"/>
        <v>0.63008547008546856</v>
      </c>
      <c r="I78" s="118" t="str">
        <f t="shared" si="5"/>
        <v>YES</v>
      </c>
      <c r="J78" s="117">
        <f t="shared" si="3"/>
        <v>25</v>
      </c>
    </row>
    <row r="79" spans="2:10" ht="15" customHeight="1">
      <c r="B79" s="114">
        <v>2028</v>
      </c>
      <c r="C79" s="430">
        <f>M51</f>
        <v>29</v>
      </c>
      <c r="D79" s="431"/>
      <c r="E79" s="121">
        <f t="shared" ref="E79:E83" si="6">$E$65</f>
        <v>0.8403418803418804</v>
      </c>
      <c r="F79" s="120">
        <f t="shared" si="1"/>
        <v>24.369914529914531</v>
      </c>
      <c r="G79" s="118">
        <f t="shared" si="4"/>
        <v>25</v>
      </c>
      <c r="H79" s="119">
        <f t="shared" si="2"/>
        <v>0.63008547008546856</v>
      </c>
      <c r="I79" s="118" t="str">
        <f t="shared" si="5"/>
        <v>YES</v>
      </c>
      <c r="J79" s="117">
        <f t="shared" si="3"/>
        <v>25</v>
      </c>
    </row>
    <row r="80" spans="2:10" ht="15" customHeight="1">
      <c r="B80" s="114">
        <v>2029</v>
      </c>
      <c r="C80" s="430">
        <f>N51</f>
        <v>29</v>
      </c>
      <c r="D80" s="431"/>
      <c r="E80" s="121">
        <f t="shared" si="6"/>
        <v>0.8403418803418804</v>
      </c>
      <c r="F80" s="120">
        <f t="shared" si="1"/>
        <v>24.369914529914531</v>
      </c>
      <c r="G80" s="118">
        <f t="shared" si="4"/>
        <v>25</v>
      </c>
      <c r="H80" s="119">
        <f t="shared" si="2"/>
        <v>0.63008547008546856</v>
      </c>
      <c r="I80" s="118" t="str">
        <f t="shared" si="5"/>
        <v>YES</v>
      </c>
      <c r="J80" s="117">
        <f t="shared" si="3"/>
        <v>25</v>
      </c>
    </row>
    <row r="81" spans="2:10" ht="15" customHeight="1">
      <c r="B81" s="114">
        <v>2030</v>
      </c>
      <c r="C81" s="430">
        <f>O51</f>
        <v>29</v>
      </c>
      <c r="D81" s="431"/>
      <c r="E81" s="121">
        <f t="shared" si="6"/>
        <v>0.8403418803418804</v>
      </c>
      <c r="F81" s="120">
        <f t="shared" si="1"/>
        <v>24.369914529914531</v>
      </c>
      <c r="G81" s="118">
        <f t="shared" si="4"/>
        <v>25</v>
      </c>
      <c r="H81" s="119">
        <f t="shared" si="2"/>
        <v>0.63008547008546856</v>
      </c>
      <c r="I81" s="118" t="str">
        <f t="shared" si="5"/>
        <v>YES</v>
      </c>
      <c r="J81" s="117">
        <f t="shared" si="3"/>
        <v>25</v>
      </c>
    </row>
    <row r="82" spans="2:10" ht="15" customHeight="1">
      <c r="B82" s="114">
        <v>2031</v>
      </c>
      <c r="C82" s="430">
        <f>P51</f>
        <v>29</v>
      </c>
      <c r="D82" s="431"/>
      <c r="E82" s="121">
        <f t="shared" si="6"/>
        <v>0.8403418803418804</v>
      </c>
      <c r="F82" s="120">
        <f t="shared" si="1"/>
        <v>24.369914529914531</v>
      </c>
      <c r="G82" s="118">
        <f t="shared" si="4"/>
        <v>25</v>
      </c>
      <c r="H82" s="119">
        <f t="shared" si="2"/>
        <v>0.63008547008546856</v>
      </c>
      <c r="I82" s="118" t="str">
        <f t="shared" si="5"/>
        <v>YES</v>
      </c>
      <c r="J82" s="117">
        <f t="shared" si="3"/>
        <v>25</v>
      </c>
    </row>
    <row r="83" spans="2:10" ht="15" customHeight="1">
      <c r="B83" s="114">
        <v>2032</v>
      </c>
      <c r="C83" s="430">
        <f>Q51</f>
        <v>29</v>
      </c>
      <c r="D83" s="431"/>
      <c r="E83" s="121">
        <f t="shared" si="6"/>
        <v>0.8403418803418804</v>
      </c>
      <c r="F83" s="120">
        <f t="shared" si="1"/>
        <v>24.369914529914531</v>
      </c>
      <c r="G83" s="118">
        <f t="shared" si="4"/>
        <v>25</v>
      </c>
      <c r="H83" s="119">
        <f t="shared" si="2"/>
        <v>0.63008547008546856</v>
      </c>
      <c r="I83" s="118" t="str">
        <f t="shared" si="5"/>
        <v>YES</v>
      </c>
      <c r="J83" s="117">
        <f t="shared" si="3"/>
        <v>25</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Tollcross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25</v>
      </c>
      <c r="D91" s="112">
        <f t="shared" ref="D91:J91" si="7">D188</f>
        <v>29</v>
      </c>
      <c r="E91" s="112">
        <f t="shared" si="7"/>
        <v>26</v>
      </c>
      <c r="F91" s="112">
        <f t="shared" si="7"/>
        <v>20</v>
      </c>
      <c r="G91" s="112">
        <f t="shared" si="7"/>
        <v>18</v>
      </c>
      <c r="H91" s="112">
        <f t="shared" si="7"/>
        <v>20</v>
      </c>
      <c r="I91" s="112">
        <f t="shared" si="7"/>
        <v>19</v>
      </c>
      <c r="J91" s="213">
        <f t="shared" si="7"/>
        <v>157</v>
      </c>
    </row>
    <row r="92" spans="2:10" ht="15" customHeight="1">
      <c r="B92" s="114">
        <v>2014</v>
      </c>
      <c r="C92" s="112">
        <f>C189</f>
        <v>47</v>
      </c>
      <c r="D92" s="112">
        <f t="shared" ref="D92:J92" si="8">D189</f>
        <v>27</v>
      </c>
      <c r="E92" s="112">
        <f t="shared" si="8"/>
        <v>30</v>
      </c>
      <c r="F92" s="112">
        <f t="shared" si="8"/>
        <v>19</v>
      </c>
      <c r="G92" s="112">
        <f t="shared" si="8"/>
        <v>22</v>
      </c>
      <c r="H92" s="112">
        <f t="shared" si="8"/>
        <v>24</v>
      </c>
      <c r="I92" s="112">
        <f t="shared" si="8"/>
        <v>20</v>
      </c>
      <c r="J92" s="213">
        <f t="shared" si="8"/>
        <v>189</v>
      </c>
    </row>
    <row r="93" spans="2:10" ht="15" customHeight="1">
      <c r="B93" s="114">
        <v>2015</v>
      </c>
      <c r="C93" s="112">
        <f>C190</f>
        <v>33</v>
      </c>
      <c r="D93" s="112">
        <f t="shared" ref="D93:J93" si="9">D190</f>
        <v>45</v>
      </c>
      <c r="E93" s="112">
        <f t="shared" si="9"/>
        <v>21</v>
      </c>
      <c r="F93" s="112">
        <f t="shared" si="9"/>
        <v>28</v>
      </c>
      <c r="G93" s="112">
        <f t="shared" si="9"/>
        <v>15</v>
      </c>
      <c r="H93" s="112">
        <f t="shared" si="9"/>
        <v>28</v>
      </c>
      <c r="I93" s="112">
        <f t="shared" si="9"/>
        <v>28</v>
      </c>
      <c r="J93" s="213">
        <f t="shared" si="9"/>
        <v>198</v>
      </c>
    </row>
    <row r="94" spans="2:10" ht="15" customHeight="1">
      <c r="B94" s="114">
        <v>2016</v>
      </c>
      <c r="C94" s="112">
        <f>C191</f>
        <v>34</v>
      </c>
      <c r="D94" s="112">
        <f t="shared" ref="D94:J94" si="10">D191</f>
        <v>29</v>
      </c>
      <c r="E94" s="112">
        <f t="shared" si="10"/>
        <v>47</v>
      </c>
      <c r="F94" s="112">
        <f t="shared" si="10"/>
        <v>24</v>
      </c>
      <c r="G94" s="112">
        <f t="shared" si="10"/>
        <v>27</v>
      </c>
      <c r="H94" s="112">
        <f t="shared" si="10"/>
        <v>20</v>
      </c>
      <c r="I94" s="112">
        <f t="shared" si="10"/>
        <v>29</v>
      </c>
      <c r="J94" s="213">
        <f t="shared" si="10"/>
        <v>210</v>
      </c>
    </row>
    <row r="95" spans="2:10" ht="15" customHeight="1">
      <c r="B95" s="114">
        <v>2017</v>
      </c>
      <c r="C95" s="112">
        <f>C192</f>
        <v>34</v>
      </c>
      <c r="D95" s="112">
        <f t="shared" ref="D95:J95" si="11">D192</f>
        <v>38</v>
      </c>
      <c r="E95" s="112">
        <f t="shared" si="11"/>
        <v>30</v>
      </c>
      <c r="F95" s="112">
        <f t="shared" si="11"/>
        <v>46</v>
      </c>
      <c r="G95" s="112">
        <f t="shared" si="11"/>
        <v>28</v>
      </c>
      <c r="H95" s="112">
        <f t="shared" si="11"/>
        <v>27</v>
      </c>
      <c r="I95" s="112">
        <f t="shared" si="11"/>
        <v>26</v>
      </c>
      <c r="J95" s="213">
        <f t="shared" si="11"/>
        <v>229</v>
      </c>
    </row>
    <row r="96" spans="2:10" ht="15" customHeight="1">
      <c r="B96" s="307">
        <v>2018</v>
      </c>
      <c r="C96" s="112">
        <f t="shared" ref="C96:J96" si="12">C193</f>
        <v>38</v>
      </c>
      <c r="D96" s="112">
        <f t="shared" si="12"/>
        <v>37</v>
      </c>
      <c r="E96" s="112">
        <f t="shared" si="12"/>
        <v>34</v>
      </c>
      <c r="F96" s="112">
        <f t="shared" si="12"/>
        <v>31</v>
      </c>
      <c r="G96" s="112">
        <f t="shared" si="12"/>
        <v>41</v>
      </c>
      <c r="H96" s="112">
        <f t="shared" si="12"/>
        <v>29</v>
      </c>
      <c r="I96" s="112">
        <f t="shared" si="12"/>
        <v>28</v>
      </c>
      <c r="J96" s="213">
        <f t="shared" si="12"/>
        <v>238</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-0.08</v>
      </c>
      <c r="E98" s="210">
        <f t="shared" ref="E98:I98" si="13">MEDIAN(((D91-E92)/D91),((D92-E93)/D92),((D93-E94)/D93),((D94-E95)/D94),((D95-E96)/D95))</f>
        <v>-3.4482758620689655E-2</v>
      </c>
      <c r="F98" s="210">
        <f t="shared" si="13"/>
        <v>2.1276595744680851E-2</v>
      </c>
      <c r="G98" s="210">
        <f t="shared" si="13"/>
        <v>3.5714285714285712E-2</v>
      </c>
      <c r="H98" s="210">
        <f t="shared" si="13"/>
        <v>-0.27272727272727271</v>
      </c>
      <c r="I98" s="210">
        <f t="shared" si="13"/>
        <v>-3.7037037037037035E-2</v>
      </c>
    </row>
    <row r="99" spans="2:10" ht="18.75">
      <c r="B99" s="59"/>
      <c r="C99" s="60"/>
      <c r="D99" s="61"/>
      <c r="E99" s="61"/>
      <c r="F99" s="61"/>
      <c r="G99" s="61"/>
      <c r="H99" s="61"/>
      <c r="I99" s="61"/>
      <c r="J99" s="58"/>
    </row>
    <row r="100" spans="2:10">
      <c r="B100" s="15" t="str">
        <f>"Table 4B: "&amp;E3&amp;" Projected Roll by Stage (incorporating Projected P1 and Drop-Off Rates), 2019-2032"</f>
        <v>Table 4B: Tollcross Primary School Projected Roll by Stage (incorporating Projected P1 and Drop-Off Rates), 2019-2032</v>
      </c>
      <c r="F100" s="14"/>
      <c r="G100" s="14"/>
    </row>
    <row r="101" spans="2:10" ht="12.75">
      <c r="F101" s="14"/>
      <c r="G101" s="14"/>
    </row>
    <row r="102" spans="2:10">
      <c r="B102" s="115"/>
      <c r="C102" s="109" t="s">
        <v>1</v>
      </c>
      <c r="D102" s="109" t="s">
        <v>2</v>
      </c>
      <c r="E102" s="109" t="s">
        <v>3</v>
      </c>
      <c r="F102" s="109" t="s">
        <v>4</v>
      </c>
      <c r="G102" s="109" t="s">
        <v>5</v>
      </c>
      <c r="H102" s="109" t="s">
        <v>6</v>
      </c>
      <c r="I102" s="109" t="s">
        <v>7</v>
      </c>
      <c r="J102" s="109" t="s">
        <v>8</v>
      </c>
    </row>
    <row r="103" spans="2:10">
      <c r="B103" s="114">
        <v>2019</v>
      </c>
      <c r="C103" s="113">
        <f t="shared" ref="C103:C116" si="14">J70</f>
        <v>25</v>
      </c>
      <c r="D103" s="324">
        <f>ROUND((C96)-(C96*$D$98),0)</f>
        <v>41</v>
      </c>
      <c r="E103" s="324">
        <f>ROUND((D96)-(D96*$E$98),0)</f>
        <v>38</v>
      </c>
      <c r="F103" s="324">
        <f>ROUND((E96)-(E96*$F$98),0)</f>
        <v>33</v>
      </c>
      <c r="G103" s="324">
        <f>ROUND((F96)-(F96*$G$98),0)</f>
        <v>30</v>
      </c>
      <c r="H103" s="324">
        <f>ROUND((G96)-(G96*$H$98),0)</f>
        <v>52</v>
      </c>
      <c r="I103" s="324">
        <f>ROUND((H96)-(H96*$I$98),0)</f>
        <v>30</v>
      </c>
      <c r="J103" s="111">
        <f t="shared" ref="J103:J116" si="15">SUM(C103:I103)</f>
        <v>249</v>
      </c>
    </row>
    <row r="104" spans="2:10">
      <c r="B104" s="114">
        <v>2020</v>
      </c>
      <c r="C104" s="113">
        <f t="shared" si="14"/>
        <v>43.252307692307696</v>
      </c>
      <c r="D104" s="324">
        <f>ROUND((C103-E50)-(C103*$D$98),0)</f>
        <v>26</v>
      </c>
      <c r="E104" s="112">
        <f t="shared" ref="E104:E116" si="16">ROUND((D103)-(D103*$E$98),0)</f>
        <v>42</v>
      </c>
      <c r="F104" s="112">
        <f t="shared" ref="F104:F116" si="17">ROUND((E103)-(E103*$F$98),0)</f>
        <v>37</v>
      </c>
      <c r="G104" s="112">
        <f t="shared" ref="G104:G116" si="18">ROUND((F103)-(F103*$G$98),0)</f>
        <v>32</v>
      </c>
      <c r="H104" s="112">
        <f t="shared" ref="H104:H116" si="19">ROUND((G103)-(G103*$H$98),0)</f>
        <v>38</v>
      </c>
      <c r="I104" s="112">
        <f t="shared" ref="I104:I116" si="20">ROUND((H103)-(H103*$I$98),0)</f>
        <v>54</v>
      </c>
      <c r="J104" s="111">
        <f t="shared" si="15"/>
        <v>272.25230769230768</v>
      </c>
    </row>
    <row r="105" spans="2:10">
      <c r="B105" s="114">
        <v>2021</v>
      </c>
      <c r="C105" s="113">
        <f t="shared" si="14"/>
        <v>25</v>
      </c>
      <c r="D105" s="324">
        <f>ROUND((C104-F50)-(C104*$D$98),0)</f>
        <v>46</v>
      </c>
      <c r="E105" s="112">
        <f t="shared" si="16"/>
        <v>27</v>
      </c>
      <c r="F105" s="112">
        <f t="shared" si="17"/>
        <v>41</v>
      </c>
      <c r="G105" s="112">
        <f t="shared" si="18"/>
        <v>36</v>
      </c>
      <c r="H105" s="112">
        <f t="shared" si="19"/>
        <v>41</v>
      </c>
      <c r="I105" s="112">
        <f t="shared" si="20"/>
        <v>39</v>
      </c>
      <c r="J105" s="111">
        <f t="shared" si="15"/>
        <v>255</v>
      </c>
    </row>
    <row r="106" spans="2:10">
      <c r="B106" s="114">
        <v>2022</v>
      </c>
      <c r="C106" s="113">
        <f t="shared" si="14"/>
        <v>25</v>
      </c>
      <c r="D106" s="324">
        <f>ROUND((C105-G50)-(C105*$D$98),0)</f>
        <v>26</v>
      </c>
      <c r="E106" s="112">
        <f t="shared" si="16"/>
        <v>48</v>
      </c>
      <c r="F106" s="112">
        <f t="shared" si="17"/>
        <v>26</v>
      </c>
      <c r="G106" s="112">
        <f t="shared" si="18"/>
        <v>40</v>
      </c>
      <c r="H106" s="112">
        <f t="shared" si="19"/>
        <v>46</v>
      </c>
      <c r="I106" s="112">
        <f t="shared" si="20"/>
        <v>43</v>
      </c>
      <c r="J106" s="111">
        <f t="shared" si="15"/>
        <v>254</v>
      </c>
    </row>
    <row r="107" spans="2:10">
      <c r="B107" s="114">
        <v>2023</v>
      </c>
      <c r="C107" s="113">
        <f t="shared" si="14"/>
        <v>25</v>
      </c>
      <c r="D107" s="324">
        <f>ROUND((C106-H50)-(C106*$D$98),0)</f>
        <v>26</v>
      </c>
      <c r="E107" s="112">
        <f t="shared" si="16"/>
        <v>27</v>
      </c>
      <c r="F107" s="112">
        <f t="shared" si="17"/>
        <v>47</v>
      </c>
      <c r="G107" s="112">
        <f t="shared" si="18"/>
        <v>25</v>
      </c>
      <c r="H107" s="112">
        <f t="shared" si="19"/>
        <v>51</v>
      </c>
      <c r="I107" s="112">
        <f t="shared" si="20"/>
        <v>48</v>
      </c>
      <c r="J107" s="111">
        <f t="shared" si="15"/>
        <v>249</v>
      </c>
    </row>
    <row r="108" spans="2:10">
      <c r="B108" s="114">
        <v>2024</v>
      </c>
      <c r="C108" s="113">
        <f t="shared" si="14"/>
        <v>25</v>
      </c>
      <c r="D108" s="324">
        <f>ROUND((C107-I50)-(C107*$D$98),0)</f>
        <v>25</v>
      </c>
      <c r="E108" s="112">
        <f t="shared" si="16"/>
        <v>27</v>
      </c>
      <c r="F108" s="112">
        <f t="shared" si="17"/>
        <v>26</v>
      </c>
      <c r="G108" s="112">
        <f t="shared" si="18"/>
        <v>45</v>
      </c>
      <c r="H108" s="112">
        <f t="shared" si="19"/>
        <v>32</v>
      </c>
      <c r="I108" s="112">
        <f t="shared" si="20"/>
        <v>53</v>
      </c>
      <c r="J108" s="111">
        <f t="shared" si="15"/>
        <v>233</v>
      </c>
    </row>
    <row r="109" spans="2:10">
      <c r="B109" s="114">
        <v>2025</v>
      </c>
      <c r="C109" s="113">
        <f t="shared" si="14"/>
        <v>25</v>
      </c>
      <c r="D109" s="324">
        <f>ROUND((C108-J50)-(C108*$D$98),0)</f>
        <v>25</v>
      </c>
      <c r="E109" s="112">
        <f t="shared" si="16"/>
        <v>26</v>
      </c>
      <c r="F109" s="112">
        <f t="shared" si="17"/>
        <v>26</v>
      </c>
      <c r="G109" s="112">
        <f t="shared" si="18"/>
        <v>25</v>
      </c>
      <c r="H109" s="112">
        <f t="shared" si="19"/>
        <v>57</v>
      </c>
      <c r="I109" s="112">
        <f t="shared" si="20"/>
        <v>33</v>
      </c>
      <c r="J109" s="111">
        <f t="shared" si="15"/>
        <v>217</v>
      </c>
    </row>
    <row r="110" spans="2:10">
      <c r="B110" s="114">
        <v>2026</v>
      </c>
      <c r="C110" s="113">
        <f t="shared" si="14"/>
        <v>25</v>
      </c>
      <c r="D110" s="324">
        <f>ROUND((C109-K50)-(C109*$D$98),0)</f>
        <v>25</v>
      </c>
      <c r="E110" s="112">
        <f t="shared" si="16"/>
        <v>26</v>
      </c>
      <c r="F110" s="112">
        <f t="shared" si="17"/>
        <v>25</v>
      </c>
      <c r="G110" s="112">
        <f t="shared" si="18"/>
        <v>25</v>
      </c>
      <c r="H110" s="112">
        <f t="shared" si="19"/>
        <v>32</v>
      </c>
      <c r="I110" s="112">
        <f t="shared" si="20"/>
        <v>59</v>
      </c>
      <c r="J110" s="111">
        <f t="shared" si="15"/>
        <v>217</v>
      </c>
    </row>
    <row r="111" spans="2:10">
      <c r="B111" s="114">
        <v>2027</v>
      </c>
      <c r="C111" s="113">
        <f t="shared" si="14"/>
        <v>25</v>
      </c>
      <c r="D111" s="324">
        <f>ROUND((C110-L50)-(C110*$D$98),0)</f>
        <v>25</v>
      </c>
      <c r="E111" s="112">
        <f t="shared" si="16"/>
        <v>26</v>
      </c>
      <c r="F111" s="112">
        <f t="shared" si="17"/>
        <v>25</v>
      </c>
      <c r="G111" s="112">
        <f t="shared" si="18"/>
        <v>24</v>
      </c>
      <c r="H111" s="112">
        <f t="shared" si="19"/>
        <v>32</v>
      </c>
      <c r="I111" s="112">
        <f t="shared" si="20"/>
        <v>33</v>
      </c>
      <c r="J111" s="111">
        <f t="shared" si="15"/>
        <v>190</v>
      </c>
    </row>
    <row r="112" spans="2:10">
      <c r="B112" s="114">
        <v>2028</v>
      </c>
      <c r="C112" s="113">
        <f t="shared" si="14"/>
        <v>25</v>
      </c>
      <c r="D112" s="324">
        <f>ROUND((C111-M50)-(C111*$D$98),0)</f>
        <v>25</v>
      </c>
      <c r="E112" s="112">
        <f t="shared" si="16"/>
        <v>26</v>
      </c>
      <c r="F112" s="112">
        <f t="shared" si="17"/>
        <v>25</v>
      </c>
      <c r="G112" s="112">
        <f t="shared" si="18"/>
        <v>24</v>
      </c>
      <c r="H112" s="112">
        <f t="shared" si="19"/>
        <v>31</v>
      </c>
      <c r="I112" s="112">
        <f t="shared" si="20"/>
        <v>33</v>
      </c>
      <c r="J112" s="111">
        <f t="shared" si="15"/>
        <v>189</v>
      </c>
    </row>
    <row r="113" spans="2:10" ht="15" customHeight="1">
      <c r="B113" s="114">
        <v>2029</v>
      </c>
      <c r="C113" s="113">
        <f t="shared" si="14"/>
        <v>25</v>
      </c>
      <c r="D113" s="324">
        <f>ROUND((C112-N50)-(C112*$D$98),0)</f>
        <v>25</v>
      </c>
      <c r="E113" s="112">
        <f t="shared" si="16"/>
        <v>26</v>
      </c>
      <c r="F113" s="112">
        <f t="shared" si="17"/>
        <v>25</v>
      </c>
      <c r="G113" s="112">
        <f t="shared" si="18"/>
        <v>24</v>
      </c>
      <c r="H113" s="112">
        <f t="shared" si="19"/>
        <v>31</v>
      </c>
      <c r="I113" s="112">
        <f t="shared" si="20"/>
        <v>32</v>
      </c>
      <c r="J113" s="111">
        <f t="shared" si="15"/>
        <v>188</v>
      </c>
    </row>
    <row r="114" spans="2:10" ht="15" customHeight="1">
      <c r="B114" s="114">
        <v>2030</v>
      </c>
      <c r="C114" s="113">
        <f t="shared" si="14"/>
        <v>25</v>
      </c>
      <c r="D114" s="324">
        <f>ROUND((C113-O50)-(C113*$D$98),0)</f>
        <v>25</v>
      </c>
      <c r="E114" s="112">
        <f t="shared" si="16"/>
        <v>26</v>
      </c>
      <c r="F114" s="112">
        <f t="shared" si="17"/>
        <v>25</v>
      </c>
      <c r="G114" s="112">
        <f t="shared" si="18"/>
        <v>24</v>
      </c>
      <c r="H114" s="112">
        <f t="shared" si="19"/>
        <v>31</v>
      </c>
      <c r="I114" s="112">
        <f t="shared" si="20"/>
        <v>32</v>
      </c>
      <c r="J114" s="111">
        <f t="shared" si="15"/>
        <v>188</v>
      </c>
    </row>
    <row r="115" spans="2:10" ht="15" customHeight="1">
      <c r="B115" s="114">
        <v>2031</v>
      </c>
      <c r="C115" s="113">
        <f t="shared" si="14"/>
        <v>25</v>
      </c>
      <c r="D115" s="324">
        <f>ROUND((C114-P50)-(C114*$D$98),0)</f>
        <v>25</v>
      </c>
      <c r="E115" s="112">
        <f t="shared" si="16"/>
        <v>26</v>
      </c>
      <c r="F115" s="112">
        <f t="shared" si="17"/>
        <v>25</v>
      </c>
      <c r="G115" s="112">
        <f t="shared" si="18"/>
        <v>24</v>
      </c>
      <c r="H115" s="112">
        <f t="shared" si="19"/>
        <v>31</v>
      </c>
      <c r="I115" s="112">
        <f t="shared" si="20"/>
        <v>32</v>
      </c>
      <c r="J115" s="111">
        <f t="shared" si="15"/>
        <v>188</v>
      </c>
    </row>
    <row r="116" spans="2:10" ht="15" customHeight="1">
      <c r="B116" s="114">
        <v>2032</v>
      </c>
      <c r="C116" s="113">
        <f t="shared" si="14"/>
        <v>25</v>
      </c>
      <c r="D116" s="324">
        <f>ROUND((C115-Q50)-(C115*$D$98),0)</f>
        <v>25</v>
      </c>
      <c r="E116" s="112">
        <f t="shared" si="16"/>
        <v>26</v>
      </c>
      <c r="F116" s="112">
        <f t="shared" si="17"/>
        <v>25</v>
      </c>
      <c r="G116" s="112">
        <f t="shared" si="18"/>
        <v>24</v>
      </c>
      <c r="H116" s="112">
        <f t="shared" si="19"/>
        <v>31</v>
      </c>
      <c r="I116" s="112">
        <f t="shared" si="20"/>
        <v>32</v>
      </c>
      <c r="J116" s="111">
        <f t="shared" si="15"/>
        <v>188</v>
      </c>
    </row>
    <row r="117" spans="2:10" ht="15" hidden="1" customHeight="1">
      <c r="F117" s="14"/>
      <c r="G117" s="14"/>
    </row>
    <row r="118" spans="2:10" ht="15" hidden="1" customHeight="1">
      <c r="B118" s="15" t="str">
        <f>"Table 4C: "&amp;E3&amp;" Projected Pupil Generation from Housing Development, 2019-2032"</f>
        <v>Table 4C: Tollcross Primary School Projected Pupil Generation from Housing Development, 2019-2032</v>
      </c>
      <c r="F118" s="14"/>
      <c r="G118" s="14"/>
    </row>
    <row r="119" spans="2:10" ht="15" hidden="1" customHeight="1">
      <c r="F119" s="14"/>
      <c r="G119" s="14"/>
    </row>
    <row r="120" spans="2:10" ht="15" hidden="1" customHeight="1">
      <c r="B120" s="115"/>
      <c r="C120" s="109" t="s">
        <v>1</v>
      </c>
      <c r="D120" s="109" t="s">
        <v>2</v>
      </c>
      <c r="E120" s="109" t="s">
        <v>3</v>
      </c>
      <c r="F120" s="109" t="s">
        <v>4</v>
      </c>
      <c r="G120" s="109" t="s">
        <v>5</v>
      </c>
      <c r="H120" s="109" t="s">
        <v>6</v>
      </c>
      <c r="I120" s="109" t="s">
        <v>7</v>
      </c>
      <c r="J120" s="109" t="s">
        <v>8</v>
      </c>
    </row>
    <row r="121" spans="2:10" ht="15" hidden="1" customHeight="1">
      <c r="B121" s="114">
        <v>2019</v>
      </c>
      <c r="C121" s="116" t="s">
        <v>97</v>
      </c>
      <c r="D121" s="112">
        <f>VLOOKUP($E$3,'Housing Generation'!$A$3:$BE$90,11,FALSE)</f>
        <v>0</v>
      </c>
      <c r="E121" s="112">
        <f>VLOOKUP($E$3,'Housing Generation'!$A$3:$BE$90,12,FALSE)</f>
        <v>0</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0</v>
      </c>
    </row>
    <row r="122" spans="2:10" ht="15" hidden="1" customHeight="1">
      <c r="B122" s="114">
        <v>2020</v>
      </c>
      <c r="C122" s="116" t="s">
        <v>97</v>
      </c>
      <c r="D122" s="112">
        <f>VLOOKUP($E$3,'Housing Generation'!$A$3:$BE$90,19,FALSE)</f>
        <v>1</v>
      </c>
      <c r="E122" s="112">
        <f>VLOOKUP($E$3,'Housing Generation'!$A$3:$BE$90,20,FALSE)</f>
        <v>0</v>
      </c>
      <c r="F122" s="112">
        <f>VLOOKUP($E$3,'Housing Generation'!$A$3:$BE$90,21,FALSE)</f>
        <v>0</v>
      </c>
      <c r="G122" s="112">
        <f>VLOOKUP($E$3,'Housing Generation'!$A$3:$BE$90,22,FALSE)</f>
        <v>0</v>
      </c>
      <c r="H122" s="112">
        <f>VLOOKUP($E$3,'Housing Generation'!$A$3:$BE$90,23,FALSE)</f>
        <v>0</v>
      </c>
      <c r="I122" s="112">
        <f>VLOOKUP($E$3,'Housing Generation'!$A$3:$BE$90,24,FALSE)</f>
        <v>0</v>
      </c>
      <c r="J122" s="111">
        <f t="shared" si="21"/>
        <v>1</v>
      </c>
    </row>
    <row r="123" spans="2:10" ht="15" hidden="1" customHeight="1">
      <c r="B123" s="114">
        <v>2021</v>
      </c>
      <c r="C123" s="116" t="s">
        <v>97</v>
      </c>
      <c r="D123" s="112">
        <f>VLOOKUP($E$3,'Housing Generation'!$A$3:$BE$90,27,FALSE)</f>
        <v>1</v>
      </c>
      <c r="E123" s="112">
        <f>VLOOKUP($E$3,'Housing Generation'!$A$3:$BE$90,28,FALSE)</f>
        <v>1</v>
      </c>
      <c r="F123" s="112">
        <f>VLOOKUP($E$3,'Housing Generation'!$A$3:$BE$90,29,FALSE)</f>
        <v>1</v>
      </c>
      <c r="G123" s="112">
        <f>VLOOKUP($E$3,'Housing Generation'!$A$3:$BE$90,30,FALSE)</f>
        <v>0</v>
      </c>
      <c r="H123" s="112">
        <f>VLOOKUP($E$3,'Housing Generation'!$A$3:$BE$90,31,FALSE)</f>
        <v>0</v>
      </c>
      <c r="I123" s="112">
        <f>VLOOKUP($E$3,'Housing Generation'!$A$3:$BE$90,32,FALSE)</f>
        <v>0</v>
      </c>
      <c r="J123" s="111">
        <f t="shared" si="21"/>
        <v>3</v>
      </c>
    </row>
    <row r="124" spans="2:10" ht="15" hidden="1" customHeight="1">
      <c r="B124" s="114">
        <v>2022</v>
      </c>
      <c r="C124" s="116" t="s">
        <v>97</v>
      </c>
      <c r="D124" s="112">
        <f>VLOOKUP($E$3,'Housing Generation'!$A$3:$BE$90,35,FALSE)</f>
        <v>1</v>
      </c>
      <c r="E124" s="112">
        <f>VLOOKUP($E$3,'Housing Generation'!$A$3:$BE$90,36,FALSE)</f>
        <v>1</v>
      </c>
      <c r="F124" s="112">
        <f>VLOOKUP($E$3,'Housing Generation'!$A$3:$BE$90,37,FALSE)</f>
        <v>1</v>
      </c>
      <c r="G124" s="112">
        <f>VLOOKUP($E$3,'Housing Generation'!$A$3:$BE$90,38,FALSE)</f>
        <v>1</v>
      </c>
      <c r="H124" s="112">
        <f>VLOOKUP($E$3,'Housing Generation'!$A$3:$BE$90,39,FALSE)</f>
        <v>1</v>
      </c>
      <c r="I124" s="112">
        <f>VLOOKUP($E$3,'Housing Generation'!$A$3:$BE$90,40,FALSE)</f>
        <v>1</v>
      </c>
      <c r="J124" s="111">
        <f t="shared" si="21"/>
        <v>6</v>
      </c>
    </row>
    <row r="125" spans="2:10" ht="15" hidden="1" customHeight="1">
      <c r="B125" s="114">
        <v>2023</v>
      </c>
      <c r="C125" s="116" t="s">
        <v>97</v>
      </c>
      <c r="D125" s="112">
        <f>VLOOKUP($E$3,'Housing Generation'!$A$3:$BE$90,43,FALSE)</f>
        <v>1</v>
      </c>
      <c r="E125" s="112">
        <f>VLOOKUP($E$3,'Housing Generation'!$A$3:$BE$90,44,FALSE)</f>
        <v>1</v>
      </c>
      <c r="F125" s="112">
        <f>VLOOKUP($E$3,'Housing Generation'!$A$3:$BE$90,45,FALSE)</f>
        <v>1</v>
      </c>
      <c r="G125" s="112">
        <f>VLOOKUP($E$3,'Housing Generation'!$A$3:$BE$90,46,FALSE)</f>
        <v>1</v>
      </c>
      <c r="H125" s="112">
        <f>VLOOKUP($E$3,'Housing Generation'!$A$3:$BE$90,47,FALSE)</f>
        <v>1</v>
      </c>
      <c r="I125" s="112">
        <f>VLOOKUP($E$3,'Housing Generation'!$A$3:$BE$90,48,FALSE)</f>
        <v>1</v>
      </c>
      <c r="J125" s="111">
        <f t="shared" si="21"/>
        <v>6</v>
      </c>
    </row>
    <row r="126" spans="2:10" ht="15" hidden="1" customHeight="1">
      <c r="B126" s="114">
        <v>2024</v>
      </c>
      <c r="C126" s="116" t="s">
        <v>97</v>
      </c>
      <c r="D126" s="112">
        <f>VLOOKUP($E$3,'Housing Generation'!$A$3:$BE$90,51,FALSE)</f>
        <v>2</v>
      </c>
      <c r="E126" s="112">
        <f>VLOOKUP($E$3,'Housing Generation'!$A$3:$BE$90,52,FALSE)</f>
        <v>1</v>
      </c>
      <c r="F126" s="112">
        <f>VLOOKUP($E$3,'Housing Generation'!$A$3:$BE$90,53,FALSE)</f>
        <v>1</v>
      </c>
      <c r="G126" s="112">
        <f>VLOOKUP($E$3,'Housing Generation'!$A$3:$BE$90,54,FALSE)</f>
        <v>1</v>
      </c>
      <c r="H126" s="112">
        <f>VLOOKUP($E$3,'Housing Generation'!$A$3:$BE$90,55,FALSE)</f>
        <v>1</v>
      </c>
      <c r="I126" s="112">
        <f>VLOOKUP($E$3,'Housing Generation'!$A$3:$BE$90,56,FALSE)</f>
        <v>1</v>
      </c>
      <c r="J126" s="111">
        <f t="shared" si="21"/>
        <v>7</v>
      </c>
    </row>
    <row r="127" spans="2:10" ht="15" hidden="1" customHeight="1">
      <c r="B127" s="114">
        <v>2025</v>
      </c>
      <c r="C127" s="240" t="s">
        <v>97</v>
      </c>
      <c r="D127" s="112">
        <f>VLOOKUP($E$3,'Housing Generation'!$A$3:$CK$90,59,FALSE)</f>
        <v>2</v>
      </c>
      <c r="E127" s="112">
        <f>VLOOKUP($E$3,'Housing Generation'!$A$3:$CK$90,60,FALSE)</f>
        <v>1</v>
      </c>
      <c r="F127" s="112">
        <f>VLOOKUP($E$3,'Housing Generation'!$A$3:$CK$90,61,FALSE)</f>
        <v>1</v>
      </c>
      <c r="G127" s="112">
        <f>VLOOKUP($E$3,'Housing Generation'!$A$3:$CK$90,62,FALSE)</f>
        <v>1</v>
      </c>
      <c r="H127" s="112">
        <f>VLOOKUP($E$3,'Housing Generation'!$A$3:$CK$90,63,FALSE)</f>
        <v>1</v>
      </c>
      <c r="I127" s="112">
        <f>VLOOKUP($E$3,'Housing Generation'!$A$3:$CK$90,64,FALSE)</f>
        <v>1</v>
      </c>
      <c r="J127" s="111">
        <f t="shared" si="21"/>
        <v>7</v>
      </c>
    </row>
    <row r="128" spans="2:10" ht="15" hidden="1" customHeight="1">
      <c r="B128" s="114">
        <v>2026</v>
      </c>
      <c r="C128" s="240" t="s">
        <v>97</v>
      </c>
      <c r="D128" s="112">
        <f>VLOOKUP($E$3,'Housing Generation'!$A$3:$CK$90,67,FALSE)</f>
        <v>2</v>
      </c>
      <c r="E128" s="112">
        <f>VLOOKUP($E$3,'Housing Generation'!$A$3:$CK$90,68,FALSE)</f>
        <v>1</v>
      </c>
      <c r="F128" s="112">
        <f>VLOOKUP($E$3,'Housing Generation'!$A$3:$CK$90,69,FALSE)</f>
        <v>1</v>
      </c>
      <c r="G128" s="112">
        <f>VLOOKUP($E$3,'Housing Generation'!$A$3:$CK$90,70,FALSE)</f>
        <v>1</v>
      </c>
      <c r="H128" s="112">
        <f>VLOOKUP($E$3,'Housing Generation'!$A$3:$CK$90,71,FALSE)</f>
        <v>1</v>
      </c>
      <c r="I128" s="112">
        <f>VLOOKUP($E$3,'Housing Generation'!$A$3:$CK$90,72,FALSE)</f>
        <v>1</v>
      </c>
      <c r="J128" s="111">
        <f t="shared" si="21"/>
        <v>7</v>
      </c>
    </row>
    <row r="129" spans="2:10" ht="15" hidden="1" customHeight="1">
      <c r="B129" s="114">
        <v>2027</v>
      </c>
      <c r="C129" s="240" t="s">
        <v>97</v>
      </c>
      <c r="D129" s="112">
        <f>VLOOKUP($E$3,'Housing Generation'!$A$3:$CK$90,75,FALSE)</f>
        <v>2</v>
      </c>
      <c r="E129" s="112">
        <f>VLOOKUP($E$3,'Housing Generation'!$A$3:$CK$90,76,FALSE)</f>
        <v>1</v>
      </c>
      <c r="F129" s="112">
        <f>VLOOKUP($E$3,'Housing Generation'!$A$3:$CK$90,77,FALSE)</f>
        <v>1</v>
      </c>
      <c r="G129" s="112">
        <f>VLOOKUP($E$3,'Housing Generation'!$A$3:$CK$90,78,FALSE)</f>
        <v>1</v>
      </c>
      <c r="H129" s="112">
        <f>VLOOKUP($E$3,'Housing Generation'!$A$3:$CK$90,79,FALSE)</f>
        <v>1</v>
      </c>
      <c r="I129" s="112">
        <f>VLOOKUP($E$3,'Housing Generation'!$A$3:$CK$90,80,FALSE)</f>
        <v>1</v>
      </c>
      <c r="J129" s="111">
        <f t="shared" si="21"/>
        <v>7</v>
      </c>
    </row>
    <row r="130" spans="2:10" ht="15" customHeight="1">
      <c r="B130" s="114">
        <v>2028</v>
      </c>
      <c r="C130" s="289" t="s">
        <v>97</v>
      </c>
      <c r="D130" s="112">
        <f>VLOOKUP($E$3,'Housing Generation'!$A$3:$CK$90,83,FALSE)</f>
        <v>2</v>
      </c>
      <c r="E130" s="112">
        <f>VLOOKUP($E$3,'Housing Generation'!$A$3:$CK$90,84,FALSE)</f>
        <v>1</v>
      </c>
      <c r="F130" s="112">
        <f>VLOOKUP($E$3,'Housing Generation'!$A$3:$CK$90,85,FALSE)</f>
        <v>1</v>
      </c>
      <c r="G130" s="112">
        <f>VLOOKUP($E$3,'Housing Generation'!$A$3:$CK$90,86,FALSE)</f>
        <v>1</v>
      </c>
      <c r="H130" s="112">
        <f>VLOOKUP($E$3,'Housing Generation'!$A$3:$CK$90,87,FALSE)</f>
        <v>1</v>
      </c>
      <c r="I130" s="112">
        <f>VLOOKUP($E$3,'Housing Generation'!$A$3:$CK$90,88,FALSE)</f>
        <v>1</v>
      </c>
      <c r="J130" s="111">
        <f t="shared" si="21"/>
        <v>7</v>
      </c>
    </row>
    <row r="131" spans="2:10" ht="15" customHeight="1">
      <c r="B131" s="114">
        <v>2029</v>
      </c>
      <c r="C131" s="289" t="s">
        <v>97</v>
      </c>
      <c r="D131" s="112">
        <f>VLOOKUP($E$3,'Housing Generation'!$A$3:$DQ$90,91,FALSE)</f>
        <v>2</v>
      </c>
      <c r="E131" s="112">
        <f>VLOOKUP($E$3,'Housing Generation'!$A$3:$DQ$90,92,FALSE)</f>
        <v>1</v>
      </c>
      <c r="F131" s="112">
        <f>VLOOKUP($E$3,'Housing Generation'!$A$3:$DQ$90,93,FALSE)</f>
        <v>1</v>
      </c>
      <c r="G131" s="112">
        <f>VLOOKUP($E$3,'Housing Generation'!$A$3:$DQ$90,94,FALSE)</f>
        <v>1</v>
      </c>
      <c r="H131" s="112">
        <f>VLOOKUP($E$3,'Housing Generation'!$A$3:$DQ$90,95,FALSE)</f>
        <v>1</v>
      </c>
      <c r="I131" s="112">
        <f>VLOOKUP($E$3,'Housing Generation'!$A$3:$DQ$90,96,FALSE)</f>
        <v>1</v>
      </c>
      <c r="J131" s="111">
        <f t="shared" si="21"/>
        <v>7</v>
      </c>
    </row>
    <row r="132" spans="2:10" ht="15" customHeight="1">
      <c r="B132" s="114">
        <v>2030</v>
      </c>
      <c r="C132" s="289" t="s">
        <v>97</v>
      </c>
      <c r="D132" s="112">
        <f>VLOOKUP($E$3,'Housing Generation'!$A$3:$DQ$90,99,FALSE)</f>
        <v>2</v>
      </c>
      <c r="E132" s="112">
        <f>VLOOKUP($E$3,'Housing Generation'!$A$3:$DQ$90,100,FALSE)</f>
        <v>1</v>
      </c>
      <c r="F132" s="112">
        <f>VLOOKUP($E$3,'Housing Generation'!$A$3:$DQ$90,101,FALSE)</f>
        <v>1</v>
      </c>
      <c r="G132" s="112">
        <f>VLOOKUP($E$3,'Housing Generation'!$A$3:$DQ$90,102,FALSE)</f>
        <v>1</v>
      </c>
      <c r="H132" s="112">
        <f>VLOOKUP($E$3,'Housing Generation'!$A$3:$DQ$90,103,FALSE)</f>
        <v>1</v>
      </c>
      <c r="I132" s="112">
        <f>VLOOKUP($E$3,'Housing Generation'!$A$3:$DQ$90,104,FALSE)</f>
        <v>1</v>
      </c>
      <c r="J132" s="111">
        <f t="shared" si="21"/>
        <v>7</v>
      </c>
    </row>
    <row r="133" spans="2:10" ht="15" customHeight="1">
      <c r="B133" s="114">
        <v>2031</v>
      </c>
      <c r="C133" s="289" t="s">
        <v>97</v>
      </c>
      <c r="D133" s="112">
        <f>VLOOKUP($E$3,'Housing Generation'!$A$3:$DQ$90,107,FALSE)</f>
        <v>2</v>
      </c>
      <c r="E133" s="112">
        <f>VLOOKUP($E$3,'Housing Generation'!$A$3:$DQ$90,108,FALSE)</f>
        <v>1</v>
      </c>
      <c r="F133" s="112">
        <f>VLOOKUP($E$3,'Housing Generation'!$A$3:$DQ$90,109,FALSE)</f>
        <v>1</v>
      </c>
      <c r="G133" s="112">
        <f>VLOOKUP($E$3,'Housing Generation'!$A$3:$DQ$90,110,FALSE)</f>
        <v>1</v>
      </c>
      <c r="H133" s="112">
        <f>VLOOKUP($E$3,'Housing Generation'!$A$3:$DQ$90,111,FALSE)</f>
        <v>1</v>
      </c>
      <c r="I133" s="112">
        <f>VLOOKUP($E$3,'Housing Generation'!$A$3:$DQ$90,112,FALSE)</f>
        <v>1</v>
      </c>
      <c r="J133" s="111">
        <f t="shared" si="21"/>
        <v>7</v>
      </c>
    </row>
    <row r="134" spans="2:10" ht="15" customHeight="1">
      <c r="B134" s="114">
        <v>2032</v>
      </c>
      <c r="C134" s="289" t="s">
        <v>97</v>
      </c>
      <c r="D134" s="112">
        <f>VLOOKUP($E$3,'Housing Generation'!$A$3:$DQ$90,115,FALSE)</f>
        <v>2</v>
      </c>
      <c r="E134" s="112">
        <f>VLOOKUP($E$3,'Housing Generation'!$A$3:$DQ$90,116,FALSE)</f>
        <v>1</v>
      </c>
      <c r="F134" s="112">
        <f>VLOOKUP($E$3,'Housing Generation'!$A$3:$DQ$90,117,FALSE)</f>
        <v>1</v>
      </c>
      <c r="G134" s="112">
        <f>VLOOKUP($E$3,'Housing Generation'!$A$3:$DQ$90,118,FALSE)</f>
        <v>1</v>
      </c>
      <c r="H134" s="112">
        <f>VLOOKUP($E$3,'Housing Generation'!$A$3:$DQ$90,119,FALSE)</f>
        <v>1</v>
      </c>
      <c r="I134" s="112">
        <f>VLOOKUP($E$3,'Housing Generation'!$A$3:$DQ$90,120,FALSE)</f>
        <v>1</v>
      </c>
      <c r="J134" s="111">
        <f t="shared" si="21"/>
        <v>7</v>
      </c>
    </row>
    <row r="135" spans="2:10" ht="15" hidden="1"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Tollcross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25</v>
      </c>
      <c r="D139" s="112">
        <f t="shared" ref="D139:I152" si="23">D121+D103</f>
        <v>41</v>
      </c>
      <c r="E139" s="112">
        <f t="shared" si="23"/>
        <v>38</v>
      </c>
      <c r="F139" s="112">
        <f t="shared" si="23"/>
        <v>33</v>
      </c>
      <c r="G139" s="112">
        <f t="shared" si="23"/>
        <v>30</v>
      </c>
      <c r="H139" s="112">
        <f t="shared" si="23"/>
        <v>52</v>
      </c>
      <c r="I139" s="112">
        <f t="shared" si="23"/>
        <v>30</v>
      </c>
      <c r="J139" s="111">
        <f t="shared" ref="J139:J147" si="24">SUM(C139:I139)</f>
        <v>249</v>
      </c>
    </row>
    <row r="140" spans="2:10" ht="15" customHeight="1">
      <c r="B140" s="114">
        <v>2020</v>
      </c>
      <c r="C140" s="113">
        <f t="shared" si="22"/>
        <v>43.252307692307696</v>
      </c>
      <c r="D140" s="112">
        <f t="shared" si="23"/>
        <v>27</v>
      </c>
      <c r="E140" s="112">
        <f t="shared" si="23"/>
        <v>42</v>
      </c>
      <c r="F140" s="112">
        <f t="shared" si="23"/>
        <v>37</v>
      </c>
      <c r="G140" s="112">
        <f t="shared" si="23"/>
        <v>32</v>
      </c>
      <c r="H140" s="112">
        <f t="shared" si="23"/>
        <v>38</v>
      </c>
      <c r="I140" s="112">
        <f t="shared" si="23"/>
        <v>54</v>
      </c>
      <c r="J140" s="111">
        <f t="shared" si="24"/>
        <v>273.25230769230768</v>
      </c>
    </row>
    <row r="141" spans="2:10" ht="15" customHeight="1">
      <c r="B141" s="114">
        <v>2021</v>
      </c>
      <c r="C141" s="113">
        <f t="shared" si="22"/>
        <v>25</v>
      </c>
      <c r="D141" s="112">
        <f t="shared" si="23"/>
        <v>47</v>
      </c>
      <c r="E141" s="112">
        <f t="shared" si="23"/>
        <v>28</v>
      </c>
      <c r="F141" s="112">
        <f t="shared" si="23"/>
        <v>42</v>
      </c>
      <c r="G141" s="112">
        <f t="shared" si="23"/>
        <v>36</v>
      </c>
      <c r="H141" s="112">
        <f t="shared" si="23"/>
        <v>41</v>
      </c>
      <c r="I141" s="112">
        <f t="shared" si="23"/>
        <v>39</v>
      </c>
      <c r="J141" s="111">
        <f t="shared" si="24"/>
        <v>258</v>
      </c>
    </row>
    <row r="142" spans="2:10" ht="15" customHeight="1">
      <c r="B142" s="114">
        <v>2022</v>
      </c>
      <c r="C142" s="113">
        <f t="shared" si="22"/>
        <v>25</v>
      </c>
      <c r="D142" s="112">
        <f t="shared" si="23"/>
        <v>27</v>
      </c>
      <c r="E142" s="112">
        <f t="shared" si="23"/>
        <v>49</v>
      </c>
      <c r="F142" s="112">
        <f t="shared" si="23"/>
        <v>27</v>
      </c>
      <c r="G142" s="112">
        <f t="shared" si="23"/>
        <v>41</v>
      </c>
      <c r="H142" s="112">
        <f t="shared" si="23"/>
        <v>47</v>
      </c>
      <c r="I142" s="112">
        <f t="shared" si="23"/>
        <v>44</v>
      </c>
      <c r="J142" s="111">
        <f t="shared" si="24"/>
        <v>260</v>
      </c>
    </row>
    <row r="143" spans="2:10" ht="15" customHeight="1">
      <c r="B143" s="114">
        <v>2023</v>
      </c>
      <c r="C143" s="113">
        <f t="shared" si="22"/>
        <v>25</v>
      </c>
      <c r="D143" s="112">
        <f t="shared" si="23"/>
        <v>27</v>
      </c>
      <c r="E143" s="112">
        <f t="shared" si="23"/>
        <v>28</v>
      </c>
      <c r="F143" s="112">
        <f t="shared" si="23"/>
        <v>48</v>
      </c>
      <c r="G143" s="112">
        <f t="shared" si="23"/>
        <v>26</v>
      </c>
      <c r="H143" s="112">
        <f t="shared" si="23"/>
        <v>52</v>
      </c>
      <c r="I143" s="112">
        <f t="shared" si="23"/>
        <v>49</v>
      </c>
      <c r="J143" s="111">
        <f t="shared" si="24"/>
        <v>255</v>
      </c>
    </row>
    <row r="144" spans="2:10" ht="15" customHeight="1">
      <c r="B144" s="114">
        <v>2024</v>
      </c>
      <c r="C144" s="113">
        <f t="shared" si="22"/>
        <v>25</v>
      </c>
      <c r="D144" s="112">
        <f t="shared" si="23"/>
        <v>27</v>
      </c>
      <c r="E144" s="112">
        <f t="shared" si="23"/>
        <v>28</v>
      </c>
      <c r="F144" s="112">
        <f t="shared" si="23"/>
        <v>27</v>
      </c>
      <c r="G144" s="112">
        <f t="shared" si="23"/>
        <v>46</v>
      </c>
      <c r="H144" s="112">
        <f t="shared" si="23"/>
        <v>33</v>
      </c>
      <c r="I144" s="112">
        <f t="shared" si="23"/>
        <v>54</v>
      </c>
      <c r="J144" s="111">
        <f t="shared" si="24"/>
        <v>240</v>
      </c>
    </row>
    <row r="145" spans="2:16" ht="15" customHeight="1">
      <c r="B145" s="114">
        <v>2025</v>
      </c>
      <c r="C145" s="113">
        <f t="shared" si="22"/>
        <v>25</v>
      </c>
      <c r="D145" s="112">
        <f t="shared" si="23"/>
        <v>27</v>
      </c>
      <c r="E145" s="112">
        <f t="shared" si="23"/>
        <v>27</v>
      </c>
      <c r="F145" s="112">
        <f t="shared" si="23"/>
        <v>27</v>
      </c>
      <c r="G145" s="112">
        <f t="shared" si="23"/>
        <v>26</v>
      </c>
      <c r="H145" s="112">
        <f t="shared" si="23"/>
        <v>58</v>
      </c>
      <c r="I145" s="112">
        <f t="shared" si="23"/>
        <v>34</v>
      </c>
      <c r="J145" s="111">
        <f t="shared" si="24"/>
        <v>224</v>
      </c>
    </row>
    <row r="146" spans="2:16" ht="15" customHeight="1">
      <c r="B146" s="114">
        <v>2026</v>
      </c>
      <c r="C146" s="113">
        <f t="shared" si="22"/>
        <v>25</v>
      </c>
      <c r="D146" s="112">
        <f t="shared" si="23"/>
        <v>27</v>
      </c>
      <c r="E146" s="112">
        <f t="shared" si="23"/>
        <v>27</v>
      </c>
      <c r="F146" s="112">
        <f t="shared" si="23"/>
        <v>26</v>
      </c>
      <c r="G146" s="112">
        <f t="shared" si="23"/>
        <v>26</v>
      </c>
      <c r="H146" s="112">
        <f t="shared" si="23"/>
        <v>33</v>
      </c>
      <c r="I146" s="112">
        <f t="shared" si="23"/>
        <v>60</v>
      </c>
      <c r="J146" s="111">
        <f t="shared" si="24"/>
        <v>224</v>
      </c>
    </row>
    <row r="147" spans="2:16" ht="15" customHeight="1">
      <c r="B147" s="114">
        <v>2027</v>
      </c>
      <c r="C147" s="113">
        <f t="shared" si="22"/>
        <v>25</v>
      </c>
      <c r="D147" s="112">
        <f t="shared" si="23"/>
        <v>27</v>
      </c>
      <c r="E147" s="112">
        <f t="shared" si="23"/>
        <v>27</v>
      </c>
      <c r="F147" s="112">
        <f t="shared" si="23"/>
        <v>26</v>
      </c>
      <c r="G147" s="112">
        <f t="shared" si="23"/>
        <v>25</v>
      </c>
      <c r="H147" s="112">
        <f t="shared" si="23"/>
        <v>33</v>
      </c>
      <c r="I147" s="112">
        <f t="shared" si="23"/>
        <v>34</v>
      </c>
      <c r="J147" s="111">
        <f t="shared" si="24"/>
        <v>197</v>
      </c>
    </row>
    <row r="148" spans="2:16" ht="15" customHeight="1">
      <c r="B148" s="114">
        <v>2028</v>
      </c>
      <c r="C148" s="113">
        <f t="shared" si="22"/>
        <v>25</v>
      </c>
      <c r="D148" s="112">
        <f t="shared" si="23"/>
        <v>27</v>
      </c>
      <c r="E148" s="112">
        <f t="shared" si="23"/>
        <v>27</v>
      </c>
      <c r="F148" s="112">
        <f t="shared" si="23"/>
        <v>26</v>
      </c>
      <c r="G148" s="112">
        <f t="shared" si="23"/>
        <v>25</v>
      </c>
      <c r="H148" s="112">
        <f t="shared" si="23"/>
        <v>32</v>
      </c>
      <c r="I148" s="112">
        <f t="shared" si="23"/>
        <v>34</v>
      </c>
      <c r="J148" s="111">
        <f t="shared" ref="J148:J152" si="25">SUM(C148:I148)</f>
        <v>196</v>
      </c>
    </row>
    <row r="149" spans="2:16" ht="15" customHeight="1">
      <c r="B149" s="114">
        <v>2029</v>
      </c>
      <c r="C149" s="113">
        <f t="shared" si="22"/>
        <v>25</v>
      </c>
      <c r="D149" s="112">
        <f t="shared" si="23"/>
        <v>27</v>
      </c>
      <c r="E149" s="112">
        <f t="shared" si="23"/>
        <v>27</v>
      </c>
      <c r="F149" s="112">
        <f t="shared" si="23"/>
        <v>26</v>
      </c>
      <c r="G149" s="112">
        <f t="shared" si="23"/>
        <v>25</v>
      </c>
      <c r="H149" s="112">
        <f t="shared" si="23"/>
        <v>32</v>
      </c>
      <c r="I149" s="112">
        <f t="shared" si="23"/>
        <v>33</v>
      </c>
      <c r="J149" s="111">
        <f t="shared" si="25"/>
        <v>195</v>
      </c>
    </row>
    <row r="150" spans="2:16" ht="15" customHeight="1">
      <c r="B150" s="114">
        <v>2030</v>
      </c>
      <c r="C150" s="113">
        <f t="shared" si="22"/>
        <v>25</v>
      </c>
      <c r="D150" s="112">
        <f t="shared" si="23"/>
        <v>27</v>
      </c>
      <c r="E150" s="112">
        <f t="shared" si="23"/>
        <v>27</v>
      </c>
      <c r="F150" s="112">
        <f t="shared" si="23"/>
        <v>26</v>
      </c>
      <c r="G150" s="112">
        <f t="shared" si="23"/>
        <v>25</v>
      </c>
      <c r="H150" s="112">
        <f t="shared" si="23"/>
        <v>32</v>
      </c>
      <c r="I150" s="112">
        <f t="shared" si="23"/>
        <v>33</v>
      </c>
      <c r="J150" s="111">
        <f t="shared" si="25"/>
        <v>195</v>
      </c>
    </row>
    <row r="151" spans="2:16" ht="15" customHeight="1">
      <c r="B151" s="114">
        <v>2031</v>
      </c>
      <c r="C151" s="113">
        <f t="shared" si="22"/>
        <v>25</v>
      </c>
      <c r="D151" s="112">
        <f t="shared" si="23"/>
        <v>27</v>
      </c>
      <c r="E151" s="112">
        <f t="shared" si="23"/>
        <v>27</v>
      </c>
      <c r="F151" s="112">
        <f t="shared" si="23"/>
        <v>26</v>
      </c>
      <c r="G151" s="112">
        <f t="shared" si="23"/>
        <v>25</v>
      </c>
      <c r="H151" s="112">
        <f t="shared" si="23"/>
        <v>32</v>
      </c>
      <c r="I151" s="112">
        <f t="shared" si="23"/>
        <v>33</v>
      </c>
      <c r="J151" s="111">
        <f t="shared" si="25"/>
        <v>195</v>
      </c>
    </row>
    <row r="152" spans="2:16" ht="15" customHeight="1">
      <c r="B152" s="114">
        <v>2032</v>
      </c>
      <c r="C152" s="113">
        <f t="shared" si="22"/>
        <v>25</v>
      </c>
      <c r="D152" s="112">
        <f t="shared" si="23"/>
        <v>27</v>
      </c>
      <c r="E152" s="112">
        <f t="shared" si="23"/>
        <v>27</v>
      </c>
      <c r="F152" s="112">
        <f t="shared" si="23"/>
        <v>26</v>
      </c>
      <c r="G152" s="112">
        <f t="shared" si="23"/>
        <v>25</v>
      </c>
      <c r="H152" s="112">
        <f t="shared" si="23"/>
        <v>32</v>
      </c>
      <c r="I152" s="112">
        <f t="shared" si="23"/>
        <v>33</v>
      </c>
      <c r="J152" s="111">
        <f t="shared" si="25"/>
        <v>195</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249</v>
      </c>
      <c r="D159" s="108">
        <f>J140</f>
        <v>273.25230769230768</v>
      </c>
      <c r="E159" s="108">
        <f>J141</f>
        <v>258</v>
      </c>
      <c r="F159" s="108">
        <f>J142</f>
        <v>260</v>
      </c>
      <c r="G159" s="108">
        <f>J143</f>
        <v>255</v>
      </c>
      <c r="H159" s="108">
        <f>J144</f>
        <v>240</v>
      </c>
      <c r="I159" s="108">
        <f>J145</f>
        <v>224</v>
      </c>
      <c r="J159" s="108">
        <f>J146</f>
        <v>224</v>
      </c>
      <c r="K159" s="108">
        <f>J147</f>
        <v>197</v>
      </c>
      <c r="L159" s="108">
        <f>J148</f>
        <v>196</v>
      </c>
      <c r="M159" s="108">
        <f>J149</f>
        <v>195</v>
      </c>
      <c r="N159" s="108">
        <f>J150</f>
        <v>195</v>
      </c>
      <c r="O159" s="108">
        <f>J151</f>
        <v>195</v>
      </c>
      <c r="P159" s="108">
        <f>J152</f>
        <v>195</v>
      </c>
    </row>
    <row r="160" spans="2:16" ht="15" customHeight="1">
      <c r="B160" s="107" t="s">
        <v>152</v>
      </c>
      <c r="C160" s="106">
        <f>VLOOKUP(C159,Capacity!$A$1:$C$645,2,TRUE)</f>
        <v>10</v>
      </c>
      <c r="D160" s="106">
        <f>VLOOKUP(D159,Capacity!$A$1:$C$645,2,TRUE)</f>
        <v>11</v>
      </c>
      <c r="E160" s="106">
        <f>VLOOKUP(E159,Capacity!$A$1:$C$645,2,TRUE)</f>
        <v>10</v>
      </c>
      <c r="F160" s="106">
        <f>VLOOKUP(F159,Capacity!$A$1:$C$645,2,TRUE)</f>
        <v>11</v>
      </c>
      <c r="G160" s="106">
        <f>VLOOKUP(G159,Capacity!$A$1:$C$645,2,TRUE)</f>
        <v>10</v>
      </c>
      <c r="H160" s="106">
        <f>VLOOKUP(H159,Capacity!$A$1:$C$645,2,TRUE)</f>
        <v>10</v>
      </c>
      <c r="I160" s="106">
        <f>VLOOKUP(I159,Capacity!$A$1:$C$645,2,TRUE)</f>
        <v>9</v>
      </c>
      <c r="J160" s="106">
        <f>VLOOKUP(J159,Capacity!$A$1:$C$645,2,TRUE)</f>
        <v>9</v>
      </c>
      <c r="K160" s="106">
        <f>VLOOKUP(K159,Capacity!$A$1:$C$645,2,TRUE)</f>
        <v>7</v>
      </c>
      <c r="L160" s="106">
        <f>VLOOKUP(L159,Capacity!$A$1:$C$645,2,TRUE)</f>
        <v>7</v>
      </c>
      <c r="M160" s="106">
        <f>VLOOKUP(M159,Capacity!$A$1:$C$645,2,TRUE)</f>
        <v>7</v>
      </c>
      <c r="N160" s="106">
        <f>VLOOKUP(N159,Capacity!$A$1:$C$645,2,TRUE)</f>
        <v>7</v>
      </c>
      <c r="O160" s="106">
        <f>VLOOKUP(O159,Capacity!$A$1:$C$645,2,TRUE)</f>
        <v>7</v>
      </c>
      <c r="P160" s="106">
        <f>VLOOKUP(P159,Capacity!$A$1:$C$645,2,TRUE)</f>
        <v>7</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 customHeight="1">
      <c r="B164" s="63" t="s">
        <v>145</v>
      </c>
      <c r="C164" s="62"/>
      <c r="D164" s="62"/>
      <c r="E164" s="62"/>
      <c r="F164" s="62"/>
      <c r="G164" s="62"/>
      <c r="H164" s="62"/>
      <c r="I164" s="62"/>
      <c r="J164" s="62"/>
      <c r="K164" s="62"/>
      <c r="L164" s="62"/>
      <c r="M164" s="62"/>
    </row>
    <row r="165" spans="2:14" ht="15" customHeight="1">
      <c r="B165" s="62"/>
      <c r="C165" s="62"/>
      <c r="D165" s="62"/>
      <c r="E165" s="62"/>
      <c r="F165" s="62"/>
      <c r="G165" s="62"/>
      <c r="H165" s="62"/>
      <c r="I165" s="62"/>
      <c r="J165" s="62"/>
      <c r="K165" s="62"/>
      <c r="L165" s="62"/>
      <c r="M165" s="62"/>
    </row>
    <row r="166" spans="2:14" ht="15" customHeight="1">
      <c r="B166" s="64" t="s">
        <v>146</v>
      </c>
      <c r="C166" s="65"/>
      <c r="D166" s="65"/>
      <c r="E166" s="65"/>
      <c r="F166" s="65"/>
      <c r="G166" s="65"/>
      <c r="H166" s="65"/>
      <c r="I166" s="65"/>
      <c r="J166" s="65"/>
      <c r="K166" s="62"/>
      <c r="L166" s="62"/>
      <c r="M166" s="62"/>
    </row>
    <row r="167" spans="2:14" ht="15" customHeight="1">
      <c r="B167" s="64"/>
      <c r="C167" s="65"/>
      <c r="D167" s="65"/>
      <c r="E167" s="65"/>
      <c r="F167" s="65"/>
      <c r="G167" s="65"/>
      <c r="H167" s="65"/>
      <c r="I167" s="65"/>
      <c r="J167" s="65"/>
      <c r="K167" s="62"/>
      <c r="L167" s="62"/>
      <c r="M167" s="62"/>
    </row>
    <row r="168" spans="2:14" ht="15" customHeight="1">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15" customHeight="1">
      <c r="B169" s="103" t="s">
        <v>129</v>
      </c>
      <c r="C169" s="97">
        <f>VLOOKUP($E$3,'Catchment Births'!$A$1:$U$90,10,FALSE)</f>
        <v>48</v>
      </c>
      <c r="D169" s="97">
        <f>VLOOKUP($E$3,'Catchment Births'!$A$1:$U$90,11,FALSE)</f>
        <v>46</v>
      </c>
      <c r="E169" s="97">
        <f>VLOOKUP($E$3,'Catchment Births'!$A$1:$U$90,12,FALSE)</f>
        <v>36</v>
      </c>
      <c r="F169" s="97">
        <f>VLOOKUP($E$3,'Catchment Births'!$A$1:$U$90,13,FALSE)</f>
        <v>50</v>
      </c>
      <c r="G169" s="97">
        <f>VLOOKUP($E$3,'Catchment Births'!$A$1:$U$90,14,FALSE)</f>
        <v>48</v>
      </c>
      <c r="H169" s="97">
        <f>VLOOKUP($E$3,'Catchment Births'!$A$1:$U$90,15,FALSE)</f>
        <v>43</v>
      </c>
      <c r="I169" s="97">
        <f>VLOOKUP($E$3,'Catchment Births'!$A$1:$U$90,16,FALSE)</f>
        <v>49</v>
      </c>
      <c r="J169" s="97">
        <f>VLOOKUP($E$3,'Catchment Births'!$A$1:$U$90,17,FALSE)</f>
        <v>41</v>
      </c>
      <c r="K169" s="97">
        <f>VLOOKUP($E$3,'Catchment Births'!$A$1:$U$90,18,FALSE)</f>
        <v>53</v>
      </c>
      <c r="L169" s="97">
        <f>VLOOKUP($E$3,'Catchment Births'!$A$1:$U$90,19,FALSE)</f>
        <v>50</v>
      </c>
      <c r="M169" s="97">
        <f>VLOOKUP($E$3,'Catchment Births'!$A$1:$U$90,20,FALSE)</f>
        <v>57</v>
      </c>
      <c r="N169" s="97">
        <f>VLOOKUP($E$3,'Catchment Births'!$A$1:$U$90,21,FALSE)</f>
        <v>68</v>
      </c>
    </row>
    <row r="170" spans="2:14" ht="15" customHeight="1">
      <c r="B170" s="103" t="str">
        <f>"P1 "&amp;A35&amp;" Catchment Population (Actual)"</f>
        <v>P1 ND Catchment Population (Actual)</v>
      </c>
      <c r="C170" s="102" t="e">
        <v>#REF!</v>
      </c>
      <c r="D170" s="102">
        <v>16</v>
      </c>
      <c r="E170" s="102">
        <v>22</v>
      </c>
      <c r="F170" s="102">
        <v>21</v>
      </c>
      <c r="G170" s="102">
        <v>20</v>
      </c>
      <c r="H170" s="102">
        <v>24</v>
      </c>
      <c r="I170" s="102">
        <v>20</v>
      </c>
      <c r="J170" s="308">
        <f>VLOOKUP(E3,'Catchment Projections'!A1:BU92,42,FALSE)</f>
        <v>26</v>
      </c>
      <c r="K170" s="62"/>
      <c r="L170" s="62"/>
      <c r="M170" s="62"/>
    </row>
    <row r="171" spans="2:14" ht="15" customHeight="1">
      <c r="B171" s="88" t="s">
        <v>160</v>
      </c>
      <c r="C171" s="100"/>
      <c r="D171" s="100"/>
      <c r="E171" s="100"/>
      <c r="F171" s="100"/>
      <c r="G171" s="100"/>
      <c r="H171" s="100"/>
      <c r="I171" s="101"/>
      <c r="J171" s="89">
        <f>D53</f>
        <v>0</v>
      </c>
      <c r="K171" s="62"/>
      <c r="L171" s="62"/>
      <c r="M171" s="62"/>
    </row>
    <row r="172" spans="2:14" ht="15" customHeight="1">
      <c r="B172" s="99" t="s">
        <v>140</v>
      </c>
      <c r="C172" s="99"/>
      <c r="D172" s="98"/>
      <c r="E172" s="98"/>
      <c r="F172" s="98"/>
      <c r="G172" s="97"/>
      <c r="H172" s="96"/>
      <c r="I172" s="96">
        <f>I170</f>
        <v>20</v>
      </c>
      <c r="J172" s="96" t="e">
        <f>#REF!</f>
        <v>#REF!</v>
      </c>
      <c r="K172" s="96">
        <f>D51</f>
        <v>30</v>
      </c>
      <c r="L172" s="96">
        <f>E51</f>
        <v>36</v>
      </c>
      <c r="M172" s="96">
        <f>F51</f>
        <v>22</v>
      </c>
      <c r="N172" s="96">
        <f>G51</f>
        <v>21</v>
      </c>
    </row>
    <row r="173" spans="2:14" ht="15" customHeight="1">
      <c r="B173" s="62"/>
      <c r="C173" s="62"/>
      <c r="D173" s="62"/>
      <c r="E173" s="62"/>
      <c r="F173" s="62"/>
      <c r="G173" s="62"/>
      <c r="H173" s="62"/>
      <c r="I173" s="62"/>
      <c r="J173" s="62"/>
      <c r="K173" s="62"/>
    </row>
    <row r="174" spans="2:14" ht="15" customHeight="1">
      <c r="B174" s="64" t="str">
        <f>"Table 5: "&amp;E3&amp;" Roll by Stage, 2002-2018"</f>
        <v>Table 5: Tollcross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28</v>
      </c>
      <c r="D177" s="93">
        <v>40</v>
      </c>
      <c r="E177" s="93">
        <v>23</v>
      </c>
      <c r="F177" s="93">
        <v>24</v>
      </c>
      <c r="G177" s="93">
        <v>23</v>
      </c>
      <c r="H177" s="93">
        <v>29</v>
      </c>
      <c r="I177" s="93">
        <v>30</v>
      </c>
      <c r="J177" s="92">
        <v>197</v>
      </c>
      <c r="K177" s="62"/>
    </row>
    <row r="178" spans="2:11" ht="15" customHeight="1">
      <c r="B178" s="94">
        <v>2003</v>
      </c>
      <c r="C178" s="93">
        <v>30</v>
      </c>
      <c r="D178" s="93">
        <v>28</v>
      </c>
      <c r="E178" s="93">
        <v>37</v>
      </c>
      <c r="F178" s="93">
        <v>23</v>
      </c>
      <c r="G178" s="93">
        <v>22</v>
      </c>
      <c r="H178" s="93">
        <v>22</v>
      </c>
      <c r="I178" s="93">
        <v>28</v>
      </c>
      <c r="J178" s="92">
        <v>190</v>
      </c>
      <c r="K178" s="62"/>
    </row>
    <row r="179" spans="2:11" customFormat="1" ht="15" customHeight="1">
      <c r="B179" s="94">
        <v>2004</v>
      </c>
      <c r="C179" s="95">
        <v>41</v>
      </c>
      <c r="D179" s="95">
        <v>32</v>
      </c>
      <c r="E179" s="95">
        <v>34</v>
      </c>
      <c r="F179" s="95">
        <v>37</v>
      </c>
      <c r="G179" s="95">
        <v>26</v>
      </c>
      <c r="H179" s="95">
        <v>24</v>
      </c>
      <c r="I179" s="95">
        <v>23</v>
      </c>
      <c r="J179" s="92">
        <v>217</v>
      </c>
      <c r="K179" s="62"/>
    </row>
    <row r="180" spans="2:11" customFormat="1" ht="15" customHeight="1">
      <c r="B180" s="94">
        <v>2005</v>
      </c>
      <c r="C180" s="93">
        <v>38</v>
      </c>
      <c r="D180" s="93">
        <v>39</v>
      </c>
      <c r="E180" s="93">
        <v>29</v>
      </c>
      <c r="F180" s="93">
        <v>35</v>
      </c>
      <c r="G180" s="93">
        <v>32</v>
      </c>
      <c r="H180" s="93">
        <v>26</v>
      </c>
      <c r="I180" s="93">
        <v>25</v>
      </c>
      <c r="J180" s="92">
        <v>224</v>
      </c>
      <c r="K180" s="62"/>
    </row>
    <row r="181" spans="2:11" customFormat="1" ht="15" customHeight="1">
      <c r="B181" s="94">
        <v>2006</v>
      </c>
      <c r="C181" s="93">
        <v>43</v>
      </c>
      <c r="D181" s="93">
        <v>39</v>
      </c>
      <c r="E181" s="93">
        <v>38</v>
      </c>
      <c r="F181" s="93">
        <v>25</v>
      </c>
      <c r="G181" s="93">
        <v>30</v>
      </c>
      <c r="H181" s="93">
        <v>32</v>
      </c>
      <c r="I181" s="93">
        <v>25</v>
      </c>
      <c r="J181" s="92">
        <v>232</v>
      </c>
      <c r="K181" s="62"/>
    </row>
    <row r="182" spans="2:11" customFormat="1" ht="15" customHeight="1">
      <c r="B182" s="94">
        <v>2007</v>
      </c>
      <c r="C182" s="93">
        <v>40</v>
      </c>
      <c r="D182" s="93">
        <v>38</v>
      </c>
      <c r="E182" s="93">
        <v>36</v>
      </c>
      <c r="F182" s="93">
        <v>37</v>
      </c>
      <c r="G182" s="93">
        <v>20</v>
      </c>
      <c r="H182" s="93">
        <v>25</v>
      </c>
      <c r="I182" s="93">
        <v>29</v>
      </c>
      <c r="J182" s="92">
        <v>225</v>
      </c>
      <c r="K182" s="62"/>
    </row>
    <row r="183" spans="2:11" customFormat="1" ht="15" customHeight="1">
      <c r="B183" s="94">
        <v>2008</v>
      </c>
      <c r="C183" s="93">
        <v>42</v>
      </c>
      <c r="D183" s="93">
        <v>38</v>
      </c>
      <c r="E183" s="93">
        <v>40</v>
      </c>
      <c r="F183" s="93">
        <v>35</v>
      </c>
      <c r="G183" s="93">
        <v>33</v>
      </c>
      <c r="H183" s="93">
        <v>24</v>
      </c>
      <c r="I183" s="93">
        <v>24</v>
      </c>
      <c r="J183" s="92">
        <v>236</v>
      </c>
      <c r="K183" s="62"/>
    </row>
    <row r="184" spans="2:11" customFormat="1" ht="15" customHeight="1">
      <c r="B184" s="94">
        <v>2009</v>
      </c>
      <c r="C184" s="93">
        <v>49</v>
      </c>
      <c r="D184" s="93">
        <v>42</v>
      </c>
      <c r="E184" s="93">
        <v>38</v>
      </c>
      <c r="F184" s="93">
        <v>42</v>
      </c>
      <c r="G184" s="93">
        <v>34</v>
      </c>
      <c r="H184" s="93">
        <v>33</v>
      </c>
      <c r="I184" s="93">
        <v>23</v>
      </c>
      <c r="J184" s="94">
        <v>261</v>
      </c>
      <c r="K184" s="62"/>
    </row>
    <row r="185" spans="2:11" customFormat="1" ht="15" customHeight="1">
      <c r="B185" s="94">
        <v>2010</v>
      </c>
      <c r="C185" s="93">
        <v>51</v>
      </c>
      <c r="D185" s="93">
        <v>46</v>
      </c>
      <c r="E185" s="93">
        <v>41</v>
      </c>
      <c r="F185" s="93">
        <v>40</v>
      </c>
      <c r="G185" s="93">
        <v>42</v>
      </c>
      <c r="H185" s="93">
        <v>36</v>
      </c>
      <c r="I185" s="93">
        <v>32</v>
      </c>
      <c r="J185" s="92">
        <v>288</v>
      </c>
      <c r="K185" s="62"/>
    </row>
    <row r="186" spans="2:11" customFormat="1" ht="15" customHeight="1">
      <c r="B186" s="94">
        <v>2011</v>
      </c>
      <c r="C186" s="93">
        <v>48</v>
      </c>
      <c r="D186" s="93">
        <v>55</v>
      </c>
      <c r="E186" s="93">
        <v>44</v>
      </c>
      <c r="F186" s="93">
        <v>40</v>
      </c>
      <c r="G186" s="93">
        <v>41</v>
      </c>
      <c r="H186" s="93">
        <v>40</v>
      </c>
      <c r="I186" s="93">
        <v>36</v>
      </c>
      <c r="J186" s="92">
        <v>304</v>
      </c>
      <c r="K186" s="62"/>
    </row>
    <row r="187" spans="2:11" customFormat="1" ht="15" customHeight="1">
      <c r="B187" s="94">
        <v>2012</v>
      </c>
      <c r="C187" s="93">
        <v>64</v>
      </c>
      <c r="D187" s="93">
        <v>44</v>
      </c>
      <c r="E187" s="93">
        <v>54</v>
      </c>
      <c r="F187" s="93">
        <v>43</v>
      </c>
      <c r="G187" s="93">
        <v>41</v>
      </c>
      <c r="H187" s="93">
        <v>38</v>
      </c>
      <c r="I187" s="93">
        <v>39</v>
      </c>
      <c r="J187" s="92">
        <v>323</v>
      </c>
      <c r="K187" s="62"/>
    </row>
    <row r="188" spans="2:11" customFormat="1" ht="15" customHeight="1">
      <c r="B188" s="94">
        <v>2013</v>
      </c>
      <c r="C188" s="93">
        <v>25</v>
      </c>
      <c r="D188" s="93">
        <v>29</v>
      </c>
      <c r="E188" s="93">
        <v>26</v>
      </c>
      <c r="F188" s="93">
        <v>20</v>
      </c>
      <c r="G188" s="93">
        <v>18</v>
      </c>
      <c r="H188" s="93">
        <v>20</v>
      </c>
      <c r="I188" s="93">
        <v>19</v>
      </c>
      <c r="J188" s="94">
        <v>157</v>
      </c>
      <c r="K188" s="62"/>
    </row>
    <row r="189" spans="2:11" customFormat="1" ht="15" customHeight="1">
      <c r="B189" s="94">
        <v>2014</v>
      </c>
      <c r="C189" s="93">
        <v>47</v>
      </c>
      <c r="D189" s="93">
        <v>27</v>
      </c>
      <c r="E189" s="93">
        <v>30</v>
      </c>
      <c r="F189" s="93">
        <v>19</v>
      </c>
      <c r="G189" s="93">
        <v>22</v>
      </c>
      <c r="H189" s="93">
        <v>24</v>
      </c>
      <c r="I189" s="93">
        <v>20</v>
      </c>
      <c r="J189" s="92">
        <v>189</v>
      </c>
      <c r="K189" s="65"/>
    </row>
    <row r="190" spans="2:11" customFormat="1" ht="15" customHeight="1">
      <c r="B190" s="94">
        <v>2015</v>
      </c>
      <c r="C190" s="93">
        <v>33</v>
      </c>
      <c r="D190" s="93">
        <v>45</v>
      </c>
      <c r="E190" s="93">
        <v>21</v>
      </c>
      <c r="F190" s="93">
        <v>28</v>
      </c>
      <c r="G190" s="93">
        <v>15</v>
      </c>
      <c r="H190" s="93">
        <v>28</v>
      </c>
      <c r="I190" s="93">
        <v>28</v>
      </c>
      <c r="J190" s="92">
        <v>198</v>
      </c>
      <c r="K190" s="65"/>
    </row>
    <row r="191" spans="2:11" customFormat="1" ht="15" customHeight="1">
      <c r="B191" s="94">
        <v>2016</v>
      </c>
      <c r="C191" s="93">
        <v>34</v>
      </c>
      <c r="D191" s="93">
        <v>29</v>
      </c>
      <c r="E191" s="93">
        <v>47</v>
      </c>
      <c r="F191" s="93">
        <v>24</v>
      </c>
      <c r="G191" s="93">
        <v>27</v>
      </c>
      <c r="H191" s="93">
        <v>20</v>
      </c>
      <c r="I191" s="93">
        <v>29</v>
      </c>
      <c r="J191" s="92">
        <v>210</v>
      </c>
      <c r="K191" s="65"/>
    </row>
    <row r="192" spans="2:11" ht="15" customHeight="1">
      <c r="B192" s="94">
        <v>2017</v>
      </c>
      <c r="C192" s="93">
        <f>VLOOKUP($E$3,Rolls!A1:FA90,42,FALSE)</f>
        <v>34</v>
      </c>
      <c r="D192" s="93">
        <f>VLOOKUP($E$3,Rolls!A1:FA90,43,FALSE)</f>
        <v>38</v>
      </c>
      <c r="E192" s="93">
        <f>VLOOKUP($E$3,Rolls!A1:FA90,44,FALSE)</f>
        <v>30</v>
      </c>
      <c r="F192" s="93">
        <f>VLOOKUP($E$3,Rolls!A1:FA90,45,FALSE)</f>
        <v>46</v>
      </c>
      <c r="G192" s="93">
        <f>VLOOKUP($E$3,Rolls!A1:FA90,46,FALSE)</f>
        <v>28</v>
      </c>
      <c r="H192" s="93">
        <f>VLOOKUP($E$3,Rolls!A1:FA90,47,FALSE)</f>
        <v>27</v>
      </c>
      <c r="I192" s="93">
        <f>VLOOKUP($E$3,Rolls!A1:FA90,48,FALSE)</f>
        <v>26</v>
      </c>
      <c r="J192" s="92">
        <f>VLOOKUP($E$3,Rolls!A1:FA90,49,FALSE)</f>
        <v>229</v>
      </c>
      <c r="K192" s="65"/>
    </row>
    <row r="193" spans="2:11" ht="15" customHeight="1">
      <c r="B193" s="94">
        <v>2018</v>
      </c>
      <c r="C193" s="93">
        <f>VLOOKUP($E$3,Rolls!A1:FA90,50,FALSE)</f>
        <v>38</v>
      </c>
      <c r="D193" s="93">
        <f>VLOOKUP($E$3,Rolls!A1:FA90,51,FALSE)</f>
        <v>37</v>
      </c>
      <c r="E193" s="93">
        <f>VLOOKUP($E$3,Rolls!A1:FA90,52,FALSE)</f>
        <v>34</v>
      </c>
      <c r="F193" s="93">
        <f>VLOOKUP($E$3,Rolls!A1:FA90,53,FALSE)</f>
        <v>31</v>
      </c>
      <c r="G193" s="93">
        <f>VLOOKUP($E$3,Rolls!A1:FA90,54,FALSE)</f>
        <v>41</v>
      </c>
      <c r="H193" s="93">
        <f>VLOOKUP($E$3,Rolls!A1:FA90,55,FALSE)</f>
        <v>29</v>
      </c>
      <c r="I193" s="93">
        <f>VLOOKUP($E$3,Rolls!A1:FA90,56,FALSE)</f>
        <v>28</v>
      </c>
      <c r="J193" s="92">
        <f>VLOOKUP($E$3,Rolls!A1:FA90,57,FALSE)</f>
        <v>238</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dimension ref="A1:Q193"/>
  <sheetViews>
    <sheetView topLeftCell="B39" zoomScaleNormal="100" workbookViewId="0">
      <selection activeCell="H60" sqref="H60"/>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70</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Towerbank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630 Pupils (21 classes)</v>
      </c>
      <c r="G12" s="16"/>
      <c r="H12" s="16"/>
    </row>
    <row r="13" spans="2:10" ht="15" customHeight="1">
      <c r="C13" s="16"/>
      <c r="D13" s="16"/>
      <c r="E13" s="16"/>
      <c r="F13" s="16"/>
      <c r="G13" s="16"/>
      <c r="H13" s="16"/>
    </row>
    <row r="14" spans="2:10" ht="15" customHeight="1">
      <c r="B14" s="15" t="str">
        <f>"Figure 1: "&amp;E3&amp;" Roll, 2002-2015"</f>
        <v>Figure 1: Towerbank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Towerbank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73</v>
      </c>
      <c r="E49" s="108">
        <f>VLOOKUP($E$3,'Catchment Projections'!$A$1:$BU$90,46,FALSE)</f>
        <v>54</v>
      </c>
      <c r="F49" s="108">
        <f>VLOOKUP($E$3,'Catchment Projections'!$A$1:$BU$90,47,FALSE)</f>
        <v>53</v>
      </c>
      <c r="G49" s="108">
        <f>VLOOKUP($E$3,'Catchment Projections'!$A$1:$BU$90,48,FALSE)</f>
        <v>56</v>
      </c>
      <c r="H49" s="133">
        <f>VLOOKUP($E$3,'Catchment Projections'!$A$1:$BU$90,49,FALSE)</f>
        <v>55</v>
      </c>
      <c r="I49" s="133">
        <f>VLOOKUP($E$3,'Catchment Projections'!$A$1:$BU$90,50,FALSE)</f>
        <v>55</v>
      </c>
      <c r="J49" s="133">
        <f>VLOOKUP($E$3,'Catchment Projections'!$A$1:$BU$90,51,FALSE)</f>
        <v>56</v>
      </c>
      <c r="K49" s="133">
        <f>VLOOKUP($E$3,'Catchment Projections'!$A$1:$BU$90,52,FALSE)</f>
        <v>57</v>
      </c>
      <c r="L49" s="133">
        <f>VLOOKUP($E$3,'Catchment Projections'!$A$1:$BU$90,53,FALSE)</f>
        <v>57</v>
      </c>
      <c r="M49" s="133">
        <f>VLOOKUP($E$3,'Catchment Projections'!$A$1:$BU$90,54,FALSE)</f>
        <v>57</v>
      </c>
      <c r="N49" s="133">
        <f>VLOOKUP($E$3,'Catchment Projections'!$A$1:$BU$90,55,FALSE)</f>
        <v>57</v>
      </c>
      <c r="O49" s="133">
        <f>VLOOKUP($E$3,'Catchment Projections'!$A$1:$BU$90,56,FALSE)</f>
        <v>58</v>
      </c>
      <c r="P49" s="133">
        <f>VLOOKUP($E$3,'Catchment Projections'!$A$1:$BU$90,57,FALSE)</f>
        <v>58</v>
      </c>
      <c r="Q49" s="133">
        <f>VLOOKUP($E$3,'Catchment Projections'!$A$1:$BU$90,58,FALSE)</f>
        <v>58</v>
      </c>
    </row>
    <row r="50" spans="2:17" ht="15" customHeight="1" thickBot="1">
      <c r="B50" s="410" t="s">
        <v>141</v>
      </c>
      <c r="C50" s="411"/>
      <c r="D50" s="286">
        <f>VLOOKUP(E3,'Housing Generation'!$A$3:$DQ$90,10,FALSE)</f>
        <v>0</v>
      </c>
      <c r="E50" s="286">
        <f>VLOOKUP(E3,'Housing Generation'!$A$3:$DQ$90,18,FALSE)</f>
        <v>0</v>
      </c>
      <c r="F50" s="286">
        <f>VLOOKUP(E3,'Housing Generation'!$A$3:$DQ$90,26,FALSE)</f>
        <v>0</v>
      </c>
      <c r="G50" s="243">
        <f>VLOOKUP(E3,'Housing Generation'!$A$3:$DQ$90,34,FALSE)</f>
        <v>0</v>
      </c>
      <c r="H50" s="133">
        <f>VLOOKUP(E3,'Housing Generation'!$A$3:$DQ$90,42,FALSE)</f>
        <v>0</v>
      </c>
      <c r="I50" s="133">
        <f>VLOOKUP(E3,'Housing Generation'!$A$3:$DQ$90,50,FALSE)</f>
        <v>0</v>
      </c>
      <c r="J50" s="133">
        <f>VLOOKUP(E3,'Housing Generation'!$A$3:$CK$90,58,FALSE)</f>
        <v>0</v>
      </c>
      <c r="K50" s="133">
        <f>VLOOKUP(E3,'Housing Generation'!$A$3:$CK$90,66,FALSE)</f>
        <v>0</v>
      </c>
      <c r="L50" s="133">
        <f>VLOOKUP(E3,'Housing Generation'!$A$3:$DQ$90,74,FALSE)</f>
        <v>1</v>
      </c>
      <c r="M50" s="133">
        <f>VLOOKUP(E3,'Housing Generation'!$A$3:$DQ$90,82,FALSE)</f>
        <v>1</v>
      </c>
      <c r="N50" s="133">
        <f>VLOOKUP(E3,'Housing Generation'!$A$3:$DQ$90,90,FALSE)</f>
        <v>1</v>
      </c>
      <c r="O50" s="133">
        <f>VLOOKUP(E3,'Housing Generation'!$A$3:$DQ$90,98,FALSE)</f>
        <v>1</v>
      </c>
      <c r="P50" s="133">
        <f>VLOOKUP(E3,'Housing Generation'!$A$3:$DQ$90,106,FALSE)</f>
        <v>1</v>
      </c>
      <c r="Q50" s="133">
        <f>VLOOKUP(E3,'Housing Generation'!$A$3:$DQ$90,114,FALSE)</f>
        <v>1</v>
      </c>
    </row>
    <row r="51" spans="2:17" ht="15" customHeight="1" thickTop="1">
      <c r="B51" s="421" t="s">
        <v>130</v>
      </c>
      <c r="C51" s="422"/>
      <c r="D51" s="47">
        <f t="shared" ref="D51:Q51" si="0">SUM(D49:D50)</f>
        <v>73</v>
      </c>
      <c r="E51" s="47">
        <f t="shared" si="0"/>
        <v>54</v>
      </c>
      <c r="F51" s="80">
        <f t="shared" si="0"/>
        <v>53</v>
      </c>
      <c r="G51" s="244">
        <f t="shared" si="0"/>
        <v>56</v>
      </c>
      <c r="H51" s="71">
        <f t="shared" si="0"/>
        <v>55</v>
      </c>
      <c r="I51" s="71">
        <f t="shared" si="0"/>
        <v>55</v>
      </c>
      <c r="J51" s="71">
        <f t="shared" si="0"/>
        <v>56</v>
      </c>
      <c r="K51" s="71">
        <f t="shared" si="0"/>
        <v>57</v>
      </c>
      <c r="L51" s="71">
        <f t="shared" si="0"/>
        <v>58</v>
      </c>
      <c r="M51" s="71">
        <f t="shared" si="0"/>
        <v>58</v>
      </c>
      <c r="N51" s="71">
        <f t="shared" si="0"/>
        <v>58</v>
      </c>
      <c r="O51" s="71">
        <f t="shared" si="0"/>
        <v>59</v>
      </c>
      <c r="P51" s="71">
        <f t="shared" si="0"/>
        <v>59</v>
      </c>
      <c r="Q51" s="71">
        <f t="shared" si="0"/>
        <v>59</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103</v>
      </c>
      <c r="D60" s="358">
        <f>VLOOKUP($E$3,'Catchment Projections'!$A$1:$BZ$90,74,FALSE)</f>
        <v>100</v>
      </c>
      <c r="E60" s="303">
        <f>D60/C60</f>
        <v>0.970873786407767</v>
      </c>
      <c r="G60" s="132">
        <v>2014</v>
      </c>
      <c r="H60" s="395">
        <f>VLOOKUP($G$60,$B$177:$C$215, 2, FALSE)</f>
        <v>108</v>
      </c>
      <c r="I60" s="120">
        <f>H60-D60</f>
        <v>8</v>
      </c>
      <c r="J60" s="121">
        <f>I60/H60</f>
        <v>7.407407407407407E-2</v>
      </c>
    </row>
    <row r="61" spans="2:17" ht="15" customHeight="1">
      <c r="B61" s="132">
        <v>2015</v>
      </c>
      <c r="C61" s="359">
        <f>VLOOKUP($E$3,'Catchment Projections'!$A$1:$BZ$90,41,FALSE)</f>
        <v>94</v>
      </c>
      <c r="D61" s="358">
        <f>VLOOKUP($E$3,'Catchment Projections'!$A$1:$BZ$90,75,FALSE)</f>
        <v>94</v>
      </c>
      <c r="E61" s="303">
        <f>D61/C61</f>
        <v>1</v>
      </c>
      <c r="G61" s="132">
        <v>2015</v>
      </c>
      <c r="H61" s="395">
        <f>VLOOKUP($G$61,$B$177:$C$215, 2, FALSE)</f>
        <v>95</v>
      </c>
      <c r="I61" s="120">
        <f>H61-D61</f>
        <v>1</v>
      </c>
      <c r="J61" s="121">
        <f>I61/H61</f>
        <v>1.0526315789473684E-2</v>
      </c>
    </row>
    <row r="62" spans="2:17" ht="15" customHeight="1">
      <c r="B62" s="131">
        <v>2016</v>
      </c>
      <c r="C62" s="359">
        <f>VLOOKUP($E$3,'Catchment Projections'!$A$1:$BZ$90,42,FALSE)</f>
        <v>70</v>
      </c>
      <c r="D62" s="358">
        <f>VLOOKUP($E$3,'Catchment Projections'!$A$1:$BZ$90,76,FALSE)</f>
        <v>69</v>
      </c>
      <c r="E62" s="57">
        <f>D62/C62</f>
        <v>0.98571428571428577</v>
      </c>
      <c r="G62" s="131">
        <v>2016</v>
      </c>
      <c r="H62" s="395">
        <f>VLOOKUP($G$62,$B$177:$C$215, 2, FALSE)</f>
        <v>85</v>
      </c>
      <c r="I62" s="120">
        <f>H62-D62</f>
        <v>16</v>
      </c>
      <c r="J62" s="121">
        <f>I62/H62</f>
        <v>0.18823529411764706</v>
      </c>
    </row>
    <row r="63" spans="2:17" ht="15" customHeight="1">
      <c r="B63" s="114">
        <v>2017</v>
      </c>
      <c r="C63" s="359">
        <f>VLOOKUP($E$3,'Catchment Projections'!$A$1:$BZ$90,43,FALSE)</f>
        <v>64</v>
      </c>
      <c r="D63" s="358">
        <f>VLOOKUP($E$3,'Catchment Projections'!$A$1:$BZ$90,77,FALSE)</f>
        <v>63</v>
      </c>
      <c r="E63" s="304">
        <f>D63/C63</f>
        <v>0.984375</v>
      </c>
      <c r="G63" s="114">
        <v>2017</v>
      </c>
      <c r="H63" s="395">
        <f>VLOOKUP($G$63,$B$177:$C$215, 2, FALSE)</f>
        <v>75</v>
      </c>
      <c r="I63" s="120">
        <f>H63-D63</f>
        <v>12</v>
      </c>
      <c r="J63" s="121">
        <f>I63/H63</f>
        <v>0.16</v>
      </c>
    </row>
    <row r="64" spans="2:17" ht="15" customHeight="1">
      <c r="B64" s="114">
        <v>2018</v>
      </c>
      <c r="C64" s="359">
        <f>VLOOKUP($E$3,'Catchment Projections'!$A$1:$BZ$90,44,FALSE)</f>
        <v>91</v>
      </c>
      <c r="D64" s="358">
        <f>VLOOKUP($E$3,'Catchment Projections'!$A$1:$BZ$90,78,FALSE)</f>
        <v>90</v>
      </c>
      <c r="E64" s="305">
        <f>D64/C64</f>
        <v>0.98901098901098905</v>
      </c>
      <c r="G64" s="114">
        <v>2018</v>
      </c>
      <c r="H64" s="395">
        <f>VLOOKUP($G$64,$B$177:$C$215, 2, FALSE)</f>
        <v>98</v>
      </c>
      <c r="I64" s="120">
        <f>H64-D64</f>
        <v>8</v>
      </c>
      <c r="J64" s="121">
        <f>I64/H64</f>
        <v>8.1632653061224483E-2</v>
      </c>
    </row>
    <row r="65" spans="2:10" ht="15" customHeight="1">
      <c r="B65" s="412" t="s">
        <v>136</v>
      </c>
      <c r="C65" s="413"/>
      <c r="D65" s="414"/>
      <c r="E65" s="137">
        <f>IF((AVERAGE(E62:E64))="#DIV/0!","n/a",(AVERAGE(E62:E64)))</f>
        <v>0.98636675824175823</v>
      </c>
      <c r="G65" s="415" t="s">
        <v>137</v>
      </c>
      <c r="H65" s="416"/>
      <c r="I65" s="138">
        <f>MEDIAN(I60:I64)</f>
        <v>8</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73</v>
      </c>
      <c r="D70" s="408"/>
      <c r="E70" s="122">
        <f>E65</f>
        <v>0.98636675824175823</v>
      </c>
      <c r="F70" s="120">
        <f t="shared" ref="F70:F83" si="1">C70*$E$65</f>
        <v>72.004773351648353</v>
      </c>
      <c r="G70" s="118">
        <f>IF(F70&lt;26,25,IF(F70&gt;135,140,IF(F70&gt;130,135,IF(F70&gt;125,130,IF(F70&gt;120,125,IF(F70&gt;115,120,IF(F70&gt;110,115,IF(F70&gt;105,110,IF(F70&gt;100,105,IF(F70&gt;99,100,IF(F70&gt;90,99,IF(F70&gt;75,90,IF(F70&gt;72,75,IF(F70&gt;66,72,IF(F70&gt;60,66,IF(F70&gt;50,60,IF(F70&gt;30,50,IF(F70&gt;25,30,0))))))))))))))))))</f>
        <v>75</v>
      </c>
      <c r="H70" s="119">
        <f t="shared" ref="H70:H83" si="2">G70-F70</f>
        <v>2.9952266483516468</v>
      </c>
      <c r="I70" s="118" t="str">
        <f>IF(I$65&lt;H70, "NO", "YES")</f>
        <v>YES</v>
      </c>
      <c r="J70" s="117">
        <f t="shared" ref="J70:J83" si="3">IF(I70="YES",G70,(MIN((SUM(F70,$I$65)),G70)))</f>
        <v>75</v>
      </c>
    </row>
    <row r="71" spans="2:10" ht="15" customHeight="1">
      <c r="B71" s="114">
        <v>2020</v>
      </c>
      <c r="C71" s="433">
        <f>E51</f>
        <v>54</v>
      </c>
      <c r="D71" s="408"/>
      <c r="E71" s="121">
        <f>E65</f>
        <v>0.98636675824175823</v>
      </c>
      <c r="F71" s="120">
        <f t="shared" si="1"/>
        <v>53.263804945054943</v>
      </c>
      <c r="G71" s="118">
        <f t="shared" ref="G71:G83" si="4">IF(F71&lt;26,25,IF(F71&gt;135,140,IF(F71&gt;130,135,IF(F71&gt;125,130,IF(F71&gt;120,125,IF(F71&gt;115,120,IF(F71&gt;110,115,IF(F71&gt;105,110,IF(F71&gt;100,105,IF(F71&gt;99,100,IF(F71&gt;90,99,IF(F71&gt;75,90,IF(F71&gt;72,75,IF(F71&gt;66,72,IF(F71&gt;60,66,IF(F71&gt;50,60,IF(F71&gt;30,50,IF(F71&gt;25,30,0))))))))))))))))))</f>
        <v>60</v>
      </c>
      <c r="H71" s="119">
        <f t="shared" si="2"/>
        <v>6.7361950549450569</v>
      </c>
      <c r="I71" s="118" t="str">
        <f t="shared" ref="I71:I83" si="5">IF(I$65&lt;H71, "NO", "YES")</f>
        <v>YES</v>
      </c>
      <c r="J71" s="117">
        <f t="shared" si="3"/>
        <v>60</v>
      </c>
    </row>
    <row r="72" spans="2:10" ht="15" customHeight="1">
      <c r="B72" s="114">
        <v>2021</v>
      </c>
      <c r="C72" s="430">
        <f>F51</f>
        <v>53</v>
      </c>
      <c r="D72" s="431"/>
      <c r="E72" s="121">
        <f>E65</f>
        <v>0.98636675824175823</v>
      </c>
      <c r="F72" s="120">
        <f t="shared" si="1"/>
        <v>52.277438186813185</v>
      </c>
      <c r="G72" s="118">
        <f t="shared" si="4"/>
        <v>60</v>
      </c>
      <c r="H72" s="119">
        <f t="shared" si="2"/>
        <v>7.7225618131868146</v>
      </c>
      <c r="I72" s="118" t="str">
        <f t="shared" si="5"/>
        <v>YES</v>
      </c>
      <c r="J72" s="117">
        <f t="shared" si="3"/>
        <v>60</v>
      </c>
    </row>
    <row r="73" spans="2:10" ht="15" customHeight="1">
      <c r="B73" s="114">
        <v>2022</v>
      </c>
      <c r="C73" s="430">
        <f>G51</f>
        <v>56</v>
      </c>
      <c r="D73" s="431"/>
      <c r="E73" s="121">
        <f>E65</f>
        <v>0.98636675824175823</v>
      </c>
      <c r="F73" s="120">
        <f t="shared" si="1"/>
        <v>55.236538461538458</v>
      </c>
      <c r="G73" s="118">
        <f t="shared" si="4"/>
        <v>60</v>
      </c>
      <c r="H73" s="119">
        <f t="shared" si="2"/>
        <v>4.7634615384615415</v>
      </c>
      <c r="I73" s="118" t="str">
        <f t="shared" si="5"/>
        <v>YES</v>
      </c>
      <c r="J73" s="117">
        <f t="shared" si="3"/>
        <v>60</v>
      </c>
    </row>
    <row r="74" spans="2:10" ht="15" customHeight="1">
      <c r="B74" s="114">
        <v>2023</v>
      </c>
      <c r="C74" s="430">
        <f>H51</f>
        <v>55</v>
      </c>
      <c r="D74" s="431"/>
      <c r="E74" s="121">
        <f>E65</f>
        <v>0.98636675824175823</v>
      </c>
      <c r="F74" s="120">
        <f t="shared" si="1"/>
        <v>54.250171703296701</v>
      </c>
      <c r="G74" s="118">
        <f t="shared" si="4"/>
        <v>60</v>
      </c>
      <c r="H74" s="119">
        <f t="shared" si="2"/>
        <v>5.7498282967032992</v>
      </c>
      <c r="I74" s="118" t="str">
        <f t="shared" si="5"/>
        <v>YES</v>
      </c>
      <c r="J74" s="117">
        <f t="shared" si="3"/>
        <v>60</v>
      </c>
    </row>
    <row r="75" spans="2:10" ht="15" customHeight="1">
      <c r="B75" s="114">
        <v>2024</v>
      </c>
      <c r="C75" s="430">
        <f>I51</f>
        <v>55</v>
      </c>
      <c r="D75" s="431"/>
      <c r="E75" s="121">
        <f>E65</f>
        <v>0.98636675824175823</v>
      </c>
      <c r="F75" s="120">
        <f t="shared" si="1"/>
        <v>54.250171703296701</v>
      </c>
      <c r="G75" s="118">
        <f t="shared" si="4"/>
        <v>60</v>
      </c>
      <c r="H75" s="119">
        <f t="shared" si="2"/>
        <v>5.7498282967032992</v>
      </c>
      <c r="I75" s="118" t="str">
        <f t="shared" si="5"/>
        <v>YES</v>
      </c>
      <c r="J75" s="117">
        <f t="shared" si="3"/>
        <v>60</v>
      </c>
    </row>
    <row r="76" spans="2:10" ht="15" customHeight="1">
      <c r="B76" s="114">
        <v>2025</v>
      </c>
      <c r="C76" s="430">
        <f>J51</f>
        <v>56</v>
      </c>
      <c r="D76" s="431"/>
      <c r="E76" s="121">
        <f>E65</f>
        <v>0.98636675824175823</v>
      </c>
      <c r="F76" s="120">
        <f t="shared" si="1"/>
        <v>55.236538461538458</v>
      </c>
      <c r="G76" s="118">
        <f t="shared" si="4"/>
        <v>60</v>
      </c>
      <c r="H76" s="119">
        <f t="shared" si="2"/>
        <v>4.7634615384615415</v>
      </c>
      <c r="I76" s="118" t="str">
        <f t="shared" si="5"/>
        <v>YES</v>
      </c>
      <c r="J76" s="117">
        <f t="shared" si="3"/>
        <v>60</v>
      </c>
    </row>
    <row r="77" spans="2:10" ht="15" customHeight="1">
      <c r="B77" s="114">
        <v>2026</v>
      </c>
      <c r="C77" s="430">
        <f>K51</f>
        <v>57</v>
      </c>
      <c r="D77" s="431"/>
      <c r="E77" s="121">
        <f>E65</f>
        <v>0.98636675824175823</v>
      </c>
      <c r="F77" s="120">
        <f t="shared" si="1"/>
        <v>56.222905219780216</v>
      </c>
      <c r="G77" s="118">
        <f t="shared" si="4"/>
        <v>60</v>
      </c>
      <c r="H77" s="119">
        <f t="shared" si="2"/>
        <v>3.7770947802197838</v>
      </c>
      <c r="I77" s="118" t="str">
        <f t="shared" si="5"/>
        <v>YES</v>
      </c>
      <c r="J77" s="117">
        <f t="shared" si="3"/>
        <v>60</v>
      </c>
    </row>
    <row r="78" spans="2:10" ht="15" customHeight="1">
      <c r="B78" s="114">
        <v>2027</v>
      </c>
      <c r="C78" s="430">
        <f>L51</f>
        <v>58</v>
      </c>
      <c r="D78" s="431"/>
      <c r="E78" s="121">
        <f>E65</f>
        <v>0.98636675824175823</v>
      </c>
      <c r="F78" s="120">
        <f t="shared" si="1"/>
        <v>57.209271978021981</v>
      </c>
      <c r="G78" s="118">
        <f t="shared" si="4"/>
        <v>60</v>
      </c>
      <c r="H78" s="119">
        <f t="shared" si="2"/>
        <v>2.7907280219780191</v>
      </c>
      <c r="I78" s="118" t="str">
        <f t="shared" si="5"/>
        <v>YES</v>
      </c>
      <c r="J78" s="117">
        <f t="shared" si="3"/>
        <v>60</v>
      </c>
    </row>
    <row r="79" spans="2:10" ht="15" customHeight="1">
      <c r="B79" s="114">
        <v>2028</v>
      </c>
      <c r="C79" s="430">
        <f>M51</f>
        <v>58</v>
      </c>
      <c r="D79" s="431"/>
      <c r="E79" s="121">
        <f t="shared" ref="E79:E83" si="6">$E$65</f>
        <v>0.98636675824175823</v>
      </c>
      <c r="F79" s="120">
        <f t="shared" si="1"/>
        <v>57.209271978021981</v>
      </c>
      <c r="G79" s="118">
        <f t="shared" si="4"/>
        <v>60</v>
      </c>
      <c r="H79" s="119">
        <f t="shared" si="2"/>
        <v>2.7907280219780191</v>
      </c>
      <c r="I79" s="118" t="str">
        <f t="shared" si="5"/>
        <v>YES</v>
      </c>
      <c r="J79" s="117">
        <f t="shared" si="3"/>
        <v>60</v>
      </c>
    </row>
    <row r="80" spans="2:10" ht="15" customHeight="1">
      <c r="B80" s="114">
        <v>2029</v>
      </c>
      <c r="C80" s="430">
        <f>N51</f>
        <v>58</v>
      </c>
      <c r="D80" s="431"/>
      <c r="E80" s="121">
        <f t="shared" si="6"/>
        <v>0.98636675824175823</v>
      </c>
      <c r="F80" s="120">
        <f t="shared" si="1"/>
        <v>57.209271978021981</v>
      </c>
      <c r="G80" s="118">
        <f t="shared" si="4"/>
        <v>60</v>
      </c>
      <c r="H80" s="119">
        <f t="shared" si="2"/>
        <v>2.7907280219780191</v>
      </c>
      <c r="I80" s="118" t="str">
        <f t="shared" si="5"/>
        <v>YES</v>
      </c>
      <c r="J80" s="117">
        <f t="shared" si="3"/>
        <v>60</v>
      </c>
    </row>
    <row r="81" spans="2:10" ht="15" customHeight="1">
      <c r="B81" s="114">
        <v>2030</v>
      </c>
      <c r="C81" s="430">
        <f>O51</f>
        <v>59</v>
      </c>
      <c r="D81" s="431"/>
      <c r="E81" s="121">
        <f t="shared" si="6"/>
        <v>0.98636675824175823</v>
      </c>
      <c r="F81" s="120">
        <f t="shared" si="1"/>
        <v>58.195638736263739</v>
      </c>
      <c r="G81" s="118">
        <f t="shared" si="4"/>
        <v>60</v>
      </c>
      <c r="H81" s="119">
        <f t="shared" si="2"/>
        <v>1.8043612637362614</v>
      </c>
      <c r="I81" s="118" t="str">
        <f t="shared" si="5"/>
        <v>YES</v>
      </c>
      <c r="J81" s="117">
        <f t="shared" si="3"/>
        <v>60</v>
      </c>
    </row>
    <row r="82" spans="2:10" ht="15" customHeight="1">
      <c r="B82" s="114">
        <v>2031</v>
      </c>
      <c r="C82" s="430">
        <f>P51</f>
        <v>59</v>
      </c>
      <c r="D82" s="431"/>
      <c r="E82" s="121">
        <f t="shared" si="6"/>
        <v>0.98636675824175823</v>
      </c>
      <c r="F82" s="120">
        <f t="shared" si="1"/>
        <v>58.195638736263739</v>
      </c>
      <c r="G82" s="118">
        <f t="shared" si="4"/>
        <v>60</v>
      </c>
      <c r="H82" s="119">
        <f t="shared" si="2"/>
        <v>1.8043612637362614</v>
      </c>
      <c r="I82" s="118" t="str">
        <f t="shared" si="5"/>
        <v>YES</v>
      </c>
      <c r="J82" s="117">
        <f t="shared" si="3"/>
        <v>60</v>
      </c>
    </row>
    <row r="83" spans="2:10" ht="15" customHeight="1">
      <c r="B83" s="114">
        <v>2032</v>
      </c>
      <c r="C83" s="430">
        <f>Q51</f>
        <v>59</v>
      </c>
      <c r="D83" s="431"/>
      <c r="E83" s="121">
        <f t="shared" si="6"/>
        <v>0.98636675824175823</v>
      </c>
      <c r="F83" s="120">
        <f t="shared" si="1"/>
        <v>58.195638736263739</v>
      </c>
      <c r="G83" s="118">
        <f t="shared" si="4"/>
        <v>60</v>
      </c>
      <c r="H83" s="119">
        <f t="shared" si="2"/>
        <v>1.8043612637362614</v>
      </c>
      <c r="I83" s="118" t="str">
        <f t="shared" si="5"/>
        <v>YES</v>
      </c>
      <c r="J83" s="117">
        <f t="shared" si="3"/>
        <v>60</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Towerbank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90</v>
      </c>
      <c r="D91" s="112">
        <f t="shared" ref="D91:J91" si="7">D188</f>
        <v>88</v>
      </c>
      <c r="E91" s="112">
        <f t="shared" si="7"/>
        <v>90</v>
      </c>
      <c r="F91" s="112">
        <f t="shared" si="7"/>
        <v>92</v>
      </c>
      <c r="G91" s="112">
        <f t="shared" si="7"/>
        <v>87</v>
      </c>
      <c r="H91" s="112">
        <f t="shared" si="7"/>
        <v>67</v>
      </c>
      <c r="I91" s="112">
        <f t="shared" si="7"/>
        <v>61</v>
      </c>
      <c r="J91" s="213">
        <f t="shared" si="7"/>
        <v>575</v>
      </c>
    </row>
    <row r="92" spans="2:10" ht="15" customHeight="1">
      <c r="B92" s="114">
        <v>2014</v>
      </c>
      <c r="C92" s="112">
        <f>C189</f>
        <v>108</v>
      </c>
      <c r="D92" s="112">
        <f t="shared" ref="D92:J92" si="8">D189</f>
        <v>88</v>
      </c>
      <c r="E92" s="112">
        <f t="shared" si="8"/>
        <v>88</v>
      </c>
      <c r="F92" s="112">
        <f t="shared" si="8"/>
        <v>89</v>
      </c>
      <c r="G92" s="112">
        <f t="shared" si="8"/>
        <v>89</v>
      </c>
      <c r="H92" s="112">
        <f t="shared" si="8"/>
        <v>83</v>
      </c>
      <c r="I92" s="112">
        <f t="shared" si="8"/>
        <v>64</v>
      </c>
      <c r="J92" s="213">
        <f t="shared" si="8"/>
        <v>609</v>
      </c>
    </row>
    <row r="93" spans="2:10" ht="15" customHeight="1">
      <c r="B93" s="114">
        <v>2015</v>
      </c>
      <c r="C93" s="112">
        <f>C190</f>
        <v>95</v>
      </c>
      <c r="D93" s="112">
        <f t="shared" ref="D93:J93" si="9">D190</f>
        <v>105</v>
      </c>
      <c r="E93" s="112">
        <f t="shared" si="9"/>
        <v>88</v>
      </c>
      <c r="F93" s="112">
        <f t="shared" si="9"/>
        <v>91</v>
      </c>
      <c r="G93" s="112">
        <f t="shared" si="9"/>
        <v>85</v>
      </c>
      <c r="H93" s="112">
        <f t="shared" si="9"/>
        <v>87</v>
      </c>
      <c r="I93" s="112">
        <f t="shared" si="9"/>
        <v>87</v>
      </c>
      <c r="J93" s="213">
        <f t="shared" si="9"/>
        <v>638</v>
      </c>
    </row>
    <row r="94" spans="2:10" ht="15" customHeight="1">
      <c r="B94" s="114">
        <v>2016</v>
      </c>
      <c r="C94" s="112">
        <f>C191</f>
        <v>85</v>
      </c>
      <c r="D94" s="112">
        <f t="shared" ref="D94:J94" si="10">D191</f>
        <v>97</v>
      </c>
      <c r="E94" s="112">
        <f t="shared" si="10"/>
        <v>107</v>
      </c>
      <c r="F94" s="112">
        <f t="shared" si="10"/>
        <v>85</v>
      </c>
      <c r="G94" s="112">
        <f t="shared" si="10"/>
        <v>94</v>
      </c>
      <c r="H94" s="112">
        <f t="shared" si="10"/>
        <v>89</v>
      </c>
      <c r="I94" s="112">
        <f t="shared" si="10"/>
        <v>86</v>
      </c>
      <c r="J94" s="213">
        <f t="shared" si="10"/>
        <v>643</v>
      </c>
    </row>
    <row r="95" spans="2:10" ht="15" customHeight="1">
      <c r="B95" s="114">
        <v>2017</v>
      </c>
      <c r="C95" s="112">
        <f>C192</f>
        <v>75</v>
      </c>
      <c r="D95" s="112">
        <f t="shared" ref="D95:J95" si="11">D192</f>
        <v>86</v>
      </c>
      <c r="E95" s="112">
        <f t="shared" si="11"/>
        <v>98</v>
      </c>
      <c r="F95" s="112">
        <f t="shared" si="11"/>
        <v>104</v>
      </c>
      <c r="G95" s="112">
        <f t="shared" si="11"/>
        <v>87</v>
      </c>
      <c r="H95" s="112">
        <f t="shared" si="11"/>
        <v>95</v>
      </c>
      <c r="I95" s="112">
        <f t="shared" si="11"/>
        <v>88</v>
      </c>
      <c r="J95" s="213">
        <f t="shared" si="11"/>
        <v>633</v>
      </c>
    </row>
    <row r="96" spans="2:10" ht="15" customHeight="1">
      <c r="B96" s="307">
        <v>2018</v>
      </c>
      <c r="C96" s="112">
        <f t="shared" ref="C96:J96" si="12">C193</f>
        <v>98</v>
      </c>
      <c r="D96" s="112">
        <f t="shared" si="12"/>
        <v>78</v>
      </c>
      <c r="E96" s="112">
        <f t="shared" si="12"/>
        <v>89</v>
      </c>
      <c r="F96" s="112">
        <f t="shared" si="12"/>
        <v>96</v>
      </c>
      <c r="G96" s="112">
        <f t="shared" si="12"/>
        <v>101</v>
      </c>
      <c r="H96" s="112">
        <f t="shared" si="12"/>
        <v>81</v>
      </c>
      <c r="I96" s="112">
        <f t="shared" si="12"/>
        <v>93</v>
      </c>
      <c r="J96" s="213">
        <f t="shared" si="12"/>
        <v>636</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-1.1764705882352941E-2</v>
      </c>
      <c r="E98" s="210">
        <f t="shared" ref="E98:I98" si="13">MEDIAN(((D91-E92)/D91),((D92-E93)/D92),((D93-E94)/D93),((D94-E95)/D94),((D95-E96)/D95))</f>
        <v>-1.0309278350515464E-2</v>
      </c>
      <c r="F98" s="210">
        <f t="shared" si="13"/>
        <v>2.0408163265306121E-2</v>
      </c>
      <c r="G98" s="210">
        <f t="shared" si="13"/>
        <v>2.8846153846153848E-2</v>
      </c>
      <c r="H98" s="210">
        <f t="shared" si="13"/>
        <v>2.247191011235955E-2</v>
      </c>
      <c r="I98" s="210">
        <f t="shared" si="13"/>
        <v>1.1494252873563218E-2</v>
      </c>
    </row>
    <row r="99" spans="2:10" ht="15" customHeight="1">
      <c r="B99" s="59"/>
      <c r="C99" s="60"/>
      <c r="D99" s="61"/>
      <c r="E99" s="61"/>
      <c r="F99" s="61"/>
      <c r="G99" s="61"/>
      <c r="H99" s="61"/>
      <c r="I99" s="61"/>
      <c r="J99" s="58"/>
    </row>
    <row r="100" spans="2:10" ht="15" customHeight="1">
      <c r="B100" s="15" t="str">
        <f>"Table 4B: "&amp;E3&amp;" Projected Roll by Stage (incorporating Projected P1 and Drop-Off Rates), 2019-2032"</f>
        <v>Table 4B: Towerbank Primary School Projected Roll by Stage (incorporating Projected P1 and Drop-Off Rates), 2019-2032</v>
      </c>
      <c r="F100" s="14"/>
      <c r="G100" s="14"/>
    </row>
    <row r="101" spans="2:10" ht="15" customHeight="1">
      <c r="F101" s="14"/>
      <c r="G101" s="14"/>
    </row>
    <row r="102" spans="2:10" ht="15" customHeight="1">
      <c r="B102" s="115"/>
      <c r="C102" s="109" t="s">
        <v>1</v>
      </c>
      <c r="D102" s="109" t="s">
        <v>2</v>
      </c>
      <c r="E102" s="109" t="s">
        <v>3</v>
      </c>
      <c r="F102" s="109" t="s">
        <v>4</v>
      </c>
      <c r="G102" s="109" t="s">
        <v>5</v>
      </c>
      <c r="H102" s="109" t="s">
        <v>6</v>
      </c>
      <c r="I102" s="109" t="s">
        <v>7</v>
      </c>
      <c r="J102" s="109" t="s">
        <v>8</v>
      </c>
    </row>
    <row r="103" spans="2:10" ht="15" customHeight="1">
      <c r="B103" s="114">
        <v>2019</v>
      </c>
      <c r="C103" s="113">
        <f t="shared" ref="C103:C116" si="14">J70</f>
        <v>75</v>
      </c>
      <c r="D103" s="324">
        <f>ROUND((C96)-(C96*$D$98),0)</f>
        <v>99</v>
      </c>
      <c r="E103" s="324">
        <f>ROUND((D96)-(D96*$E$98),0)</f>
        <v>79</v>
      </c>
      <c r="F103" s="324">
        <f>ROUND((E96)-(E96*$F$98),0)</f>
        <v>87</v>
      </c>
      <c r="G103" s="324">
        <f>ROUND((F96)-(F96*$G$98),0)</f>
        <v>93</v>
      </c>
      <c r="H103" s="324">
        <f>ROUND((G96)-(G96*$H$98),0)</f>
        <v>99</v>
      </c>
      <c r="I103" s="324">
        <f>ROUND((H96)-(H96*$I$98),0)</f>
        <v>80</v>
      </c>
      <c r="J103" s="111">
        <f t="shared" ref="J103:J116" si="15">SUM(C103:I103)</f>
        <v>612</v>
      </c>
    </row>
    <row r="104" spans="2:10" ht="15" customHeight="1">
      <c r="B104" s="114">
        <v>2020</v>
      </c>
      <c r="C104" s="113">
        <f t="shared" si="14"/>
        <v>60</v>
      </c>
      <c r="D104" s="324">
        <f>ROUND((C103-E50)-(C103*$D$98),0)</f>
        <v>76</v>
      </c>
      <c r="E104" s="112">
        <f t="shared" ref="E104:E116" si="16">ROUND((D103)-(D103*$E$98),0)</f>
        <v>100</v>
      </c>
      <c r="F104" s="112">
        <f t="shared" ref="F104:F116" si="17">ROUND((E103)-(E103*$F$98),0)</f>
        <v>77</v>
      </c>
      <c r="G104" s="112">
        <f t="shared" ref="G104:G116" si="18">ROUND((F103)-(F103*$G$98),0)</f>
        <v>84</v>
      </c>
      <c r="H104" s="112">
        <f t="shared" ref="H104:H116" si="19">ROUND((G103)-(G103*$H$98),0)</f>
        <v>91</v>
      </c>
      <c r="I104" s="112">
        <f t="shared" ref="I104:I116" si="20">ROUND((H103)-(H103*$I$98),0)</f>
        <v>98</v>
      </c>
      <c r="J104" s="111">
        <f t="shared" si="15"/>
        <v>586</v>
      </c>
    </row>
    <row r="105" spans="2:10" ht="15" customHeight="1">
      <c r="B105" s="114">
        <v>2021</v>
      </c>
      <c r="C105" s="113">
        <f t="shared" si="14"/>
        <v>60</v>
      </c>
      <c r="D105" s="324">
        <f>ROUND((C104-F50)-(C104*$D$98),0)</f>
        <v>61</v>
      </c>
      <c r="E105" s="112">
        <f t="shared" si="16"/>
        <v>77</v>
      </c>
      <c r="F105" s="112">
        <f t="shared" si="17"/>
        <v>98</v>
      </c>
      <c r="G105" s="112">
        <f t="shared" si="18"/>
        <v>75</v>
      </c>
      <c r="H105" s="112">
        <f t="shared" si="19"/>
        <v>82</v>
      </c>
      <c r="I105" s="112">
        <f t="shared" si="20"/>
        <v>90</v>
      </c>
      <c r="J105" s="111">
        <f t="shared" si="15"/>
        <v>543</v>
      </c>
    </row>
    <row r="106" spans="2:10" ht="15" customHeight="1">
      <c r="B106" s="114">
        <v>2022</v>
      </c>
      <c r="C106" s="113">
        <f t="shared" si="14"/>
        <v>60</v>
      </c>
      <c r="D106" s="324">
        <f>ROUND((C105-G50)-(C105*$D$98),0)</f>
        <v>61</v>
      </c>
      <c r="E106" s="112">
        <f t="shared" si="16"/>
        <v>62</v>
      </c>
      <c r="F106" s="112">
        <f t="shared" si="17"/>
        <v>75</v>
      </c>
      <c r="G106" s="112">
        <f t="shared" si="18"/>
        <v>95</v>
      </c>
      <c r="H106" s="112">
        <f t="shared" si="19"/>
        <v>73</v>
      </c>
      <c r="I106" s="112">
        <f t="shared" si="20"/>
        <v>81</v>
      </c>
      <c r="J106" s="111">
        <f t="shared" si="15"/>
        <v>507</v>
      </c>
    </row>
    <row r="107" spans="2:10" ht="15" customHeight="1">
      <c r="B107" s="114">
        <v>2023</v>
      </c>
      <c r="C107" s="113">
        <f t="shared" si="14"/>
        <v>60</v>
      </c>
      <c r="D107" s="324">
        <f>ROUND((C106-H50)-(C106*$D$98),0)</f>
        <v>61</v>
      </c>
      <c r="E107" s="112">
        <f t="shared" si="16"/>
        <v>62</v>
      </c>
      <c r="F107" s="112">
        <f t="shared" si="17"/>
        <v>61</v>
      </c>
      <c r="G107" s="112">
        <f t="shared" si="18"/>
        <v>73</v>
      </c>
      <c r="H107" s="112">
        <f t="shared" si="19"/>
        <v>93</v>
      </c>
      <c r="I107" s="112">
        <f t="shared" si="20"/>
        <v>72</v>
      </c>
      <c r="J107" s="111">
        <f t="shared" si="15"/>
        <v>482</v>
      </c>
    </row>
    <row r="108" spans="2:10" ht="15" customHeight="1">
      <c r="B108" s="114">
        <v>2024</v>
      </c>
      <c r="C108" s="113">
        <f t="shared" si="14"/>
        <v>60</v>
      </c>
      <c r="D108" s="324">
        <f>ROUND((C107-I50)-(C107*$D$98),0)</f>
        <v>61</v>
      </c>
      <c r="E108" s="112">
        <f t="shared" si="16"/>
        <v>62</v>
      </c>
      <c r="F108" s="112">
        <f t="shared" si="17"/>
        <v>61</v>
      </c>
      <c r="G108" s="112">
        <f t="shared" si="18"/>
        <v>59</v>
      </c>
      <c r="H108" s="112">
        <f t="shared" si="19"/>
        <v>71</v>
      </c>
      <c r="I108" s="112">
        <f t="shared" si="20"/>
        <v>92</v>
      </c>
      <c r="J108" s="111">
        <f t="shared" si="15"/>
        <v>466</v>
      </c>
    </row>
    <row r="109" spans="2:10" ht="15" customHeight="1">
      <c r="B109" s="114">
        <v>2025</v>
      </c>
      <c r="C109" s="113">
        <f t="shared" si="14"/>
        <v>60</v>
      </c>
      <c r="D109" s="324">
        <f>ROUND((C108-J50)-(C108*$D$98),0)</f>
        <v>61</v>
      </c>
      <c r="E109" s="112">
        <f t="shared" si="16"/>
        <v>62</v>
      </c>
      <c r="F109" s="112">
        <f t="shared" si="17"/>
        <v>61</v>
      </c>
      <c r="G109" s="112">
        <f t="shared" si="18"/>
        <v>59</v>
      </c>
      <c r="H109" s="112">
        <f t="shared" si="19"/>
        <v>58</v>
      </c>
      <c r="I109" s="112">
        <f t="shared" si="20"/>
        <v>70</v>
      </c>
      <c r="J109" s="111">
        <f t="shared" si="15"/>
        <v>431</v>
      </c>
    </row>
    <row r="110" spans="2:10" ht="15" customHeight="1">
      <c r="B110" s="114">
        <v>2026</v>
      </c>
      <c r="C110" s="113">
        <f t="shared" si="14"/>
        <v>60</v>
      </c>
      <c r="D110" s="324">
        <f>ROUND((C109-K50)-(C109*$D$98),0)</f>
        <v>61</v>
      </c>
      <c r="E110" s="112">
        <f t="shared" si="16"/>
        <v>62</v>
      </c>
      <c r="F110" s="112">
        <f t="shared" si="17"/>
        <v>61</v>
      </c>
      <c r="G110" s="112">
        <f t="shared" si="18"/>
        <v>59</v>
      </c>
      <c r="H110" s="112">
        <f t="shared" si="19"/>
        <v>58</v>
      </c>
      <c r="I110" s="112">
        <f t="shared" si="20"/>
        <v>57</v>
      </c>
      <c r="J110" s="111">
        <f t="shared" si="15"/>
        <v>418</v>
      </c>
    </row>
    <row r="111" spans="2:10" ht="15" customHeight="1">
      <c r="B111" s="114">
        <v>2027</v>
      </c>
      <c r="C111" s="113">
        <f t="shared" si="14"/>
        <v>60</v>
      </c>
      <c r="D111" s="324">
        <f>ROUND((C110-L50)-(C110*$D$98),0)</f>
        <v>60</v>
      </c>
      <c r="E111" s="112">
        <f t="shared" si="16"/>
        <v>62</v>
      </c>
      <c r="F111" s="112">
        <f t="shared" si="17"/>
        <v>61</v>
      </c>
      <c r="G111" s="112">
        <f t="shared" si="18"/>
        <v>59</v>
      </c>
      <c r="H111" s="112">
        <f t="shared" si="19"/>
        <v>58</v>
      </c>
      <c r="I111" s="112">
        <f t="shared" si="20"/>
        <v>57</v>
      </c>
      <c r="J111" s="111">
        <f t="shared" si="15"/>
        <v>417</v>
      </c>
    </row>
    <row r="112" spans="2:10" ht="15" customHeight="1">
      <c r="B112" s="114">
        <v>2028</v>
      </c>
      <c r="C112" s="113">
        <f t="shared" si="14"/>
        <v>60</v>
      </c>
      <c r="D112" s="324">
        <f>ROUND((C111-M50)-(C111*$D$98),0)</f>
        <v>60</v>
      </c>
      <c r="E112" s="112">
        <f t="shared" si="16"/>
        <v>61</v>
      </c>
      <c r="F112" s="112">
        <f t="shared" si="17"/>
        <v>61</v>
      </c>
      <c r="G112" s="112">
        <f t="shared" si="18"/>
        <v>59</v>
      </c>
      <c r="H112" s="112">
        <f t="shared" si="19"/>
        <v>58</v>
      </c>
      <c r="I112" s="112">
        <f t="shared" si="20"/>
        <v>57</v>
      </c>
      <c r="J112" s="111">
        <f t="shared" si="15"/>
        <v>416</v>
      </c>
    </row>
    <row r="113" spans="2:10" ht="15" customHeight="1">
      <c r="B113" s="114">
        <v>2029</v>
      </c>
      <c r="C113" s="113">
        <f t="shared" si="14"/>
        <v>60</v>
      </c>
      <c r="D113" s="324">
        <f>ROUND((C112-N50)-(C112*$D$98),0)</f>
        <v>60</v>
      </c>
      <c r="E113" s="112">
        <f t="shared" si="16"/>
        <v>61</v>
      </c>
      <c r="F113" s="112">
        <f t="shared" si="17"/>
        <v>60</v>
      </c>
      <c r="G113" s="112">
        <f t="shared" si="18"/>
        <v>59</v>
      </c>
      <c r="H113" s="112">
        <f t="shared" si="19"/>
        <v>58</v>
      </c>
      <c r="I113" s="112">
        <f t="shared" si="20"/>
        <v>57</v>
      </c>
      <c r="J113" s="111">
        <f t="shared" si="15"/>
        <v>415</v>
      </c>
    </row>
    <row r="114" spans="2:10" ht="15" customHeight="1">
      <c r="B114" s="114">
        <v>2030</v>
      </c>
      <c r="C114" s="113">
        <f t="shared" si="14"/>
        <v>60</v>
      </c>
      <c r="D114" s="324">
        <f>ROUND((C113-O50)-(C113*$D$98),0)</f>
        <v>60</v>
      </c>
      <c r="E114" s="112">
        <f t="shared" si="16"/>
        <v>61</v>
      </c>
      <c r="F114" s="112">
        <f t="shared" si="17"/>
        <v>60</v>
      </c>
      <c r="G114" s="112">
        <f t="shared" si="18"/>
        <v>58</v>
      </c>
      <c r="H114" s="112">
        <f t="shared" si="19"/>
        <v>58</v>
      </c>
      <c r="I114" s="112">
        <f t="shared" si="20"/>
        <v>57</v>
      </c>
      <c r="J114" s="111">
        <f t="shared" si="15"/>
        <v>414</v>
      </c>
    </row>
    <row r="115" spans="2:10" ht="15" customHeight="1">
      <c r="B115" s="114">
        <v>2031</v>
      </c>
      <c r="C115" s="113">
        <f t="shared" si="14"/>
        <v>60</v>
      </c>
      <c r="D115" s="324">
        <f>ROUND((C114-P50)-(C114*$D$98),0)</f>
        <v>60</v>
      </c>
      <c r="E115" s="112">
        <f t="shared" si="16"/>
        <v>61</v>
      </c>
      <c r="F115" s="112">
        <f t="shared" si="17"/>
        <v>60</v>
      </c>
      <c r="G115" s="112">
        <f t="shared" si="18"/>
        <v>58</v>
      </c>
      <c r="H115" s="112">
        <f t="shared" si="19"/>
        <v>57</v>
      </c>
      <c r="I115" s="112">
        <f t="shared" si="20"/>
        <v>57</v>
      </c>
      <c r="J115" s="111">
        <f t="shared" si="15"/>
        <v>413</v>
      </c>
    </row>
    <row r="116" spans="2:10" ht="15" customHeight="1">
      <c r="B116" s="114">
        <v>2032</v>
      </c>
      <c r="C116" s="113">
        <f t="shared" si="14"/>
        <v>60</v>
      </c>
      <c r="D116" s="324">
        <f>ROUND((C115-Q50)-(C115*$D$98),0)</f>
        <v>60</v>
      </c>
      <c r="E116" s="112">
        <f t="shared" si="16"/>
        <v>61</v>
      </c>
      <c r="F116" s="112">
        <f t="shared" si="17"/>
        <v>60</v>
      </c>
      <c r="G116" s="112">
        <f t="shared" si="18"/>
        <v>58</v>
      </c>
      <c r="H116" s="112">
        <f t="shared" si="19"/>
        <v>57</v>
      </c>
      <c r="I116" s="112">
        <f t="shared" si="20"/>
        <v>56</v>
      </c>
      <c r="J116" s="111">
        <f t="shared" si="15"/>
        <v>412</v>
      </c>
    </row>
    <row r="117" spans="2:10" ht="15" customHeight="1">
      <c r="F117" s="14"/>
      <c r="G117" s="14"/>
    </row>
    <row r="118" spans="2:10" ht="15" customHeight="1">
      <c r="B118" s="15" t="str">
        <f>"Table 4C: "&amp;E3&amp;" Projected Pupil Generation from Housing Development, 2019-2032"</f>
        <v>Table 4C: Towerbank Primary School Projected Pupil Generation from Housing Development, 2019-2032</v>
      </c>
      <c r="F118" s="14"/>
      <c r="G118" s="14"/>
    </row>
    <row r="119" spans="2:10" ht="15" customHeight="1">
      <c r="F119" s="14"/>
      <c r="G119" s="14"/>
    </row>
    <row r="120" spans="2:10" ht="15" customHeight="1">
      <c r="B120" s="115"/>
      <c r="C120" s="109" t="s">
        <v>1</v>
      </c>
      <c r="D120" s="109" t="s">
        <v>2</v>
      </c>
      <c r="E120" s="109" t="s">
        <v>3</v>
      </c>
      <c r="F120" s="109" t="s">
        <v>4</v>
      </c>
      <c r="G120" s="109" t="s">
        <v>5</v>
      </c>
      <c r="H120" s="109" t="s">
        <v>6</v>
      </c>
      <c r="I120" s="109" t="s">
        <v>7</v>
      </c>
      <c r="J120" s="109" t="s">
        <v>8</v>
      </c>
    </row>
    <row r="121" spans="2:10" ht="15" customHeight="1">
      <c r="B121" s="114">
        <v>2019</v>
      </c>
      <c r="C121" s="116" t="s">
        <v>97</v>
      </c>
      <c r="D121" s="112">
        <f>VLOOKUP($E$3,'Housing Generation'!$A$3:$BE$90,11,FALSE)</f>
        <v>0</v>
      </c>
      <c r="E121" s="112">
        <f>VLOOKUP($E$3,'Housing Generation'!$A$3:$BE$90,12,FALSE)</f>
        <v>0</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0</v>
      </c>
    </row>
    <row r="122" spans="2:10" ht="15" customHeight="1">
      <c r="B122" s="114">
        <v>2020</v>
      </c>
      <c r="C122" s="116" t="s">
        <v>97</v>
      </c>
      <c r="D122" s="112">
        <f>VLOOKUP($E$3,'Housing Generation'!$A$3:$BE$90,19,FALSE)</f>
        <v>0</v>
      </c>
      <c r="E122" s="112">
        <f>VLOOKUP($E$3,'Housing Generation'!$A$3:$BE$90,20,FALSE)</f>
        <v>0</v>
      </c>
      <c r="F122" s="112">
        <f>VLOOKUP($E$3,'Housing Generation'!$A$3:$BE$90,21,FALSE)</f>
        <v>0</v>
      </c>
      <c r="G122" s="112">
        <f>VLOOKUP($E$3,'Housing Generation'!$A$3:$BE$90,22,FALSE)</f>
        <v>0</v>
      </c>
      <c r="H122" s="112">
        <f>VLOOKUP($E$3,'Housing Generation'!$A$3:$BE$90,23,FALSE)</f>
        <v>0</v>
      </c>
      <c r="I122" s="112">
        <f>VLOOKUP($E$3,'Housing Generation'!$A$3:$BE$90,24,FALSE)</f>
        <v>0</v>
      </c>
      <c r="J122" s="111">
        <f t="shared" si="21"/>
        <v>0</v>
      </c>
    </row>
    <row r="123" spans="2:10" ht="15" customHeight="1">
      <c r="B123" s="114">
        <v>2021</v>
      </c>
      <c r="C123" s="116" t="s">
        <v>97</v>
      </c>
      <c r="D123" s="112">
        <f>VLOOKUP($E$3,'Housing Generation'!$A$3:$BE$90,27,FALSE)</f>
        <v>0</v>
      </c>
      <c r="E123" s="112">
        <f>VLOOKUP($E$3,'Housing Generation'!$A$3:$BE$90,28,FALSE)</f>
        <v>0</v>
      </c>
      <c r="F123" s="112">
        <f>VLOOKUP($E$3,'Housing Generation'!$A$3:$BE$90,29,FALSE)</f>
        <v>0</v>
      </c>
      <c r="G123" s="112">
        <f>VLOOKUP($E$3,'Housing Generation'!$A$3:$BE$90,30,FALSE)</f>
        <v>0</v>
      </c>
      <c r="H123" s="112">
        <f>VLOOKUP($E$3,'Housing Generation'!$A$3:$BE$90,31,FALSE)</f>
        <v>0</v>
      </c>
      <c r="I123" s="112">
        <f>VLOOKUP($E$3,'Housing Generation'!$A$3:$BE$90,32,FALSE)</f>
        <v>0</v>
      </c>
      <c r="J123" s="111">
        <f t="shared" si="21"/>
        <v>0</v>
      </c>
    </row>
    <row r="124" spans="2:10" ht="15" customHeight="1">
      <c r="B124" s="114">
        <v>2022</v>
      </c>
      <c r="C124" s="116" t="s">
        <v>97</v>
      </c>
      <c r="D124" s="112">
        <f>VLOOKUP($E$3,'Housing Generation'!$A$3:$BE$90,35,FALSE)</f>
        <v>0</v>
      </c>
      <c r="E124" s="112">
        <f>VLOOKUP($E$3,'Housing Generation'!$A$3:$BE$90,36,FALSE)</f>
        <v>0</v>
      </c>
      <c r="F124" s="112">
        <f>VLOOKUP($E$3,'Housing Generation'!$A$3:$BE$90,37,FALSE)</f>
        <v>0</v>
      </c>
      <c r="G124" s="112">
        <f>VLOOKUP($E$3,'Housing Generation'!$A$3:$BE$90,38,FALSE)</f>
        <v>0</v>
      </c>
      <c r="H124" s="112">
        <f>VLOOKUP($E$3,'Housing Generation'!$A$3:$BE$90,39,FALSE)</f>
        <v>0</v>
      </c>
      <c r="I124" s="112">
        <f>VLOOKUP($E$3,'Housing Generation'!$A$3:$BE$90,40,FALSE)</f>
        <v>0</v>
      </c>
      <c r="J124" s="111">
        <f t="shared" si="21"/>
        <v>0</v>
      </c>
    </row>
    <row r="125" spans="2:10" ht="15" customHeight="1">
      <c r="B125" s="114">
        <v>2023</v>
      </c>
      <c r="C125" s="116" t="s">
        <v>97</v>
      </c>
      <c r="D125" s="112">
        <f>VLOOKUP($E$3,'Housing Generation'!$A$3:$BE$90,43,FALSE)</f>
        <v>0</v>
      </c>
      <c r="E125" s="112">
        <f>VLOOKUP($E$3,'Housing Generation'!$A$3:$BE$90,44,FALSE)</f>
        <v>0</v>
      </c>
      <c r="F125" s="112">
        <f>VLOOKUP($E$3,'Housing Generation'!$A$3:$BE$90,45,FALSE)</f>
        <v>0</v>
      </c>
      <c r="G125" s="112">
        <f>VLOOKUP($E$3,'Housing Generation'!$A$3:$BE$90,46,FALSE)</f>
        <v>0</v>
      </c>
      <c r="H125" s="112">
        <f>VLOOKUP($E$3,'Housing Generation'!$A$3:$BE$90,47,FALSE)</f>
        <v>0</v>
      </c>
      <c r="I125" s="112">
        <f>VLOOKUP($E$3,'Housing Generation'!$A$3:$BE$90,48,FALSE)</f>
        <v>0</v>
      </c>
      <c r="J125" s="111">
        <f t="shared" si="21"/>
        <v>0</v>
      </c>
    </row>
    <row r="126" spans="2:10" ht="15" customHeight="1">
      <c r="B126" s="114">
        <v>2024</v>
      </c>
      <c r="C126" s="116" t="s">
        <v>97</v>
      </c>
      <c r="D126" s="112">
        <f>VLOOKUP($E$3,'Housing Generation'!$A$3:$BE$90,51,FALSE)</f>
        <v>0</v>
      </c>
      <c r="E126" s="112">
        <f>VLOOKUP($E$3,'Housing Generation'!$A$3:$BE$90,52,FALSE)</f>
        <v>0</v>
      </c>
      <c r="F126" s="112">
        <f>VLOOKUP($E$3,'Housing Generation'!$A$3:$BE$90,53,FALSE)</f>
        <v>0</v>
      </c>
      <c r="G126" s="112">
        <f>VLOOKUP($E$3,'Housing Generation'!$A$3:$BE$90,54,FALSE)</f>
        <v>0</v>
      </c>
      <c r="H126" s="112">
        <f>VLOOKUP($E$3,'Housing Generation'!$A$3:$BE$90,55,FALSE)</f>
        <v>0</v>
      </c>
      <c r="I126" s="112">
        <f>VLOOKUP($E$3,'Housing Generation'!$A$3:$BE$90,56,FALSE)</f>
        <v>0</v>
      </c>
      <c r="J126" s="111">
        <f t="shared" si="21"/>
        <v>0</v>
      </c>
    </row>
    <row r="127" spans="2:10" ht="15" customHeight="1">
      <c r="B127" s="114">
        <v>2025</v>
      </c>
      <c r="C127" s="240" t="s">
        <v>97</v>
      </c>
      <c r="D127" s="112">
        <f>VLOOKUP($E$3,'Housing Generation'!$A$3:$CK$90,59,FALSE)</f>
        <v>0</v>
      </c>
      <c r="E127" s="112">
        <f>VLOOKUP($E$3,'Housing Generation'!$A$3:$CK$90,60,FALSE)</f>
        <v>0</v>
      </c>
      <c r="F127" s="112">
        <f>VLOOKUP($E$3,'Housing Generation'!$A$3:$CK$90,61,FALSE)</f>
        <v>0</v>
      </c>
      <c r="G127" s="112">
        <f>VLOOKUP($E$3,'Housing Generation'!$A$3:$CK$90,62,FALSE)</f>
        <v>0</v>
      </c>
      <c r="H127" s="112">
        <f>VLOOKUP($E$3,'Housing Generation'!$A$3:$CK$90,63,FALSE)</f>
        <v>0</v>
      </c>
      <c r="I127" s="112">
        <f>VLOOKUP($E$3,'Housing Generation'!$A$3:$CK$90,64,FALSE)</f>
        <v>0</v>
      </c>
      <c r="J127" s="111">
        <f t="shared" si="21"/>
        <v>0</v>
      </c>
    </row>
    <row r="128" spans="2:10" ht="15" customHeight="1">
      <c r="B128" s="114">
        <v>2026</v>
      </c>
      <c r="C128" s="240" t="s">
        <v>97</v>
      </c>
      <c r="D128" s="112">
        <f>VLOOKUP($E$3,'Housing Generation'!$A$3:$CK$90,67,FALSE)</f>
        <v>0</v>
      </c>
      <c r="E128" s="112">
        <f>VLOOKUP($E$3,'Housing Generation'!$A$3:$CK$90,68,FALSE)</f>
        <v>0</v>
      </c>
      <c r="F128" s="112">
        <f>VLOOKUP($E$3,'Housing Generation'!$A$3:$CK$90,69,FALSE)</f>
        <v>0</v>
      </c>
      <c r="G128" s="112">
        <f>VLOOKUP($E$3,'Housing Generation'!$A$3:$CK$90,70,FALSE)</f>
        <v>0</v>
      </c>
      <c r="H128" s="112">
        <f>VLOOKUP($E$3,'Housing Generation'!$A$3:$CK$90,71,FALSE)</f>
        <v>0</v>
      </c>
      <c r="I128" s="112">
        <f>VLOOKUP($E$3,'Housing Generation'!$A$3:$CK$90,72,FALSE)</f>
        <v>0</v>
      </c>
      <c r="J128" s="111">
        <f t="shared" si="21"/>
        <v>0</v>
      </c>
    </row>
    <row r="129" spans="2:10" ht="15" customHeight="1">
      <c r="B129" s="114">
        <v>2027</v>
      </c>
      <c r="C129" s="240" t="s">
        <v>97</v>
      </c>
      <c r="D129" s="112">
        <f>VLOOKUP($E$3,'Housing Generation'!$A$3:$CK$90,75,FALSE)</f>
        <v>0</v>
      </c>
      <c r="E129" s="112">
        <f>VLOOKUP($E$3,'Housing Generation'!$A$3:$CK$90,76,FALSE)</f>
        <v>0</v>
      </c>
      <c r="F129" s="112">
        <f>VLOOKUP($E$3,'Housing Generation'!$A$3:$CK$90,77,FALSE)</f>
        <v>0</v>
      </c>
      <c r="G129" s="112">
        <f>VLOOKUP($E$3,'Housing Generation'!$A$3:$CK$90,78,FALSE)</f>
        <v>0</v>
      </c>
      <c r="H129" s="112">
        <f>VLOOKUP($E$3,'Housing Generation'!$A$3:$CK$90,79,FALSE)</f>
        <v>0</v>
      </c>
      <c r="I129" s="112">
        <f>VLOOKUP($E$3,'Housing Generation'!$A$3:$CK$90,80,FALSE)</f>
        <v>0</v>
      </c>
      <c r="J129" s="111">
        <f t="shared" si="21"/>
        <v>0</v>
      </c>
    </row>
    <row r="130" spans="2:10" ht="15" customHeight="1">
      <c r="B130" s="114">
        <v>2028</v>
      </c>
      <c r="C130" s="289" t="s">
        <v>97</v>
      </c>
      <c r="D130" s="112">
        <f>VLOOKUP($E$3,'Housing Generation'!$A$3:$CK$90,83,FALSE)</f>
        <v>0</v>
      </c>
      <c r="E130" s="112">
        <f>VLOOKUP($E$3,'Housing Generation'!$A$3:$CK$90,84,FALSE)</f>
        <v>0</v>
      </c>
      <c r="F130" s="112">
        <f>VLOOKUP($E$3,'Housing Generation'!$A$3:$CK$90,85,FALSE)</f>
        <v>0</v>
      </c>
      <c r="G130" s="112">
        <f>VLOOKUP($E$3,'Housing Generation'!$A$3:$CK$90,86,FALSE)</f>
        <v>0</v>
      </c>
      <c r="H130" s="112">
        <f>VLOOKUP($E$3,'Housing Generation'!$A$3:$CK$90,87,FALSE)</f>
        <v>0</v>
      </c>
      <c r="I130" s="112">
        <f>VLOOKUP($E$3,'Housing Generation'!$A$3:$CK$90,88,FALSE)</f>
        <v>0</v>
      </c>
      <c r="J130" s="111">
        <f t="shared" si="21"/>
        <v>0</v>
      </c>
    </row>
    <row r="131" spans="2:10" ht="15" customHeight="1">
      <c r="B131" s="114">
        <v>2029</v>
      </c>
      <c r="C131" s="289" t="s">
        <v>97</v>
      </c>
      <c r="D131" s="112">
        <f>VLOOKUP($E$3,'Housing Generation'!$A$3:$DQ$90,91,FALSE)</f>
        <v>0</v>
      </c>
      <c r="E131" s="112">
        <f>VLOOKUP($E$3,'Housing Generation'!$A$3:$DQ$90,92,FALSE)</f>
        <v>0</v>
      </c>
      <c r="F131" s="112">
        <f>VLOOKUP($E$3,'Housing Generation'!$A$3:$DQ$90,93,FALSE)</f>
        <v>0</v>
      </c>
      <c r="G131" s="112">
        <f>VLOOKUP($E$3,'Housing Generation'!$A$3:$DQ$90,94,FALSE)</f>
        <v>0</v>
      </c>
      <c r="H131" s="112">
        <f>VLOOKUP($E$3,'Housing Generation'!$A$3:$DQ$90,95,FALSE)</f>
        <v>0</v>
      </c>
      <c r="I131" s="112">
        <f>VLOOKUP($E$3,'Housing Generation'!$A$3:$DQ$90,96,FALSE)</f>
        <v>0</v>
      </c>
      <c r="J131" s="111">
        <f t="shared" si="21"/>
        <v>0</v>
      </c>
    </row>
    <row r="132" spans="2:10" ht="15" customHeight="1">
      <c r="B132" s="114">
        <v>2030</v>
      </c>
      <c r="C132" s="289" t="s">
        <v>97</v>
      </c>
      <c r="D132" s="112">
        <f>VLOOKUP($E$3,'Housing Generation'!$A$3:$DQ$90,99,FALSE)</f>
        <v>0</v>
      </c>
      <c r="E132" s="112">
        <f>VLOOKUP($E$3,'Housing Generation'!$A$3:$DQ$90,100,FALSE)</f>
        <v>0</v>
      </c>
      <c r="F132" s="112">
        <f>VLOOKUP($E$3,'Housing Generation'!$A$3:$DQ$90,101,FALSE)</f>
        <v>0</v>
      </c>
      <c r="G132" s="112">
        <f>VLOOKUP($E$3,'Housing Generation'!$A$3:$DQ$90,102,FALSE)</f>
        <v>0</v>
      </c>
      <c r="H132" s="112">
        <f>VLOOKUP($E$3,'Housing Generation'!$A$3:$DQ$90,103,FALSE)</f>
        <v>0</v>
      </c>
      <c r="I132" s="112">
        <f>VLOOKUP($E$3,'Housing Generation'!$A$3:$DQ$90,104,FALSE)</f>
        <v>0</v>
      </c>
      <c r="J132" s="111">
        <f t="shared" si="21"/>
        <v>0</v>
      </c>
    </row>
    <row r="133" spans="2:10" ht="15" customHeight="1">
      <c r="B133" s="114">
        <v>2031</v>
      </c>
      <c r="C133" s="289" t="s">
        <v>97</v>
      </c>
      <c r="D133" s="112">
        <f>VLOOKUP($E$3,'Housing Generation'!$A$3:$DQ$90,107,FALSE)</f>
        <v>0</v>
      </c>
      <c r="E133" s="112">
        <f>VLOOKUP($E$3,'Housing Generation'!$A$3:$DQ$90,108,FALSE)</f>
        <v>0</v>
      </c>
      <c r="F133" s="112">
        <f>VLOOKUP($E$3,'Housing Generation'!$A$3:$DQ$90,109,FALSE)</f>
        <v>0</v>
      </c>
      <c r="G133" s="112">
        <f>VLOOKUP($E$3,'Housing Generation'!$A$3:$DQ$90,110,FALSE)</f>
        <v>0</v>
      </c>
      <c r="H133" s="112">
        <f>VLOOKUP($E$3,'Housing Generation'!$A$3:$DQ$90,111,FALSE)</f>
        <v>0</v>
      </c>
      <c r="I133" s="112">
        <f>VLOOKUP($E$3,'Housing Generation'!$A$3:$DQ$90,112,FALSE)</f>
        <v>0</v>
      </c>
      <c r="J133" s="111">
        <f t="shared" si="21"/>
        <v>0</v>
      </c>
    </row>
    <row r="134" spans="2:10" ht="15" customHeight="1">
      <c r="B134" s="114">
        <v>2032</v>
      </c>
      <c r="C134" s="289" t="s">
        <v>97</v>
      </c>
      <c r="D134" s="112">
        <f>VLOOKUP($E$3,'Housing Generation'!$A$3:$DQ$90,115,FALSE)</f>
        <v>0</v>
      </c>
      <c r="E134" s="112">
        <f>VLOOKUP($E$3,'Housing Generation'!$A$3:$DQ$90,116,FALSE)</f>
        <v>0</v>
      </c>
      <c r="F134" s="112">
        <f>VLOOKUP($E$3,'Housing Generation'!$A$3:$DQ$90,117,FALSE)</f>
        <v>0</v>
      </c>
      <c r="G134" s="112">
        <f>VLOOKUP($E$3,'Housing Generation'!$A$3:$DQ$90,118,FALSE)</f>
        <v>0</v>
      </c>
      <c r="H134" s="112">
        <f>VLOOKUP($E$3,'Housing Generation'!$A$3:$DQ$90,119,FALSE)</f>
        <v>0</v>
      </c>
      <c r="I134" s="112">
        <f>VLOOKUP($E$3,'Housing Generation'!$A$3:$DQ$90,120,FALSE)</f>
        <v>0</v>
      </c>
      <c r="J134" s="111">
        <f t="shared" si="21"/>
        <v>0</v>
      </c>
    </row>
    <row r="135" spans="2:10" ht="15" hidden="1"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Towerbank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75</v>
      </c>
      <c r="D139" s="112">
        <f t="shared" ref="D139:I152" si="23">D121+D103</f>
        <v>99</v>
      </c>
      <c r="E139" s="112">
        <f t="shared" si="23"/>
        <v>79</v>
      </c>
      <c r="F139" s="112">
        <f t="shared" si="23"/>
        <v>87</v>
      </c>
      <c r="G139" s="112">
        <f t="shared" si="23"/>
        <v>93</v>
      </c>
      <c r="H139" s="112">
        <f t="shared" si="23"/>
        <v>99</v>
      </c>
      <c r="I139" s="112">
        <f t="shared" si="23"/>
        <v>80</v>
      </c>
      <c r="J139" s="111">
        <f t="shared" ref="J139:J147" si="24">SUM(C139:I139)</f>
        <v>612</v>
      </c>
    </row>
    <row r="140" spans="2:10" ht="15" customHeight="1">
      <c r="B140" s="114">
        <v>2020</v>
      </c>
      <c r="C140" s="113">
        <f t="shared" si="22"/>
        <v>60</v>
      </c>
      <c r="D140" s="112">
        <f t="shared" si="23"/>
        <v>76</v>
      </c>
      <c r="E140" s="112">
        <f t="shared" si="23"/>
        <v>100</v>
      </c>
      <c r="F140" s="112">
        <f t="shared" si="23"/>
        <v>77</v>
      </c>
      <c r="G140" s="112">
        <f t="shared" si="23"/>
        <v>84</v>
      </c>
      <c r="H140" s="112">
        <f t="shared" si="23"/>
        <v>91</v>
      </c>
      <c r="I140" s="112">
        <f t="shared" si="23"/>
        <v>98</v>
      </c>
      <c r="J140" s="111">
        <f t="shared" si="24"/>
        <v>586</v>
      </c>
    </row>
    <row r="141" spans="2:10" ht="15" customHeight="1">
      <c r="B141" s="114">
        <v>2021</v>
      </c>
      <c r="C141" s="113">
        <f t="shared" si="22"/>
        <v>60</v>
      </c>
      <c r="D141" s="112">
        <f t="shared" si="23"/>
        <v>61</v>
      </c>
      <c r="E141" s="112">
        <f t="shared" si="23"/>
        <v>77</v>
      </c>
      <c r="F141" s="112">
        <f t="shared" si="23"/>
        <v>98</v>
      </c>
      <c r="G141" s="112">
        <f t="shared" si="23"/>
        <v>75</v>
      </c>
      <c r="H141" s="112">
        <f t="shared" si="23"/>
        <v>82</v>
      </c>
      <c r="I141" s="112">
        <f t="shared" si="23"/>
        <v>90</v>
      </c>
      <c r="J141" s="111">
        <f t="shared" si="24"/>
        <v>543</v>
      </c>
    </row>
    <row r="142" spans="2:10" ht="15" customHeight="1">
      <c r="B142" s="114">
        <v>2022</v>
      </c>
      <c r="C142" s="113">
        <f t="shared" si="22"/>
        <v>60</v>
      </c>
      <c r="D142" s="112">
        <f t="shared" si="23"/>
        <v>61</v>
      </c>
      <c r="E142" s="112">
        <f t="shared" si="23"/>
        <v>62</v>
      </c>
      <c r="F142" s="112">
        <f t="shared" si="23"/>
        <v>75</v>
      </c>
      <c r="G142" s="112">
        <f t="shared" si="23"/>
        <v>95</v>
      </c>
      <c r="H142" s="112">
        <f t="shared" si="23"/>
        <v>73</v>
      </c>
      <c r="I142" s="112">
        <f t="shared" si="23"/>
        <v>81</v>
      </c>
      <c r="J142" s="111">
        <f t="shared" si="24"/>
        <v>507</v>
      </c>
    </row>
    <row r="143" spans="2:10" ht="15" customHeight="1">
      <c r="B143" s="114">
        <v>2023</v>
      </c>
      <c r="C143" s="113">
        <f t="shared" si="22"/>
        <v>60</v>
      </c>
      <c r="D143" s="112">
        <f t="shared" si="23"/>
        <v>61</v>
      </c>
      <c r="E143" s="112">
        <f t="shared" si="23"/>
        <v>62</v>
      </c>
      <c r="F143" s="112">
        <f t="shared" si="23"/>
        <v>61</v>
      </c>
      <c r="G143" s="112">
        <f t="shared" si="23"/>
        <v>73</v>
      </c>
      <c r="H143" s="112">
        <f t="shared" si="23"/>
        <v>93</v>
      </c>
      <c r="I143" s="112">
        <f t="shared" si="23"/>
        <v>72</v>
      </c>
      <c r="J143" s="111">
        <f t="shared" si="24"/>
        <v>482</v>
      </c>
    </row>
    <row r="144" spans="2:10" ht="15" customHeight="1">
      <c r="B144" s="114">
        <v>2024</v>
      </c>
      <c r="C144" s="113">
        <f t="shared" si="22"/>
        <v>60</v>
      </c>
      <c r="D144" s="112">
        <f t="shared" si="23"/>
        <v>61</v>
      </c>
      <c r="E144" s="112">
        <f t="shared" si="23"/>
        <v>62</v>
      </c>
      <c r="F144" s="112">
        <f t="shared" si="23"/>
        <v>61</v>
      </c>
      <c r="G144" s="112">
        <f t="shared" si="23"/>
        <v>59</v>
      </c>
      <c r="H144" s="112">
        <f t="shared" si="23"/>
        <v>71</v>
      </c>
      <c r="I144" s="112">
        <f t="shared" si="23"/>
        <v>92</v>
      </c>
      <c r="J144" s="111">
        <f t="shared" si="24"/>
        <v>466</v>
      </c>
    </row>
    <row r="145" spans="2:16" ht="15" customHeight="1">
      <c r="B145" s="114">
        <v>2025</v>
      </c>
      <c r="C145" s="113">
        <f t="shared" si="22"/>
        <v>60</v>
      </c>
      <c r="D145" s="112">
        <f t="shared" si="23"/>
        <v>61</v>
      </c>
      <c r="E145" s="112">
        <f t="shared" si="23"/>
        <v>62</v>
      </c>
      <c r="F145" s="112">
        <f t="shared" si="23"/>
        <v>61</v>
      </c>
      <c r="G145" s="112">
        <f t="shared" si="23"/>
        <v>59</v>
      </c>
      <c r="H145" s="112">
        <f t="shared" si="23"/>
        <v>58</v>
      </c>
      <c r="I145" s="112">
        <f t="shared" si="23"/>
        <v>70</v>
      </c>
      <c r="J145" s="111">
        <f t="shared" si="24"/>
        <v>431</v>
      </c>
    </row>
    <row r="146" spans="2:16" ht="15" customHeight="1">
      <c r="B146" s="114">
        <v>2026</v>
      </c>
      <c r="C146" s="113">
        <f t="shared" si="22"/>
        <v>60</v>
      </c>
      <c r="D146" s="112">
        <f t="shared" si="23"/>
        <v>61</v>
      </c>
      <c r="E146" s="112">
        <f t="shared" si="23"/>
        <v>62</v>
      </c>
      <c r="F146" s="112">
        <f t="shared" si="23"/>
        <v>61</v>
      </c>
      <c r="G146" s="112">
        <f t="shared" si="23"/>
        <v>59</v>
      </c>
      <c r="H146" s="112">
        <f t="shared" si="23"/>
        <v>58</v>
      </c>
      <c r="I146" s="112">
        <f t="shared" si="23"/>
        <v>57</v>
      </c>
      <c r="J146" s="111">
        <f t="shared" si="24"/>
        <v>418</v>
      </c>
    </row>
    <row r="147" spans="2:16" ht="15" customHeight="1">
      <c r="B147" s="114">
        <v>2027</v>
      </c>
      <c r="C147" s="113">
        <f t="shared" si="22"/>
        <v>60</v>
      </c>
      <c r="D147" s="112">
        <f t="shared" si="23"/>
        <v>60</v>
      </c>
      <c r="E147" s="112">
        <f t="shared" si="23"/>
        <v>62</v>
      </c>
      <c r="F147" s="112">
        <f t="shared" si="23"/>
        <v>61</v>
      </c>
      <c r="G147" s="112">
        <f t="shared" si="23"/>
        <v>59</v>
      </c>
      <c r="H147" s="112">
        <f t="shared" si="23"/>
        <v>58</v>
      </c>
      <c r="I147" s="112">
        <f t="shared" si="23"/>
        <v>57</v>
      </c>
      <c r="J147" s="111">
        <f t="shared" si="24"/>
        <v>417</v>
      </c>
    </row>
    <row r="148" spans="2:16" ht="15" customHeight="1">
      <c r="B148" s="114">
        <v>2028</v>
      </c>
      <c r="C148" s="113">
        <f t="shared" si="22"/>
        <v>60</v>
      </c>
      <c r="D148" s="112">
        <f t="shared" si="23"/>
        <v>60</v>
      </c>
      <c r="E148" s="112">
        <f t="shared" si="23"/>
        <v>61</v>
      </c>
      <c r="F148" s="112">
        <f t="shared" si="23"/>
        <v>61</v>
      </c>
      <c r="G148" s="112">
        <f t="shared" si="23"/>
        <v>59</v>
      </c>
      <c r="H148" s="112">
        <f t="shared" si="23"/>
        <v>58</v>
      </c>
      <c r="I148" s="112">
        <f t="shared" si="23"/>
        <v>57</v>
      </c>
      <c r="J148" s="111">
        <f t="shared" ref="J148:J152" si="25">SUM(C148:I148)</f>
        <v>416</v>
      </c>
    </row>
    <row r="149" spans="2:16" ht="15" customHeight="1">
      <c r="B149" s="114">
        <v>2029</v>
      </c>
      <c r="C149" s="113">
        <f t="shared" si="22"/>
        <v>60</v>
      </c>
      <c r="D149" s="112">
        <f t="shared" si="23"/>
        <v>60</v>
      </c>
      <c r="E149" s="112">
        <f t="shared" si="23"/>
        <v>61</v>
      </c>
      <c r="F149" s="112">
        <f t="shared" si="23"/>
        <v>60</v>
      </c>
      <c r="G149" s="112">
        <f t="shared" si="23"/>
        <v>59</v>
      </c>
      <c r="H149" s="112">
        <f t="shared" si="23"/>
        <v>58</v>
      </c>
      <c r="I149" s="112">
        <f t="shared" si="23"/>
        <v>57</v>
      </c>
      <c r="J149" s="111">
        <f t="shared" si="25"/>
        <v>415</v>
      </c>
    </row>
    <row r="150" spans="2:16" ht="15" customHeight="1">
      <c r="B150" s="114">
        <v>2030</v>
      </c>
      <c r="C150" s="113">
        <f t="shared" si="22"/>
        <v>60</v>
      </c>
      <c r="D150" s="112">
        <f t="shared" si="23"/>
        <v>60</v>
      </c>
      <c r="E150" s="112">
        <f t="shared" si="23"/>
        <v>61</v>
      </c>
      <c r="F150" s="112">
        <f t="shared" si="23"/>
        <v>60</v>
      </c>
      <c r="G150" s="112">
        <f t="shared" si="23"/>
        <v>58</v>
      </c>
      <c r="H150" s="112">
        <f t="shared" si="23"/>
        <v>58</v>
      </c>
      <c r="I150" s="112">
        <f t="shared" si="23"/>
        <v>57</v>
      </c>
      <c r="J150" s="111">
        <f t="shared" si="25"/>
        <v>414</v>
      </c>
    </row>
    <row r="151" spans="2:16" ht="15" customHeight="1">
      <c r="B151" s="114">
        <v>2031</v>
      </c>
      <c r="C151" s="113">
        <f t="shared" si="22"/>
        <v>60</v>
      </c>
      <c r="D151" s="112">
        <f t="shared" si="23"/>
        <v>60</v>
      </c>
      <c r="E151" s="112">
        <f t="shared" si="23"/>
        <v>61</v>
      </c>
      <c r="F151" s="112">
        <f t="shared" si="23"/>
        <v>60</v>
      </c>
      <c r="G151" s="112">
        <f t="shared" si="23"/>
        <v>58</v>
      </c>
      <c r="H151" s="112">
        <f t="shared" si="23"/>
        <v>57</v>
      </c>
      <c r="I151" s="112">
        <f t="shared" si="23"/>
        <v>57</v>
      </c>
      <c r="J151" s="111">
        <f t="shared" si="25"/>
        <v>413</v>
      </c>
    </row>
    <row r="152" spans="2:16" ht="15" customHeight="1">
      <c r="B152" s="114">
        <v>2032</v>
      </c>
      <c r="C152" s="113">
        <f t="shared" si="22"/>
        <v>60</v>
      </c>
      <c r="D152" s="112">
        <f t="shared" si="23"/>
        <v>60</v>
      </c>
      <c r="E152" s="112">
        <f t="shared" si="23"/>
        <v>61</v>
      </c>
      <c r="F152" s="112">
        <f t="shared" si="23"/>
        <v>60</v>
      </c>
      <c r="G152" s="112">
        <f t="shared" si="23"/>
        <v>58</v>
      </c>
      <c r="H152" s="112">
        <f t="shared" si="23"/>
        <v>57</v>
      </c>
      <c r="I152" s="112">
        <f t="shared" si="23"/>
        <v>56</v>
      </c>
      <c r="J152" s="111">
        <f t="shared" si="25"/>
        <v>412</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612</v>
      </c>
      <c r="D159" s="108">
        <f>J140</f>
        <v>586</v>
      </c>
      <c r="E159" s="108">
        <f>J141</f>
        <v>543</v>
      </c>
      <c r="F159" s="108">
        <f>J142</f>
        <v>507</v>
      </c>
      <c r="G159" s="108">
        <f>J143</f>
        <v>482</v>
      </c>
      <c r="H159" s="108">
        <f>J144</f>
        <v>466</v>
      </c>
      <c r="I159" s="108">
        <f>J145</f>
        <v>431</v>
      </c>
      <c r="J159" s="108">
        <f>J146</f>
        <v>418</v>
      </c>
      <c r="K159" s="108">
        <f>J147</f>
        <v>417</v>
      </c>
      <c r="L159" s="108">
        <f>J148</f>
        <v>416</v>
      </c>
      <c r="M159" s="108">
        <f>J149</f>
        <v>415</v>
      </c>
      <c r="N159" s="108">
        <f>J150</f>
        <v>414</v>
      </c>
      <c r="O159" s="108">
        <f>J151</f>
        <v>413</v>
      </c>
      <c r="P159" s="108">
        <f>J152</f>
        <v>412</v>
      </c>
    </row>
    <row r="160" spans="2:16" ht="15" customHeight="1">
      <c r="B160" s="107" t="s">
        <v>152</v>
      </c>
      <c r="C160" s="106">
        <f>VLOOKUP(C159,Capacity!$A$1:$C$645,2,TRUE)</f>
        <v>21</v>
      </c>
      <c r="D160" s="106">
        <f>VLOOKUP(D159,Capacity!$A$1:$C$645,2,TRUE)</f>
        <v>21</v>
      </c>
      <c r="E160" s="106">
        <f>VLOOKUP(E159,Capacity!$A$1:$C$645,2,TRUE)</f>
        <v>19</v>
      </c>
      <c r="F160" s="106">
        <f>VLOOKUP(F159,Capacity!$A$1:$C$645,2,TRUE)</f>
        <v>19</v>
      </c>
      <c r="G160" s="106">
        <f>VLOOKUP(G159,Capacity!$A$1:$C$645,2,TRUE)</f>
        <v>18</v>
      </c>
      <c r="H160" s="106">
        <f>VLOOKUP(H159,Capacity!$A$1:$C$645,2,TRUE)</f>
        <v>17</v>
      </c>
      <c r="I160" s="106">
        <f>VLOOKUP(I159,Capacity!$A$1:$C$645,2,TRUE)</f>
        <v>15</v>
      </c>
      <c r="J160" s="106">
        <f>VLOOKUP(J159,Capacity!$A$1:$C$645,2,TRUE)</f>
        <v>14</v>
      </c>
      <c r="K160" s="106">
        <f>VLOOKUP(K159,Capacity!$A$1:$C$645,2,TRUE)</f>
        <v>14</v>
      </c>
      <c r="L160" s="106">
        <f>VLOOKUP(L159,Capacity!$A$1:$C$645,2,TRUE)</f>
        <v>14</v>
      </c>
      <c r="M160" s="106">
        <f>VLOOKUP(M159,Capacity!$A$1:$C$645,2,TRUE)</f>
        <v>14</v>
      </c>
      <c r="N160" s="106">
        <f>VLOOKUP(N159,Capacity!$A$1:$C$645,2,TRUE)</f>
        <v>14</v>
      </c>
      <c r="O160" s="106">
        <f>VLOOKUP(O159,Capacity!$A$1:$C$645,2,TRUE)</f>
        <v>14</v>
      </c>
      <c r="P160" s="106">
        <f>VLOOKUP(P159,Capacity!$A$1:$C$645,2,TRUE)</f>
        <v>14</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 customHeight="1">
      <c r="B164" s="63" t="s">
        <v>145</v>
      </c>
      <c r="C164" s="62"/>
      <c r="D164" s="62"/>
      <c r="E164" s="62"/>
      <c r="F164" s="62"/>
      <c r="G164" s="62"/>
      <c r="H164" s="62"/>
      <c r="I164" s="62"/>
      <c r="J164" s="62"/>
      <c r="K164" s="62"/>
      <c r="L164" s="62"/>
      <c r="M164" s="62"/>
    </row>
    <row r="165" spans="2:14" ht="15" customHeight="1">
      <c r="B165" s="62"/>
      <c r="C165" s="62"/>
      <c r="D165" s="62"/>
      <c r="E165" s="62"/>
      <c r="F165" s="62"/>
      <c r="G165" s="62"/>
      <c r="H165" s="62"/>
      <c r="I165" s="62"/>
      <c r="J165" s="62"/>
      <c r="K165" s="62"/>
      <c r="L165" s="62"/>
      <c r="M165" s="62"/>
    </row>
    <row r="166" spans="2:14" ht="15" customHeight="1">
      <c r="B166" s="64" t="s">
        <v>146</v>
      </c>
      <c r="C166" s="65"/>
      <c r="D166" s="65"/>
      <c r="E166" s="65"/>
      <c r="F166" s="65"/>
      <c r="G166" s="65"/>
      <c r="H166" s="65"/>
      <c r="I166" s="65"/>
      <c r="J166" s="65"/>
      <c r="K166" s="62"/>
      <c r="L166" s="62"/>
      <c r="M166" s="62"/>
    </row>
    <row r="167" spans="2:14" ht="15" customHeight="1">
      <c r="B167" s="64"/>
      <c r="C167" s="65"/>
      <c r="D167" s="65"/>
      <c r="E167" s="65"/>
      <c r="F167" s="65"/>
      <c r="G167" s="65"/>
      <c r="H167" s="65"/>
      <c r="I167" s="65"/>
      <c r="J167" s="65"/>
      <c r="K167" s="62"/>
      <c r="L167" s="62"/>
      <c r="M167" s="62"/>
    </row>
    <row r="168" spans="2:14" ht="15" customHeight="1">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15" customHeight="1">
      <c r="B169" s="103" t="s">
        <v>129</v>
      </c>
      <c r="C169" s="97">
        <f>VLOOKUP($E$3,'Catchment Births'!$A$1:$U$90,10,FALSE)</f>
        <v>111</v>
      </c>
      <c r="D169" s="97">
        <f>VLOOKUP($E$3,'Catchment Births'!$A$1:$U$90,11,FALSE)</f>
        <v>87</v>
      </c>
      <c r="E169" s="97">
        <f>VLOOKUP($E$3,'Catchment Births'!$A$1:$U$90,12,FALSE)</f>
        <v>83</v>
      </c>
      <c r="F169" s="97">
        <f>VLOOKUP($E$3,'Catchment Births'!$A$1:$U$90,13,FALSE)</f>
        <v>103</v>
      </c>
      <c r="G169" s="97">
        <f>VLOOKUP($E$3,'Catchment Births'!$A$1:$U$90,14,FALSE)</f>
        <v>87</v>
      </c>
      <c r="H169" s="97">
        <f>VLOOKUP($E$3,'Catchment Births'!$A$1:$U$90,15,FALSE)</f>
        <v>104</v>
      </c>
      <c r="I169" s="97">
        <f>VLOOKUP($E$3,'Catchment Births'!$A$1:$U$90,16,FALSE)</f>
        <v>91</v>
      </c>
      <c r="J169" s="97">
        <f>VLOOKUP($E$3,'Catchment Births'!$A$1:$U$90,17,FALSE)</f>
        <v>114</v>
      </c>
      <c r="K169" s="97">
        <f>VLOOKUP($E$3,'Catchment Births'!$A$1:$U$90,18,FALSE)</f>
        <v>76</v>
      </c>
      <c r="L169" s="97">
        <f>VLOOKUP($E$3,'Catchment Births'!$A$1:$U$90,19,FALSE)</f>
        <v>101</v>
      </c>
      <c r="M169" s="97">
        <f>VLOOKUP($E$3,'Catchment Births'!$A$1:$U$90,20,FALSE)</f>
        <v>81</v>
      </c>
      <c r="N169" s="97">
        <f>VLOOKUP($E$3,'Catchment Births'!$A$1:$U$90,21,FALSE)</f>
        <v>60</v>
      </c>
    </row>
    <row r="170" spans="2:14" ht="15" customHeight="1">
      <c r="B170" s="103" t="str">
        <f>"P1 "&amp;A35&amp;" Catchment Population (Actual)"</f>
        <v>P1 ND Catchment Population (Actual)</v>
      </c>
      <c r="C170" s="102" t="e">
        <v>#REF!</v>
      </c>
      <c r="D170" s="102">
        <v>83</v>
      </c>
      <c r="E170" s="102">
        <v>80</v>
      </c>
      <c r="F170" s="102">
        <v>91</v>
      </c>
      <c r="G170" s="102">
        <v>93</v>
      </c>
      <c r="H170" s="102">
        <v>103</v>
      </c>
      <c r="I170" s="102">
        <v>94</v>
      </c>
      <c r="J170" s="308">
        <f>VLOOKUP(E3,'Catchment Projections'!A1:BU92,42,FALSE)</f>
        <v>70</v>
      </c>
      <c r="K170" s="62"/>
      <c r="L170" s="62"/>
      <c r="M170" s="62"/>
    </row>
    <row r="171" spans="2:14" ht="15" customHeight="1">
      <c r="B171" s="88" t="s">
        <v>160</v>
      </c>
      <c r="C171" s="100"/>
      <c r="D171" s="100"/>
      <c r="E171" s="100"/>
      <c r="F171" s="100"/>
      <c r="G171" s="100"/>
      <c r="H171" s="100"/>
      <c r="I171" s="101"/>
      <c r="J171" s="89">
        <f>D53</f>
        <v>0</v>
      </c>
      <c r="K171" s="62"/>
      <c r="L171" s="62"/>
      <c r="M171" s="62"/>
    </row>
    <row r="172" spans="2:14" ht="15" customHeight="1">
      <c r="B172" s="99" t="s">
        <v>140</v>
      </c>
      <c r="C172" s="99"/>
      <c r="D172" s="98"/>
      <c r="E172" s="98"/>
      <c r="F172" s="98"/>
      <c r="G172" s="97"/>
      <c r="H172" s="96"/>
      <c r="I172" s="96">
        <f>I170</f>
        <v>94</v>
      </c>
      <c r="J172" s="96" t="e">
        <f>#REF!</f>
        <v>#REF!</v>
      </c>
      <c r="K172" s="96">
        <f>D51</f>
        <v>73</v>
      </c>
      <c r="L172" s="96">
        <f>E51</f>
        <v>54</v>
      </c>
      <c r="M172" s="96">
        <f>F51</f>
        <v>53</v>
      </c>
      <c r="N172" s="96">
        <f>G51</f>
        <v>56</v>
      </c>
    </row>
    <row r="173" spans="2:14" ht="15" customHeight="1">
      <c r="B173" s="62"/>
      <c r="C173" s="62"/>
      <c r="D173" s="62"/>
      <c r="E173" s="62"/>
      <c r="F173" s="62"/>
      <c r="G173" s="62"/>
      <c r="H173" s="62"/>
      <c r="I173" s="62"/>
      <c r="J173" s="62"/>
      <c r="K173" s="62"/>
    </row>
    <row r="174" spans="2:14" ht="15" customHeight="1">
      <c r="B174" s="64" t="str">
        <f>"Table 5: "&amp;E3&amp;" Roll by Stage, 2002-2018"</f>
        <v>Table 5: Towerbank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62</v>
      </c>
      <c r="D177" s="93">
        <v>60</v>
      </c>
      <c r="E177" s="93">
        <v>67</v>
      </c>
      <c r="F177" s="93">
        <v>66</v>
      </c>
      <c r="G177" s="93">
        <v>75</v>
      </c>
      <c r="H177" s="93">
        <v>56</v>
      </c>
      <c r="I177" s="93">
        <v>68</v>
      </c>
      <c r="J177" s="92">
        <v>454</v>
      </c>
      <c r="K177" s="62"/>
    </row>
    <row r="178" spans="2:11" ht="15" customHeight="1">
      <c r="B178" s="94">
        <v>2003</v>
      </c>
      <c r="C178" s="93">
        <v>55</v>
      </c>
      <c r="D178" s="93">
        <v>60</v>
      </c>
      <c r="E178" s="93">
        <v>61</v>
      </c>
      <c r="F178" s="93">
        <v>65</v>
      </c>
      <c r="G178" s="93">
        <v>60</v>
      </c>
      <c r="H178" s="93">
        <v>74</v>
      </c>
      <c r="I178" s="93">
        <v>54</v>
      </c>
      <c r="J178" s="92">
        <v>429</v>
      </c>
      <c r="K178" s="62"/>
    </row>
    <row r="179" spans="2:11" customFormat="1" ht="15" customHeight="1">
      <c r="B179" s="94">
        <v>2004</v>
      </c>
      <c r="C179" s="95">
        <v>58</v>
      </c>
      <c r="D179" s="95">
        <v>56</v>
      </c>
      <c r="E179" s="95">
        <v>58</v>
      </c>
      <c r="F179" s="95">
        <v>58</v>
      </c>
      <c r="G179" s="95">
        <v>64</v>
      </c>
      <c r="H179" s="95">
        <v>64</v>
      </c>
      <c r="I179" s="95">
        <v>71</v>
      </c>
      <c r="J179" s="92">
        <v>429</v>
      </c>
      <c r="K179" s="62"/>
    </row>
    <row r="180" spans="2:11" customFormat="1" ht="15" customHeight="1">
      <c r="B180" s="94">
        <v>2005</v>
      </c>
      <c r="C180" s="93">
        <v>58</v>
      </c>
      <c r="D180" s="93">
        <v>59</v>
      </c>
      <c r="E180" s="93">
        <v>53</v>
      </c>
      <c r="F180" s="93">
        <v>56</v>
      </c>
      <c r="G180" s="93">
        <v>60</v>
      </c>
      <c r="H180" s="93">
        <v>61</v>
      </c>
      <c r="I180" s="93">
        <v>63</v>
      </c>
      <c r="J180" s="92">
        <v>410</v>
      </c>
      <c r="K180" s="62"/>
    </row>
    <row r="181" spans="2:11" customFormat="1" ht="15" customHeight="1">
      <c r="B181" s="94">
        <v>2006</v>
      </c>
      <c r="C181" s="93">
        <v>74</v>
      </c>
      <c r="D181" s="93">
        <v>58</v>
      </c>
      <c r="E181" s="93">
        <v>60</v>
      </c>
      <c r="F181" s="93">
        <v>53</v>
      </c>
      <c r="G181" s="93">
        <v>58</v>
      </c>
      <c r="H181" s="93">
        <v>59</v>
      </c>
      <c r="I181" s="93">
        <v>63</v>
      </c>
      <c r="J181" s="92">
        <v>425</v>
      </c>
      <c r="K181" s="62"/>
    </row>
    <row r="182" spans="2:11" customFormat="1" ht="15" customHeight="1">
      <c r="B182" s="94">
        <v>2007</v>
      </c>
      <c r="C182" s="93">
        <v>71</v>
      </c>
      <c r="D182" s="93">
        <v>72</v>
      </c>
      <c r="E182" s="93">
        <v>57</v>
      </c>
      <c r="F182" s="93">
        <v>61</v>
      </c>
      <c r="G182" s="93">
        <v>56</v>
      </c>
      <c r="H182" s="93">
        <v>64</v>
      </c>
      <c r="I182" s="93">
        <v>58</v>
      </c>
      <c r="J182" s="92">
        <v>439</v>
      </c>
      <c r="K182" s="62"/>
    </row>
    <row r="183" spans="2:11" customFormat="1" ht="15" customHeight="1">
      <c r="B183" s="94">
        <v>2008</v>
      </c>
      <c r="C183" s="93">
        <v>73</v>
      </c>
      <c r="D183" s="93">
        <v>68</v>
      </c>
      <c r="E183" s="93">
        <v>72</v>
      </c>
      <c r="F183" s="93">
        <v>55</v>
      </c>
      <c r="G183" s="93">
        <v>63</v>
      </c>
      <c r="H183" s="93">
        <v>59</v>
      </c>
      <c r="I183" s="93">
        <v>60</v>
      </c>
      <c r="J183" s="92">
        <v>450</v>
      </c>
      <c r="K183" s="62"/>
    </row>
    <row r="184" spans="2:11" customFormat="1" ht="15" customHeight="1">
      <c r="B184" s="94">
        <v>2009</v>
      </c>
      <c r="C184" s="93">
        <v>81</v>
      </c>
      <c r="D184" s="93">
        <v>74</v>
      </c>
      <c r="E184" s="93">
        <v>65</v>
      </c>
      <c r="F184" s="93">
        <v>78</v>
      </c>
      <c r="G184" s="93">
        <v>54</v>
      </c>
      <c r="H184" s="93">
        <v>64</v>
      </c>
      <c r="I184" s="93">
        <v>60</v>
      </c>
      <c r="J184" s="94">
        <v>476</v>
      </c>
      <c r="K184" s="62"/>
    </row>
    <row r="185" spans="2:11" customFormat="1" ht="15" customHeight="1">
      <c r="B185" s="94">
        <v>2010</v>
      </c>
      <c r="C185" s="93">
        <v>89</v>
      </c>
      <c r="D185" s="93">
        <v>80</v>
      </c>
      <c r="E185" s="93">
        <v>71</v>
      </c>
      <c r="F185" s="93">
        <v>67</v>
      </c>
      <c r="G185" s="93">
        <v>81</v>
      </c>
      <c r="H185" s="93">
        <v>60</v>
      </c>
      <c r="I185" s="93">
        <v>63</v>
      </c>
      <c r="J185" s="92">
        <v>511</v>
      </c>
      <c r="K185" s="62"/>
    </row>
    <row r="186" spans="2:11" customFormat="1" ht="15" customHeight="1">
      <c r="B186" s="94">
        <v>2011</v>
      </c>
      <c r="C186" s="93">
        <v>81</v>
      </c>
      <c r="D186" s="93">
        <v>85</v>
      </c>
      <c r="E186" s="93">
        <v>81</v>
      </c>
      <c r="F186" s="93">
        <v>67</v>
      </c>
      <c r="G186" s="93">
        <v>63</v>
      </c>
      <c r="H186" s="93">
        <v>78</v>
      </c>
      <c r="I186" s="93">
        <v>57</v>
      </c>
      <c r="J186" s="92">
        <v>512</v>
      </c>
      <c r="K186" s="62"/>
    </row>
    <row r="187" spans="2:11" customFormat="1" ht="15" customHeight="1">
      <c r="B187" s="94">
        <v>2012</v>
      </c>
      <c r="C187" s="93">
        <v>89</v>
      </c>
      <c r="D187" s="93">
        <v>87</v>
      </c>
      <c r="E187" s="93">
        <v>88</v>
      </c>
      <c r="F187" s="93">
        <v>83</v>
      </c>
      <c r="G187" s="93">
        <v>68</v>
      </c>
      <c r="H187" s="93">
        <v>62</v>
      </c>
      <c r="I187" s="93">
        <v>80</v>
      </c>
      <c r="J187" s="92">
        <v>557</v>
      </c>
      <c r="K187" s="62"/>
    </row>
    <row r="188" spans="2:11" customFormat="1" ht="15" customHeight="1">
      <c r="B188" s="94">
        <v>2013</v>
      </c>
      <c r="C188" s="93">
        <v>90</v>
      </c>
      <c r="D188" s="93">
        <v>88</v>
      </c>
      <c r="E188" s="93">
        <v>90</v>
      </c>
      <c r="F188" s="93">
        <v>92</v>
      </c>
      <c r="G188" s="93">
        <v>87</v>
      </c>
      <c r="H188" s="93">
        <v>67</v>
      </c>
      <c r="I188" s="93">
        <v>61</v>
      </c>
      <c r="J188" s="94">
        <v>575</v>
      </c>
      <c r="K188" s="62"/>
    </row>
    <row r="189" spans="2:11" customFormat="1" ht="15" customHeight="1">
      <c r="B189" s="94">
        <v>2014</v>
      </c>
      <c r="C189" s="93">
        <v>108</v>
      </c>
      <c r="D189" s="93">
        <v>88</v>
      </c>
      <c r="E189" s="93">
        <v>88</v>
      </c>
      <c r="F189" s="93">
        <v>89</v>
      </c>
      <c r="G189" s="93">
        <v>89</v>
      </c>
      <c r="H189" s="93">
        <v>83</v>
      </c>
      <c r="I189" s="93">
        <v>64</v>
      </c>
      <c r="J189" s="92">
        <v>609</v>
      </c>
      <c r="K189" s="65"/>
    </row>
    <row r="190" spans="2:11" customFormat="1" ht="15" customHeight="1">
      <c r="B190" s="94">
        <v>2015</v>
      </c>
      <c r="C190" s="93">
        <v>95</v>
      </c>
      <c r="D190" s="93">
        <v>105</v>
      </c>
      <c r="E190" s="93">
        <v>88</v>
      </c>
      <c r="F190" s="93">
        <v>91</v>
      </c>
      <c r="G190" s="93">
        <v>85</v>
      </c>
      <c r="H190" s="93">
        <v>87</v>
      </c>
      <c r="I190" s="93">
        <v>87</v>
      </c>
      <c r="J190" s="92">
        <v>638</v>
      </c>
      <c r="K190" s="65"/>
    </row>
    <row r="191" spans="2:11" customFormat="1" ht="15" customHeight="1">
      <c r="B191" s="94">
        <v>2016</v>
      </c>
      <c r="C191" s="93">
        <v>85</v>
      </c>
      <c r="D191" s="93">
        <v>97</v>
      </c>
      <c r="E191" s="93">
        <v>107</v>
      </c>
      <c r="F191" s="93">
        <v>85</v>
      </c>
      <c r="G191" s="93">
        <v>94</v>
      </c>
      <c r="H191" s="93">
        <v>89</v>
      </c>
      <c r="I191" s="93">
        <v>86</v>
      </c>
      <c r="J191" s="92">
        <v>643</v>
      </c>
      <c r="K191" s="65"/>
    </row>
    <row r="192" spans="2:11" ht="15" customHeight="1">
      <c r="B192" s="94">
        <v>2017</v>
      </c>
      <c r="C192" s="93">
        <f>VLOOKUP($E$3,Rolls!A1:FA90,42,FALSE)</f>
        <v>75</v>
      </c>
      <c r="D192" s="93">
        <f>VLOOKUP($E$3,Rolls!A1:FA90,43,FALSE)</f>
        <v>86</v>
      </c>
      <c r="E192" s="93">
        <f>VLOOKUP($E$3,Rolls!A1:FA90,44,FALSE)</f>
        <v>98</v>
      </c>
      <c r="F192" s="93">
        <f>VLOOKUP($E$3,Rolls!A1:FA90,45,FALSE)</f>
        <v>104</v>
      </c>
      <c r="G192" s="93">
        <f>VLOOKUP($E$3,Rolls!A1:FA90,46,FALSE)</f>
        <v>87</v>
      </c>
      <c r="H192" s="93">
        <f>VLOOKUP($E$3,Rolls!A1:FA90,47,FALSE)</f>
        <v>95</v>
      </c>
      <c r="I192" s="93">
        <f>VLOOKUP($E$3,Rolls!A1:FA90,48,FALSE)</f>
        <v>88</v>
      </c>
      <c r="J192" s="92">
        <f>VLOOKUP($E$3,Rolls!A1:FA90,49,FALSE)</f>
        <v>633</v>
      </c>
      <c r="K192" s="65"/>
    </row>
    <row r="193" spans="2:11" ht="15" customHeight="1">
      <c r="B193" s="94">
        <v>2018</v>
      </c>
      <c r="C193" s="93">
        <f>VLOOKUP($E$3,Rolls!A1:FA90,50,FALSE)</f>
        <v>98</v>
      </c>
      <c r="D193" s="93">
        <f>VLOOKUP($E$3,Rolls!A1:FA90,51,FALSE)</f>
        <v>78</v>
      </c>
      <c r="E193" s="93">
        <f>VLOOKUP($E$3,Rolls!A1:FA90,52,FALSE)</f>
        <v>89</v>
      </c>
      <c r="F193" s="93">
        <f>VLOOKUP($E$3,Rolls!A1:FA90,53,FALSE)</f>
        <v>96</v>
      </c>
      <c r="G193" s="93">
        <f>VLOOKUP($E$3,Rolls!A1:FA90,54,FALSE)</f>
        <v>101</v>
      </c>
      <c r="H193" s="93">
        <f>VLOOKUP($E$3,Rolls!A1:FA90,55,FALSE)</f>
        <v>81</v>
      </c>
      <c r="I193" s="93">
        <f>VLOOKUP($E$3,Rolls!A1:FA90,56,FALSE)</f>
        <v>93</v>
      </c>
      <c r="J193" s="92">
        <f>VLOOKUP($E$3,Rolls!A1:FA90,57,FALSE)</f>
        <v>636</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dimension ref="A1:Q193"/>
  <sheetViews>
    <sheetView topLeftCell="B39" zoomScaleNormal="100" workbookViewId="0">
      <selection activeCell="H60" sqref="H60"/>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71</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Trinity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630 Pupils (21 classes)</v>
      </c>
      <c r="G12" s="16"/>
      <c r="H12" s="16"/>
    </row>
    <row r="13" spans="2:10" ht="15" customHeight="1">
      <c r="C13" s="16"/>
      <c r="D13" s="16"/>
      <c r="E13" s="16"/>
      <c r="F13" s="16"/>
      <c r="G13" s="16"/>
      <c r="H13" s="16"/>
    </row>
    <row r="14" spans="2:10" ht="15" customHeight="1">
      <c r="B14" s="15" t="str">
        <f>"Figure 1: "&amp;E3&amp;" Roll, 2002-2015"</f>
        <v>Figure 1: Trinity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Trinity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73</v>
      </c>
      <c r="E49" s="108">
        <f>VLOOKUP($E$3,'Catchment Projections'!$A$1:$BU$90,46,FALSE)</f>
        <v>79</v>
      </c>
      <c r="F49" s="108">
        <f>VLOOKUP($E$3,'Catchment Projections'!$A$1:$BU$90,47,FALSE)</f>
        <v>64</v>
      </c>
      <c r="G49" s="108">
        <f>VLOOKUP($E$3,'Catchment Projections'!$A$1:$BU$90,48,FALSE)</f>
        <v>71</v>
      </c>
      <c r="H49" s="133">
        <f>VLOOKUP($E$3,'Catchment Projections'!$A$1:$BU$90,49,FALSE)</f>
        <v>72</v>
      </c>
      <c r="I49" s="133">
        <f>VLOOKUP($E$3,'Catchment Projections'!$A$1:$BU$90,50,FALSE)</f>
        <v>73</v>
      </c>
      <c r="J49" s="133">
        <f>VLOOKUP($E$3,'Catchment Projections'!$A$1:$BU$90,51,FALSE)</f>
        <v>74</v>
      </c>
      <c r="K49" s="133">
        <f>VLOOKUP($E$3,'Catchment Projections'!$A$1:$BU$90,52,FALSE)</f>
        <v>75</v>
      </c>
      <c r="L49" s="133">
        <f>VLOOKUP($E$3,'Catchment Projections'!$A$1:$BU$90,53,FALSE)</f>
        <v>76</v>
      </c>
      <c r="M49" s="133">
        <f>VLOOKUP($E$3,'Catchment Projections'!$A$1:$BU$90,54,FALSE)</f>
        <v>76</v>
      </c>
      <c r="N49" s="133">
        <f>VLOOKUP($E$3,'Catchment Projections'!$A$1:$BU$90,55,FALSE)</f>
        <v>76</v>
      </c>
      <c r="O49" s="133">
        <f>VLOOKUP($E$3,'Catchment Projections'!$A$1:$BU$90,56,FALSE)</f>
        <v>77</v>
      </c>
      <c r="P49" s="133">
        <f>VLOOKUP($E$3,'Catchment Projections'!$A$1:$BU$90,57,FALSE)</f>
        <v>77</v>
      </c>
      <c r="Q49" s="133">
        <f>VLOOKUP($E$3,'Catchment Projections'!$A$1:$BU$90,58,FALSE)</f>
        <v>77</v>
      </c>
    </row>
    <row r="50" spans="2:17" ht="15" customHeight="1" thickBot="1">
      <c r="B50" s="410" t="s">
        <v>141</v>
      </c>
      <c r="C50" s="411"/>
      <c r="D50" s="286">
        <f>VLOOKUP(E3,'Housing Generation'!$A$3:$DQ$90,10,FALSE)</f>
        <v>1</v>
      </c>
      <c r="E50" s="286">
        <f>VLOOKUP(E3,'Housing Generation'!$A$3:$DQ$90,18,FALSE)</f>
        <v>1</v>
      </c>
      <c r="F50" s="286">
        <f>VLOOKUP(E3,'Housing Generation'!$A$3:$DQ$90,26,FALSE)</f>
        <v>3</v>
      </c>
      <c r="G50" s="243">
        <f>VLOOKUP(E3,'Housing Generation'!$A$3:$DQ$90,34,FALSE)</f>
        <v>4</v>
      </c>
      <c r="H50" s="133">
        <f>VLOOKUP(E3,'Housing Generation'!$A$3:$DQ$90,42,FALSE)</f>
        <v>6</v>
      </c>
      <c r="I50" s="133">
        <f>VLOOKUP(E3,'Housing Generation'!$A$3:$DQ$90,50,FALSE)</f>
        <v>8</v>
      </c>
      <c r="J50" s="133">
        <f>VLOOKUP(E3,'Housing Generation'!$A$3:$CK$90,58,FALSE)</f>
        <v>10</v>
      </c>
      <c r="K50" s="133">
        <f>VLOOKUP(E3,'Housing Generation'!$A$3:$CK$90,66,FALSE)</f>
        <v>12</v>
      </c>
      <c r="L50" s="133">
        <f>VLOOKUP(E3,'Housing Generation'!$A$3:$DQ$90,74,FALSE)</f>
        <v>14</v>
      </c>
      <c r="M50" s="133">
        <f>VLOOKUP(E3,'Housing Generation'!$A$3:$DQ$90,82,FALSE)</f>
        <v>16</v>
      </c>
      <c r="N50" s="133">
        <f>VLOOKUP(E3,'Housing Generation'!$A$3:$DQ$90,90,FALSE)</f>
        <v>18</v>
      </c>
      <c r="O50" s="133">
        <f>VLOOKUP(E3,'Housing Generation'!$A$3:$DQ$90,98,FALSE)</f>
        <v>20</v>
      </c>
      <c r="P50" s="133">
        <f>VLOOKUP(E3,'Housing Generation'!$A$3:$DQ$90,106,FALSE)</f>
        <v>22</v>
      </c>
      <c r="Q50" s="133">
        <f>VLOOKUP(E3,'Housing Generation'!$A$3:$DQ$90,114,FALSE)</f>
        <v>24</v>
      </c>
    </row>
    <row r="51" spans="2:17" ht="15" customHeight="1" thickTop="1">
      <c r="B51" s="421" t="s">
        <v>130</v>
      </c>
      <c r="C51" s="422"/>
      <c r="D51" s="47">
        <f t="shared" ref="D51:Q51" si="0">SUM(D49:D50)</f>
        <v>74</v>
      </c>
      <c r="E51" s="47">
        <f t="shared" si="0"/>
        <v>80</v>
      </c>
      <c r="F51" s="80">
        <f t="shared" si="0"/>
        <v>67</v>
      </c>
      <c r="G51" s="244">
        <f t="shared" si="0"/>
        <v>75</v>
      </c>
      <c r="H51" s="71">
        <f t="shared" si="0"/>
        <v>78</v>
      </c>
      <c r="I51" s="71">
        <f t="shared" si="0"/>
        <v>81</v>
      </c>
      <c r="J51" s="71">
        <f t="shared" si="0"/>
        <v>84</v>
      </c>
      <c r="K51" s="71">
        <f t="shared" si="0"/>
        <v>87</v>
      </c>
      <c r="L51" s="71">
        <f t="shared" si="0"/>
        <v>90</v>
      </c>
      <c r="M51" s="71">
        <f t="shared" si="0"/>
        <v>92</v>
      </c>
      <c r="N51" s="71">
        <f t="shared" si="0"/>
        <v>94</v>
      </c>
      <c r="O51" s="71">
        <f t="shared" si="0"/>
        <v>97</v>
      </c>
      <c r="P51" s="71">
        <f t="shared" si="0"/>
        <v>99</v>
      </c>
      <c r="Q51" s="71">
        <f t="shared" si="0"/>
        <v>101</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75</v>
      </c>
      <c r="D60" s="358">
        <f>VLOOKUP($E$3,'Catchment Projections'!$A$1:$BZ$90,74,FALSE)</f>
        <v>64</v>
      </c>
      <c r="E60" s="303">
        <f>D60/C60</f>
        <v>0.85333333333333339</v>
      </c>
      <c r="G60" s="132">
        <v>2014</v>
      </c>
      <c r="H60" s="395">
        <f>VLOOKUP($G$60,$B$177:$C$215, 2, FALSE)</f>
        <v>82</v>
      </c>
      <c r="I60" s="120">
        <f>H60-D60</f>
        <v>18</v>
      </c>
      <c r="J60" s="121">
        <f>I60/H60</f>
        <v>0.21951219512195122</v>
      </c>
    </row>
    <row r="61" spans="2:17" ht="15" customHeight="1">
      <c r="B61" s="132">
        <v>2015</v>
      </c>
      <c r="C61" s="359">
        <f>VLOOKUP($E$3,'Catchment Projections'!$A$1:$BZ$90,41,FALSE)</f>
        <v>77</v>
      </c>
      <c r="D61" s="358">
        <f>VLOOKUP($E$3,'Catchment Projections'!$A$1:$BZ$90,75,FALSE)</f>
        <v>64</v>
      </c>
      <c r="E61" s="303">
        <f>D61/C61</f>
        <v>0.83116883116883122</v>
      </c>
      <c r="G61" s="132">
        <v>2015</v>
      </c>
      <c r="H61" s="395">
        <f>VLOOKUP($G$61,$B$177:$C$215, 2, FALSE)</f>
        <v>72</v>
      </c>
      <c r="I61" s="120">
        <f>H61-D61</f>
        <v>8</v>
      </c>
      <c r="J61" s="121">
        <f>I61/H61</f>
        <v>0.1111111111111111</v>
      </c>
    </row>
    <row r="62" spans="2:17" ht="15" customHeight="1">
      <c r="B62" s="131">
        <v>2016</v>
      </c>
      <c r="C62" s="359">
        <f>VLOOKUP($E$3,'Catchment Projections'!$A$1:$BZ$90,42,FALSE)</f>
        <v>85</v>
      </c>
      <c r="D62" s="358">
        <f>VLOOKUP($E$3,'Catchment Projections'!$A$1:$BZ$90,76,FALSE)</f>
        <v>80</v>
      </c>
      <c r="E62" s="57">
        <f>D62/C62</f>
        <v>0.94117647058823528</v>
      </c>
      <c r="G62" s="131">
        <v>2016</v>
      </c>
      <c r="H62" s="395">
        <f>VLOOKUP($G$62,$B$177:$C$215, 2, FALSE)</f>
        <v>84</v>
      </c>
      <c r="I62" s="120">
        <f>H62-D62</f>
        <v>4</v>
      </c>
      <c r="J62" s="121">
        <f>I62/H62</f>
        <v>4.7619047619047616E-2</v>
      </c>
    </row>
    <row r="63" spans="2:17" ht="15" customHeight="1">
      <c r="B63" s="114">
        <v>2017</v>
      </c>
      <c r="C63" s="359">
        <f>VLOOKUP($E$3,'Catchment Projections'!$A$1:$BZ$90,43,FALSE)</f>
        <v>79</v>
      </c>
      <c r="D63" s="358">
        <f>VLOOKUP($E$3,'Catchment Projections'!$A$1:$BZ$90,77,FALSE)</f>
        <v>78</v>
      </c>
      <c r="E63" s="304">
        <f>D63/C63</f>
        <v>0.98734177215189878</v>
      </c>
      <c r="G63" s="114">
        <v>2017</v>
      </c>
      <c r="H63" s="395">
        <f>VLOOKUP($G$63,$B$177:$C$215, 2, FALSE)</f>
        <v>90</v>
      </c>
      <c r="I63" s="120">
        <f>H63-D63</f>
        <v>12</v>
      </c>
      <c r="J63" s="121">
        <f>I63/H63</f>
        <v>0.13333333333333333</v>
      </c>
    </row>
    <row r="64" spans="2:17" ht="15" customHeight="1">
      <c r="B64" s="114">
        <v>2018</v>
      </c>
      <c r="C64" s="359">
        <f>VLOOKUP($E$3,'Catchment Projections'!$A$1:$BZ$90,44,FALSE)</f>
        <v>98</v>
      </c>
      <c r="D64" s="358">
        <f>VLOOKUP($E$3,'Catchment Projections'!$A$1:$BZ$90,78,FALSE)</f>
        <v>87</v>
      </c>
      <c r="E64" s="305">
        <f>D64/C64</f>
        <v>0.88775510204081631</v>
      </c>
      <c r="G64" s="114">
        <v>2018</v>
      </c>
      <c r="H64" s="395">
        <f>VLOOKUP($G$64,$B$177:$C$215, 2, FALSE)</f>
        <v>91</v>
      </c>
      <c r="I64" s="120">
        <f>H64-D64</f>
        <v>4</v>
      </c>
      <c r="J64" s="121">
        <f>I64/H64</f>
        <v>4.3956043956043959E-2</v>
      </c>
    </row>
    <row r="65" spans="2:10" ht="15" customHeight="1">
      <c r="B65" s="412" t="s">
        <v>136</v>
      </c>
      <c r="C65" s="413"/>
      <c r="D65" s="414"/>
      <c r="E65" s="137">
        <f>IF((AVERAGE(E62:E64))="#DIV/0!","n/a",(AVERAGE(E62:E64)))</f>
        <v>0.93875778159365009</v>
      </c>
      <c r="G65" s="415" t="s">
        <v>137</v>
      </c>
      <c r="H65" s="416"/>
      <c r="I65" s="138">
        <f>MEDIAN(I60:I64)</f>
        <v>8</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74</v>
      </c>
      <c r="D70" s="408"/>
      <c r="E70" s="122">
        <f>E65</f>
        <v>0.93875778159365009</v>
      </c>
      <c r="F70" s="120">
        <f t="shared" ref="F70:F83" si="1">C70*$E$65</f>
        <v>69.468075837930101</v>
      </c>
      <c r="G70" s="118">
        <f>IF(F70&lt;26,25,IF(F70&gt;135,140,IF(F70&gt;130,135,IF(F70&gt;125,130,IF(F70&gt;120,125,IF(F70&gt;115,120,IF(F70&gt;110,115,IF(F70&gt;105,110,IF(F70&gt;100,105,IF(F70&gt;99,100,IF(F70&gt;90,99,IF(F70&gt;75,90,IF(F70&gt;72,75,IF(F70&gt;66,72,IF(F70&gt;60,66,IF(F70&gt;50,60,IF(F70&gt;30,50,IF(F70&gt;25,30,0))))))))))))))))))</f>
        <v>72</v>
      </c>
      <c r="H70" s="119">
        <f t="shared" ref="H70:H83" si="2">G70-F70</f>
        <v>2.5319241620698989</v>
      </c>
      <c r="I70" s="118" t="str">
        <f>IF(I$65&lt;H70, "NO", "YES")</f>
        <v>YES</v>
      </c>
      <c r="J70" s="117">
        <f t="shared" ref="J70:J83" si="3">IF(I70="YES",G70,(MIN((SUM(F70,$I$65)),G70)))</f>
        <v>72</v>
      </c>
    </row>
    <row r="71" spans="2:10" ht="15" customHeight="1">
      <c r="B71" s="114">
        <v>2020</v>
      </c>
      <c r="C71" s="433">
        <f>E51</f>
        <v>80</v>
      </c>
      <c r="D71" s="408"/>
      <c r="E71" s="121">
        <f>E65</f>
        <v>0.93875778159365009</v>
      </c>
      <c r="F71" s="120">
        <f t="shared" si="1"/>
        <v>75.100622527492007</v>
      </c>
      <c r="G71" s="118">
        <f t="shared" ref="G71:G83" si="4">IF(F71&lt;26,25,IF(F71&gt;135,140,IF(F71&gt;130,135,IF(F71&gt;125,130,IF(F71&gt;120,125,IF(F71&gt;115,120,IF(F71&gt;110,115,IF(F71&gt;105,110,IF(F71&gt;100,105,IF(F71&gt;99,100,IF(F71&gt;90,99,IF(F71&gt;75,90,IF(F71&gt;72,75,IF(F71&gt;66,72,IF(F71&gt;60,66,IF(F71&gt;50,60,IF(F71&gt;30,50,IF(F71&gt;25,30,0))))))))))))))))))</f>
        <v>90</v>
      </c>
      <c r="H71" s="119">
        <f t="shared" si="2"/>
        <v>14.899377472507993</v>
      </c>
      <c r="I71" s="118" t="str">
        <f t="shared" ref="I71:I83" si="5">IF(I$65&lt;H71, "NO", "YES")</f>
        <v>NO</v>
      </c>
      <c r="J71" s="117">
        <f t="shared" si="3"/>
        <v>83.100622527492007</v>
      </c>
    </row>
    <row r="72" spans="2:10" ht="15" customHeight="1">
      <c r="B72" s="114">
        <v>2021</v>
      </c>
      <c r="C72" s="430">
        <f>F51</f>
        <v>67</v>
      </c>
      <c r="D72" s="431"/>
      <c r="E72" s="121">
        <f>E65</f>
        <v>0.93875778159365009</v>
      </c>
      <c r="F72" s="120">
        <f t="shared" si="1"/>
        <v>62.896771366774558</v>
      </c>
      <c r="G72" s="118">
        <f t="shared" si="4"/>
        <v>66</v>
      </c>
      <c r="H72" s="119">
        <f t="shared" si="2"/>
        <v>3.1032286332254415</v>
      </c>
      <c r="I72" s="118" t="str">
        <f t="shared" si="5"/>
        <v>YES</v>
      </c>
      <c r="J72" s="117">
        <f t="shared" si="3"/>
        <v>66</v>
      </c>
    </row>
    <row r="73" spans="2:10" ht="15" customHeight="1">
      <c r="B73" s="114">
        <v>2022</v>
      </c>
      <c r="C73" s="430">
        <f>G51</f>
        <v>75</v>
      </c>
      <c r="D73" s="431"/>
      <c r="E73" s="121">
        <f>E65</f>
        <v>0.93875778159365009</v>
      </c>
      <c r="F73" s="120">
        <f t="shared" si="1"/>
        <v>70.406833619523752</v>
      </c>
      <c r="G73" s="118">
        <f t="shared" si="4"/>
        <v>72</v>
      </c>
      <c r="H73" s="119">
        <f t="shared" si="2"/>
        <v>1.5931663804762479</v>
      </c>
      <c r="I73" s="118" t="str">
        <f t="shared" si="5"/>
        <v>YES</v>
      </c>
      <c r="J73" s="117">
        <f t="shared" si="3"/>
        <v>72</v>
      </c>
    </row>
    <row r="74" spans="2:10" ht="15" customHeight="1">
      <c r="B74" s="114">
        <v>2023</v>
      </c>
      <c r="C74" s="430">
        <f>H51</f>
        <v>78</v>
      </c>
      <c r="D74" s="431"/>
      <c r="E74" s="121">
        <f>E65</f>
        <v>0.93875778159365009</v>
      </c>
      <c r="F74" s="120">
        <f t="shared" si="1"/>
        <v>73.223106964304705</v>
      </c>
      <c r="G74" s="118">
        <f t="shared" si="4"/>
        <v>75</v>
      </c>
      <c r="H74" s="119">
        <f t="shared" si="2"/>
        <v>1.776893035695295</v>
      </c>
      <c r="I74" s="118" t="str">
        <f t="shared" si="5"/>
        <v>YES</v>
      </c>
      <c r="J74" s="117">
        <f t="shared" si="3"/>
        <v>75</v>
      </c>
    </row>
    <row r="75" spans="2:10" ht="15" customHeight="1">
      <c r="B75" s="114">
        <v>2024</v>
      </c>
      <c r="C75" s="430">
        <f>I51</f>
        <v>81</v>
      </c>
      <c r="D75" s="431"/>
      <c r="E75" s="121">
        <f>E65</f>
        <v>0.93875778159365009</v>
      </c>
      <c r="F75" s="120">
        <f t="shared" si="1"/>
        <v>76.039380309085658</v>
      </c>
      <c r="G75" s="118">
        <f t="shared" si="4"/>
        <v>90</v>
      </c>
      <c r="H75" s="119">
        <f t="shared" si="2"/>
        <v>13.960619690914342</v>
      </c>
      <c r="I75" s="118" t="str">
        <f t="shared" si="5"/>
        <v>NO</v>
      </c>
      <c r="J75" s="117">
        <f t="shared" si="3"/>
        <v>84.039380309085658</v>
      </c>
    </row>
    <row r="76" spans="2:10" ht="15" customHeight="1">
      <c r="B76" s="114">
        <v>2025</v>
      </c>
      <c r="C76" s="430">
        <f>J51</f>
        <v>84</v>
      </c>
      <c r="D76" s="431"/>
      <c r="E76" s="121">
        <f>E65</f>
        <v>0.93875778159365009</v>
      </c>
      <c r="F76" s="120">
        <f t="shared" si="1"/>
        <v>78.855653653866611</v>
      </c>
      <c r="G76" s="118">
        <f t="shared" si="4"/>
        <v>90</v>
      </c>
      <c r="H76" s="119">
        <f t="shared" si="2"/>
        <v>11.144346346133389</v>
      </c>
      <c r="I76" s="118" t="str">
        <f t="shared" si="5"/>
        <v>NO</v>
      </c>
      <c r="J76" s="117">
        <f t="shared" si="3"/>
        <v>86.855653653866611</v>
      </c>
    </row>
    <row r="77" spans="2:10" ht="15" customHeight="1">
      <c r="B77" s="114">
        <v>2026</v>
      </c>
      <c r="C77" s="430">
        <f>K51</f>
        <v>87</v>
      </c>
      <c r="D77" s="431"/>
      <c r="E77" s="121">
        <f>E65</f>
        <v>0.93875778159365009</v>
      </c>
      <c r="F77" s="120">
        <f t="shared" si="1"/>
        <v>81.671926998647564</v>
      </c>
      <c r="G77" s="118">
        <f t="shared" si="4"/>
        <v>90</v>
      </c>
      <c r="H77" s="119">
        <f t="shared" si="2"/>
        <v>8.3280730013524362</v>
      </c>
      <c r="I77" s="118" t="str">
        <f t="shared" si="5"/>
        <v>NO</v>
      </c>
      <c r="J77" s="117">
        <f t="shared" si="3"/>
        <v>89.671926998647564</v>
      </c>
    </row>
    <row r="78" spans="2:10" ht="15" customHeight="1">
      <c r="B78" s="114">
        <v>2027</v>
      </c>
      <c r="C78" s="430">
        <f>L51</f>
        <v>90</v>
      </c>
      <c r="D78" s="431"/>
      <c r="E78" s="121">
        <f>E65</f>
        <v>0.93875778159365009</v>
      </c>
      <c r="F78" s="120">
        <f t="shared" si="1"/>
        <v>84.488200343428502</v>
      </c>
      <c r="G78" s="118">
        <f t="shared" si="4"/>
        <v>90</v>
      </c>
      <c r="H78" s="119">
        <f t="shared" si="2"/>
        <v>5.5117996565714975</v>
      </c>
      <c r="I78" s="118" t="str">
        <f t="shared" si="5"/>
        <v>YES</v>
      </c>
      <c r="J78" s="117">
        <f t="shared" si="3"/>
        <v>90</v>
      </c>
    </row>
    <row r="79" spans="2:10" ht="15" customHeight="1">
      <c r="B79" s="114">
        <v>2028</v>
      </c>
      <c r="C79" s="430">
        <f>M51</f>
        <v>92</v>
      </c>
      <c r="D79" s="431"/>
      <c r="E79" s="121">
        <f t="shared" ref="E79:E83" si="6">$E$65</f>
        <v>0.93875778159365009</v>
      </c>
      <c r="F79" s="120">
        <f t="shared" si="1"/>
        <v>86.365715906615804</v>
      </c>
      <c r="G79" s="118">
        <f t="shared" si="4"/>
        <v>90</v>
      </c>
      <c r="H79" s="119">
        <f t="shared" si="2"/>
        <v>3.6342840933841956</v>
      </c>
      <c r="I79" s="118" t="str">
        <f t="shared" si="5"/>
        <v>YES</v>
      </c>
      <c r="J79" s="117">
        <f t="shared" si="3"/>
        <v>90</v>
      </c>
    </row>
    <row r="80" spans="2:10" ht="15" customHeight="1">
      <c r="B80" s="114">
        <v>2029</v>
      </c>
      <c r="C80" s="430">
        <f>N51</f>
        <v>94</v>
      </c>
      <c r="D80" s="431"/>
      <c r="E80" s="121">
        <f t="shared" si="6"/>
        <v>0.93875778159365009</v>
      </c>
      <c r="F80" s="120">
        <f t="shared" si="1"/>
        <v>88.243231469803106</v>
      </c>
      <c r="G80" s="118">
        <f t="shared" si="4"/>
        <v>90</v>
      </c>
      <c r="H80" s="119">
        <f t="shared" si="2"/>
        <v>1.7567685301968936</v>
      </c>
      <c r="I80" s="118" t="str">
        <f t="shared" si="5"/>
        <v>YES</v>
      </c>
      <c r="J80" s="117">
        <f t="shared" si="3"/>
        <v>90</v>
      </c>
    </row>
    <row r="81" spans="2:10" ht="15" customHeight="1">
      <c r="B81" s="114">
        <v>2030</v>
      </c>
      <c r="C81" s="430">
        <f>O51</f>
        <v>97</v>
      </c>
      <c r="D81" s="431"/>
      <c r="E81" s="121">
        <f t="shared" si="6"/>
        <v>0.93875778159365009</v>
      </c>
      <c r="F81" s="120">
        <f t="shared" si="1"/>
        <v>91.059504814584059</v>
      </c>
      <c r="G81" s="118">
        <f t="shared" si="4"/>
        <v>99</v>
      </c>
      <c r="H81" s="119">
        <f t="shared" si="2"/>
        <v>7.9404951854159407</v>
      </c>
      <c r="I81" s="118" t="str">
        <f t="shared" si="5"/>
        <v>YES</v>
      </c>
      <c r="J81" s="117">
        <f t="shared" si="3"/>
        <v>99</v>
      </c>
    </row>
    <row r="82" spans="2:10" ht="15" customHeight="1">
      <c r="B82" s="114">
        <v>2031</v>
      </c>
      <c r="C82" s="430">
        <f>P51</f>
        <v>99</v>
      </c>
      <c r="D82" s="431"/>
      <c r="E82" s="121">
        <f t="shared" si="6"/>
        <v>0.93875778159365009</v>
      </c>
      <c r="F82" s="120">
        <f t="shared" si="1"/>
        <v>92.937020377771361</v>
      </c>
      <c r="G82" s="118">
        <f t="shared" si="4"/>
        <v>99</v>
      </c>
      <c r="H82" s="119">
        <f t="shared" si="2"/>
        <v>6.0629796222286387</v>
      </c>
      <c r="I82" s="118" t="str">
        <f t="shared" si="5"/>
        <v>YES</v>
      </c>
      <c r="J82" s="117">
        <f t="shared" si="3"/>
        <v>99</v>
      </c>
    </row>
    <row r="83" spans="2:10" ht="15" customHeight="1">
      <c r="B83" s="114">
        <v>2032</v>
      </c>
      <c r="C83" s="430">
        <f>Q51</f>
        <v>101</v>
      </c>
      <c r="D83" s="431"/>
      <c r="E83" s="121">
        <f t="shared" si="6"/>
        <v>0.93875778159365009</v>
      </c>
      <c r="F83" s="120">
        <f t="shared" si="1"/>
        <v>94.814535940958663</v>
      </c>
      <c r="G83" s="118">
        <f t="shared" si="4"/>
        <v>99</v>
      </c>
      <c r="H83" s="119">
        <f t="shared" si="2"/>
        <v>4.1854640590413368</v>
      </c>
      <c r="I83" s="118" t="str">
        <f t="shared" si="5"/>
        <v>YES</v>
      </c>
      <c r="J83" s="117">
        <f t="shared" si="3"/>
        <v>99</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Trinity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80</v>
      </c>
      <c r="D91" s="112">
        <f t="shared" ref="D91:J91" si="7">D188</f>
        <v>79</v>
      </c>
      <c r="E91" s="112">
        <f t="shared" si="7"/>
        <v>69</v>
      </c>
      <c r="F91" s="112">
        <f t="shared" si="7"/>
        <v>69</v>
      </c>
      <c r="G91" s="112">
        <f t="shared" si="7"/>
        <v>65</v>
      </c>
      <c r="H91" s="112">
        <f t="shared" si="7"/>
        <v>59</v>
      </c>
      <c r="I91" s="112">
        <f t="shared" si="7"/>
        <v>63</v>
      </c>
      <c r="J91" s="213">
        <f t="shared" si="7"/>
        <v>484</v>
      </c>
    </row>
    <row r="92" spans="2:10" ht="15" customHeight="1">
      <c r="B92" s="114">
        <v>2014</v>
      </c>
      <c r="C92" s="112">
        <f>C189</f>
        <v>82</v>
      </c>
      <c r="D92" s="112">
        <f t="shared" ref="D92:J92" si="8">D189</f>
        <v>78</v>
      </c>
      <c r="E92" s="112">
        <f t="shared" si="8"/>
        <v>78</v>
      </c>
      <c r="F92" s="112">
        <f t="shared" si="8"/>
        <v>71</v>
      </c>
      <c r="G92" s="112">
        <f t="shared" si="8"/>
        <v>67</v>
      </c>
      <c r="H92" s="112">
        <f t="shared" si="8"/>
        <v>63</v>
      </c>
      <c r="I92" s="112">
        <f t="shared" si="8"/>
        <v>56</v>
      </c>
      <c r="J92" s="213">
        <f t="shared" si="8"/>
        <v>495</v>
      </c>
    </row>
    <row r="93" spans="2:10" ht="15" customHeight="1">
      <c r="B93" s="114">
        <v>2015</v>
      </c>
      <c r="C93" s="112">
        <f>C190</f>
        <v>72</v>
      </c>
      <c r="D93" s="112">
        <f t="shared" ref="D93:J93" si="9">D190</f>
        <v>85</v>
      </c>
      <c r="E93" s="112">
        <f t="shared" si="9"/>
        <v>77</v>
      </c>
      <c r="F93" s="112">
        <f t="shared" si="9"/>
        <v>77</v>
      </c>
      <c r="G93" s="112">
        <f t="shared" si="9"/>
        <v>68</v>
      </c>
      <c r="H93" s="112">
        <f t="shared" si="9"/>
        <v>66</v>
      </c>
      <c r="I93" s="112">
        <f t="shared" si="9"/>
        <v>62</v>
      </c>
      <c r="J93" s="213">
        <f t="shared" si="9"/>
        <v>507</v>
      </c>
    </row>
    <row r="94" spans="2:10" ht="15" customHeight="1">
      <c r="B94" s="114">
        <v>2016</v>
      </c>
      <c r="C94" s="112">
        <f>C191</f>
        <v>84</v>
      </c>
      <c r="D94" s="112">
        <f t="shared" ref="D94:J94" si="10">D191</f>
        <v>72</v>
      </c>
      <c r="E94" s="112">
        <f t="shared" si="10"/>
        <v>89</v>
      </c>
      <c r="F94" s="112">
        <f t="shared" si="10"/>
        <v>76</v>
      </c>
      <c r="G94" s="112">
        <f t="shared" si="10"/>
        <v>78</v>
      </c>
      <c r="H94" s="112">
        <f t="shared" si="10"/>
        <v>64</v>
      </c>
      <c r="I94" s="112">
        <f t="shared" si="10"/>
        <v>64</v>
      </c>
      <c r="J94" s="213">
        <f t="shared" si="10"/>
        <v>527</v>
      </c>
    </row>
    <row r="95" spans="2:10" ht="15" customHeight="1">
      <c r="B95" s="114">
        <v>2017</v>
      </c>
      <c r="C95" s="112">
        <f>C192</f>
        <v>90</v>
      </c>
      <c r="D95" s="112">
        <f t="shared" ref="D95:J95" si="11">D192</f>
        <v>85</v>
      </c>
      <c r="E95" s="112">
        <f t="shared" si="11"/>
        <v>75</v>
      </c>
      <c r="F95" s="112">
        <f t="shared" si="11"/>
        <v>88</v>
      </c>
      <c r="G95" s="112">
        <f t="shared" si="11"/>
        <v>76</v>
      </c>
      <c r="H95" s="112">
        <f t="shared" si="11"/>
        <v>79</v>
      </c>
      <c r="I95" s="112">
        <f t="shared" si="11"/>
        <v>64</v>
      </c>
      <c r="J95" s="213">
        <f t="shared" si="11"/>
        <v>557</v>
      </c>
    </row>
    <row r="96" spans="2:10" ht="15" customHeight="1">
      <c r="B96" s="307">
        <v>2018</v>
      </c>
      <c r="C96" s="112">
        <f t="shared" ref="C96:J96" si="12">C193</f>
        <v>91</v>
      </c>
      <c r="D96" s="112">
        <f t="shared" si="12"/>
        <v>86</v>
      </c>
      <c r="E96" s="112">
        <f t="shared" si="12"/>
        <v>89</v>
      </c>
      <c r="F96" s="112">
        <f t="shared" si="12"/>
        <v>77</v>
      </c>
      <c r="G96" s="112">
        <f t="shared" si="12"/>
        <v>88</v>
      </c>
      <c r="H96" s="112">
        <f t="shared" si="12"/>
        <v>74</v>
      </c>
      <c r="I96" s="112">
        <f t="shared" si="12"/>
        <v>73</v>
      </c>
      <c r="J96" s="213">
        <f t="shared" si="12"/>
        <v>578</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0</v>
      </c>
      <c r="E98" s="210">
        <f t="shared" ref="E98:I98" si="13">MEDIAN(((D91-E92)/D91),((D92-E93)/D92),((D93-E94)/D93),((D94-E95)/D94),((D95-E96)/D95))</f>
        <v>-4.1666666666666664E-2</v>
      </c>
      <c r="F98" s="210">
        <f t="shared" si="13"/>
        <v>1.1235955056179775E-2</v>
      </c>
      <c r="G98" s="210">
        <f t="shared" si="13"/>
        <v>0</v>
      </c>
      <c r="H98" s="210">
        <f t="shared" si="13"/>
        <v>2.6315789473684209E-2</v>
      </c>
      <c r="I98" s="210">
        <f t="shared" si="13"/>
        <v>3.0303030303030304E-2</v>
      </c>
    </row>
    <row r="99" spans="2:10" ht="15" customHeight="1">
      <c r="B99" s="59"/>
      <c r="C99" s="60"/>
      <c r="D99" s="61"/>
      <c r="E99" s="61"/>
      <c r="F99" s="61"/>
      <c r="G99" s="61"/>
      <c r="H99" s="61"/>
      <c r="I99" s="61"/>
      <c r="J99" s="58"/>
    </row>
    <row r="100" spans="2:10" ht="15" customHeight="1">
      <c r="B100" s="15" t="str">
        <f>"Table 4B: "&amp;E3&amp;" Projected Roll by Stage (incorporating Projected P1 and Drop-Off Rates), 2019-2032"</f>
        <v>Table 4B: Trinity Primary School Projected Roll by Stage (incorporating Projected P1 and Drop-Off Rates), 2019-2032</v>
      </c>
      <c r="F100" s="14"/>
      <c r="G100" s="14"/>
    </row>
    <row r="101" spans="2:10" ht="15" customHeight="1">
      <c r="F101" s="14"/>
      <c r="G101" s="14"/>
    </row>
    <row r="102" spans="2:10" ht="15" customHeight="1">
      <c r="B102" s="115"/>
      <c r="C102" s="109" t="s">
        <v>1</v>
      </c>
      <c r="D102" s="109" t="s">
        <v>2</v>
      </c>
      <c r="E102" s="109" t="s">
        <v>3</v>
      </c>
      <c r="F102" s="109" t="s">
        <v>4</v>
      </c>
      <c r="G102" s="109" t="s">
        <v>5</v>
      </c>
      <c r="H102" s="109" t="s">
        <v>6</v>
      </c>
      <c r="I102" s="109" t="s">
        <v>7</v>
      </c>
      <c r="J102" s="109" t="s">
        <v>8</v>
      </c>
    </row>
    <row r="103" spans="2:10" ht="15" customHeight="1">
      <c r="B103" s="114">
        <v>2019</v>
      </c>
      <c r="C103" s="113">
        <f t="shared" ref="C103:C116" si="14">J70</f>
        <v>72</v>
      </c>
      <c r="D103" s="324">
        <f>ROUND((C96)-(C96*$D$98),0)</f>
        <v>91</v>
      </c>
      <c r="E103" s="324">
        <f>ROUND((D96)-(D96*$E$98),0)</f>
        <v>90</v>
      </c>
      <c r="F103" s="324">
        <f>ROUND((E96)-(E96*$F$98),0)</f>
        <v>88</v>
      </c>
      <c r="G103" s="324">
        <f>ROUND((F96)-(F96*$G$98),0)</f>
        <v>77</v>
      </c>
      <c r="H103" s="324">
        <f>ROUND((G96)-(G96*$H$98),0)</f>
        <v>86</v>
      </c>
      <c r="I103" s="324">
        <f>ROUND((H96)-(H96*$I$98),0)</f>
        <v>72</v>
      </c>
      <c r="J103" s="111">
        <f t="shared" ref="J103:J116" si="15">SUM(C103:I103)</f>
        <v>576</v>
      </c>
    </row>
    <row r="104" spans="2:10" ht="15" customHeight="1">
      <c r="B104" s="114">
        <v>2020</v>
      </c>
      <c r="C104" s="113">
        <f t="shared" si="14"/>
        <v>83.100622527492007</v>
      </c>
      <c r="D104" s="324">
        <f>ROUND((C103-E50)-(C103*$D$98),0)</f>
        <v>71</v>
      </c>
      <c r="E104" s="112">
        <f t="shared" ref="E104:E116" si="16">ROUND((D103)-(D103*$E$98),0)</f>
        <v>95</v>
      </c>
      <c r="F104" s="112">
        <f t="shared" ref="F104:F116" si="17">ROUND((E103)-(E103*$F$98),0)</f>
        <v>89</v>
      </c>
      <c r="G104" s="112">
        <f t="shared" ref="G104:G116" si="18">ROUND((F103)-(F103*$G$98),0)</f>
        <v>88</v>
      </c>
      <c r="H104" s="112">
        <f t="shared" ref="H104:H116" si="19">ROUND((G103)-(G103*$H$98),0)</f>
        <v>75</v>
      </c>
      <c r="I104" s="112">
        <f t="shared" ref="I104:I116" si="20">ROUND((H103)-(H103*$I$98),0)</f>
        <v>83</v>
      </c>
      <c r="J104" s="111">
        <f t="shared" si="15"/>
        <v>584.10062252749208</v>
      </c>
    </row>
    <row r="105" spans="2:10" ht="15" customHeight="1">
      <c r="B105" s="114">
        <v>2021</v>
      </c>
      <c r="C105" s="113">
        <f t="shared" si="14"/>
        <v>66</v>
      </c>
      <c r="D105" s="324">
        <f>ROUND((C104-F50)-(C104*$D$98),0)</f>
        <v>80</v>
      </c>
      <c r="E105" s="112">
        <f t="shared" si="16"/>
        <v>74</v>
      </c>
      <c r="F105" s="112">
        <f t="shared" si="17"/>
        <v>94</v>
      </c>
      <c r="G105" s="112">
        <f t="shared" si="18"/>
        <v>89</v>
      </c>
      <c r="H105" s="112">
        <f t="shared" si="19"/>
        <v>86</v>
      </c>
      <c r="I105" s="112">
        <f t="shared" si="20"/>
        <v>73</v>
      </c>
      <c r="J105" s="111">
        <f t="shared" si="15"/>
        <v>562</v>
      </c>
    </row>
    <row r="106" spans="2:10" ht="15" customHeight="1">
      <c r="B106" s="114">
        <v>2022</v>
      </c>
      <c r="C106" s="113">
        <f t="shared" si="14"/>
        <v>72</v>
      </c>
      <c r="D106" s="324">
        <f>ROUND((C105-G50)-(C105*$D$98),0)</f>
        <v>62</v>
      </c>
      <c r="E106" s="112">
        <f t="shared" si="16"/>
        <v>83</v>
      </c>
      <c r="F106" s="112">
        <f t="shared" si="17"/>
        <v>73</v>
      </c>
      <c r="G106" s="112">
        <f t="shared" si="18"/>
        <v>94</v>
      </c>
      <c r="H106" s="112">
        <f t="shared" si="19"/>
        <v>87</v>
      </c>
      <c r="I106" s="112">
        <f t="shared" si="20"/>
        <v>83</v>
      </c>
      <c r="J106" s="111">
        <f t="shared" si="15"/>
        <v>554</v>
      </c>
    </row>
    <row r="107" spans="2:10" ht="15" customHeight="1">
      <c r="B107" s="114">
        <v>2023</v>
      </c>
      <c r="C107" s="113">
        <f t="shared" si="14"/>
        <v>75</v>
      </c>
      <c r="D107" s="324">
        <f>ROUND((C106-H50)-(C106*$D$98),0)</f>
        <v>66</v>
      </c>
      <c r="E107" s="112">
        <f t="shared" si="16"/>
        <v>65</v>
      </c>
      <c r="F107" s="112">
        <f t="shared" si="17"/>
        <v>82</v>
      </c>
      <c r="G107" s="112">
        <f t="shared" si="18"/>
        <v>73</v>
      </c>
      <c r="H107" s="112">
        <f t="shared" si="19"/>
        <v>92</v>
      </c>
      <c r="I107" s="112">
        <f t="shared" si="20"/>
        <v>84</v>
      </c>
      <c r="J107" s="111">
        <f t="shared" si="15"/>
        <v>537</v>
      </c>
    </row>
    <row r="108" spans="2:10" ht="15" customHeight="1">
      <c r="B108" s="114">
        <v>2024</v>
      </c>
      <c r="C108" s="113">
        <f t="shared" si="14"/>
        <v>84.039380309085658</v>
      </c>
      <c r="D108" s="324">
        <f>ROUND((C107-I50)-(C107*$D$98),0)</f>
        <v>67</v>
      </c>
      <c r="E108" s="112">
        <f t="shared" si="16"/>
        <v>69</v>
      </c>
      <c r="F108" s="112">
        <f t="shared" si="17"/>
        <v>64</v>
      </c>
      <c r="G108" s="112">
        <f t="shared" si="18"/>
        <v>82</v>
      </c>
      <c r="H108" s="112">
        <f t="shared" si="19"/>
        <v>71</v>
      </c>
      <c r="I108" s="112">
        <f t="shared" si="20"/>
        <v>89</v>
      </c>
      <c r="J108" s="111">
        <f t="shared" si="15"/>
        <v>526.03938030908569</v>
      </c>
    </row>
    <row r="109" spans="2:10" ht="15" customHeight="1">
      <c r="B109" s="114">
        <v>2025</v>
      </c>
      <c r="C109" s="113">
        <f t="shared" si="14"/>
        <v>86.855653653866611</v>
      </c>
      <c r="D109" s="324">
        <f>ROUND((C108-J50)-(C108*$D$98),0)</f>
        <v>74</v>
      </c>
      <c r="E109" s="112">
        <f t="shared" si="16"/>
        <v>70</v>
      </c>
      <c r="F109" s="112">
        <f t="shared" si="17"/>
        <v>68</v>
      </c>
      <c r="G109" s="112">
        <f t="shared" si="18"/>
        <v>64</v>
      </c>
      <c r="H109" s="112">
        <f t="shared" si="19"/>
        <v>80</v>
      </c>
      <c r="I109" s="112">
        <f t="shared" si="20"/>
        <v>69</v>
      </c>
      <c r="J109" s="111">
        <f t="shared" si="15"/>
        <v>511.85565365386663</v>
      </c>
    </row>
    <row r="110" spans="2:10" ht="15" customHeight="1">
      <c r="B110" s="114">
        <v>2026</v>
      </c>
      <c r="C110" s="113">
        <f t="shared" si="14"/>
        <v>89.671926998647564</v>
      </c>
      <c r="D110" s="324">
        <f>ROUND((C109-K50)-(C109*$D$98),0)</f>
        <v>75</v>
      </c>
      <c r="E110" s="112">
        <f t="shared" si="16"/>
        <v>77</v>
      </c>
      <c r="F110" s="112">
        <f t="shared" si="17"/>
        <v>69</v>
      </c>
      <c r="G110" s="112">
        <f t="shared" si="18"/>
        <v>68</v>
      </c>
      <c r="H110" s="112">
        <f t="shared" si="19"/>
        <v>62</v>
      </c>
      <c r="I110" s="112">
        <f t="shared" si="20"/>
        <v>78</v>
      </c>
      <c r="J110" s="111">
        <f t="shared" si="15"/>
        <v>518.67192699864756</v>
      </c>
    </row>
    <row r="111" spans="2:10" ht="15" customHeight="1">
      <c r="B111" s="114">
        <v>2027</v>
      </c>
      <c r="C111" s="113">
        <f t="shared" si="14"/>
        <v>90</v>
      </c>
      <c r="D111" s="324">
        <f>ROUND((C110-L50)-(C110*$D$98),0)</f>
        <v>76</v>
      </c>
      <c r="E111" s="112">
        <f t="shared" si="16"/>
        <v>78</v>
      </c>
      <c r="F111" s="112">
        <f t="shared" si="17"/>
        <v>76</v>
      </c>
      <c r="G111" s="112">
        <f t="shared" si="18"/>
        <v>69</v>
      </c>
      <c r="H111" s="112">
        <f t="shared" si="19"/>
        <v>66</v>
      </c>
      <c r="I111" s="112">
        <f t="shared" si="20"/>
        <v>60</v>
      </c>
      <c r="J111" s="111">
        <f t="shared" si="15"/>
        <v>515</v>
      </c>
    </row>
    <row r="112" spans="2:10" ht="15" customHeight="1">
      <c r="B112" s="114">
        <v>2028</v>
      </c>
      <c r="C112" s="113">
        <f t="shared" si="14"/>
        <v>90</v>
      </c>
      <c r="D112" s="324">
        <f>ROUND((C111-M50)-(C111*$D$98),0)</f>
        <v>74</v>
      </c>
      <c r="E112" s="112">
        <f t="shared" si="16"/>
        <v>79</v>
      </c>
      <c r="F112" s="112">
        <f t="shared" si="17"/>
        <v>77</v>
      </c>
      <c r="G112" s="112">
        <f t="shared" si="18"/>
        <v>76</v>
      </c>
      <c r="H112" s="112">
        <f t="shared" si="19"/>
        <v>67</v>
      </c>
      <c r="I112" s="112">
        <f t="shared" si="20"/>
        <v>64</v>
      </c>
      <c r="J112" s="111">
        <f t="shared" si="15"/>
        <v>527</v>
      </c>
    </row>
    <row r="113" spans="2:10" ht="15" customHeight="1">
      <c r="B113" s="114">
        <v>2029</v>
      </c>
      <c r="C113" s="113">
        <f t="shared" si="14"/>
        <v>90</v>
      </c>
      <c r="D113" s="324">
        <f>ROUND((C112-N50)-(C112*$D$98),0)</f>
        <v>72</v>
      </c>
      <c r="E113" s="112">
        <f t="shared" si="16"/>
        <v>77</v>
      </c>
      <c r="F113" s="112">
        <f t="shared" si="17"/>
        <v>78</v>
      </c>
      <c r="G113" s="112">
        <f t="shared" si="18"/>
        <v>77</v>
      </c>
      <c r="H113" s="112">
        <f t="shared" si="19"/>
        <v>74</v>
      </c>
      <c r="I113" s="112">
        <f t="shared" si="20"/>
        <v>65</v>
      </c>
      <c r="J113" s="111">
        <f t="shared" si="15"/>
        <v>533</v>
      </c>
    </row>
    <row r="114" spans="2:10" ht="15" customHeight="1">
      <c r="B114" s="114">
        <v>2030</v>
      </c>
      <c r="C114" s="113">
        <f t="shared" si="14"/>
        <v>99</v>
      </c>
      <c r="D114" s="324">
        <f>ROUND((C113-O50)-(C113*$D$98),0)</f>
        <v>70</v>
      </c>
      <c r="E114" s="112">
        <f t="shared" si="16"/>
        <v>75</v>
      </c>
      <c r="F114" s="112">
        <f t="shared" si="17"/>
        <v>76</v>
      </c>
      <c r="G114" s="112">
        <f t="shared" si="18"/>
        <v>78</v>
      </c>
      <c r="H114" s="112">
        <f t="shared" si="19"/>
        <v>75</v>
      </c>
      <c r="I114" s="112">
        <f t="shared" si="20"/>
        <v>72</v>
      </c>
      <c r="J114" s="111">
        <f t="shared" si="15"/>
        <v>545</v>
      </c>
    </row>
    <row r="115" spans="2:10" ht="15" customHeight="1">
      <c r="B115" s="114">
        <v>2031</v>
      </c>
      <c r="C115" s="113">
        <f t="shared" si="14"/>
        <v>99</v>
      </c>
      <c r="D115" s="324">
        <f>ROUND((C114-P50)-(C114*$D$98),0)</f>
        <v>77</v>
      </c>
      <c r="E115" s="112">
        <f t="shared" si="16"/>
        <v>73</v>
      </c>
      <c r="F115" s="112">
        <f t="shared" si="17"/>
        <v>74</v>
      </c>
      <c r="G115" s="112">
        <f t="shared" si="18"/>
        <v>76</v>
      </c>
      <c r="H115" s="112">
        <f t="shared" si="19"/>
        <v>76</v>
      </c>
      <c r="I115" s="112">
        <f t="shared" si="20"/>
        <v>73</v>
      </c>
      <c r="J115" s="111">
        <f t="shared" si="15"/>
        <v>548</v>
      </c>
    </row>
    <row r="116" spans="2:10" ht="15" customHeight="1">
      <c r="B116" s="114">
        <v>2032</v>
      </c>
      <c r="C116" s="113">
        <f t="shared" si="14"/>
        <v>99</v>
      </c>
      <c r="D116" s="324">
        <f>ROUND((C115-Q50)-(C115*$D$98),0)</f>
        <v>75</v>
      </c>
      <c r="E116" s="112">
        <f t="shared" si="16"/>
        <v>80</v>
      </c>
      <c r="F116" s="112">
        <f t="shared" si="17"/>
        <v>72</v>
      </c>
      <c r="G116" s="112">
        <f t="shared" si="18"/>
        <v>74</v>
      </c>
      <c r="H116" s="112">
        <f t="shared" si="19"/>
        <v>74</v>
      </c>
      <c r="I116" s="112">
        <f t="shared" si="20"/>
        <v>74</v>
      </c>
      <c r="J116" s="111">
        <f t="shared" si="15"/>
        <v>548</v>
      </c>
    </row>
    <row r="117" spans="2:10" ht="15" customHeight="1">
      <c r="F117" s="14"/>
      <c r="G117" s="14"/>
    </row>
    <row r="118" spans="2:10" ht="15" customHeight="1">
      <c r="B118" s="15" t="str">
        <f>"Table 4C: "&amp;E3&amp;" Projected Pupil Generation from Housing Development, 2019-2032"</f>
        <v>Table 4C: Trinity Primary School Projected Pupil Generation from Housing Development, 2019-2032</v>
      </c>
      <c r="F118" s="14"/>
      <c r="G118" s="14"/>
    </row>
    <row r="119" spans="2:10" ht="15" customHeight="1">
      <c r="F119" s="14"/>
      <c r="G119" s="14"/>
    </row>
    <row r="120" spans="2:10" ht="15" customHeight="1">
      <c r="B120" s="115"/>
      <c r="C120" s="109" t="s">
        <v>1</v>
      </c>
      <c r="D120" s="109" t="s">
        <v>2</v>
      </c>
      <c r="E120" s="109" t="s">
        <v>3</v>
      </c>
      <c r="F120" s="109" t="s">
        <v>4</v>
      </c>
      <c r="G120" s="109" t="s">
        <v>5</v>
      </c>
      <c r="H120" s="109" t="s">
        <v>6</v>
      </c>
      <c r="I120" s="109" t="s">
        <v>7</v>
      </c>
      <c r="J120" s="109" t="s">
        <v>8</v>
      </c>
    </row>
    <row r="121" spans="2:10" ht="15" customHeight="1">
      <c r="B121" s="114">
        <v>2019</v>
      </c>
      <c r="C121" s="116" t="s">
        <v>97</v>
      </c>
      <c r="D121" s="112">
        <f>VLOOKUP($E$3,'Housing Generation'!$A$3:$BE$90,11,FALSE)</f>
        <v>1</v>
      </c>
      <c r="E121" s="112">
        <f>VLOOKUP($E$3,'Housing Generation'!$A$3:$BE$90,12,FALSE)</f>
        <v>0</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1</v>
      </c>
    </row>
    <row r="122" spans="2:10" ht="15" customHeight="1">
      <c r="B122" s="114">
        <v>2020</v>
      </c>
      <c r="C122" s="116" t="s">
        <v>97</v>
      </c>
      <c r="D122" s="112">
        <f>VLOOKUP($E$3,'Housing Generation'!$A$3:$BE$90,19,FALSE)</f>
        <v>1</v>
      </c>
      <c r="E122" s="112">
        <f>VLOOKUP($E$3,'Housing Generation'!$A$3:$BE$90,20,FALSE)</f>
        <v>1</v>
      </c>
      <c r="F122" s="112">
        <f>VLOOKUP($E$3,'Housing Generation'!$A$3:$BE$90,21,FALSE)</f>
        <v>1</v>
      </c>
      <c r="G122" s="112">
        <f>VLOOKUP($E$3,'Housing Generation'!$A$3:$BE$90,22,FALSE)</f>
        <v>1</v>
      </c>
      <c r="H122" s="112">
        <f>VLOOKUP($E$3,'Housing Generation'!$A$3:$BE$90,23,FALSE)</f>
        <v>0</v>
      </c>
      <c r="I122" s="112">
        <f>VLOOKUP($E$3,'Housing Generation'!$A$3:$BE$90,24,FALSE)</f>
        <v>0</v>
      </c>
      <c r="J122" s="111">
        <f t="shared" si="21"/>
        <v>4</v>
      </c>
    </row>
    <row r="123" spans="2:10" ht="15" customHeight="1">
      <c r="B123" s="114">
        <v>2021</v>
      </c>
      <c r="C123" s="116" t="s">
        <v>97</v>
      </c>
      <c r="D123" s="112">
        <f>VLOOKUP($E$3,'Housing Generation'!$A$3:$BE$90,27,FALSE)</f>
        <v>3</v>
      </c>
      <c r="E123" s="112">
        <f>VLOOKUP($E$3,'Housing Generation'!$A$3:$BE$90,28,FALSE)</f>
        <v>2</v>
      </c>
      <c r="F123" s="112">
        <f>VLOOKUP($E$3,'Housing Generation'!$A$3:$BE$90,29,FALSE)</f>
        <v>2</v>
      </c>
      <c r="G123" s="112">
        <f>VLOOKUP($E$3,'Housing Generation'!$A$3:$BE$90,30,FALSE)</f>
        <v>2</v>
      </c>
      <c r="H123" s="112">
        <f>VLOOKUP($E$3,'Housing Generation'!$A$3:$BE$90,31,FALSE)</f>
        <v>2</v>
      </c>
      <c r="I123" s="112">
        <f>VLOOKUP($E$3,'Housing Generation'!$A$3:$BE$90,32,FALSE)</f>
        <v>2</v>
      </c>
      <c r="J123" s="111">
        <f t="shared" si="21"/>
        <v>13</v>
      </c>
    </row>
    <row r="124" spans="2:10" ht="15" customHeight="1">
      <c r="B124" s="114">
        <v>2022</v>
      </c>
      <c r="C124" s="116" t="s">
        <v>97</v>
      </c>
      <c r="D124" s="112">
        <f>VLOOKUP($E$3,'Housing Generation'!$A$3:$BE$90,35,FALSE)</f>
        <v>4</v>
      </c>
      <c r="E124" s="112">
        <f>VLOOKUP($E$3,'Housing Generation'!$A$3:$BE$90,36,FALSE)</f>
        <v>4</v>
      </c>
      <c r="F124" s="112">
        <f>VLOOKUP($E$3,'Housing Generation'!$A$3:$BE$90,37,FALSE)</f>
        <v>4</v>
      </c>
      <c r="G124" s="112">
        <f>VLOOKUP($E$3,'Housing Generation'!$A$3:$BE$90,38,FALSE)</f>
        <v>4</v>
      </c>
      <c r="H124" s="112">
        <f>VLOOKUP($E$3,'Housing Generation'!$A$3:$BE$90,39,FALSE)</f>
        <v>4</v>
      </c>
      <c r="I124" s="112">
        <f>VLOOKUP($E$3,'Housing Generation'!$A$3:$BE$90,40,FALSE)</f>
        <v>4</v>
      </c>
      <c r="J124" s="111">
        <f t="shared" si="21"/>
        <v>24</v>
      </c>
    </row>
    <row r="125" spans="2:10" ht="15" customHeight="1">
      <c r="B125" s="114">
        <v>2023</v>
      </c>
      <c r="C125" s="116" t="s">
        <v>97</v>
      </c>
      <c r="D125" s="112">
        <f>VLOOKUP($E$3,'Housing Generation'!$A$3:$BE$90,43,FALSE)</f>
        <v>6</v>
      </c>
      <c r="E125" s="112">
        <f>VLOOKUP($E$3,'Housing Generation'!$A$3:$BE$90,44,FALSE)</f>
        <v>6</v>
      </c>
      <c r="F125" s="112">
        <f>VLOOKUP($E$3,'Housing Generation'!$A$3:$BE$90,45,FALSE)</f>
        <v>5</v>
      </c>
      <c r="G125" s="112">
        <f>VLOOKUP($E$3,'Housing Generation'!$A$3:$BE$90,46,FALSE)</f>
        <v>5</v>
      </c>
      <c r="H125" s="112">
        <f>VLOOKUP($E$3,'Housing Generation'!$A$3:$BE$90,47,FALSE)</f>
        <v>5</v>
      </c>
      <c r="I125" s="112">
        <f>VLOOKUP($E$3,'Housing Generation'!$A$3:$BE$90,48,FALSE)</f>
        <v>5</v>
      </c>
      <c r="J125" s="111">
        <f t="shared" si="21"/>
        <v>32</v>
      </c>
    </row>
    <row r="126" spans="2:10" ht="15" customHeight="1">
      <c r="B126" s="114">
        <v>2024</v>
      </c>
      <c r="C126" s="116" t="s">
        <v>97</v>
      </c>
      <c r="D126" s="112">
        <f>VLOOKUP($E$3,'Housing Generation'!$A$3:$BE$90,51,FALSE)</f>
        <v>7</v>
      </c>
      <c r="E126" s="112">
        <f>VLOOKUP($E$3,'Housing Generation'!$A$3:$BE$90,52,FALSE)</f>
        <v>7</v>
      </c>
      <c r="F126" s="112">
        <f>VLOOKUP($E$3,'Housing Generation'!$A$3:$BE$90,53,FALSE)</f>
        <v>7</v>
      </c>
      <c r="G126" s="112">
        <f>VLOOKUP($E$3,'Housing Generation'!$A$3:$BE$90,54,FALSE)</f>
        <v>7</v>
      </c>
      <c r="H126" s="112">
        <f>VLOOKUP($E$3,'Housing Generation'!$A$3:$BE$90,55,FALSE)</f>
        <v>7</v>
      </c>
      <c r="I126" s="112">
        <f>VLOOKUP($E$3,'Housing Generation'!$A$3:$BE$90,56,FALSE)</f>
        <v>7</v>
      </c>
      <c r="J126" s="111">
        <f t="shared" si="21"/>
        <v>42</v>
      </c>
    </row>
    <row r="127" spans="2:10" ht="15" customHeight="1">
      <c r="B127" s="114">
        <v>2025</v>
      </c>
      <c r="C127" s="240" t="s">
        <v>97</v>
      </c>
      <c r="D127" s="112">
        <f>VLOOKUP($E$3,'Housing Generation'!$A$3:$CK$90,59,FALSE)</f>
        <v>10</v>
      </c>
      <c r="E127" s="112">
        <f>VLOOKUP($E$3,'Housing Generation'!$A$3:$CK$90,60,FALSE)</f>
        <v>10</v>
      </c>
      <c r="F127" s="112">
        <f>VLOOKUP($E$3,'Housing Generation'!$A$3:$CK$90,61,FALSE)</f>
        <v>9</v>
      </c>
      <c r="G127" s="112">
        <f>VLOOKUP($E$3,'Housing Generation'!$A$3:$CK$90,62,FALSE)</f>
        <v>9</v>
      </c>
      <c r="H127" s="112">
        <f>VLOOKUP($E$3,'Housing Generation'!$A$3:$CK$90,63,FALSE)</f>
        <v>9</v>
      </c>
      <c r="I127" s="112">
        <f>VLOOKUP($E$3,'Housing Generation'!$A$3:$CK$90,64,FALSE)</f>
        <v>9</v>
      </c>
      <c r="J127" s="111">
        <f t="shared" si="21"/>
        <v>56</v>
      </c>
    </row>
    <row r="128" spans="2:10" ht="15" customHeight="1">
      <c r="B128" s="114">
        <v>2026</v>
      </c>
      <c r="C128" s="240" t="s">
        <v>97</v>
      </c>
      <c r="D128" s="112">
        <f>VLOOKUP($E$3,'Housing Generation'!$A$3:$CK$90,67,FALSE)</f>
        <v>12</v>
      </c>
      <c r="E128" s="112">
        <f>VLOOKUP($E$3,'Housing Generation'!$A$3:$CK$90,68,FALSE)</f>
        <v>12</v>
      </c>
      <c r="F128" s="112">
        <f>VLOOKUP($E$3,'Housing Generation'!$A$3:$CK$90,69,FALSE)</f>
        <v>12</v>
      </c>
      <c r="G128" s="112">
        <f>VLOOKUP($E$3,'Housing Generation'!$A$3:$CK$90,70,FALSE)</f>
        <v>12</v>
      </c>
      <c r="H128" s="112">
        <f>VLOOKUP($E$3,'Housing Generation'!$A$3:$CK$90,71,FALSE)</f>
        <v>11</v>
      </c>
      <c r="I128" s="112">
        <f>VLOOKUP($E$3,'Housing Generation'!$A$3:$CK$90,72,FALSE)</f>
        <v>11</v>
      </c>
      <c r="J128" s="111">
        <f t="shared" si="21"/>
        <v>70</v>
      </c>
    </row>
    <row r="129" spans="2:10" ht="15" customHeight="1">
      <c r="B129" s="114">
        <v>2027</v>
      </c>
      <c r="C129" s="240" t="s">
        <v>97</v>
      </c>
      <c r="D129" s="112">
        <f>VLOOKUP($E$3,'Housing Generation'!$A$3:$CK$90,75,FALSE)</f>
        <v>14</v>
      </c>
      <c r="E129" s="112">
        <f>VLOOKUP($E$3,'Housing Generation'!$A$3:$CK$90,76,FALSE)</f>
        <v>14</v>
      </c>
      <c r="F129" s="112">
        <f>VLOOKUP($E$3,'Housing Generation'!$A$3:$CK$90,77,FALSE)</f>
        <v>14</v>
      </c>
      <c r="G129" s="112">
        <f>VLOOKUP($E$3,'Housing Generation'!$A$3:$CK$90,78,FALSE)</f>
        <v>14</v>
      </c>
      <c r="H129" s="112">
        <f>VLOOKUP($E$3,'Housing Generation'!$A$3:$CK$90,79,FALSE)</f>
        <v>14</v>
      </c>
      <c r="I129" s="112">
        <f>VLOOKUP($E$3,'Housing Generation'!$A$3:$CK$90,80,FALSE)</f>
        <v>13</v>
      </c>
      <c r="J129" s="111">
        <f t="shared" si="21"/>
        <v>83</v>
      </c>
    </row>
    <row r="130" spans="2:10" ht="15" customHeight="1">
      <c r="B130" s="114">
        <v>2028</v>
      </c>
      <c r="C130" s="289" t="s">
        <v>97</v>
      </c>
      <c r="D130" s="112">
        <f>VLOOKUP($E$3,'Housing Generation'!$A$3:$CK$90,83,FALSE)</f>
        <v>16</v>
      </c>
      <c r="E130" s="112">
        <f>VLOOKUP($E$3,'Housing Generation'!$A$3:$CK$90,84,FALSE)</f>
        <v>16</v>
      </c>
      <c r="F130" s="112">
        <f>VLOOKUP($E$3,'Housing Generation'!$A$3:$CK$90,85,FALSE)</f>
        <v>16</v>
      </c>
      <c r="G130" s="112">
        <f>VLOOKUP($E$3,'Housing Generation'!$A$3:$CK$90,86,FALSE)</f>
        <v>16</v>
      </c>
      <c r="H130" s="112">
        <f>VLOOKUP($E$3,'Housing Generation'!$A$3:$CK$90,87,FALSE)</f>
        <v>16</v>
      </c>
      <c r="I130" s="112">
        <f>VLOOKUP($E$3,'Housing Generation'!$A$3:$CK$90,88,FALSE)</f>
        <v>16</v>
      </c>
      <c r="J130" s="111">
        <f t="shared" si="21"/>
        <v>96</v>
      </c>
    </row>
    <row r="131" spans="2:10" ht="15" customHeight="1">
      <c r="B131" s="114">
        <v>2029</v>
      </c>
      <c r="C131" s="289" t="s">
        <v>97</v>
      </c>
      <c r="D131" s="112">
        <f>VLOOKUP($E$3,'Housing Generation'!$A$3:$DQ$90,91,FALSE)</f>
        <v>18</v>
      </c>
      <c r="E131" s="112">
        <f>VLOOKUP($E$3,'Housing Generation'!$A$3:$DQ$90,92,FALSE)</f>
        <v>18</v>
      </c>
      <c r="F131" s="112">
        <f>VLOOKUP($E$3,'Housing Generation'!$A$3:$DQ$90,93,FALSE)</f>
        <v>18</v>
      </c>
      <c r="G131" s="112">
        <f>VLOOKUP($E$3,'Housing Generation'!$A$3:$DQ$90,94,FALSE)</f>
        <v>18</v>
      </c>
      <c r="H131" s="112">
        <f>VLOOKUP($E$3,'Housing Generation'!$A$3:$DQ$90,95,FALSE)</f>
        <v>18</v>
      </c>
      <c r="I131" s="112">
        <f>VLOOKUP($E$3,'Housing Generation'!$A$3:$DQ$90,96,FALSE)</f>
        <v>17</v>
      </c>
      <c r="J131" s="111">
        <f t="shared" si="21"/>
        <v>107</v>
      </c>
    </row>
    <row r="132" spans="2:10" ht="15" customHeight="1">
      <c r="B132" s="114">
        <v>2030</v>
      </c>
      <c r="C132" s="289" t="s">
        <v>97</v>
      </c>
      <c r="D132" s="112">
        <f>VLOOKUP($E$3,'Housing Generation'!$A$3:$DQ$90,99,FALSE)</f>
        <v>20</v>
      </c>
      <c r="E132" s="112">
        <f>VLOOKUP($E$3,'Housing Generation'!$A$3:$DQ$90,100,FALSE)</f>
        <v>20</v>
      </c>
      <c r="F132" s="112">
        <f>VLOOKUP($E$3,'Housing Generation'!$A$3:$DQ$90,101,FALSE)</f>
        <v>20</v>
      </c>
      <c r="G132" s="112">
        <f>VLOOKUP($E$3,'Housing Generation'!$A$3:$DQ$90,102,FALSE)</f>
        <v>20</v>
      </c>
      <c r="H132" s="112">
        <f>VLOOKUP($E$3,'Housing Generation'!$A$3:$DQ$90,103,FALSE)</f>
        <v>19</v>
      </c>
      <c r="I132" s="112">
        <f>VLOOKUP($E$3,'Housing Generation'!$A$3:$DQ$90,104,FALSE)</f>
        <v>19</v>
      </c>
      <c r="J132" s="111">
        <f t="shared" si="21"/>
        <v>118</v>
      </c>
    </row>
    <row r="133" spans="2:10" ht="15" customHeight="1">
      <c r="B133" s="114">
        <v>2031</v>
      </c>
      <c r="C133" s="289" t="s">
        <v>97</v>
      </c>
      <c r="D133" s="112">
        <f>VLOOKUP($E$3,'Housing Generation'!$A$3:$DQ$90,107,FALSE)</f>
        <v>22</v>
      </c>
      <c r="E133" s="112">
        <f>VLOOKUP($E$3,'Housing Generation'!$A$3:$DQ$90,108,FALSE)</f>
        <v>22</v>
      </c>
      <c r="F133" s="112">
        <f>VLOOKUP($E$3,'Housing Generation'!$A$3:$DQ$90,109,FALSE)</f>
        <v>22</v>
      </c>
      <c r="G133" s="112">
        <f>VLOOKUP($E$3,'Housing Generation'!$A$3:$DQ$90,110,FALSE)</f>
        <v>21</v>
      </c>
      <c r="H133" s="112">
        <f>VLOOKUP($E$3,'Housing Generation'!$A$3:$DQ$90,111,FALSE)</f>
        <v>21</v>
      </c>
      <c r="I133" s="112">
        <f>VLOOKUP($E$3,'Housing Generation'!$A$3:$DQ$90,112,FALSE)</f>
        <v>21</v>
      </c>
      <c r="J133" s="111">
        <f t="shared" si="21"/>
        <v>129</v>
      </c>
    </row>
    <row r="134" spans="2:10" ht="15" customHeight="1">
      <c r="B134" s="114">
        <v>2032</v>
      </c>
      <c r="C134" s="289" t="s">
        <v>97</v>
      </c>
      <c r="D134" s="112">
        <f>VLOOKUP($E$3,'Housing Generation'!$A$3:$DQ$90,115,FALSE)</f>
        <v>24</v>
      </c>
      <c r="E134" s="112">
        <f>VLOOKUP($E$3,'Housing Generation'!$A$3:$DQ$90,116,FALSE)</f>
        <v>24</v>
      </c>
      <c r="F134" s="112">
        <f>VLOOKUP($E$3,'Housing Generation'!$A$3:$DQ$90,117,FALSE)</f>
        <v>23</v>
      </c>
      <c r="G134" s="112">
        <f>VLOOKUP($E$3,'Housing Generation'!$A$3:$DQ$90,118,FALSE)</f>
        <v>23</v>
      </c>
      <c r="H134" s="112">
        <f>VLOOKUP($E$3,'Housing Generation'!$A$3:$DQ$90,119,FALSE)</f>
        <v>23</v>
      </c>
      <c r="I134" s="112">
        <f>VLOOKUP($E$3,'Housing Generation'!$A$3:$DQ$90,120,FALSE)</f>
        <v>23</v>
      </c>
      <c r="J134" s="111">
        <f t="shared" si="21"/>
        <v>140</v>
      </c>
    </row>
    <row r="135" spans="2:10" ht="15"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Trinity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72</v>
      </c>
      <c r="D139" s="112">
        <f t="shared" ref="D139:I152" si="23">D121+D103</f>
        <v>92</v>
      </c>
      <c r="E139" s="112">
        <f t="shared" si="23"/>
        <v>90</v>
      </c>
      <c r="F139" s="112">
        <f t="shared" si="23"/>
        <v>88</v>
      </c>
      <c r="G139" s="112">
        <f t="shared" si="23"/>
        <v>77</v>
      </c>
      <c r="H139" s="112">
        <f t="shared" si="23"/>
        <v>86</v>
      </c>
      <c r="I139" s="112">
        <f t="shared" si="23"/>
        <v>72</v>
      </c>
      <c r="J139" s="111">
        <f t="shared" ref="J139:J147" si="24">SUM(C139:I139)</f>
        <v>577</v>
      </c>
    </row>
    <row r="140" spans="2:10" ht="15" customHeight="1">
      <c r="B140" s="114">
        <v>2020</v>
      </c>
      <c r="C140" s="113">
        <f t="shared" si="22"/>
        <v>83.100622527492007</v>
      </c>
      <c r="D140" s="112">
        <f t="shared" si="23"/>
        <v>72</v>
      </c>
      <c r="E140" s="112">
        <f t="shared" si="23"/>
        <v>96</v>
      </c>
      <c r="F140" s="112">
        <f t="shared" si="23"/>
        <v>90</v>
      </c>
      <c r="G140" s="112">
        <f t="shared" si="23"/>
        <v>89</v>
      </c>
      <c r="H140" s="112">
        <f t="shared" si="23"/>
        <v>75</v>
      </c>
      <c r="I140" s="112">
        <f t="shared" si="23"/>
        <v>83</v>
      </c>
      <c r="J140" s="111">
        <f t="shared" si="24"/>
        <v>588.10062252749208</v>
      </c>
    </row>
    <row r="141" spans="2:10" ht="15" customHeight="1">
      <c r="B141" s="114">
        <v>2021</v>
      </c>
      <c r="C141" s="113">
        <f t="shared" si="22"/>
        <v>66</v>
      </c>
      <c r="D141" s="112">
        <f t="shared" si="23"/>
        <v>83</v>
      </c>
      <c r="E141" s="112">
        <f t="shared" si="23"/>
        <v>76</v>
      </c>
      <c r="F141" s="112">
        <f t="shared" si="23"/>
        <v>96</v>
      </c>
      <c r="G141" s="112">
        <f t="shared" si="23"/>
        <v>91</v>
      </c>
      <c r="H141" s="112">
        <f t="shared" si="23"/>
        <v>88</v>
      </c>
      <c r="I141" s="112">
        <f t="shared" si="23"/>
        <v>75</v>
      </c>
      <c r="J141" s="111">
        <f t="shared" si="24"/>
        <v>575</v>
      </c>
    </row>
    <row r="142" spans="2:10" ht="15" customHeight="1">
      <c r="B142" s="114">
        <v>2022</v>
      </c>
      <c r="C142" s="113">
        <f t="shared" si="22"/>
        <v>72</v>
      </c>
      <c r="D142" s="112">
        <f t="shared" si="23"/>
        <v>66</v>
      </c>
      <c r="E142" s="112">
        <f t="shared" si="23"/>
        <v>87</v>
      </c>
      <c r="F142" s="112">
        <f t="shared" si="23"/>
        <v>77</v>
      </c>
      <c r="G142" s="112">
        <f t="shared" si="23"/>
        <v>98</v>
      </c>
      <c r="H142" s="112">
        <f t="shared" si="23"/>
        <v>91</v>
      </c>
      <c r="I142" s="112">
        <f t="shared" si="23"/>
        <v>87</v>
      </c>
      <c r="J142" s="111">
        <f t="shared" si="24"/>
        <v>578</v>
      </c>
    </row>
    <row r="143" spans="2:10" ht="15" customHeight="1">
      <c r="B143" s="114">
        <v>2023</v>
      </c>
      <c r="C143" s="113">
        <f t="shared" si="22"/>
        <v>75</v>
      </c>
      <c r="D143" s="112">
        <f t="shared" si="23"/>
        <v>72</v>
      </c>
      <c r="E143" s="112">
        <f t="shared" si="23"/>
        <v>71</v>
      </c>
      <c r="F143" s="112">
        <f t="shared" si="23"/>
        <v>87</v>
      </c>
      <c r="G143" s="112">
        <f t="shared" si="23"/>
        <v>78</v>
      </c>
      <c r="H143" s="112">
        <f t="shared" si="23"/>
        <v>97</v>
      </c>
      <c r="I143" s="112">
        <f t="shared" si="23"/>
        <v>89</v>
      </c>
      <c r="J143" s="111">
        <f t="shared" si="24"/>
        <v>569</v>
      </c>
    </row>
    <row r="144" spans="2:10" ht="15" customHeight="1">
      <c r="B144" s="114">
        <v>2024</v>
      </c>
      <c r="C144" s="113">
        <f t="shared" si="22"/>
        <v>84.039380309085658</v>
      </c>
      <c r="D144" s="112">
        <f t="shared" si="23"/>
        <v>74</v>
      </c>
      <c r="E144" s="112">
        <f t="shared" si="23"/>
        <v>76</v>
      </c>
      <c r="F144" s="112">
        <f t="shared" si="23"/>
        <v>71</v>
      </c>
      <c r="G144" s="112">
        <f t="shared" si="23"/>
        <v>89</v>
      </c>
      <c r="H144" s="112">
        <f t="shared" si="23"/>
        <v>78</v>
      </c>
      <c r="I144" s="112">
        <f t="shared" si="23"/>
        <v>96</v>
      </c>
      <c r="J144" s="111">
        <f t="shared" si="24"/>
        <v>568.03938030908569</v>
      </c>
    </row>
    <row r="145" spans="2:16" ht="15" customHeight="1">
      <c r="B145" s="114">
        <v>2025</v>
      </c>
      <c r="C145" s="113">
        <f t="shared" si="22"/>
        <v>86.855653653866611</v>
      </c>
      <c r="D145" s="112">
        <f t="shared" si="23"/>
        <v>84</v>
      </c>
      <c r="E145" s="112">
        <f t="shared" si="23"/>
        <v>80</v>
      </c>
      <c r="F145" s="112">
        <f t="shared" si="23"/>
        <v>77</v>
      </c>
      <c r="G145" s="112">
        <f t="shared" si="23"/>
        <v>73</v>
      </c>
      <c r="H145" s="112">
        <f t="shared" si="23"/>
        <v>89</v>
      </c>
      <c r="I145" s="112">
        <f t="shared" si="23"/>
        <v>78</v>
      </c>
      <c r="J145" s="111">
        <f t="shared" si="24"/>
        <v>567.85565365386663</v>
      </c>
    </row>
    <row r="146" spans="2:16" ht="15" customHeight="1">
      <c r="B146" s="114">
        <v>2026</v>
      </c>
      <c r="C146" s="113">
        <f t="shared" si="22"/>
        <v>89.671926998647564</v>
      </c>
      <c r="D146" s="112">
        <f t="shared" si="23"/>
        <v>87</v>
      </c>
      <c r="E146" s="112">
        <f t="shared" si="23"/>
        <v>89</v>
      </c>
      <c r="F146" s="112">
        <f t="shared" si="23"/>
        <v>81</v>
      </c>
      <c r="G146" s="112">
        <f t="shared" si="23"/>
        <v>80</v>
      </c>
      <c r="H146" s="112">
        <f t="shared" si="23"/>
        <v>73</v>
      </c>
      <c r="I146" s="112">
        <f t="shared" si="23"/>
        <v>89</v>
      </c>
      <c r="J146" s="111">
        <f t="shared" si="24"/>
        <v>588.67192699864756</v>
      </c>
    </row>
    <row r="147" spans="2:16" ht="15" customHeight="1">
      <c r="B147" s="114">
        <v>2027</v>
      </c>
      <c r="C147" s="113">
        <f t="shared" si="22"/>
        <v>90</v>
      </c>
      <c r="D147" s="112">
        <f t="shared" si="23"/>
        <v>90</v>
      </c>
      <c r="E147" s="112">
        <f t="shared" si="23"/>
        <v>92</v>
      </c>
      <c r="F147" s="112">
        <f t="shared" si="23"/>
        <v>90</v>
      </c>
      <c r="G147" s="112">
        <f t="shared" si="23"/>
        <v>83</v>
      </c>
      <c r="H147" s="112">
        <f t="shared" si="23"/>
        <v>80</v>
      </c>
      <c r="I147" s="112">
        <f t="shared" si="23"/>
        <v>73</v>
      </c>
      <c r="J147" s="111">
        <f t="shared" si="24"/>
        <v>598</v>
      </c>
    </row>
    <row r="148" spans="2:16" ht="15" customHeight="1">
      <c r="B148" s="114">
        <v>2028</v>
      </c>
      <c r="C148" s="113">
        <f t="shared" si="22"/>
        <v>90</v>
      </c>
      <c r="D148" s="112">
        <f t="shared" si="23"/>
        <v>90</v>
      </c>
      <c r="E148" s="112">
        <f t="shared" si="23"/>
        <v>95</v>
      </c>
      <c r="F148" s="112">
        <f t="shared" si="23"/>
        <v>93</v>
      </c>
      <c r="G148" s="112">
        <f t="shared" si="23"/>
        <v>92</v>
      </c>
      <c r="H148" s="112">
        <f t="shared" si="23"/>
        <v>83</v>
      </c>
      <c r="I148" s="112">
        <f t="shared" si="23"/>
        <v>80</v>
      </c>
      <c r="J148" s="111">
        <f t="shared" ref="J148:J152" si="25">SUM(C148:I148)</f>
        <v>623</v>
      </c>
    </row>
    <row r="149" spans="2:16" ht="15" customHeight="1">
      <c r="B149" s="114">
        <v>2029</v>
      </c>
      <c r="C149" s="113">
        <f t="shared" si="22"/>
        <v>90</v>
      </c>
      <c r="D149" s="112">
        <f t="shared" si="23"/>
        <v>90</v>
      </c>
      <c r="E149" s="112">
        <f t="shared" si="23"/>
        <v>95</v>
      </c>
      <c r="F149" s="112">
        <f t="shared" si="23"/>
        <v>96</v>
      </c>
      <c r="G149" s="112">
        <f t="shared" si="23"/>
        <v>95</v>
      </c>
      <c r="H149" s="112">
        <f t="shared" si="23"/>
        <v>92</v>
      </c>
      <c r="I149" s="112">
        <f t="shared" si="23"/>
        <v>82</v>
      </c>
      <c r="J149" s="111">
        <f t="shared" si="25"/>
        <v>640</v>
      </c>
    </row>
    <row r="150" spans="2:16" ht="15" customHeight="1">
      <c r="B150" s="114">
        <v>2030</v>
      </c>
      <c r="C150" s="113">
        <f t="shared" si="22"/>
        <v>99</v>
      </c>
      <c r="D150" s="112">
        <f t="shared" si="23"/>
        <v>90</v>
      </c>
      <c r="E150" s="112">
        <f t="shared" si="23"/>
        <v>95</v>
      </c>
      <c r="F150" s="112">
        <f t="shared" si="23"/>
        <v>96</v>
      </c>
      <c r="G150" s="112">
        <f t="shared" si="23"/>
        <v>98</v>
      </c>
      <c r="H150" s="112">
        <f t="shared" si="23"/>
        <v>94</v>
      </c>
      <c r="I150" s="112">
        <f t="shared" si="23"/>
        <v>91</v>
      </c>
      <c r="J150" s="111">
        <f t="shared" si="25"/>
        <v>663</v>
      </c>
    </row>
    <row r="151" spans="2:16" ht="15" customHeight="1">
      <c r="B151" s="114">
        <v>2031</v>
      </c>
      <c r="C151" s="113">
        <f t="shared" si="22"/>
        <v>99</v>
      </c>
      <c r="D151" s="112">
        <f t="shared" si="23"/>
        <v>99</v>
      </c>
      <c r="E151" s="112">
        <f t="shared" si="23"/>
        <v>95</v>
      </c>
      <c r="F151" s="112">
        <f t="shared" si="23"/>
        <v>96</v>
      </c>
      <c r="G151" s="112">
        <f t="shared" si="23"/>
        <v>97</v>
      </c>
      <c r="H151" s="112">
        <f t="shared" si="23"/>
        <v>97</v>
      </c>
      <c r="I151" s="112">
        <f t="shared" si="23"/>
        <v>94</v>
      </c>
      <c r="J151" s="111">
        <f t="shared" si="25"/>
        <v>677</v>
      </c>
    </row>
    <row r="152" spans="2:16" ht="15" customHeight="1">
      <c r="B152" s="114">
        <v>2032</v>
      </c>
      <c r="C152" s="113">
        <f t="shared" si="22"/>
        <v>99</v>
      </c>
      <c r="D152" s="112">
        <f t="shared" si="23"/>
        <v>99</v>
      </c>
      <c r="E152" s="112">
        <f t="shared" si="23"/>
        <v>104</v>
      </c>
      <c r="F152" s="112">
        <f t="shared" si="23"/>
        <v>95</v>
      </c>
      <c r="G152" s="112">
        <f t="shared" si="23"/>
        <v>97</v>
      </c>
      <c r="H152" s="112">
        <f t="shared" si="23"/>
        <v>97</v>
      </c>
      <c r="I152" s="112">
        <f t="shared" si="23"/>
        <v>97</v>
      </c>
      <c r="J152" s="111">
        <f t="shared" si="25"/>
        <v>688</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577</v>
      </c>
      <c r="D159" s="108">
        <f>J140</f>
        <v>588.10062252749208</v>
      </c>
      <c r="E159" s="108">
        <f>J141</f>
        <v>575</v>
      </c>
      <c r="F159" s="108">
        <f>J142</f>
        <v>578</v>
      </c>
      <c r="G159" s="108">
        <f>J143</f>
        <v>569</v>
      </c>
      <c r="H159" s="108">
        <f>J144</f>
        <v>568.03938030908569</v>
      </c>
      <c r="I159" s="108">
        <f>J145</f>
        <v>567.85565365386663</v>
      </c>
      <c r="J159" s="108">
        <f>J146</f>
        <v>588.67192699864756</v>
      </c>
      <c r="K159" s="108">
        <f>J147</f>
        <v>598</v>
      </c>
      <c r="L159" s="108">
        <f>J148</f>
        <v>623</v>
      </c>
      <c r="M159" s="108">
        <f>J149</f>
        <v>640</v>
      </c>
      <c r="N159" s="108">
        <f>J150</f>
        <v>663</v>
      </c>
      <c r="O159" s="108">
        <f>J151</f>
        <v>677</v>
      </c>
      <c r="P159" s="108">
        <f>J152</f>
        <v>688</v>
      </c>
    </row>
    <row r="160" spans="2:16" ht="15" customHeight="1">
      <c r="B160" s="107" t="s">
        <v>152</v>
      </c>
      <c r="C160" s="106">
        <f>VLOOKUP(C159,Capacity!$A$1:$C$645,2,TRUE)</f>
        <v>21</v>
      </c>
      <c r="D160" s="106">
        <f>VLOOKUP(D159,Capacity!$A$1:$C$645,2,TRUE)</f>
        <v>21</v>
      </c>
      <c r="E160" s="106">
        <f>VLOOKUP(E159,Capacity!$A$1:$C$645,2,TRUE)</f>
        <v>21</v>
      </c>
      <c r="F160" s="106">
        <f>VLOOKUP(F159,Capacity!$A$1:$C$645,2,TRUE)</f>
        <v>21</v>
      </c>
      <c r="G160" s="106">
        <f>VLOOKUP(G159,Capacity!$A$1:$C$645,2,TRUE)</f>
        <v>21</v>
      </c>
      <c r="H160" s="106">
        <f>VLOOKUP(H159,Capacity!$A$1:$C$645,2,TRUE)</f>
        <v>21</v>
      </c>
      <c r="I160" s="106">
        <f>VLOOKUP(I159,Capacity!$A$1:$C$645,2,TRUE)</f>
        <v>21</v>
      </c>
      <c r="J160" s="106">
        <f>VLOOKUP(J159,Capacity!$A$1:$C$645,2,TRUE)</f>
        <v>21</v>
      </c>
      <c r="K160" s="106">
        <f>VLOOKUP(K159,Capacity!$A$1:$C$645,2,TRUE)</f>
        <v>21</v>
      </c>
      <c r="L160" s="106">
        <f>VLOOKUP(L159,Capacity!$A$1:$C$645,2,TRUE)</f>
        <v>21</v>
      </c>
      <c r="M160" s="106">
        <f>VLOOKUP(M159,Capacity!$A$1:$C$645,2,TRUE)</f>
        <v>22</v>
      </c>
      <c r="N160" s="106">
        <f>VLOOKUP(N159,Capacity!$A$1:$C$645,2,TRUE)</f>
        <v>23</v>
      </c>
      <c r="O160" s="106">
        <f>VLOOKUP(O159,Capacity!$A$1:$C$645,2,TRUE)</f>
        <v>23</v>
      </c>
      <c r="P160" s="106">
        <f>VLOOKUP(P159,Capacity!$A$1:$C$645,2,TRUE)</f>
        <v>23</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 customHeight="1">
      <c r="B164" s="63" t="s">
        <v>145</v>
      </c>
      <c r="C164" s="62"/>
      <c r="D164" s="62"/>
      <c r="E164" s="62"/>
      <c r="F164" s="62"/>
      <c r="G164" s="62"/>
      <c r="H164" s="62"/>
      <c r="I164" s="62"/>
      <c r="J164" s="62"/>
      <c r="K164" s="62"/>
      <c r="L164" s="62"/>
      <c r="M164" s="62"/>
    </row>
    <row r="165" spans="2:14" ht="15" customHeight="1">
      <c r="B165" s="62"/>
      <c r="C165" s="62"/>
      <c r="D165" s="62"/>
      <c r="E165" s="62"/>
      <c r="F165" s="62"/>
      <c r="G165" s="62"/>
      <c r="H165" s="62"/>
      <c r="I165" s="62"/>
      <c r="J165" s="62"/>
      <c r="K165" s="62"/>
      <c r="L165" s="62"/>
      <c r="M165" s="62"/>
    </row>
    <row r="166" spans="2:14" ht="15" customHeight="1">
      <c r="B166" s="64" t="s">
        <v>146</v>
      </c>
      <c r="C166" s="65"/>
      <c r="D166" s="65"/>
      <c r="E166" s="65"/>
      <c r="F166" s="65"/>
      <c r="G166" s="65"/>
      <c r="H166" s="65"/>
      <c r="I166" s="65"/>
      <c r="J166" s="65"/>
      <c r="K166" s="62"/>
      <c r="L166" s="62"/>
      <c r="M166" s="62"/>
    </row>
    <row r="167" spans="2:14" ht="15" customHeight="1">
      <c r="B167" s="64"/>
      <c r="C167" s="65"/>
      <c r="D167" s="65"/>
      <c r="E167" s="65"/>
      <c r="F167" s="65"/>
      <c r="G167" s="65"/>
      <c r="H167" s="65"/>
      <c r="I167" s="65"/>
      <c r="J167" s="65"/>
      <c r="K167" s="62"/>
      <c r="L167" s="62"/>
      <c r="M167" s="62"/>
    </row>
    <row r="168" spans="2:14" ht="15" customHeight="1">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15" customHeight="1">
      <c r="B169" s="103" t="s">
        <v>129</v>
      </c>
      <c r="C169" s="97">
        <f>VLOOKUP($E$3,'Catchment Births'!$A$1:$U$90,10,FALSE)</f>
        <v>110</v>
      </c>
      <c r="D169" s="97">
        <f>VLOOKUP($E$3,'Catchment Births'!$A$1:$U$90,11,FALSE)</f>
        <v>129</v>
      </c>
      <c r="E169" s="97">
        <f>VLOOKUP($E$3,'Catchment Births'!$A$1:$U$90,12,FALSE)</f>
        <v>142</v>
      </c>
      <c r="F169" s="97">
        <f>VLOOKUP($E$3,'Catchment Births'!$A$1:$U$90,13,FALSE)</f>
        <v>166</v>
      </c>
      <c r="G169" s="97">
        <f>VLOOKUP($E$3,'Catchment Births'!$A$1:$U$90,14,FALSE)</f>
        <v>162</v>
      </c>
      <c r="H169" s="97">
        <f>VLOOKUP($E$3,'Catchment Births'!$A$1:$U$90,15,FALSE)</f>
        <v>155</v>
      </c>
      <c r="I169" s="97">
        <f>VLOOKUP($E$3,'Catchment Births'!$A$1:$U$90,16,FALSE)</f>
        <v>158</v>
      </c>
      <c r="J169" s="97">
        <f>VLOOKUP($E$3,'Catchment Births'!$A$1:$U$90,17,FALSE)</f>
        <v>146</v>
      </c>
      <c r="K169" s="97">
        <f>VLOOKUP($E$3,'Catchment Births'!$A$1:$U$90,18,FALSE)</f>
        <v>143</v>
      </c>
      <c r="L169" s="97">
        <f>VLOOKUP($E$3,'Catchment Births'!$A$1:$U$90,19,FALSE)</f>
        <v>156</v>
      </c>
      <c r="M169" s="97">
        <f>VLOOKUP($E$3,'Catchment Births'!$A$1:$U$90,20,FALSE)</f>
        <v>136</v>
      </c>
      <c r="N169" s="97">
        <f>VLOOKUP($E$3,'Catchment Births'!$A$1:$U$90,21,FALSE)</f>
        <v>147</v>
      </c>
    </row>
    <row r="170" spans="2:14" ht="15" customHeight="1">
      <c r="B170" s="103" t="str">
        <f>"P1 "&amp;A35&amp;" Catchment Population (Actual)"</f>
        <v>P1 ND Catchment Population (Actual)</v>
      </c>
      <c r="C170" s="102" t="e">
        <v>#REF!</v>
      </c>
      <c r="D170" s="102">
        <v>66</v>
      </c>
      <c r="E170" s="102">
        <v>74</v>
      </c>
      <c r="F170" s="102">
        <v>79</v>
      </c>
      <c r="G170" s="102">
        <v>82</v>
      </c>
      <c r="H170" s="102">
        <v>75</v>
      </c>
      <c r="I170" s="102">
        <v>77</v>
      </c>
      <c r="J170" s="308">
        <f>VLOOKUP(E3,'Catchment Projections'!A1:BU92,42,FALSE)</f>
        <v>85</v>
      </c>
      <c r="K170" s="62"/>
      <c r="L170" s="62"/>
      <c r="M170" s="62"/>
    </row>
    <row r="171" spans="2:14" ht="15" customHeight="1">
      <c r="B171" s="88" t="s">
        <v>160</v>
      </c>
      <c r="C171" s="100"/>
      <c r="D171" s="100"/>
      <c r="E171" s="100"/>
      <c r="F171" s="100"/>
      <c r="G171" s="100"/>
      <c r="H171" s="100"/>
      <c r="I171" s="101"/>
      <c r="J171" s="89">
        <f>D53</f>
        <v>0</v>
      </c>
      <c r="K171" s="62"/>
      <c r="L171" s="62"/>
      <c r="M171" s="62"/>
    </row>
    <row r="172" spans="2:14" ht="15" customHeight="1">
      <c r="B172" s="99" t="s">
        <v>140</v>
      </c>
      <c r="C172" s="99"/>
      <c r="D172" s="98"/>
      <c r="E172" s="98"/>
      <c r="F172" s="98"/>
      <c r="G172" s="97"/>
      <c r="H172" s="96"/>
      <c r="I172" s="96">
        <f>I170</f>
        <v>77</v>
      </c>
      <c r="J172" s="96" t="e">
        <f>#REF!</f>
        <v>#REF!</v>
      </c>
      <c r="K172" s="96">
        <f>D51</f>
        <v>74</v>
      </c>
      <c r="L172" s="96">
        <f>E51</f>
        <v>80</v>
      </c>
      <c r="M172" s="96">
        <f>F51</f>
        <v>67</v>
      </c>
      <c r="N172" s="96">
        <f>G51</f>
        <v>75</v>
      </c>
    </row>
    <row r="173" spans="2:14" ht="15" customHeight="1">
      <c r="B173" s="62"/>
      <c r="C173" s="62"/>
      <c r="D173" s="62"/>
      <c r="E173" s="62"/>
      <c r="F173" s="62"/>
      <c r="G173" s="62"/>
      <c r="H173" s="62"/>
      <c r="I173" s="62"/>
      <c r="J173" s="62"/>
      <c r="K173" s="62"/>
    </row>
    <row r="174" spans="2:14" ht="15" customHeight="1">
      <c r="B174" s="64" t="str">
        <f>"Table 5: "&amp;E3&amp;" Roll by Stage, 2002-2018"</f>
        <v>Table 5: Trinity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54</v>
      </c>
      <c r="D177" s="93">
        <v>52</v>
      </c>
      <c r="E177" s="93">
        <v>60</v>
      </c>
      <c r="F177" s="93">
        <v>63</v>
      </c>
      <c r="G177" s="93">
        <v>61</v>
      </c>
      <c r="H177" s="93">
        <v>60</v>
      </c>
      <c r="I177" s="93">
        <v>62</v>
      </c>
      <c r="J177" s="92">
        <v>412</v>
      </c>
      <c r="K177" s="62"/>
    </row>
    <row r="178" spans="2:11" ht="15" customHeight="1">
      <c r="B178" s="94">
        <v>2003</v>
      </c>
      <c r="C178" s="93">
        <v>40</v>
      </c>
      <c r="D178" s="93">
        <v>54</v>
      </c>
      <c r="E178" s="93">
        <v>48</v>
      </c>
      <c r="F178" s="93">
        <v>60</v>
      </c>
      <c r="G178" s="93">
        <v>59</v>
      </c>
      <c r="H178" s="93">
        <v>59</v>
      </c>
      <c r="I178" s="93">
        <v>61</v>
      </c>
      <c r="J178" s="92">
        <v>381</v>
      </c>
      <c r="K178" s="62"/>
    </row>
    <row r="179" spans="2:11" customFormat="1" ht="15" customHeight="1">
      <c r="B179" s="94">
        <v>2004</v>
      </c>
      <c r="C179" s="95">
        <v>42</v>
      </c>
      <c r="D179" s="95">
        <v>38</v>
      </c>
      <c r="E179" s="95">
        <v>54</v>
      </c>
      <c r="F179" s="95">
        <v>46</v>
      </c>
      <c r="G179" s="95">
        <v>58</v>
      </c>
      <c r="H179" s="95">
        <v>57</v>
      </c>
      <c r="I179" s="95">
        <v>62</v>
      </c>
      <c r="J179" s="92">
        <v>357</v>
      </c>
      <c r="K179" s="62"/>
    </row>
    <row r="180" spans="2:11" customFormat="1" ht="15" customHeight="1">
      <c r="B180" s="94">
        <v>2005</v>
      </c>
      <c r="C180" s="93">
        <v>44</v>
      </c>
      <c r="D180" s="93">
        <v>42</v>
      </c>
      <c r="E180" s="93">
        <v>37</v>
      </c>
      <c r="F180" s="93">
        <v>54</v>
      </c>
      <c r="G180" s="93">
        <v>47</v>
      </c>
      <c r="H180" s="93">
        <v>60</v>
      </c>
      <c r="I180" s="93">
        <v>48</v>
      </c>
      <c r="J180" s="92">
        <v>332</v>
      </c>
      <c r="K180" s="62"/>
    </row>
    <row r="181" spans="2:11" customFormat="1" ht="15" customHeight="1">
      <c r="B181" s="94">
        <v>2006</v>
      </c>
      <c r="C181" s="93">
        <v>40</v>
      </c>
      <c r="D181" s="93">
        <v>44</v>
      </c>
      <c r="E181" s="93">
        <v>41</v>
      </c>
      <c r="F181" s="93">
        <v>41</v>
      </c>
      <c r="G181" s="93">
        <v>55</v>
      </c>
      <c r="H181" s="93">
        <v>48</v>
      </c>
      <c r="I181" s="93">
        <v>58</v>
      </c>
      <c r="J181" s="92">
        <v>327</v>
      </c>
      <c r="K181" s="62"/>
    </row>
    <row r="182" spans="2:11" customFormat="1" ht="15" customHeight="1">
      <c r="B182" s="94">
        <v>2007</v>
      </c>
      <c r="C182" s="93">
        <v>50</v>
      </c>
      <c r="D182" s="93">
        <v>40</v>
      </c>
      <c r="E182" s="93">
        <v>45</v>
      </c>
      <c r="F182" s="93">
        <v>47</v>
      </c>
      <c r="G182" s="93">
        <v>43</v>
      </c>
      <c r="H182" s="93">
        <v>51</v>
      </c>
      <c r="I182" s="93">
        <v>51</v>
      </c>
      <c r="J182" s="92">
        <v>327</v>
      </c>
      <c r="K182" s="62"/>
    </row>
    <row r="183" spans="2:11" customFormat="1" ht="15" customHeight="1">
      <c r="B183" s="94">
        <v>2008</v>
      </c>
      <c r="C183" s="93">
        <v>48</v>
      </c>
      <c r="D183" s="93">
        <v>53</v>
      </c>
      <c r="E183" s="93">
        <v>41</v>
      </c>
      <c r="F183" s="93">
        <v>47</v>
      </c>
      <c r="G183" s="93">
        <v>46</v>
      </c>
      <c r="H183" s="93">
        <v>41</v>
      </c>
      <c r="I183" s="93">
        <v>50</v>
      </c>
      <c r="J183" s="92">
        <v>326</v>
      </c>
      <c r="K183" s="62"/>
    </row>
    <row r="184" spans="2:11" customFormat="1" ht="15" customHeight="1">
      <c r="B184" s="94">
        <v>2009</v>
      </c>
      <c r="C184" s="93">
        <v>53</v>
      </c>
      <c r="D184" s="93">
        <v>51</v>
      </c>
      <c r="E184" s="93">
        <v>54</v>
      </c>
      <c r="F184" s="93">
        <v>43</v>
      </c>
      <c r="G184" s="93">
        <v>42</v>
      </c>
      <c r="H184" s="93">
        <v>43</v>
      </c>
      <c r="I184" s="93">
        <v>43</v>
      </c>
      <c r="J184" s="94">
        <v>329</v>
      </c>
      <c r="K184" s="62"/>
    </row>
    <row r="185" spans="2:11" customFormat="1" ht="15" customHeight="1">
      <c r="B185" s="94">
        <v>2010</v>
      </c>
      <c r="C185" s="93">
        <v>70</v>
      </c>
      <c r="D185" s="93">
        <v>67</v>
      </c>
      <c r="E185" s="93">
        <v>60</v>
      </c>
      <c r="F185" s="93">
        <v>63</v>
      </c>
      <c r="G185" s="93">
        <v>55</v>
      </c>
      <c r="H185" s="93">
        <v>47</v>
      </c>
      <c r="I185" s="93">
        <v>51</v>
      </c>
      <c r="J185" s="92">
        <v>413</v>
      </c>
      <c r="K185" s="62"/>
    </row>
    <row r="186" spans="2:11" customFormat="1" ht="15" customHeight="1">
      <c r="B186" s="94">
        <v>2011</v>
      </c>
      <c r="C186" s="93">
        <v>66</v>
      </c>
      <c r="D186" s="93">
        <v>72</v>
      </c>
      <c r="E186" s="93">
        <v>67</v>
      </c>
      <c r="F186" s="93">
        <v>58</v>
      </c>
      <c r="G186" s="93">
        <v>63</v>
      </c>
      <c r="H186" s="93">
        <v>59</v>
      </c>
      <c r="I186" s="93">
        <v>47</v>
      </c>
      <c r="J186" s="92">
        <v>432</v>
      </c>
      <c r="K186" s="62"/>
    </row>
    <row r="187" spans="2:11" customFormat="1" ht="15" customHeight="1">
      <c r="B187" s="94">
        <v>2012</v>
      </c>
      <c r="C187" s="93">
        <v>80</v>
      </c>
      <c r="D187" s="93">
        <v>67</v>
      </c>
      <c r="E187" s="93">
        <v>73</v>
      </c>
      <c r="F187" s="93">
        <v>65</v>
      </c>
      <c r="G187" s="93">
        <v>60</v>
      </c>
      <c r="H187" s="93">
        <v>64</v>
      </c>
      <c r="I187" s="93">
        <v>56</v>
      </c>
      <c r="J187" s="92">
        <v>465</v>
      </c>
      <c r="K187" s="62"/>
    </row>
    <row r="188" spans="2:11" customFormat="1" ht="15" customHeight="1">
      <c r="B188" s="94">
        <v>2013</v>
      </c>
      <c r="C188" s="93">
        <v>80</v>
      </c>
      <c r="D188" s="93">
        <v>79</v>
      </c>
      <c r="E188" s="93">
        <v>69</v>
      </c>
      <c r="F188" s="93">
        <v>69</v>
      </c>
      <c r="G188" s="93">
        <v>65</v>
      </c>
      <c r="H188" s="93">
        <v>59</v>
      </c>
      <c r="I188" s="93">
        <v>63</v>
      </c>
      <c r="J188" s="94">
        <v>484</v>
      </c>
      <c r="K188" s="62"/>
    </row>
    <row r="189" spans="2:11" customFormat="1" ht="15" customHeight="1">
      <c r="B189" s="94">
        <v>2014</v>
      </c>
      <c r="C189" s="93">
        <v>82</v>
      </c>
      <c r="D189" s="93">
        <v>78</v>
      </c>
      <c r="E189" s="93">
        <v>78</v>
      </c>
      <c r="F189" s="93">
        <v>71</v>
      </c>
      <c r="G189" s="93">
        <v>67</v>
      </c>
      <c r="H189" s="93">
        <v>63</v>
      </c>
      <c r="I189" s="93">
        <v>56</v>
      </c>
      <c r="J189" s="92">
        <v>495</v>
      </c>
      <c r="K189" s="65"/>
    </row>
    <row r="190" spans="2:11" customFormat="1" ht="15" customHeight="1">
      <c r="B190" s="94">
        <v>2015</v>
      </c>
      <c r="C190" s="93">
        <v>72</v>
      </c>
      <c r="D190" s="93">
        <v>85</v>
      </c>
      <c r="E190" s="93">
        <v>77</v>
      </c>
      <c r="F190" s="93">
        <v>77</v>
      </c>
      <c r="G190" s="93">
        <v>68</v>
      </c>
      <c r="H190" s="93">
        <v>66</v>
      </c>
      <c r="I190" s="93">
        <v>62</v>
      </c>
      <c r="J190" s="92">
        <v>507</v>
      </c>
      <c r="K190" s="65"/>
    </row>
    <row r="191" spans="2:11" customFormat="1" ht="15" customHeight="1">
      <c r="B191" s="94">
        <v>2016</v>
      </c>
      <c r="C191" s="93">
        <v>84</v>
      </c>
      <c r="D191" s="93">
        <v>72</v>
      </c>
      <c r="E191" s="93">
        <v>89</v>
      </c>
      <c r="F191" s="93">
        <v>76</v>
      </c>
      <c r="G191" s="93">
        <v>78</v>
      </c>
      <c r="H191" s="93">
        <v>64</v>
      </c>
      <c r="I191" s="93">
        <v>64</v>
      </c>
      <c r="J191" s="92">
        <v>527</v>
      </c>
      <c r="K191" s="65"/>
    </row>
    <row r="192" spans="2:11" ht="15" customHeight="1">
      <c r="B192" s="94">
        <v>2017</v>
      </c>
      <c r="C192" s="93">
        <f>VLOOKUP($E$3,Rolls!A1:FA90,42,FALSE)</f>
        <v>90</v>
      </c>
      <c r="D192" s="93">
        <f>VLOOKUP($E$3,Rolls!A1:FA90,43,FALSE)</f>
        <v>85</v>
      </c>
      <c r="E192" s="93">
        <f>VLOOKUP($E$3,Rolls!A1:FA90,44,FALSE)</f>
        <v>75</v>
      </c>
      <c r="F192" s="93">
        <f>VLOOKUP($E$3,Rolls!A1:FA90,45,FALSE)</f>
        <v>88</v>
      </c>
      <c r="G192" s="93">
        <f>VLOOKUP($E$3,Rolls!A1:FA90,46,FALSE)</f>
        <v>76</v>
      </c>
      <c r="H192" s="93">
        <f>VLOOKUP($E$3,Rolls!A1:FA90,47,FALSE)</f>
        <v>79</v>
      </c>
      <c r="I192" s="93">
        <f>VLOOKUP($E$3,Rolls!A1:FA90,48,FALSE)</f>
        <v>64</v>
      </c>
      <c r="J192" s="92">
        <f>VLOOKUP($E$3,Rolls!A1:FA90,49,FALSE)</f>
        <v>557</v>
      </c>
      <c r="K192" s="65"/>
    </row>
    <row r="193" spans="2:11" ht="15" customHeight="1">
      <c r="B193" s="94">
        <v>2018</v>
      </c>
      <c r="C193" s="93">
        <f>VLOOKUP($E$3,Rolls!A1:FA90,50,FALSE)</f>
        <v>91</v>
      </c>
      <c r="D193" s="93">
        <f>VLOOKUP($E$3,Rolls!A1:FA90,51,FALSE)</f>
        <v>86</v>
      </c>
      <c r="E193" s="93">
        <f>VLOOKUP($E$3,Rolls!A1:FA90,52,FALSE)</f>
        <v>89</v>
      </c>
      <c r="F193" s="93">
        <f>VLOOKUP($E$3,Rolls!A1:FA90,53,FALSE)</f>
        <v>77</v>
      </c>
      <c r="G193" s="93">
        <f>VLOOKUP($E$3,Rolls!A1:FA90,54,FALSE)</f>
        <v>88</v>
      </c>
      <c r="H193" s="93">
        <f>VLOOKUP($E$3,Rolls!A1:FA90,55,FALSE)</f>
        <v>74</v>
      </c>
      <c r="I193" s="93">
        <f>VLOOKUP($E$3,Rolls!A1:FA90,56,FALSE)</f>
        <v>73</v>
      </c>
      <c r="J193" s="92">
        <f>VLOOKUP($E$3,Rolls!A1:FA90,57,FALSE)</f>
        <v>578</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0"/>
  <dimension ref="A1:Q193"/>
  <sheetViews>
    <sheetView topLeftCell="B39" zoomScaleNormal="100" workbookViewId="0">
      <selection activeCell="H60" sqref="H60"/>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72</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Victoria Primary School</v>
      </c>
      <c r="C6" s="16"/>
      <c r="D6" s="16"/>
      <c r="E6" s="15" t="s">
        <v>263</v>
      </c>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315 Pupils (12 classes)</v>
      </c>
      <c r="G12" s="16"/>
      <c r="H12" s="16"/>
    </row>
    <row r="13" spans="2:10" ht="15" customHeight="1">
      <c r="C13" s="16"/>
      <c r="D13" s="16"/>
      <c r="E13" s="16"/>
      <c r="F13" s="16"/>
      <c r="G13" s="16"/>
      <c r="H13" s="16"/>
    </row>
    <row r="14" spans="2:10" ht="15" customHeight="1">
      <c r="B14" s="15" t="str">
        <f>"Figure 1: "&amp;E3&amp;" Roll, 2002-2015"</f>
        <v>Figure 1: Victoria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Victoria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37</v>
      </c>
      <c r="E49" s="108">
        <f>VLOOKUP($E$3,'Catchment Projections'!$A$1:$BU$90,46,FALSE)</f>
        <v>32</v>
      </c>
      <c r="F49" s="108">
        <f>VLOOKUP($E$3,'Catchment Projections'!$A$1:$BU$90,47,FALSE)</f>
        <v>30</v>
      </c>
      <c r="G49" s="108">
        <f>VLOOKUP($E$3,'Catchment Projections'!$A$1:$BU$90,48,FALSE)</f>
        <v>35</v>
      </c>
      <c r="H49" s="133">
        <f>VLOOKUP($E$3,'Catchment Projections'!$A$1:$BU$90,49,FALSE)</f>
        <v>32</v>
      </c>
      <c r="I49" s="133">
        <f>VLOOKUP($E$3,'Catchment Projections'!$A$1:$BU$90,50,FALSE)</f>
        <v>33</v>
      </c>
      <c r="J49" s="133">
        <f>VLOOKUP($E$3,'Catchment Projections'!$A$1:$BU$90,51,FALSE)</f>
        <v>33</v>
      </c>
      <c r="K49" s="133">
        <f>VLOOKUP($E$3,'Catchment Projections'!$A$1:$BU$90,52,FALSE)</f>
        <v>34</v>
      </c>
      <c r="L49" s="133">
        <f>VLOOKUP($E$3,'Catchment Projections'!$A$1:$BU$90,53,FALSE)</f>
        <v>34</v>
      </c>
      <c r="M49" s="133">
        <f>VLOOKUP($E$3,'Catchment Projections'!$A$1:$BU$90,54,FALSE)</f>
        <v>34</v>
      </c>
      <c r="N49" s="133">
        <f>VLOOKUP($E$3,'Catchment Projections'!$A$1:$BU$90,55,FALSE)</f>
        <v>34</v>
      </c>
      <c r="O49" s="133">
        <f>VLOOKUP($E$3,'Catchment Projections'!$A$1:$BU$90,56,FALSE)</f>
        <v>34</v>
      </c>
      <c r="P49" s="133">
        <f>VLOOKUP($E$3,'Catchment Projections'!$A$1:$BU$90,57,FALSE)</f>
        <v>34</v>
      </c>
      <c r="Q49" s="133">
        <f>VLOOKUP($E$3,'Catchment Projections'!$A$1:$BU$90,58,FALSE)</f>
        <v>34</v>
      </c>
    </row>
    <row r="50" spans="2:17" ht="15" customHeight="1" thickBot="1">
      <c r="B50" s="410" t="s">
        <v>141</v>
      </c>
      <c r="C50" s="411"/>
      <c r="D50" s="286">
        <f>VLOOKUP(E3,'Housing Generation'!$A$3:$DQ$90,10,FALSE)</f>
        <v>1</v>
      </c>
      <c r="E50" s="286">
        <f>VLOOKUP(E3,'Housing Generation'!$A$3:$DQ$90,18,FALSE)</f>
        <v>2</v>
      </c>
      <c r="F50" s="286">
        <f>VLOOKUP(E3,'Housing Generation'!$A$3:$DQ$90,26,FALSE)</f>
        <v>2</v>
      </c>
      <c r="G50" s="243">
        <f>VLOOKUP(E3,'Housing Generation'!$A$3:$DQ$90,34,FALSE)</f>
        <v>2</v>
      </c>
      <c r="H50" s="133">
        <f>VLOOKUP(E3,'Housing Generation'!$A$3:$DQ$90,42,FALSE)</f>
        <v>2</v>
      </c>
      <c r="I50" s="133">
        <f>VLOOKUP(E3,'Housing Generation'!$A$3:$DQ$90,50,FALSE)</f>
        <v>3</v>
      </c>
      <c r="J50" s="133">
        <f>VLOOKUP(E3,'Housing Generation'!$A$3:$CK$90,58,FALSE)</f>
        <v>5</v>
      </c>
      <c r="K50" s="133">
        <f>VLOOKUP(E3,'Housing Generation'!$A$3:$CK$90,66,FALSE)</f>
        <v>6</v>
      </c>
      <c r="L50" s="133">
        <f>VLOOKUP(E3,'Housing Generation'!$A$3:$DQ$90,74,FALSE)</f>
        <v>8</v>
      </c>
      <c r="M50" s="133">
        <f>VLOOKUP(E3,'Housing Generation'!$A$3:$DQ$90,82,FALSE)</f>
        <v>9</v>
      </c>
      <c r="N50" s="133">
        <f>VLOOKUP(E3,'Housing Generation'!$A$3:$DQ$90,90,FALSE)</f>
        <v>11</v>
      </c>
      <c r="O50" s="133">
        <f>VLOOKUP(E3,'Housing Generation'!$A$3:$DQ$90,98,FALSE)</f>
        <v>12</v>
      </c>
      <c r="P50" s="133">
        <f>VLOOKUP(E3,'Housing Generation'!$A$3:$DQ$90,106,FALSE)</f>
        <v>13</v>
      </c>
      <c r="Q50" s="133">
        <f>VLOOKUP(E3,'Housing Generation'!$A$3:$DQ$90,114,FALSE)</f>
        <v>15</v>
      </c>
    </row>
    <row r="51" spans="2:17" ht="15" customHeight="1" thickTop="1">
      <c r="B51" s="421" t="s">
        <v>130</v>
      </c>
      <c r="C51" s="422"/>
      <c r="D51" s="47">
        <f t="shared" ref="D51:Q51" si="0">SUM(D49:D50)</f>
        <v>38</v>
      </c>
      <c r="E51" s="47">
        <f t="shared" si="0"/>
        <v>34</v>
      </c>
      <c r="F51" s="80">
        <f t="shared" si="0"/>
        <v>32</v>
      </c>
      <c r="G51" s="244">
        <f t="shared" si="0"/>
        <v>37</v>
      </c>
      <c r="H51" s="71">
        <f t="shared" si="0"/>
        <v>34</v>
      </c>
      <c r="I51" s="71">
        <f t="shared" si="0"/>
        <v>36</v>
      </c>
      <c r="J51" s="71">
        <f t="shared" si="0"/>
        <v>38</v>
      </c>
      <c r="K51" s="71">
        <f t="shared" si="0"/>
        <v>40</v>
      </c>
      <c r="L51" s="71">
        <f t="shared" si="0"/>
        <v>42</v>
      </c>
      <c r="M51" s="71">
        <f t="shared" si="0"/>
        <v>43</v>
      </c>
      <c r="N51" s="71">
        <f t="shared" si="0"/>
        <v>45</v>
      </c>
      <c r="O51" s="71">
        <f t="shared" si="0"/>
        <v>46</v>
      </c>
      <c r="P51" s="71">
        <f t="shared" si="0"/>
        <v>47</v>
      </c>
      <c r="Q51" s="71">
        <f t="shared" si="0"/>
        <v>49</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44</v>
      </c>
      <c r="D60" s="358">
        <f>VLOOKUP($E$3,'Catchment Projections'!$A$1:$BZ$90,74,FALSE)</f>
        <v>38</v>
      </c>
      <c r="E60" s="303">
        <f>D60/C60</f>
        <v>0.86363636363636365</v>
      </c>
      <c r="G60" s="132">
        <v>2014</v>
      </c>
      <c r="H60" s="395">
        <f>VLOOKUP($G$60,$B$177:$C$215, 2, FALSE)</f>
        <v>48</v>
      </c>
      <c r="I60" s="120">
        <f>H60-D60</f>
        <v>10</v>
      </c>
      <c r="J60" s="121">
        <f>I60/H60</f>
        <v>0.20833333333333334</v>
      </c>
    </row>
    <row r="61" spans="2:17" ht="15" customHeight="1">
      <c r="B61" s="132">
        <v>2015</v>
      </c>
      <c r="C61" s="359">
        <f>VLOOKUP($E$3,'Catchment Projections'!$A$1:$BZ$90,41,FALSE)</f>
        <v>28</v>
      </c>
      <c r="D61" s="358">
        <f>VLOOKUP($E$3,'Catchment Projections'!$A$1:$BZ$90,75,FALSE)</f>
        <v>24</v>
      </c>
      <c r="E61" s="303">
        <f>D61/C61</f>
        <v>0.8571428571428571</v>
      </c>
      <c r="G61" s="132">
        <v>2015</v>
      </c>
      <c r="H61" s="395">
        <f>VLOOKUP($G$61,$B$177:$C$215, 2, FALSE)</f>
        <v>40</v>
      </c>
      <c r="I61" s="120">
        <f>H61-D61</f>
        <v>16</v>
      </c>
      <c r="J61" s="121">
        <f>I61/H61</f>
        <v>0.4</v>
      </c>
    </row>
    <row r="62" spans="2:17" ht="15" customHeight="1">
      <c r="B62" s="131">
        <v>2016</v>
      </c>
      <c r="C62" s="359">
        <f>VLOOKUP($E$3,'Catchment Projections'!$A$1:$BZ$90,42,FALSE)</f>
        <v>36</v>
      </c>
      <c r="D62" s="358">
        <f>VLOOKUP($E$3,'Catchment Projections'!$A$1:$BZ$90,76,FALSE)</f>
        <v>33</v>
      </c>
      <c r="E62" s="57">
        <f>D62/C62</f>
        <v>0.91666666666666663</v>
      </c>
      <c r="G62" s="131">
        <v>2016</v>
      </c>
      <c r="H62" s="395">
        <f>VLOOKUP($G$62,$B$177:$C$215, 2, FALSE)</f>
        <v>40</v>
      </c>
      <c r="I62" s="120">
        <f>H62-D62</f>
        <v>7</v>
      </c>
      <c r="J62" s="121">
        <f>I62/H62</f>
        <v>0.17499999999999999</v>
      </c>
    </row>
    <row r="63" spans="2:17" ht="15" customHeight="1">
      <c r="B63" s="114">
        <v>2017</v>
      </c>
      <c r="C63" s="359">
        <f>VLOOKUP($E$3,'Catchment Projections'!$A$1:$BZ$90,43,FALSE)</f>
        <v>42</v>
      </c>
      <c r="D63" s="358">
        <f>VLOOKUP($E$3,'Catchment Projections'!$A$1:$BZ$90,77,FALSE)</f>
        <v>35</v>
      </c>
      <c r="E63" s="304">
        <f>D63/C63</f>
        <v>0.83333333333333337</v>
      </c>
      <c r="G63" s="114">
        <v>2017</v>
      </c>
      <c r="H63" s="395">
        <f>VLOOKUP($G$63,$B$177:$C$215, 2, FALSE)</f>
        <v>39</v>
      </c>
      <c r="I63" s="120">
        <f>H63-D63</f>
        <v>4</v>
      </c>
      <c r="J63" s="121">
        <f>I63/H63</f>
        <v>0.10256410256410256</v>
      </c>
    </row>
    <row r="64" spans="2:17" ht="15" customHeight="1">
      <c r="B64" s="114">
        <v>2018</v>
      </c>
      <c r="C64" s="359">
        <f>VLOOKUP($E$3,'Catchment Projections'!$A$1:$BZ$90,44,FALSE)</f>
        <v>33</v>
      </c>
      <c r="D64" s="358">
        <f>VLOOKUP($E$3,'Catchment Projections'!$A$1:$BZ$90,78,FALSE)</f>
        <v>29</v>
      </c>
      <c r="E64" s="305">
        <f>D64/C64</f>
        <v>0.87878787878787878</v>
      </c>
      <c r="G64" s="114">
        <v>2018</v>
      </c>
      <c r="H64" s="395">
        <f>VLOOKUP($G$64,$B$177:$C$215, 2, FALSE)</f>
        <v>42</v>
      </c>
      <c r="I64" s="120">
        <f>H64-D64</f>
        <v>13</v>
      </c>
      <c r="J64" s="121">
        <f>I64/H64</f>
        <v>0.30952380952380953</v>
      </c>
    </row>
    <row r="65" spans="2:10" ht="15" customHeight="1">
      <c r="B65" s="412" t="s">
        <v>136</v>
      </c>
      <c r="C65" s="413"/>
      <c r="D65" s="414"/>
      <c r="E65" s="137">
        <f>IF((AVERAGE(E62:E64))="#DIV/0!","n/a",(AVERAGE(E62:E64)))</f>
        <v>0.8762626262626263</v>
      </c>
      <c r="G65" s="415" t="s">
        <v>137</v>
      </c>
      <c r="H65" s="416"/>
      <c r="I65" s="138">
        <f>MEDIAN(I60:I64)</f>
        <v>10</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38</v>
      </c>
      <c r="D70" s="408"/>
      <c r="E70" s="122">
        <f>E65</f>
        <v>0.8762626262626263</v>
      </c>
      <c r="F70" s="120">
        <f t="shared" ref="F70:F83" si="1">C70*$E$65</f>
        <v>33.297979797979799</v>
      </c>
      <c r="G70" s="118">
        <f>IF(F70&lt;26,25,IF(F70&gt;135,140,IF(F70&gt;130,135,IF(F70&gt;125,130,IF(F70&gt;120,125,IF(F70&gt;115,120,IF(F70&gt;110,115,IF(F70&gt;105,110,IF(F70&gt;100,105,IF(F70&gt;99,100,IF(F70&gt;90,99,IF(F70&gt;75,90,IF(F70&gt;72,75,IF(F70&gt;66,72,IF(F70&gt;60,66,IF(F70&gt;50,60,IF(F70&gt;30,50,IF(F70&gt;25,30,0))))))))))))))))))</f>
        <v>50</v>
      </c>
      <c r="H70" s="119">
        <f t="shared" ref="H70:H83" si="2">G70-F70</f>
        <v>16.702020202020201</v>
      </c>
      <c r="I70" s="118" t="str">
        <f>IF(I$65&lt;H70, "NO", "YES")</f>
        <v>NO</v>
      </c>
      <c r="J70" s="117">
        <f t="shared" ref="J70:J83" si="3">IF(I70="YES",G70,(MIN((SUM(F70,$I$65)),G70)))</f>
        <v>43.297979797979799</v>
      </c>
    </row>
    <row r="71" spans="2:10" ht="15" customHeight="1">
      <c r="B71" s="114">
        <v>2020</v>
      </c>
      <c r="C71" s="433">
        <f>E51</f>
        <v>34</v>
      </c>
      <c r="D71" s="408"/>
      <c r="E71" s="121">
        <f>E65</f>
        <v>0.8762626262626263</v>
      </c>
      <c r="F71" s="120">
        <f t="shared" si="1"/>
        <v>29.792929292929294</v>
      </c>
      <c r="G71" s="118">
        <f t="shared" ref="G71:G83" si="4">IF(F71&lt;26,25,IF(F71&gt;135,140,IF(F71&gt;130,135,IF(F71&gt;125,130,IF(F71&gt;120,125,IF(F71&gt;115,120,IF(F71&gt;110,115,IF(F71&gt;105,110,IF(F71&gt;100,105,IF(F71&gt;99,100,IF(F71&gt;90,99,IF(F71&gt;75,90,IF(F71&gt;72,75,IF(F71&gt;66,72,IF(F71&gt;60,66,IF(F71&gt;50,60,IF(F71&gt;30,50,IF(F71&gt;25,30,0))))))))))))))))))</f>
        <v>30</v>
      </c>
      <c r="H71" s="119">
        <f t="shared" si="2"/>
        <v>0.20707070707070585</v>
      </c>
      <c r="I71" s="118" t="str">
        <f t="shared" ref="I71:I83" si="5">IF(I$65&lt;H71, "NO", "YES")</f>
        <v>YES</v>
      </c>
      <c r="J71" s="117">
        <f t="shared" si="3"/>
        <v>30</v>
      </c>
    </row>
    <row r="72" spans="2:10" ht="15" customHeight="1">
      <c r="B72" s="114">
        <v>2021</v>
      </c>
      <c r="C72" s="430">
        <f>F51</f>
        <v>32</v>
      </c>
      <c r="D72" s="431"/>
      <c r="E72" s="121">
        <f>E65</f>
        <v>0.8762626262626263</v>
      </c>
      <c r="F72" s="120">
        <f t="shared" si="1"/>
        <v>28.040404040404042</v>
      </c>
      <c r="G72" s="118">
        <f t="shared" si="4"/>
        <v>30</v>
      </c>
      <c r="H72" s="119">
        <f t="shared" si="2"/>
        <v>1.9595959595959584</v>
      </c>
      <c r="I72" s="118" t="str">
        <f t="shared" si="5"/>
        <v>YES</v>
      </c>
      <c r="J72" s="117">
        <f t="shared" si="3"/>
        <v>30</v>
      </c>
    </row>
    <row r="73" spans="2:10" ht="15" customHeight="1">
      <c r="B73" s="114">
        <v>2022</v>
      </c>
      <c r="C73" s="430">
        <f>G51</f>
        <v>37</v>
      </c>
      <c r="D73" s="431"/>
      <c r="E73" s="121">
        <f>E65</f>
        <v>0.8762626262626263</v>
      </c>
      <c r="F73" s="120">
        <f t="shared" si="1"/>
        <v>32.421717171717177</v>
      </c>
      <c r="G73" s="118">
        <f t="shared" si="4"/>
        <v>50</v>
      </c>
      <c r="H73" s="119">
        <f t="shared" si="2"/>
        <v>17.578282828282823</v>
      </c>
      <c r="I73" s="118" t="str">
        <f t="shared" si="5"/>
        <v>NO</v>
      </c>
      <c r="J73" s="117">
        <f t="shared" si="3"/>
        <v>42.421717171717177</v>
      </c>
    </row>
    <row r="74" spans="2:10" ht="15" customHeight="1">
      <c r="B74" s="114">
        <v>2023</v>
      </c>
      <c r="C74" s="430">
        <f>H51</f>
        <v>34</v>
      </c>
      <c r="D74" s="431"/>
      <c r="E74" s="121">
        <f>E65</f>
        <v>0.8762626262626263</v>
      </c>
      <c r="F74" s="120">
        <f t="shared" si="1"/>
        <v>29.792929292929294</v>
      </c>
      <c r="G74" s="118">
        <f t="shared" si="4"/>
        <v>30</v>
      </c>
      <c r="H74" s="119">
        <f t="shared" si="2"/>
        <v>0.20707070707070585</v>
      </c>
      <c r="I74" s="118" t="str">
        <f t="shared" si="5"/>
        <v>YES</v>
      </c>
      <c r="J74" s="117">
        <f t="shared" si="3"/>
        <v>30</v>
      </c>
    </row>
    <row r="75" spans="2:10" ht="15" customHeight="1">
      <c r="B75" s="114">
        <v>2024</v>
      </c>
      <c r="C75" s="430">
        <f>I51</f>
        <v>36</v>
      </c>
      <c r="D75" s="431"/>
      <c r="E75" s="121">
        <f>E65</f>
        <v>0.8762626262626263</v>
      </c>
      <c r="F75" s="120">
        <f t="shared" si="1"/>
        <v>31.545454545454547</v>
      </c>
      <c r="G75" s="118">
        <f t="shared" si="4"/>
        <v>50</v>
      </c>
      <c r="H75" s="119">
        <f t="shared" si="2"/>
        <v>18.454545454545453</v>
      </c>
      <c r="I75" s="118" t="str">
        <f t="shared" si="5"/>
        <v>NO</v>
      </c>
      <c r="J75" s="117">
        <f t="shared" si="3"/>
        <v>41.545454545454547</v>
      </c>
    </row>
    <row r="76" spans="2:10" ht="15" customHeight="1">
      <c r="B76" s="114">
        <v>2025</v>
      </c>
      <c r="C76" s="430">
        <f>J51</f>
        <v>38</v>
      </c>
      <c r="D76" s="431"/>
      <c r="E76" s="121">
        <f>E65</f>
        <v>0.8762626262626263</v>
      </c>
      <c r="F76" s="120">
        <f t="shared" si="1"/>
        <v>33.297979797979799</v>
      </c>
      <c r="G76" s="118">
        <f t="shared" si="4"/>
        <v>50</v>
      </c>
      <c r="H76" s="119">
        <f t="shared" si="2"/>
        <v>16.702020202020201</v>
      </c>
      <c r="I76" s="118" t="str">
        <f t="shared" si="5"/>
        <v>NO</v>
      </c>
      <c r="J76" s="117">
        <f t="shared" si="3"/>
        <v>43.297979797979799</v>
      </c>
    </row>
    <row r="77" spans="2:10" ht="15" customHeight="1">
      <c r="B77" s="114">
        <v>2026</v>
      </c>
      <c r="C77" s="430">
        <f>K51</f>
        <v>40</v>
      </c>
      <c r="D77" s="431"/>
      <c r="E77" s="121">
        <f>E65</f>
        <v>0.8762626262626263</v>
      </c>
      <c r="F77" s="120">
        <f t="shared" si="1"/>
        <v>35.050505050505052</v>
      </c>
      <c r="G77" s="118">
        <f t="shared" si="4"/>
        <v>50</v>
      </c>
      <c r="H77" s="119">
        <f t="shared" si="2"/>
        <v>14.949494949494948</v>
      </c>
      <c r="I77" s="118" t="str">
        <f t="shared" si="5"/>
        <v>NO</v>
      </c>
      <c r="J77" s="117">
        <f t="shared" si="3"/>
        <v>45.050505050505052</v>
      </c>
    </row>
    <row r="78" spans="2:10" ht="15" customHeight="1">
      <c r="B78" s="114">
        <v>2027</v>
      </c>
      <c r="C78" s="430">
        <f>L51</f>
        <v>42</v>
      </c>
      <c r="D78" s="431"/>
      <c r="E78" s="121">
        <f>E65</f>
        <v>0.8762626262626263</v>
      </c>
      <c r="F78" s="120">
        <f t="shared" si="1"/>
        <v>36.803030303030305</v>
      </c>
      <c r="G78" s="118">
        <f t="shared" si="4"/>
        <v>50</v>
      </c>
      <c r="H78" s="119">
        <f t="shared" si="2"/>
        <v>13.196969696969695</v>
      </c>
      <c r="I78" s="118" t="str">
        <f t="shared" si="5"/>
        <v>NO</v>
      </c>
      <c r="J78" s="117">
        <f t="shared" si="3"/>
        <v>46.803030303030305</v>
      </c>
    </row>
    <row r="79" spans="2:10" ht="15" customHeight="1">
      <c r="B79" s="114">
        <v>2028</v>
      </c>
      <c r="C79" s="430">
        <f>M51</f>
        <v>43</v>
      </c>
      <c r="D79" s="431"/>
      <c r="E79" s="121">
        <f t="shared" ref="E79:E83" si="6">$E$65</f>
        <v>0.8762626262626263</v>
      </c>
      <c r="F79" s="120">
        <f t="shared" si="1"/>
        <v>37.679292929292927</v>
      </c>
      <c r="G79" s="118">
        <f t="shared" si="4"/>
        <v>50</v>
      </c>
      <c r="H79" s="119">
        <f t="shared" si="2"/>
        <v>12.320707070707073</v>
      </c>
      <c r="I79" s="118" t="str">
        <f t="shared" si="5"/>
        <v>NO</v>
      </c>
      <c r="J79" s="117">
        <f t="shared" si="3"/>
        <v>47.679292929292927</v>
      </c>
    </row>
    <row r="80" spans="2:10" ht="15" customHeight="1">
      <c r="B80" s="114">
        <v>2029</v>
      </c>
      <c r="C80" s="430">
        <f>N51</f>
        <v>45</v>
      </c>
      <c r="D80" s="431"/>
      <c r="E80" s="121">
        <f t="shared" si="6"/>
        <v>0.8762626262626263</v>
      </c>
      <c r="F80" s="120">
        <f t="shared" si="1"/>
        <v>39.431818181818187</v>
      </c>
      <c r="G80" s="118">
        <f t="shared" si="4"/>
        <v>50</v>
      </c>
      <c r="H80" s="119">
        <f t="shared" si="2"/>
        <v>10.568181818181813</v>
      </c>
      <c r="I80" s="118" t="str">
        <f t="shared" si="5"/>
        <v>NO</v>
      </c>
      <c r="J80" s="117">
        <f t="shared" si="3"/>
        <v>49.431818181818187</v>
      </c>
    </row>
    <row r="81" spans="2:10" ht="15" customHeight="1">
      <c r="B81" s="114">
        <v>2030</v>
      </c>
      <c r="C81" s="430">
        <f>O51</f>
        <v>46</v>
      </c>
      <c r="D81" s="431"/>
      <c r="E81" s="121">
        <f t="shared" si="6"/>
        <v>0.8762626262626263</v>
      </c>
      <c r="F81" s="120">
        <f t="shared" si="1"/>
        <v>40.30808080808081</v>
      </c>
      <c r="G81" s="118">
        <f t="shared" si="4"/>
        <v>50</v>
      </c>
      <c r="H81" s="119">
        <f t="shared" si="2"/>
        <v>9.6919191919191903</v>
      </c>
      <c r="I81" s="118" t="str">
        <f t="shared" si="5"/>
        <v>YES</v>
      </c>
      <c r="J81" s="117">
        <f t="shared" si="3"/>
        <v>50</v>
      </c>
    </row>
    <row r="82" spans="2:10" ht="15" customHeight="1">
      <c r="B82" s="114">
        <v>2031</v>
      </c>
      <c r="C82" s="430">
        <f>P51</f>
        <v>47</v>
      </c>
      <c r="D82" s="431"/>
      <c r="E82" s="121">
        <f t="shared" si="6"/>
        <v>0.8762626262626263</v>
      </c>
      <c r="F82" s="120">
        <f t="shared" si="1"/>
        <v>41.184343434343432</v>
      </c>
      <c r="G82" s="118">
        <f t="shared" si="4"/>
        <v>50</v>
      </c>
      <c r="H82" s="119">
        <f t="shared" si="2"/>
        <v>8.8156565656565675</v>
      </c>
      <c r="I82" s="118" t="str">
        <f t="shared" si="5"/>
        <v>YES</v>
      </c>
      <c r="J82" s="117">
        <f t="shared" si="3"/>
        <v>50</v>
      </c>
    </row>
    <row r="83" spans="2:10" ht="15" customHeight="1">
      <c r="B83" s="114">
        <v>2032</v>
      </c>
      <c r="C83" s="430">
        <f>Q51</f>
        <v>49</v>
      </c>
      <c r="D83" s="431"/>
      <c r="E83" s="121">
        <f t="shared" si="6"/>
        <v>0.8762626262626263</v>
      </c>
      <c r="F83" s="120">
        <f t="shared" si="1"/>
        <v>42.936868686868692</v>
      </c>
      <c r="G83" s="118">
        <f t="shared" si="4"/>
        <v>50</v>
      </c>
      <c r="H83" s="119">
        <f t="shared" si="2"/>
        <v>7.0631313131313078</v>
      </c>
      <c r="I83" s="118" t="str">
        <f t="shared" si="5"/>
        <v>YES</v>
      </c>
      <c r="J83" s="117">
        <f t="shared" si="3"/>
        <v>50</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Victoria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36</v>
      </c>
      <c r="D91" s="112">
        <f t="shared" ref="D91:J91" si="7">D188</f>
        <v>43</v>
      </c>
      <c r="E91" s="112">
        <f t="shared" si="7"/>
        <v>24</v>
      </c>
      <c r="F91" s="112">
        <f t="shared" si="7"/>
        <v>22</v>
      </c>
      <c r="G91" s="112">
        <f t="shared" si="7"/>
        <v>14</v>
      </c>
      <c r="H91" s="112">
        <f t="shared" si="7"/>
        <v>20</v>
      </c>
      <c r="I91" s="112">
        <f t="shared" si="7"/>
        <v>11</v>
      </c>
      <c r="J91" s="213">
        <f t="shared" si="7"/>
        <v>170</v>
      </c>
    </row>
    <row r="92" spans="2:10" ht="15" customHeight="1">
      <c r="B92" s="114">
        <v>2014</v>
      </c>
      <c r="C92" s="112">
        <f>C189</f>
        <v>48</v>
      </c>
      <c r="D92" s="112">
        <f t="shared" ref="D92:J92" si="8">D189</f>
        <v>33</v>
      </c>
      <c r="E92" s="112">
        <f t="shared" si="8"/>
        <v>42</v>
      </c>
      <c r="F92" s="112">
        <f t="shared" si="8"/>
        <v>25</v>
      </c>
      <c r="G92" s="112">
        <f t="shared" si="8"/>
        <v>24</v>
      </c>
      <c r="H92" s="112">
        <f t="shared" si="8"/>
        <v>15</v>
      </c>
      <c r="I92" s="112">
        <f t="shared" si="8"/>
        <v>20</v>
      </c>
      <c r="J92" s="213">
        <f t="shared" si="8"/>
        <v>207</v>
      </c>
    </row>
    <row r="93" spans="2:10" ht="15" customHeight="1">
      <c r="B93" s="114">
        <v>2015</v>
      </c>
      <c r="C93" s="112">
        <f>C190</f>
        <v>40</v>
      </c>
      <c r="D93" s="112">
        <f t="shared" ref="D93:J93" si="9">D190</f>
        <v>49</v>
      </c>
      <c r="E93" s="112">
        <f t="shared" si="9"/>
        <v>38</v>
      </c>
      <c r="F93" s="112">
        <f t="shared" si="9"/>
        <v>42</v>
      </c>
      <c r="G93" s="112">
        <f t="shared" si="9"/>
        <v>24</v>
      </c>
      <c r="H93" s="112">
        <f t="shared" si="9"/>
        <v>20</v>
      </c>
      <c r="I93" s="112">
        <f t="shared" si="9"/>
        <v>17</v>
      </c>
      <c r="J93" s="213">
        <f t="shared" si="9"/>
        <v>230</v>
      </c>
    </row>
    <row r="94" spans="2:10" ht="15" customHeight="1">
      <c r="B94" s="114">
        <v>2016</v>
      </c>
      <c r="C94" s="112">
        <f>C191</f>
        <v>40</v>
      </c>
      <c r="D94" s="112">
        <f t="shared" ref="D94:J94" si="10">D191</f>
        <v>38</v>
      </c>
      <c r="E94" s="112">
        <f t="shared" si="10"/>
        <v>53</v>
      </c>
      <c r="F94" s="112">
        <f t="shared" si="10"/>
        <v>38</v>
      </c>
      <c r="G94" s="112">
        <f t="shared" si="10"/>
        <v>44</v>
      </c>
      <c r="H94" s="112">
        <f t="shared" si="10"/>
        <v>23</v>
      </c>
      <c r="I94" s="112">
        <f t="shared" si="10"/>
        <v>18</v>
      </c>
      <c r="J94" s="213">
        <f t="shared" si="10"/>
        <v>254</v>
      </c>
    </row>
    <row r="95" spans="2:10" ht="15" customHeight="1">
      <c r="B95" s="114">
        <v>2017</v>
      </c>
      <c r="C95" s="112">
        <f>C192</f>
        <v>39</v>
      </c>
      <c r="D95" s="112">
        <f t="shared" ref="D95:J95" si="11">D192</f>
        <v>39</v>
      </c>
      <c r="E95" s="112">
        <f t="shared" si="11"/>
        <v>38</v>
      </c>
      <c r="F95" s="112">
        <f t="shared" si="11"/>
        <v>54</v>
      </c>
      <c r="G95" s="112">
        <f t="shared" si="11"/>
        <v>33</v>
      </c>
      <c r="H95" s="112">
        <f t="shared" si="11"/>
        <v>38</v>
      </c>
      <c r="I95" s="112">
        <f t="shared" si="11"/>
        <v>20</v>
      </c>
      <c r="J95" s="213">
        <f t="shared" si="11"/>
        <v>261</v>
      </c>
    </row>
    <row r="96" spans="2:10" ht="15" customHeight="1">
      <c r="B96" s="307">
        <v>2018</v>
      </c>
      <c r="C96" s="112">
        <f t="shared" ref="C96:J96" si="12">C193</f>
        <v>42</v>
      </c>
      <c r="D96" s="112">
        <f t="shared" si="12"/>
        <v>43</v>
      </c>
      <c r="E96" s="112">
        <f t="shared" si="12"/>
        <v>35</v>
      </c>
      <c r="F96" s="112">
        <f t="shared" si="12"/>
        <v>35</v>
      </c>
      <c r="G96" s="112">
        <f t="shared" si="12"/>
        <v>56</v>
      </c>
      <c r="H96" s="112">
        <f t="shared" si="12"/>
        <v>34</v>
      </c>
      <c r="I96" s="112">
        <f t="shared" si="12"/>
        <v>37</v>
      </c>
      <c r="J96" s="213">
        <f t="shared" si="12"/>
        <v>282</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2.5000000000000001E-2</v>
      </c>
      <c r="E98" s="210">
        <f t="shared" ref="E98:I98" si="13">MEDIAN(((D91-E92)/D91),((D92-E93)/D92),((D93-E94)/D93),((D94-E95)/D94),((D95-E96)/D95))</f>
        <v>0</v>
      </c>
      <c r="F98" s="210">
        <f t="shared" si="13"/>
        <v>0</v>
      </c>
      <c r="G98" s="210">
        <f t="shared" si="13"/>
        <v>-3.7037037037037035E-2</v>
      </c>
      <c r="H98" s="210">
        <f t="shared" si="13"/>
        <v>4.1666666666666664E-2</v>
      </c>
      <c r="I98" s="210">
        <f t="shared" si="13"/>
        <v>2.6315789473684209E-2</v>
      </c>
    </row>
    <row r="99" spans="2:10" ht="15" customHeight="1">
      <c r="B99" s="59"/>
      <c r="C99" s="60"/>
      <c r="D99" s="61"/>
      <c r="E99" s="61"/>
      <c r="F99" s="61"/>
      <c r="G99" s="61"/>
      <c r="H99" s="61"/>
      <c r="I99" s="61"/>
      <c r="J99" s="58"/>
    </row>
    <row r="100" spans="2:10" ht="15" customHeight="1">
      <c r="B100" s="15" t="str">
        <f>"Table 4B: "&amp;E3&amp;" Projected Roll by Stage (incorporating Projected P1 and Drop-Off Rates), 2019-2032"</f>
        <v>Table 4B: Victoria Primary School Projected Roll by Stage (incorporating Projected P1 and Drop-Off Rates), 2019-2032</v>
      </c>
      <c r="F100" s="14"/>
      <c r="G100" s="14"/>
    </row>
    <row r="101" spans="2:10" ht="15" customHeight="1">
      <c r="F101" s="14"/>
      <c r="G101" s="14"/>
    </row>
    <row r="102" spans="2:10" ht="15" customHeight="1">
      <c r="B102" s="115"/>
      <c r="C102" s="109" t="s">
        <v>1</v>
      </c>
      <c r="D102" s="109" t="s">
        <v>2</v>
      </c>
      <c r="E102" s="109" t="s">
        <v>3</v>
      </c>
      <c r="F102" s="109" t="s">
        <v>4</v>
      </c>
      <c r="G102" s="109" t="s">
        <v>5</v>
      </c>
      <c r="H102" s="109" t="s">
        <v>6</v>
      </c>
      <c r="I102" s="109" t="s">
        <v>7</v>
      </c>
      <c r="J102" s="109" t="s">
        <v>8</v>
      </c>
    </row>
    <row r="103" spans="2:10" ht="15" customHeight="1">
      <c r="B103" s="114">
        <v>2019</v>
      </c>
      <c r="C103" s="113">
        <f t="shared" ref="C103:C116" si="14">J70</f>
        <v>43.297979797979799</v>
      </c>
      <c r="D103" s="324">
        <f>ROUND((C96)-(C96*$D$98),0)</f>
        <v>41</v>
      </c>
      <c r="E103" s="324">
        <f>ROUND((D96)-(D96*$E$98),0)</f>
        <v>43</v>
      </c>
      <c r="F103" s="324">
        <f>ROUND((E96)-(E96*$F$98),0)</f>
        <v>35</v>
      </c>
      <c r="G103" s="324">
        <f>ROUND((F96)-(F96*$G$98),0)</f>
        <v>36</v>
      </c>
      <c r="H103" s="324">
        <f>ROUND((G96)-(G96*$H$98),0)</f>
        <v>54</v>
      </c>
      <c r="I103" s="324">
        <f>ROUND((H96)-(H96*$I$98),0)</f>
        <v>33</v>
      </c>
      <c r="J103" s="111">
        <f t="shared" ref="J103:J116" si="15">SUM(C103:I103)</f>
        <v>285.29797979797979</v>
      </c>
    </row>
    <row r="104" spans="2:10" ht="15" customHeight="1">
      <c r="B104" s="114">
        <v>2020</v>
      </c>
      <c r="C104" s="113">
        <f t="shared" si="14"/>
        <v>30</v>
      </c>
      <c r="D104" s="324">
        <f>ROUND((C103-E50)-(C103*$D$98),0)</f>
        <v>40</v>
      </c>
      <c r="E104" s="112">
        <f t="shared" ref="E104:E116" si="16">ROUND((D103)-(D103*$E$98),0)</f>
        <v>41</v>
      </c>
      <c r="F104" s="112">
        <f t="shared" ref="F104:F116" si="17">ROUND((E103)-(E103*$F$98),0)</f>
        <v>43</v>
      </c>
      <c r="G104" s="112">
        <f t="shared" ref="G104:G116" si="18">ROUND((F103)-(F103*$G$98),0)</f>
        <v>36</v>
      </c>
      <c r="H104" s="112">
        <f t="shared" ref="H104:H116" si="19">ROUND((G103)-(G103*$H$98),0)</f>
        <v>35</v>
      </c>
      <c r="I104" s="112">
        <f t="shared" ref="I104:I116" si="20">ROUND((H103)-(H103*$I$98),0)</f>
        <v>53</v>
      </c>
      <c r="J104" s="111">
        <f t="shared" si="15"/>
        <v>278</v>
      </c>
    </row>
    <row r="105" spans="2:10" ht="15" customHeight="1">
      <c r="B105" s="114">
        <v>2021</v>
      </c>
      <c r="C105" s="113">
        <f t="shared" si="14"/>
        <v>30</v>
      </c>
      <c r="D105" s="324">
        <f>ROUND((C104-F50)-(C104*$D$98),0)</f>
        <v>27</v>
      </c>
      <c r="E105" s="112">
        <f t="shared" si="16"/>
        <v>40</v>
      </c>
      <c r="F105" s="112">
        <f t="shared" si="17"/>
        <v>41</v>
      </c>
      <c r="G105" s="112">
        <f t="shared" si="18"/>
        <v>45</v>
      </c>
      <c r="H105" s="112">
        <f t="shared" si="19"/>
        <v>35</v>
      </c>
      <c r="I105" s="112">
        <f t="shared" si="20"/>
        <v>34</v>
      </c>
      <c r="J105" s="111">
        <f t="shared" si="15"/>
        <v>252</v>
      </c>
    </row>
    <row r="106" spans="2:10" ht="15" customHeight="1">
      <c r="B106" s="114">
        <v>2022</v>
      </c>
      <c r="C106" s="113">
        <f t="shared" si="14"/>
        <v>42.421717171717177</v>
      </c>
      <c r="D106" s="324">
        <f>ROUND((C105-G50)-(C105*$D$98),0)</f>
        <v>27</v>
      </c>
      <c r="E106" s="112">
        <f t="shared" si="16"/>
        <v>27</v>
      </c>
      <c r="F106" s="112">
        <f t="shared" si="17"/>
        <v>40</v>
      </c>
      <c r="G106" s="112">
        <f t="shared" si="18"/>
        <v>43</v>
      </c>
      <c r="H106" s="112">
        <f t="shared" si="19"/>
        <v>43</v>
      </c>
      <c r="I106" s="112">
        <f t="shared" si="20"/>
        <v>34</v>
      </c>
      <c r="J106" s="111">
        <f t="shared" si="15"/>
        <v>256.42171717171721</v>
      </c>
    </row>
    <row r="107" spans="2:10" ht="15" customHeight="1">
      <c r="B107" s="114">
        <v>2023</v>
      </c>
      <c r="C107" s="113">
        <f t="shared" si="14"/>
        <v>30</v>
      </c>
      <c r="D107" s="324">
        <f>ROUND((C106-H50)-(C106*$D$98),0)</f>
        <v>39</v>
      </c>
      <c r="E107" s="112">
        <f t="shared" si="16"/>
        <v>27</v>
      </c>
      <c r="F107" s="112">
        <f t="shared" si="17"/>
        <v>27</v>
      </c>
      <c r="G107" s="112">
        <f t="shared" si="18"/>
        <v>41</v>
      </c>
      <c r="H107" s="112">
        <f t="shared" si="19"/>
        <v>41</v>
      </c>
      <c r="I107" s="112">
        <f t="shared" si="20"/>
        <v>42</v>
      </c>
      <c r="J107" s="111">
        <f t="shared" si="15"/>
        <v>247</v>
      </c>
    </row>
    <row r="108" spans="2:10" ht="15" customHeight="1">
      <c r="B108" s="114">
        <v>2024</v>
      </c>
      <c r="C108" s="113">
        <f t="shared" si="14"/>
        <v>41.545454545454547</v>
      </c>
      <c r="D108" s="324">
        <f>ROUND((C107-I50)-(C107*$D$98),0)</f>
        <v>26</v>
      </c>
      <c r="E108" s="112">
        <f t="shared" si="16"/>
        <v>39</v>
      </c>
      <c r="F108" s="112">
        <f t="shared" si="17"/>
        <v>27</v>
      </c>
      <c r="G108" s="112">
        <f t="shared" si="18"/>
        <v>28</v>
      </c>
      <c r="H108" s="112">
        <f t="shared" si="19"/>
        <v>39</v>
      </c>
      <c r="I108" s="112">
        <f t="shared" si="20"/>
        <v>40</v>
      </c>
      <c r="J108" s="111">
        <f t="shared" si="15"/>
        <v>240.54545454545456</v>
      </c>
    </row>
    <row r="109" spans="2:10" ht="15" customHeight="1">
      <c r="B109" s="114">
        <v>2025</v>
      </c>
      <c r="C109" s="113">
        <f t="shared" si="14"/>
        <v>43.297979797979799</v>
      </c>
      <c r="D109" s="324">
        <f>ROUND((C108-J50)-(C108*$D$98),0)</f>
        <v>36</v>
      </c>
      <c r="E109" s="112">
        <f t="shared" si="16"/>
        <v>26</v>
      </c>
      <c r="F109" s="112">
        <f t="shared" si="17"/>
        <v>39</v>
      </c>
      <c r="G109" s="112">
        <f t="shared" si="18"/>
        <v>28</v>
      </c>
      <c r="H109" s="112">
        <f t="shared" si="19"/>
        <v>27</v>
      </c>
      <c r="I109" s="112">
        <f t="shared" si="20"/>
        <v>38</v>
      </c>
      <c r="J109" s="111">
        <f t="shared" si="15"/>
        <v>237.29797979797979</v>
      </c>
    </row>
    <row r="110" spans="2:10" ht="15" customHeight="1">
      <c r="B110" s="114">
        <v>2026</v>
      </c>
      <c r="C110" s="113">
        <f t="shared" si="14"/>
        <v>45.050505050505052</v>
      </c>
      <c r="D110" s="324">
        <f>ROUND((C109-K50)-(C109*$D$98),0)</f>
        <v>36</v>
      </c>
      <c r="E110" s="112">
        <f t="shared" si="16"/>
        <v>36</v>
      </c>
      <c r="F110" s="112">
        <f t="shared" si="17"/>
        <v>26</v>
      </c>
      <c r="G110" s="112">
        <f t="shared" si="18"/>
        <v>40</v>
      </c>
      <c r="H110" s="112">
        <f t="shared" si="19"/>
        <v>27</v>
      </c>
      <c r="I110" s="112">
        <f t="shared" si="20"/>
        <v>26</v>
      </c>
      <c r="J110" s="111">
        <f t="shared" si="15"/>
        <v>236.05050505050505</v>
      </c>
    </row>
    <row r="111" spans="2:10" ht="15" customHeight="1">
      <c r="B111" s="114">
        <v>2027</v>
      </c>
      <c r="C111" s="113">
        <f t="shared" si="14"/>
        <v>46.803030303030305</v>
      </c>
      <c r="D111" s="324">
        <f>ROUND((C110-L50)-(C110*$D$98),0)</f>
        <v>36</v>
      </c>
      <c r="E111" s="112">
        <f t="shared" si="16"/>
        <v>36</v>
      </c>
      <c r="F111" s="112">
        <f t="shared" si="17"/>
        <v>36</v>
      </c>
      <c r="G111" s="112">
        <f t="shared" si="18"/>
        <v>27</v>
      </c>
      <c r="H111" s="112">
        <f t="shared" si="19"/>
        <v>38</v>
      </c>
      <c r="I111" s="112">
        <f t="shared" si="20"/>
        <v>26</v>
      </c>
      <c r="J111" s="111">
        <f t="shared" si="15"/>
        <v>245.80303030303031</v>
      </c>
    </row>
    <row r="112" spans="2:10" ht="15" customHeight="1">
      <c r="B112" s="114">
        <v>2028</v>
      </c>
      <c r="C112" s="113">
        <f t="shared" si="14"/>
        <v>47.679292929292927</v>
      </c>
      <c r="D112" s="324">
        <f>ROUND((C111-M50)-(C111*$D$98),0)</f>
        <v>37</v>
      </c>
      <c r="E112" s="112">
        <f t="shared" si="16"/>
        <v>36</v>
      </c>
      <c r="F112" s="112">
        <f t="shared" si="17"/>
        <v>36</v>
      </c>
      <c r="G112" s="112">
        <f t="shared" si="18"/>
        <v>37</v>
      </c>
      <c r="H112" s="112">
        <f t="shared" si="19"/>
        <v>26</v>
      </c>
      <c r="I112" s="112">
        <f t="shared" si="20"/>
        <v>37</v>
      </c>
      <c r="J112" s="111">
        <f t="shared" si="15"/>
        <v>256.67929292929296</v>
      </c>
    </row>
    <row r="113" spans="2:10" ht="15" customHeight="1">
      <c r="B113" s="114">
        <v>2029</v>
      </c>
      <c r="C113" s="113">
        <f t="shared" si="14"/>
        <v>49.431818181818187</v>
      </c>
      <c r="D113" s="324">
        <f>ROUND((C112-N50)-(C112*$D$98),0)</f>
        <v>35</v>
      </c>
      <c r="E113" s="112">
        <f t="shared" si="16"/>
        <v>37</v>
      </c>
      <c r="F113" s="112">
        <f t="shared" si="17"/>
        <v>36</v>
      </c>
      <c r="G113" s="112">
        <f t="shared" si="18"/>
        <v>37</v>
      </c>
      <c r="H113" s="112">
        <f t="shared" si="19"/>
        <v>35</v>
      </c>
      <c r="I113" s="112">
        <f t="shared" si="20"/>
        <v>25</v>
      </c>
      <c r="J113" s="111">
        <f t="shared" si="15"/>
        <v>254.43181818181819</v>
      </c>
    </row>
    <row r="114" spans="2:10" ht="15" customHeight="1">
      <c r="B114" s="114">
        <v>2030</v>
      </c>
      <c r="C114" s="113">
        <f t="shared" si="14"/>
        <v>50</v>
      </c>
      <c r="D114" s="324">
        <f>ROUND((C113-O50)-(C113*$D$98),0)</f>
        <v>36</v>
      </c>
      <c r="E114" s="112">
        <f t="shared" si="16"/>
        <v>35</v>
      </c>
      <c r="F114" s="112">
        <f t="shared" si="17"/>
        <v>37</v>
      </c>
      <c r="G114" s="112">
        <f t="shared" si="18"/>
        <v>37</v>
      </c>
      <c r="H114" s="112">
        <f t="shared" si="19"/>
        <v>35</v>
      </c>
      <c r="I114" s="112">
        <f t="shared" si="20"/>
        <v>34</v>
      </c>
      <c r="J114" s="111">
        <f t="shared" si="15"/>
        <v>264</v>
      </c>
    </row>
    <row r="115" spans="2:10" ht="15" customHeight="1">
      <c r="B115" s="114">
        <v>2031</v>
      </c>
      <c r="C115" s="113">
        <f t="shared" si="14"/>
        <v>50</v>
      </c>
      <c r="D115" s="324">
        <f>ROUND((C114-P50)-(C114*$D$98),0)</f>
        <v>36</v>
      </c>
      <c r="E115" s="112">
        <f t="shared" si="16"/>
        <v>36</v>
      </c>
      <c r="F115" s="112">
        <f t="shared" si="17"/>
        <v>35</v>
      </c>
      <c r="G115" s="112">
        <f t="shared" si="18"/>
        <v>38</v>
      </c>
      <c r="H115" s="112">
        <f t="shared" si="19"/>
        <v>35</v>
      </c>
      <c r="I115" s="112">
        <f t="shared" si="20"/>
        <v>34</v>
      </c>
      <c r="J115" s="111">
        <f t="shared" si="15"/>
        <v>264</v>
      </c>
    </row>
    <row r="116" spans="2:10" ht="15" customHeight="1">
      <c r="B116" s="114">
        <v>2032</v>
      </c>
      <c r="C116" s="113">
        <f t="shared" si="14"/>
        <v>50</v>
      </c>
      <c r="D116" s="324">
        <f>ROUND((C115-Q50)-(C115*$D$98),0)</f>
        <v>34</v>
      </c>
      <c r="E116" s="112">
        <f t="shared" si="16"/>
        <v>36</v>
      </c>
      <c r="F116" s="112">
        <f t="shared" si="17"/>
        <v>36</v>
      </c>
      <c r="G116" s="112">
        <f t="shared" si="18"/>
        <v>36</v>
      </c>
      <c r="H116" s="112">
        <f t="shared" si="19"/>
        <v>36</v>
      </c>
      <c r="I116" s="112">
        <f t="shared" si="20"/>
        <v>34</v>
      </c>
      <c r="J116" s="111">
        <f t="shared" si="15"/>
        <v>262</v>
      </c>
    </row>
    <row r="117" spans="2:10" ht="15" customHeight="1">
      <c r="F117" s="14"/>
      <c r="G117" s="14"/>
    </row>
    <row r="118" spans="2:10" ht="15" customHeight="1">
      <c r="B118" s="15" t="str">
        <f>"Table 4C: "&amp;E3&amp;" Projected Pupil Generation from Housing Development, 2019-2032"</f>
        <v>Table 4C: Victoria Primary School Projected Pupil Generation from Housing Development, 2019-2032</v>
      </c>
      <c r="F118" s="14"/>
      <c r="G118" s="14"/>
    </row>
    <row r="119" spans="2:10" ht="15" customHeight="1">
      <c r="F119" s="14"/>
      <c r="G119" s="14"/>
    </row>
    <row r="120" spans="2:10" ht="15" customHeight="1">
      <c r="B120" s="115"/>
      <c r="C120" s="109" t="s">
        <v>1</v>
      </c>
      <c r="D120" s="109" t="s">
        <v>2</v>
      </c>
      <c r="E120" s="109" t="s">
        <v>3</v>
      </c>
      <c r="F120" s="109" t="s">
        <v>4</v>
      </c>
      <c r="G120" s="109" t="s">
        <v>5</v>
      </c>
      <c r="H120" s="109" t="s">
        <v>6</v>
      </c>
      <c r="I120" s="109" t="s">
        <v>7</v>
      </c>
      <c r="J120" s="109" t="s">
        <v>8</v>
      </c>
    </row>
    <row r="121" spans="2:10" ht="15" customHeight="1">
      <c r="B121" s="114">
        <v>2019</v>
      </c>
      <c r="C121" s="116" t="s">
        <v>97</v>
      </c>
      <c r="D121" s="112">
        <f>VLOOKUP($E$3,'Housing Generation'!$A$3:$BE$90,11,FALSE)</f>
        <v>1</v>
      </c>
      <c r="E121" s="112">
        <f>VLOOKUP($E$3,'Housing Generation'!$A$3:$BE$90,12,FALSE)</f>
        <v>1</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2</v>
      </c>
    </row>
    <row r="122" spans="2:10" ht="15" customHeight="1">
      <c r="B122" s="114">
        <v>2020</v>
      </c>
      <c r="C122" s="116" t="s">
        <v>97</v>
      </c>
      <c r="D122" s="112">
        <f>VLOOKUP($E$3,'Housing Generation'!$A$3:$BE$90,19,FALSE)</f>
        <v>2</v>
      </c>
      <c r="E122" s="112">
        <f>VLOOKUP($E$3,'Housing Generation'!$A$3:$BE$90,20,FALSE)</f>
        <v>1</v>
      </c>
      <c r="F122" s="112">
        <f>VLOOKUP($E$3,'Housing Generation'!$A$3:$BE$90,21,FALSE)</f>
        <v>1</v>
      </c>
      <c r="G122" s="112">
        <f>VLOOKUP($E$3,'Housing Generation'!$A$3:$BE$90,22,FALSE)</f>
        <v>1</v>
      </c>
      <c r="H122" s="112">
        <f>VLOOKUP($E$3,'Housing Generation'!$A$3:$BE$90,23,FALSE)</f>
        <v>1</v>
      </c>
      <c r="I122" s="112">
        <f>VLOOKUP($E$3,'Housing Generation'!$A$3:$BE$90,24,FALSE)</f>
        <v>1</v>
      </c>
      <c r="J122" s="111">
        <f t="shared" si="21"/>
        <v>7</v>
      </c>
    </row>
    <row r="123" spans="2:10" ht="15" customHeight="1">
      <c r="B123" s="114">
        <v>2021</v>
      </c>
      <c r="C123" s="116" t="s">
        <v>97</v>
      </c>
      <c r="D123" s="112">
        <f>VLOOKUP($E$3,'Housing Generation'!$A$3:$BE$90,27,FALSE)</f>
        <v>2</v>
      </c>
      <c r="E123" s="112">
        <f>VLOOKUP($E$3,'Housing Generation'!$A$3:$BE$90,28,FALSE)</f>
        <v>1</v>
      </c>
      <c r="F123" s="112">
        <f>VLOOKUP($E$3,'Housing Generation'!$A$3:$BE$90,29,FALSE)</f>
        <v>1</v>
      </c>
      <c r="G123" s="112">
        <f>VLOOKUP($E$3,'Housing Generation'!$A$3:$BE$90,30,FALSE)</f>
        <v>1</v>
      </c>
      <c r="H123" s="112">
        <f>VLOOKUP($E$3,'Housing Generation'!$A$3:$BE$90,31,FALSE)</f>
        <v>1</v>
      </c>
      <c r="I123" s="112">
        <f>VLOOKUP($E$3,'Housing Generation'!$A$3:$BE$90,32,FALSE)</f>
        <v>1</v>
      </c>
      <c r="J123" s="111">
        <f t="shared" si="21"/>
        <v>7</v>
      </c>
    </row>
    <row r="124" spans="2:10" ht="15" customHeight="1">
      <c r="B124" s="114">
        <v>2022</v>
      </c>
      <c r="C124" s="116" t="s">
        <v>97</v>
      </c>
      <c r="D124" s="112">
        <f>VLOOKUP($E$3,'Housing Generation'!$A$3:$BE$90,35,FALSE)</f>
        <v>2</v>
      </c>
      <c r="E124" s="112">
        <f>VLOOKUP($E$3,'Housing Generation'!$A$3:$BE$90,36,FALSE)</f>
        <v>1</v>
      </c>
      <c r="F124" s="112">
        <f>VLOOKUP($E$3,'Housing Generation'!$A$3:$BE$90,37,FALSE)</f>
        <v>1</v>
      </c>
      <c r="G124" s="112">
        <f>VLOOKUP($E$3,'Housing Generation'!$A$3:$BE$90,38,FALSE)</f>
        <v>1</v>
      </c>
      <c r="H124" s="112">
        <f>VLOOKUP($E$3,'Housing Generation'!$A$3:$BE$90,39,FALSE)</f>
        <v>1</v>
      </c>
      <c r="I124" s="112">
        <f>VLOOKUP($E$3,'Housing Generation'!$A$3:$BE$90,40,FALSE)</f>
        <v>1</v>
      </c>
      <c r="J124" s="111">
        <f t="shared" si="21"/>
        <v>7</v>
      </c>
    </row>
    <row r="125" spans="2:10" ht="15" customHeight="1">
      <c r="B125" s="114">
        <v>2023</v>
      </c>
      <c r="C125" s="116" t="s">
        <v>97</v>
      </c>
      <c r="D125" s="112">
        <f>VLOOKUP($E$3,'Housing Generation'!$A$3:$BE$90,43,FALSE)</f>
        <v>2</v>
      </c>
      <c r="E125" s="112">
        <f>VLOOKUP($E$3,'Housing Generation'!$A$3:$BE$90,44,FALSE)</f>
        <v>2</v>
      </c>
      <c r="F125" s="112">
        <f>VLOOKUP($E$3,'Housing Generation'!$A$3:$BE$90,45,FALSE)</f>
        <v>2</v>
      </c>
      <c r="G125" s="112">
        <f>VLOOKUP($E$3,'Housing Generation'!$A$3:$BE$90,46,FALSE)</f>
        <v>2</v>
      </c>
      <c r="H125" s="112">
        <f>VLOOKUP($E$3,'Housing Generation'!$A$3:$BE$90,47,FALSE)</f>
        <v>1</v>
      </c>
      <c r="I125" s="112">
        <f>VLOOKUP($E$3,'Housing Generation'!$A$3:$BE$90,48,FALSE)</f>
        <v>1</v>
      </c>
      <c r="J125" s="111">
        <f t="shared" si="21"/>
        <v>10</v>
      </c>
    </row>
    <row r="126" spans="2:10" ht="15" customHeight="1">
      <c r="B126" s="114">
        <v>2024</v>
      </c>
      <c r="C126" s="116" t="s">
        <v>97</v>
      </c>
      <c r="D126" s="112">
        <f>VLOOKUP($E$3,'Housing Generation'!$A$3:$BE$90,51,FALSE)</f>
        <v>3</v>
      </c>
      <c r="E126" s="112">
        <f>VLOOKUP($E$3,'Housing Generation'!$A$3:$BE$90,52,FALSE)</f>
        <v>3</v>
      </c>
      <c r="F126" s="112">
        <f>VLOOKUP($E$3,'Housing Generation'!$A$3:$BE$90,53,FALSE)</f>
        <v>3</v>
      </c>
      <c r="G126" s="112">
        <f>VLOOKUP($E$3,'Housing Generation'!$A$3:$BE$90,54,FALSE)</f>
        <v>3</v>
      </c>
      <c r="H126" s="112">
        <f>VLOOKUP($E$3,'Housing Generation'!$A$3:$BE$90,55,FALSE)</f>
        <v>3</v>
      </c>
      <c r="I126" s="112">
        <f>VLOOKUP($E$3,'Housing Generation'!$A$3:$BE$90,56,FALSE)</f>
        <v>2</v>
      </c>
      <c r="J126" s="111">
        <f t="shared" si="21"/>
        <v>17</v>
      </c>
    </row>
    <row r="127" spans="2:10" ht="15" customHeight="1">
      <c r="B127" s="114">
        <v>2025</v>
      </c>
      <c r="C127" s="240" t="s">
        <v>97</v>
      </c>
      <c r="D127" s="112">
        <f>VLOOKUP($E$3,'Housing Generation'!$A$3:$CK$90,59,FALSE)</f>
        <v>4</v>
      </c>
      <c r="E127" s="112">
        <f>VLOOKUP($E$3,'Housing Generation'!$A$3:$CK$90,60,FALSE)</f>
        <v>4</v>
      </c>
      <c r="F127" s="112">
        <f>VLOOKUP($E$3,'Housing Generation'!$A$3:$CK$90,61,FALSE)</f>
        <v>4</v>
      </c>
      <c r="G127" s="112">
        <f>VLOOKUP($E$3,'Housing Generation'!$A$3:$CK$90,62,FALSE)</f>
        <v>4</v>
      </c>
      <c r="H127" s="112">
        <f>VLOOKUP($E$3,'Housing Generation'!$A$3:$CK$90,63,FALSE)</f>
        <v>4</v>
      </c>
      <c r="I127" s="112">
        <f>VLOOKUP($E$3,'Housing Generation'!$A$3:$CK$90,64,FALSE)</f>
        <v>4</v>
      </c>
      <c r="J127" s="111">
        <f t="shared" si="21"/>
        <v>24</v>
      </c>
    </row>
    <row r="128" spans="2:10" ht="15" customHeight="1">
      <c r="B128" s="114">
        <v>2026</v>
      </c>
      <c r="C128" s="240" t="s">
        <v>97</v>
      </c>
      <c r="D128" s="112">
        <f>VLOOKUP($E$3,'Housing Generation'!$A$3:$CK$90,67,FALSE)</f>
        <v>6</v>
      </c>
      <c r="E128" s="112">
        <f>VLOOKUP($E$3,'Housing Generation'!$A$3:$CK$90,68,FALSE)</f>
        <v>6</v>
      </c>
      <c r="F128" s="112">
        <f>VLOOKUP($E$3,'Housing Generation'!$A$3:$CK$90,69,FALSE)</f>
        <v>6</v>
      </c>
      <c r="G128" s="112">
        <f>VLOOKUP($E$3,'Housing Generation'!$A$3:$CK$90,70,FALSE)</f>
        <v>6</v>
      </c>
      <c r="H128" s="112">
        <f>VLOOKUP($E$3,'Housing Generation'!$A$3:$CK$90,71,FALSE)</f>
        <v>5</v>
      </c>
      <c r="I128" s="112">
        <f>VLOOKUP($E$3,'Housing Generation'!$A$3:$CK$90,72,FALSE)</f>
        <v>5</v>
      </c>
      <c r="J128" s="111">
        <f t="shared" si="21"/>
        <v>34</v>
      </c>
    </row>
    <row r="129" spans="2:10" ht="15" customHeight="1">
      <c r="B129" s="114">
        <v>2027</v>
      </c>
      <c r="C129" s="240" t="s">
        <v>97</v>
      </c>
      <c r="D129" s="112">
        <f>VLOOKUP($E$3,'Housing Generation'!$A$3:$CK$90,75,FALSE)</f>
        <v>8</v>
      </c>
      <c r="E129" s="112">
        <f>VLOOKUP($E$3,'Housing Generation'!$A$3:$CK$90,76,FALSE)</f>
        <v>7</v>
      </c>
      <c r="F129" s="112">
        <f>VLOOKUP($E$3,'Housing Generation'!$A$3:$CK$90,77,FALSE)</f>
        <v>7</v>
      </c>
      <c r="G129" s="112">
        <f>VLOOKUP($E$3,'Housing Generation'!$A$3:$CK$90,78,FALSE)</f>
        <v>7</v>
      </c>
      <c r="H129" s="112">
        <f>VLOOKUP($E$3,'Housing Generation'!$A$3:$CK$90,79,FALSE)</f>
        <v>7</v>
      </c>
      <c r="I129" s="112">
        <f>VLOOKUP($E$3,'Housing Generation'!$A$3:$CK$90,80,FALSE)</f>
        <v>7</v>
      </c>
      <c r="J129" s="111">
        <f t="shared" si="21"/>
        <v>43</v>
      </c>
    </row>
    <row r="130" spans="2:10" ht="15" customHeight="1">
      <c r="B130" s="114">
        <v>2028</v>
      </c>
      <c r="C130" s="289" t="s">
        <v>97</v>
      </c>
      <c r="D130" s="112">
        <f>VLOOKUP($E$3,'Housing Generation'!$A$3:$CK$90,83,FALSE)</f>
        <v>9</v>
      </c>
      <c r="E130" s="112">
        <f>VLOOKUP($E$3,'Housing Generation'!$A$3:$CK$90,84,FALSE)</f>
        <v>9</v>
      </c>
      <c r="F130" s="112">
        <f>VLOOKUP($E$3,'Housing Generation'!$A$3:$CK$90,85,FALSE)</f>
        <v>9</v>
      </c>
      <c r="G130" s="112">
        <f>VLOOKUP($E$3,'Housing Generation'!$A$3:$CK$90,86,FALSE)</f>
        <v>9</v>
      </c>
      <c r="H130" s="112">
        <f>VLOOKUP($E$3,'Housing Generation'!$A$3:$CK$90,87,FALSE)</f>
        <v>9</v>
      </c>
      <c r="I130" s="112">
        <f>VLOOKUP($E$3,'Housing Generation'!$A$3:$CK$90,88,FALSE)</f>
        <v>8</v>
      </c>
      <c r="J130" s="111">
        <f t="shared" si="21"/>
        <v>53</v>
      </c>
    </row>
    <row r="131" spans="2:10" ht="15" customHeight="1">
      <c r="B131" s="114">
        <v>2029</v>
      </c>
      <c r="C131" s="289" t="s">
        <v>97</v>
      </c>
      <c r="D131" s="112">
        <f>VLOOKUP($E$3,'Housing Generation'!$A$3:$DQ$90,91,FALSE)</f>
        <v>10</v>
      </c>
      <c r="E131" s="112">
        <f>VLOOKUP($E$3,'Housing Generation'!$A$3:$DQ$90,92,FALSE)</f>
        <v>10</v>
      </c>
      <c r="F131" s="112">
        <f>VLOOKUP($E$3,'Housing Generation'!$A$3:$DQ$90,93,FALSE)</f>
        <v>10</v>
      </c>
      <c r="G131" s="112">
        <f>VLOOKUP($E$3,'Housing Generation'!$A$3:$DQ$90,94,FALSE)</f>
        <v>10</v>
      </c>
      <c r="H131" s="112">
        <f>VLOOKUP($E$3,'Housing Generation'!$A$3:$DQ$90,95,FALSE)</f>
        <v>10</v>
      </c>
      <c r="I131" s="112">
        <f>VLOOKUP($E$3,'Housing Generation'!$A$3:$DQ$90,96,FALSE)</f>
        <v>10</v>
      </c>
      <c r="J131" s="111">
        <f t="shared" si="21"/>
        <v>60</v>
      </c>
    </row>
    <row r="132" spans="2:10" ht="15" customHeight="1">
      <c r="B132" s="114">
        <v>2030</v>
      </c>
      <c r="C132" s="289" t="s">
        <v>97</v>
      </c>
      <c r="D132" s="112">
        <f>VLOOKUP($E$3,'Housing Generation'!$A$3:$DQ$90,99,FALSE)</f>
        <v>12</v>
      </c>
      <c r="E132" s="112">
        <f>VLOOKUP($E$3,'Housing Generation'!$A$3:$DQ$90,100,FALSE)</f>
        <v>12</v>
      </c>
      <c r="F132" s="112">
        <f>VLOOKUP($E$3,'Housing Generation'!$A$3:$DQ$90,101,FALSE)</f>
        <v>11</v>
      </c>
      <c r="G132" s="112">
        <f>VLOOKUP($E$3,'Housing Generation'!$A$3:$DQ$90,102,FALSE)</f>
        <v>11</v>
      </c>
      <c r="H132" s="112">
        <f>VLOOKUP($E$3,'Housing Generation'!$A$3:$DQ$90,103,FALSE)</f>
        <v>11</v>
      </c>
      <c r="I132" s="112">
        <f>VLOOKUP($E$3,'Housing Generation'!$A$3:$DQ$90,104,FALSE)</f>
        <v>11</v>
      </c>
      <c r="J132" s="111">
        <f t="shared" si="21"/>
        <v>68</v>
      </c>
    </row>
    <row r="133" spans="2:10" ht="15" customHeight="1">
      <c r="B133" s="114">
        <v>2031</v>
      </c>
      <c r="C133" s="289" t="s">
        <v>97</v>
      </c>
      <c r="D133" s="112">
        <f>VLOOKUP($E$3,'Housing Generation'!$A$3:$DQ$90,107,FALSE)</f>
        <v>13</v>
      </c>
      <c r="E133" s="112">
        <f>VLOOKUP($E$3,'Housing Generation'!$A$3:$DQ$90,108,FALSE)</f>
        <v>13</v>
      </c>
      <c r="F133" s="112">
        <f>VLOOKUP($E$3,'Housing Generation'!$A$3:$DQ$90,109,FALSE)</f>
        <v>13</v>
      </c>
      <c r="G133" s="112">
        <f>VLOOKUP($E$3,'Housing Generation'!$A$3:$DQ$90,110,FALSE)</f>
        <v>13</v>
      </c>
      <c r="H133" s="112">
        <f>VLOOKUP($E$3,'Housing Generation'!$A$3:$DQ$90,111,FALSE)</f>
        <v>13</v>
      </c>
      <c r="I133" s="112">
        <f>VLOOKUP($E$3,'Housing Generation'!$A$3:$DQ$90,112,FALSE)</f>
        <v>12</v>
      </c>
      <c r="J133" s="111">
        <f t="shared" si="21"/>
        <v>77</v>
      </c>
    </row>
    <row r="134" spans="2:10" ht="15" customHeight="1">
      <c r="B134" s="114">
        <v>2032</v>
      </c>
      <c r="C134" s="289" t="s">
        <v>97</v>
      </c>
      <c r="D134" s="112">
        <f>VLOOKUP($E$3,'Housing Generation'!$A$3:$DQ$90,115,FALSE)</f>
        <v>14</v>
      </c>
      <c r="E134" s="112">
        <f>VLOOKUP($E$3,'Housing Generation'!$A$3:$DQ$90,116,FALSE)</f>
        <v>14</v>
      </c>
      <c r="F134" s="112">
        <f>VLOOKUP($E$3,'Housing Generation'!$A$3:$DQ$90,117,FALSE)</f>
        <v>14</v>
      </c>
      <c r="G134" s="112">
        <f>VLOOKUP($E$3,'Housing Generation'!$A$3:$DQ$90,118,FALSE)</f>
        <v>14</v>
      </c>
      <c r="H134" s="112">
        <f>VLOOKUP($E$3,'Housing Generation'!$A$3:$DQ$90,119,FALSE)</f>
        <v>14</v>
      </c>
      <c r="I134" s="112">
        <f>VLOOKUP($E$3,'Housing Generation'!$A$3:$DQ$90,120,FALSE)</f>
        <v>14</v>
      </c>
      <c r="J134" s="111">
        <f t="shared" si="21"/>
        <v>84</v>
      </c>
    </row>
    <row r="135" spans="2:10" ht="15"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Victoria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336">
        <f t="shared" ref="C139:C152" si="22">C103</f>
        <v>43.297979797979799</v>
      </c>
      <c r="D139" s="112">
        <f t="shared" ref="D139:I152" si="23">D121+D103</f>
        <v>42</v>
      </c>
      <c r="E139" s="112">
        <f t="shared" si="23"/>
        <v>44</v>
      </c>
      <c r="F139" s="112">
        <f t="shared" si="23"/>
        <v>35</v>
      </c>
      <c r="G139" s="112">
        <f t="shared" si="23"/>
        <v>36</v>
      </c>
      <c r="H139" s="112">
        <f t="shared" si="23"/>
        <v>54</v>
      </c>
      <c r="I139" s="112">
        <f t="shared" si="23"/>
        <v>33</v>
      </c>
      <c r="J139" s="111">
        <f t="shared" ref="J139:J147" si="24">SUM(C139:I139)</f>
        <v>287.29797979797979</v>
      </c>
    </row>
    <row r="140" spans="2:10" ht="15" customHeight="1">
      <c r="B140" s="114">
        <v>2020</v>
      </c>
      <c r="C140" s="336">
        <f t="shared" si="22"/>
        <v>30</v>
      </c>
      <c r="D140" s="112">
        <f t="shared" si="23"/>
        <v>42</v>
      </c>
      <c r="E140" s="112">
        <f t="shared" si="23"/>
        <v>42</v>
      </c>
      <c r="F140" s="112">
        <f t="shared" si="23"/>
        <v>44</v>
      </c>
      <c r="G140" s="112">
        <f t="shared" si="23"/>
        <v>37</v>
      </c>
      <c r="H140" s="112">
        <f t="shared" si="23"/>
        <v>36</v>
      </c>
      <c r="I140" s="112">
        <f t="shared" si="23"/>
        <v>54</v>
      </c>
      <c r="J140" s="111">
        <f t="shared" si="24"/>
        <v>285</v>
      </c>
    </row>
    <row r="141" spans="2:10" ht="15" customHeight="1">
      <c r="B141" s="114">
        <v>2021</v>
      </c>
      <c r="C141" s="336">
        <f t="shared" si="22"/>
        <v>30</v>
      </c>
      <c r="D141" s="112">
        <f t="shared" si="23"/>
        <v>29</v>
      </c>
      <c r="E141" s="112">
        <f t="shared" si="23"/>
        <v>41</v>
      </c>
      <c r="F141" s="112">
        <f t="shared" si="23"/>
        <v>42</v>
      </c>
      <c r="G141" s="112">
        <f t="shared" si="23"/>
        <v>46</v>
      </c>
      <c r="H141" s="112">
        <f t="shared" si="23"/>
        <v>36</v>
      </c>
      <c r="I141" s="112">
        <f t="shared" si="23"/>
        <v>35</v>
      </c>
      <c r="J141" s="111">
        <f t="shared" si="24"/>
        <v>259</v>
      </c>
    </row>
    <row r="142" spans="2:10" ht="15" customHeight="1">
      <c r="B142" s="114">
        <v>2022</v>
      </c>
      <c r="C142" s="113">
        <f t="shared" si="22"/>
        <v>42.421717171717177</v>
      </c>
      <c r="D142" s="112">
        <f t="shared" si="23"/>
        <v>29</v>
      </c>
      <c r="E142" s="112">
        <f t="shared" si="23"/>
        <v>28</v>
      </c>
      <c r="F142" s="112">
        <f t="shared" si="23"/>
        <v>41</v>
      </c>
      <c r="G142" s="112">
        <f t="shared" si="23"/>
        <v>44</v>
      </c>
      <c r="H142" s="112">
        <f t="shared" si="23"/>
        <v>44</v>
      </c>
      <c r="I142" s="112">
        <f t="shared" si="23"/>
        <v>35</v>
      </c>
      <c r="J142" s="111">
        <f t="shared" si="24"/>
        <v>263.42171717171721</v>
      </c>
    </row>
    <row r="143" spans="2:10" ht="15" customHeight="1">
      <c r="B143" s="114">
        <v>2023</v>
      </c>
      <c r="C143" s="113">
        <f t="shared" si="22"/>
        <v>30</v>
      </c>
      <c r="D143" s="112">
        <f t="shared" si="23"/>
        <v>41</v>
      </c>
      <c r="E143" s="112">
        <f t="shared" si="23"/>
        <v>29</v>
      </c>
      <c r="F143" s="112">
        <f t="shared" si="23"/>
        <v>29</v>
      </c>
      <c r="G143" s="112">
        <f t="shared" si="23"/>
        <v>43</v>
      </c>
      <c r="H143" s="112">
        <f t="shared" si="23"/>
        <v>42</v>
      </c>
      <c r="I143" s="112">
        <f t="shared" si="23"/>
        <v>43</v>
      </c>
      <c r="J143" s="111">
        <f t="shared" si="24"/>
        <v>257</v>
      </c>
    </row>
    <row r="144" spans="2:10" ht="15" customHeight="1">
      <c r="B144" s="114">
        <v>2024</v>
      </c>
      <c r="C144" s="113">
        <f t="shared" si="22"/>
        <v>41.545454545454547</v>
      </c>
      <c r="D144" s="112">
        <f t="shared" si="23"/>
        <v>29</v>
      </c>
      <c r="E144" s="112">
        <f t="shared" si="23"/>
        <v>42</v>
      </c>
      <c r="F144" s="112">
        <f t="shared" si="23"/>
        <v>30</v>
      </c>
      <c r="G144" s="112">
        <f t="shared" si="23"/>
        <v>31</v>
      </c>
      <c r="H144" s="112">
        <f t="shared" si="23"/>
        <v>42</v>
      </c>
      <c r="I144" s="112">
        <f t="shared" si="23"/>
        <v>42</v>
      </c>
      <c r="J144" s="111">
        <f t="shared" si="24"/>
        <v>257.54545454545456</v>
      </c>
    </row>
    <row r="145" spans="2:16" ht="15" customHeight="1">
      <c r="B145" s="114">
        <v>2025</v>
      </c>
      <c r="C145" s="113">
        <f t="shared" si="22"/>
        <v>43.297979797979799</v>
      </c>
      <c r="D145" s="112">
        <f t="shared" si="23"/>
        <v>40</v>
      </c>
      <c r="E145" s="112">
        <f t="shared" si="23"/>
        <v>30</v>
      </c>
      <c r="F145" s="112">
        <f t="shared" si="23"/>
        <v>43</v>
      </c>
      <c r="G145" s="112">
        <f t="shared" si="23"/>
        <v>32</v>
      </c>
      <c r="H145" s="112">
        <f t="shared" si="23"/>
        <v>31</v>
      </c>
      <c r="I145" s="112">
        <f t="shared" si="23"/>
        <v>42</v>
      </c>
      <c r="J145" s="111">
        <f t="shared" si="24"/>
        <v>261.29797979797979</v>
      </c>
    </row>
    <row r="146" spans="2:16" ht="15" customHeight="1">
      <c r="B146" s="114">
        <v>2026</v>
      </c>
      <c r="C146" s="113">
        <f t="shared" si="22"/>
        <v>45.050505050505052</v>
      </c>
      <c r="D146" s="112">
        <f t="shared" si="23"/>
        <v>42</v>
      </c>
      <c r="E146" s="112">
        <f t="shared" si="23"/>
        <v>42</v>
      </c>
      <c r="F146" s="112">
        <f t="shared" si="23"/>
        <v>32</v>
      </c>
      <c r="G146" s="112">
        <f t="shared" si="23"/>
        <v>46</v>
      </c>
      <c r="H146" s="112">
        <f t="shared" si="23"/>
        <v>32</v>
      </c>
      <c r="I146" s="112">
        <f t="shared" si="23"/>
        <v>31</v>
      </c>
      <c r="J146" s="111">
        <f t="shared" si="24"/>
        <v>270.05050505050508</v>
      </c>
    </row>
    <row r="147" spans="2:16" ht="15" customHeight="1">
      <c r="B147" s="114">
        <v>2027</v>
      </c>
      <c r="C147" s="113">
        <f t="shared" si="22"/>
        <v>46.803030303030305</v>
      </c>
      <c r="D147" s="112">
        <f t="shared" si="23"/>
        <v>44</v>
      </c>
      <c r="E147" s="112">
        <f t="shared" si="23"/>
        <v>43</v>
      </c>
      <c r="F147" s="112">
        <f t="shared" si="23"/>
        <v>43</v>
      </c>
      <c r="G147" s="112">
        <f t="shared" si="23"/>
        <v>34</v>
      </c>
      <c r="H147" s="112">
        <f t="shared" si="23"/>
        <v>45</v>
      </c>
      <c r="I147" s="112">
        <f t="shared" si="23"/>
        <v>33</v>
      </c>
      <c r="J147" s="111">
        <f t="shared" si="24"/>
        <v>288.80303030303031</v>
      </c>
    </row>
    <row r="148" spans="2:16" ht="15" customHeight="1">
      <c r="B148" s="114">
        <v>2028</v>
      </c>
      <c r="C148" s="113">
        <f t="shared" si="22"/>
        <v>47.679292929292927</v>
      </c>
      <c r="D148" s="112">
        <f t="shared" si="23"/>
        <v>46</v>
      </c>
      <c r="E148" s="112">
        <f t="shared" si="23"/>
        <v>45</v>
      </c>
      <c r="F148" s="112">
        <f t="shared" si="23"/>
        <v>45</v>
      </c>
      <c r="G148" s="112">
        <f t="shared" si="23"/>
        <v>46</v>
      </c>
      <c r="H148" s="112">
        <f t="shared" si="23"/>
        <v>35</v>
      </c>
      <c r="I148" s="112">
        <f t="shared" si="23"/>
        <v>45</v>
      </c>
      <c r="J148" s="111">
        <f t="shared" ref="J148:J152" si="25">SUM(C148:I148)</f>
        <v>309.67929292929296</v>
      </c>
    </row>
    <row r="149" spans="2:16" ht="15" customHeight="1">
      <c r="B149" s="114">
        <v>2029</v>
      </c>
      <c r="C149" s="113">
        <f t="shared" si="22"/>
        <v>49.431818181818187</v>
      </c>
      <c r="D149" s="112">
        <f t="shared" si="23"/>
        <v>45</v>
      </c>
      <c r="E149" s="112">
        <f t="shared" si="23"/>
        <v>47</v>
      </c>
      <c r="F149" s="112">
        <f t="shared" si="23"/>
        <v>46</v>
      </c>
      <c r="G149" s="112">
        <f t="shared" si="23"/>
        <v>47</v>
      </c>
      <c r="H149" s="112">
        <f t="shared" si="23"/>
        <v>45</v>
      </c>
      <c r="I149" s="112">
        <f t="shared" si="23"/>
        <v>35</v>
      </c>
      <c r="J149" s="111">
        <f t="shared" si="25"/>
        <v>314.43181818181819</v>
      </c>
    </row>
    <row r="150" spans="2:16" ht="15" customHeight="1">
      <c r="B150" s="114">
        <v>2030</v>
      </c>
      <c r="C150" s="113">
        <f t="shared" si="22"/>
        <v>50</v>
      </c>
      <c r="D150" s="112">
        <f t="shared" si="23"/>
        <v>48</v>
      </c>
      <c r="E150" s="112">
        <f t="shared" si="23"/>
        <v>47</v>
      </c>
      <c r="F150" s="112">
        <f t="shared" si="23"/>
        <v>48</v>
      </c>
      <c r="G150" s="112">
        <f t="shared" si="23"/>
        <v>48</v>
      </c>
      <c r="H150" s="112">
        <f t="shared" si="23"/>
        <v>46</v>
      </c>
      <c r="I150" s="112">
        <f t="shared" si="23"/>
        <v>45</v>
      </c>
      <c r="J150" s="111">
        <f t="shared" si="25"/>
        <v>332</v>
      </c>
    </row>
    <row r="151" spans="2:16" ht="15" customHeight="1">
      <c r="B151" s="114">
        <v>2031</v>
      </c>
      <c r="C151" s="113">
        <f t="shared" si="22"/>
        <v>50</v>
      </c>
      <c r="D151" s="112">
        <f t="shared" si="23"/>
        <v>49</v>
      </c>
      <c r="E151" s="112">
        <f t="shared" si="23"/>
        <v>49</v>
      </c>
      <c r="F151" s="112">
        <f t="shared" si="23"/>
        <v>48</v>
      </c>
      <c r="G151" s="112">
        <f t="shared" si="23"/>
        <v>51</v>
      </c>
      <c r="H151" s="112">
        <f t="shared" si="23"/>
        <v>48</v>
      </c>
      <c r="I151" s="112">
        <f t="shared" si="23"/>
        <v>46</v>
      </c>
      <c r="J151" s="111">
        <f t="shared" si="25"/>
        <v>341</v>
      </c>
    </row>
    <row r="152" spans="2:16" ht="15" customHeight="1">
      <c r="B152" s="114">
        <v>2032</v>
      </c>
      <c r="C152" s="113">
        <f t="shared" si="22"/>
        <v>50</v>
      </c>
      <c r="D152" s="112">
        <f t="shared" si="23"/>
        <v>48</v>
      </c>
      <c r="E152" s="112">
        <f t="shared" si="23"/>
        <v>50</v>
      </c>
      <c r="F152" s="112">
        <f t="shared" si="23"/>
        <v>50</v>
      </c>
      <c r="G152" s="112">
        <f t="shared" si="23"/>
        <v>50</v>
      </c>
      <c r="H152" s="112">
        <f t="shared" si="23"/>
        <v>50</v>
      </c>
      <c r="I152" s="112">
        <f t="shared" si="23"/>
        <v>48</v>
      </c>
      <c r="J152" s="111">
        <f t="shared" si="25"/>
        <v>346</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287.29797979797979</v>
      </c>
      <c r="D159" s="108">
        <f>J140</f>
        <v>285</v>
      </c>
      <c r="E159" s="108">
        <f>J141</f>
        <v>259</v>
      </c>
      <c r="F159" s="108">
        <f>J142</f>
        <v>263.42171717171721</v>
      </c>
      <c r="G159" s="108">
        <f>J143</f>
        <v>257</v>
      </c>
      <c r="H159" s="108">
        <f>J144</f>
        <v>257.54545454545456</v>
      </c>
      <c r="I159" s="108">
        <f>J145</f>
        <v>261.29797979797979</v>
      </c>
      <c r="J159" s="108">
        <f>J146</f>
        <v>270.05050505050508</v>
      </c>
      <c r="K159" s="108">
        <f>J147</f>
        <v>288.80303030303031</v>
      </c>
      <c r="L159" s="108">
        <f>J148</f>
        <v>309.67929292929296</v>
      </c>
      <c r="M159" s="108">
        <f>J149</f>
        <v>314.43181818181819</v>
      </c>
      <c r="N159" s="108">
        <f>J150</f>
        <v>332</v>
      </c>
      <c r="O159" s="108">
        <f>J151</f>
        <v>341</v>
      </c>
      <c r="P159" s="108">
        <f>J152</f>
        <v>346</v>
      </c>
    </row>
    <row r="160" spans="2:16" ht="15" customHeight="1">
      <c r="B160" s="107" t="s">
        <v>152</v>
      </c>
      <c r="C160" s="106">
        <f>VLOOKUP(C159,Capacity!$A$1:$C$645,2,TRUE)</f>
        <v>11</v>
      </c>
      <c r="D160" s="106">
        <f>VLOOKUP(D159,Capacity!$A$1:$C$645,2,TRUE)</f>
        <v>11</v>
      </c>
      <c r="E160" s="106">
        <f>VLOOKUP(E159,Capacity!$A$1:$C$645,2,TRUE)</f>
        <v>10</v>
      </c>
      <c r="F160" s="106">
        <f>VLOOKUP(F159,Capacity!$A$1:$C$645,2,TRUE)</f>
        <v>11</v>
      </c>
      <c r="G160" s="106">
        <f>VLOOKUP(G159,Capacity!$A$1:$C$645,2,TRUE)</f>
        <v>10</v>
      </c>
      <c r="H160" s="106">
        <f>VLOOKUP(H159,Capacity!$A$1:$C$645,2,TRUE)</f>
        <v>10</v>
      </c>
      <c r="I160" s="106">
        <f>VLOOKUP(I159,Capacity!$A$1:$C$645,2,TRUE)</f>
        <v>11</v>
      </c>
      <c r="J160" s="106">
        <f>VLOOKUP(J159,Capacity!$A$1:$C$645,2,TRUE)</f>
        <v>11</v>
      </c>
      <c r="K160" s="106">
        <f>VLOOKUP(K159,Capacity!$A$1:$C$645,2,TRUE)</f>
        <v>11</v>
      </c>
      <c r="L160" s="106">
        <f>VLOOKUP(L159,Capacity!$A$1:$C$645,2,TRUE)</f>
        <v>12</v>
      </c>
      <c r="M160" s="106">
        <f>VLOOKUP(M159,Capacity!$A$1:$C$645,2,TRUE)</f>
        <v>12</v>
      </c>
      <c r="N160" s="106">
        <f>VLOOKUP(N159,Capacity!$A$1:$C$645,2,TRUE)</f>
        <v>14</v>
      </c>
      <c r="O160" s="106">
        <f>VLOOKUP(O159,Capacity!$A$1:$C$645,2,TRUE)</f>
        <v>14</v>
      </c>
      <c r="P160" s="106">
        <f>VLOOKUP(P159,Capacity!$A$1:$C$645,2,TRUE)</f>
        <v>14</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 customHeight="1">
      <c r="B164" s="63" t="s">
        <v>145</v>
      </c>
      <c r="C164" s="62"/>
      <c r="D164" s="62"/>
      <c r="E164" s="62"/>
      <c r="F164" s="62"/>
      <c r="G164" s="62"/>
      <c r="H164" s="62"/>
      <c r="I164" s="62"/>
      <c r="J164" s="62"/>
      <c r="K164" s="62"/>
      <c r="L164" s="62"/>
      <c r="M164" s="62"/>
    </row>
    <row r="165" spans="2:14" ht="15" customHeight="1">
      <c r="B165" s="62"/>
      <c r="C165" s="62"/>
      <c r="D165" s="62"/>
      <c r="E165" s="62"/>
      <c r="F165" s="62"/>
      <c r="G165" s="62"/>
      <c r="H165" s="62"/>
      <c r="I165" s="62"/>
      <c r="J165" s="62"/>
      <c r="K165" s="62"/>
      <c r="L165" s="62"/>
      <c r="M165" s="62"/>
    </row>
    <row r="166" spans="2:14" ht="15" customHeight="1">
      <c r="B166" s="64" t="s">
        <v>146</v>
      </c>
      <c r="C166" s="65"/>
      <c r="D166" s="65"/>
      <c r="E166" s="65"/>
      <c r="F166" s="65"/>
      <c r="G166" s="65"/>
      <c r="H166" s="65"/>
      <c r="I166" s="65"/>
      <c r="J166" s="65"/>
      <c r="K166" s="62"/>
      <c r="L166" s="62"/>
      <c r="M166" s="62"/>
    </row>
    <row r="167" spans="2:14" ht="15" customHeight="1">
      <c r="B167" s="64"/>
      <c r="C167" s="65"/>
      <c r="D167" s="65"/>
      <c r="E167" s="65"/>
      <c r="F167" s="65"/>
      <c r="G167" s="65"/>
      <c r="H167" s="65"/>
      <c r="I167" s="65"/>
      <c r="J167" s="65"/>
      <c r="K167" s="62"/>
      <c r="L167" s="62"/>
      <c r="M167" s="62"/>
    </row>
    <row r="168" spans="2:14" ht="15" customHeight="1">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15" customHeight="1">
      <c r="B169" s="103" t="s">
        <v>129</v>
      </c>
      <c r="C169" s="97">
        <f>VLOOKUP($E$3,'Catchment Births'!$A$1:$U$90,10,FALSE)</f>
        <v>30</v>
      </c>
      <c r="D169" s="97">
        <f>VLOOKUP($E$3,'Catchment Births'!$A$1:$U$90,11,FALSE)</f>
        <v>33</v>
      </c>
      <c r="E169" s="97">
        <f>VLOOKUP($E$3,'Catchment Births'!$A$1:$U$90,12,FALSE)</f>
        <v>35</v>
      </c>
      <c r="F169" s="97">
        <f>VLOOKUP($E$3,'Catchment Births'!$A$1:$U$90,13,FALSE)</f>
        <v>51</v>
      </c>
      <c r="G169" s="97">
        <f>VLOOKUP($E$3,'Catchment Births'!$A$1:$U$90,14,FALSE)</f>
        <v>46</v>
      </c>
      <c r="H169" s="97">
        <f>VLOOKUP($E$3,'Catchment Births'!$A$1:$U$90,15,FALSE)</f>
        <v>68</v>
      </c>
      <c r="I169" s="97">
        <f>VLOOKUP($E$3,'Catchment Births'!$A$1:$U$90,16,FALSE)</f>
        <v>77</v>
      </c>
      <c r="J169" s="97">
        <f>VLOOKUP($E$3,'Catchment Births'!$A$1:$U$90,17,FALSE)</f>
        <v>74</v>
      </c>
      <c r="K169" s="97">
        <f>VLOOKUP($E$3,'Catchment Births'!$A$1:$U$90,18,FALSE)</f>
        <v>84</v>
      </c>
      <c r="L169" s="97">
        <f>VLOOKUP($E$3,'Catchment Births'!$A$1:$U$90,19,FALSE)</f>
        <v>70</v>
      </c>
      <c r="M169" s="97">
        <f>VLOOKUP($E$3,'Catchment Births'!$A$1:$U$90,20,FALSE)</f>
        <v>75</v>
      </c>
      <c r="N169" s="97">
        <f>VLOOKUP($E$3,'Catchment Births'!$A$1:$U$90,21,FALSE)</f>
        <v>66</v>
      </c>
    </row>
    <row r="170" spans="2:14" ht="15" customHeight="1">
      <c r="B170" s="103" t="str">
        <f>"P1 "&amp;A35&amp;" Catchment Population (Actual)"</f>
        <v>P1 ND Catchment Population (Actual)</v>
      </c>
      <c r="C170" s="102" t="e">
        <v>#REF!</v>
      </c>
      <c r="D170" s="102">
        <v>23</v>
      </c>
      <c r="E170" s="102">
        <v>19</v>
      </c>
      <c r="F170" s="102">
        <v>38</v>
      </c>
      <c r="G170" s="102">
        <v>30</v>
      </c>
      <c r="H170" s="102">
        <v>44</v>
      </c>
      <c r="I170" s="102">
        <v>28</v>
      </c>
      <c r="J170" s="308">
        <f>VLOOKUP(E3,'Catchment Projections'!A1:BU92,42,FALSE)</f>
        <v>36</v>
      </c>
      <c r="K170" s="62"/>
      <c r="L170" s="62"/>
      <c r="M170" s="62"/>
    </row>
    <row r="171" spans="2:14" ht="15" customHeight="1">
      <c r="B171" s="88" t="s">
        <v>160</v>
      </c>
      <c r="C171" s="100"/>
      <c r="D171" s="100"/>
      <c r="E171" s="100"/>
      <c r="F171" s="100"/>
      <c r="G171" s="100"/>
      <c r="H171" s="100"/>
      <c r="I171" s="101"/>
      <c r="J171" s="89">
        <f>D53</f>
        <v>0</v>
      </c>
      <c r="K171" s="62"/>
      <c r="L171" s="62"/>
      <c r="M171" s="62"/>
    </row>
    <row r="172" spans="2:14" ht="15" customHeight="1">
      <c r="B172" s="99" t="s">
        <v>140</v>
      </c>
      <c r="C172" s="99"/>
      <c r="D172" s="98"/>
      <c r="E172" s="98"/>
      <c r="F172" s="98"/>
      <c r="G172" s="97"/>
      <c r="H172" s="96"/>
      <c r="I172" s="96">
        <f>I170</f>
        <v>28</v>
      </c>
      <c r="J172" s="96" t="e">
        <f>#REF!</f>
        <v>#REF!</v>
      </c>
      <c r="K172" s="96">
        <f>D51</f>
        <v>38</v>
      </c>
      <c r="L172" s="96">
        <f>E51</f>
        <v>34</v>
      </c>
      <c r="M172" s="96">
        <f>F51</f>
        <v>32</v>
      </c>
      <c r="N172" s="96">
        <f>G51</f>
        <v>37</v>
      </c>
    </row>
    <row r="173" spans="2:14" ht="15" customHeight="1">
      <c r="B173" s="62"/>
      <c r="C173" s="62"/>
      <c r="D173" s="62"/>
      <c r="E173" s="62"/>
      <c r="F173" s="62"/>
      <c r="G173" s="62"/>
      <c r="H173" s="62"/>
      <c r="I173" s="62"/>
      <c r="J173" s="62"/>
      <c r="K173" s="62"/>
    </row>
    <row r="174" spans="2:14" ht="15" customHeight="1">
      <c r="B174" s="64" t="str">
        <f>"Table 5: "&amp;E3&amp;" Roll by Stage, 2002-2018"</f>
        <v>Table 5: Victoria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15</v>
      </c>
      <c r="D177" s="93">
        <v>19</v>
      </c>
      <c r="E177" s="93">
        <v>19</v>
      </c>
      <c r="F177" s="93">
        <v>13</v>
      </c>
      <c r="G177" s="93">
        <v>10</v>
      </c>
      <c r="H177" s="93">
        <v>20</v>
      </c>
      <c r="I177" s="93">
        <v>13</v>
      </c>
      <c r="J177" s="92">
        <v>109</v>
      </c>
      <c r="K177" s="62"/>
    </row>
    <row r="178" spans="2:11" ht="15" customHeight="1">
      <c r="B178" s="94">
        <v>2003</v>
      </c>
      <c r="C178" s="93">
        <v>21</v>
      </c>
      <c r="D178" s="93">
        <v>14</v>
      </c>
      <c r="E178" s="93">
        <v>19</v>
      </c>
      <c r="F178" s="93">
        <v>20</v>
      </c>
      <c r="G178" s="93">
        <v>13</v>
      </c>
      <c r="H178" s="93">
        <v>12</v>
      </c>
      <c r="I178" s="93">
        <v>19</v>
      </c>
      <c r="J178" s="92">
        <v>118</v>
      </c>
      <c r="K178" s="62"/>
    </row>
    <row r="179" spans="2:11" customFormat="1" ht="15" customHeight="1">
      <c r="B179" s="94">
        <v>2004</v>
      </c>
      <c r="C179" s="95">
        <v>15</v>
      </c>
      <c r="D179" s="95">
        <v>18</v>
      </c>
      <c r="E179" s="95">
        <v>12</v>
      </c>
      <c r="F179" s="95">
        <v>17</v>
      </c>
      <c r="G179" s="95">
        <v>20</v>
      </c>
      <c r="H179" s="95">
        <v>14</v>
      </c>
      <c r="I179" s="95">
        <v>13</v>
      </c>
      <c r="J179" s="92">
        <v>109</v>
      </c>
      <c r="K179" s="62"/>
    </row>
    <row r="180" spans="2:11" customFormat="1" ht="15" customHeight="1">
      <c r="B180" s="94">
        <v>2005</v>
      </c>
      <c r="C180" s="93">
        <v>22</v>
      </c>
      <c r="D180" s="93">
        <v>14</v>
      </c>
      <c r="E180" s="93">
        <v>18</v>
      </c>
      <c r="F180" s="93">
        <v>16</v>
      </c>
      <c r="G180" s="93">
        <v>14</v>
      </c>
      <c r="H180" s="93">
        <v>20</v>
      </c>
      <c r="I180" s="93">
        <v>13</v>
      </c>
      <c r="J180" s="92">
        <v>117</v>
      </c>
      <c r="K180" s="62"/>
    </row>
    <row r="181" spans="2:11" customFormat="1" ht="15" customHeight="1">
      <c r="B181" s="94">
        <v>2006</v>
      </c>
      <c r="C181" s="93">
        <v>12</v>
      </c>
      <c r="D181" s="93">
        <v>20</v>
      </c>
      <c r="E181" s="93">
        <v>15</v>
      </c>
      <c r="F181" s="93">
        <v>8</v>
      </c>
      <c r="G181" s="93">
        <v>16</v>
      </c>
      <c r="H181" s="93">
        <v>9</v>
      </c>
      <c r="I181" s="93">
        <v>19</v>
      </c>
      <c r="J181" s="92">
        <v>99</v>
      </c>
      <c r="K181" s="62"/>
    </row>
    <row r="182" spans="2:11" customFormat="1" ht="15" customHeight="1">
      <c r="B182" s="94">
        <v>2007</v>
      </c>
      <c r="C182" s="93">
        <v>13</v>
      </c>
      <c r="D182" s="93">
        <v>15</v>
      </c>
      <c r="E182" s="93">
        <v>19</v>
      </c>
      <c r="F182" s="93">
        <v>15</v>
      </c>
      <c r="G182" s="93">
        <v>7</v>
      </c>
      <c r="H182" s="93">
        <v>15</v>
      </c>
      <c r="I182" s="93">
        <v>9</v>
      </c>
      <c r="J182" s="92">
        <v>93</v>
      </c>
      <c r="K182" s="62"/>
    </row>
    <row r="183" spans="2:11" customFormat="1" ht="15" customHeight="1">
      <c r="B183" s="94">
        <v>2008</v>
      </c>
      <c r="C183" s="93">
        <v>18</v>
      </c>
      <c r="D183" s="93">
        <v>14</v>
      </c>
      <c r="E183" s="93">
        <v>23</v>
      </c>
      <c r="F183" s="93">
        <v>23</v>
      </c>
      <c r="G183" s="93">
        <v>13</v>
      </c>
      <c r="H183" s="93">
        <v>8</v>
      </c>
      <c r="I183" s="93">
        <v>15</v>
      </c>
      <c r="J183" s="92">
        <v>114</v>
      </c>
      <c r="K183" s="62"/>
    </row>
    <row r="184" spans="2:11" customFormat="1" ht="15" customHeight="1">
      <c r="B184" s="94">
        <v>2009</v>
      </c>
      <c r="C184" s="93">
        <v>24</v>
      </c>
      <c r="D184" s="93">
        <v>21</v>
      </c>
      <c r="E184" s="93">
        <v>11</v>
      </c>
      <c r="F184" s="93">
        <v>27</v>
      </c>
      <c r="G184" s="93">
        <v>25</v>
      </c>
      <c r="H184" s="93">
        <v>10</v>
      </c>
      <c r="I184" s="93">
        <v>11</v>
      </c>
      <c r="J184" s="94">
        <v>129</v>
      </c>
      <c r="K184" s="62"/>
    </row>
    <row r="185" spans="2:11" customFormat="1" ht="15" customHeight="1">
      <c r="B185" s="94">
        <v>2010</v>
      </c>
      <c r="C185" s="93">
        <v>17</v>
      </c>
      <c r="D185" s="93">
        <v>21</v>
      </c>
      <c r="E185" s="93">
        <v>19</v>
      </c>
      <c r="F185" s="93">
        <v>12</v>
      </c>
      <c r="G185" s="93">
        <v>24</v>
      </c>
      <c r="H185" s="93">
        <v>28</v>
      </c>
      <c r="I185" s="93">
        <v>14</v>
      </c>
      <c r="J185" s="92">
        <v>135</v>
      </c>
      <c r="K185" s="62"/>
    </row>
    <row r="186" spans="2:11" customFormat="1" ht="15" customHeight="1">
      <c r="B186" s="94">
        <v>2011</v>
      </c>
      <c r="C186" s="93">
        <v>25</v>
      </c>
      <c r="D186" s="93">
        <v>20</v>
      </c>
      <c r="E186" s="93">
        <v>19</v>
      </c>
      <c r="F186" s="93">
        <v>18</v>
      </c>
      <c r="G186" s="93">
        <v>11</v>
      </c>
      <c r="H186" s="93">
        <v>24</v>
      </c>
      <c r="I186" s="93">
        <v>27</v>
      </c>
      <c r="J186" s="92">
        <v>144</v>
      </c>
      <c r="K186" s="62"/>
    </row>
    <row r="187" spans="2:11" customFormat="1" ht="15" customHeight="1">
      <c r="B187" s="94">
        <v>2012</v>
      </c>
      <c r="C187" s="93">
        <v>38</v>
      </c>
      <c r="D187" s="93">
        <v>24</v>
      </c>
      <c r="E187" s="93">
        <v>16</v>
      </c>
      <c r="F187" s="93">
        <v>15</v>
      </c>
      <c r="G187" s="93">
        <v>20</v>
      </c>
      <c r="H187" s="93">
        <v>11</v>
      </c>
      <c r="I187" s="93">
        <v>28</v>
      </c>
      <c r="J187" s="92">
        <v>152</v>
      </c>
      <c r="K187" s="62"/>
    </row>
    <row r="188" spans="2:11" customFormat="1" ht="15" customHeight="1">
      <c r="B188" s="94">
        <v>2013</v>
      </c>
      <c r="C188" s="93">
        <v>36</v>
      </c>
      <c r="D188" s="93">
        <v>43</v>
      </c>
      <c r="E188" s="93">
        <v>24</v>
      </c>
      <c r="F188" s="93">
        <v>22</v>
      </c>
      <c r="G188" s="93">
        <v>14</v>
      </c>
      <c r="H188" s="93">
        <v>20</v>
      </c>
      <c r="I188" s="93">
        <v>11</v>
      </c>
      <c r="J188" s="94">
        <v>170</v>
      </c>
      <c r="K188" s="62"/>
    </row>
    <row r="189" spans="2:11" customFormat="1" ht="15" customHeight="1">
      <c r="B189" s="94">
        <v>2014</v>
      </c>
      <c r="C189" s="93">
        <v>48</v>
      </c>
      <c r="D189" s="93">
        <v>33</v>
      </c>
      <c r="E189" s="93">
        <v>42</v>
      </c>
      <c r="F189" s="93">
        <v>25</v>
      </c>
      <c r="G189" s="93">
        <v>24</v>
      </c>
      <c r="H189" s="93">
        <v>15</v>
      </c>
      <c r="I189" s="93">
        <v>20</v>
      </c>
      <c r="J189" s="92">
        <v>207</v>
      </c>
      <c r="K189" s="65"/>
    </row>
    <row r="190" spans="2:11" customFormat="1" ht="15" customHeight="1">
      <c r="B190" s="94">
        <v>2015</v>
      </c>
      <c r="C190" s="93">
        <v>40</v>
      </c>
      <c r="D190" s="93">
        <v>49</v>
      </c>
      <c r="E190" s="93">
        <v>38</v>
      </c>
      <c r="F190" s="93">
        <v>42</v>
      </c>
      <c r="G190" s="93">
        <v>24</v>
      </c>
      <c r="H190" s="93">
        <v>20</v>
      </c>
      <c r="I190" s="93">
        <v>17</v>
      </c>
      <c r="J190" s="92">
        <v>230</v>
      </c>
      <c r="K190" s="65"/>
    </row>
    <row r="191" spans="2:11" customFormat="1" ht="15" customHeight="1">
      <c r="B191" s="94">
        <v>2016</v>
      </c>
      <c r="C191" s="93">
        <v>40</v>
      </c>
      <c r="D191" s="93">
        <v>38</v>
      </c>
      <c r="E191" s="93">
        <v>53</v>
      </c>
      <c r="F191" s="93">
        <v>38</v>
      </c>
      <c r="G191" s="93">
        <v>44</v>
      </c>
      <c r="H191" s="93">
        <v>23</v>
      </c>
      <c r="I191" s="93">
        <v>18</v>
      </c>
      <c r="J191" s="92">
        <v>254</v>
      </c>
      <c r="K191" s="65"/>
    </row>
    <row r="192" spans="2:11" ht="15" customHeight="1">
      <c r="B192" s="94">
        <v>2017</v>
      </c>
      <c r="C192" s="93">
        <f>VLOOKUP($E$3,Rolls!A1:FA90,42,FALSE)</f>
        <v>39</v>
      </c>
      <c r="D192" s="93">
        <f>VLOOKUP($E$3,Rolls!A1:FA90,43,FALSE)</f>
        <v>39</v>
      </c>
      <c r="E192" s="93">
        <f>VLOOKUP($E$3,Rolls!A1:FA90,44,FALSE)</f>
        <v>38</v>
      </c>
      <c r="F192" s="93">
        <f>VLOOKUP($E$3,Rolls!A1:FA90,45,FALSE)</f>
        <v>54</v>
      </c>
      <c r="G192" s="93">
        <f>VLOOKUP($E$3,Rolls!A1:FA90,46,FALSE)</f>
        <v>33</v>
      </c>
      <c r="H192" s="93">
        <f>VLOOKUP($E$3,Rolls!A1:FA90,47,FALSE)</f>
        <v>38</v>
      </c>
      <c r="I192" s="93">
        <f>VLOOKUP($E$3,Rolls!A1:FA90,48,FALSE)</f>
        <v>20</v>
      </c>
      <c r="J192" s="92">
        <f>VLOOKUP($E$3,Rolls!A1:FA90,49,FALSE)</f>
        <v>261</v>
      </c>
      <c r="K192" s="65"/>
    </row>
    <row r="193" spans="2:11" ht="15" customHeight="1">
      <c r="B193" s="94">
        <v>2018</v>
      </c>
      <c r="C193" s="93">
        <f>VLOOKUP($E$3,Rolls!A1:FA90,50,FALSE)</f>
        <v>42</v>
      </c>
      <c r="D193" s="93">
        <f>VLOOKUP($E$3,Rolls!A1:FA90,51,FALSE)</f>
        <v>43</v>
      </c>
      <c r="E193" s="93">
        <f>VLOOKUP($E$3,Rolls!A1:FA90,52,FALSE)</f>
        <v>35</v>
      </c>
      <c r="F193" s="93">
        <f>VLOOKUP($E$3,Rolls!A1:FA90,53,FALSE)</f>
        <v>35</v>
      </c>
      <c r="G193" s="93">
        <f>VLOOKUP($E$3,Rolls!A1:FA90,54,FALSE)</f>
        <v>56</v>
      </c>
      <c r="H193" s="93">
        <f>VLOOKUP($E$3,Rolls!A1:FA90,55,FALSE)</f>
        <v>34</v>
      </c>
      <c r="I193" s="93">
        <f>VLOOKUP($E$3,Rolls!A1:FA90,56,FALSE)</f>
        <v>37</v>
      </c>
      <c r="J193" s="92">
        <f>VLOOKUP($E$3,Rolls!A1:FA90,57,FALSE)</f>
        <v>282</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1"/>
  <dimension ref="A1:Q193"/>
  <sheetViews>
    <sheetView topLeftCell="B39" zoomScaleNormal="100" workbookViewId="0">
      <selection activeCell="H60" sqref="H60"/>
    </sheetView>
  </sheetViews>
  <sheetFormatPr defaultColWidth="9.140625" defaultRowHeight="15" customHeight="1"/>
  <cols>
    <col min="1" max="1" width="12.7109375" style="11" hidden="1" customWidth="1"/>
    <col min="2" max="2" width="15" style="11" customWidth="1"/>
    <col min="3" max="13" width="12.7109375" style="11" customWidth="1"/>
    <col min="14" max="14" width="12.140625" style="11" customWidth="1"/>
    <col min="15" max="16384" width="9.140625" style="11"/>
  </cols>
  <sheetData>
    <row r="1" spans="2:10" ht="15" hidden="1" customHeight="1"/>
    <row r="2" spans="2:10" ht="15" hidden="1" customHeight="1" thickBot="1">
      <c r="B2" s="18"/>
      <c r="C2" s="19"/>
      <c r="D2" s="19"/>
      <c r="E2" s="19"/>
      <c r="F2" s="19"/>
      <c r="G2" s="19"/>
      <c r="H2" s="19"/>
      <c r="I2" s="20"/>
      <c r="J2" s="20"/>
    </row>
    <row r="3" spans="2:10" ht="15" hidden="1" customHeight="1" thickBot="1">
      <c r="B3" s="18"/>
      <c r="C3" s="18"/>
      <c r="D3" s="18"/>
      <c r="E3" s="402" t="s">
        <v>73</v>
      </c>
      <c r="F3" s="403"/>
      <c r="G3" s="403"/>
      <c r="H3" s="404"/>
      <c r="I3" s="20"/>
      <c r="J3" s="20"/>
    </row>
    <row r="4" spans="2:10" ht="15" hidden="1" customHeight="1">
      <c r="B4" s="18"/>
      <c r="C4" s="18"/>
      <c r="D4" s="18"/>
      <c r="E4" s="18"/>
      <c r="F4" s="18"/>
      <c r="G4" s="18"/>
      <c r="H4" s="18"/>
      <c r="I4" s="20"/>
      <c r="J4" s="20"/>
    </row>
    <row r="5" spans="2:10" ht="15" customHeight="1">
      <c r="B5" s="16"/>
      <c r="C5" s="16"/>
      <c r="D5" s="16"/>
      <c r="E5" s="16"/>
      <c r="F5" s="16"/>
      <c r="G5" s="16"/>
      <c r="H5" s="16"/>
    </row>
    <row r="6" spans="2:10" ht="26.25" customHeight="1">
      <c r="B6" s="24" t="str">
        <f>E3</f>
        <v>Wardie Primary School</v>
      </c>
      <c r="C6" s="16"/>
      <c r="D6" s="16"/>
      <c r="E6" s="16"/>
      <c r="F6" s="16"/>
      <c r="G6" s="16"/>
      <c r="H6" s="16"/>
    </row>
    <row r="7" spans="2:10" ht="15" customHeight="1">
      <c r="B7" s="16"/>
      <c r="C7" s="16"/>
      <c r="D7" s="16"/>
      <c r="E7" s="16"/>
      <c r="F7" s="16"/>
      <c r="G7" s="16"/>
      <c r="H7" s="16"/>
    </row>
    <row r="8" spans="2:10" ht="15" customHeight="1">
      <c r="B8" s="69">
        <f ca="1">TODAY()</f>
        <v>43516</v>
      </c>
      <c r="C8" s="16"/>
      <c r="D8" s="16"/>
      <c r="E8" s="16"/>
      <c r="F8" s="16"/>
      <c r="G8" s="16"/>
      <c r="H8" s="16"/>
    </row>
    <row r="9" spans="2:10" ht="15" customHeight="1">
      <c r="B9" s="16"/>
      <c r="C9" s="16"/>
      <c r="D9" s="16"/>
      <c r="E9" s="16"/>
      <c r="F9" s="16"/>
      <c r="G9" s="16"/>
      <c r="H9" s="16"/>
    </row>
    <row r="10" spans="2:10" ht="18.75" customHeight="1">
      <c r="B10" s="21" t="s">
        <v>143</v>
      </c>
      <c r="C10" s="22"/>
      <c r="D10" s="22"/>
      <c r="E10" s="22"/>
      <c r="F10" s="22"/>
      <c r="G10" s="22"/>
      <c r="H10" s="22"/>
      <c r="I10" s="23"/>
      <c r="J10" s="23"/>
    </row>
    <row r="11" spans="2:10" ht="15" customHeight="1">
      <c r="B11" s="16"/>
      <c r="C11" s="16"/>
      <c r="D11" s="16"/>
      <c r="E11" s="16"/>
      <c r="F11" s="16"/>
      <c r="G11" s="16"/>
      <c r="H11" s="16"/>
    </row>
    <row r="12" spans="2:10" ht="15" customHeight="1">
      <c r="B12" s="15" t="s">
        <v>123</v>
      </c>
      <c r="D12" s="16" t="str">
        <f>(VLOOKUP(E3,Projection_Summary!A6:C93,2,FALSE))&amp;" Pupils ("&amp;(VLOOKUP(E3,Projection_Summary!A6:C93,3,FALSE))&amp;" classes)"</f>
        <v>560 Pupils (20 classes)</v>
      </c>
      <c r="G12" s="16"/>
      <c r="H12" s="16"/>
    </row>
    <row r="13" spans="2:10" ht="15" customHeight="1">
      <c r="C13" s="16"/>
      <c r="D13" s="16"/>
      <c r="E13" s="16"/>
      <c r="F13" s="16"/>
      <c r="G13" s="16"/>
      <c r="H13" s="16"/>
    </row>
    <row r="14" spans="2:10" ht="15" customHeight="1">
      <c r="B14" s="15" t="str">
        <f>"Figure 1: "&amp;E3&amp;" Roll, 2002-2015"</f>
        <v>Figure 1: Wardie Primary School Roll, 2002-2015</v>
      </c>
      <c r="C14" s="16"/>
      <c r="D14" s="16"/>
      <c r="E14" s="16"/>
      <c r="F14" s="16"/>
      <c r="G14" s="16"/>
      <c r="H14" s="16"/>
    </row>
    <row r="15" spans="2:10" ht="15" customHeight="1">
      <c r="B15" s="16"/>
      <c r="C15" s="16"/>
      <c r="D15" s="16"/>
      <c r="E15" s="16"/>
      <c r="F15" s="16"/>
      <c r="G15" s="16"/>
      <c r="H15" s="16"/>
    </row>
    <row r="16" spans="2:10" ht="15" customHeight="1">
      <c r="B16" s="16"/>
      <c r="C16" s="16"/>
      <c r="D16" s="16"/>
      <c r="E16" s="16"/>
      <c r="F16" s="16"/>
      <c r="G16" s="16"/>
      <c r="H16" s="16"/>
    </row>
    <row r="17" spans="2:11" ht="15" customHeight="1">
      <c r="B17" s="16"/>
      <c r="C17" s="16"/>
      <c r="D17" s="16"/>
      <c r="E17" s="16"/>
      <c r="F17" s="16"/>
      <c r="G17" s="16"/>
      <c r="H17" s="16"/>
    </row>
    <row r="18" spans="2:11" ht="15" customHeight="1">
      <c r="B18" s="16"/>
      <c r="C18" s="16"/>
      <c r="D18" s="16"/>
      <c r="E18" s="16"/>
      <c r="F18" s="16"/>
      <c r="G18" s="16"/>
      <c r="H18" s="16"/>
    </row>
    <row r="19" spans="2:11" ht="15" customHeight="1">
      <c r="B19" s="16"/>
      <c r="C19" s="16"/>
      <c r="D19" s="16"/>
      <c r="E19" s="16"/>
      <c r="F19" s="16"/>
      <c r="G19" s="16"/>
      <c r="H19" s="16"/>
    </row>
    <row r="20" spans="2:11" ht="15" customHeight="1">
      <c r="B20" s="16"/>
      <c r="C20" s="16"/>
      <c r="D20" s="16"/>
      <c r="E20" s="16"/>
      <c r="F20" s="16"/>
      <c r="G20" s="16"/>
      <c r="H20" s="16"/>
    </row>
    <row r="21" spans="2:11" ht="15" customHeight="1">
      <c r="B21" s="16"/>
      <c r="C21" s="16"/>
      <c r="D21" s="16"/>
      <c r="E21" s="16"/>
      <c r="F21" s="16"/>
      <c r="G21" s="16"/>
      <c r="H21" s="16"/>
    </row>
    <row r="22" spans="2:11" ht="15" customHeight="1">
      <c r="B22" s="16"/>
      <c r="C22" s="16"/>
      <c r="D22" s="16"/>
      <c r="E22" s="16"/>
      <c r="F22" s="16"/>
      <c r="G22" s="16"/>
      <c r="H22" s="16"/>
    </row>
    <row r="23" spans="2:11" ht="15" customHeight="1">
      <c r="B23" s="16"/>
      <c r="C23" s="16"/>
      <c r="D23" s="16"/>
      <c r="E23" s="16"/>
      <c r="F23" s="16"/>
      <c r="G23" s="16"/>
      <c r="H23" s="16"/>
    </row>
    <row r="24" spans="2:11" ht="15" customHeight="1">
      <c r="B24" s="16"/>
      <c r="C24" s="16"/>
      <c r="D24" s="16"/>
      <c r="E24" s="16"/>
      <c r="F24" s="16"/>
      <c r="G24" s="16"/>
      <c r="H24" s="16"/>
    </row>
    <row r="25" spans="2:11" ht="15" customHeight="1">
      <c r="B25" s="16"/>
      <c r="C25" s="16"/>
      <c r="D25" s="16"/>
      <c r="E25" s="16"/>
      <c r="F25" s="16"/>
      <c r="G25" s="16"/>
      <c r="H25" s="16"/>
    </row>
    <row r="26" spans="2:11" ht="15" customHeight="1">
      <c r="B26" s="16"/>
      <c r="C26" s="16"/>
      <c r="D26" s="16"/>
      <c r="E26" s="16"/>
      <c r="F26" s="16"/>
      <c r="G26" s="16"/>
      <c r="H26" s="16"/>
    </row>
    <row r="27" spans="2:11" ht="18.75" customHeight="1">
      <c r="B27" s="12" t="s">
        <v>128</v>
      </c>
      <c r="C27" s="17"/>
      <c r="D27" s="17"/>
      <c r="E27" s="17"/>
      <c r="F27" s="17"/>
      <c r="G27" s="17"/>
      <c r="H27" s="17"/>
      <c r="I27" s="13"/>
      <c r="J27" s="13"/>
    </row>
    <row r="28" spans="2:11" s="35" customFormat="1" ht="15" customHeight="1">
      <c r="B28" s="40"/>
      <c r="C28" s="36"/>
      <c r="D28" s="36"/>
      <c r="E28" s="36"/>
      <c r="F28" s="36"/>
      <c r="G28" s="36"/>
      <c r="H28" s="36"/>
    </row>
    <row r="29" spans="2:11" ht="15" customHeight="1">
      <c r="B29" s="405" t="str">
        <f>"Figure 2: Actual Catchment Births (from 5yrs prior) and P1 "&amp;A35&amp;" Catchment Population (Actual and Projected), 2010-2020"</f>
        <v>Figure 2: Actual Catchment Births (from 5yrs prior) and P1 ND Catchment Population (Actual and Projected), 2010-2020</v>
      </c>
      <c r="C29" s="406"/>
      <c r="D29" s="406"/>
      <c r="E29" s="406"/>
      <c r="F29" s="406"/>
      <c r="G29" s="406"/>
      <c r="H29" s="406"/>
      <c r="I29" s="406"/>
      <c r="J29" s="406"/>
      <c r="K29" s="16"/>
    </row>
    <row r="30" spans="2:11" ht="15" customHeight="1">
      <c r="B30" s="406"/>
      <c r="C30" s="406"/>
      <c r="D30" s="406"/>
      <c r="E30" s="406"/>
      <c r="F30" s="406"/>
      <c r="G30" s="406"/>
      <c r="H30" s="406"/>
      <c r="I30" s="406"/>
      <c r="J30" s="406"/>
      <c r="K30" s="16"/>
    </row>
    <row r="32" spans="2:11" ht="15" customHeight="1">
      <c r="K32" s="16"/>
    </row>
    <row r="33" spans="1:17" ht="15" customHeight="1">
      <c r="K33" s="16"/>
    </row>
    <row r="34" spans="1:17" ht="15" customHeight="1">
      <c r="A34" s="11" t="str">
        <f>E3</f>
        <v>Wardie Primary School</v>
      </c>
      <c r="K34" s="16"/>
    </row>
    <row r="35" spans="1:17" ht="15" customHeight="1">
      <c r="A35" s="1" t="str">
        <f>IF(ISNUMBER(SEARCH("RC",A34)),"RC", "ND")</f>
        <v>ND</v>
      </c>
      <c r="K35" s="16"/>
    </row>
    <row r="36" spans="1:17" ht="15" customHeight="1">
      <c r="B36" s="16"/>
      <c r="C36" s="16"/>
      <c r="D36" s="16"/>
      <c r="E36" s="16"/>
      <c r="F36" s="16"/>
      <c r="G36" s="16"/>
      <c r="H36" s="16"/>
    </row>
    <row r="37" spans="1:17" ht="15" customHeight="1">
      <c r="C37" s="16"/>
      <c r="D37" s="16"/>
      <c r="E37" s="16"/>
      <c r="F37" s="16"/>
      <c r="G37" s="16"/>
      <c r="H37" s="16"/>
    </row>
    <row r="38" spans="1:17" ht="15" customHeight="1">
      <c r="B38" s="16"/>
      <c r="C38" s="16"/>
      <c r="D38" s="16"/>
      <c r="E38" s="16"/>
      <c r="F38" s="16"/>
      <c r="G38" s="16"/>
      <c r="H38" s="16"/>
    </row>
    <row r="39" spans="1:17" ht="15" customHeight="1">
      <c r="B39" s="16"/>
      <c r="C39" s="16"/>
      <c r="D39" s="16"/>
      <c r="E39" s="16"/>
      <c r="F39" s="16"/>
      <c r="G39" s="16"/>
      <c r="H39" s="16"/>
    </row>
    <row r="40" spans="1:17" ht="15" customHeight="1">
      <c r="B40" s="16"/>
      <c r="C40" s="16"/>
      <c r="D40" s="16"/>
      <c r="E40" s="16"/>
      <c r="F40" s="16"/>
      <c r="G40" s="16"/>
      <c r="H40" s="16"/>
    </row>
    <row r="41" spans="1:17" ht="15" customHeight="1">
      <c r="B41" s="16"/>
      <c r="C41" s="16"/>
      <c r="D41" s="16"/>
      <c r="E41" s="16"/>
      <c r="F41" s="16"/>
      <c r="G41" s="16"/>
      <c r="H41" s="16"/>
    </row>
    <row r="42" spans="1:17" ht="15" customHeight="1">
      <c r="B42" s="16"/>
      <c r="C42" s="16"/>
      <c r="D42" s="16"/>
      <c r="E42" s="16"/>
      <c r="F42" s="16"/>
      <c r="G42" s="16"/>
      <c r="H42" s="16"/>
    </row>
    <row r="43" spans="1:17" ht="15" customHeight="1">
      <c r="B43" s="16"/>
      <c r="C43" s="16"/>
      <c r="D43" s="16"/>
      <c r="E43" s="16"/>
      <c r="F43" s="16"/>
      <c r="G43" s="16"/>
      <c r="H43" s="16"/>
    </row>
    <row r="44" spans="1:17" ht="15" customHeight="1">
      <c r="B44" s="41"/>
      <c r="C44" s="16"/>
      <c r="D44" s="16"/>
      <c r="E44" s="16"/>
      <c r="F44" s="16"/>
      <c r="G44" s="16"/>
      <c r="H44" s="16"/>
    </row>
    <row r="45" spans="1:17" ht="15" customHeight="1">
      <c r="B45" s="42"/>
      <c r="C45" s="16"/>
      <c r="D45" s="16"/>
      <c r="E45" s="16"/>
      <c r="F45" s="16"/>
      <c r="G45" s="16"/>
      <c r="H45" s="16"/>
    </row>
    <row r="46" spans="1:17" ht="15" customHeight="1">
      <c r="B46" s="15" t="str">
        <f>"Table 1: P1 "&amp;A35&amp;" Catchment Pop. Projected based on actual births (2019-2022) and NRS Growth (2023-2032)"</f>
        <v>Table 1: P1 ND Catchment Pop. Projected based on actual births (2019-2022) and NRS Growth (2023-2032)</v>
      </c>
      <c r="C46" s="16"/>
      <c r="D46" s="16"/>
      <c r="E46" s="16"/>
      <c r="F46" s="16"/>
      <c r="G46" s="16"/>
      <c r="H46" s="16"/>
    </row>
    <row r="47" spans="1:17" ht="15" customHeight="1">
      <c r="B47" s="16"/>
      <c r="C47" s="16"/>
      <c r="D47" s="16"/>
      <c r="E47" s="16"/>
      <c r="F47" s="16"/>
      <c r="G47" s="16"/>
      <c r="H47" s="16"/>
    </row>
    <row r="48" spans="1:17" ht="15" customHeight="1">
      <c r="B48" s="407" t="s">
        <v>122</v>
      </c>
      <c r="C48" s="408"/>
      <c r="D48" s="109">
        <v>2019</v>
      </c>
      <c r="E48" s="109">
        <v>2020</v>
      </c>
      <c r="F48" s="135">
        <v>2021</v>
      </c>
      <c r="G48" s="135">
        <v>2022</v>
      </c>
      <c r="H48" s="134">
        <v>2023</v>
      </c>
      <c r="I48" s="134">
        <v>2024</v>
      </c>
      <c r="J48" s="134">
        <v>2025</v>
      </c>
      <c r="K48" s="134">
        <v>2026</v>
      </c>
      <c r="L48" s="134">
        <v>2027</v>
      </c>
      <c r="M48" s="134">
        <v>2028</v>
      </c>
      <c r="N48" s="134">
        <v>2029</v>
      </c>
      <c r="O48" s="134">
        <v>2030</v>
      </c>
      <c r="P48" s="134">
        <v>2031</v>
      </c>
      <c r="Q48" s="134">
        <v>2032</v>
      </c>
    </row>
    <row r="49" spans="2:17" ht="15" customHeight="1">
      <c r="B49" s="409" t="s">
        <v>131</v>
      </c>
      <c r="C49" s="408"/>
      <c r="D49" s="108">
        <f>VLOOKUP($E$3,'Catchment Projections'!$A$1:$BU$90,45,FALSE)</f>
        <v>73</v>
      </c>
      <c r="E49" s="108">
        <f>VLOOKUP($E$3,'Catchment Projections'!$A$1:$BU$90,46,FALSE)</f>
        <v>69</v>
      </c>
      <c r="F49" s="108">
        <f>VLOOKUP($E$3,'Catchment Projections'!$A$1:$BU$90,47,FALSE)</f>
        <v>52</v>
      </c>
      <c r="G49" s="108">
        <f>VLOOKUP($E$3,'Catchment Projections'!$A$1:$BU$90,48,FALSE)</f>
        <v>54</v>
      </c>
      <c r="H49" s="133">
        <f>VLOOKUP($E$3,'Catchment Projections'!$A$1:$BU$90,49,FALSE)</f>
        <v>59</v>
      </c>
      <c r="I49" s="133">
        <f>VLOOKUP($E$3,'Catchment Projections'!$A$1:$BU$90,50,FALSE)</f>
        <v>60</v>
      </c>
      <c r="J49" s="133">
        <f>VLOOKUP($E$3,'Catchment Projections'!$A$1:$BU$90,51,FALSE)</f>
        <v>61</v>
      </c>
      <c r="K49" s="133">
        <f>VLOOKUP($E$3,'Catchment Projections'!$A$1:$BU$90,52,FALSE)</f>
        <v>62</v>
      </c>
      <c r="L49" s="133">
        <f>VLOOKUP($E$3,'Catchment Projections'!$A$1:$BU$90,53,FALSE)</f>
        <v>62</v>
      </c>
      <c r="M49" s="133">
        <f>VLOOKUP($E$3,'Catchment Projections'!$A$1:$BU$90,54,FALSE)</f>
        <v>62</v>
      </c>
      <c r="N49" s="133">
        <f>VLOOKUP($E$3,'Catchment Projections'!$A$1:$BU$90,55,FALSE)</f>
        <v>62</v>
      </c>
      <c r="O49" s="133">
        <f>VLOOKUP($E$3,'Catchment Projections'!$A$1:$BU$90,56,FALSE)</f>
        <v>62</v>
      </c>
      <c r="P49" s="133">
        <f>VLOOKUP($E$3,'Catchment Projections'!$A$1:$BU$90,57,FALSE)</f>
        <v>62</v>
      </c>
      <c r="Q49" s="133">
        <f>VLOOKUP($E$3,'Catchment Projections'!$A$1:$BU$90,58,FALSE)</f>
        <v>62</v>
      </c>
    </row>
    <row r="50" spans="2:17" ht="15" customHeight="1" thickBot="1">
      <c r="B50" s="410" t="s">
        <v>141</v>
      </c>
      <c r="C50" s="411"/>
      <c r="D50" s="286">
        <f>VLOOKUP(E3,'Housing Generation'!$A$3:$DQ$90,10,FALSE)</f>
        <v>1</v>
      </c>
      <c r="E50" s="286">
        <f>VLOOKUP(E3,'Housing Generation'!$A$3:$DQ$90,18,FALSE)</f>
        <v>1</v>
      </c>
      <c r="F50" s="286">
        <f>VLOOKUP(E3,'Housing Generation'!$A$3:$DQ$90,26,FALSE)</f>
        <v>1</v>
      </c>
      <c r="G50" s="243">
        <f>VLOOKUP(E3,'Housing Generation'!$A$3:$DQ$90,34,FALSE)</f>
        <v>1</v>
      </c>
      <c r="H50" s="133">
        <f>VLOOKUP(E3,'Housing Generation'!$A$3:$DQ$90,42,FALSE)</f>
        <v>1</v>
      </c>
      <c r="I50" s="133">
        <f>VLOOKUP(E3,'Housing Generation'!$A$3:$DQ$90,50,FALSE)</f>
        <v>1</v>
      </c>
      <c r="J50" s="133">
        <f>VLOOKUP(E3,'Housing Generation'!$A$3:$CK$90,58,FALSE)</f>
        <v>1</v>
      </c>
      <c r="K50" s="133">
        <f>VLOOKUP(E3,'Housing Generation'!$A$3:$CK$90,66,FALSE)</f>
        <v>1</v>
      </c>
      <c r="L50" s="133">
        <f>VLOOKUP(E3,'Housing Generation'!$A$3:$DQ$90,74,FALSE)</f>
        <v>1</v>
      </c>
      <c r="M50" s="133">
        <f>VLOOKUP(E3,'Housing Generation'!$A$3:$DQ$90,82,FALSE)</f>
        <v>1</v>
      </c>
      <c r="N50" s="133">
        <f>VLOOKUP(E3,'Housing Generation'!$A$3:$DQ$90,90,FALSE)</f>
        <v>1</v>
      </c>
      <c r="O50" s="133">
        <f>VLOOKUP(E3,'Housing Generation'!$A$3:$DQ$90,98,FALSE)</f>
        <v>1</v>
      </c>
      <c r="P50" s="133">
        <f>VLOOKUP(E3,'Housing Generation'!$A$3:$DQ$90,106,FALSE)</f>
        <v>1</v>
      </c>
      <c r="Q50" s="133">
        <f>VLOOKUP(E3,'Housing Generation'!$A$3:$DQ$90,114,FALSE)</f>
        <v>1</v>
      </c>
    </row>
    <row r="51" spans="2:17" ht="15" customHeight="1" thickTop="1">
      <c r="B51" s="421" t="s">
        <v>130</v>
      </c>
      <c r="C51" s="422"/>
      <c r="D51" s="47">
        <f t="shared" ref="D51:Q51" si="0">SUM(D49:D50)</f>
        <v>74</v>
      </c>
      <c r="E51" s="47">
        <f t="shared" si="0"/>
        <v>70</v>
      </c>
      <c r="F51" s="80">
        <f t="shared" si="0"/>
        <v>53</v>
      </c>
      <c r="G51" s="244">
        <f t="shared" si="0"/>
        <v>55</v>
      </c>
      <c r="H51" s="71">
        <f t="shared" si="0"/>
        <v>60</v>
      </c>
      <c r="I51" s="71">
        <f t="shared" si="0"/>
        <v>61</v>
      </c>
      <c r="J51" s="71">
        <f t="shared" si="0"/>
        <v>62</v>
      </c>
      <c r="K51" s="71">
        <f t="shared" si="0"/>
        <v>63</v>
      </c>
      <c r="L51" s="71">
        <f t="shared" si="0"/>
        <v>63</v>
      </c>
      <c r="M51" s="71">
        <f t="shared" si="0"/>
        <v>63</v>
      </c>
      <c r="N51" s="71">
        <f t="shared" si="0"/>
        <v>63</v>
      </c>
      <c r="O51" s="71">
        <f t="shared" si="0"/>
        <v>63</v>
      </c>
      <c r="P51" s="71">
        <f t="shared" si="0"/>
        <v>63</v>
      </c>
      <c r="Q51" s="71">
        <f t="shared" si="0"/>
        <v>63</v>
      </c>
    </row>
    <row r="52" spans="2:17" ht="15" customHeight="1">
      <c r="C52" s="36"/>
      <c r="D52" s="48"/>
      <c r="E52" s="48"/>
      <c r="F52" s="48"/>
      <c r="G52" s="48"/>
      <c r="H52" s="48"/>
    </row>
    <row r="53" spans="2:17" ht="31.5" customHeight="1">
      <c r="B53" s="423" t="s">
        <v>292</v>
      </c>
      <c r="C53" s="424"/>
      <c r="D53" s="87">
        <v>0</v>
      </c>
      <c r="E53" s="48"/>
      <c r="F53" s="48"/>
      <c r="G53" s="48"/>
      <c r="H53" s="48"/>
    </row>
    <row r="54" spans="2:17" ht="15" customHeight="1">
      <c r="B54" s="35"/>
      <c r="C54" s="36"/>
      <c r="D54" s="81"/>
      <c r="E54" s="81"/>
      <c r="F54" s="81"/>
      <c r="G54" s="81"/>
      <c r="H54" s="81"/>
      <c r="I54" s="82"/>
      <c r="J54" s="82"/>
      <c r="K54" s="82"/>
    </row>
    <row r="55" spans="2:17" ht="18.75" customHeight="1">
      <c r="B55" s="12" t="s">
        <v>132</v>
      </c>
      <c r="C55" s="17"/>
      <c r="D55" s="17"/>
      <c r="E55" s="17"/>
      <c r="F55" s="17"/>
      <c r="G55" s="17"/>
      <c r="H55" s="17"/>
      <c r="I55" s="13"/>
      <c r="J55" s="13"/>
    </row>
    <row r="56" spans="2:17" ht="15" customHeight="1">
      <c r="B56" s="16"/>
      <c r="C56" s="16"/>
      <c r="D56" s="16"/>
      <c r="E56" s="16"/>
      <c r="F56" s="16"/>
      <c r="G56" s="16"/>
      <c r="H56" s="16"/>
    </row>
    <row r="57" spans="2:17" ht="15" customHeight="1">
      <c r="B57" s="405" t="str">
        <f>"Table 2A: P1 "&amp;A35&amp;" Catchment Population Captured in P1 Intake, 2014-2018"</f>
        <v>Table 2A: P1 ND Catchment Population Captured in P1 Intake, 2014-2018</v>
      </c>
      <c r="C57" s="406"/>
      <c r="D57" s="406"/>
      <c r="E57" s="406"/>
      <c r="F57" s="16"/>
      <c r="G57" s="425" t="s">
        <v>402</v>
      </c>
      <c r="H57" s="426"/>
      <c r="I57" s="426"/>
      <c r="J57" s="426"/>
    </row>
    <row r="58" spans="2:17" ht="15" customHeight="1">
      <c r="B58" s="16"/>
      <c r="C58" s="16"/>
      <c r="D58" s="16"/>
      <c r="E58" s="16"/>
      <c r="F58" s="16"/>
      <c r="G58" s="16"/>
      <c r="H58" s="16"/>
    </row>
    <row r="59" spans="2:17" ht="43.5" customHeight="1">
      <c r="B59" s="126" t="s">
        <v>122</v>
      </c>
      <c r="C59" s="126" t="s">
        <v>121</v>
      </c>
      <c r="D59" s="420" t="s">
        <v>133</v>
      </c>
      <c r="E59" s="427"/>
      <c r="G59" s="126" t="s">
        <v>122</v>
      </c>
      <c r="H59" s="125" t="s">
        <v>134</v>
      </c>
      <c r="I59" s="428" t="s">
        <v>135</v>
      </c>
      <c r="J59" s="429"/>
    </row>
    <row r="60" spans="2:17" ht="15" customHeight="1">
      <c r="B60" s="132">
        <v>2014</v>
      </c>
      <c r="C60" s="359">
        <f>VLOOKUP($E$3,'Catchment Projections'!$A$1:$BZ$90,40,FALSE)</f>
        <v>69</v>
      </c>
      <c r="D60" s="358">
        <f>VLOOKUP($E$3,'Catchment Projections'!$A$1:$BZ$90,74,FALSE)</f>
        <v>65</v>
      </c>
      <c r="E60" s="303">
        <f>D60/C60</f>
        <v>0.94202898550724634</v>
      </c>
      <c r="G60" s="132">
        <v>2014</v>
      </c>
      <c r="H60" s="395">
        <f>VLOOKUP($G$60,$B$177:$C$215, 2, FALSE)</f>
        <v>75</v>
      </c>
      <c r="I60" s="120">
        <f>H60-D60</f>
        <v>10</v>
      </c>
      <c r="J60" s="121">
        <f>I60/H60</f>
        <v>0.13333333333333333</v>
      </c>
    </row>
    <row r="61" spans="2:17" ht="15" customHeight="1">
      <c r="B61" s="132">
        <v>2015</v>
      </c>
      <c r="C61" s="359">
        <f>VLOOKUP($E$3,'Catchment Projections'!$A$1:$BZ$90,41,FALSE)</f>
        <v>79</v>
      </c>
      <c r="D61" s="358">
        <f>VLOOKUP($E$3,'Catchment Projections'!$A$1:$BZ$90,75,FALSE)</f>
        <v>79</v>
      </c>
      <c r="E61" s="303">
        <f>D61/C61</f>
        <v>1</v>
      </c>
      <c r="G61" s="132">
        <v>2015</v>
      </c>
      <c r="H61" s="395">
        <f>VLOOKUP($G$61,$B$177:$C$215, 2, FALSE)</f>
        <v>82</v>
      </c>
      <c r="I61" s="120">
        <f>H61-D61</f>
        <v>3</v>
      </c>
      <c r="J61" s="121">
        <f>I61/H61</f>
        <v>3.6585365853658534E-2</v>
      </c>
    </row>
    <row r="62" spans="2:17" ht="15" customHeight="1">
      <c r="B62" s="131">
        <v>2016</v>
      </c>
      <c r="C62" s="359">
        <f>VLOOKUP($E$3,'Catchment Projections'!$A$1:$BZ$90,42,FALSE)</f>
        <v>84</v>
      </c>
      <c r="D62" s="358">
        <f>VLOOKUP($E$3,'Catchment Projections'!$A$1:$BZ$90,76,FALSE)</f>
        <v>83</v>
      </c>
      <c r="E62" s="57">
        <f>D62/C62</f>
        <v>0.98809523809523814</v>
      </c>
      <c r="G62" s="131">
        <v>2016</v>
      </c>
      <c r="H62" s="395">
        <f>VLOOKUP($G$62,$B$177:$C$215, 2, FALSE)</f>
        <v>87</v>
      </c>
      <c r="I62" s="120">
        <f>H62-D62</f>
        <v>4</v>
      </c>
      <c r="J62" s="121">
        <f>I62/H62</f>
        <v>4.5977011494252873E-2</v>
      </c>
    </row>
    <row r="63" spans="2:17" ht="15" customHeight="1">
      <c r="B63" s="114">
        <v>2017</v>
      </c>
      <c r="C63" s="359">
        <f>VLOOKUP($E$3,'Catchment Projections'!$A$1:$BZ$90,43,FALSE)</f>
        <v>68</v>
      </c>
      <c r="D63" s="358">
        <f>VLOOKUP($E$3,'Catchment Projections'!$A$1:$BZ$90,77,FALSE)</f>
        <v>65</v>
      </c>
      <c r="E63" s="304">
        <f>D63/C63</f>
        <v>0.95588235294117652</v>
      </c>
      <c r="G63" s="114">
        <v>2017</v>
      </c>
      <c r="H63" s="395">
        <f>VLOOKUP($G$63,$B$177:$C$215, 2, FALSE)</f>
        <v>73</v>
      </c>
      <c r="I63" s="120">
        <f>H63-D63</f>
        <v>8</v>
      </c>
      <c r="J63" s="121">
        <f>I63/H63</f>
        <v>0.1095890410958904</v>
      </c>
    </row>
    <row r="64" spans="2:17" ht="15" customHeight="1">
      <c r="B64" s="114">
        <v>2018</v>
      </c>
      <c r="C64" s="359">
        <f>VLOOKUP($E$3,'Catchment Projections'!$A$1:$BZ$90,44,FALSE)</f>
        <v>58</v>
      </c>
      <c r="D64" s="358">
        <f>VLOOKUP($E$3,'Catchment Projections'!$A$1:$BZ$90,78,FALSE)</f>
        <v>57</v>
      </c>
      <c r="E64" s="305">
        <f>D64/C64</f>
        <v>0.98275862068965514</v>
      </c>
      <c r="G64" s="114">
        <v>2018</v>
      </c>
      <c r="H64" s="395">
        <f>VLOOKUP($G$64,$B$177:$C$215, 2, FALSE)</f>
        <v>75</v>
      </c>
      <c r="I64" s="120">
        <f>H64-D64</f>
        <v>18</v>
      </c>
      <c r="J64" s="121">
        <f>I64/H64</f>
        <v>0.24</v>
      </c>
    </row>
    <row r="65" spans="2:10" ht="15" customHeight="1">
      <c r="B65" s="412" t="s">
        <v>136</v>
      </c>
      <c r="C65" s="413"/>
      <c r="D65" s="414"/>
      <c r="E65" s="137">
        <f>IF((AVERAGE(E62:E64))="#DIV/0!","n/a",(AVERAGE(E62:E64)))</f>
        <v>0.97557873724202337</v>
      </c>
      <c r="G65" s="415" t="s">
        <v>137</v>
      </c>
      <c r="H65" s="416"/>
      <c r="I65" s="138">
        <f>MEDIAN(I60:I64)</f>
        <v>8</v>
      </c>
    </row>
    <row r="66" spans="2:10" s="35" customFormat="1" ht="15" customHeight="1">
      <c r="B66" s="129"/>
      <c r="C66" s="128"/>
      <c r="D66" s="128"/>
      <c r="E66" s="53"/>
      <c r="F66" s="49"/>
      <c r="G66" s="127"/>
      <c r="H66" s="51"/>
      <c r="I66" s="50"/>
    </row>
    <row r="67" spans="2:10" s="35" customFormat="1" ht="15" customHeight="1">
      <c r="B67" s="417" t="s">
        <v>403</v>
      </c>
      <c r="C67" s="418"/>
      <c r="D67" s="418"/>
      <c r="E67" s="418"/>
      <c r="F67" s="419"/>
      <c r="G67" s="419"/>
      <c r="H67" s="419"/>
      <c r="I67" s="419"/>
      <c r="J67" s="419"/>
    </row>
    <row r="68" spans="2:10" s="35" customFormat="1" ht="15" customHeight="1">
      <c r="B68" s="54"/>
      <c r="C68" s="55"/>
      <c r="D68" s="55"/>
      <c r="E68" s="53"/>
      <c r="F68" s="52"/>
      <c r="G68" s="56"/>
      <c r="H68" s="51"/>
      <c r="I68" s="50"/>
    </row>
    <row r="69" spans="2:10" ht="45.75" customHeight="1">
      <c r="B69" s="126" t="s">
        <v>122</v>
      </c>
      <c r="C69" s="420" t="s">
        <v>159</v>
      </c>
      <c r="D69" s="408"/>
      <c r="E69" s="125" t="s">
        <v>158</v>
      </c>
      <c r="F69" s="126" t="s">
        <v>133</v>
      </c>
      <c r="G69" s="124" t="s">
        <v>154</v>
      </c>
      <c r="H69" s="125" t="s">
        <v>138</v>
      </c>
      <c r="I69" s="124" t="s">
        <v>142</v>
      </c>
      <c r="J69" s="123" t="s">
        <v>139</v>
      </c>
    </row>
    <row r="70" spans="2:10" ht="15" customHeight="1">
      <c r="B70" s="114">
        <v>2019</v>
      </c>
      <c r="C70" s="433">
        <f>D51</f>
        <v>74</v>
      </c>
      <c r="D70" s="408"/>
      <c r="E70" s="122">
        <f>E65</f>
        <v>0.97557873724202337</v>
      </c>
      <c r="F70" s="120">
        <f t="shared" ref="F70:F83" si="1">C70*$E$65</f>
        <v>72.192826555909733</v>
      </c>
      <c r="G70" s="118">
        <f>IF(F70&lt;26,25,IF(F70&gt;135,140,IF(F70&gt;130,135,IF(F70&gt;125,130,IF(F70&gt;120,125,IF(F70&gt;115,120,IF(F70&gt;110,115,IF(F70&gt;105,110,IF(F70&gt;100,105,IF(F70&gt;99,100,IF(F70&gt;90,99,IF(F70&gt;75,90,IF(F70&gt;72,75,IF(F70&gt;66,72,IF(F70&gt;60,66,IF(F70&gt;50,60,IF(F70&gt;30,50,IF(F70&gt;25,30,0))))))))))))))))))</f>
        <v>75</v>
      </c>
      <c r="H70" s="119">
        <f t="shared" ref="H70:H83" si="2">G70-F70</f>
        <v>2.8071734440902674</v>
      </c>
      <c r="I70" s="118" t="str">
        <f>IF(I$65&lt;H70, "NO", "YES")</f>
        <v>YES</v>
      </c>
      <c r="J70" s="117">
        <f t="shared" ref="J70:J83" si="3">IF(I70="YES",G70,(MIN((SUM(F70,$I$65)),G70)))</f>
        <v>75</v>
      </c>
    </row>
    <row r="71" spans="2:10" ht="15" customHeight="1">
      <c r="B71" s="114">
        <v>2020</v>
      </c>
      <c r="C71" s="433">
        <f>E51</f>
        <v>70</v>
      </c>
      <c r="D71" s="408"/>
      <c r="E71" s="121">
        <f>E65</f>
        <v>0.97557873724202337</v>
      </c>
      <c r="F71" s="120">
        <f t="shared" si="1"/>
        <v>68.290511606941635</v>
      </c>
      <c r="G71" s="118">
        <f t="shared" ref="G71:G83" si="4">IF(F71&lt;26,25,IF(F71&gt;135,140,IF(F71&gt;130,135,IF(F71&gt;125,130,IF(F71&gt;120,125,IF(F71&gt;115,120,IF(F71&gt;110,115,IF(F71&gt;105,110,IF(F71&gt;100,105,IF(F71&gt;99,100,IF(F71&gt;90,99,IF(F71&gt;75,90,IF(F71&gt;72,75,IF(F71&gt;66,72,IF(F71&gt;60,66,IF(F71&gt;50,60,IF(F71&gt;30,50,IF(F71&gt;25,30,0))))))))))))))))))</f>
        <v>72</v>
      </c>
      <c r="H71" s="119">
        <f t="shared" si="2"/>
        <v>3.7094883930583649</v>
      </c>
      <c r="I71" s="118" t="str">
        <f t="shared" ref="I71:I83" si="5">IF(I$65&lt;H71, "NO", "YES")</f>
        <v>YES</v>
      </c>
      <c r="J71" s="117">
        <f t="shared" si="3"/>
        <v>72</v>
      </c>
    </row>
    <row r="72" spans="2:10" ht="15" customHeight="1">
      <c r="B72" s="114">
        <v>2021</v>
      </c>
      <c r="C72" s="430">
        <f>F51</f>
        <v>53</v>
      </c>
      <c r="D72" s="431"/>
      <c r="E72" s="121">
        <f>E65</f>
        <v>0.97557873724202337</v>
      </c>
      <c r="F72" s="120">
        <f t="shared" si="1"/>
        <v>51.705673073827242</v>
      </c>
      <c r="G72" s="118">
        <f t="shared" si="4"/>
        <v>60</v>
      </c>
      <c r="H72" s="119">
        <f t="shared" si="2"/>
        <v>8.2943269261727579</v>
      </c>
      <c r="I72" s="118" t="str">
        <f t="shared" si="5"/>
        <v>NO</v>
      </c>
      <c r="J72" s="117">
        <f t="shared" si="3"/>
        <v>59.705673073827242</v>
      </c>
    </row>
    <row r="73" spans="2:10" ht="15" customHeight="1">
      <c r="B73" s="114">
        <v>2022</v>
      </c>
      <c r="C73" s="430">
        <f>G51</f>
        <v>55</v>
      </c>
      <c r="D73" s="431"/>
      <c r="E73" s="121">
        <f>E65</f>
        <v>0.97557873724202337</v>
      </c>
      <c r="F73" s="120">
        <f t="shared" si="1"/>
        <v>53.656830548311284</v>
      </c>
      <c r="G73" s="118">
        <f t="shared" si="4"/>
        <v>60</v>
      </c>
      <c r="H73" s="119">
        <f t="shared" si="2"/>
        <v>6.3431694516887163</v>
      </c>
      <c r="I73" s="118" t="str">
        <f t="shared" si="5"/>
        <v>YES</v>
      </c>
      <c r="J73" s="117">
        <f t="shared" si="3"/>
        <v>60</v>
      </c>
    </row>
    <row r="74" spans="2:10" ht="15" customHeight="1">
      <c r="B74" s="114">
        <v>2023</v>
      </c>
      <c r="C74" s="430">
        <f>H51</f>
        <v>60</v>
      </c>
      <c r="D74" s="431"/>
      <c r="E74" s="121">
        <f>E65</f>
        <v>0.97557873724202337</v>
      </c>
      <c r="F74" s="120">
        <f t="shared" si="1"/>
        <v>58.534724234521406</v>
      </c>
      <c r="G74" s="118">
        <f t="shared" si="4"/>
        <v>60</v>
      </c>
      <c r="H74" s="119">
        <f t="shared" si="2"/>
        <v>1.4652757654785944</v>
      </c>
      <c r="I74" s="118" t="str">
        <f t="shared" si="5"/>
        <v>YES</v>
      </c>
      <c r="J74" s="117">
        <f t="shared" si="3"/>
        <v>60</v>
      </c>
    </row>
    <row r="75" spans="2:10" ht="15" customHeight="1">
      <c r="B75" s="114">
        <v>2024</v>
      </c>
      <c r="C75" s="430">
        <f>I51</f>
        <v>61</v>
      </c>
      <c r="D75" s="431"/>
      <c r="E75" s="121">
        <f>E65</f>
        <v>0.97557873724202337</v>
      </c>
      <c r="F75" s="120">
        <f t="shared" si="1"/>
        <v>59.510302971763423</v>
      </c>
      <c r="G75" s="118">
        <f t="shared" si="4"/>
        <v>60</v>
      </c>
      <c r="H75" s="119">
        <f t="shared" si="2"/>
        <v>0.48969702823657713</v>
      </c>
      <c r="I75" s="118" t="str">
        <f t="shared" si="5"/>
        <v>YES</v>
      </c>
      <c r="J75" s="117">
        <f t="shared" si="3"/>
        <v>60</v>
      </c>
    </row>
    <row r="76" spans="2:10" ht="15" customHeight="1">
      <c r="B76" s="114">
        <v>2025</v>
      </c>
      <c r="C76" s="430">
        <f>J51</f>
        <v>62</v>
      </c>
      <c r="D76" s="431"/>
      <c r="E76" s="121">
        <f>E65</f>
        <v>0.97557873724202337</v>
      </c>
      <c r="F76" s="120">
        <f t="shared" si="1"/>
        <v>60.485881709005447</v>
      </c>
      <c r="G76" s="118">
        <f t="shared" si="4"/>
        <v>66</v>
      </c>
      <c r="H76" s="119">
        <f t="shared" si="2"/>
        <v>5.5141182909945528</v>
      </c>
      <c r="I76" s="118" t="str">
        <f t="shared" si="5"/>
        <v>YES</v>
      </c>
      <c r="J76" s="117">
        <f t="shared" si="3"/>
        <v>66</v>
      </c>
    </row>
    <row r="77" spans="2:10" ht="15" customHeight="1">
      <c r="B77" s="114">
        <v>2026</v>
      </c>
      <c r="C77" s="430">
        <f>K51</f>
        <v>63</v>
      </c>
      <c r="D77" s="431"/>
      <c r="E77" s="121">
        <f>E65</f>
        <v>0.97557873724202337</v>
      </c>
      <c r="F77" s="120">
        <f t="shared" si="1"/>
        <v>61.461460446247472</v>
      </c>
      <c r="G77" s="118">
        <f t="shared" si="4"/>
        <v>66</v>
      </c>
      <c r="H77" s="119">
        <f t="shared" si="2"/>
        <v>4.5385395537525284</v>
      </c>
      <c r="I77" s="118" t="str">
        <f t="shared" si="5"/>
        <v>YES</v>
      </c>
      <c r="J77" s="117">
        <f t="shared" si="3"/>
        <v>66</v>
      </c>
    </row>
    <row r="78" spans="2:10" ht="15" customHeight="1">
      <c r="B78" s="114">
        <v>2027</v>
      </c>
      <c r="C78" s="430">
        <f>L51</f>
        <v>63</v>
      </c>
      <c r="D78" s="431"/>
      <c r="E78" s="121">
        <f>E65</f>
        <v>0.97557873724202337</v>
      </c>
      <c r="F78" s="120">
        <f t="shared" si="1"/>
        <v>61.461460446247472</v>
      </c>
      <c r="G78" s="118">
        <f t="shared" si="4"/>
        <v>66</v>
      </c>
      <c r="H78" s="119">
        <f t="shared" si="2"/>
        <v>4.5385395537525284</v>
      </c>
      <c r="I78" s="118" t="str">
        <f t="shared" si="5"/>
        <v>YES</v>
      </c>
      <c r="J78" s="117">
        <f t="shared" si="3"/>
        <v>66</v>
      </c>
    </row>
    <row r="79" spans="2:10" ht="15" customHeight="1">
      <c r="B79" s="114">
        <v>2028</v>
      </c>
      <c r="C79" s="430">
        <f>M51</f>
        <v>63</v>
      </c>
      <c r="D79" s="431"/>
      <c r="E79" s="121">
        <f t="shared" ref="E79:E83" si="6">$E$65</f>
        <v>0.97557873724202337</v>
      </c>
      <c r="F79" s="120">
        <f t="shared" si="1"/>
        <v>61.461460446247472</v>
      </c>
      <c r="G79" s="118">
        <f t="shared" si="4"/>
        <v>66</v>
      </c>
      <c r="H79" s="119">
        <f t="shared" si="2"/>
        <v>4.5385395537525284</v>
      </c>
      <c r="I79" s="118" t="str">
        <f t="shared" si="5"/>
        <v>YES</v>
      </c>
      <c r="J79" s="117">
        <f t="shared" si="3"/>
        <v>66</v>
      </c>
    </row>
    <row r="80" spans="2:10" ht="15" customHeight="1">
      <c r="B80" s="114">
        <v>2029</v>
      </c>
      <c r="C80" s="430">
        <f>N51</f>
        <v>63</v>
      </c>
      <c r="D80" s="431"/>
      <c r="E80" s="121">
        <f t="shared" si="6"/>
        <v>0.97557873724202337</v>
      </c>
      <c r="F80" s="120">
        <f t="shared" si="1"/>
        <v>61.461460446247472</v>
      </c>
      <c r="G80" s="118">
        <f t="shared" si="4"/>
        <v>66</v>
      </c>
      <c r="H80" s="119">
        <f t="shared" si="2"/>
        <v>4.5385395537525284</v>
      </c>
      <c r="I80" s="118" t="str">
        <f t="shared" si="5"/>
        <v>YES</v>
      </c>
      <c r="J80" s="117">
        <f t="shared" si="3"/>
        <v>66</v>
      </c>
    </row>
    <row r="81" spans="2:10" ht="15" customHeight="1">
      <c r="B81" s="114">
        <v>2030</v>
      </c>
      <c r="C81" s="430">
        <f>O51</f>
        <v>63</v>
      </c>
      <c r="D81" s="431"/>
      <c r="E81" s="121">
        <f t="shared" si="6"/>
        <v>0.97557873724202337</v>
      </c>
      <c r="F81" s="120">
        <f t="shared" si="1"/>
        <v>61.461460446247472</v>
      </c>
      <c r="G81" s="118">
        <f t="shared" si="4"/>
        <v>66</v>
      </c>
      <c r="H81" s="119">
        <f t="shared" si="2"/>
        <v>4.5385395537525284</v>
      </c>
      <c r="I81" s="118" t="str">
        <f t="shared" si="5"/>
        <v>YES</v>
      </c>
      <c r="J81" s="117">
        <f t="shared" si="3"/>
        <v>66</v>
      </c>
    </row>
    <row r="82" spans="2:10" ht="15" customHeight="1">
      <c r="B82" s="114">
        <v>2031</v>
      </c>
      <c r="C82" s="430">
        <f>P51</f>
        <v>63</v>
      </c>
      <c r="D82" s="431"/>
      <c r="E82" s="121">
        <f t="shared" si="6"/>
        <v>0.97557873724202337</v>
      </c>
      <c r="F82" s="120">
        <f t="shared" si="1"/>
        <v>61.461460446247472</v>
      </c>
      <c r="G82" s="118">
        <f t="shared" si="4"/>
        <v>66</v>
      </c>
      <c r="H82" s="119">
        <f t="shared" si="2"/>
        <v>4.5385395537525284</v>
      </c>
      <c r="I82" s="118" t="str">
        <f t="shared" si="5"/>
        <v>YES</v>
      </c>
      <c r="J82" s="117">
        <f t="shared" si="3"/>
        <v>66</v>
      </c>
    </row>
    <row r="83" spans="2:10" ht="15" customHeight="1">
      <c r="B83" s="114">
        <v>2032</v>
      </c>
      <c r="C83" s="430">
        <f>Q51</f>
        <v>63</v>
      </c>
      <c r="D83" s="431"/>
      <c r="E83" s="121">
        <f t="shared" si="6"/>
        <v>0.97557873724202337</v>
      </c>
      <c r="F83" s="120">
        <f t="shared" si="1"/>
        <v>61.461460446247472</v>
      </c>
      <c r="G83" s="118">
        <f t="shared" si="4"/>
        <v>66</v>
      </c>
      <c r="H83" s="119">
        <f t="shared" si="2"/>
        <v>4.5385395537525284</v>
      </c>
      <c r="I83" s="118" t="str">
        <f t="shared" si="5"/>
        <v>YES</v>
      </c>
      <c r="J83" s="117">
        <f t="shared" si="3"/>
        <v>66</v>
      </c>
    </row>
    <row r="84" spans="2:10" ht="15" customHeight="1">
      <c r="C84" s="16"/>
      <c r="D84" s="16"/>
      <c r="E84" s="16"/>
      <c r="F84" s="16"/>
      <c r="G84" s="16"/>
      <c r="H84" s="16"/>
    </row>
    <row r="85" spans="2:10" ht="15" customHeight="1">
      <c r="B85" s="16"/>
      <c r="C85" s="16"/>
      <c r="D85" s="16"/>
      <c r="E85" s="16"/>
      <c r="F85" s="16"/>
      <c r="G85" s="16"/>
      <c r="H85" s="16"/>
    </row>
    <row r="86" spans="2:10" ht="18.75" customHeight="1">
      <c r="B86" s="12" t="s">
        <v>155</v>
      </c>
      <c r="C86" s="13"/>
      <c r="D86" s="13"/>
      <c r="E86" s="13"/>
      <c r="F86" s="13"/>
      <c r="G86" s="13"/>
      <c r="H86" s="13"/>
      <c r="I86" s="13"/>
      <c r="J86" s="13"/>
    </row>
    <row r="88" spans="2:10" ht="15" customHeight="1">
      <c r="B88" s="15" t="str">
        <f>"Table 4: "&amp;E3&amp;" Roll and Drop-off by Stage, "&amp;B91&amp;"-"&amp;B96&amp;""</f>
        <v>Table 4: Wardie Primary School Roll and Drop-off by Stage, 2013-2018</v>
      </c>
      <c r="C88" s="16"/>
      <c r="D88" s="16"/>
      <c r="E88" s="16"/>
      <c r="F88" s="16"/>
      <c r="G88" s="16"/>
      <c r="H88" s="16"/>
      <c r="I88" s="16"/>
      <c r="J88" s="16"/>
    </row>
    <row r="89" spans="2:10" ht="15" customHeight="1">
      <c r="B89" s="15"/>
      <c r="C89" s="16"/>
      <c r="D89" s="16"/>
      <c r="E89" s="16"/>
      <c r="F89" s="16"/>
      <c r="G89" s="16"/>
      <c r="H89" s="16"/>
      <c r="I89" s="16"/>
      <c r="J89" s="16"/>
    </row>
    <row r="90" spans="2:10" ht="15" customHeight="1">
      <c r="B90" s="115"/>
      <c r="C90" s="109" t="s">
        <v>1</v>
      </c>
      <c r="D90" s="109" t="s">
        <v>2</v>
      </c>
      <c r="E90" s="109" t="s">
        <v>3</v>
      </c>
      <c r="F90" s="109" t="s">
        <v>4</v>
      </c>
      <c r="G90" s="109" t="s">
        <v>5</v>
      </c>
      <c r="H90" s="109" t="s">
        <v>6</v>
      </c>
      <c r="I90" s="109" t="s">
        <v>7</v>
      </c>
      <c r="J90" s="109" t="s">
        <v>8</v>
      </c>
    </row>
    <row r="91" spans="2:10" ht="15" customHeight="1">
      <c r="B91" s="114">
        <v>2013</v>
      </c>
      <c r="C91" s="112">
        <f>C188</f>
        <v>80</v>
      </c>
      <c r="D91" s="112">
        <f t="shared" ref="D91:J91" si="7">D188</f>
        <v>80</v>
      </c>
      <c r="E91" s="112">
        <f t="shared" si="7"/>
        <v>59</v>
      </c>
      <c r="F91" s="112">
        <f t="shared" si="7"/>
        <v>58</v>
      </c>
      <c r="G91" s="112">
        <f t="shared" si="7"/>
        <v>59</v>
      </c>
      <c r="H91" s="112">
        <f t="shared" si="7"/>
        <v>51</v>
      </c>
      <c r="I91" s="112">
        <f t="shared" si="7"/>
        <v>48</v>
      </c>
      <c r="J91" s="213">
        <f t="shared" si="7"/>
        <v>435</v>
      </c>
    </row>
    <row r="92" spans="2:10" ht="15" customHeight="1">
      <c r="B92" s="114">
        <v>2014</v>
      </c>
      <c r="C92" s="112">
        <f>C189</f>
        <v>75</v>
      </c>
      <c r="D92" s="112">
        <f t="shared" ref="D92:J92" si="8">D189</f>
        <v>85</v>
      </c>
      <c r="E92" s="112">
        <f t="shared" si="8"/>
        <v>80</v>
      </c>
      <c r="F92" s="112">
        <f t="shared" si="8"/>
        <v>60</v>
      </c>
      <c r="G92" s="112">
        <f t="shared" si="8"/>
        <v>58</v>
      </c>
      <c r="H92" s="112">
        <f t="shared" si="8"/>
        <v>59</v>
      </c>
      <c r="I92" s="112">
        <f t="shared" si="8"/>
        <v>52</v>
      </c>
      <c r="J92" s="213">
        <f t="shared" si="8"/>
        <v>469</v>
      </c>
    </row>
    <row r="93" spans="2:10" ht="15" customHeight="1">
      <c r="B93" s="114">
        <v>2015</v>
      </c>
      <c r="C93" s="112">
        <f>C190</f>
        <v>82</v>
      </c>
      <c r="D93" s="112">
        <f t="shared" ref="D93:J93" si="9">D190</f>
        <v>74</v>
      </c>
      <c r="E93" s="112">
        <f t="shared" si="9"/>
        <v>79</v>
      </c>
      <c r="F93" s="112">
        <f t="shared" si="9"/>
        <v>83</v>
      </c>
      <c r="G93" s="112">
        <f t="shared" si="9"/>
        <v>59</v>
      </c>
      <c r="H93" s="112">
        <f t="shared" si="9"/>
        <v>54</v>
      </c>
      <c r="I93" s="112">
        <f t="shared" si="9"/>
        <v>58</v>
      </c>
      <c r="J93" s="213">
        <f t="shared" si="9"/>
        <v>489</v>
      </c>
    </row>
    <row r="94" spans="2:10" ht="15" customHeight="1">
      <c r="B94" s="114">
        <v>2016</v>
      </c>
      <c r="C94" s="112">
        <f>C191</f>
        <v>87</v>
      </c>
      <c r="D94" s="112">
        <f t="shared" ref="D94:J94" si="10">D191</f>
        <v>82</v>
      </c>
      <c r="E94" s="112">
        <f t="shared" si="10"/>
        <v>67</v>
      </c>
      <c r="F94" s="112">
        <f t="shared" si="10"/>
        <v>83</v>
      </c>
      <c r="G94" s="112">
        <f t="shared" si="10"/>
        <v>79</v>
      </c>
      <c r="H94" s="112">
        <f t="shared" si="10"/>
        <v>52</v>
      </c>
      <c r="I94" s="112">
        <f t="shared" si="10"/>
        <v>49</v>
      </c>
      <c r="J94" s="213">
        <f t="shared" si="10"/>
        <v>499</v>
      </c>
    </row>
    <row r="95" spans="2:10" ht="15" customHeight="1">
      <c r="B95" s="114">
        <v>2017</v>
      </c>
      <c r="C95" s="112">
        <f>C192</f>
        <v>73</v>
      </c>
      <c r="D95" s="112">
        <f t="shared" ref="D95:J95" si="11">D192</f>
        <v>87</v>
      </c>
      <c r="E95" s="112">
        <f t="shared" si="11"/>
        <v>78</v>
      </c>
      <c r="F95" s="112">
        <f t="shared" si="11"/>
        <v>66</v>
      </c>
      <c r="G95" s="112">
        <f t="shared" si="11"/>
        <v>79</v>
      </c>
      <c r="H95" s="112">
        <f t="shared" si="11"/>
        <v>74</v>
      </c>
      <c r="I95" s="112">
        <f t="shared" si="11"/>
        <v>50</v>
      </c>
      <c r="J95" s="213">
        <f t="shared" si="11"/>
        <v>507</v>
      </c>
    </row>
    <row r="96" spans="2:10" ht="15" customHeight="1">
      <c r="B96" s="307">
        <v>2018</v>
      </c>
      <c r="C96" s="112">
        <f t="shared" ref="C96:J96" si="12">C193</f>
        <v>75</v>
      </c>
      <c r="D96" s="112">
        <f t="shared" si="12"/>
        <v>73</v>
      </c>
      <c r="E96" s="112">
        <f t="shared" si="12"/>
        <v>84</v>
      </c>
      <c r="F96" s="112">
        <f t="shared" si="12"/>
        <v>78</v>
      </c>
      <c r="G96" s="112">
        <f t="shared" si="12"/>
        <v>65</v>
      </c>
      <c r="H96" s="112">
        <f t="shared" si="12"/>
        <v>77</v>
      </c>
      <c r="I96" s="112">
        <f t="shared" si="12"/>
        <v>67</v>
      </c>
      <c r="J96" s="213">
        <f t="shared" si="12"/>
        <v>519</v>
      </c>
    </row>
    <row r="97" spans="2:10" ht="15" customHeight="1">
      <c r="B97" s="432" t="s">
        <v>249</v>
      </c>
      <c r="C97" s="398"/>
      <c r="D97" s="211" t="s">
        <v>218</v>
      </c>
      <c r="E97" s="211" t="s">
        <v>219</v>
      </c>
      <c r="F97" s="211" t="s">
        <v>220</v>
      </c>
      <c r="G97" s="211" t="s">
        <v>221</v>
      </c>
      <c r="H97" s="211" t="s">
        <v>222</v>
      </c>
      <c r="I97" s="212" t="s">
        <v>223</v>
      </c>
    </row>
    <row r="98" spans="2:10" ht="15" customHeight="1">
      <c r="B98" s="398"/>
      <c r="C98" s="398"/>
      <c r="D98" s="210">
        <f>MEDIAN(((C91-D92)/C91),((C92-D93)/C92),((C93-D94)/C93),((C94-D95)/C94),((C95-D96)/C95))</f>
        <v>0</v>
      </c>
      <c r="E98" s="210">
        <f t="shared" ref="E98:I98" si="13">MEDIAN(((D91-E92)/D91),((D92-E93)/D92),((D93-E94)/D93),((D94-E95)/D94),((D95-E96)/D95))</f>
        <v>4.878048780487805E-2</v>
      </c>
      <c r="F98" s="210">
        <f t="shared" si="13"/>
        <v>-1.6949152542372881E-2</v>
      </c>
      <c r="G98" s="210">
        <f t="shared" si="13"/>
        <v>1.6666666666666666E-2</v>
      </c>
      <c r="H98" s="210">
        <f t="shared" si="13"/>
        <v>6.3291139240506333E-2</v>
      </c>
      <c r="I98" s="210">
        <f t="shared" si="13"/>
        <v>3.8461538461538464E-2</v>
      </c>
    </row>
    <row r="99" spans="2:10" ht="15" customHeight="1">
      <c r="B99" s="59"/>
      <c r="C99" s="60"/>
      <c r="D99" s="61"/>
      <c r="E99" s="61"/>
      <c r="F99" s="61"/>
      <c r="G99" s="61"/>
      <c r="H99" s="61"/>
      <c r="I99" s="61"/>
      <c r="J99" s="58"/>
    </row>
    <row r="100" spans="2:10" ht="15" customHeight="1">
      <c r="B100" s="15" t="str">
        <f>"Table 4B: "&amp;E3&amp;" Projected Roll by Stage (incorporating Projected P1 and Drop-Off Rates), 2019-2032"</f>
        <v>Table 4B: Wardie Primary School Projected Roll by Stage (incorporating Projected P1 and Drop-Off Rates), 2019-2032</v>
      </c>
      <c r="F100" s="14"/>
      <c r="G100" s="14"/>
    </row>
    <row r="101" spans="2:10" ht="15" customHeight="1">
      <c r="F101" s="14"/>
      <c r="G101" s="14"/>
    </row>
    <row r="102" spans="2:10" ht="15" customHeight="1">
      <c r="B102" s="115"/>
      <c r="C102" s="109" t="s">
        <v>1</v>
      </c>
      <c r="D102" s="109" t="s">
        <v>2</v>
      </c>
      <c r="E102" s="109" t="s">
        <v>3</v>
      </c>
      <c r="F102" s="109" t="s">
        <v>4</v>
      </c>
      <c r="G102" s="109" t="s">
        <v>5</v>
      </c>
      <c r="H102" s="109" t="s">
        <v>6</v>
      </c>
      <c r="I102" s="109" t="s">
        <v>7</v>
      </c>
      <c r="J102" s="109" t="s">
        <v>8</v>
      </c>
    </row>
    <row r="103" spans="2:10" ht="15" customHeight="1">
      <c r="B103" s="114">
        <v>2019</v>
      </c>
      <c r="C103" s="113">
        <f t="shared" ref="C103:C116" si="14">J70</f>
        <v>75</v>
      </c>
      <c r="D103" s="324">
        <f>ROUND((C96)-(C96*$D$98),0)</f>
        <v>75</v>
      </c>
      <c r="E103" s="324">
        <f>ROUND((D96)-(D96*$E$98),0)</f>
        <v>69</v>
      </c>
      <c r="F103" s="324">
        <f>ROUND((E96)-(E96*$F$98),0)</f>
        <v>85</v>
      </c>
      <c r="G103" s="324">
        <f>ROUND((F96)-(F96*$G$98),0)</f>
        <v>77</v>
      </c>
      <c r="H103" s="324">
        <f>ROUND((G96)-(G96*$H$98),0)</f>
        <v>61</v>
      </c>
      <c r="I103" s="324">
        <f>ROUND((H96)-(H96*$I$98),0)</f>
        <v>74</v>
      </c>
      <c r="J103" s="111">
        <f t="shared" ref="J103:J116" si="15">SUM(C103:I103)</f>
        <v>516</v>
      </c>
    </row>
    <row r="104" spans="2:10" ht="15" customHeight="1">
      <c r="B104" s="114">
        <v>2020</v>
      </c>
      <c r="C104" s="113">
        <f t="shared" si="14"/>
        <v>72</v>
      </c>
      <c r="D104" s="324">
        <f>ROUND((C103-E50)-(C103*$D$98),0)</f>
        <v>74</v>
      </c>
      <c r="E104" s="112">
        <f t="shared" ref="E104:E116" si="16">ROUND((D103)-(D103*$E$98),0)</f>
        <v>71</v>
      </c>
      <c r="F104" s="112">
        <f t="shared" ref="F104:F116" si="17">ROUND((E103)-(E103*$F$98),0)</f>
        <v>70</v>
      </c>
      <c r="G104" s="112">
        <f t="shared" ref="G104:G116" si="18">ROUND((F103)-(F103*$G$98),0)</f>
        <v>84</v>
      </c>
      <c r="H104" s="112">
        <f t="shared" ref="H104:H116" si="19">ROUND((G103)-(G103*$H$98),0)</f>
        <v>72</v>
      </c>
      <c r="I104" s="112">
        <f t="shared" ref="I104:I116" si="20">ROUND((H103)-(H103*$I$98),0)</f>
        <v>59</v>
      </c>
      <c r="J104" s="111">
        <f t="shared" si="15"/>
        <v>502</v>
      </c>
    </row>
    <row r="105" spans="2:10" ht="15" customHeight="1">
      <c r="B105" s="114">
        <v>2021</v>
      </c>
      <c r="C105" s="113">
        <f t="shared" si="14"/>
        <v>59.705673073827242</v>
      </c>
      <c r="D105" s="324">
        <f>ROUND((C104-F50)-(C104*$D$98),0)</f>
        <v>71</v>
      </c>
      <c r="E105" s="112">
        <f t="shared" si="16"/>
        <v>70</v>
      </c>
      <c r="F105" s="112">
        <f t="shared" si="17"/>
        <v>72</v>
      </c>
      <c r="G105" s="112">
        <f t="shared" si="18"/>
        <v>69</v>
      </c>
      <c r="H105" s="112">
        <f t="shared" si="19"/>
        <v>79</v>
      </c>
      <c r="I105" s="112">
        <f t="shared" si="20"/>
        <v>69</v>
      </c>
      <c r="J105" s="111">
        <f t="shared" si="15"/>
        <v>489.70567307382726</v>
      </c>
    </row>
    <row r="106" spans="2:10" ht="15" customHeight="1">
      <c r="B106" s="114">
        <v>2022</v>
      </c>
      <c r="C106" s="113">
        <f t="shared" si="14"/>
        <v>60</v>
      </c>
      <c r="D106" s="324">
        <f>ROUND((C105-G50)-(C105*$D$98),0)</f>
        <v>59</v>
      </c>
      <c r="E106" s="112">
        <f t="shared" si="16"/>
        <v>68</v>
      </c>
      <c r="F106" s="112">
        <f t="shared" si="17"/>
        <v>71</v>
      </c>
      <c r="G106" s="112">
        <f t="shared" si="18"/>
        <v>71</v>
      </c>
      <c r="H106" s="112">
        <f t="shared" si="19"/>
        <v>65</v>
      </c>
      <c r="I106" s="112">
        <f t="shared" si="20"/>
        <v>76</v>
      </c>
      <c r="J106" s="111">
        <f t="shared" si="15"/>
        <v>470</v>
      </c>
    </row>
    <row r="107" spans="2:10" ht="15" customHeight="1">
      <c r="B107" s="114">
        <v>2023</v>
      </c>
      <c r="C107" s="113">
        <f t="shared" si="14"/>
        <v>60</v>
      </c>
      <c r="D107" s="324">
        <f>ROUND((C106-H50)-(C106*$D$98),0)</f>
        <v>59</v>
      </c>
      <c r="E107" s="112">
        <f t="shared" si="16"/>
        <v>56</v>
      </c>
      <c r="F107" s="112">
        <f t="shared" si="17"/>
        <v>69</v>
      </c>
      <c r="G107" s="112">
        <f t="shared" si="18"/>
        <v>70</v>
      </c>
      <c r="H107" s="112">
        <f t="shared" si="19"/>
        <v>67</v>
      </c>
      <c r="I107" s="112">
        <f t="shared" si="20"/>
        <v>63</v>
      </c>
      <c r="J107" s="111">
        <f t="shared" si="15"/>
        <v>444</v>
      </c>
    </row>
    <row r="108" spans="2:10" ht="15" customHeight="1">
      <c r="B108" s="114">
        <v>2024</v>
      </c>
      <c r="C108" s="113">
        <f t="shared" si="14"/>
        <v>60</v>
      </c>
      <c r="D108" s="324">
        <f>ROUND((C107-I50)-(C107*$D$98),0)</f>
        <v>59</v>
      </c>
      <c r="E108" s="112">
        <f t="shared" si="16"/>
        <v>56</v>
      </c>
      <c r="F108" s="112">
        <f t="shared" si="17"/>
        <v>57</v>
      </c>
      <c r="G108" s="112">
        <f t="shared" si="18"/>
        <v>68</v>
      </c>
      <c r="H108" s="112">
        <f t="shared" si="19"/>
        <v>66</v>
      </c>
      <c r="I108" s="112">
        <f t="shared" si="20"/>
        <v>64</v>
      </c>
      <c r="J108" s="111">
        <f t="shared" si="15"/>
        <v>430</v>
      </c>
    </row>
    <row r="109" spans="2:10" ht="15" customHeight="1">
      <c r="B109" s="114">
        <v>2025</v>
      </c>
      <c r="C109" s="113">
        <f t="shared" si="14"/>
        <v>66</v>
      </c>
      <c r="D109" s="324">
        <f>ROUND((C108-J50)-(C108*$D$98),0)</f>
        <v>59</v>
      </c>
      <c r="E109" s="112">
        <f t="shared" si="16"/>
        <v>56</v>
      </c>
      <c r="F109" s="112">
        <f t="shared" si="17"/>
        <v>57</v>
      </c>
      <c r="G109" s="112">
        <f t="shared" si="18"/>
        <v>56</v>
      </c>
      <c r="H109" s="112">
        <f t="shared" si="19"/>
        <v>64</v>
      </c>
      <c r="I109" s="112">
        <f t="shared" si="20"/>
        <v>63</v>
      </c>
      <c r="J109" s="111">
        <f t="shared" si="15"/>
        <v>421</v>
      </c>
    </row>
    <row r="110" spans="2:10" ht="15" customHeight="1">
      <c r="B110" s="114">
        <v>2026</v>
      </c>
      <c r="C110" s="113">
        <f t="shared" si="14"/>
        <v>66</v>
      </c>
      <c r="D110" s="324">
        <f>ROUND((C109-K50)-(C109*$D$98),0)</f>
        <v>65</v>
      </c>
      <c r="E110" s="112">
        <f t="shared" si="16"/>
        <v>56</v>
      </c>
      <c r="F110" s="112">
        <f t="shared" si="17"/>
        <v>57</v>
      </c>
      <c r="G110" s="112">
        <f t="shared" si="18"/>
        <v>56</v>
      </c>
      <c r="H110" s="112">
        <f t="shared" si="19"/>
        <v>52</v>
      </c>
      <c r="I110" s="112">
        <f t="shared" si="20"/>
        <v>62</v>
      </c>
      <c r="J110" s="111">
        <f t="shared" si="15"/>
        <v>414</v>
      </c>
    </row>
    <row r="111" spans="2:10" ht="15" customHeight="1">
      <c r="B111" s="114">
        <v>2027</v>
      </c>
      <c r="C111" s="113">
        <f t="shared" si="14"/>
        <v>66</v>
      </c>
      <c r="D111" s="324">
        <f>ROUND((C110-L50)-(C110*$D$98),0)</f>
        <v>65</v>
      </c>
      <c r="E111" s="112">
        <f t="shared" si="16"/>
        <v>62</v>
      </c>
      <c r="F111" s="112">
        <f t="shared" si="17"/>
        <v>57</v>
      </c>
      <c r="G111" s="112">
        <f t="shared" si="18"/>
        <v>56</v>
      </c>
      <c r="H111" s="112">
        <f t="shared" si="19"/>
        <v>52</v>
      </c>
      <c r="I111" s="112">
        <f t="shared" si="20"/>
        <v>50</v>
      </c>
      <c r="J111" s="111">
        <f t="shared" si="15"/>
        <v>408</v>
      </c>
    </row>
    <row r="112" spans="2:10" ht="15" customHeight="1">
      <c r="B112" s="114">
        <v>2028</v>
      </c>
      <c r="C112" s="113">
        <f t="shared" si="14"/>
        <v>66</v>
      </c>
      <c r="D112" s="324">
        <f>ROUND((C111-M50)-(C111*$D$98),0)</f>
        <v>65</v>
      </c>
      <c r="E112" s="112">
        <f t="shared" si="16"/>
        <v>62</v>
      </c>
      <c r="F112" s="112">
        <f t="shared" si="17"/>
        <v>63</v>
      </c>
      <c r="G112" s="112">
        <f t="shared" si="18"/>
        <v>56</v>
      </c>
      <c r="H112" s="112">
        <f t="shared" si="19"/>
        <v>52</v>
      </c>
      <c r="I112" s="112">
        <f t="shared" si="20"/>
        <v>50</v>
      </c>
      <c r="J112" s="111">
        <f t="shared" si="15"/>
        <v>414</v>
      </c>
    </row>
    <row r="113" spans="2:10" ht="15" customHeight="1">
      <c r="B113" s="114">
        <v>2029</v>
      </c>
      <c r="C113" s="113">
        <f t="shared" si="14"/>
        <v>66</v>
      </c>
      <c r="D113" s="324">
        <f>ROUND((C112-N50)-(C112*$D$98),0)</f>
        <v>65</v>
      </c>
      <c r="E113" s="112">
        <f t="shared" si="16"/>
        <v>62</v>
      </c>
      <c r="F113" s="112">
        <f t="shared" si="17"/>
        <v>63</v>
      </c>
      <c r="G113" s="112">
        <f t="shared" si="18"/>
        <v>62</v>
      </c>
      <c r="H113" s="112">
        <f t="shared" si="19"/>
        <v>52</v>
      </c>
      <c r="I113" s="112">
        <f t="shared" si="20"/>
        <v>50</v>
      </c>
      <c r="J113" s="111">
        <f t="shared" si="15"/>
        <v>420</v>
      </c>
    </row>
    <row r="114" spans="2:10" ht="15" customHeight="1">
      <c r="B114" s="114">
        <v>2030</v>
      </c>
      <c r="C114" s="113">
        <f t="shared" si="14"/>
        <v>66</v>
      </c>
      <c r="D114" s="324">
        <f>ROUND((C113-O50)-(C113*$D$98),0)</f>
        <v>65</v>
      </c>
      <c r="E114" s="112">
        <f t="shared" si="16"/>
        <v>62</v>
      </c>
      <c r="F114" s="112">
        <f t="shared" si="17"/>
        <v>63</v>
      </c>
      <c r="G114" s="112">
        <f t="shared" si="18"/>
        <v>62</v>
      </c>
      <c r="H114" s="112">
        <f t="shared" si="19"/>
        <v>58</v>
      </c>
      <c r="I114" s="112">
        <f t="shared" si="20"/>
        <v>50</v>
      </c>
      <c r="J114" s="111">
        <f t="shared" si="15"/>
        <v>426</v>
      </c>
    </row>
    <row r="115" spans="2:10" ht="15" customHeight="1">
      <c r="B115" s="114">
        <v>2031</v>
      </c>
      <c r="C115" s="113">
        <f t="shared" si="14"/>
        <v>66</v>
      </c>
      <c r="D115" s="324">
        <f>ROUND((C114-P50)-(C114*$D$98),0)</f>
        <v>65</v>
      </c>
      <c r="E115" s="112">
        <f t="shared" si="16"/>
        <v>62</v>
      </c>
      <c r="F115" s="112">
        <f t="shared" si="17"/>
        <v>63</v>
      </c>
      <c r="G115" s="112">
        <f t="shared" si="18"/>
        <v>62</v>
      </c>
      <c r="H115" s="112">
        <f t="shared" si="19"/>
        <v>58</v>
      </c>
      <c r="I115" s="112">
        <f t="shared" si="20"/>
        <v>56</v>
      </c>
      <c r="J115" s="111">
        <f t="shared" si="15"/>
        <v>432</v>
      </c>
    </row>
    <row r="116" spans="2:10" ht="15" customHeight="1">
      <c r="B116" s="114">
        <v>2032</v>
      </c>
      <c r="C116" s="113">
        <f t="shared" si="14"/>
        <v>66</v>
      </c>
      <c r="D116" s="324">
        <f>ROUND((C115-Q50)-(C115*$D$98),0)</f>
        <v>65</v>
      </c>
      <c r="E116" s="112">
        <f t="shared" si="16"/>
        <v>62</v>
      </c>
      <c r="F116" s="112">
        <f t="shared" si="17"/>
        <v>63</v>
      </c>
      <c r="G116" s="112">
        <f t="shared" si="18"/>
        <v>62</v>
      </c>
      <c r="H116" s="112">
        <f t="shared" si="19"/>
        <v>58</v>
      </c>
      <c r="I116" s="112">
        <f t="shared" si="20"/>
        <v>56</v>
      </c>
      <c r="J116" s="111">
        <f t="shared" si="15"/>
        <v>432</v>
      </c>
    </row>
    <row r="117" spans="2:10" ht="15" customHeight="1">
      <c r="F117" s="14"/>
      <c r="G117" s="14"/>
    </row>
    <row r="118" spans="2:10" ht="15" customHeight="1">
      <c r="B118" s="15" t="str">
        <f>"Table 4C: "&amp;E3&amp;" Projected Pupil Generation from Housing Development, 2019-2032"</f>
        <v>Table 4C: Wardie Primary School Projected Pupil Generation from Housing Development, 2019-2032</v>
      </c>
      <c r="F118" s="14"/>
      <c r="G118" s="14"/>
    </row>
    <row r="119" spans="2:10" ht="15" customHeight="1">
      <c r="F119" s="14"/>
      <c r="G119" s="14"/>
    </row>
    <row r="120" spans="2:10" ht="15" customHeight="1">
      <c r="B120" s="115"/>
      <c r="C120" s="109" t="s">
        <v>1</v>
      </c>
      <c r="D120" s="109" t="s">
        <v>2</v>
      </c>
      <c r="E120" s="109" t="s">
        <v>3</v>
      </c>
      <c r="F120" s="109" t="s">
        <v>4</v>
      </c>
      <c r="G120" s="109" t="s">
        <v>5</v>
      </c>
      <c r="H120" s="109" t="s">
        <v>6</v>
      </c>
      <c r="I120" s="109" t="s">
        <v>7</v>
      </c>
      <c r="J120" s="109" t="s">
        <v>8</v>
      </c>
    </row>
    <row r="121" spans="2:10" ht="15" customHeight="1">
      <c r="B121" s="114">
        <v>2019</v>
      </c>
      <c r="C121" s="116" t="s">
        <v>97</v>
      </c>
      <c r="D121" s="112">
        <f>VLOOKUP($E$3,'Housing Generation'!$A$3:$BE$90,11,FALSE)</f>
        <v>0</v>
      </c>
      <c r="E121" s="112">
        <f>VLOOKUP($E$3,'Housing Generation'!$A$3:$BE$90,12,FALSE)</f>
        <v>0</v>
      </c>
      <c r="F121" s="112">
        <f>VLOOKUP($E$3,'Housing Generation'!$A$3:$BE$90,13,FALSE)</f>
        <v>0</v>
      </c>
      <c r="G121" s="112">
        <f>VLOOKUP($E$3,'Housing Generation'!$A$3:$BE$90,14,FALSE)</f>
        <v>0</v>
      </c>
      <c r="H121" s="112">
        <f>VLOOKUP($E$3,'Housing Generation'!$A$3:$BE$90,15,FALSE)</f>
        <v>0</v>
      </c>
      <c r="I121" s="112">
        <f>VLOOKUP($E$3,'Housing Generation'!$A$3:$BE$90,16,FALSE)</f>
        <v>0</v>
      </c>
      <c r="J121" s="111">
        <f t="shared" ref="J121:J134" si="21">SUM(D121:I121)</f>
        <v>0</v>
      </c>
    </row>
    <row r="122" spans="2:10" ht="15" customHeight="1">
      <c r="B122" s="114">
        <v>2020</v>
      </c>
      <c r="C122" s="116" t="s">
        <v>97</v>
      </c>
      <c r="D122" s="112">
        <f>VLOOKUP($E$3,'Housing Generation'!$A$3:$BE$90,19,FALSE)</f>
        <v>0</v>
      </c>
      <c r="E122" s="112">
        <f>VLOOKUP($E$3,'Housing Generation'!$A$3:$BE$90,20,FALSE)</f>
        <v>0</v>
      </c>
      <c r="F122" s="112">
        <f>VLOOKUP($E$3,'Housing Generation'!$A$3:$BE$90,21,FALSE)</f>
        <v>0</v>
      </c>
      <c r="G122" s="112">
        <f>VLOOKUP($E$3,'Housing Generation'!$A$3:$BE$90,22,FALSE)</f>
        <v>0</v>
      </c>
      <c r="H122" s="112">
        <f>VLOOKUP($E$3,'Housing Generation'!$A$3:$BE$90,23,FALSE)</f>
        <v>0</v>
      </c>
      <c r="I122" s="112">
        <f>VLOOKUP($E$3,'Housing Generation'!$A$3:$BE$90,24,FALSE)</f>
        <v>0</v>
      </c>
      <c r="J122" s="111">
        <f t="shared" si="21"/>
        <v>0</v>
      </c>
    </row>
    <row r="123" spans="2:10" ht="15" customHeight="1">
      <c r="B123" s="114">
        <v>2021</v>
      </c>
      <c r="C123" s="116" t="s">
        <v>97</v>
      </c>
      <c r="D123" s="112">
        <f>VLOOKUP($E$3,'Housing Generation'!$A$3:$BE$90,27,FALSE)</f>
        <v>0</v>
      </c>
      <c r="E123" s="112">
        <f>VLOOKUP($E$3,'Housing Generation'!$A$3:$BE$90,28,FALSE)</f>
        <v>0</v>
      </c>
      <c r="F123" s="112">
        <f>VLOOKUP($E$3,'Housing Generation'!$A$3:$BE$90,29,FALSE)</f>
        <v>0</v>
      </c>
      <c r="G123" s="112">
        <f>VLOOKUP($E$3,'Housing Generation'!$A$3:$BE$90,30,FALSE)</f>
        <v>0</v>
      </c>
      <c r="H123" s="112">
        <f>VLOOKUP($E$3,'Housing Generation'!$A$3:$BE$90,31,FALSE)</f>
        <v>0</v>
      </c>
      <c r="I123" s="112">
        <f>VLOOKUP($E$3,'Housing Generation'!$A$3:$BE$90,32,FALSE)</f>
        <v>0</v>
      </c>
      <c r="J123" s="111">
        <f t="shared" si="21"/>
        <v>0</v>
      </c>
    </row>
    <row r="124" spans="2:10" ht="15" customHeight="1">
      <c r="B124" s="114">
        <v>2022</v>
      </c>
      <c r="C124" s="116" t="s">
        <v>97</v>
      </c>
      <c r="D124" s="112">
        <f>VLOOKUP($E$3,'Housing Generation'!$A$3:$BE$90,35,FALSE)</f>
        <v>0</v>
      </c>
      <c r="E124" s="112">
        <f>VLOOKUP($E$3,'Housing Generation'!$A$3:$BE$90,36,FALSE)</f>
        <v>0</v>
      </c>
      <c r="F124" s="112">
        <f>VLOOKUP($E$3,'Housing Generation'!$A$3:$BE$90,37,FALSE)</f>
        <v>0</v>
      </c>
      <c r="G124" s="112">
        <f>VLOOKUP($E$3,'Housing Generation'!$A$3:$BE$90,38,FALSE)</f>
        <v>0</v>
      </c>
      <c r="H124" s="112">
        <f>VLOOKUP($E$3,'Housing Generation'!$A$3:$BE$90,39,FALSE)</f>
        <v>0</v>
      </c>
      <c r="I124" s="112">
        <f>VLOOKUP($E$3,'Housing Generation'!$A$3:$BE$90,40,FALSE)</f>
        <v>0</v>
      </c>
      <c r="J124" s="111">
        <f t="shared" si="21"/>
        <v>0</v>
      </c>
    </row>
    <row r="125" spans="2:10" ht="15" customHeight="1">
      <c r="B125" s="114">
        <v>2023</v>
      </c>
      <c r="C125" s="116" t="s">
        <v>97</v>
      </c>
      <c r="D125" s="112">
        <f>VLOOKUP($E$3,'Housing Generation'!$A$3:$BE$90,43,FALSE)</f>
        <v>0</v>
      </c>
      <c r="E125" s="112">
        <f>VLOOKUP($E$3,'Housing Generation'!$A$3:$BE$90,44,FALSE)</f>
        <v>0</v>
      </c>
      <c r="F125" s="112">
        <f>VLOOKUP($E$3,'Housing Generation'!$A$3:$BE$90,45,FALSE)</f>
        <v>0</v>
      </c>
      <c r="G125" s="112">
        <f>VLOOKUP($E$3,'Housing Generation'!$A$3:$BE$90,46,FALSE)</f>
        <v>0</v>
      </c>
      <c r="H125" s="112">
        <f>VLOOKUP($E$3,'Housing Generation'!$A$3:$BE$90,47,FALSE)</f>
        <v>0</v>
      </c>
      <c r="I125" s="112">
        <f>VLOOKUP($E$3,'Housing Generation'!$A$3:$BE$90,48,FALSE)</f>
        <v>0</v>
      </c>
      <c r="J125" s="111">
        <f t="shared" si="21"/>
        <v>0</v>
      </c>
    </row>
    <row r="126" spans="2:10" ht="15" customHeight="1">
      <c r="B126" s="114">
        <v>2024</v>
      </c>
      <c r="C126" s="116" t="s">
        <v>97</v>
      </c>
      <c r="D126" s="112">
        <f>VLOOKUP($E$3,'Housing Generation'!$A$3:$BE$90,51,FALSE)</f>
        <v>0</v>
      </c>
      <c r="E126" s="112">
        <f>VLOOKUP($E$3,'Housing Generation'!$A$3:$BE$90,52,FALSE)</f>
        <v>0</v>
      </c>
      <c r="F126" s="112">
        <f>VLOOKUP($E$3,'Housing Generation'!$A$3:$BE$90,53,FALSE)</f>
        <v>0</v>
      </c>
      <c r="G126" s="112">
        <f>VLOOKUP($E$3,'Housing Generation'!$A$3:$BE$90,54,FALSE)</f>
        <v>0</v>
      </c>
      <c r="H126" s="112">
        <f>VLOOKUP($E$3,'Housing Generation'!$A$3:$BE$90,55,FALSE)</f>
        <v>0</v>
      </c>
      <c r="I126" s="112">
        <f>VLOOKUP($E$3,'Housing Generation'!$A$3:$BE$90,56,FALSE)</f>
        <v>0</v>
      </c>
      <c r="J126" s="111">
        <f t="shared" si="21"/>
        <v>0</v>
      </c>
    </row>
    <row r="127" spans="2:10" ht="15" customHeight="1">
      <c r="B127" s="114">
        <v>2025</v>
      </c>
      <c r="C127" s="240" t="s">
        <v>97</v>
      </c>
      <c r="D127" s="112">
        <f>VLOOKUP($E$3,'Housing Generation'!$A$3:$CK$90,59,FALSE)</f>
        <v>0</v>
      </c>
      <c r="E127" s="112">
        <f>VLOOKUP($E$3,'Housing Generation'!$A$3:$CK$90,60,FALSE)</f>
        <v>0</v>
      </c>
      <c r="F127" s="112">
        <f>VLOOKUP($E$3,'Housing Generation'!$A$3:$CK$90,61,FALSE)</f>
        <v>0</v>
      </c>
      <c r="G127" s="112">
        <f>VLOOKUP($E$3,'Housing Generation'!$A$3:$CK$90,62,FALSE)</f>
        <v>0</v>
      </c>
      <c r="H127" s="112">
        <f>VLOOKUP($E$3,'Housing Generation'!$A$3:$CK$90,63,FALSE)</f>
        <v>0</v>
      </c>
      <c r="I127" s="112">
        <f>VLOOKUP($E$3,'Housing Generation'!$A$3:$CK$90,64,FALSE)</f>
        <v>0</v>
      </c>
      <c r="J127" s="111">
        <f t="shared" si="21"/>
        <v>0</v>
      </c>
    </row>
    <row r="128" spans="2:10" ht="15" customHeight="1">
      <c r="B128" s="114">
        <v>2026</v>
      </c>
      <c r="C128" s="240" t="s">
        <v>97</v>
      </c>
      <c r="D128" s="112">
        <f>VLOOKUP($E$3,'Housing Generation'!$A$3:$CK$90,67,FALSE)</f>
        <v>0</v>
      </c>
      <c r="E128" s="112">
        <f>VLOOKUP($E$3,'Housing Generation'!$A$3:$CK$90,68,FALSE)</f>
        <v>0</v>
      </c>
      <c r="F128" s="112">
        <f>VLOOKUP($E$3,'Housing Generation'!$A$3:$CK$90,69,FALSE)</f>
        <v>0</v>
      </c>
      <c r="G128" s="112">
        <f>VLOOKUP($E$3,'Housing Generation'!$A$3:$CK$90,70,FALSE)</f>
        <v>0</v>
      </c>
      <c r="H128" s="112">
        <f>VLOOKUP($E$3,'Housing Generation'!$A$3:$CK$90,71,FALSE)</f>
        <v>0</v>
      </c>
      <c r="I128" s="112">
        <f>VLOOKUP($E$3,'Housing Generation'!$A$3:$CK$90,72,FALSE)</f>
        <v>0</v>
      </c>
      <c r="J128" s="111">
        <f t="shared" si="21"/>
        <v>0</v>
      </c>
    </row>
    <row r="129" spans="2:10" ht="15" customHeight="1">
      <c r="B129" s="114">
        <v>2027</v>
      </c>
      <c r="C129" s="240" t="s">
        <v>97</v>
      </c>
      <c r="D129" s="112">
        <f>VLOOKUP($E$3,'Housing Generation'!$A$3:$CK$90,75,FALSE)</f>
        <v>0</v>
      </c>
      <c r="E129" s="112">
        <f>VLOOKUP($E$3,'Housing Generation'!$A$3:$CK$90,76,FALSE)</f>
        <v>0</v>
      </c>
      <c r="F129" s="112">
        <f>VLOOKUP($E$3,'Housing Generation'!$A$3:$CK$90,77,FALSE)</f>
        <v>0</v>
      </c>
      <c r="G129" s="112">
        <f>VLOOKUP($E$3,'Housing Generation'!$A$3:$CK$90,78,FALSE)</f>
        <v>0</v>
      </c>
      <c r="H129" s="112">
        <f>VLOOKUP($E$3,'Housing Generation'!$A$3:$CK$90,79,FALSE)</f>
        <v>0</v>
      </c>
      <c r="I129" s="112">
        <f>VLOOKUP($E$3,'Housing Generation'!$A$3:$CK$90,80,FALSE)</f>
        <v>0</v>
      </c>
      <c r="J129" s="111">
        <f t="shared" si="21"/>
        <v>0</v>
      </c>
    </row>
    <row r="130" spans="2:10" ht="15" customHeight="1">
      <c r="B130" s="114">
        <v>2028</v>
      </c>
      <c r="C130" s="289" t="s">
        <v>97</v>
      </c>
      <c r="D130" s="112">
        <f>VLOOKUP($E$3,'Housing Generation'!$A$3:$CK$90,83,FALSE)</f>
        <v>0</v>
      </c>
      <c r="E130" s="112">
        <f>VLOOKUP($E$3,'Housing Generation'!$A$3:$CK$90,84,FALSE)</f>
        <v>0</v>
      </c>
      <c r="F130" s="112">
        <f>VLOOKUP($E$3,'Housing Generation'!$A$3:$CK$90,85,FALSE)</f>
        <v>0</v>
      </c>
      <c r="G130" s="112">
        <f>VLOOKUP($E$3,'Housing Generation'!$A$3:$CK$90,86,FALSE)</f>
        <v>0</v>
      </c>
      <c r="H130" s="112">
        <f>VLOOKUP($E$3,'Housing Generation'!$A$3:$CK$90,87,FALSE)</f>
        <v>0</v>
      </c>
      <c r="I130" s="112">
        <f>VLOOKUP($E$3,'Housing Generation'!$A$3:$CK$90,88,FALSE)</f>
        <v>0</v>
      </c>
      <c r="J130" s="111">
        <f t="shared" si="21"/>
        <v>0</v>
      </c>
    </row>
    <row r="131" spans="2:10" ht="15" customHeight="1">
      <c r="B131" s="114">
        <v>2029</v>
      </c>
      <c r="C131" s="289" t="s">
        <v>97</v>
      </c>
      <c r="D131" s="112">
        <f>VLOOKUP($E$3,'Housing Generation'!$A$3:$DQ$90,91,FALSE)</f>
        <v>0</v>
      </c>
      <c r="E131" s="112">
        <f>VLOOKUP($E$3,'Housing Generation'!$A$3:$DQ$90,92,FALSE)</f>
        <v>0</v>
      </c>
      <c r="F131" s="112">
        <f>VLOOKUP($E$3,'Housing Generation'!$A$3:$DQ$90,93,FALSE)</f>
        <v>0</v>
      </c>
      <c r="G131" s="112">
        <f>VLOOKUP($E$3,'Housing Generation'!$A$3:$DQ$90,94,FALSE)</f>
        <v>0</v>
      </c>
      <c r="H131" s="112">
        <f>VLOOKUP($E$3,'Housing Generation'!$A$3:$DQ$90,95,FALSE)</f>
        <v>0</v>
      </c>
      <c r="I131" s="112">
        <f>VLOOKUP($E$3,'Housing Generation'!$A$3:$DQ$90,96,FALSE)</f>
        <v>0</v>
      </c>
      <c r="J131" s="111">
        <f t="shared" si="21"/>
        <v>0</v>
      </c>
    </row>
    <row r="132" spans="2:10" ht="15" customHeight="1">
      <c r="B132" s="114">
        <v>2030</v>
      </c>
      <c r="C132" s="289" t="s">
        <v>97</v>
      </c>
      <c r="D132" s="112">
        <f>VLOOKUP($E$3,'Housing Generation'!$A$3:$DQ$90,99,FALSE)</f>
        <v>0</v>
      </c>
      <c r="E132" s="112">
        <f>VLOOKUP($E$3,'Housing Generation'!$A$3:$DQ$90,100,FALSE)</f>
        <v>0</v>
      </c>
      <c r="F132" s="112">
        <f>VLOOKUP($E$3,'Housing Generation'!$A$3:$DQ$90,101,FALSE)</f>
        <v>0</v>
      </c>
      <c r="G132" s="112">
        <f>VLOOKUP($E$3,'Housing Generation'!$A$3:$DQ$90,102,FALSE)</f>
        <v>0</v>
      </c>
      <c r="H132" s="112">
        <f>VLOOKUP($E$3,'Housing Generation'!$A$3:$DQ$90,103,FALSE)</f>
        <v>0</v>
      </c>
      <c r="I132" s="112">
        <f>VLOOKUP($E$3,'Housing Generation'!$A$3:$DQ$90,104,FALSE)</f>
        <v>0</v>
      </c>
      <c r="J132" s="111">
        <f t="shared" si="21"/>
        <v>0</v>
      </c>
    </row>
    <row r="133" spans="2:10" ht="15" customHeight="1">
      <c r="B133" s="114">
        <v>2031</v>
      </c>
      <c r="C133" s="289" t="s">
        <v>97</v>
      </c>
      <c r="D133" s="112">
        <f>VLOOKUP($E$3,'Housing Generation'!$A$3:$DQ$90,107,FALSE)</f>
        <v>0</v>
      </c>
      <c r="E133" s="112">
        <f>VLOOKUP($E$3,'Housing Generation'!$A$3:$DQ$90,108,FALSE)</f>
        <v>0</v>
      </c>
      <c r="F133" s="112">
        <f>VLOOKUP($E$3,'Housing Generation'!$A$3:$DQ$90,109,FALSE)</f>
        <v>0</v>
      </c>
      <c r="G133" s="112">
        <f>VLOOKUP($E$3,'Housing Generation'!$A$3:$DQ$90,110,FALSE)</f>
        <v>0</v>
      </c>
      <c r="H133" s="112">
        <f>VLOOKUP($E$3,'Housing Generation'!$A$3:$DQ$90,111,FALSE)</f>
        <v>0</v>
      </c>
      <c r="I133" s="112">
        <f>VLOOKUP($E$3,'Housing Generation'!$A$3:$DQ$90,112,FALSE)</f>
        <v>0</v>
      </c>
      <c r="J133" s="111">
        <f t="shared" si="21"/>
        <v>0</v>
      </c>
    </row>
    <row r="134" spans="2:10" ht="15" customHeight="1">
      <c r="B134" s="114">
        <v>2032</v>
      </c>
      <c r="C134" s="289" t="s">
        <v>97</v>
      </c>
      <c r="D134" s="112">
        <f>VLOOKUP($E$3,'Housing Generation'!$A$3:$DQ$90,115,FALSE)</f>
        <v>0</v>
      </c>
      <c r="E134" s="112">
        <f>VLOOKUP($E$3,'Housing Generation'!$A$3:$DQ$90,116,FALSE)</f>
        <v>0</v>
      </c>
      <c r="F134" s="112">
        <f>VLOOKUP($E$3,'Housing Generation'!$A$3:$DQ$90,117,FALSE)</f>
        <v>0</v>
      </c>
      <c r="G134" s="112">
        <f>VLOOKUP($E$3,'Housing Generation'!$A$3:$DQ$90,118,FALSE)</f>
        <v>0</v>
      </c>
      <c r="H134" s="112">
        <f>VLOOKUP($E$3,'Housing Generation'!$A$3:$DQ$90,119,FALSE)</f>
        <v>0</v>
      </c>
      <c r="I134" s="112">
        <f>VLOOKUP($E$3,'Housing Generation'!$A$3:$DQ$90,120,FALSE)</f>
        <v>0</v>
      </c>
      <c r="J134" s="111">
        <f t="shared" si="21"/>
        <v>0</v>
      </c>
    </row>
    <row r="135" spans="2:10" ht="15" customHeight="1">
      <c r="B135" s="83"/>
      <c r="C135" s="85"/>
      <c r="D135" s="84"/>
      <c r="E135" s="84"/>
      <c r="F135" s="84"/>
      <c r="G135" s="84"/>
      <c r="H135" s="84"/>
      <c r="I135" s="84"/>
      <c r="J135" s="86"/>
    </row>
    <row r="136" spans="2:10" ht="15" customHeight="1">
      <c r="B136" s="15" t="str">
        <f>"Table 5: "&amp;E3&amp;" Projected Roll by Stage (incorporating Projected P1, Drop-Off Rates and Housing Development), 2019-2032"</f>
        <v>Table 5: Wardie Primary School Projected Roll by Stage (incorporating Projected P1, Drop-Off Rates and Housing Development), 2019-2032</v>
      </c>
      <c r="F136" s="14"/>
      <c r="G136" s="14"/>
    </row>
    <row r="137" spans="2:10" ht="15" customHeight="1">
      <c r="F137" s="14"/>
      <c r="G137" s="14"/>
    </row>
    <row r="138" spans="2:10" ht="15" customHeight="1">
      <c r="B138" s="115"/>
      <c r="C138" s="109" t="s">
        <v>1</v>
      </c>
      <c r="D138" s="109" t="s">
        <v>2</v>
      </c>
      <c r="E138" s="109" t="s">
        <v>3</v>
      </c>
      <c r="F138" s="109" t="s">
        <v>4</v>
      </c>
      <c r="G138" s="109" t="s">
        <v>5</v>
      </c>
      <c r="H138" s="109" t="s">
        <v>6</v>
      </c>
      <c r="I138" s="109" t="s">
        <v>7</v>
      </c>
      <c r="J138" s="109" t="s">
        <v>8</v>
      </c>
    </row>
    <row r="139" spans="2:10" ht="15" customHeight="1">
      <c r="B139" s="114">
        <v>2019</v>
      </c>
      <c r="C139" s="113">
        <f t="shared" ref="C139:C152" si="22">C103</f>
        <v>75</v>
      </c>
      <c r="D139" s="112">
        <f t="shared" ref="D139:I152" si="23">D121+D103</f>
        <v>75</v>
      </c>
      <c r="E139" s="112">
        <f t="shared" si="23"/>
        <v>69</v>
      </c>
      <c r="F139" s="112">
        <f t="shared" si="23"/>
        <v>85</v>
      </c>
      <c r="G139" s="112">
        <f t="shared" si="23"/>
        <v>77</v>
      </c>
      <c r="H139" s="112">
        <f t="shared" si="23"/>
        <v>61</v>
      </c>
      <c r="I139" s="112">
        <f t="shared" si="23"/>
        <v>74</v>
      </c>
      <c r="J139" s="111">
        <f t="shared" ref="J139:J147" si="24">SUM(C139:I139)</f>
        <v>516</v>
      </c>
    </row>
    <row r="140" spans="2:10" ht="15" customHeight="1">
      <c r="B140" s="114">
        <v>2020</v>
      </c>
      <c r="C140" s="113">
        <f t="shared" si="22"/>
        <v>72</v>
      </c>
      <c r="D140" s="112">
        <f t="shared" si="23"/>
        <v>74</v>
      </c>
      <c r="E140" s="112">
        <f t="shared" si="23"/>
        <v>71</v>
      </c>
      <c r="F140" s="112">
        <f t="shared" si="23"/>
        <v>70</v>
      </c>
      <c r="G140" s="112">
        <f t="shared" si="23"/>
        <v>84</v>
      </c>
      <c r="H140" s="112">
        <f t="shared" si="23"/>
        <v>72</v>
      </c>
      <c r="I140" s="112">
        <f t="shared" si="23"/>
        <v>59</v>
      </c>
      <c r="J140" s="111">
        <f t="shared" si="24"/>
        <v>502</v>
      </c>
    </row>
    <row r="141" spans="2:10" ht="15" customHeight="1">
      <c r="B141" s="114">
        <v>2021</v>
      </c>
      <c r="C141" s="113">
        <f t="shared" si="22"/>
        <v>59.705673073827242</v>
      </c>
      <c r="D141" s="112">
        <f t="shared" si="23"/>
        <v>71</v>
      </c>
      <c r="E141" s="112">
        <f t="shared" si="23"/>
        <v>70</v>
      </c>
      <c r="F141" s="112">
        <f t="shared" si="23"/>
        <v>72</v>
      </c>
      <c r="G141" s="112">
        <f t="shared" si="23"/>
        <v>69</v>
      </c>
      <c r="H141" s="112">
        <f t="shared" si="23"/>
        <v>79</v>
      </c>
      <c r="I141" s="112">
        <f t="shared" si="23"/>
        <v>69</v>
      </c>
      <c r="J141" s="111">
        <f t="shared" si="24"/>
        <v>489.70567307382726</v>
      </c>
    </row>
    <row r="142" spans="2:10" ht="15" customHeight="1">
      <c r="B142" s="114">
        <v>2022</v>
      </c>
      <c r="C142" s="113">
        <f t="shared" si="22"/>
        <v>60</v>
      </c>
      <c r="D142" s="112">
        <f t="shared" si="23"/>
        <v>59</v>
      </c>
      <c r="E142" s="112">
        <f t="shared" si="23"/>
        <v>68</v>
      </c>
      <c r="F142" s="112">
        <f t="shared" si="23"/>
        <v>71</v>
      </c>
      <c r="G142" s="112">
        <f t="shared" si="23"/>
        <v>71</v>
      </c>
      <c r="H142" s="112">
        <f t="shared" si="23"/>
        <v>65</v>
      </c>
      <c r="I142" s="112">
        <f t="shared" si="23"/>
        <v>76</v>
      </c>
      <c r="J142" s="111">
        <f t="shared" si="24"/>
        <v>470</v>
      </c>
    </row>
    <row r="143" spans="2:10" ht="15" customHeight="1">
      <c r="B143" s="114">
        <v>2023</v>
      </c>
      <c r="C143" s="113">
        <f t="shared" si="22"/>
        <v>60</v>
      </c>
      <c r="D143" s="112">
        <f t="shared" si="23"/>
        <v>59</v>
      </c>
      <c r="E143" s="112">
        <f t="shared" si="23"/>
        <v>56</v>
      </c>
      <c r="F143" s="112">
        <f t="shared" si="23"/>
        <v>69</v>
      </c>
      <c r="G143" s="112">
        <f t="shared" si="23"/>
        <v>70</v>
      </c>
      <c r="H143" s="112">
        <f t="shared" si="23"/>
        <v>67</v>
      </c>
      <c r="I143" s="112">
        <f t="shared" si="23"/>
        <v>63</v>
      </c>
      <c r="J143" s="111">
        <f t="shared" si="24"/>
        <v>444</v>
      </c>
    </row>
    <row r="144" spans="2:10" ht="15" customHeight="1">
      <c r="B144" s="114">
        <v>2024</v>
      </c>
      <c r="C144" s="113">
        <f t="shared" si="22"/>
        <v>60</v>
      </c>
      <c r="D144" s="112">
        <f t="shared" si="23"/>
        <v>59</v>
      </c>
      <c r="E144" s="112">
        <f t="shared" si="23"/>
        <v>56</v>
      </c>
      <c r="F144" s="112">
        <f t="shared" si="23"/>
        <v>57</v>
      </c>
      <c r="G144" s="112">
        <f t="shared" si="23"/>
        <v>68</v>
      </c>
      <c r="H144" s="112">
        <f t="shared" si="23"/>
        <v>66</v>
      </c>
      <c r="I144" s="112">
        <f t="shared" si="23"/>
        <v>64</v>
      </c>
      <c r="J144" s="111">
        <f t="shared" si="24"/>
        <v>430</v>
      </c>
    </row>
    <row r="145" spans="2:16" ht="15" customHeight="1">
      <c r="B145" s="114">
        <v>2025</v>
      </c>
      <c r="C145" s="113">
        <f t="shared" si="22"/>
        <v>66</v>
      </c>
      <c r="D145" s="112">
        <f t="shared" si="23"/>
        <v>59</v>
      </c>
      <c r="E145" s="112">
        <f t="shared" si="23"/>
        <v>56</v>
      </c>
      <c r="F145" s="112">
        <f t="shared" si="23"/>
        <v>57</v>
      </c>
      <c r="G145" s="112">
        <f t="shared" si="23"/>
        <v>56</v>
      </c>
      <c r="H145" s="112">
        <f t="shared" si="23"/>
        <v>64</v>
      </c>
      <c r="I145" s="112">
        <f t="shared" si="23"/>
        <v>63</v>
      </c>
      <c r="J145" s="111">
        <f t="shared" si="24"/>
        <v>421</v>
      </c>
    </row>
    <row r="146" spans="2:16" ht="15" customHeight="1">
      <c r="B146" s="114">
        <v>2026</v>
      </c>
      <c r="C146" s="113">
        <f t="shared" si="22"/>
        <v>66</v>
      </c>
      <c r="D146" s="112">
        <f t="shared" si="23"/>
        <v>65</v>
      </c>
      <c r="E146" s="112">
        <f t="shared" si="23"/>
        <v>56</v>
      </c>
      <c r="F146" s="112">
        <f t="shared" si="23"/>
        <v>57</v>
      </c>
      <c r="G146" s="112">
        <f t="shared" si="23"/>
        <v>56</v>
      </c>
      <c r="H146" s="112">
        <f t="shared" si="23"/>
        <v>52</v>
      </c>
      <c r="I146" s="112">
        <f t="shared" si="23"/>
        <v>62</v>
      </c>
      <c r="J146" s="111">
        <f t="shared" si="24"/>
        <v>414</v>
      </c>
    </row>
    <row r="147" spans="2:16" ht="15" customHeight="1">
      <c r="B147" s="114">
        <v>2027</v>
      </c>
      <c r="C147" s="113">
        <f t="shared" si="22"/>
        <v>66</v>
      </c>
      <c r="D147" s="112">
        <f t="shared" si="23"/>
        <v>65</v>
      </c>
      <c r="E147" s="112">
        <f t="shared" si="23"/>
        <v>62</v>
      </c>
      <c r="F147" s="112">
        <f t="shared" si="23"/>
        <v>57</v>
      </c>
      <c r="G147" s="112">
        <f t="shared" si="23"/>
        <v>56</v>
      </c>
      <c r="H147" s="112">
        <f t="shared" si="23"/>
        <v>52</v>
      </c>
      <c r="I147" s="112">
        <f t="shared" si="23"/>
        <v>50</v>
      </c>
      <c r="J147" s="111">
        <f t="shared" si="24"/>
        <v>408</v>
      </c>
    </row>
    <row r="148" spans="2:16" ht="15" customHeight="1">
      <c r="B148" s="114">
        <v>2028</v>
      </c>
      <c r="C148" s="113">
        <f t="shared" si="22"/>
        <v>66</v>
      </c>
      <c r="D148" s="112">
        <f t="shared" si="23"/>
        <v>65</v>
      </c>
      <c r="E148" s="112">
        <f t="shared" si="23"/>
        <v>62</v>
      </c>
      <c r="F148" s="112">
        <f t="shared" si="23"/>
        <v>63</v>
      </c>
      <c r="G148" s="112">
        <f t="shared" si="23"/>
        <v>56</v>
      </c>
      <c r="H148" s="112">
        <f t="shared" si="23"/>
        <v>52</v>
      </c>
      <c r="I148" s="112">
        <f t="shared" si="23"/>
        <v>50</v>
      </c>
      <c r="J148" s="111">
        <f t="shared" ref="J148:J152" si="25">SUM(C148:I148)</f>
        <v>414</v>
      </c>
    </row>
    <row r="149" spans="2:16" ht="15" customHeight="1">
      <c r="B149" s="114">
        <v>2029</v>
      </c>
      <c r="C149" s="113">
        <f t="shared" si="22"/>
        <v>66</v>
      </c>
      <c r="D149" s="112">
        <f t="shared" si="23"/>
        <v>65</v>
      </c>
      <c r="E149" s="112">
        <f t="shared" si="23"/>
        <v>62</v>
      </c>
      <c r="F149" s="112">
        <f t="shared" si="23"/>
        <v>63</v>
      </c>
      <c r="G149" s="112">
        <f t="shared" si="23"/>
        <v>62</v>
      </c>
      <c r="H149" s="112">
        <f t="shared" si="23"/>
        <v>52</v>
      </c>
      <c r="I149" s="112">
        <f t="shared" si="23"/>
        <v>50</v>
      </c>
      <c r="J149" s="111">
        <f t="shared" si="25"/>
        <v>420</v>
      </c>
    </row>
    <row r="150" spans="2:16" ht="15" customHeight="1">
      <c r="B150" s="114">
        <v>2030</v>
      </c>
      <c r="C150" s="113">
        <f t="shared" si="22"/>
        <v>66</v>
      </c>
      <c r="D150" s="112">
        <f t="shared" si="23"/>
        <v>65</v>
      </c>
      <c r="E150" s="112">
        <f t="shared" si="23"/>
        <v>62</v>
      </c>
      <c r="F150" s="112">
        <f t="shared" si="23"/>
        <v>63</v>
      </c>
      <c r="G150" s="112">
        <f t="shared" si="23"/>
        <v>62</v>
      </c>
      <c r="H150" s="112">
        <f t="shared" si="23"/>
        <v>58</v>
      </c>
      <c r="I150" s="112">
        <f t="shared" si="23"/>
        <v>50</v>
      </c>
      <c r="J150" s="111">
        <f t="shared" si="25"/>
        <v>426</v>
      </c>
    </row>
    <row r="151" spans="2:16" ht="15" customHeight="1">
      <c r="B151" s="114">
        <v>2031</v>
      </c>
      <c r="C151" s="113">
        <f t="shared" si="22"/>
        <v>66</v>
      </c>
      <c r="D151" s="112">
        <f t="shared" si="23"/>
        <v>65</v>
      </c>
      <c r="E151" s="112">
        <f t="shared" si="23"/>
        <v>62</v>
      </c>
      <c r="F151" s="112">
        <f t="shared" si="23"/>
        <v>63</v>
      </c>
      <c r="G151" s="112">
        <f t="shared" si="23"/>
        <v>62</v>
      </c>
      <c r="H151" s="112">
        <f t="shared" si="23"/>
        <v>58</v>
      </c>
      <c r="I151" s="112">
        <f t="shared" si="23"/>
        <v>56</v>
      </c>
      <c r="J151" s="111">
        <f t="shared" si="25"/>
        <v>432</v>
      </c>
    </row>
    <row r="152" spans="2:16" ht="15" customHeight="1">
      <c r="B152" s="114">
        <v>2032</v>
      </c>
      <c r="C152" s="113">
        <f t="shared" si="22"/>
        <v>66</v>
      </c>
      <c r="D152" s="112">
        <f t="shared" si="23"/>
        <v>65</v>
      </c>
      <c r="E152" s="112">
        <f t="shared" si="23"/>
        <v>62</v>
      </c>
      <c r="F152" s="112">
        <f t="shared" si="23"/>
        <v>63</v>
      </c>
      <c r="G152" s="112">
        <f t="shared" si="23"/>
        <v>62</v>
      </c>
      <c r="H152" s="112">
        <f t="shared" si="23"/>
        <v>58</v>
      </c>
      <c r="I152" s="112">
        <f t="shared" si="23"/>
        <v>56</v>
      </c>
      <c r="J152" s="111">
        <f t="shared" si="25"/>
        <v>432</v>
      </c>
    </row>
    <row r="153" spans="2:16" ht="15" customHeight="1">
      <c r="F153" s="14"/>
      <c r="G153" s="14"/>
    </row>
    <row r="154" spans="2:16" ht="18.75" customHeight="1">
      <c r="B154" s="12" t="s">
        <v>147</v>
      </c>
      <c r="C154" s="13"/>
      <c r="D154" s="13"/>
      <c r="E154" s="13"/>
      <c r="F154" s="13"/>
      <c r="G154" s="13"/>
      <c r="H154" s="13"/>
      <c r="I154" s="13"/>
      <c r="J154" s="13"/>
    </row>
    <row r="155" spans="2:16" ht="15" customHeight="1">
      <c r="F155" s="14"/>
      <c r="G155" s="14"/>
    </row>
    <row r="156" spans="2:16" ht="15" customHeight="1">
      <c r="B156" s="15" t="s">
        <v>248</v>
      </c>
      <c r="F156" s="14"/>
      <c r="G156" s="14"/>
    </row>
    <row r="157" spans="2:16" ht="15" customHeight="1">
      <c r="B157" s="15"/>
      <c r="F157" s="14"/>
      <c r="G157" s="14"/>
    </row>
    <row r="158" spans="2:16" ht="15" customHeight="1">
      <c r="B158" s="110"/>
      <c r="C158" s="109">
        <v>2019</v>
      </c>
      <c r="D158" s="109">
        <v>2020</v>
      </c>
      <c r="E158" s="109">
        <v>2021</v>
      </c>
      <c r="F158" s="109">
        <v>2022</v>
      </c>
      <c r="G158" s="109">
        <v>2023</v>
      </c>
      <c r="H158" s="109">
        <v>2024</v>
      </c>
      <c r="I158" s="109">
        <v>2025</v>
      </c>
      <c r="J158" s="109">
        <v>2026</v>
      </c>
      <c r="K158" s="109">
        <v>2027</v>
      </c>
      <c r="L158" s="109">
        <v>2028</v>
      </c>
      <c r="M158" s="109">
        <v>2029</v>
      </c>
      <c r="N158" s="109">
        <v>2030</v>
      </c>
      <c r="O158" s="109">
        <v>2031</v>
      </c>
      <c r="P158" s="109">
        <v>2032</v>
      </c>
    </row>
    <row r="159" spans="2:16" ht="15" customHeight="1">
      <c r="B159" s="107" t="s">
        <v>157</v>
      </c>
      <c r="C159" s="108">
        <f>J139</f>
        <v>516</v>
      </c>
      <c r="D159" s="108">
        <f>J140</f>
        <v>502</v>
      </c>
      <c r="E159" s="108">
        <f>J141</f>
        <v>489.70567307382726</v>
      </c>
      <c r="F159" s="108">
        <f>J142</f>
        <v>470</v>
      </c>
      <c r="G159" s="108">
        <f>J143</f>
        <v>444</v>
      </c>
      <c r="H159" s="108">
        <f>J144</f>
        <v>430</v>
      </c>
      <c r="I159" s="108">
        <f>J145</f>
        <v>421</v>
      </c>
      <c r="J159" s="108">
        <f>J146</f>
        <v>414</v>
      </c>
      <c r="K159" s="108">
        <f>J147</f>
        <v>408</v>
      </c>
      <c r="L159" s="108">
        <f>J148</f>
        <v>414</v>
      </c>
      <c r="M159" s="108">
        <f>J149</f>
        <v>420</v>
      </c>
      <c r="N159" s="108">
        <f>J150</f>
        <v>426</v>
      </c>
      <c r="O159" s="108">
        <f>J151</f>
        <v>432</v>
      </c>
      <c r="P159" s="108">
        <f>J152</f>
        <v>432</v>
      </c>
    </row>
    <row r="160" spans="2:16" ht="15" customHeight="1">
      <c r="B160" s="107" t="s">
        <v>152</v>
      </c>
      <c r="C160" s="106">
        <f>VLOOKUP(C159,Capacity!$A$1:$C$645,2,TRUE)</f>
        <v>19</v>
      </c>
      <c r="D160" s="106">
        <f>VLOOKUP(D159,Capacity!$A$1:$C$645,2,TRUE)</f>
        <v>18</v>
      </c>
      <c r="E160" s="106">
        <f>VLOOKUP(E159,Capacity!$A$1:$C$645,2,TRUE)</f>
        <v>18</v>
      </c>
      <c r="F160" s="106">
        <f>VLOOKUP(F159,Capacity!$A$1:$C$645,2,TRUE)</f>
        <v>17</v>
      </c>
      <c r="G160" s="106">
        <f>VLOOKUP(G159,Capacity!$A$1:$C$645,2,TRUE)</f>
        <v>16</v>
      </c>
      <c r="H160" s="106">
        <f>VLOOKUP(H159,Capacity!$A$1:$C$645,2,TRUE)</f>
        <v>15</v>
      </c>
      <c r="I160" s="106">
        <f>VLOOKUP(I159,Capacity!$A$1:$C$645,2,TRUE)</f>
        <v>15</v>
      </c>
      <c r="J160" s="106">
        <f>VLOOKUP(J159,Capacity!$A$1:$C$645,2,TRUE)</f>
        <v>14</v>
      </c>
      <c r="K160" s="106">
        <f>VLOOKUP(K159,Capacity!$A$1:$C$645,2,TRUE)</f>
        <v>14</v>
      </c>
      <c r="L160" s="106">
        <f>VLOOKUP(L159,Capacity!$A$1:$C$645,2,TRUE)</f>
        <v>14</v>
      </c>
      <c r="M160" s="106">
        <f>VLOOKUP(M159,Capacity!$A$1:$C$645,2,TRUE)</f>
        <v>14</v>
      </c>
      <c r="N160" s="106">
        <f>VLOOKUP(N159,Capacity!$A$1:$C$645,2,TRUE)</f>
        <v>15</v>
      </c>
      <c r="O160" s="106">
        <f>VLOOKUP(O159,Capacity!$A$1:$C$645,2,TRUE)</f>
        <v>15</v>
      </c>
      <c r="P160" s="106">
        <f>VLOOKUP(P159,Capacity!$A$1:$C$645,2,TRUE)</f>
        <v>15</v>
      </c>
    </row>
    <row r="161" spans="2:14" ht="15" customHeight="1">
      <c r="F161" s="14"/>
      <c r="G161" s="14"/>
    </row>
    <row r="162" spans="2:14" ht="15" customHeight="1">
      <c r="F162" s="14"/>
      <c r="G162" s="14"/>
    </row>
    <row r="163" spans="2:14" ht="15" customHeight="1">
      <c r="B163" s="67"/>
      <c r="C163" s="68"/>
      <c r="D163" s="68"/>
      <c r="E163" s="68"/>
      <c r="F163" s="68"/>
      <c r="G163" s="68"/>
      <c r="H163" s="68"/>
      <c r="I163" s="68"/>
      <c r="J163" s="68"/>
      <c r="K163" s="66"/>
    </row>
    <row r="164" spans="2:14" ht="15" customHeight="1">
      <c r="B164" s="63" t="s">
        <v>145</v>
      </c>
      <c r="C164" s="62"/>
      <c r="D164" s="62"/>
      <c r="E164" s="62"/>
      <c r="F164" s="62"/>
      <c r="G164" s="62"/>
      <c r="H164" s="62"/>
      <c r="I164" s="62"/>
      <c r="J164" s="62"/>
      <c r="K164" s="62"/>
      <c r="L164" s="62"/>
      <c r="M164" s="62"/>
    </row>
    <row r="165" spans="2:14" ht="15" customHeight="1">
      <c r="B165" s="62"/>
      <c r="C165" s="62"/>
      <c r="D165" s="62"/>
      <c r="E165" s="62"/>
      <c r="F165" s="62"/>
      <c r="G165" s="62"/>
      <c r="H165" s="62"/>
      <c r="I165" s="62"/>
      <c r="J165" s="62"/>
      <c r="K165" s="62"/>
      <c r="L165" s="62"/>
      <c r="M165" s="62"/>
    </row>
    <row r="166" spans="2:14" ht="15" customHeight="1">
      <c r="B166" s="64" t="s">
        <v>146</v>
      </c>
      <c r="C166" s="65"/>
      <c r="D166" s="65"/>
      <c r="E166" s="65"/>
      <c r="F166" s="65"/>
      <c r="G166" s="65"/>
      <c r="H166" s="65"/>
      <c r="I166" s="65"/>
      <c r="J166" s="65"/>
      <c r="K166" s="62"/>
      <c r="L166" s="62"/>
      <c r="M166" s="62"/>
    </row>
    <row r="167" spans="2:14" ht="15" customHeight="1">
      <c r="B167" s="64"/>
      <c r="C167" s="65"/>
      <c r="D167" s="65"/>
      <c r="E167" s="65"/>
      <c r="F167" s="65"/>
      <c r="G167" s="65"/>
      <c r="H167" s="65"/>
      <c r="I167" s="65"/>
      <c r="J167" s="65"/>
      <c r="K167" s="62"/>
      <c r="L167" s="62"/>
      <c r="M167" s="62"/>
    </row>
    <row r="168" spans="2:14" ht="15" customHeight="1">
      <c r="B168" s="105"/>
      <c r="C168" s="104">
        <v>2009</v>
      </c>
      <c r="D168" s="104">
        <v>2010</v>
      </c>
      <c r="E168" s="92">
        <v>2011</v>
      </c>
      <c r="F168" s="92">
        <v>2012</v>
      </c>
      <c r="G168" s="92">
        <v>2013</v>
      </c>
      <c r="H168" s="92">
        <v>2014</v>
      </c>
      <c r="I168" s="92">
        <v>2015</v>
      </c>
      <c r="J168" s="92">
        <v>2016</v>
      </c>
      <c r="K168" s="92">
        <v>2017</v>
      </c>
      <c r="L168" s="92">
        <v>2018</v>
      </c>
      <c r="M168" s="92">
        <v>2019</v>
      </c>
      <c r="N168" s="92">
        <v>2020</v>
      </c>
    </row>
    <row r="169" spans="2:14" ht="15" customHeight="1">
      <c r="B169" s="103" t="s">
        <v>129</v>
      </c>
      <c r="C169" s="97">
        <f>VLOOKUP($E$3,'Catchment Births'!$A$1:$U$90,10,FALSE)</f>
        <v>82</v>
      </c>
      <c r="D169" s="97">
        <f>VLOOKUP($E$3,'Catchment Births'!$A$1:$U$90,11,FALSE)</f>
        <v>73</v>
      </c>
      <c r="E169" s="97">
        <f>VLOOKUP($E$3,'Catchment Births'!$A$1:$U$90,12,FALSE)</f>
        <v>81</v>
      </c>
      <c r="F169" s="97">
        <f>VLOOKUP($E$3,'Catchment Births'!$A$1:$U$90,13,FALSE)</f>
        <v>82</v>
      </c>
      <c r="G169" s="97">
        <f>VLOOKUP($E$3,'Catchment Births'!$A$1:$U$90,14,FALSE)</f>
        <v>99</v>
      </c>
      <c r="H169" s="97">
        <f>VLOOKUP($E$3,'Catchment Births'!$A$1:$U$90,15,FALSE)</f>
        <v>97</v>
      </c>
      <c r="I169" s="97">
        <f>VLOOKUP($E$3,'Catchment Births'!$A$1:$U$90,16,FALSE)</f>
        <v>101</v>
      </c>
      <c r="J169" s="97">
        <f>VLOOKUP($E$3,'Catchment Births'!$A$1:$U$90,17,FALSE)</f>
        <v>113</v>
      </c>
      <c r="K169" s="97">
        <f>VLOOKUP($E$3,'Catchment Births'!$A$1:$U$90,18,FALSE)</f>
        <v>75</v>
      </c>
      <c r="L169" s="97">
        <f>VLOOKUP($E$3,'Catchment Births'!$A$1:$U$90,19,FALSE)</f>
        <v>75</v>
      </c>
      <c r="M169" s="97">
        <f>VLOOKUP($E$3,'Catchment Births'!$A$1:$U$90,20,FALSE)</f>
        <v>95</v>
      </c>
      <c r="N169" s="97">
        <f>VLOOKUP($E$3,'Catchment Births'!$A$1:$U$90,21,FALSE)</f>
        <v>88</v>
      </c>
    </row>
    <row r="170" spans="2:14" ht="15" customHeight="1">
      <c r="B170" s="103" t="str">
        <f>"P1 "&amp;A35&amp;" Catchment Population (Actual)"</f>
        <v>P1 ND Catchment Population (Actual)</v>
      </c>
      <c r="C170" s="102" t="e">
        <v>#REF!</v>
      </c>
      <c r="D170" s="102">
        <v>51</v>
      </c>
      <c r="E170" s="102">
        <v>64</v>
      </c>
      <c r="F170" s="102">
        <v>71</v>
      </c>
      <c r="G170" s="102">
        <v>64</v>
      </c>
      <c r="H170" s="102">
        <v>69</v>
      </c>
      <c r="I170" s="102">
        <v>79</v>
      </c>
      <c r="J170" s="308">
        <f>VLOOKUP(E3,'Catchment Projections'!A1:BU92,42,FALSE)</f>
        <v>84</v>
      </c>
      <c r="K170" s="62"/>
      <c r="L170" s="62"/>
      <c r="M170" s="62"/>
    </row>
    <row r="171" spans="2:14" ht="15" customHeight="1">
      <c r="B171" s="88" t="s">
        <v>160</v>
      </c>
      <c r="C171" s="100"/>
      <c r="D171" s="100"/>
      <c r="E171" s="100"/>
      <c r="F171" s="100"/>
      <c r="G171" s="100"/>
      <c r="H171" s="100"/>
      <c r="I171" s="101"/>
      <c r="J171" s="89">
        <f>D53</f>
        <v>0</v>
      </c>
      <c r="K171" s="62"/>
      <c r="L171" s="62"/>
      <c r="M171" s="62"/>
    </row>
    <row r="172" spans="2:14" ht="15" customHeight="1">
      <c r="B172" s="99" t="s">
        <v>140</v>
      </c>
      <c r="C172" s="99"/>
      <c r="D172" s="98"/>
      <c r="E172" s="98"/>
      <c r="F172" s="98"/>
      <c r="G172" s="97"/>
      <c r="H172" s="96"/>
      <c r="I172" s="96">
        <f>I170</f>
        <v>79</v>
      </c>
      <c r="J172" s="96" t="e">
        <f>#REF!</f>
        <v>#REF!</v>
      </c>
      <c r="K172" s="96">
        <f>D51</f>
        <v>74</v>
      </c>
      <c r="L172" s="96">
        <f>E51</f>
        <v>70</v>
      </c>
      <c r="M172" s="96">
        <f>F51</f>
        <v>53</v>
      </c>
      <c r="N172" s="96">
        <f>G51</f>
        <v>55</v>
      </c>
    </row>
    <row r="173" spans="2:14" ht="15" customHeight="1">
      <c r="B173" s="62"/>
      <c r="C173" s="62"/>
      <c r="D173" s="62"/>
      <c r="E173" s="62"/>
      <c r="F173" s="62"/>
      <c r="G173" s="62"/>
      <c r="H173" s="62"/>
      <c r="I173" s="62"/>
      <c r="J173" s="62"/>
      <c r="K173" s="62"/>
    </row>
    <row r="174" spans="2:14" ht="15" customHeight="1">
      <c r="B174" s="64" t="str">
        <f>"Table 5: "&amp;E3&amp;" Roll by Stage, 2002-2018"</f>
        <v>Table 5: Wardie Primary School Roll by Stage, 2002-2018</v>
      </c>
      <c r="C174" s="65"/>
      <c r="D174" s="65"/>
      <c r="E174" s="65"/>
      <c r="F174" s="65"/>
      <c r="G174" s="65"/>
      <c r="H174" s="65"/>
      <c r="I174" s="65"/>
      <c r="J174" s="65"/>
      <c r="K174" s="62"/>
    </row>
    <row r="175" spans="2:14" ht="15" customHeight="1">
      <c r="B175" s="64"/>
      <c r="C175" s="65"/>
      <c r="D175" s="65"/>
      <c r="E175" s="65"/>
      <c r="F175" s="65"/>
      <c r="G175" s="65"/>
      <c r="H175" s="65"/>
      <c r="I175" s="65"/>
      <c r="J175" s="65"/>
      <c r="K175" s="62"/>
    </row>
    <row r="176" spans="2:14" ht="15" customHeight="1">
      <c r="B176" s="94"/>
      <c r="C176" s="92" t="s">
        <v>1</v>
      </c>
      <c r="D176" s="92" t="s">
        <v>2</v>
      </c>
      <c r="E176" s="92" t="s">
        <v>3</v>
      </c>
      <c r="F176" s="92" t="s">
        <v>4</v>
      </c>
      <c r="G176" s="92" t="s">
        <v>5</v>
      </c>
      <c r="H176" s="92" t="s">
        <v>6</v>
      </c>
      <c r="I176" s="92" t="s">
        <v>7</v>
      </c>
      <c r="J176" s="92" t="s">
        <v>8</v>
      </c>
      <c r="K176" s="62"/>
    </row>
    <row r="177" spans="2:11" ht="15" customHeight="1">
      <c r="B177" s="94">
        <v>2002</v>
      </c>
      <c r="C177" s="93">
        <v>57</v>
      </c>
      <c r="D177" s="93">
        <v>45</v>
      </c>
      <c r="E177" s="93">
        <v>45</v>
      </c>
      <c r="F177" s="93">
        <v>60</v>
      </c>
      <c r="G177" s="93">
        <v>60</v>
      </c>
      <c r="H177" s="93">
        <v>59</v>
      </c>
      <c r="I177" s="93">
        <v>55</v>
      </c>
      <c r="J177" s="92">
        <v>381</v>
      </c>
      <c r="K177" s="62"/>
    </row>
    <row r="178" spans="2:11" ht="15" customHeight="1">
      <c r="B178" s="94">
        <v>2003</v>
      </c>
      <c r="C178" s="93">
        <v>54</v>
      </c>
      <c r="D178" s="93">
        <v>55</v>
      </c>
      <c r="E178" s="93">
        <v>43</v>
      </c>
      <c r="F178" s="93">
        <v>43</v>
      </c>
      <c r="G178" s="93">
        <v>57</v>
      </c>
      <c r="H178" s="93">
        <v>53</v>
      </c>
      <c r="I178" s="93">
        <v>59</v>
      </c>
      <c r="J178" s="92">
        <v>364</v>
      </c>
      <c r="K178" s="62"/>
    </row>
    <row r="179" spans="2:11" customFormat="1" ht="15" customHeight="1">
      <c r="B179" s="94">
        <v>2004</v>
      </c>
      <c r="C179" s="95">
        <v>60</v>
      </c>
      <c r="D179" s="95">
        <v>59</v>
      </c>
      <c r="E179" s="95">
        <v>49</v>
      </c>
      <c r="F179" s="95">
        <v>38</v>
      </c>
      <c r="G179" s="95">
        <v>45</v>
      </c>
      <c r="H179" s="95">
        <v>53</v>
      </c>
      <c r="I179" s="95">
        <v>51</v>
      </c>
      <c r="J179" s="92">
        <v>355</v>
      </c>
      <c r="K179" s="62"/>
    </row>
    <row r="180" spans="2:11" customFormat="1" ht="15" customHeight="1">
      <c r="B180" s="94">
        <v>2005</v>
      </c>
      <c r="C180" s="93">
        <v>60</v>
      </c>
      <c r="D180" s="93">
        <v>60</v>
      </c>
      <c r="E180" s="93">
        <v>58</v>
      </c>
      <c r="F180" s="93">
        <v>50</v>
      </c>
      <c r="G180" s="93">
        <v>40</v>
      </c>
      <c r="H180" s="93">
        <v>43</v>
      </c>
      <c r="I180" s="93">
        <v>55</v>
      </c>
      <c r="J180" s="92">
        <v>366</v>
      </c>
      <c r="K180" s="62"/>
    </row>
    <row r="181" spans="2:11" customFormat="1" ht="15" customHeight="1">
      <c r="B181" s="94">
        <v>2006</v>
      </c>
      <c r="C181" s="93">
        <v>60</v>
      </c>
      <c r="D181" s="93">
        <v>57</v>
      </c>
      <c r="E181" s="93">
        <v>58</v>
      </c>
      <c r="F181" s="93">
        <v>58</v>
      </c>
      <c r="G181" s="93">
        <v>51</v>
      </c>
      <c r="H181" s="93">
        <v>40</v>
      </c>
      <c r="I181" s="93">
        <v>43</v>
      </c>
      <c r="J181" s="92">
        <v>367</v>
      </c>
      <c r="K181" s="62"/>
    </row>
    <row r="182" spans="2:11" customFormat="1" ht="15" customHeight="1">
      <c r="B182" s="94">
        <v>2007</v>
      </c>
      <c r="C182" s="93">
        <v>60</v>
      </c>
      <c r="D182" s="93">
        <v>60</v>
      </c>
      <c r="E182" s="93">
        <v>59</v>
      </c>
      <c r="F182" s="93">
        <v>60</v>
      </c>
      <c r="G182" s="93">
        <v>60</v>
      </c>
      <c r="H182" s="93">
        <v>49</v>
      </c>
      <c r="I182" s="93">
        <v>38</v>
      </c>
      <c r="J182" s="92">
        <v>386</v>
      </c>
      <c r="K182" s="62"/>
    </row>
    <row r="183" spans="2:11" customFormat="1" ht="15" customHeight="1">
      <c r="B183" s="94">
        <v>2008</v>
      </c>
      <c r="C183" s="93">
        <v>60</v>
      </c>
      <c r="D183" s="93">
        <v>60</v>
      </c>
      <c r="E183" s="93">
        <v>59</v>
      </c>
      <c r="F183" s="93">
        <v>59</v>
      </c>
      <c r="G183" s="93">
        <v>59</v>
      </c>
      <c r="H183" s="93">
        <v>60</v>
      </c>
      <c r="I183" s="93">
        <v>51</v>
      </c>
      <c r="J183" s="92">
        <v>408</v>
      </c>
      <c r="K183" s="62"/>
    </row>
    <row r="184" spans="2:11" customFormat="1" ht="15" customHeight="1">
      <c r="B184" s="94">
        <v>2009</v>
      </c>
      <c r="C184" s="93">
        <v>60</v>
      </c>
      <c r="D184" s="93">
        <v>59</v>
      </c>
      <c r="E184" s="93">
        <v>59</v>
      </c>
      <c r="F184" s="93">
        <v>59</v>
      </c>
      <c r="G184" s="93">
        <v>58</v>
      </c>
      <c r="H184" s="93">
        <v>56</v>
      </c>
      <c r="I184" s="93">
        <v>56</v>
      </c>
      <c r="J184" s="94">
        <v>407</v>
      </c>
      <c r="K184" s="62"/>
    </row>
    <row r="185" spans="2:11" customFormat="1" ht="15" customHeight="1">
      <c r="B185" s="94">
        <v>2010</v>
      </c>
      <c r="C185" s="93">
        <v>61</v>
      </c>
      <c r="D185" s="93">
        <v>60</v>
      </c>
      <c r="E185" s="93">
        <v>60</v>
      </c>
      <c r="F185" s="93">
        <v>60</v>
      </c>
      <c r="G185" s="93">
        <v>60</v>
      </c>
      <c r="H185" s="93">
        <v>59</v>
      </c>
      <c r="I185" s="93">
        <v>59</v>
      </c>
      <c r="J185" s="92">
        <v>419</v>
      </c>
      <c r="K185" s="62"/>
    </row>
    <row r="186" spans="2:11" customFormat="1" ht="15" customHeight="1">
      <c r="B186" s="94">
        <v>2011</v>
      </c>
      <c r="C186" s="93">
        <v>61</v>
      </c>
      <c r="D186" s="93">
        <v>60</v>
      </c>
      <c r="E186" s="93">
        <v>60</v>
      </c>
      <c r="F186" s="93">
        <v>59</v>
      </c>
      <c r="G186" s="93">
        <v>60</v>
      </c>
      <c r="H186" s="93">
        <v>55</v>
      </c>
      <c r="I186" s="93">
        <v>60</v>
      </c>
      <c r="J186" s="92">
        <v>415</v>
      </c>
      <c r="K186" s="62"/>
    </row>
    <row r="187" spans="2:11" customFormat="1" ht="15" customHeight="1">
      <c r="B187" s="94">
        <v>2012</v>
      </c>
      <c r="C187" s="93">
        <v>75</v>
      </c>
      <c r="D187" s="93">
        <v>59</v>
      </c>
      <c r="E187" s="93">
        <v>57</v>
      </c>
      <c r="F187" s="93">
        <v>60</v>
      </c>
      <c r="G187" s="93">
        <v>58</v>
      </c>
      <c r="H187" s="93">
        <v>56</v>
      </c>
      <c r="I187" s="93">
        <v>52</v>
      </c>
      <c r="J187" s="92">
        <v>417</v>
      </c>
      <c r="K187" s="62"/>
    </row>
    <row r="188" spans="2:11" customFormat="1" ht="15" customHeight="1">
      <c r="B188" s="94">
        <v>2013</v>
      </c>
      <c r="C188" s="93">
        <v>80</v>
      </c>
      <c r="D188" s="93">
        <v>80</v>
      </c>
      <c r="E188" s="93">
        <v>59</v>
      </c>
      <c r="F188" s="93">
        <v>58</v>
      </c>
      <c r="G188" s="93">
        <v>59</v>
      </c>
      <c r="H188" s="93">
        <v>51</v>
      </c>
      <c r="I188" s="93">
        <v>48</v>
      </c>
      <c r="J188" s="94">
        <v>435</v>
      </c>
      <c r="K188" s="62"/>
    </row>
    <row r="189" spans="2:11" customFormat="1" ht="15" customHeight="1">
      <c r="B189" s="94">
        <v>2014</v>
      </c>
      <c r="C189" s="93">
        <v>75</v>
      </c>
      <c r="D189" s="93">
        <v>85</v>
      </c>
      <c r="E189" s="93">
        <v>80</v>
      </c>
      <c r="F189" s="93">
        <v>60</v>
      </c>
      <c r="G189" s="93">
        <v>58</v>
      </c>
      <c r="H189" s="93">
        <v>59</v>
      </c>
      <c r="I189" s="93">
        <v>52</v>
      </c>
      <c r="J189" s="92">
        <v>469</v>
      </c>
      <c r="K189" s="65"/>
    </row>
    <row r="190" spans="2:11" customFormat="1" ht="15" customHeight="1">
      <c r="B190" s="94">
        <v>2015</v>
      </c>
      <c r="C190" s="93">
        <v>82</v>
      </c>
      <c r="D190" s="93">
        <v>74</v>
      </c>
      <c r="E190" s="93">
        <v>79</v>
      </c>
      <c r="F190" s="93">
        <v>83</v>
      </c>
      <c r="G190" s="93">
        <v>59</v>
      </c>
      <c r="H190" s="93">
        <v>54</v>
      </c>
      <c r="I190" s="93">
        <v>58</v>
      </c>
      <c r="J190" s="92">
        <v>489</v>
      </c>
      <c r="K190" s="65"/>
    </row>
    <row r="191" spans="2:11" customFormat="1" ht="15" customHeight="1">
      <c r="B191" s="94">
        <v>2016</v>
      </c>
      <c r="C191" s="93">
        <v>87</v>
      </c>
      <c r="D191" s="93">
        <v>82</v>
      </c>
      <c r="E191" s="93">
        <v>67</v>
      </c>
      <c r="F191" s="93">
        <v>83</v>
      </c>
      <c r="G191" s="93">
        <v>79</v>
      </c>
      <c r="H191" s="93">
        <v>52</v>
      </c>
      <c r="I191" s="93">
        <v>49</v>
      </c>
      <c r="J191" s="92">
        <v>499</v>
      </c>
      <c r="K191" s="65"/>
    </row>
    <row r="192" spans="2:11" ht="15" customHeight="1">
      <c r="B192" s="94">
        <v>2017</v>
      </c>
      <c r="C192" s="93">
        <f>VLOOKUP($E$3,Rolls!A1:FA90,42,FALSE)</f>
        <v>73</v>
      </c>
      <c r="D192" s="93">
        <f>VLOOKUP($E$3,Rolls!A1:FA90,43,FALSE)</f>
        <v>87</v>
      </c>
      <c r="E192" s="93">
        <f>VLOOKUP($E$3,Rolls!A1:FA90,44,FALSE)</f>
        <v>78</v>
      </c>
      <c r="F192" s="93">
        <f>VLOOKUP($E$3,Rolls!A1:FA90,45,FALSE)</f>
        <v>66</v>
      </c>
      <c r="G192" s="93">
        <f>VLOOKUP($E$3,Rolls!A1:FA90,46,FALSE)</f>
        <v>79</v>
      </c>
      <c r="H192" s="93">
        <f>VLOOKUP($E$3,Rolls!A1:FA90,47,FALSE)</f>
        <v>74</v>
      </c>
      <c r="I192" s="93">
        <f>VLOOKUP($E$3,Rolls!A1:FA90,48,FALSE)</f>
        <v>50</v>
      </c>
      <c r="J192" s="92">
        <f>VLOOKUP($E$3,Rolls!A1:FA90,49,FALSE)</f>
        <v>507</v>
      </c>
      <c r="K192" s="65"/>
    </row>
    <row r="193" spans="2:11" ht="15" customHeight="1">
      <c r="B193" s="94">
        <v>2018</v>
      </c>
      <c r="C193" s="93">
        <f>VLOOKUP($E$3,Rolls!A1:FA90,50,FALSE)</f>
        <v>75</v>
      </c>
      <c r="D193" s="93">
        <f>VLOOKUP($E$3,Rolls!A1:FA90,51,FALSE)</f>
        <v>73</v>
      </c>
      <c r="E193" s="93">
        <f>VLOOKUP($E$3,Rolls!A1:FA90,52,FALSE)</f>
        <v>84</v>
      </c>
      <c r="F193" s="93">
        <f>VLOOKUP($E$3,Rolls!A1:FA90,53,FALSE)</f>
        <v>78</v>
      </c>
      <c r="G193" s="93">
        <f>VLOOKUP($E$3,Rolls!A1:FA90,54,FALSE)</f>
        <v>65</v>
      </c>
      <c r="H193" s="93">
        <f>VLOOKUP($E$3,Rolls!A1:FA90,55,FALSE)</f>
        <v>77</v>
      </c>
      <c r="I193" s="93">
        <f>VLOOKUP($E$3,Rolls!A1:FA90,56,FALSE)</f>
        <v>67</v>
      </c>
      <c r="J193" s="92">
        <f>VLOOKUP($E$3,Rolls!A1:FA90,57,FALSE)</f>
        <v>519</v>
      </c>
      <c r="K193" s="65"/>
    </row>
  </sheetData>
  <mergeCells count="30">
    <mergeCell ref="C75:D75"/>
    <mergeCell ref="B97:C98"/>
    <mergeCell ref="C70:D70"/>
    <mergeCell ref="C71:D71"/>
    <mergeCell ref="C72:D72"/>
    <mergeCell ref="C73:D73"/>
    <mergeCell ref="C74:D74"/>
    <mergeCell ref="C76:D76"/>
    <mergeCell ref="C77:D77"/>
    <mergeCell ref="C78:D78"/>
    <mergeCell ref="C79:D79"/>
    <mergeCell ref="C80:D80"/>
    <mergeCell ref="C81:D81"/>
    <mergeCell ref="C82:D82"/>
    <mergeCell ref="C83:D83"/>
    <mergeCell ref="B65:D65"/>
    <mergeCell ref="G65:H65"/>
    <mergeCell ref="B67:J67"/>
    <mergeCell ref="C69:D69"/>
    <mergeCell ref="B51:C51"/>
    <mergeCell ref="B53:C53"/>
    <mergeCell ref="B57:E57"/>
    <mergeCell ref="G57:J57"/>
    <mergeCell ref="D59:E59"/>
    <mergeCell ref="I59:J59"/>
    <mergeCell ref="E3:H3"/>
    <mergeCell ref="B29:J30"/>
    <mergeCell ref="B48:C48"/>
    <mergeCell ref="B49:C49"/>
    <mergeCell ref="B50:C50"/>
  </mergeCells>
  <dataValidations count="1">
    <dataValidation type="list" allowBlank="1" showInputMessage="1" showErrorMessage="1" sqref="E3">
      <formula1>All_Schools</formula1>
    </dataValidation>
  </dataValidations>
  <pageMargins left="0.7" right="0.7" top="0.75" bottom="0.75" header="0.3" footer="0.3"/>
  <pageSetup paperSize="9" scale="82" orientation="portrait" r:id="rId1"/>
  <drawing r:id="rId2"/>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2"/>
  <dimension ref="A1:K645"/>
  <sheetViews>
    <sheetView workbookViewId="0">
      <selection activeCell="J2" sqref="J2"/>
    </sheetView>
  </sheetViews>
  <sheetFormatPr defaultRowHeight="12.75"/>
  <cols>
    <col min="1" max="3" width="9.140625" style="3"/>
    <col min="9" max="9" width="10.7109375" customWidth="1"/>
    <col min="10" max="11" width="11" customWidth="1"/>
  </cols>
  <sheetData>
    <row r="1" spans="1:11" ht="27" customHeight="1" thickBot="1">
      <c r="A1" s="3" t="s">
        <v>149</v>
      </c>
      <c r="B1" s="3" t="s">
        <v>99</v>
      </c>
      <c r="C1" s="3" t="s">
        <v>150</v>
      </c>
      <c r="E1" s="389" t="s">
        <v>404</v>
      </c>
      <c r="F1" s="3" t="s">
        <v>99</v>
      </c>
      <c r="G1" s="3" t="s">
        <v>150</v>
      </c>
      <c r="I1" s="390" t="s">
        <v>406</v>
      </c>
      <c r="J1" s="385" t="s">
        <v>405</v>
      </c>
      <c r="K1" s="385" t="s">
        <v>407</v>
      </c>
    </row>
    <row r="2" spans="1:11" ht="13.5" thickBot="1">
      <c r="A2" s="3">
        <v>50</v>
      </c>
      <c r="B2" s="3">
        <v>4</v>
      </c>
      <c r="C2" s="3">
        <v>84</v>
      </c>
      <c r="F2">
        <v>4</v>
      </c>
      <c r="G2">
        <v>83</v>
      </c>
      <c r="J2" s="387">
        <f>IF(K2=4,84,IF(K2=5,112,IF(K2=6,140,IF(K2=7,210,IF(K2=8,217,IF(K2=9,231,IF(K2=10,259,IF(K2=11,294,IF(K2=12,315,IF(K2=13,329,IF(K2=14,420,IF(K2=15,434,IF(K2=16,462,IF(K2=17,476,IF(K2=18,504,IF(K2=19,546,IF(K2=20,560,IF(K2=21,630,IF(K2=22,651,IF(K2=23,693))))))))))))))))))))</f>
        <v>693</v>
      </c>
      <c r="K2" s="386">
        <v>23</v>
      </c>
    </row>
    <row r="3" spans="1:11">
      <c r="A3" s="3">
        <v>51</v>
      </c>
      <c r="B3" s="3">
        <v>4</v>
      </c>
      <c r="C3" s="3">
        <v>84</v>
      </c>
      <c r="F3">
        <v>5</v>
      </c>
      <c r="G3">
        <v>112</v>
      </c>
    </row>
    <row r="4" spans="1:11">
      <c r="A4" s="3">
        <v>52</v>
      </c>
      <c r="B4" s="3">
        <v>4</v>
      </c>
      <c r="C4" s="3">
        <v>84</v>
      </c>
      <c r="F4">
        <v>6</v>
      </c>
      <c r="G4">
        <v>140</v>
      </c>
    </row>
    <row r="5" spans="1:11">
      <c r="A5" s="3">
        <v>53</v>
      </c>
      <c r="B5" s="3">
        <v>4</v>
      </c>
      <c r="C5" s="3">
        <v>84</v>
      </c>
      <c r="F5">
        <v>7</v>
      </c>
      <c r="G5">
        <v>210</v>
      </c>
    </row>
    <row r="6" spans="1:11">
      <c r="A6" s="3">
        <v>54</v>
      </c>
      <c r="B6" s="3">
        <v>4</v>
      </c>
      <c r="C6" s="3">
        <v>84</v>
      </c>
      <c r="F6">
        <v>8</v>
      </c>
      <c r="G6">
        <v>217</v>
      </c>
    </row>
    <row r="7" spans="1:11">
      <c r="A7" s="3">
        <v>55</v>
      </c>
      <c r="B7" s="3">
        <v>4</v>
      </c>
      <c r="C7" s="3">
        <v>84</v>
      </c>
      <c r="F7">
        <v>9</v>
      </c>
      <c r="G7">
        <v>231</v>
      </c>
      <c r="I7" s="388"/>
    </row>
    <row r="8" spans="1:11">
      <c r="A8" s="3">
        <v>56</v>
      </c>
      <c r="B8" s="3">
        <v>4</v>
      </c>
      <c r="C8" s="3">
        <v>84</v>
      </c>
      <c r="F8">
        <v>10</v>
      </c>
      <c r="G8">
        <v>259</v>
      </c>
    </row>
    <row r="9" spans="1:11">
      <c r="A9" s="3">
        <v>57</v>
      </c>
      <c r="B9" s="3">
        <v>4</v>
      </c>
      <c r="C9" s="3">
        <v>84</v>
      </c>
      <c r="F9">
        <v>11</v>
      </c>
      <c r="G9">
        <v>294</v>
      </c>
    </row>
    <row r="10" spans="1:11">
      <c r="A10" s="3">
        <v>58</v>
      </c>
      <c r="B10" s="3">
        <v>4</v>
      </c>
      <c r="C10" s="3">
        <v>84</v>
      </c>
      <c r="F10">
        <v>12</v>
      </c>
      <c r="G10">
        <v>315</v>
      </c>
    </row>
    <row r="11" spans="1:11">
      <c r="A11" s="3">
        <v>59</v>
      </c>
      <c r="B11" s="3">
        <v>4</v>
      </c>
      <c r="C11" s="3">
        <v>84</v>
      </c>
      <c r="F11">
        <v>13</v>
      </c>
      <c r="G11">
        <v>329</v>
      </c>
    </row>
    <row r="12" spans="1:11">
      <c r="A12" s="3">
        <v>60</v>
      </c>
      <c r="B12" s="3">
        <v>4</v>
      </c>
      <c r="C12" s="3">
        <v>84</v>
      </c>
      <c r="F12">
        <v>14</v>
      </c>
      <c r="G12">
        <v>420</v>
      </c>
    </row>
    <row r="13" spans="1:11">
      <c r="A13" s="3">
        <v>61</v>
      </c>
      <c r="B13" s="3">
        <v>4</v>
      </c>
      <c r="C13" s="3">
        <v>84</v>
      </c>
      <c r="F13">
        <v>15</v>
      </c>
      <c r="G13">
        <v>434</v>
      </c>
    </row>
    <row r="14" spans="1:11">
      <c r="A14" s="3">
        <v>62</v>
      </c>
      <c r="B14" s="3">
        <v>4</v>
      </c>
      <c r="C14" s="3">
        <v>84</v>
      </c>
      <c r="F14">
        <v>16</v>
      </c>
      <c r="G14">
        <v>462</v>
      </c>
    </row>
    <row r="15" spans="1:11">
      <c r="A15" s="3">
        <v>63</v>
      </c>
      <c r="B15" s="3">
        <v>4</v>
      </c>
      <c r="C15" s="3">
        <v>84</v>
      </c>
      <c r="F15">
        <v>17</v>
      </c>
      <c r="G15">
        <v>476</v>
      </c>
    </row>
    <row r="16" spans="1:11">
      <c r="A16" s="3">
        <v>64</v>
      </c>
      <c r="B16" s="3">
        <v>4</v>
      </c>
      <c r="C16" s="3">
        <v>84</v>
      </c>
      <c r="F16">
        <v>18</v>
      </c>
      <c r="G16">
        <v>504</v>
      </c>
    </row>
    <row r="17" spans="1:7">
      <c r="A17" s="3">
        <v>65</v>
      </c>
      <c r="B17" s="3">
        <v>4</v>
      </c>
      <c r="C17" s="3">
        <v>84</v>
      </c>
      <c r="F17">
        <v>19</v>
      </c>
      <c r="G17">
        <v>546</v>
      </c>
    </row>
    <row r="18" spans="1:7">
      <c r="A18" s="3">
        <v>66</v>
      </c>
      <c r="B18" s="3">
        <v>4</v>
      </c>
      <c r="C18" s="3">
        <v>84</v>
      </c>
      <c r="F18">
        <v>20</v>
      </c>
      <c r="G18">
        <v>560</v>
      </c>
    </row>
    <row r="19" spans="1:7">
      <c r="A19" s="3">
        <v>67</v>
      </c>
      <c r="B19" s="3">
        <v>4</v>
      </c>
      <c r="C19" s="3">
        <v>84</v>
      </c>
      <c r="F19">
        <v>21</v>
      </c>
      <c r="G19">
        <v>630</v>
      </c>
    </row>
    <row r="20" spans="1:7">
      <c r="A20" s="3">
        <v>68</v>
      </c>
      <c r="B20" s="3">
        <v>4</v>
      </c>
      <c r="C20" s="3">
        <v>84</v>
      </c>
      <c r="F20">
        <v>22</v>
      </c>
      <c r="G20">
        <v>651</v>
      </c>
    </row>
    <row r="21" spans="1:7">
      <c r="A21" s="3">
        <v>69</v>
      </c>
      <c r="B21" s="3">
        <v>4</v>
      </c>
      <c r="C21" s="3">
        <v>84</v>
      </c>
      <c r="F21">
        <v>23</v>
      </c>
      <c r="G21">
        <v>693</v>
      </c>
    </row>
    <row r="22" spans="1:7">
      <c r="A22" s="3">
        <v>70</v>
      </c>
      <c r="B22" s="3">
        <v>4</v>
      </c>
      <c r="C22" s="3">
        <v>84</v>
      </c>
    </row>
    <row r="23" spans="1:7">
      <c r="A23" s="3">
        <v>71</v>
      </c>
      <c r="B23" s="3">
        <v>4</v>
      </c>
      <c r="C23" s="3">
        <v>84</v>
      </c>
    </row>
    <row r="24" spans="1:7">
      <c r="A24" s="3">
        <v>72</v>
      </c>
      <c r="B24" s="3">
        <v>4</v>
      </c>
      <c r="C24" s="3">
        <v>84</v>
      </c>
    </row>
    <row r="25" spans="1:7">
      <c r="A25" s="3">
        <v>73</v>
      </c>
      <c r="B25" s="3">
        <v>4</v>
      </c>
      <c r="C25" s="3">
        <v>84</v>
      </c>
    </row>
    <row r="26" spans="1:7">
      <c r="A26" s="3">
        <v>74</v>
      </c>
      <c r="B26" s="3">
        <v>4</v>
      </c>
      <c r="C26" s="3">
        <v>84</v>
      </c>
    </row>
    <row r="27" spans="1:7">
      <c r="A27" s="3">
        <v>75</v>
      </c>
      <c r="B27" s="3">
        <v>4</v>
      </c>
      <c r="C27" s="3">
        <v>84</v>
      </c>
    </row>
    <row r="28" spans="1:7">
      <c r="A28" s="3">
        <v>76</v>
      </c>
      <c r="B28" s="3">
        <v>4</v>
      </c>
      <c r="C28" s="3">
        <v>84</v>
      </c>
    </row>
    <row r="29" spans="1:7">
      <c r="A29" s="3">
        <v>77</v>
      </c>
      <c r="B29" s="3">
        <v>4</v>
      </c>
      <c r="C29" s="3">
        <v>84</v>
      </c>
    </row>
    <row r="30" spans="1:7">
      <c r="A30" s="3">
        <v>78</v>
      </c>
      <c r="B30" s="3">
        <v>4</v>
      </c>
      <c r="C30" s="3">
        <v>84</v>
      </c>
    </row>
    <row r="31" spans="1:7">
      <c r="A31" s="3">
        <v>79</v>
      </c>
      <c r="B31" s="3">
        <v>4</v>
      </c>
      <c r="C31" s="3">
        <v>84</v>
      </c>
    </row>
    <row r="32" spans="1:7">
      <c r="A32" s="3">
        <v>80</v>
      </c>
      <c r="B32" s="3">
        <v>4</v>
      </c>
      <c r="C32" s="3">
        <v>84</v>
      </c>
    </row>
    <row r="33" spans="1:3">
      <c r="A33" s="3">
        <v>81</v>
      </c>
      <c r="B33" s="3">
        <v>4</v>
      </c>
      <c r="C33" s="3">
        <v>84</v>
      </c>
    </row>
    <row r="34" spans="1:3">
      <c r="A34" s="3">
        <v>82</v>
      </c>
      <c r="B34" s="3">
        <v>4</v>
      </c>
      <c r="C34" s="3">
        <v>84</v>
      </c>
    </row>
    <row r="35" spans="1:3">
      <c r="A35" s="3">
        <v>83</v>
      </c>
      <c r="B35" s="3">
        <v>4</v>
      </c>
      <c r="C35" s="3">
        <v>84</v>
      </c>
    </row>
    <row r="36" spans="1:3">
      <c r="A36" s="3">
        <v>84</v>
      </c>
      <c r="B36" s="3">
        <v>4</v>
      </c>
      <c r="C36" s="3">
        <v>84</v>
      </c>
    </row>
    <row r="37" spans="1:3">
      <c r="A37" s="3">
        <v>85</v>
      </c>
      <c r="B37" s="3">
        <v>5</v>
      </c>
      <c r="C37" s="3">
        <v>112</v>
      </c>
    </row>
    <row r="38" spans="1:3">
      <c r="A38" s="3">
        <v>86</v>
      </c>
      <c r="B38" s="3">
        <v>5</v>
      </c>
      <c r="C38" s="3">
        <v>112</v>
      </c>
    </row>
    <row r="39" spans="1:3">
      <c r="A39" s="3">
        <v>87</v>
      </c>
      <c r="B39" s="3">
        <v>5</v>
      </c>
      <c r="C39" s="3">
        <v>112</v>
      </c>
    </row>
    <row r="40" spans="1:3">
      <c r="A40" s="3">
        <v>88</v>
      </c>
      <c r="B40" s="3">
        <v>5</v>
      </c>
      <c r="C40" s="3">
        <v>112</v>
      </c>
    </row>
    <row r="41" spans="1:3">
      <c r="A41" s="3">
        <v>89</v>
      </c>
      <c r="B41" s="3">
        <v>5</v>
      </c>
      <c r="C41" s="3">
        <v>112</v>
      </c>
    </row>
    <row r="42" spans="1:3">
      <c r="A42" s="3">
        <v>90</v>
      </c>
      <c r="B42" s="3">
        <v>5</v>
      </c>
      <c r="C42" s="3">
        <v>112</v>
      </c>
    </row>
    <row r="43" spans="1:3">
      <c r="A43" s="3">
        <v>91</v>
      </c>
      <c r="B43" s="3">
        <v>5</v>
      </c>
      <c r="C43" s="3">
        <v>112</v>
      </c>
    </row>
    <row r="44" spans="1:3">
      <c r="A44" s="3">
        <v>92</v>
      </c>
      <c r="B44" s="3">
        <v>5</v>
      </c>
      <c r="C44" s="3">
        <v>112</v>
      </c>
    </row>
    <row r="45" spans="1:3">
      <c r="A45" s="3">
        <v>93</v>
      </c>
      <c r="B45" s="3">
        <v>5</v>
      </c>
      <c r="C45" s="3">
        <v>112</v>
      </c>
    </row>
    <row r="46" spans="1:3">
      <c r="A46" s="3">
        <v>94</v>
      </c>
      <c r="B46" s="3">
        <v>5</v>
      </c>
      <c r="C46" s="3">
        <v>112</v>
      </c>
    </row>
    <row r="47" spans="1:3">
      <c r="A47" s="3">
        <v>95</v>
      </c>
      <c r="B47" s="3">
        <v>5</v>
      </c>
      <c r="C47" s="3">
        <v>112</v>
      </c>
    </row>
    <row r="48" spans="1:3">
      <c r="A48" s="3">
        <v>96</v>
      </c>
      <c r="B48" s="3">
        <v>5</v>
      </c>
      <c r="C48" s="3">
        <v>112</v>
      </c>
    </row>
    <row r="49" spans="1:3">
      <c r="A49" s="3">
        <v>97</v>
      </c>
      <c r="B49" s="3">
        <v>5</v>
      </c>
      <c r="C49" s="3">
        <v>112</v>
      </c>
    </row>
    <row r="50" spans="1:3">
      <c r="A50" s="3">
        <v>98</v>
      </c>
      <c r="B50" s="3">
        <v>5</v>
      </c>
      <c r="C50" s="3">
        <v>112</v>
      </c>
    </row>
    <row r="51" spans="1:3">
      <c r="A51" s="3">
        <v>99</v>
      </c>
      <c r="B51" s="3">
        <v>5</v>
      </c>
      <c r="C51" s="3">
        <v>112</v>
      </c>
    </row>
    <row r="52" spans="1:3">
      <c r="A52" s="3">
        <v>100</v>
      </c>
      <c r="B52" s="3">
        <v>5</v>
      </c>
      <c r="C52" s="3">
        <v>112</v>
      </c>
    </row>
    <row r="53" spans="1:3">
      <c r="A53" s="3">
        <v>101</v>
      </c>
      <c r="B53" s="3">
        <v>5</v>
      </c>
      <c r="C53" s="3">
        <v>112</v>
      </c>
    </row>
    <row r="54" spans="1:3">
      <c r="A54" s="3">
        <v>102</v>
      </c>
      <c r="B54" s="3">
        <v>5</v>
      </c>
      <c r="C54" s="3">
        <v>112</v>
      </c>
    </row>
    <row r="55" spans="1:3">
      <c r="A55" s="3">
        <v>103</v>
      </c>
      <c r="B55" s="3">
        <v>5</v>
      </c>
      <c r="C55" s="3">
        <v>112</v>
      </c>
    </row>
    <row r="56" spans="1:3">
      <c r="A56" s="3">
        <v>104</v>
      </c>
      <c r="B56" s="3">
        <v>5</v>
      </c>
      <c r="C56" s="3">
        <v>112</v>
      </c>
    </row>
    <row r="57" spans="1:3">
      <c r="A57" s="3">
        <v>105</v>
      </c>
      <c r="B57" s="3">
        <v>5</v>
      </c>
      <c r="C57" s="3">
        <v>112</v>
      </c>
    </row>
    <row r="58" spans="1:3">
      <c r="A58" s="3">
        <v>106</v>
      </c>
      <c r="B58" s="3">
        <v>5</v>
      </c>
      <c r="C58" s="3">
        <v>112</v>
      </c>
    </row>
    <row r="59" spans="1:3">
      <c r="A59" s="3">
        <v>107</v>
      </c>
      <c r="B59" s="3">
        <v>5</v>
      </c>
      <c r="C59" s="3">
        <v>112</v>
      </c>
    </row>
    <row r="60" spans="1:3">
      <c r="A60" s="3">
        <v>108</v>
      </c>
      <c r="B60" s="3">
        <v>5</v>
      </c>
      <c r="C60" s="3">
        <v>112</v>
      </c>
    </row>
    <row r="61" spans="1:3">
      <c r="A61" s="3">
        <v>109</v>
      </c>
      <c r="B61" s="3">
        <v>5</v>
      </c>
      <c r="C61" s="3">
        <v>112</v>
      </c>
    </row>
    <row r="62" spans="1:3">
      <c r="A62" s="3">
        <v>110</v>
      </c>
      <c r="B62" s="3">
        <v>5</v>
      </c>
      <c r="C62" s="3">
        <v>112</v>
      </c>
    </row>
    <row r="63" spans="1:3">
      <c r="A63" s="3">
        <v>111</v>
      </c>
      <c r="B63" s="3">
        <v>5</v>
      </c>
      <c r="C63" s="3">
        <v>112</v>
      </c>
    </row>
    <row r="64" spans="1:3">
      <c r="A64" s="3">
        <v>112</v>
      </c>
      <c r="B64" s="3">
        <v>5</v>
      </c>
      <c r="C64" s="3">
        <v>112</v>
      </c>
    </row>
    <row r="65" spans="1:3">
      <c r="A65" s="3">
        <v>113</v>
      </c>
      <c r="B65" s="3">
        <v>6</v>
      </c>
      <c r="C65" s="3">
        <v>140</v>
      </c>
    </row>
    <row r="66" spans="1:3">
      <c r="A66" s="3">
        <v>114</v>
      </c>
      <c r="B66" s="3">
        <v>6</v>
      </c>
      <c r="C66" s="3">
        <v>140</v>
      </c>
    </row>
    <row r="67" spans="1:3">
      <c r="A67" s="3">
        <v>115</v>
      </c>
      <c r="B67" s="3">
        <v>6</v>
      </c>
      <c r="C67" s="3">
        <v>140</v>
      </c>
    </row>
    <row r="68" spans="1:3">
      <c r="A68" s="3">
        <v>116</v>
      </c>
      <c r="B68" s="3">
        <v>6</v>
      </c>
      <c r="C68" s="3">
        <v>140</v>
      </c>
    </row>
    <row r="69" spans="1:3">
      <c r="A69" s="3">
        <v>117</v>
      </c>
      <c r="B69" s="3">
        <v>6</v>
      </c>
      <c r="C69" s="3">
        <v>140</v>
      </c>
    </row>
    <row r="70" spans="1:3">
      <c r="A70" s="3">
        <v>118</v>
      </c>
      <c r="B70" s="3">
        <v>6</v>
      </c>
      <c r="C70" s="3">
        <v>140</v>
      </c>
    </row>
    <row r="71" spans="1:3">
      <c r="A71" s="3">
        <v>119</v>
      </c>
      <c r="B71" s="3">
        <v>6</v>
      </c>
      <c r="C71" s="3">
        <v>140</v>
      </c>
    </row>
    <row r="72" spans="1:3">
      <c r="A72" s="3">
        <v>120</v>
      </c>
      <c r="B72" s="3">
        <v>6</v>
      </c>
      <c r="C72" s="3">
        <v>140</v>
      </c>
    </row>
    <row r="73" spans="1:3">
      <c r="A73" s="3">
        <v>121</v>
      </c>
      <c r="B73" s="3">
        <v>6</v>
      </c>
      <c r="C73" s="3">
        <v>140</v>
      </c>
    </row>
    <row r="74" spans="1:3">
      <c r="A74" s="3">
        <v>122</v>
      </c>
      <c r="B74" s="3">
        <v>6</v>
      </c>
      <c r="C74" s="3">
        <v>140</v>
      </c>
    </row>
    <row r="75" spans="1:3">
      <c r="A75" s="3">
        <v>123</v>
      </c>
      <c r="B75" s="3">
        <v>6</v>
      </c>
      <c r="C75" s="3">
        <v>140</v>
      </c>
    </row>
    <row r="76" spans="1:3">
      <c r="A76" s="3">
        <v>124</v>
      </c>
      <c r="B76" s="3">
        <v>6</v>
      </c>
      <c r="C76" s="3">
        <v>140</v>
      </c>
    </row>
    <row r="77" spans="1:3">
      <c r="A77" s="3">
        <v>125</v>
      </c>
      <c r="B77" s="3">
        <v>6</v>
      </c>
      <c r="C77" s="3">
        <v>140</v>
      </c>
    </row>
    <row r="78" spans="1:3">
      <c r="A78" s="3">
        <v>126</v>
      </c>
      <c r="B78" s="3">
        <v>6</v>
      </c>
      <c r="C78" s="3">
        <v>140</v>
      </c>
    </row>
    <row r="79" spans="1:3">
      <c r="A79" s="3">
        <v>127</v>
      </c>
      <c r="B79" s="3">
        <v>6</v>
      </c>
      <c r="C79" s="3">
        <v>140</v>
      </c>
    </row>
    <row r="80" spans="1:3">
      <c r="A80" s="3">
        <v>128</v>
      </c>
      <c r="B80" s="3">
        <v>6</v>
      </c>
      <c r="C80" s="3">
        <v>140</v>
      </c>
    </row>
    <row r="81" spans="1:3">
      <c r="A81" s="3">
        <v>129</v>
      </c>
      <c r="B81" s="3">
        <v>6</v>
      </c>
      <c r="C81" s="3">
        <v>140</v>
      </c>
    </row>
    <row r="82" spans="1:3">
      <c r="A82" s="3">
        <v>130</v>
      </c>
      <c r="B82" s="3">
        <v>6</v>
      </c>
      <c r="C82" s="3">
        <v>140</v>
      </c>
    </row>
    <row r="83" spans="1:3">
      <c r="A83" s="3">
        <v>131</v>
      </c>
      <c r="B83" s="3">
        <v>6</v>
      </c>
      <c r="C83" s="3">
        <v>140</v>
      </c>
    </row>
    <row r="84" spans="1:3">
      <c r="A84" s="3">
        <v>132</v>
      </c>
      <c r="B84" s="3">
        <v>6</v>
      </c>
      <c r="C84" s="3">
        <v>140</v>
      </c>
    </row>
    <row r="85" spans="1:3">
      <c r="A85" s="3">
        <v>133</v>
      </c>
      <c r="B85" s="3">
        <v>6</v>
      </c>
      <c r="C85" s="3">
        <v>140</v>
      </c>
    </row>
    <row r="86" spans="1:3">
      <c r="A86" s="3">
        <v>134</v>
      </c>
      <c r="B86" s="3">
        <v>6</v>
      </c>
      <c r="C86" s="3">
        <v>140</v>
      </c>
    </row>
    <row r="87" spans="1:3">
      <c r="A87" s="3">
        <v>135</v>
      </c>
      <c r="B87" s="3">
        <v>6</v>
      </c>
      <c r="C87" s="3">
        <v>140</v>
      </c>
    </row>
    <row r="88" spans="1:3">
      <c r="A88" s="3">
        <v>136</v>
      </c>
      <c r="B88" s="3">
        <v>6</v>
      </c>
      <c r="C88" s="3">
        <v>140</v>
      </c>
    </row>
    <row r="89" spans="1:3">
      <c r="A89" s="3">
        <v>137</v>
      </c>
      <c r="B89" s="3">
        <v>6</v>
      </c>
      <c r="C89" s="3">
        <v>140</v>
      </c>
    </row>
    <row r="90" spans="1:3">
      <c r="A90" s="3">
        <v>138</v>
      </c>
      <c r="B90" s="3">
        <v>6</v>
      </c>
      <c r="C90" s="3">
        <v>140</v>
      </c>
    </row>
    <row r="91" spans="1:3">
      <c r="A91" s="3">
        <v>139</v>
      </c>
      <c r="B91" s="3">
        <v>6</v>
      </c>
      <c r="C91" s="3">
        <v>140</v>
      </c>
    </row>
    <row r="92" spans="1:3">
      <c r="A92" s="3">
        <v>140</v>
      </c>
      <c r="B92" s="3">
        <v>6</v>
      </c>
      <c r="C92" s="3">
        <v>140</v>
      </c>
    </row>
    <row r="93" spans="1:3">
      <c r="A93" s="3">
        <v>141</v>
      </c>
      <c r="B93" s="3">
        <v>7</v>
      </c>
      <c r="C93" s="3">
        <v>210</v>
      </c>
    </row>
    <row r="94" spans="1:3">
      <c r="A94" s="3">
        <v>142</v>
      </c>
      <c r="B94" s="3">
        <v>7</v>
      </c>
      <c r="C94" s="3">
        <v>210</v>
      </c>
    </row>
    <row r="95" spans="1:3">
      <c r="A95" s="3">
        <v>143</v>
      </c>
      <c r="B95" s="3">
        <v>7</v>
      </c>
      <c r="C95" s="3">
        <v>210</v>
      </c>
    </row>
    <row r="96" spans="1:3">
      <c r="A96" s="3">
        <v>144</v>
      </c>
      <c r="B96" s="3">
        <v>7</v>
      </c>
      <c r="C96" s="3">
        <v>210</v>
      </c>
    </row>
    <row r="97" spans="1:3">
      <c r="A97" s="3">
        <v>145</v>
      </c>
      <c r="B97" s="3">
        <v>7</v>
      </c>
      <c r="C97" s="3">
        <v>210</v>
      </c>
    </row>
    <row r="98" spans="1:3">
      <c r="A98" s="3">
        <v>146</v>
      </c>
      <c r="B98" s="3">
        <v>7</v>
      </c>
      <c r="C98" s="3">
        <v>210</v>
      </c>
    </row>
    <row r="99" spans="1:3">
      <c r="A99" s="3">
        <v>147</v>
      </c>
      <c r="B99" s="3">
        <v>7</v>
      </c>
      <c r="C99" s="3">
        <v>210</v>
      </c>
    </row>
    <row r="100" spans="1:3">
      <c r="A100" s="3">
        <v>148</v>
      </c>
      <c r="B100" s="3">
        <v>7</v>
      </c>
      <c r="C100" s="3">
        <v>210</v>
      </c>
    </row>
    <row r="101" spans="1:3">
      <c r="A101" s="3">
        <v>149</v>
      </c>
      <c r="B101" s="3">
        <v>7</v>
      </c>
      <c r="C101" s="3">
        <v>210</v>
      </c>
    </row>
    <row r="102" spans="1:3">
      <c r="A102" s="3">
        <v>150</v>
      </c>
      <c r="B102" s="3">
        <v>7</v>
      </c>
      <c r="C102" s="3">
        <v>210</v>
      </c>
    </row>
    <row r="103" spans="1:3">
      <c r="A103" s="3">
        <v>151</v>
      </c>
      <c r="B103" s="3">
        <v>7</v>
      </c>
      <c r="C103" s="3">
        <v>210</v>
      </c>
    </row>
    <row r="104" spans="1:3">
      <c r="A104" s="3">
        <v>152</v>
      </c>
      <c r="B104" s="3">
        <v>7</v>
      </c>
      <c r="C104" s="3">
        <v>210</v>
      </c>
    </row>
    <row r="105" spans="1:3">
      <c r="A105" s="3">
        <v>153</v>
      </c>
      <c r="B105" s="3">
        <v>7</v>
      </c>
      <c r="C105" s="3">
        <v>210</v>
      </c>
    </row>
    <row r="106" spans="1:3">
      <c r="A106" s="3">
        <v>154</v>
      </c>
      <c r="B106" s="3">
        <v>7</v>
      </c>
      <c r="C106" s="3">
        <v>210</v>
      </c>
    </row>
    <row r="107" spans="1:3">
      <c r="A107" s="3">
        <v>155</v>
      </c>
      <c r="B107" s="3">
        <v>7</v>
      </c>
      <c r="C107" s="3">
        <v>210</v>
      </c>
    </row>
    <row r="108" spans="1:3">
      <c r="A108" s="3">
        <v>156</v>
      </c>
      <c r="B108" s="3">
        <v>7</v>
      </c>
      <c r="C108" s="3">
        <v>210</v>
      </c>
    </row>
    <row r="109" spans="1:3">
      <c r="A109" s="3">
        <v>157</v>
      </c>
      <c r="B109" s="3">
        <v>7</v>
      </c>
      <c r="C109" s="3">
        <v>210</v>
      </c>
    </row>
    <row r="110" spans="1:3">
      <c r="A110" s="3">
        <v>158</v>
      </c>
      <c r="B110" s="3">
        <v>7</v>
      </c>
      <c r="C110" s="3">
        <v>210</v>
      </c>
    </row>
    <row r="111" spans="1:3">
      <c r="A111" s="3">
        <v>159</v>
      </c>
      <c r="B111" s="3">
        <v>7</v>
      </c>
      <c r="C111" s="3">
        <v>210</v>
      </c>
    </row>
    <row r="112" spans="1:3">
      <c r="A112" s="3">
        <v>160</v>
      </c>
      <c r="B112" s="3">
        <v>7</v>
      </c>
      <c r="C112" s="3">
        <v>210</v>
      </c>
    </row>
    <row r="113" spans="1:3">
      <c r="A113" s="3">
        <v>161</v>
      </c>
      <c r="B113" s="3">
        <v>7</v>
      </c>
      <c r="C113" s="3">
        <v>210</v>
      </c>
    </row>
    <row r="114" spans="1:3">
      <c r="A114" s="3">
        <v>162</v>
      </c>
      <c r="B114" s="3">
        <v>7</v>
      </c>
      <c r="C114" s="3">
        <v>210</v>
      </c>
    </row>
    <row r="115" spans="1:3">
      <c r="A115" s="3">
        <v>163</v>
      </c>
      <c r="B115" s="3">
        <v>7</v>
      </c>
      <c r="C115" s="3">
        <v>210</v>
      </c>
    </row>
    <row r="116" spans="1:3">
      <c r="A116" s="3">
        <v>164</v>
      </c>
      <c r="B116" s="3">
        <v>7</v>
      </c>
      <c r="C116" s="3">
        <v>210</v>
      </c>
    </row>
    <row r="117" spans="1:3">
      <c r="A117" s="3">
        <v>165</v>
      </c>
      <c r="B117" s="3">
        <v>7</v>
      </c>
      <c r="C117" s="3">
        <v>210</v>
      </c>
    </row>
    <row r="118" spans="1:3">
      <c r="A118" s="3">
        <v>166</v>
      </c>
      <c r="B118" s="3">
        <v>7</v>
      </c>
      <c r="C118" s="3">
        <v>210</v>
      </c>
    </row>
    <row r="119" spans="1:3">
      <c r="A119" s="3">
        <v>167</v>
      </c>
      <c r="B119" s="3">
        <v>7</v>
      </c>
      <c r="C119" s="3">
        <v>210</v>
      </c>
    </row>
    <row r="120" spans="1:3">
      <c r="A120" s="3">
        <v>168</v>
      </c>
      <c r="B120" s="3">
        <v>7</v>
      </c>
      <c r="C120" s="3">
        <v>210</v>
      </c>
    </row>
    <row r="121" spans="1:3">
      <c r="A121" s="3">
        <v>169</v>
      </c>
      <c r="B121" s="3">
        <v>7</v>
      </c>
      <c r="C121" s="3">
        <v>210</v>
      </c>
    </row>
    <row r="122" spans="1:3">
      <c r="A122" s="3">
        <v>170</v>
      </c>
      <c r="B122" s="3">
        <v>7</v>
      </c>
      <c r="C122" s="3">
        <v>210</v>
      </c>
    </row>
    <row r="123" spans="1:3">
      <c r="A123" s="3">
        <v>171</v>
      </c>
      <c r="B123" s="3">
        <v>7</v>
      </c>
      <c r="C123" s="3">
        <v>210</v>
      </c>
    </row>
    <row r="124" spans="1:3">
      <c r="A124" s="3">
        <v>172</v>
      </c>
      <c r="B124" s="3">
        <v>7</v>
      </c>
      <c r="C124" s="3">
        <v>210</v>
      </c>
    </row>
    <row r="125" spans="1:3">
      <c r="A125" s="3">
        <v>173</v>
      </c>
      <c r="B125" s="3">
        <v>7</v>
      </c>
      <c r="C125" s="3">
        <v>210</v>
      </c>
    </row>
    <row r="126" spans="1:3">
      <c r="A126" s="3">
        <v>174</v>
      </c>
      <c r="B126" s="3">
        <v>7</v>
      </c>
      <c r="C126" s="3">
        <v>210</v>
      </c>
    </row>
    <row r="127" spans="1:3">
      <c r="A127" s="3">
        <v>175</v>
      </c>
      <c r="B127" s="3">
        <v>7</v>
      </c>
      <c r="C127" s="3">
        <v>210</v>
      </c>
    </row>
    <row r="128" spans="1:3">
      <c r="A128" s="3">
        <v>176</v>
      </c>
      <c r="B128" s="3">
        <v>7</v>
      </c>
      <c r="C128" s="3">
        <v>210</v>
      </c>
    </row>
    <row r="129" spans="1:3">
      <c r="A129" s="3">
        <v>177</v>
      </c>
      <c r="B129" s="3">
        <v>7</v>
      </c>
      <c r="C129" s="3">
        <v>210</v>
      </c>
    </row>
    <row r="130" spans="1:3">
      <c r="A130" s="3">
        <v>178</v>
      </c>
      <c r="B130" s="3">
        <v>7</v>
      </c>
      <c r="C130" s="3">
        <v>210</v>
      </c>
    </row>
    <row r="131" spans="1:3">
      <c r="A131" s="3">
        <v>179</v>
      </c>
      <c r="B131" s="3">
        <v>7</v>
      </c>
      <c r="C131" s="3">
        <v>210</v>
      </c>
    </row>
    <row r="132" spans="1:3">
      <c r="A132" s="3">
        <v>180</v>
      </c>
      <c r="B132" s="3">
        <v>7</v>
      </c>
      <c r="C132" s="3">
        <v>210</v>
      </c>
    </row>
    <row r="133" spans="1:3">
      <c r="A133" s="3">
        <v>181</v>
      </c>
      <c r="B133" s="3">
        <v>7</v>
      </c>
      <c r="C133" s="3">
        <v>210</v>
      </c>
    </row>
    <row r="134" spans="1:3">
      <c r="A134" s="3">
        <v>182</v>
      </c>
      <c r="B134" s="3">
        <v>7</v>
      </c>
      <c r="C134" s="3">
        <v>210</v>
      </c>
    </row>
    <row r="135" spans="1:3">
      <c r="A135" s="3">
        <v>183</v>
      </c>
      <c r="B135" s="3">
        <v>7</v>
      </c>
      <c r="C135" s="3">
        <v>210</v>
      </c>
    </row>
    <row r="136" spans="1:3">
      <c r="A136" s="3">
        <v>184</v>
      </c>
      <c r="B136" s="3">
        <v>7</v>
      </c>
      <c r="C136" s="3">
        <v>210</v>
      </c>
    </row>
    <row r="137" spans="1:3">
      <c r="A137" s="3">
        <v>185</v>
      </c>
      <c r="B137" s="3">
        <v>7</v>
      </c>
      <c r="C137" s="3">
        <v>210</v>
      </c>
    </row>
    <row r="138" spans="1:3">
      <c r="A138" s="3">
        <v>186</v>
      </c>
      <c r="B138" s="3">
        <v>7</v>
      </c>
      <c r="C138" s="3">
        <v>210</v>
      </c>
    </row>
    <row r="139" spans="1:3">
      <c r="A139" s="3">
        <v>187</v>
      </c>
      <c r="B139" s="3">
        <v>7</v>
      </c>
      <c r="C139" s="3">
        <v>210</v>
      </c>
    </row>
    <row r="140" spans="1:3">
      <c r="A140" s="3">
        <v>188</v>
      </c>
      <c r="B140" s="3">
        <v>7</v>
      </c>
      <c r="C140" s="3">
        <v>210</v>
      </c>
    </row>
    <row r="141" spans="1:3">
      <c r="A141" s="3">
        <v>189</v>
      </c>
      <c r="B141" s="3">
        <v>7</v>
      </c>
      <c r="C141" s="3">
        <v>210</v>
      </c>
    </row>
    <row r="142" spans="1:3">
      <c r="A142" s="3">
        <v>190</v>
      </c>
      <c r="B142" s="3">
        <v>7</v>
      </c>
      <c r="C142" s="3">
        <v>210</v>
      </c>
    </row>
    <row r="143" spans="1:3">
      <c r="A143" s="3">
        <v>191</v>
      </c>
      <c r="B143" s="3">
        <v>7</v>
      </c>
      <c r="C143" s="3">
        <v>210</v>
      </c>
    </row>
    <row r="144" spans="1:3">
      <c r="A144" s="3">
        <v>192</v>
      </c>
      <c r="B144" s="3">
        <v>7</v>
      </c>
      <c r="C144" s="3">
        <v>210</v>
      </c>
    </row>
    <row r="145" spans="1:3">
      <c r="A145" s="3">
        <v>193</v>
      </c>
      <c r="B145" s="3">
        <v>7</v>
      </c>
      <c r="C145" s="3">
        <v>210</v>
      </c>
    </row>
    <row r="146" spans="1:3">
      <c r="A146" s="3">
        <v>194</v>
      </c>
      <c r="B146" s="3">
        <v>7</v>
      </c>
      <c r="C146" s="3">
        <v>210</v>
      </c>
    </row>
    <row r="147" spans="1:3">
      <c r="A147" s="3">
        <v>195</v>
      </c>
      <c r="B147" s="3">
        <v>7</v>
      </c>
      <c r="C147" s="3">
        <v>210</v>
      </c>
    </row>
    <row r="148" spans="1:3">
      <c r="A148" s="3">
        <v>196</v>
      </c>
      <c r="B148" s="3">
        <v>7</v>
      </c>
      <c r="C148" s="3">
        <v>210</v>
      </c>
    </row>
    <row r="149" spans="1:3">
      <c r="A149" s="3">
        <v>197</v>
      </c>
      <c r="B149" s="3">
        <v>7</v>
      </c>
      <c r="C149" s="3">
        <v>210</v>
      </c>
    </row>
    <row r="150" spans="1:3">
      <c r="A150" s="3">
        <v>198</v>
      </c>
      <c r="B150" s="3">
        <v>7</v>
      </c>
      <c r="C150" s="3">
        <v>210</v>
      </c>
    </row>
    <row r="151" spans="1:3">
      <c r="A151" s="3">
        <v>199</v>
      </c>
      <c r="B151" s="3">
        <v>7</v>
      </c>
      <c r="C151" s="3">
        <v>210</v>
      </c>
    </row>
    <row r="152" spans="1:3">
      <c r="A152" s="3">
        <v>200</v>
      </c>
      <c r="B152" s="3">
        <v>7</v>
      </c>
      <c r="C152" s="3">
        <v>210</v>
      </c>
    </row>
    <row r="153" spans="1:3">
      <c r="A153" s="3">
        <v>201</v>
      </c>
      <c r="B153" s="3">
        <v>7</v>
      </c>
      <c r="C153" s="3">
        <v>210</v>
      </c>
    </row>
    <row r="154" spans="1:3">
      <c r="A154" s="3">
        <v>202</v>
      </c>
      <c r="B154" s="3">
        <v>7</v>
      </c>
      <c r="C154" s="3">
        <v>210</v>
      </c>
    </row>
    <row r="155" spans="1:3">
      <c r="A155" s="3">
        <v>203</v>
      </c>
      <c r="B155" s="3">
        <v>7</v>
      </c>
      <c r="C155" s="3">
        <v>210</v>
      </c>
    </row>
    <row r="156" spans="1:3">
      <c r="A156" s="3">
        <v>204</v>
      </c>
      <c r="B156" s="3">
        <v>7</v>
      </c>
      <c r="C156" s="3">
        <v>210</v>
      </c>
    </row>
    <row r="157" spans="1:3">
      <c r="A157" s="3">
        <v>205</v>
      </c>
      <c r="B157" s="3">
        <v>7</v>
      </c>
      <c r="C157" s="3">
        <v>210</v>
      </c>
    </row>
    <row r="158" spans="1:3">
      <c r="A158" s="3">
        <v>206</v>
      </c>
      <c r="B158" s="3">
        <v>7</v>
      </c>
      <c r="C158" s="3">
        <v>210</v>
      </c>
    </row>
    <row r="159" spans="1:3">
      <c r="A159" s="3">
        <v>207</v>
      </c>
      <c r="B159" s="3">
        <v>7</v>
      </c>
      <c r="C159" s="3">
        <v>210</v>
      </c>
    </row>
    <row r="160" spans="1:3">
      <c r="A160" s="3">
        <v>208</v>
      </c>
      <c r="B160" s="3">
        <v>7</v>
      </c>
      <c r="C160" s="3">
        <v>210</v>
      </c>
    </row>
    <row r="161" spans="1:3">
      <c r="A161" s="3">
        <v>209</v>
      </c>
      <c r="B161" s="3">
        <v>7</v>
      </c>
      <c r="C161" s="3">
        <v>210</v>
      </c>
    </row>
    <row r="162" spans="1:3">
      <c r="A162" s="3">
        <v>210</v>
      </c>
      <c r="B162" s="3">
        <v>7</v>
      </c>
      <c r="C162" s="3">
        <v>210</v>
      </c>
    </row>
    <row r="163" spans="1:3">
      <c r="A163" s="3">
        <v>211</v>
      </c>
      <c r="B163" s="3">
        <v>8</v>
      </c>
      <c r="C163" s="3">
        <v>217</v>
      </c>
    </row>
    <row r="164" spans="1:3">
      <c r="A164" s="3">
        <v>212</v>
      </c>
      <c r="B164" s="3">
        <v>8</v>
      </c>
      <c r="C164" s="3">
        <v>217</v>
      </c>
    </row>
    <row r="165" spans="1:3">
      <c r="A165" s="3">
        <v>213</v>
      </c>
      <c r="B165" s="3">
        <v>8</v>
      </c>
      <c r="C165" s="3">
        <v>217</v>
      </c>
    </row>
    <row r="166" spans="1:3">
      <c r="A166" s="3">
        <v>214</v>
      </c>
      <c r="B166" s="3">
        <v>8</v>
      </c>
      <c r="C166" s="3">
        <v>217</v>
      </c>
    </row>
    <row r="167" spans="1:3">
      <c r="A167" s="3">
        <v>215</v>
      </c>
      <c r="B167" s="3">
        <v>8</v>
      </c>
      <c r="C167" s="3">
        <v>217</v>
      </c>
    </row>
    <row r="168" spans="1:3">
      <c r="A168" s="3">
        <v>216</v>
      </c>
      <c r="B168" s="3">
        <v>8</v>
      </c>
      <c r="C168" s="3">
        <v>217</v>
      </c>
    </row>
    <row r="169" spans="1:3">
      <c r="A169" s="3">
        <v>217</v>
      </c>
      <c r="B169" s="3">
        <v>8</v>
      </c>
      <c r="C169" s="3">
        <v>217</v>
      </c>
    </row>
    <row r="170" spans="1:3">
      <c r="A170" s="3">
        <v>218</v>
      </c>
      <c r="B170" s="3">
        <v>9</v>
      </c>
      <c r="C170" s="3">
        <v>231</v>
      </c>
    </row>
    <row r="171" spans="1:3">
      <c r="A171" s="3">
        <v>219</v>
      </c>
      <c r="B171" s="3">
        <v>9</v>
      </c>
      <c r="C171" s="3">
        <v>231</v>
      </c>
    </row>
    <row r="172" spans="1:3">
      <c r="A172" s="3">
        <v>220</v>
      </c>
      <c r="B172" s="3">
        <v>9</v>
      </c>
      <c r="C172" s="3">
        <v>231</v>
      </c>
    </row>
    <row r="173" spans="1:3">
      <c r="A173" s="3">
        <v>221</v>
      </c>
      <c r="B173" s="3">
        <v>9</v>
      </c>
      <c r="C173" s="3">
        <v>231</v>
      </c>
    </row>
    <row r="174" spans="1:3">
      <c r="A174" s="3">
        <v>222</v>
      </c>
      <c r="B174" s="3">
        <v>9</v>
      </c>
      <c r="C174" s="3">
        <v>231</v>
      </c>
    </row>
    <row r="175" spans="1:3">
      <c r="A175" s="3">
        <v>223</v>
      </c>
      <c r="B175" s="3">
        <v>9</v>
      </c>
      <c r="C175" s="3">
        <v>231</v>
      </c>
    </row>
    <row r="176" spans="1:3">
      <c r="A176" s="3">
        <v>224</v>
      </c>
      <c r="B176" s="3">
        <v>9</v>
      </c>
      <c r="C176" s="3">
        <v>231</v>
      </c>
    </row>
    <row r="177" spans="1:3">
      <c r="A177" s="3">
        <v>225</v>
      </c>
      <c r="B177" s="3">
        <v>9</v>
      </c>
      <c r="C177" s="3">
        <v>231</v>
      </c>
    </row>
    <row r="178" spans="1:3">
      <c r="A178" s="3">
        <v>226</v>
      </c>
      <c r="B178" s="3">
        <v>9</v>
      </c>
      <c r="C178" s="3">
        <v>231</v>
      </c>
    </row>
    <row r="179" spans="1:3">
      <c r="A179" s="3">
        <v>227</v>
      </c>
      <c r="B179" s="3">
        <v>9</v>
      </c>
      <c r="C179" s="3">
        <v>231</v>
      </c>
    </row>
    <row r="180" spans="1:3">
      <c r="A180" s="3">
        <v>228</v>
      </c>
      <c r="B180" s="3">
        <v>9</v>
      </c>
      <c r="C180" s="3">
        <v>231</v>
      </c>
    </row>
    <row r="181" spans="1:3">
      <c r="A181" s="3">
        <v>229</v>
      </c>
      <c r="B181" s="3">
        <v>9</v>
      </c>
      <c r="C181" s="3">
        <v>231</v>
      </c>
    </row>
    <row r="182" spans="1:3">
      <c r="A182" s="3">
        <v>230</v>
      </c>
      <c r="B182" s="3">
        <v>9</v>
      </c>
      <c r="C182" s="3">
        <v>231</v>
      </c>
    </row>
    <row r="183" spans="1:3">
      <c r="A183" s="3">
        <v>231</v>
      </c>
      <c r="B183" s="3">
        <v>9</v>
      </c>
      <c r="C183" s="3">
        <v>231</v>
      </c>
    </row>
    <row r="184" spans="1:3">
      <c r="A184" s="3">
        <v>232</v>
      </c>
      <c r="B184" s="3">
        <v>10</v>
      </c>
      <c r="C184" s="3">
        <v>259</v>
      </c>
    </row>
    <row r="185" spans="1:3">
      <c r="A185" s="3">
        <v>233</v>
      </c>
      <c r="B185" s="3">
        <v>10</v>
      </c>
      <c r="C185" s="3">
        <v>259</v>
      </c>
    </row>
    <row r="186" spans="1:3">
      <c r="A186" s="3">
        <v>234</v>
      </c>
      <c r="B186" s="3">
        <v>10</v>
      </c>
      <c r="C186" s="3">
        <v>259</v>
      </c>
    </row>
    <row r="187" spans="1:3">
      <c r="A187" s="3">
        <v>235</v>
      </c>
      <c r="B187" s="3">
        <v>10</v>
      </c>
      <c r="C187" s="3">
        <v>259</v>
      </c>
    </row>
    <row r="188" spans="1:3">
      <c r="A188" s="3">
        <v>236</v>
      </c>
      <c r="B188" s="3">
        <v>10</v>
      </c>
      <c r="C188" s="3">
        <v>259</v>
      </c>
    </row>
    <row r="189" spans="1:3">
      <c r="A189" s="3">
        <v>237</v>
      </c>
      <c r="B189" s="3">
        <v>10</v>
      </c>
      <c r="C189" s="3">
        <v>259</v>
      </c>
    </row>
    <row r="190" spans="1:3">
      <c r="A190" s="3">
        <v>238</v>
      </c>
      <c r="B190" s="3">
        <v>10</v>
      </c>
      <c r="C190" s="3">
        <v>259</v>
      </c>
    </row>
    <row r="191" spans="1:3">
      <c r="A191" s="3">
        <v>239</v>
      </c>
      <c r="B191" s="3">
        <v>10</v>
      </c>
      <c r="C191" s="3">
        <v>259</v>
      </c>
    </row>
    <row r="192" spans="1:3">
      <c r="A192" s="3">
        <v>240</v>
      </c>
      <c r="B192" s="3">
        <v>10</v>
      </c>
      <c r="C192" s="3">
        <v>259</v>
      </c>
    </row>
    <row r="193" spans="1:3">
      <c r="A193" s="3">
        <v>241</v>
      </c>
      <c r="B193" s="3">
        <v>10</v>
      </c>
      <c r="C193" s="3">
        <v>259</v>
      </c>
    </row>
    <row r="194" spans="1:3">
      <c r="A194" s="3">
        <v>242</v>
      </c>
      <c r="B194" s="3">
        <v>10</v>
      </c>
      <c r="C194" s="3">
        <v>259</v>
      </c>
    </row>
    <row r="195" spans="1:3">
      <c r="A195" s="3">
        <v>243</v>
      </c>
      <c r="B195" s="3">
        <v>10</v>
      </c>
      <c r="C195" s="3">
        <v>259</v>
      </c>
    </row>
    <row r="196" spans="1:3">
      <c r="A196" s="3">
        <v>244</v>
      </c>
      <c r="B196" s="3">
        <v>10</v>
      </c>
      <c r="C196" s="3">
        <v>259</v>
      </c>
    </row>
    <row r="197" spans="1:3">
      <c r="A197" s="3">
        <v>245</v>
      </c>
      <c r="B197" s="3">
        <v>10</v>
      </c>
      <c r="C197" s="3">
        <v>259</v>
      </c>
    </row>
    <row r="198" spans="1:3">
      <c r="A198" s="3">
        <v>246</v>
      </c>
      <c r="B198" s="3">
        <v>10</v>
      </c>
      <c r="C198" s="3">
        <v>259</v>
      </c>
    </row>
    <row r="199" spans="1:3">
      <c r="A199" s="3">
        <v>247</v>
      </c>
      <c r="B199" s="3">
        <v>10</v>
      </c>
      <c r="C199" s="3">
        <v>259</v>
      </c>
    </row>
    <row r="200" spans="1:3">
      <c r="A200" s="3">
        <v>248</v>
      </c>
      <c r="B200" s="3">
        <v>10</v>
      </c>
      <c r="C200" s="3">
        <v>259</v>
      </c>
    </row>
    <row r="201" spans="1:3">
      <c r="A201" s="3">
        <v>249</v>
      </c>
      <c r="B201" s="3">
        <v>10</v>
      </c>
      <c r="C201" s="3">
        <v>259</v>
      </c>
    </row>
    <row r="202" spans="1:3">
      <c r="A202" s="3">
        <v>250</v>
      </c>
      <c r="B202" s="3">
        <v>10</v>
      </c>
      <c r="C202" s="3">
        <v>259</v>
      </c>
    </row>
    <row r="203" spans="1:3">
      <c r="A203" s="3">
        <v>251</v>
      </c>
      <c r="B203" s="3">
        <v>10</v>
      </c>
      <c r="C203" s="3">
        <v>259</v>
      </c>
    </row>
    <row r="204" spans="1:3">
      <c r="A204" s="3">
        <v>252</v>
      </c>
      <c r="B204" s="3">
        <v>10</v>
      </c>
      <c r="C204" s="3">
        <v>259</v>
      </c>
    </row>
    <row r="205" spans="1:3">
      <c r="A205" s="3">
        <v>253</v>
      </c>
      <c r="B205" s="3">
        <v>10</v>
      </c>
      <c r="C205" s="3">
        <v>259</v>
      </c>
    </row>
    <row r="206" spans="1:3">
      <c r="A206" s="3">
        <v>254</v>
      </c>
      <c r="B206" s="3">
        <v>10</v>
      </c>
      <c r="C206" s="3">
        <v>259</v>
      </c>
    </row>
    <row r="207" spans="1:3">
      <c r="A207" s="3">
        <v>255</v>
      </c>
      <c r="B207" s="3">
        <v>10</v>
      </c>
      <c r="C207" s="3">
        <v>259</v>
      </c>
    </row>
    <row r="208" spans="1:3">
      <c r="A208" s="3">
        <v>256</v>
      </c>
      <c r="B208" s="3">
        <v>10</v>
      </c>
      <c r="C208" s="3">
        <v>259</v>
      </c>
    </row>
    <row r="209" spans="1:3">
      <c r="A209" s="3">
        <v>257</v>
      </c>
      <c r="B209" s="3">
        <v>10</v>
      </c>
      <c r="C209" s="3">
        <v>259</v>
      </c>
    </row>
    <row r="210" spans="1:3">
      <c r="A210" s="3">
        <v>258</v>
      </c>
      <c r="B210" s="3">
        <v>10</v>
      </c>
      <c r="C210" s="3">
        <v>259</v>
      </c>
    </row>
    <row r="211" spans="1:3">
      <c r="A211" s="3">
        <v>259</v>
      </c>
      <c r="B211" s="3">
        <v>10</v>
      </c>
      <c r="C211" s="3">
        <v>259</v>
      </c>
    </row>
    <row r="212" spans="1:3">
      <c r="A212" s="3">
        <v>260</v>
      </c>
      <c r="B212" s="3">
        <v>11</v>
      </c>
      <c r="C212" s="3">
        <v>294</v>
      </c>
    </row>
    <row r="213" spans="1:3">
      <c r="A213" s="3">
        <v>261</v>
      </c>
      <c r="B213" s="3">
        <v>11</v>
      </c>
      <c r="C213" s="3">
        <v>294</v>
      </c>
    </row>
    <row r="214" spans="1:3">
      <c r="A214" s="3">
        <v>262</v>
      </c>
      <c r="B214" s="3">
        <v>11</v>
      </c>
      <c r="C214" s="3">
        <v>294</v>
      </c>
    </row>
    <row r="215" spans="1:3">
      <c r="A215" s="3">
        <v>263</v>
      </c>
      <c r="B215" s="3">
        <v>11</v>
      </c>
      <c r="C215" s="3">
        <v>294</v>
      </c>
    </row>
    <row r="216" spans="1:3">
      <c r="A216" s="3">
        <v>264</v>
      </c>
      <c r="B216" s="3">
        <v>11</v>
      </c>
      <c r="C216" s="3">
        <v>294</v>
      </c>
    </row>
    <row r="217" spans="1:3">
      <c r="A217" s="3">
        <v>265</v>
      </c>
      <c r="B217" s="3">
        <v>11</v>
      </c>
      <c r="C217" s="3">
        <v>294</v>
      </c>
    </row>
    <row r="218" spans="1:3">
      <c r="A218" s="3">
        <v>266</v>
      </c>
      <c r="B218" s="3">
        <v>11</v>
      </c>
      <c r="C218" s="3">
        <v>294</v>
      </c>
    </row>
    <row r="219" spans="1:3">
      <c r="A219" s="3">
        <v>267</v>
      </c>
      <c r="B219" s="3">
        <v>11</v>
      </c>
      <c r="C219" s="3">
        <v>294</v>
      </c>
    </row>
    <row r="220" spans="1:3">
      <c r="A220" s="3">
        <v>268</v>
      </c>
      <c r="B220" s="3">
        <v>11</v>
      </c>
      <c r="C220" s="3">
        <v>294</v>
      </c>
    </row>
    <row r="221" spans="1:3">
      <c r="A221" s="3">
        <v>269</v>
      </c>
      <c r="B221" s="3">
        <v>11</v>
      </c>
      <c r="C221" s="3">
        <v>294</v>
      </c>
    </row>
    <row r="222" spans="1:3">
      <c r="A222" s="3">
        <v>270</v>
      </c>
      <c r="B222" s="3">
        <v>11</v>
      </c>
      <c r="C222" s="3">
        <v>294</v>
      </c>
    </row>
    <row r="223" spans="1:3">
      <c r="A223" s="3">
        <v>271</v>
      </c>
      <c r="B223" s="3">
        <v>11</v>
      </c>
      <c r="C223" s="3">
        <v>294</v>
      </c>
    </row>
    <row r="224" spans="1:3">
      <c r="A224" s="3">
        <v>272</v>
      </c>
      <c r="B224" s="3">
        <v>11</v>
      </c>
      <c r="C224" s="3">
        <v>294</v>
      </c>
    </row>
    <row r="225" spans="1:3">
      <c r="A225" s="3">
        <v>273</v>
      </c>
      <c r="B225" s="3">
        <v>11</v>
      </c>
      <c r="C225" s="3">
        <v>294</v>
      </c>
    </row>
    <row r="226" spans="1:3">
      <c r="A226" s="3">
        <v>274</v>
      </c>
      <c r="B226" s="3">
        <v>11</v>
      </c>
      <c r="C226" s="3">
        <v>294</v>
      </c>
    </row>
    <row r="227" spans="1:3">
      <c r="A227" s="3">
        <v>275</v>
      </c>
      <c r="B227" s="3">
        <v>11</v>
      </c>
      <c r="C227" s="3">
        <v>294</v>
      </c>
    </row>
    <row r="228" spans="1:3">
      <c r="A228" s="3">
        <v>276</v>
      </c>
      <c r="B228" s="3">
        <v>11</v>
      </c>
      <c r="C228" s="3">
        <v>294</v>
      </c>
    </row>
    <row r="229" spans="1:3">
      <c r="A229" s="3">
        <v>277</v>
      </c>
      <c r="B229" s="3">
        <v>11</v>
      </c>
      <c r="C229" s="3">
        <v>294</v>
      </c>
    </row>
    <row r="230" spans="1:3">
      <c r="A230" s="3">
        <v>278</v>
      </c>
      <c r="B230" s="3">
        <v>11</v>
      </c>
      <c r="C230" s="3">
        <v>294</v>
      </c>
    </row>
    <row r="231" spans="1:3">
      <c r="A231" s="3">
        <v>279</v>
      </c>
      <c r="B231" s="3">
        <v>11</v>
      </c>
      <c r="C231" s="3">
        <v>294</v>
      </c>
    </row>
    <row r="232" spans="1:3">
      <c r="A232" s="3">
        <v>280</v>
      </c>
      <c r="B232" s="3">
        <v>11</v>
      </c>
      <c r="C232" s="3">
        <v>294</v>
      </c>
    </row>
    <row r="233" spans="1:3">
      <c r="A233" s="3">
        <v>281</v>
      </c>
      <c r="B233" s="3">
        <v>11</v>
      </c>
      <c r="C233" s="3">
        <v>294</v>
      </c>
    </row>
    <row r="234" spans="1:3">
      <c r="A234" s="3">
        <v>282</v>
      </c>
      <c r="B234" s="3">
        <v>11</v>
      </c>
      <c r="C234" s="3">
        <v>294</v>
      </c>
    </row>
    <row r="235" spans="1:3">
      <c r="A235" s="3">
        <v>283</v>
      </c>
      <c r="B235" s="3">
        <v>11</v>
      </c>
      <c r="C235" s="3">
        <v>294</v>
      </c>
    </row>
    <row r="236" spans="1:3">
      <c r="A236" s="3">
        <v>284</v>
      </c>
      <c r="B236" s="3">
        <v>11</v>
      </c>
      <c r="C236" s="3">
        <v>294</v>
      </c>
    </row>
    <row r="237" spans="1:3">
      <c r="A237" s="3">
        <v>285</v>
      </c>
      <c r="B237" s="3">
        <v>11</v>
      </c>
      <c r="C237" s="3">
        <v>294</v>
      </c>
    </row>
    <row r="238" spans="1:3">
      <c r="A238" s="3">
        <v>286</v>
      </c>
      <c r="B238" s="3">
        <v>11</v>
      </c>
      <c r="C238" s="3">
        <v>294</v>
      </c>
    </row>
    <row r="239" spans="1:3">
      <c r="A239" s="3">
        <v>287</v>
      </c>
      <c r="B239" s="3">
        <v>11</v>
      </c>
      <c r="C239" s="3">
        <v>294</v>
      </c>
    </row>
    <row r="240" spans="1:3">
      <c r="A240" s="3">
        <v>288</v>
      </c>
      <c r="B240" s="3">
        <v>11</v>
      </c>
      <c r="C240" s="3">
        <v>294</v>
      </c>
    </row>
    <row r="241" spans="1:3">
      <c r="A241" s="3">
        <v>289</v>
      </c>
      <c r="B241" s="3">
        <v>11</v>
      </c>
      <c r="C241" s="3">
        <v>294</v>
      </c>
    </row>
    <row r="242" spans="1:3">
      <c r="A242" s="3">
        <v>290</v>
      </c>
      <c r="B242" s="3">
        <v>11</v>
      </c>
      <c r="C242" s="3">
        <v>294</v>
      </c>
    </row>
    <row r="243" spans="1:3">
      <c r="A243" s="3">
        <v>291</v>
      </c>
      <c r="B243" s="3">
        <v>11</v>
      </c>
      <c r="C243" s="3">
        <v>294</v>
      </c>
    </row>
    <row r="244" spans="1:3">
      <c r="A244" s="3">
        <v>292</v>
      </c>
      <c r="B244" s="3">
        <v>11</v>
      </c>
      <c r="C244" s="3">
        <v>294</v>
      </c>
    </row>
    <row r="245" spans="1:3">
      <c r="A245" s="3">
        <v>293</v>
      </c>
      <c r="B245" s="3">
        <v>11</v>
      </c>
      <c r="C245" s="3">
        <v>294</v>
      </c>
    </row>
    <row r="246" spans="1:3">
      <c r="A246" s="3">
        <v>294</v>
      </c>
      <c r="B246" s="3">
        <v>11</v>
      </c>
      <c r="C246" s="3">
        <v>294</v>
      </c>
    </row>
    <row r="247" spans="1:3">
      <c r="A247" s="3">
        <v>295</v>
      </c>
      <c r="B247" s="3">
        <v>12</v>
      </c>
      <c r="C247" s="3">
        <v>315</v>
      </c>
    </row>
    <row r="248" spans="1:3">
      <c r="A248" s="3">
        <v>296</v>
      </c>
      <c r="B248" s="3">
        <v>12</v>
      </c>
      <c r="C248" s="3">
        <v>315</v>
      </c>
    </row>
    <row r="249" spans="1:3">
      <c r="A249" s="3">
        <v>297</v>
      </c>
      <c r="B249" s="3">
        <v>12</v>
      </c>
      <c r="C249" s="3">
        <v>315</v>
      </c>
    </row>
    <row r="250" spans="1:3">
      <c r="A250" s="3">
        <v>298</v>
      </c>
      <c r="B250" s="3">
        <v>12</v>
      </c>
      <c r="C250" s="3">
        <v>315</v>
      </c>
    </row>
    <row r="251" spans="1:3">
      <c r="A251" s="3">
        <v>299</v>
      </c>
      <c r="B251" s="3">
        <v>12</v>
      </c>
      <c r="C251" s="3">
        <v>315</v>
      </c>
    </row>
    <row r="252" spans="1:3">
      <c r="A252" s="3">
        <v>300</v>
      </c>
      <c r="B252" s="3">
        <v>12</v>
      </c>
      <c r="C252" s="3">
        <v>315</v>
      </c>
    </row>
    <row r="253" spans="1:3">
      <c r="A253" s="3">
        <v>301</v>
      </c>
      <c r="B253" s="3">
        <v>12</v>
      </c>
      <c r="C253" s="3">
        <v>315</v>
      </c>
    </row>
    <row r="254" spans="1:3">
      <c r="A254" s="3">
        <v>302</v>
      </c>
      <c r="B254" s="3">
        <v>12</v>
      </c>
      <c r="C254" s="3">
        <v>315</v>
      </c>
    </row>
    <row r="255" spans="1:3">
      <c r="A255" s="3">
        <v>303</v>
      </c>
      <c r="B255" s="3">
        <v>12</v>
      </c>
      <c r="C255" s="3">
        <v>315</v>
      </c>
    </row>
    <row r="256" spans="1:3">
      <c r="A256" s="3">
        <v>304</v>
      </c>
      <c r="B256" s="3">
        <v>12</v>
      </c>
      <c r="C256" s="3">
        <v>315</v>
      </c>
    </row>
    <row r="257" spans="1:3">
      <c r="A257" s="3">
        <v>305</v>
      </c>
      <c r="B257" s="3">
        <v>12</v>
      </c>
      <c r="C257" s="3">
        <v>315</v>
      </c>
    </row>
    <row r="258" spans="1:3">
      <c r="A258" s="3">
        <v>306</v>
      </c>
      <c r="B258" s="3">
        <v>12</v>
      </c>
      <c r="C258" s="3">
        <v>315</v>
      </c>
    </row>
    <row r="259" spans="1:3">
      <c r="A259" s="3">
        <v>307</v>
      </c>
      <c r="B259" s="3">
        <v>12</v>
      </c>
      <c r="C259" s="3">
        <v>315</v>
      </c>
    </row>
    <row r="260" spans="1:3">
      <c r="A260" s="3">
        <v>308</v>
      </c>
      <c r="B260" s="3">
        <v>12</v>
      </c>
      <c r="C260" s="3">
        <v>315</v>
      </c>
    </row>
    <row r="261" spans="1:3">
      <c r="A261" s="3">
        <v>309</v>
      </c>
      <c r="B261" s="3">
        <v>12</v>
      </c>
      <c r="C261" s="3">
        <v>315</v>
      </c>
    </row>
    <row r="262" spans="1:3">
      <c r="A262" s="3">
        <v>310</v>
      </c>
      <c r="B262" s="3">
        <v>12</v>
      </c>
      <c r="C262" s="3">
        <v>315</v>
      </c>
    </row>
    <row r="263" spans="1:3">
      <c r="A263" s="3">
        <v>311</v>
      </c>
      <c r="B263" s="3">
        <v>12</v>
      </c>
      <c r="C263" s="3">
        <v>315</v>
      </c>
    </row>
    <row r="264" spans="1:3">
      <c r="A264" s="3">
        <v>312</v>
      </c>
      <c r="B264" s="3">
        <v>12</v>
      </c>
      <c r="C264" s="3">
        <v>315</v>
      </c>
    </row>
    <row r="265" spans="1:3">
      <c r="A265" s="3">
        <v>313</v>
      </c>
      <c r="B265" s="3">
        <v>12</v>
      </c>
      <c r="C265" s="3">
        <v>315</v>
      </c>
    </row>
    <row r="266" spans="1:3">
      <c r="A266" s="3">
        <v>314</v>
      </c>
      <c r="B266" s="3">
        <v>12</v>
      </c>
      <c r="C266" s="3">
        <v>315</v>
      </c>
    </row>
    <row r="267" spans="1:3">
      <c r="A267" s="3">
        <v>315</v>
      </c>
      <c r="B267" s="3">
        <v>12</v>
      </c>
      <c r="C267" s="3">
        <v>315</v>
      </c>
    </row>
    <row r="268" spans="1:3">
      <c r="A268" s="3">
        <v>316</v>
      </c>
      <c r="B268" s="3">
        <v>13</v>
      </c>
      <c r="C268" s="3">
        <v>329</v>
      </c>
    </row>
    <row r="269" spans="1:3">
      <c r="A269" s="3">
        <v>317</v>
      </c>
      <c r="B269" s="3">
        <v>13</v>
      </c>
      <c r="C269" s="3">
        <v>329</v>
      </c>
    </row>
    <row r="270" spans="1:3">
      <c r="A270" s="3">
        <v>318</v>
      </c>
      <c r="B270" s="3">
        <v>13</v>
      </c>
      <c r="C270" s="3">
        <v>329</v>
      </c>
    </row>
    <row r="271" spans="1:3">
      <c r="A271" s="3">
        <v>319</v>
      </c>
      <c r="B271" s="3">
        <v>13</v>
      </c>
      <c r="C271" s="3">
        <v>329</v>
      </c>
    </row>
    <row r="272" spans="1:3">
      <c r="A272" s="3">
        <v>320</v>
      </c>
      <c r="B272" s="3">
        <v>13</v>
      </c>
      <c r="C272" s="3">
        <v>329</v>
      </c>
    </row>
    <row r="273" spans="1:3">
      <c r="A273" s="3">
        <v>321</v>
      </c>
      <c r="B273" s="3">
        <v>13</v>
      </c>
      <c r="C273" s="3">
        <v>329</v>
      </c>
    </row>
    <row r="274" spans="1:3">
      <c r="A274" s="3">
        <v>322</v>
      </c>
      <c r="B274" s="3">
        <v>13</v>
      </c>
      <c r="C274" s="3">
        <v>329</v>
      </c>
    </row>
    <row r="275" spans="1:3">
      <c r="A275" s="3">
        <v>323</v>
      </c>
      <c r="B275" s="3">
        <v>13</v>
      </c>
      <c r="C275" s="3">
        <v>329</v>
      </c>
    </row>
    <row r="276" spans="1:3">
      <c r="A276" s="3">
        <v>324</v>
      </c>
      <c r="B276" s="3">
        <v>13</v>
      </c>
      <c r="C276" s="3">
        <v>329</v>
      </c>
    </row>
    <row r="277" spans="1:3">
      <c r="A277" s="3">
        <v>325</v>
      </c>
      <c r="B277" s="3">
        <v>13</v>
      </c>
      <c r="C277" s="3">
        <v>329</v>
      </c>
    </row>
    <row r="278" spans="1:3">
      <c r="A278" s="3">
        <v>326</v>
      </c>
      <c r="B278" s="3">
        <v>13</v>
      </c>
      <c r="C278" s="3">
        <v>329</v>
      </c>
    </row>
    <row r="279" spans="1:3">
      <c r="A279" s="3">
        <v>327</v>
      </c>
      <c r="B279" s="3">
        <v>13</v>
      </c>
      <c r="C279" s="3">
        <v>329</v>
      </c>
    </row>
    <row r="280" spans="1:3">
      <c r="A280" s="3">
        <v>328</v>
      </c>
      <c r="B280" s="3">
        <v>13</v>
      </c>
      <c r="C280" s="3">
        <v>329</v>
      </c>
    </row>
    <row r="281" spans="1:3">
      <c r="A281" s="3">
        <v>329</v>
      </c>
      <c r="B281" s="3">
        <v>13</v>
      </c>
      <c r="C281" s="3">
        <v>329</v>
      </c>
    </row>
    <row r="282" spans="1:3">
      <c r="A282" s="3">
        <v>330</v>
      </c>
      <c r="B282" s="3">
        <v>14</v>
      </c>
      <c r="C282" s="3">
        <v>420</v>
      </c>
    </row>
    <row r="283" spans="1:3">
      <c r="A283" s="3">
        <v>331</v>
      </c>
      <c r="B283" s="3">
        <v>14</v>
      </c>
      <c r="C283" s="3">
        <v>420</v>
      </c>
    </row>
    <row r="284" spans="1:3">
      <c r="A284" s="3">
        <v>332</v>
      </c>
      <c r="B284" s="3">
        <v>14</v>
      </c>
      <c r="C284" s="3">
        <v>420</v>
      </c>
    </row>
    <row r="285" spans="1:3">
      <c r="A285" s="3">
        <v>333</v>
      </c>
      <c r="B285" s="3">
        <v>14</v>
      </c>
      <c r="C285" s="3">
        <v>420</v>
      </c>
    </row>
    <row r="286" spans="1:3">
      <c r="A286" s="3">
        <v>334</v>
      </c>
      <c r="B286" s="3">
        <v>14</v>
      </c>
      <c r="C286" s="3">
        <v>420</v>
      </c>
    </row>
    <row r="287" spans="1:3">
      <c r="A287" s="3">
        <v>335</v>
      </c>
      <c r="B287" s="3">
        <v>14</v>
      </c>
      <c r="C287" s="3">
        <v>420</v>
      </c>
    </row>
    <row r="288" spans="1:3">
      <c r="A288" s="3">
        <v>336</v>
      </c>
      <c r="B288" s="3">
        <v>14</v>
      </c>
      <c r="C288" s="3">
        <v>420</v>
      </c>
    </row>
    <row r="289" spans="1:3">
      <c r="A289" s="3">
        <v>337</v>
      </c>
      <c r="B289" s="3">
        <v>14</v>
      </c>
      <c r="C289" s="3">
        <v>420</v>
      </c>
    </row>
    <row r="290" spans="1:3">
      <c r="A290" s="3">
        <v>338</v>
      </c>
      <c r="B290" s="3">
        <v>14</v>
      </c>
      <c r="C290" s="3">
        <v>420</v>
      </c>
    </row>
    <row r="291" spans="1:3">
      <c r="A291" s="3">
        <v>339</v>
      </c>
      <c r="B291" s="3">
        <v>14</v>
      </c>
      <c r="C291" s="3">
        <v>420</v>
      </c>
    </row>
    <row r="292" spans="1:3">
      <c r="A292" s="3">
        <v>340</v>
      </c>
      <c r="B292" s="3">
        <v>14</v>
      </c>
      <c r="C292" s="3">
        <v>420</v>
      </c>
    </row>
    <row r="293" spans="1:3">
      <c r="A293" s="3">
        <v>341</v>
      </c>
      <c r="B293" s="3">
        <v>14</v>
      </c>
      <c r="C293" s="3">
        <v>420</v>
      </c>
    </row>
    <row r="294" spans="1:3">
      <c r="A294" s="3">
        <v>342</v>
      </c>
      <c r="B294" s="3">
        <v>14</v>
      </c>
      <c r="C294" s="3">
        <v>420</v>
      </c>
    </row>
    <row r="295" spans="1:3">
      <c r="A295" s="3">
        <v>343</v>
      </c>
      <c r="B295" s="3">
        <v>14</v>
      </c>
      <c r="C295" s="3">
        <v>420</v>
      </c>
    </row>
    <row r="296" spans="1:3">
      <c r="A296" s="3">
        <v>344</v>
      </c>
      <c r="B296" s="3">
        <v>14</v>
      </c>
      <c r="C296" s="3">
        <v>420</v>
      </c>
    </row>
    <row r="297" spans="1:3">
      <c r="A297" s="3">
        <v>345</v>
      </c>
      <c r="B297" s="3">
        <v>14</v>
      </c>
      <c r="C297" s="3">
        <v>420</v>
      </c>
    </row>
    <row r="298" spans="1:3">
      <c r="A298" s="3">
        <v>346</v>
      </c>
      <c r="B298" s="3">
        <v>14</v>
      </c>
      <c r="C298" s="3">
        <v>420</v>
      </c>
    </row>
    <row r="299" spans="1:3">
      <c r="A299" s="3">
        <v>347</v>
      </c>
      <c r="B299" s="3">
        <v>14</v>
      </c>
      <c r="C299" s="3">
        <v>420</v>
      </c>
    </row>
    <row r="300" spans="1:3">
      <c r="A300" s="3">
        <v>348</v>
      </c>
      <c r="B300" s="3">
        <v>14</v>
      </c>
      <c r="C300" s="3">
        <v>420</v>
      </c>
    </row>
    <row r="301" spans="1:3">
      <c r="A301" s="3">
        <v>349</v>
      </c>
      <c r="B301" s="3">
        <v>14</v>
      </c>
      <c r="C301" s="3">
        <v>420</v>
      </c>
    </row>
    <row r="302" spans="1:3">
      <c r="A302" s="3">
        <v>350</v>
      </c>
      <c r="B302" s="3">
        <v>14</v>
      </c>
      <c r="C302" s="3">
        <v>420</v>
      </c>
    </row>
    <row r="303" spans="1:3">
      <c r="A303" s="3">
        <v>351</v>
      </c>
      <c r="B303" s="3">
        <v>14</v>
      </c>
      <c r="C303" s="3">
        <v>420</v>
      </c>
    </row>
    <row r="304" spans="1:3">
      <c r="A304" s="3">
        <v>352</v>
      </c>
      <c r="B304" s="3">
        <v>14</v>
      </c>
      <c r="C304" s="3">
        <v>420</v>
      </c>
    </row>
    <row r="305" spans="1:3">
      <c r="A305" s="3">
        <v>353</v>
      </c>
      <c r="B305" s="3">
        <v>14</v>
      </c>
      <c r="C305" s="3">
        <v>420</v>
      </c>
    </row>
    <row r="306" spans="1:3">
      <c r="A306" s="3">
        <v>354</v>
      </c>
      <c r="B306" s="3">
        <v>14</v>
      </c>
      <c r="C306" s="3">
        <v>420</v>
      </c>
    </row>
    <row r="307" spans="1:3">
      <c r="A307" s="3">
        <v>355</v>
      </c>
      <c r="B307" s="3">
        <v>14</v>
      </c>
      <c r="C307" s="3">
        <v>420</v>
      </c>
    </row>
    <row r="308" spans="1:3">
      <c r="A308" s="3">
        <v>356</v>
      </c>
      <c r="B308" s="3">
        <v>14</v>
      </c>
      <c r="C308" s="3">
        <v>420</v>
      </c>
    </row>
    <row r="309" spans="1:3">
      <c r="A309" s="3">
        <v>357</v>
      </c>
      <c r="B309" s="3">
        <v>14</v>
      </c>
      <c r="C309" s="3">
        <v>420</v>
      </c>
    </row>
    <row r="310" spans="1:3">
      <c r="A310" s="3">
        <v>358</v>
      </c>
      <c r="B310" s="3">
        <v>14</v>
      </c>
      <c r="C310" s="3">
        <v>420</v>
      </c>
    </row>
    <row r="311" spans="1:3">
      <c r="A311" s="3">
        <v>359</v>
      </c>
      <c r="B311" s="3">
        <v>14</v>
      </c>
      <c r="C311" s="3">
        <v>420</v>
      </c>
    </row>
    <row r="312" spans="1:3">
      <c r="A312" s="3">
        <v>360</v>
      </c>
      <c r="B312" s="3">
        <v>14</v>
      </c>
      <c r="C312" s="3">
        <v>420</v>
      </c>
    </row>
    <row r="313" spans="1:3">
      <c r="A313" s="3">
        <v>361</v>
      </c>
      <c r="B313" s="3">
        <v>14</v>
      </c>
      <c r="C313" s="3">
        <v>420</v>
      </c>
    </row>
    <row r="314" spans="1:3">
      <c r="A314" s="3">
        <v>362</v>
      </c>
      <c r="B314" s="3">
        <v>14</v>
      </c>
      <c r="C314" s="3">
        <v>420</v>
      </c>
    </row>
    <row r="315" spans="1:3">
      <c r="A315" s="3">
        <v>363</v>
      </c>
      <c r="B315" s="3">
        <v>14</v>
      </c>
      <c r="C315" s="3">
        <v>420</v>
      </c>
    </row>
    <row r="316" spans="1:3">
      <c r="A316" s="3">
        <v>364</v>
      </c>
      <c r="B316" s="3">
        <v>14</v>
      </c>
      <c r="C316" s="3">
        <v>420</v>
      </c>
    </row>
    <row r="317" spans="1:3">
      <c r="A317" s="3">
        <v>365</v>
      </c>
      <c r="B317" s="3">
        <v>14</v>
      </c>
      <c r="C317" s="3">
        <v>420</v>
      </c>
    </row>
    <row r="318" spans="1:3">
      <c r="A318" s="3">
        <v>366</v>
      </c>
      <c r="B318" s="3">
        <v>14</v>
      </c>
      <c r="C318" s="3">
        <v>420</v>
      </c>
    </row>
    <row r="319" spans="1:3">
      <c r="A319" s="3">
        <v>367</v>
      </c>
      <c r="B319" s="3">
        <v>14</v>
      </c>
      <c r="C319" s="3">
        <v>420</v>
      </c>
    </row>
    <row r="320" spans="1:3">
      <c r="A320" s="3">
        <v>368</v>
      </c>
      <c r="B320" s="3">
        <v>14</v>
      </c>
      <c r="C320" s="3">
        <v>420</v>
      </c>
    </row>
    <row r="321" spans="1:3">
      <c r="A321" s="3">
        <v>369</v>
      </c>
      <c r="B321" s="3">
        <v>14</v>
      </c>
      <c r="C321" s="3">
        <v>420</v>
      </c>
    </row>
    <row r="322" spans="1:3">
      <c r="A322" s="3">
        <v>370</v>
      </c>
      <c r="B322" s="3">
        <v>14</v>
      </c>
      <c r="C322" s="3">
        <v>420</v>
      </c>
    </row>
    <row r="323" spans="1:3">
      <c r="A323" s="3">
        <v>371</v>
      </c>
      <c r="B323" s="3">
        <v>14</v>
      </c>
      <c r="C323" s="3">
        <v>420</v>
      </c>
    </row>
    <row r="324" spans="1:3">
      <c r="A324" s="3">
        <v>372</v>
      </c>
      <c r="B324" s="3">
        <v>14</v>
      </c>
      <c r="C324" s="3">
        <v>420</v>
      </c>
    </row>
    <row r="325" spans="1:3">
      <c r="A325" s="3">
        <v>373</v>
      </c>
      <c r="B325" s="3">
        <v>14</v>
      </c>
      <c r="C325" s="3">
        <v>420</v>
      </c>
    </row>
    <row r="326" spans="1:3">
      <c r="A326" s="3">
        <v>374</v>
      </c>
      <c r="B326" s="3">
        <v>14</v>
      </c>
      <c r="C326" s="3">
        <v>420</v>
      </c>
    </row>
    <row r="327" spans="1:3">
      <c r="A327" s="3">
        <v>375</v>
      </c>
      <c r="B327" s="3">
        <v>14</v>
      </c>
      <c r="C327" s="3">
        <v>420</v>
      </c>
    </row>
    <row r="328" spans="1:3">
      <c r="A328" s="3">
        <v>376</v>
      </c>
      <c r="B328" s="3">
        <v>14</v>
      </c>
      <c r="C328" s="3">
        <v>420</v>
      </c>
    </row>
    <row r="329" spans="1:3">
      <c r="A329" s="3">
        <v>377</v>
      </c>
      <c r="B329" s="3">
        <v>14</v>
      </c>
      <c r="C329" s="3">
        <v>420</v>
      </c>
    </row>
    <row r="330" spans="1:3">
      <c r="A330" s="3">
        <v>378</v>
      </c>
      <c r="B330" s="3">
        <v>14</v>
      </c>
      <c r="C330" s="3">
        <v>420</v>
      </c>
    </row>
    <row r="331" spans="1:3">
      <c r="A331" s="3">
        <v>379</v>
      </c>
      <c r="B331" s="3">
        <v>14</v>
      </c>
      <c r="C331" s="3">
        <v>420</v>
      </c>
    </row>
    <row r="332" spans="1:3">
      <c r="A332" s="3">
        <v>380</v>
      </c>
      <c r="B332" s="3">
        <v>14</v>
      </c>
      <c r="C332" s="3">
        <v>420</v>
      </c>
    </row>
    <row r="333" spans="1:3">
      <c r="A333" s="3">
        <v>381</v>
      </c>
      <c r="B333" s="3">
        <v>14</v>
      </c>
      <c r="C333" s="3">
        <v>420</v>
      </c>
    </row>
    <row r="334" spans="1:3">
      <c r="A334" s="3">
        <v>382</v>
      </c>
      <c r="B334" s="3">
        <v>14</v>
      </c>
      <c r="C334" s="3">
        <v>420</v>
      </c>
    </row>
    <row r="335" spans="1:3">
      <c r="A335" s="3">
        <v>383</v>
      </c>
      <c r="B335" s="3">
        <v>14</v>
      </c>
      <c r="C335" s="3">
        <v>420</v>
      </c>
    </row>
    <row r="336" spans="1:3">
      <c r="A336" s="3">
        <v>384</v>
      </c>
      <c r="B336" s="3">
        <v>14</v>
      </c>
      <c r="C336" s="3">
        <v>420</v>
      </c>
    </row>
    <row r="337" spans="1:3">
      <c r="A337" s="3">
        <v>385</v>
      </c>
      <c r="B337" s="3">
        <v>14</v>
      </c>
      <c r="C337" s="3">
        <v>420</v>
      </c>
    </row>
    <row r="338" spans="1:3">
      <c r="A338" s="3">
        <v>386</v>
      </c>
      <c r="B338" s="3">
        <v>14</v>
      </c>
      <c r="C338" s="3">
        <v>420</v>
      </c>
    </row>
    <row r="339" spans="1:3">
      <c r="A339" s="3">
        <v>387</v>
      </c>
      <c r="B339" s="3">
        <v>14</v>
      </c>
      <c r="C339" s="3">
        <v>420</v>
      </c>
    </row>
    <row r="340" spans="1:3">
      <c r="A340" s="3">
        <v>388</v>
      </c>
      <c r="B340" s="3">
        <v>14</v>
      </c>
      <c r="C340" s="3">
        <v>420</v>
      </c>
    </row>
    <row r="341" spans="1:3">
      <c r="A341" s="3">
        <v>389</v>
      </c>
      <c r="B341" s="3">
        <v>14</v>
      </c>
      <c r="C341" s="3">
        <v>420</v>
      </c>
    </row>
    <row r="342" spans="1:3">
      <c r="A342" s="3">
        <v>390</v>
      </c>
      <c r="B342" s="3">
        <v>14</v>
      </c>
      <c r="C342" s="3">
        <v>420</v>
      </c>
    </row>
    <row r="343" spans="1:3">
      <c r="A343" s="3">
        <v>391</v>
      </c>
      <c r="B343" s="3">
        <v>14</v>
      </c>
      <c r="C343" s="3">
        <v>420</v>
      </c>
    </row>
    <row r="344" spans="1:3">
      <c r="A344" s="3">
        <v>392</v>
      </c>
      <c r="B344" s="3">
        <v>14</v>
      </c>
      <c r="C344" s="3">
        <v>420</v>
      </c>
    </row>
    <row r="345" spans="1:3">
      <c r="A345" s="3">
        <v>393</v>
      </c>
      <c r="B345" s="3">
        <v>14</v>
      </c>
      <c r="C345" s="3">
        <v>420</v>
      </c>
    </row>
    <row r="346" spans="1:3">
      <c r="A346" s="3">
        <v>394</v>
      </c>
      <c r="B346" s="3">
        <v>14</v>
      </c>
      <c r="C346" s="3">
        <v>420</v>
      </c>
    </row>
    <row r="347" spans="1:3">
      <c r="A347" s="3">
        <v>395</v>
      </c>
      <c r="B347" s="3">
        <v>14</v>
      </c>
      <c r="C347" s="3">
        <v>420</v>
      </c>
    </row>
    <row r="348" spans="1:3">
      <c r="A348" s="3">
        <v>396</v>
      </c>
      <c r="B348" s="3">
        <v>14</v>
      </c>
      <c r="C348" s="3">
        <v>420</v>
      </c>
    </row>
    <row r="349" spans="1:3">
      <c r="A349" s="3">
        <v>397</v>
      </c>
      <c r="B349" s="3">
        <v>14</v>
      </c>
      <c r="C349" s="3">
        <v>420</v>
      </c>
    </row>
    <row r="350" spans="1:3">
      <c r="A350" s="3">
        <v>398</v>
      </c>
      <c r="B350" s="3">
        <v>14</v>
      </c>
      <c r="C350" s="3">
        <v>420</v>
      </c>
    </row>
    <row r="351" spans="1:3">
      <c r="A351" s="3">
        <v>399</v>
      </c>
      <c r="B351" s="3">
        <v>14</v>
      </c>
      <c r="C351" s="3">
        <v>420</v>
      </c>
    </row>
    <row r="352" spans="1:3">
      <c r="A352" s="3">
        <v>400</v>
      </c>
      <c r="B352" s="3">
        <v>14</v>
      </c>
      <c r="C352" s="3">
        <v>420</v>
      </c>
    </row>
    <row r="353" spans="1:3">
      <c r="A353" s="3">
        <v>401</v>
      </c>
      <c r="B353" s="3">
        <v>14</v>
      </c>
      <c r="C353" s="3">
        <v>420</v>
      </c>
    </row>
    <row r="354" spans="1:3">
      <c r="A354" s="3">
        <v>402</v>
      </c>
      <c r="B354" s="3">
        <v>14</v>
      </c>
      <c r="C354" s="3">
        <v>420</v>
      </c>
    </row>
    <row r="355" spans="1:3">
      <c r="A355" s="3">
        <v>403</v>
      </c>
      <c r="B355" s="3">
        <v>14</v>
      </c>
      <c r="C355" s="3">
        <v>420</v>
      </c>
    </row>
    <row r="356" spans="1:3">
      <c r="A356" s="3">
        <v>404</v>
      </c>
      <c r="B356" s="3">
        <v>14</v>
      </c>
      <c r="C356" s="3">
        <v>420</v>
      </c>
    </row>
    <row r="357" spans="1:3">
      <c r="A357" s="3">
        <v>405</v>
      </c>
      <c r="B357" s="3">
        <v>14</v>
      </c>
      <c r="C357" s="3">
        <v>420</v>
      </c>
    </row>
    <row r="358" spans="1:3">
      <c r="A358" s="3">
        <v>406</v>
      </c>
      <c r="B358" s="3">
        <v>14</v>
      </c>
      <c r="C358" s="3">
        <v>420</v>
      </c>
    </row>
    <row r="359" spans="1:3">
      <c r="A359" s="3">
        <v>407</v>
      </c>
      <c r="B359" s="3">
        <v>14</v>
      </c>
      <c r="C359" s="3">
        <v>420</v>
      </c>
    </row>
    <row r="360" spans="1:3">
      <c r="A360" s="3">
        <v>408</v>
      </c>
      <c r="B360" s="3">
        <v>14</v>
      </c>
      <c r="C360" s="3">
        <v>420</v>
      </c>
    </row>
    <row r="361" spans="1:3">
      <c r="A361" s="3">
        <v>409</v>
      </c>
      <c r="B361" s="3">
        <v>14</v>
      </c>
      <c r="C361" s="3">
        <v>420</v>
      </c>
    </row>
    <row r="362" spans="1:3">
      <c r="A362" s="3">
        <v>410</v>
      </c>
      <c r="B362" s="3">
        <v>14</v>
      </c>
      <c r="C362" s="3">
        <v>420</v>
      </c>
    </row>
    <row r="363" spans="1:3">
      <c r="A363" s="3">
        <v>411</v>
      </c>
      <c r="B363" s="3">
        <v>14</v>
      </c>
      <c r="C363" s="3">
        <v>420</v>
      </c>
    </row>
    <row r="364" spans="1:3">
      <c r="A364" s="3">
        <v>412</v>
      </c>
      <c r="B364" s="3">
        <v>14</v>
      </c>
      <c r="C364" s="3">
        <v>420</v>
      </c>
    </row>
    <row r="365" spans="1:3">
      <c r="A365" s="3">
        <v>413</v>
      </c>
      <c r="B365" s="3">
        <v>14</v>
      </c>
      <c r="C365" s="3">
        <v>420</v>
      </c>
    </row>
    <row r="366" spans="1:3">
      <c r="A366" s="3">
        <v>414</v>
      </c>
      <c r="B366" s="3">
        <v>14</v>
      </c>
      <c r="C366" s="3">
        <v>420</v>
      </c>
    </row>
    <row r="367" spans="1:3">
      <c r="A367" s="3">
        <v>415</v>
      </c>
      <c r="B367" s="3">
        <v>14</v>
      </c>
      <c r="C367" s="3">
        <v>420</v>
      </c>
    </row>
    <row r="368" spans="1:3">
      <c r="A368" s="3">
        <v>416</v>
      </c>
      <c r="B368" s="3">
        <v>14</v>
      </c>
      <c r="C368" s="3">
        <v>420</v>
      </c>
    </row>
    <row r="369" spans="1:3">
      <c r="A369" s="3">
        <v>417</v>
      </c>
      <c r="B369" s="3">
        <v>14</v>
      </c>
      <c r="C369" s="3">
        <v>420</v>
      </c>
    </row>
    <row r="370" spans="1:3">
      <c r="A370" s="3">
        <v>418</v>
      </c>
      <c r="B370" s="3">
        <v>14</v>
      </c>
      <c r="C370" s="3">
        <v>420</v>
      </c>
    </row>
    <row r="371" spans="1:3">
      <c r="A371" s="3">
        <v>419</v>
      </c>
      <c r="B371" s="3">
        <v>14</v>
      </c>
      <c r="C371" s="3">
        <v>420</v>
      </c>
    </row>
    <row r="372" spans="1:3">
      <c r="A372" s="3">
        <v>420</v>
      </c>
      <c r="B372" s="3">
        <v>14</v>
      </c>
      <c r="C372" s="3">
        <v>420</v>
      </c>
    </row>
    <row r="373" spans="1:3">
      <c r="A373" s="3">
        <v>421</v>
      </c>
      <c r="B373" s="3">
        <v>15</v>
      </c>
      <c r="C373" s="3">
        <v>434</v>
      </c>
    </row>
    <row r="374" spans="1:3">
      <c r="A374" s="3">
        <v>422</v>
      </c>
      <c r="B374" s="3">
        <v>15</v>
      </c>
      <c r="C374" s="3">
        <v>434</v>
      </c>
    </row>
    <row r="375" spans="1:3">
      <c r="A375" s="3">
        <v>423</v>
      </c>
      <c r="B375" s="3">
        <v>15</v>
      </c>
      <c r="C375" s="3">
        <v>434</v>
      </c>
    </row>
    <row r="376" spans="1:3">
      <c r="A376" s="3">
        <v>424</v>
      </c>
      <c r="B376" s="3">
        <v>15</v>
      </c>
      <c r="C376" s="3">
        <v>434</v>
      </c>
    </row>
    <row r="377" spans="1:3">
      <c r="A377" s="3">
        <v>425</v>
      </c>
      <c r="B377" s="3">
        <v>15</v>
      </c>
      <c r="C377" s="3">
        <v>434</v>
      </c>
    </row>
    <row r="378" spans="1:3">
      <c r="A378" s="3">
        <v>426</v>
      </c>
      <c r="B378" s="3">
        <v>15</v>
      </c>
      <c r="C378" s="3">
        <v>434</v>
      </c>
    </row>
    <row r="379" spans="1:3">
      <c r="A379" s="3">
        <v>427</v>
      </c>
      <c r="B379" s="3">
        <v>15</v>
      </c>
      <c r="C379" s="3">
        <v>434</v>
      </c>
    </row>
    <row r="380" spans="1:3">
      <c r="A380" s="3">
        <v>428</v>
      </c>
      <c r="B380" s="3">
        <v>15</v>
      </c>
      <c r="C380" s="3">
        <v>434</v>
      </c>
    </row>
    <row r="381" spans="1:3">
      <c r="A381" s="3">
        <v>429</v>
      </c>
      <c r="B381" s="3">
        <v>15</v>
      </c>
      <c r="C381" s="3">
        <v>434</v>
      </c>
    </row>
    <row r="382" spans="1:3">
      <c r="A382" s="3">
        <v>430</v>
      </c>
      <c r="B382" s="3">
        <v>15</v>
      </c>
      <c r="C382" s="3">
        <v>434</v>
      </c>
    </row>
    <row r="383" spans="1:3">
      <c r="A383" s="3">
        <v>431</v>
      </c>
      <c r="B383" s="3">
        <v>15</v>
      </c>
      <c r="C383" s="3">
        <v>434</v>
      </c>
    </row>
    <row r="384" spans="1:3">
      <c r="A384" s="3">
        <v>432</v>
      </c>
      <c r="B384" s="3">
        <v>15</v>
      </c>
      <c r="C384" s="3">
        <v>434</v>
      </c>
    </row>
    <row r="385" spans="1:3">
      <c r="A385" s="3">
        <v>433</v>
      </c>
      <c r="B385" s="3">
        <v>15</v>
      </c>
      <c r="C385" s="3">
        <v>434</v>
      </c>
    </row>
    <row r="386" spans="1:3">
      <c r="A386" s="3">
        <v>434</v>
      </c>
      <c r="B386" s="3">
        <v>15</v>
      </c>
      <c r="C386" s="3">
        <v>434</v>
      </c>
    </row>
    <row r="387" spans="1:3">
      <c r="A387" s="3">
        <v>435</v>
      </c>
      <c r="B387" s="3">
        <v>16</v>
      </c>
      <c r="C387" s="3">
        <v>462</v>
      </c>
    </row>
    <row r="388" spans="1:3">
      <c r="A388" s="3">
        <v>436</v>
      </c>
      <c r="B388" s="3">
        <v>16</v>
      </c>
      <c r="C388" s="3">
        <v>462</v>
      </c>
    </row>
    <row r="389" spans="1:3">
      <c r="A389" s="3">
        <v>437</v>
      </c>
      <c r="B389" s="3">
        <v>16</v>
      </c>
      <c r="C389" s="3">
        <v>462</v>
      </c>
    </row>
    <row r="390" spans="1:3">
      <c r="A390" s="3">
        <v>438</v>
      </c>
      <c r="B390" s="3">
        <v>16</v>
      </c>
      <c r="C390" s="3">
        <v>462</v>
      </c>
    </row>
    <row r="391" spans="1:3">
      <c r="A391" s="3">
        <v>439</v>
      </c>
      <c r="B391" s="3">
        <v>16</v>
      </c>
      <c r="C391" s="3">
        <v>462</v>
      </c>
    </row>
    <row r="392" spans="1:3">
      <c r="A392" s="3">
        <v>440</v>
      </c>
      <c r="B392" s="3">
        <v>16</v>
      </c>
      <c r="C392" s="3">
        <v>462</v>
      </c>
    </row>
    <row r="393" spans="1:3">
      <c r="A393" s="3">
        <v>441</v>
      </c>
      <c r="B393" s="3">
        <v>16</v>
      </c>
      <c r="C393" s="3">
        <v>462</v>
      </c>
    </row>
    <row r="394" spans="1:3">
      <c r="A394" s="3">
        <v>442</v>
      </c>
      <c r="B394" s="3">
        <v>16</v>
      </c>
      <c r="C394" s="3">
        <v>462</v>
      </c>
    </row>
    <row r="395" spans="1:3">
      <c r="A395" s="3">
        <v>443</v>
      </c>
      <c r="B395" s="3">
        <v>16</v>
      </c>
      <c r="C395" s="3">
        <v>462</v>
      </c>
    </row>
    <row r="396" spans="1:3">
      <c r="A396" s="3">
        <v>444</v>
      </c>
      <c r="B396" s="3">
        <v>16</v>
      </c>
      <c r="C396" s="3">
        <v>462</v>
      </c>
    </row>
    <row r="397" spans="1:3">
      <c r="A397" s="3">
        <v>445</v>
      </c>
      <c r="B397" s="3">
        <v>16</v>
      </c>
      <c r="C397" s="3">
        <v>462</v>
      </c>
    </row>
    <row r="398" spans="1:3">
      <c r="A398" s="3">
        <v>446</v>
      </c>
      <c r="B398" s="3">
        <v>16</v>
      </c>
      <c r="C398" s="3">
        <v>462</v>
      </c>
    </row>
    <row r="399" spans="1:3">
      <c r="A399" s="3">
        <v>447</v>
      </c>
      <c r="B399" s="3">
        <v>16</v>
      </c>
      <c r="C399" s="3">
        <v>462</v>
      </c>
    </row>
    <row r="400" spans="1:3">
      <c r="A400" s="3">
        <v>448</v>
      </c>
      <c r="B400" s="3">
        <v>16</v>
      </c>
      <c r="C400" s="3">
        <v>462</v>
      </c>
    </row>
    <row r="401" spans="1:3">
      <c r="A401" s="3">
        <v>449</v>
      </c>
      <c r="B401" s="3">
        <v>16</v>
      </c>
      <c r="C401" s="3">
        <v>462</v>
      </c>
    </row>
    <row r="402" spans="1:3">
      <c r="A402" s="3">
        <v>450</v>
      </c>
      <c r="B402" s="3">
        <v>16</v>
      </c>
      <c r="C402" s="3">
        <v>462</v>
      </c>
    </row>
    <row r="403" spans="1:3">
      <c r="A403" s="3">
        <v>451</v>
      </c>
      <c r="B403" s="3">
        <v>16</v>
      </c>
      <c r="C403" s="3">
        <v>462</v>
      </c>
    </row>
    <row r="404" spans="1:3">
      <c r="A404" s="3">
        <v>452</v>
      </c>
      <c r="B404" s="3">
        <v>16</v>
      </c>
      <c r="C404" s="3">
        <v>462</v>
      </c>
    </row>
    <row r="405" spans="1:3">
      <c r="A405" s="3">
        <v>453</v>
      </c>
      <c r="B405" s="3">
        <v>16</v>
      </c>
      <c r="C405" s="3">
        <v>462</v>
      </c>
    </row>
    <row r="406" spans="1:3">
      <c r="A406" s="3">
        <v>454</v>
      </c>
      <c r="B406" s="3">
        <v>16</v>
      </c>
      <c r="C406" s="3">
        <v>462</v>
      </c>
    </row>
    <row r="407" spans="1:3">
      <c r="A407" s="3">
        <v>455</v>
      </c>
      <c r="B407" s="3">
        <v>16</v>
      </c>
      <c r="C407" s="3">
        <v>462</v>
      </c>
    </row>
    <row r="408" spans="1:3">
      <c r="A408" s="3">
        <v>456</v>
      </c>
      <c r="B408" s="3">
        <v>16</v>
      </c>
      <c r="C408" s="3">
        <v>462</v>
      </c>
    </row>
    <row r="409" spans="1:3">
      <c r="A409" s="3">
        <v>457</v>
      </c>
      <c r="B409" s="3">
        <v>16</v>
      </c>
      <c r="C409" s="3">
        <v>462</v>
      </c>
    </row>
    <row r="410" spans="1:3">
      <c r="A410" s="3">
        <v>458</v>
      </c>
      <c r="B410" s="3">
        <v>16</v>
      </c>
      <c r="C410" s="3">
        <v>462</v>
      </c>
    </row>
    <row r="411" spans="1:3">
      <c r="A411" s="3">
        <v>459</v>
      </c>
      <c r="B411" s="3">
        <v>16</v>
      </c>
      <c r="C411" s="3">
        <v>462</v>
      </c>
    </row>
    <row r="412" spans="1:3">
      <c r="A412" s="3">
        <v>460</v>
      </c>
      <c r="B412" s="3">
        <v>16</v>
      </c>
      <c r="C412" s="3">
        <v>462</v>
      </c>
    </row>
    <row r="413" spans="1:3">
      <c r="A413" s="3">
        <v>461</v>
      </c>
      <c r="B413" s="3">
        <v>16</v>
      </c>
      <c r="C413" s="3">
        <v>462</v>
      </c>
    </row>
    <row r="414" spans="1:3">
      <c r="A414" s="3">
        <v>462</v>
      </c>
      <c r="B414" s="3">
        <v>16</v>
      </c>
      <c r="C414" s="3">
        <v>462</v>
      </c>
    </row>
    <row r="415" spans="1:3">
      <c r="A415" s="3">
        <v>463</v>
      </c>
      <c r="B415" s="3">
        <v>17</v>
      </c>
      <c r="C415" s="3">
        <v>476</v>
      </c>
    </row>
    <row r="416" spans="1:3">
      <c r="A416" s="3">
        <v>464</v>
      </c>
      <c r="B416" s="3">
        <v>17</v>
      </c>
      <c r="C416" s="3">
        <v>476</v>
      </c>
    </row>
    <row r="417" spans="1:3">
      <c r="A417" s="3">
        <v>465</v>
      </c>
      <c r="B417" s="3">
        <v>17</v>
      </c>
      <c r="C417" s="3">
        <v>476</v>
      </c>
    </row>
    <row r="418" spans="1:3">
      <c r="A418" s="3">
        <v>466</v>
      </c>
      <c r="B418" s="3">
        <v>17</v>
      </c>
      <c r="C418" s="3">
        <v>476</v>
      </c>
    </row>
    <row r="419" spans="1:3">
      <c r="A419" s="3">
        <v>467</v>
      </c>
      <c r="B419" s="3">
        <v>17</v>
      </c>
      <c r="C419" s="3">
        <v>476</v>
      </c>
    </row>
    <row r="420" spans="1:3">
      <c r="A420" s="3">
        <v>468</v>
      </c>
      <c r="B420" s="3">
        <v>17</v>
      </c>
      <c r="C420" s="3">
        <v>476</v>
      </c>
    </row>
    <row r="421" spans="1:3">
      <c r="A421" s="3">
        <v>469</v>
      </c>
      <c r="B421" s="3">
        <v>17</v>
      </c>
      <c r="C421" s="3">
        <v>476</v>
      </c>
    </row>
    <row r="422" spans="1:3">
      <c r="A422" s="3">
        <v>470</v>
      </c>
      <c r="B422" s="3">
        <v>17</v>
      </c>
      <c r="C422" s="3">
        <v>476</v>
      </c>
    </row>
    <row r="423" spans="1:3">
      <c r="A423" s="3">
        <v>471</v>
      </c>
      <c r="B423" s="3">
        <v>17</v>
      </c>
      <c r="C423" s="3">
        <v>476</v>
      </c>
    </row>
    <row r="424" spans="1:3">
      <c r="A424" s="3">
        <v>472</v>
      </c>
      <c r="B424" s="3">
        <v>17</v>
      </c>
      <c r="C424" s="3">
        <v>476</v>
      </c>
    </row>
    <row r="425" spans="1:3">
      <c r="A425" s="3">
        <v>473</v>
      </c>
      <c r="B425" s="3">
        <v>17</v>
      </c>
      <c r="C425" s="3">
        <v>476</v>
      </c>
    </row>
    <row r="426" spans="1:3">
      <c r="A426" s="3">
        <v>474</v>
      </c>
      <c r="B426" s="3">
        <v>17</v>
      </c>
      <c r="C426" s="3">
        <v>476</v>
      </c>
    </row>
    <row r="427" spans="1:3">
      <c r="A427" s="3">
        <v>475</v>
      </c>
      <c r="B427" s="3">
        <v>17</v>
      </c>
      <c r="C427" s="3">
        <v>476</v>
      </c>
    </row>
    <row r="428" spans="1:3">
      <c r="A428" s="3">
        <v>476</v>
      </c>
      <c r="B428" s="3">
        <v>17</v>
      </c>
      <c r="C428" s="3">
        <v>476</v>
      </c>
    </row>
    <row r="429" spans="1:3">
      <c r="A429" s="3">
        <v>477</v>
      </c>
      <c r="B429" s="3">
        <v>18</v>
      </c>
      <c r="C429" s="3">
        <v>504</v>
      </c>
    </row>
    <row r="430" spans="1:3">
      <c r="A430" s="3">
        <v>478</v>
      </c>
      <c r="B430" s="3">
        <v>18</v>
      </c>
      <c r="C430" s="3">
        <v>504</v>
      </c>
    </row>
    <row r="431" spans="1:3">
      <c r="A431" s="3">
        <v>479</v>
      </c>
      <c r="B431" s="3">
        <v>18</v>
      </c>
      <c r="C431" s="3">
        <v>504</v>
      </c>
    </row>
    <row r="432" spans="1:3">
      <c r="A432" s="3">
        <v>480</v>
      </c>
      <c r="B432" s="3">
        <v>18</v>
      </c>
      <c r="C432" s="3">
        <v>504</v>
      </c>
    </row>
    <row r="433" spans="1:3">
      <c r="A433" s="3">
        <v>481</v>
      </c>
      <c r="B433" s="3">
        <v>18</v>
      </c>
      <c r="C433" s="3">
        <v>504</v>
      </c>
    </row>
    <row r="434" spans="1:3">
      <c r="A434" s="3">
        <v>482</v>
      </c>
      <c r="B434" s="3">
        <v>18</v>
      </c>
      <c r="C434" s="3">
        <v>504</v>
      </c>
    </row>
    <row r="435" spans="1:3">
      <c r="A435" s="3">
        <v>483</v>
      </c>
      <c r="B435" s="3">
        <v>18</v>
      </c>
      <c r="C435" s="3">
        <v>504</v>
      </c>
    </row>
    <row r="436" spans="1:3">
      <c r="A436" s="3">
        <v>484</v>
      </c>
      <c r="B436" s="3">
        <v>18</v>
      </c>
      <c r="C436" s="3">
        <v>504</v>
      </c>
    </row>
    <row r="437" spans="1:3">
      <c r="A437" s="3">
        <v>485</v>
      </c>
      <c r="B437" s="3">
        <v>18</v>
      </c>
      <c r="C437" s="3">
        <v>504</v>
      </c>
    </row>
    <row r="438" spans="1:3">
      <c r="A438" s="3">
        <v>486</v>
      </c>
      <c r="B438" s="3">
        <v>18</v>
      </c>
      <c r="C438" s="3">
        <v>504</v>
      </c>
    </row>
    <row r="439" spans="1:3">
      <c r="A439" s="3">
        <v>487</v>
      </c>
      <c r="B439" s="3">
        <v>18</v>
      </c>
      <c r="C439" s="3">
        <v>504</v>
      </c>
    </row>
    <row r="440" spans="1:3">
      <c r="A440" s="3">
        <v>488</v>
      </c>
      <c r="B440" s="3">
        <v>18</v>
      </c>
      <c r="C440" s="3">
        <v>504</v>
      </c>
    </row>
    <row r="441" spans="1:3">
      <c r="A441" s="3">
        <v>489</v>
      </c>
      <c r="B441" s="3">
        <v>18</v>
      </c>
      <c r="C441" s="3">
        <v>504</v>
      </c>
    </row>
    <row r="442" spans="1:3">
      <c r="A442" s="3">
        <v>490</v>
      </c>
      <c r="B442" s="3">
        <v>18</v>
      </c>
      <c r="C442" s="3">
        <v>504</v>
      </c>
    </row>
    <row r="443" spans="1:3">
      <c r="A443" s="3">
        <v>491</v>
      </c>
      <c r="B443" s="3">
        <v>18</v>
      </c>
      <c r="C443" s="3">
        <v>504</v>
      </c>
    </row>
    <row r="444" spans="1:3">
      <c r="A444" s="3">
        <v>492</v>
      </c>
      <c r="B444" s="3">
        <v>18</v>
      </c>
      <c r="C444" s="3">
        <v>504</v>
      </c>
    </row>
    <row r="445" spans="1:3">
      <c r="A445" s="3">
        <v>493</v>
      </c>
      <c r="B445" s="3">
        <v>18</v>
      </c>
      <c r="C445" s="3">
        <v>504</v>
      </c>
    </row>
    <row r="446" spans="1:3">
      <c r="A446" s="3">
        <v>494</v>
      </c>
      <c r="B446" s="3">
        <v>18</v>
      </c>
      <c r="C446" s="3">
        <v>504</v>
      </c>
    </row>
    <row r="447" spans="1:3">
      <c r="A447" s="3">
        <v>495</v>
      </c>
      <c r="B447" s="3">
        <v>18</v>
      </c>
      <c r="C447" s="3">
        <v>504</v>
      </c>
    </row>
    <row r="448" spans="1:3">
      <c r="A448" s="3">
        <v>496</v>
      </c>
      <c r="B448" s="3">
        <v>18</v>
      </c>
      <c r="C448" s="3">
        <v>504</v>
      </c>
    </row>
    <row r="449" spans="1:3">
      <c r="A449" s="3">
        <v>497</v>
      </c>
      <c r="B449" s="3">
        <v>18</v>
      </c>
      <c r="C449" s="3">
        <v>504</v>
      </c>
    </row>
    <row r="450" spans="1:3">
      <c r="A450" s="3">
        <v>498</v>
      </c>
      <c r="B450" s="3">
        <v>18</v>
      </c>
      <c r="C450" s="3">
        <v>504</v>
      </c>
    </row>
    <row r="451" spans="1:3">
      <c r="A451" s="3">
        <v>499</v>
      </c>
      <c r="B451" s="3">
        <v>18</v>
      </c>
      <c r="C451" s="3">
        <v>504</v>
      </c>
    </row>
    <row r="452" spans="1:3">
      <c r="A452" s="3">
        <v>500</v>
      </c>
      <c r="B452" s="3">
        <v>18</v>
      </c>
      <c r="C452" s="3">
        <v>504</v>
      </c>
    </row>
    <row r="453" spans="1:3">
      <c r="A453" s="3">
        <v>501</v>
      </c>
      <c r="B453" s="3">
        <v>18</v>
      </c>
      <c r="C453" s="3">
        <v>504</v>
      </c>
    </row>
    <row r="454" spans="1:3">
      <c r="A454" s="3">
        <v>502</v>
      </c>
      <c r="B454" s="3">
        <v>18</v>
      </c>
      <c r="C454" s="3">
        <v>504</v>
      </c>
    </row>
    <row r="455" spans="1:3">
      <c r="A455" s="3">
        <v>503</v>
      </c>
      <c r="B455" s="3">
        <v>18</v>
      </c>
      <c r="C455" s="3">
        <v>504</v>
      </c>
    </row>
    <row r="456" spans="1:3">
      <c r="A456" s="3">
        <v>504</v>
      </c>
      <c r="B456" s="3">
        <v>18</v>
      </c>
      <c r="C456" s="3">
        <v>504</v>
      </c>
    </row>
    <row r="457" spans="1:3">
      <c r="A457" s="3">
        <v>505</v>
      </c>
      <c r="B457" s="3">
        <v>19</v>
      </c>
      <c r="C457" s="3">
        <v>546</v>
      </c>
    </row>
    <row r="458" spans="1:3">
      <c r="A458" s="3">
        <v>506</v>
      </c>
      <c r="B458" s="3">
        <v>19</v>
      </c>
      <c r="C458" s="3">
        <v>546</v>
      </c>
    </row>
    <row r="459" spans="1:3">
      <c r="A459" s="3">
        <v>507</v>
      </c>
      <c r="B459" s="3">
        <v>19</v>
      </c>
      <c r="C459" s="3">
        <v>546</v>
      </c>
    </row>
    <row r="460" spans="1:3">
      <c r="A460" s="3">
        <v>508</v>
      </c>
      <c r="B460" s="3">
        <v>19</v>
      </c>
      <c r="C460" s="3">
        <v>546</v>
      </c>
    </row>
    <row r="461" spans="1:3">
      <c r="A461" s="3">
        <v>509</v>
      </c>
      <c r="B461" s="3">
        <v>19</v>
      </c>
      <c r="C461" s="3">
        <v>546</v>
      </c>
    </row>
    <row r="462" spans="1:3">
      <c r="A462" s="3">
        <v>510</v>
      </c>
      <c r="B462" s="3">
        <v>19</v>
      </c>
      <c r="C462" s="3">
        <v>546</v>
      </c>
    </row>
    <row r="463" spans="1:3">
      <c r="A463" s="3">
        <v>511</v>
      </c>
      <c r="B463" s="3">
        <v>19</v>
      </c>
      <c r="C463" s="3">
        <v>546</v>
      </c>
    </row>
    <row r="464" spans="1:3">
      <c r="A464" s="3">
        <v>512</v>
      </c>
      <c r="B464" s="3">
        <v>19</v>
      </c>
      <c r="C464" s="3">
        <v>546</v>
      </c>
    </row>
    <row r="465" spans="1:3">
      <c r="A465" s="3">
        <v>513</v>
      </c>
      <c r="B465" s="3">
        <v>19</v>
      </c>
      <c r="C465" s="3">
        <v>546</v>
      </c>
    </row>
    <row r="466" spans="1:3">
      <c r="A466" s="3">
        <v>514</v>
      </c>
      <c r="B466" s="3">
        <v>19</v>
      </c>
      <c r="C466" s="3">
        <v>546</v>
      </c>
    </row>
    <row r="467" spans="1:3">
      <c r="A467" s="3">
        <v>515</v>
      </c>
      <c r="B467" s="3">
        <v>19</v>
      </c>
      <c r="C467" s="3">
        <v>546</v>
      </c>
    </row>
    <row r="468" spans="1:3">
      <c r="A468" s="3">
        <v>516</v>
      </c>
      <c r="B468" s="3">
        <v>19</v>
      </c>
      <c r="C468" s="3">
        <v>546</v>
      </c>
    </row>
    <row r="469" spans="1:3">
      <c r="A469" s="3">
        <v>517</v>
      </c>
      <c r="B469" s="3">
        <v>19</v>
      </c>
      <c r="C469" s="3">
        <v>546</v>
      </c>
    </row>
    <row r="470" spans="1:3">
      <c r="A470" s="3">
        <v>518</v>
      </c>
      <c r="B470" s="3">
        <v>19</v>
      </c>
      <c r="C470" s="3">
        <v>546</v>
      </c>
    </row>
    <row r="471" spans="1:3">
      <c r="A471" s="3">
        <v>519</v>
      </c>
      <c r="B471" s="3">
        <v>19</v>
      </c>
      <c r="C471" s="3">
        <v>546</v>
      </c>
    </row>
    <row r="472" spans="1:3">
      <c r="A472" s="3">
        <v>520</v>
      </c>
      <c r="B472" s="3">
        <v>19</v>
      </c>
      <c r="C472" s="3">
        <v>546</v>
      </c>
    </row>
    <row r="473" spans="1:3">
      <c r="A473" s="3">
        <v>521</v>
      </c>
      <c r="B473" s="3">
        <v>19</v>
      </c>
      <c r="C473" s="3">
        <v>546</v>
      </c>
    </row>
    <row r="474" spans="1:3">
      <c r="A474" s="3">
        <v>522</v>
      </c>
      <c r="B474" s="3">
        <v>19</v>
      </c>
      <c r="C474" s="3">
        <v>546</v>
      </c>
    </row>
    <row r="475" spans="1:3">
      <c r="A475" s="3">
        <v>523</v>
      </c>
      <c r="B475" s="3">
        <v>19</v>
      </c>
      <c r="C475" s="3">
        <v>546</v>
      </c>
    </row>
    <row r="476" spans="1:3">
      <c r="A476" s="3">
        <v>524</v>
      </c>
      <c r="B476" s="3">
        <v>19</v>
      </c>
      <c r="C476" s="3">
        <v>546</v>
      </c>
    </row>
    <row r="477" spans="1:3">
      <c r="A477" s="3">
        <v>525</v>
      </c>
      <c r="B477" s="3">
        <v>19</v>
      </c>
      <c r="C477" s="3">
        <v>546</v>
      </c>
    </row>
    <row r="478" spans="1:3">
      <c r="A478" s="3">
        <v>526</v>
      </c>
      <c r="B478" s="3">
        <v>19</v>
      </c>
      <c r="C478" s="3">
        <v>546</v>
      </c>
    </row>
    <row r="479" spans="1:3">
      <c r="A479" s="3">
        <v>527</v>
      </c>
      <c r="B479" s="3">
        <v>19</v>
      </c>
      <c r="C479" s="3">
        <v>546</v>
      </c>
    </row>
    <row r="480" spans="1:3">
      <c r="A480" s="3">
        <v>528</v>
      </c>
      <c r="B480" s="3">
        <v>19</v>
      </c>
      <c r="C480" s="3">
        <v>546</v>
      </c>
    </row>
    <row r="481" spans="1:3">
      <c r="A481" s="3">
        <v>529</v>
      </c>
      <c r="B481" s="3">
        <v>19</v>
      </c>
      <c r="C481" s="3">
        <v>546</v>
      </c>
    </row>
    <row r="482" spans="1:3">
      <c r="A482" s="3">
        <v>530</v>
      </c>
      <c r="B482" s="3">
        <v>19</v>
      </c>
      <c r="C482" s="3">
        <v>546</v>
      </c>
    </row>
    <row r="483" spans="1:3">
      <c r="A483" s="3">
        <v>531</v>
      </c>
      <c r="B483" s="3">
        <v>19</v>
      </c>
      <c r="C483" s="3">
        <v>546</v>
      </c>
    </row>
    <row r="484" spans="1:3">
      <c r="A484" s="3">
        <v>532</v>
      </c>
      <c r="B484" s="3">
        <v>19</v>
      </c>
      <c r="C484" s="3">
        <v>546</v>
      </c>
    </row>
    <row r="485" spans="1:3">
      <c r="A485" s="3">
        <v>533</v>
      </c>
      <c r="B485" s="3">
        <v>19</v>
      </c>
      <c r="C485" s="3">
        <v>546</v>
      </c>
    </row>
    <row r="486" spans="1:3">
      <c r="A486" s="3">
        <v>534</v>
      </c>
      <c r="B486" s="3">
        <v>19</v>
      </c>
      <c r="C486" s="3">
        <v>546</v>
      </c>
    </row>
    <row r="487" spans="1:3">
      <c r="A487" s="3">
        <v>535</v>
      </c>
      <c r="B487" s="3">
        <v>19</v>
      </c>
      <c r="C487" s="3">
        <v>546</v>
      </c>
    </row>
    <row r="488" spans="1:3">
      <c r="A488" s="3">
        <v>536</v>
      </c>
      <c r="B488" s="3">
        <v>19</v>
      </c>
      <c r="C488" s="3">
        <v>546</v>
      </c>
    </row>
    <row r="489" spans="1:3">
      <c r="A489" s="3">
        <v>537</v>
      </c>
      <c r="B489" s="3">
        <v>19</v>
      </c>
      <c r="C489" s="3">
        <v>546</v>
      </c>
    </row>
    <row r="490" spans="1:3">
      <c r="A490" s="3">
        <v>538</v>
      </c>
      <c r="B490" s="3">
        <v>19</v>
      </c>
      <c r="C490" s="3">
        <v>546</v>
      </c>
    </row>
    <row r="491" spans="1:3">
      <c r="A491" s="3">
        <v>539</v>
      </c>
      <c r="B491" s="3">
        <v>19</v>
      </c>
      <c r="C491" s="3">
        <v>546</v>
      </c>
    </row>
    <row r="492" spans="1:3">
      <c r="A492" s="3">
        <v>540</v>
      </c>
      <c r="B492" s="3">
        <v>19</v>
      </c>
      <c r="C492" s="3">
        <v>546</v>
      </c>
    </row>
    <row r="493" spans="1:3">
      <c r="A493" s="3">
        <v>541</v>
      </c>
      <c r="B493" s="3">
        <v>19</v>
      </c>
      <c r="C493" s="3">
        <v>546</v>
      </c>
    </row>
    <row r="494" spans="1:3">
      <c r="A494" s="3">
        <v>542</v>
      </c>
      <c r="B494" s="3">
        <v>19</v>
      </c>
      <c r="C494" s="3">
        <v>546</v>
      </c>
    </row>
    <row r="495" spans="1:3">
      <c r="A495" s="3">
        <v>543</v>
      </c>
      <c r="B495" s="3">
        <v>19</v>
      </c>
      <c r="C495" s="3">
        <v>546</v>
      </c>
    </row>
    <row r="496" spans="1:3">
      <c r="A496" s="3">
        <v>544</v>
      </c>
      <c r="B496" s="3">
        <v>19</v>
      </c>
      <c r="C496" s="3">
        <v>546</v>
      </c>
    </row>
    <row r="497" spans="1:3">
      <c r="A497" s="3">
        <v>545</v>
      </c>
      <c r="B497" s="3">
        <v>19</v>
      </c>
      <c r="C497" s="3">
        <v>546</v>
      </c>
    </row>
    <row r="498" spans="1:3">
      <c r="A498" s="3">
        <v>546</v>
      </c>
      <c r="B498" s="3">
        <v>19</v>
      </c>
      <c r="C498" s="3">
        <v>546</v>
      </c>
    </row>
    <row r="499" spans="1:3">
      <c r="A499" s="3">
        <v>547</v>
      </c>
      <c r="B499" s="3">
        <v>20</v>
      </c>
      <c r="C499" s="3">
        <v>560</v>
      </c>
    </row>
    <row r="500" spans="1:3">
      <c r="A500" s="3">
        <v>548</v>
      </c>
      <c r="B500" s="3">
        <v>20</v>
      </c>
      <c r="C500" s="3">
        <v>560</v>
      </c>
    </row>
    <row r="501" spans="1:3">
      <c r="A501" s="3">
        <v>549</v>
      </c>
      <c r="B501" s="3">
        <v>20</v>
      </c>
      <c r="C501" s="3">
        <v>560</v>
      </c>
    </row>
    <row r="502" spans="1:3">
      <c r="A502" s="3">
        <v>550</v>
      </c>
      <c r="B502" s="3">
        <v>20</v>
      </c>
      <c r="C502" s="3">
        <v>560</v>
      </c>
    </row>
    <row r="503" spans="1:3">
      <c r="A503" s="3">
        <v>551</v>
      </c>
      <c r="B503" s="3">
        <v>20</v>
      </c>
      <c r="C503" s="3">
        <v>560</v>
      </c>
    </row>
    <row r="504" spans="1:3">
      <c r="A504" s="3">
        <v>552</v>
      </c>
      <c r="B504" s="3">
        <v>20</v>
      </c>
      <c r="C504" s="3">
        <v>560</v>
      </c>
    </row>
    <row r="505" spans="1:3">
      <c r="A505" s="3">
        <v>553</v>
      </c>
      <c r="B505" s="3">
        <v>20</v>
      </c>
      <c r="C505" s="3">
        <v>560</v>
      </c>
    </row>
    <row r="506" spans="1:3">
      <c r="A506" s="3">
        <v>554</v>
      </c>
      <c r="B506" s="3">
        <v>20</v>
      </c>
      <c r="C506" s="3">
        <v>560</v>
      </c>
    </row>
    <row r="507" spans="1:3">
      <c r="A507" s="3">
        <v>555</v>
      </c>
      <c r="B507" s="3">
        <v>20</v>
      </c>
      <c r="C507" s="3">
        <v>560</v>
      </c>
    </row>
    <row r="508" spans="1:3">
      <c r="A508" s="3">
        <v>556</v>
      </c>
      <c r="B508" s="3">
        <v>20</v>
      </c>
      <c r="C508" s="3">
        <v>560</v>
      </c>
    </row>
    <row r="509" spans="1:3">
      <c r="A509" s="3">
        <v>557</v>
      </c>
      <c r="B509" s="3">
        <v>20</v>
      </c>
      <c r="C509" s="3">
        <v>560</v>
      </c>
    </row>
    <row r="510" spans="1:3">
      <c r="A510" s="3">
        <v>558</v>
      </c>
      <c r="B510" s="3">
        <v>20</v>
      </c>
      <c r="C510" s="3">
        <v>560</v>
      </c>
    </row>
    <row r="511" spans="1:3">
      <c r="A511" s="3">
        <v>559</v>
      </c>
      <c r="B511" s="3">
        <v>20</v>
      </c>
      <c r="C511" s="3">
        <v>560</v>
      </c>
    </row>
    <row r="512" spans="1:3">
      <c r="A512" s="3">
        <v>560</v>
      </c>
      <c r="B512" s="3">
        <v>20</v>
      </c>
      <c r="C512" s="3">
        <v>560</v>
      </c>
    </row>
    <row r="513" spans="1:3">
      <c r="A513" s="3">
        <v>561</v>
      </c>
      <c r="B513" s="3">
        <v>21</v>
      </c>
      <c r="C513" s="3">
        <v>630</v>
      </c>
    </row>
    <row r="514" spans="1:3">
      <c r="A514" s="3">
        <v>562</v>
      </c>
      <c r="B514" s="3">
        <v>21</v>
      </c>
      <c r="C514" s="3">
        <v>630</v>
      </c>
    </row>
    <row r="515" spans="1:3">
      <c r="A515" s="3">
        <v>563</v>
      </c>
      <c r="B515" s="3">
        <v>21</v>
      </c>
      <c r="C515" s="3">
        <v>630</v>
      </c>
    </row>
    <row r="516" spans="1:3">
      <c r="A516" s="3">
        <v>564</v>
      </c>
      <c r="B516" s="3">
        <v>21</v>
      </c>
      <c r="C516" s="3">
        <v>630</v>
      </c>
    </row>
    <row r="517" spans="1:3">
      <c r="A517" s="3">
        <v>565</v>
      </c>
      <c r="B517" s="3">
        <v>21</v>
      </c>
      <c r="C517" s="3">
        <v>630</v>
      </c>
    </row>
    <row r="518" spans="1:3">
      <c r="A518" s="3">
        <v>566</v>
      </c>
      <c r="B518" s="3">
        <v>21</v>
      </c>
      <c r="C518" s="3">
        <v>630</v>
      </c>
    </row>
    <row r="519" spans="1:3">
      <c r="A519" s="3">
        <v>567</v>
      </c>
      <c r="B519" s="3">
        <v>21</v>
      </c>
      <c r="C519" s="3">
        <v>630</v>
      </c>
    </row>
    <row r="520" spans="1:3">
      <c r="A520" s="3">
        <v>568</v>
      </c>
      <c r="B520" s="3">
        <v>21</v>
      </c>
      <c r="C520" s="3">
        <v>630</v>
      </c>
    </row>
    <row r="521" spans="1:3">
      <c r="A521" s="3">
        <v>569</v>
      </c>
      <c r="B521" s="3">
        <v>21</v>
      </c>
      <c r="C521" s="3">
        <v>630</v>
      </c>
    </row>
    <row r="522" spans="1:3">
      <c r="A522" s="3">
        <v>570</v>
      </c>
      <c r="B522" s="3">
        <v>21</v>
      </c>
      <c r="C522" s="3">
        <v>630</v>
      </c>
    </row>
    <row r="523" spans="1:3">
      <c r="A523" s="3">
        <v>571</v>
      </c>
      <c r="B523" s="3">
        <v>21</v>
      </c>
      <c r="C523" s="3">
        <v>630</v>
      </c>
    </row>
    <row r="524" spans="1:3">
      <c r="A524" s="3">
        <v>572</v>
      </c>
      <c r="B524" s="3">
        <v>21</v>
      </c>
      <c r="C524" s="3">
        <v>630</v>
      </c>
    </row>
    <row r="525" spans="1:3">
      <c r="A525" s="3">
        <v>573</v>
      </c>
      <c r="B525" s="3">
        <v>21</v>
      </c>
      <c r="C525" s="3">
        <v>630</v>
      </c>
    </row>
    <row r="526" spans="1:3">
      <c r="A526" s="3">
        <v>574</v>
      </c>
      <c r="B526" s="3">
        <v>21</v>
      </c>
      <c r="C526" s="3">
        <v>630</v>
      </c>
    </row>
    <row r="527" spans="1:3">
      <c r="A527" s="3">
        <v>575</v>
      </c>
      <c r="B527" s="3">
        <v>21</v>
      </c>
      <c r="C527" s="3">
        <v>630</v>
      </c>
    </row>
    <row r="528" spans="1:3">
      <c r="A528" s="3">
        <v>576</v>
      </c>
      <c r="B528" s="3">
        <v>21</v>
      </c>
      <c r="C528" s="3">
        <v>630</v>
      </c>
    </row>
    <row r="529" spans="1:3">
      <c r="A529" s="3">
        <v>577</v>
      </c>
      <c r="B529" s="3">
        <v>21</v>
      </c>
      <c r="C529" s="3">
        <v>630</v>
      </c>
    </row>
    <row r="530" spans="1:3">
      <c r="A530" s="3">
        <v>578</v>
      </c>
      <c r="B530" s="3">
        <v>21</v>
      </c>
      <c r="C530" s="3">
        <v>630</v>
      </c>
    </row>
    <row r="531" spans="1:3">
      <c r="A531" s="3">
        <v>579</v>
      </c>
      <c r="B531" s="3">
        <v>21</v>
      </c>
      <c r="C531" s="3">
        <v>630</v>
      </c>
    </row>
    <row r="532" spans="1:3">
      <c r="A532" s="3">
        <v>580</v>
      </c>
      <c r="B532" s="3">
        <v>21</v>
      </c>
      <c r="C532" s="3">
        <v>630</v>
      </c>
    </row>
    <row r="533" spans="1:3">
      <c r="A533" s="3">
        <v>581</v>
      </c>
      <c r="B533" s="3">
        <v>21</v>
      </c>
      <c r="C533" s="3">
        <v>630</v>
      </c>
    </row>
    <row r="534" spans="1:3">
      <c r="A534" s="3">
        <v>582</v>
      </c>
      <c r="B534" s="3">
        <v>21</v>
      </c>
      <c r="C534" s="3">
        <v>630</v>
      </c>
    </row>
    <row r="535" spans="1:3">
      <c r="A535" s="3">
        <v>583</v>
      </c>
      <c r="B535" s="3">
        <v>21</v>
      </c>
      <c r="C535" s="3">
        <v>630</v>
      </c>
    </row>
    <row r="536" spans="1:3">
      <c r="A536" s="3">
        <v>584</v>
      </c>
      <c r="B536" s="3">
        <v>21</v>
      </c>
      <c r="C536" s="3">
        <v>630</v>
      </c>
    </row>
    <row r="537" spans="1:3">
      <c r="A537" s="3">
        <v>585</v>
      </c>
      <c r="B537" s="3">
        <v>21</v>
      </c>
      <c r="C537" s="3">
        <v>630</v>
      </c>
    </row>
    <row r="538" spans="1:3">
      <c r="A538" s="3">
        <v>586</v>
      </c>
      <c r="B538" s="3">
        <v>21</v>
      </c>
      <c r="C538" s="3">
        <v>630</v>
      </c>
    </row>
    <row r="539" spans="1:3">
      <c r="A539" s="3">
        <v>587</v>
      </c>
      <c r="B539" s="3">
        <v>21</v>
      </c>
      <c r="C539" s="3">
        <v>630</v>
      </c>
    </row>
    <row r="540" spans="1:3">
      <c r="A540" s="3">
        <v>588</v>
      </c>
      <c r="B540" s="3">
        <v>21</v>
      </c>
      <c r="C540" s="3">
        <v>630</v>
      </c>
    </row>
    <row r="541" spans="1:3">
      <c r="A541" s="3">
        <v>589</v>
      </c>
      <c r="B541" s="3">
        <v>21</v>
      </c>
      <c r="C541" s="3">
        <v>630</v>
      </c>
    </row>
    <row r="542" spans="1:3">
      <c r="A542" s="3">
        <v>590</v>
      </c>
      <c r="B542" s="3">
        <v>21</v>
      </c>
      <c r="C542" s="3">
        <v>630</v>
      </c>
    </row>
    <row r="543" spans="1:3">
      <c r="A543" s="3">
        <v>591</v>
      </c>
      <c r="B543" s="3">
        <v>21</v>
      </c>
      <c r="C543" s="3">
        <v>630</v>
      </c>
    </row>
    <row r="544" spans="1:3">
      <c r="A544" s="3">
        <v>592</v>
      </c>
      <c r="B544" s="3">
        <v>21</v>
      </c>
      <c r="C544" s="3">
        <v>630</v>
      </c>
    </row>
    <row r="545" spans="1:3">
      <c r="A545" s="3">
        <v>593</v>
      </c>
      <c r="B545" s="3">
        <v>21</v>
      </c>
      <c r="C545" s="3">
        <v>630</v>
      </c>
    </row>
    <row r="546" spans="1:3">
      <c r="A546" s="3">
        <v>594</v>
      </c>
      <c r="B546" s="3">
        <v>21</v>
      </c>
      <c r="C546" s="3">
        <v>630</v>
      </c>
    </row>
    <row r="547" spans="1:3">
      <c r="A547" s="3">
        <v>595</v>
      </c>
      <c r="B547" s="3">
        <v>21</v>
      </c>
      <c r="C547" s="3">
        <v>630</v>
      </c>
    </row>
    <row r="548" spans="1:3">
      <c r="A548" s="3">
        <v>596</v>
      </c>
      <c r="B548" s="3">
        <v>21</v>
      </c>
      <c r="C548" s="3">
        <v>630</v>
      </c>
    </row>
    <row r="549" spans="1:3">
      <c r="A549" s="3">
        <v>597</v>
      </c>
      <c r="B549" s="3">
        <v>21</v>
      </c>
      <c r="C549" s="3">
        <v>630</v>
      </c>
    </row>
    <row r="550" spans="1:3">
      <c r="A550" s="3">
        <v>598</v>
      </c>
      <c r="B550" s="3">
        <v>21</v>
      </c>
      <c r="C550" s="3">
        <v>630</v>
      </c>
    </row>
    <row r="551" spans="1:3">
      <c r="A551" s="3">
        <v>599</v>
      </c>
      <c r="B551" s="3">
        <v>21</v>
      </c>
      <c r="C551" s="3">
        <v>630</v>
      </c>
    </row>
    <row r="552" spans="1:3">
      <c r="A552" s="3">
        <v>600</v>
      </c>
      <c r="B552" s="3">
        <v>21</v>
      </c>
      <c r="C552" s="3">
        <v>630</v>
      </c>
    </row>
    <row r="553" spans="1:3">
      <c r="A553" s="3">
        <v>601</v>
      </c>
      <c r="B553" s="3">
        <v>21</v>
      </c>
      <c r="C553" s="3">
        <v>630</v>
      </c>
    </row>
    <row r="554" spans="1:3">
      <c r="A554" s="3">
        <v>602</v>
      </c>
      <c r="B554" s="3">
        <v>21</v>
      </c>
      <c r="C554" s="3">
        <v>630</v>
      </c>
    </row>
    <row r="555" spans="1:3">
      <c r="A555" s="3">
        <v>603</v>
      </c>
      <c r="B555" s="3">
        <v>21</v>
      </c>
      <c r="C555" s="3">
        <v>630</v>
      </c>
    </row>
    <row r="556" spans="1:3">
      <c r="A556" s="3">
        <v>604</v>
      </c>
      <c r="B556" s="3">
        <v>21</v>
      </c>
      <c r="C556" s="3">
        <v>630</v>
      </c>
    </row>
    <row r="557" spans="1:3">
      <c r="A557" s="3">
        <v>605</v>
      </c>
      <c r="B557" s="3">
        <v>21</v>
      </c>
      <c r="C557" s="3">
        <v>630</v>
      </c>
    </row>
    <row r="558" spans="1:3">
      <c r="A558" s="3">
        <v>606</v>
      </c>
      <c r="B558" s="3">
        <v>21</v>
      </c>
      <c r="C558" s="3">
        <v>630</v>
      </c>
    </row>
    <row r="559" spans="1:3">
      <c r="A559" s="3">
        <v>607</v>
      </c>
      <c r="B559" s="3">
        <v>21</v>
      </c>
      <c r="C559" s="3">
        <v>630</v>
      </c>
    </row>
    <row r="560" spans="1:3">
      <c r="A560" s="3">
        <v>608</v>
      </c>
      <c r="B560" s="3">
        <v>21</v>
      </c>
      <c r="C560" s="3">
        <v>630</v>
      </c>
    </row>
    <row r="561" spans="1:3">
      <c r="A561" s="3">
        <v>609</v>
      </c>
      <c r="B561" s="3">
        <v>21</v>
      </c>
      <c r="C561" s="3">
        <v>630</v>
      </c>
    </row>
    <row r="562" spans="1:3">
      <c r="A562" s="3">
        <v>610</v>
      </c>
      <c r="B562" s="3">
        <v>21</v>
      </c>
      <c r="C562" s="3">
        <v>630</v>
      </c>
    </row>
    <row r="563" spans="1:3">
      <c r="A563" s="3">
        <v>611</v>
      </c>
      <c r="B563" s="3">
        <v>21</v>
      </c>
      <c r="C563" s="3">
        <v>630</v>
      </c>
    </row>
    <row r="564" spans="1:3">
      <c r="A564" s="3">
        <v>612</v>
      </c>
      <c r="B564" s="3">
        <v>21</v>
      </c>
      <c r="C564" s="3">
        <v>630</v>
      </c>
    </row>
    <row r="565" spans="1:3">
      <c r="A565" s="3">
        <v>613</v>
      </c>
      <c r="B565" s="3">
        <v>21</v>
      </c>
      <c r="C565" s="3">
        <v>630</v>
      </c>
    </row>
    <row r="566" spans="1:3">
      <c r="A566" s="3">
        <v>614</v>
      </c>
      <c r="B566" s="3">
        <v>21</v>
      </c>
      <c r="C566" s="3">
        <v>630</v>
      </c>
    </row>
    <row r="567" spans="1:3">
      <c r="A567" s="3">
        <v>615</v>
      </c>
      <c r="B567" s="3">
        <v>21</v>
      </c>
      <c r="C567" s="3">
        <v>630</v>
      </c>
    </row>
    <row r="568" spans="1:3">
      <c r="A568" s="3">
        <v>616</v>
      </c>
      <c r="B568" s="3">
        <v>21</v>
      </c>
      <c r="C568" s="3">
        <v>630</v>
      </c>
    </row>
    <row r="569" spans="1:3">
      <c r="A569" s="3">
        <v>617</v>
      </c>
      <c r="B569" s="3">
        <v>21</v>
      </c>
      <c r="C569" s="3">
        <v>630</v>
      </c>
    </row>
    <row r="570" spans="1:3">
      <c r="A570" s="3">
        <v>618</v>
      </c>
      <c r="B570" s="3">
        <v>21</v>
      </c>
      <c r="C570" s="3">
        <v>630</v>
      </c>
    </row>
    <row r="571" spans="1:3">
      <c r="A571" s="3">
        <v>619</v>
      </c>
      <c r="B571" s="3">
        <v>21</v>
      </c>
      <c r="C571" s="3">
        <v>630</v>
      </c>
    </row>
    <row r="572" spans="1:3">
      <c r="A572" s="3">
        <v>620</v>
      </c>
      <c r="B572" s="3">
        <v>21</v>
      </c>
      <c r="C572" s="3">
        <v>630</v>
      </c>
    </row>
    <row r="573" spans="1:3">
      <c r="A573" s="3">
        <v>621</v>
      </c>
      <c r="B573" s="3">
        <v>21</v>
      </c>
      <c r="C573" s="3">
        <v>630</v>
      </c>
    </row>
    <row r="574" spans="1:3">
      <c r="A574" s="3">
        <v>622</v>
      </c>
      <c r="B574" s="3">
        <v>21</v>
      </c>
      <c r="C574" s="3">
        <v>630</v>
      </c>
    </row>
    <row r="575" spans="1:3">
      <c r="A575" s="3">
        <v>623</v>
      </c>
      <c r="B575" s="3">
        <v>21</v>
      </c>
      <c r="C575" s="3">
        <v>630</v>
      </c>
    </row>
    <row r="576" spans="1:3">
      <c r="A576" s="3">
        <v>624</v>
      </c>
      <c r="B576" s="3">
        <v>21</v>
      </c>
      <c r="C576" s="3">
        <v>630</v>
      </c>
    </row>
    <row r="577" spans="1:3">
      <c r="A577" s="3">
        <v>625</v>
      </c>
      <c r="B577" s="3">
        <v>21</v>
      </c>
      <c r="C577" s="3">
        <v>630</v>
      </c>
    </row>
    <row r="578" spans="1:3">
      <c r="A578" s="3">
        <v>626</v>
      </c>
      <c r="B578" s="3">
        <v>21</v>
      </c>
      <c r="C578" s="3">
        <v>630</v>
      </c>
    </row>
    <row r="579" spans="1:3">
      <c r="A579" s="3">
        <v>627</v>
      </c>
      <c r="B579" s="3">
        <v>21</v>
      </c>
      <c r="C579" s="3">
        <v>630</v>
      </c>
    </row>
    <row r="580" spans="1:3">
      <c r="A580" s="3">
        <v>628</v>
      </c>
      <c r="B580" s="3">
        <v>21</v>
      </c>
      <c r="C580" s="3">
        <v>630</v>
      </c>
    </row>
    <row r="581" spans="1:3">
      <c r="A581" s="3">
        <v>629</v>
      </c>
      <c r="B581" s="3">
        <v>21</v>
      </c>
      <c r="C581" s="3">
        <v>630</v>
      </c>
    </row>
    <row r="582" spans="1:3">
      <c r="A582" s="3">
        <v>630</v>
      </c>
      <c r="B582" s="3">
        <v>21</v>
      </c>
      <c r="C582" s="3">
        <v>630</v>
      </c>
    </row>
    <row r="583" spans="1:3">
      <c r="A583" s="3">
        <v>631</v>
      </c>
      <c r="B583" s="3">
        <v>22</v>
      </c>
      <c r="C583" s="3">
        <v>651</v>
      </c>
    </row>
    <row r="584" spans="1:3">
      <c r="A584" s="3">
        <v>632</v>
      </c>
      <c r="B584" s="3">
        <v>22</v>
      </c>
      <c r="C584" s="3">
        <v>651</v>
      </c>
    </row>
    <row r="585" spans="1:3">
      <c r="A585" s="3">
        <v>633</v>
      </c>
      <c r="B585" s="3">
        <v>22</v>
      </c>
      <c r="C585" s="3">
        <v>651</v>
      </c>
    </row>
    <row r="586" spans="1:3">
      <c r="A586" s="3">
        <v>634</v>
      </c>
      <c r="B586" s="3">
        <v>22</v>
      </c>
      <c r="C586" s="3">
        <v>651</v>
      </c>
    </row>
    <row r="587" spans="1:3">
      <c r="A587" s="3">
        <v>635</v>
      </c>
      <c r="B587" s="3">
        <v>22</v>
      </c>
      <c r="C587" s="3">
        <v>651</v>
      </c>
    </row>
    <row r="588" spans="1:3">
      <c r="A588" s="3">
        <v>636</v>
      </c>
      <c r="B588" s="3">
        <v>22</v>
      </c>
      <c r="C588" s="3">
        <v>651</v>
      </c>
    </row>
    <row r="589" spans="1:3">
      <c r="A589" s="3">
        <v>637</v>
      </c>
      <c r="B589" s="3">
        <v>22</v>
      </c>
      <c r="C589" s="3">
        <v>651</v>
      </c>
    </row>
    <row r="590" spans="1:3">
      <c r="A590" s="3">
        <v>638</v>
      </c>
      <c r="B590" s="3">
        <v>22</v>
      </c>
      <c r="C590" s="3">
        <v>651</v>
      </c>
    </row>
    <row r="591" spans="1:3">
      <c r="A591" s="3">
        <v>639</v>
      </c>
      <c r="B591" s="3">
        <v>22</v>
      </c>
      <c r="C591" s="3">
        <v>651</v>
      </c>
    </row>
    <row r="592" spans="1:3">
      <c r="A592" s="3">
        <v>640</v>
      </c>
      <c r="B592" s="3">
        <v>22</v>
      </c>
      <c r="C592" s="3">
        <v>651</v>
      </c>
    </row>
    <row r="593" spans="1:3">
      <c r="A593" s="3">
        <v>641</v>
      </c>
      <c r="B593" s="3">
        <v>22</v>
      </c>
      <c r="C593" s="3">
        <v>651</v>
      </c>
    </row>
    <row r="594" spans="1:3">
      <c r="A594" s="3">
        <v>642</v>
      </c>
      <c r="B594" s="3">
        <v>22</v>
      </c>
      <c r="C594" s="3">
        <v>651</v>
      </c>
    </row>
    <row r="595" spans="1:3">
      <c r="A595" s="3">
        <v>643</v>
      </c>
      <c r="B595" s="3">
        <v>22</v>
      </c>
      <c r="C595" s="3">
        <v>651</v>
      </c>
    </row>
    <row r="596" spans="1:3">
      <c r="A596" s="3">
        <v>644</v>
      </c>
      <c r="B596" s="3">
        <v>22</v>
      </c>
      <c r="C596" s="3">
        <v>651</v>
      </c>
    </row>
    <row r="597" spans="1:3">
      <c r="A597" s="3">
        <v>645</v>
      </c>
      <c r="B597" s="3">
        <v>22</v>
      </c>
      <c r="C597" s="3">
        <v>651</v>
      </c>
    </row>
    <row r="598" spans="1:3">
      <c r="A598" s="3">
        <v>646</v>
      </c>
      <c r="B598" s="3">
        <v>22</v>
      </c>
      <c r="C598" s="3">
        <v>651</v>
      </c>
    </row>
    <row r="599" spans="1:3">
      <c r="A599" s="3">
        <v>647</v>
      </c>
      <c r="B599" s="3">
        <v>22</v>
      </c>
      <c r="C599" s="3">
        <v>651</v>
      </c>
    </row>
    <row r="600" spans="1:3">
      <c r="A600" s="3">
        <v>648</v>
      </c>
      <c r="B600" s="3">
        <v>22</v>
      </c>
      <c r="C600" s="3">
        <v>651</v>
      </c>
    </row>
    <row r="601" spans="1:3">
      <c r="A601" s="3">
        <v>649</v>
      </c>
      <c r="B601" s="3">
        <v>22</v>
      </c>
      <c r="C601" s="3">
        <v>651</v>
      </c>
    </row>
    <row r="602" spans="1:3">
      <c r="A602" s="3">
        <v>650</v>
      </c>
      <c r="B602" s="3">
        <v>22</v>
      </c>
      <c r="C602" s="3">
        <v>651</v>
      </c>
    </row>
    <row r="603" spans="1:3">
      <c r="A603" s="3">
        <v>651</v>
      </c>
      <c r="B603" s="3">
        <v>22</v>
      </c>
      <c r="C603" s="3">
        <v>651</v>
      </c>
    </row>
    <row r="604" spans="1:3">
      <c r="A604" s="3">
        <v>652</v>
      </c>
      <c r="B604" s="3">
        <v>23</v>
      </c>
      <c r="C604" s="3">
        <v>693</v>
      </c>
    </row>
    <row r="605" spans="1:3">
      <c r="A605" s="3">
        <v>653</v>
      </c>
      <c r="B605" s="3">
        <v>23</v>
      </c>
      <c r="C605" s="3">
        <v>693</v>
      </c>
    </row>
    <row r="606" spans="1:3">
      <c r="A606" s="3">
        <v>654</v>
      </c>
      <c r="B606" s="3">
        <v>23</v>
      </c>
      <c r="C606" s="3">
        <v>693</v>
      </c>
    </row>
    <row r="607" spans="1:3">
      <c r="A607" s="3">
        <v>655</v>
      </c>
      <c r="B607" s="3">
        <v>23</v>
      </c>
      <c r="C607" s="3">
        <v>693</v>
      </c>
    </row>
    <row r="608" spans="1:3">
      <c r="A608" s="3">
        <v>656</v>
      </c>
      <c r="B608" s="3">
        <v>23</v>
      </c>
      <c r="C608" s="3">
        <v>693</v>
      </c>
    </row>
    <row r="609" spans="1:3">
      <c r="A609" s="3">
        <v>657</v>
      </c>
      <c r="B609" s="3">
        <v>23</v>
      </c>
      <c r="C609" s="3">
        <v>693</v>
      </c>
    </row>
    <row r="610" spans="1:3">
      <c r="A610" s="3">
        <v>658</v>
      </c>
      <c r="B610" s="3">
        <v>23</v>
      </c>
      <c r="C610" s="3">
        <v>693</v>
      </c>
    </row>
    <row r="611" spans="1:3">
      <c r="A611" s="3">
        <v>659</v>
      </c>
      <c r="B611" s="3">
        <v>23</v>
      </c>
      <c r="C611" s="3">
        <v>693</v>
      </c>
    </row>
    <row r="612" spans="1:3">
      <c r="A612" s="3">
        <v>660</v>
      </c>
      <c r="B612" s="3">
        <v>23</v>
      </c>
      <c r="C612" s="3">
        <v>693</v>
      </c>
    </row>
    <row r="613" spans="1:3">
      <c r="A613" s="3">
        <v>661</v>
      </c>
      <c r="B613" s="3">
        <v>23</v>
      </c>
      <c r="C613" s="3">
        <v>693</v>
      </c>
    </row>
    <row r="614" spans="1:3">
      <c r="A614" s="3">
        <v>662</v>
      </c>
      <c r="B614" s="3">
        <v>23</v>
      </c>
      <c r="C614" s="3">
        <v>693</v>
      </c>
    </row>
    <row r="615" spans="1:3">
      <c r="A615" s="3">
        <v>663</v>
      </c>
      <c r="B615" s="3">
        <v>23</v>
      </c>
      <c r="C615" s="3">
        <v>693</v>
      </c>
    </row>
    <row r="616" spans="1:3">
      <c r="A616" s="3">
        <v>664</v>
      </c>
      <c r="B616" s="3">
        <v>23</v>
      </c>
      <c r="C616" s="3">
        <v>693</v>
      </c>
    </row>
    <row r="617" spans="1:3">
      <c r="A617" s="3">
        <v>665</v>
      </c>
      <c r="B617" s="3">
        <v>23</v>
      </c>
      <c r="C617" s="3">
        <v>693</v>
      </c>
    </row>
    <row r="618" spans="1:3">
      <c r="A618" s="3">
        <v>666</v>
      </c>
      <c r="B618" s="3">
        <v>23</v>
      </c>
      <c r="C618" s="3">
        <v>693</v>
      </c>
    </row>
    <row r="619" spans="1:3">
      <c r="A619" s="3">
        <v>667</v>
      </c>
      <c r="B619" s="3">
        <v>23</v>
      </c>
      <c r="C619" s="3">
        <v>693</v>
      </c>
    </row>
    <row r="620" spans="1:3">
      <c r="A620" s="3">
        <v>668</v>
      </c>
      <c r="B620" s="3">
        <v>23</v>
      </c>
      <c r="C620" s="3">
        <v>693</v>
      </c>
    </row>
    <row r="621" spans="1:3">
      <c r="A621" s="3">
        <v>669</v>
      </c>
      <c r="B621" s="3">
        <v>23</v>
      </c>
      <c r="C621" s="3">
        <v>693</v>
      </c>
    </row>
    <row r="622" spans="1:3">
      <c r="A622" s="3">
        <v>670</v>
      </c>
      <c r="B622" s="3">
        <v>23</v>
      </c>
      <c r="C622" s="3">
        <v>693</v>
      </c>
    </row>
    <row r="623" spans="1:3">
      <c r="A623" s="3">
        <v>671</v>
      </c>
      <c r="B623" s="3">
        <v>23</v>
      </c>
      <c r="C623" s="3">
        <v>693</v>
      </c>
    </row>
    <row r="624" spans="1:3">
      <c r="A624" s="3">
        <v>672</v>
      </c>
      <c r="B624" s="3">
        <v>23</v>
      </c>
      <c r="C624" s="3">
        <v>693</v>
      </c>
    </row>
    <row r="625" spans="1:3">
      <c r="A625" s="3">
        <v>673</v>
      </c>
      <c r="B625" s="3">
        <v>23</v>
      </c>
      <c r="C625" s="3">
        <v>693</v>
      </c>
    </row>
    <row r="626" spans="1:3">
      <c r="A626" s="3">
        <v>674</v>
      </c>
      <c r="B626" s="3">
        <v>23</v>
      </c>
      <c r="C626" s="3">
        <v>693</v>
      </c>
    </row>
    <row r="627" spans="1:3">
      <c r="A627" s="3">
        <v>675</v>
      </c>
      <c r="B627" s="3">
        <v>23</v>
      </c>
      <c r="C627" s="3">
        <v>693</v>
      </c>
    </row>
    <row r="628" spans="1:3">
      <c r="A628" s="3">
        <v>676</v>
      </c>
      <c r="B628" s="3">
        <v>23</v>
      </c>
      <c r="C628" s="3">
        <v>693</v>
      </c>
    </row>
    <row r="629" spans="1:3">
      <c r="A629" s="3">
        <v>677</v>
      </c>
      <c r="B629" s="3">
        <v>23</v>
      </c>
      <c r="C629" s="3">
        <v>693</v>
      </c>
    </row>
    <row r="630" spans="1:3">
      <c r="A630" s="3">
        <v>678</v>
      </c>
      <c r="B630" s="3">
        <v>23</v>
      </c>
      <c r="C630" s="3">
        <v>693</v>
      </c>
    </row>
    <row r="631" spans="1:3">
      <c r="A631" s="3">
        <v>679</v>
      </c>
      <c r="B631" s="3">
        <v>23</v>
      </c>
      <c r="C631" s="3">
        <v>693</v>
      </c>
    </row>
    <row r="632" spans="1:3">
      <c r="A632" s="3">
        <v>680</v>
      </c>
      <c r="B632" s="3">
        <v>23</v>
      </c>
      <c r="C632" s="3">
        <v>693</v>
      </c>
    </row>
    <row r="633" spans="1:3">
      <c r="A633" s="3">
        <v>681</v>
      </c>
      <c r="B633" s="3">
        <v>23</v>
      </c>
      <c r="C633" s="3">
        <v>693</v>
      </c>
    </row>
    <row r="634" spans="1:3">
      <c r="A634" s="3">
        <v>682</v>
      </c>
      <c r="B634" s="3">
        <v>23</v>
      </c>
      <c r="C634" s="3">
        <v>693</v>
      </c>
    </row>
    <row r="635" spans="1:3">
      <c r="A635" s="3">
        <v>683</v>
      </c>
      <c r="B635" s="3">
        <v>23</v>
      </c>
      <c r="C635" s="3">
        <v>693</v>
      </c>
    </row>
    <row r="636" spans="1:3">
      <c r="A636" s="3">
        <v>684</v>
      </c>
      <c r="B636" s="3">
        <v>23</v>
      </c>
      <c r="C636" s="3">
        <v>693</v>
      </c>
    </row>
    <row r="637" spans="1:3">
      <c r="A637" s="3">
        <v>685</v>
      </c>
      <c r="B637" s="3">
        <v>23</v>
      </c>
      <c r="C637" s="3">
        <v>693</v>
      </c>
    </row>
    <row r="638" spans="1:3">
      <c r="A638" s="3">
        <v>686</v>
      </c>
      <c r="B638" s="3">
        <v>23</v>
      </c>
      <c r="C638" s="3">
        <v>693</v>
      </c>
    </row>
    <row r="639" spans="1:3">
      <c r="A639" s="3">
        <v>687</v>
      </c>
      <c r="B639" s="3">
        <v>23</v>
      </c>
      <c r="C639" s="3">
        <v>693</v>
      </c>
    </row>
    <row r="640" spans="1:3">
      <c r="A640" s="3">
        <v>688</v>
      </c>
      <c r="B640" s="3">
        <v>23</v>
      </c>
      <c r="C640" s="3">
        <v>693</v>
      </c>
    </row>
    <row r="641" spans="1:3">
      <c r="A641" s="3">
        <v>689</v>
      </c>
      <c r="B641" s="3">
        <v>23</v>
      </c>
      <c r="C641" s="3">
        <v>693</v>
      </c>
    </row>
    <row r="642" spans="1:3">
      <c r="A642" s="3">
        <v>690</v>
      </c>
      <c r="B642" s="3">
        <v>23</v>
      </c>
      <c r="C642" s="3">
        <v>693</v>
      </c>
    </row>
    <row r="643" spans="1:3">
      <c r="A643" s="3">
        <v>691</v>
      </c>
      <c r="B643" s="3">
        <v>23</v>
      </c>
      <c r="C643" s="3">
        <v>693</v>
      </c>
    </row>
    <row r="644" spans="1:3">
      <c r="A644" s="3">
        <v>692</v>
      </c>
      <c r="B644" s="3">
        <v>23</v>
      </c>
      <c r="C644" s="3">
        <v>693</v>
      </c>
    </row>
    <row r="645" spans="1:3">
      <c r="A645" s="3">
        <v>693</v>
      </c>
      <c r="B645" s="3">
        <v>23</v>
      </c>
      <c r="C645" s="3">
        <v>693</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3"/>
  <dimension ref="A1:AM108"/>
  <sheetViews>
    <sheetView zoomScale="75" workbookViewId="0">
      <pane xSplit="1" ySplit="2" topLeftCell="L3" activePane="bottomRight" state="frozenSplit"/>
      <selection pane="topRight" activeCell="Q1" sqref="Q1"/>
      <selection pane="bottomLeft" activeCell="A8" sqref="A8"/>
      <selection pane="bottomRight" activeCell="A12" sqref="A12:XFD12"/>
    </sheetView>
  </sheetViews>
  <sheetFormatPr defaultRowHeight="12.75"/>
  <cols>
    <col min="1" max="1" width="30.28515625" style="26" customWidth="1"/>
    <col min="2" max="8" width="11" style="6" customWidth="1"/>
    <col min="9" max="10" width="11" style="9" customWidth="1"/>
    <col min="11" max="11" width="11.28515625" style="6" customWidth="1"/>
    <col min="12" max="12" width="11" style="6" customWidth="1"/>
    <col min="13" max="18" width="11" style="26" customWidth="1"/>
    <col min="19" max="20" width="10.7109375" style="26" customWidth="1"/>
    <col min="21" max="21" width="10.7109375" style="238" customWidth="1"/>
    <col min="22" max="24" width="10.7109375" style="26" customWidth="1"/>
    <col min="25" max="16384" width="9.140625" style="26"/>
  </cols>
  <sheetData>
    <row r="1" spans="1:35">
      <c r="A1" s="25"/>
      <c r="B1" s="8" t="s">
        <v>101</v>
      </c>
      <c r="C1" s="8"/>
      <c r="D1" s="8"/>
      <c r="E1" s="8"/>
      <c r="F1" s="8"/>
      <c r="G1" s="8"/>
      <c r="H1" s="8"/>
      <c r="Z1" s="26" t="s">
        <v>124</v>
      </c>
    </row>
    <row r="2" spans="1:35">
      <c r="A2" s="25" t="s">
        <v>102</v>
      </c>
      <c r="B2" s="8" t="s">
        <v>103</v>
      </c>
      <c r="C2" s="8" t="s">
        <v>104</v>
      </c>
      <c r="D2" s="8" t="s">
        <v>105</v>
      </c>
      <c r="E2" s="8" t="s">
        <v>106</v>
      </c>
      <c r="F2" s="8" t="s">
        <v>107</v>
      </c>
      <c r="G2" s="8" t="s">
        <v>108</v>
      </c>
      <c r="H2" s="8" t="s">
        <v>109</v>
      </c>
      <c r="I2" s="28" t="s">
        <v>110</v>
      </c>
      <c r="J2" s="28" t="s">
        <v>111</v>
      </c>
      <c r="K2" s="28" t="s">
        <v>112</v>
      </c>
      <c r="L2" s="28" t="s">
        <v>113</v>
      </c>
      <c r="M2" s="28" t="s">
        <v>114</v>
      </c>
      <c r="N2" s="28" t="s">
        <v>115</v>
      </c>
      <c r="O2" s="28" t="s">
        <v>116</v>
      </c>
      <c r="P2" s="28" t="s">
        <v>117</v>
      </c>
      <c r="Q2" s="28" t="s">
        <v>118</v>
      </c>
      <c r="R2" s="28" t="s">
        <v>119</v>
      </c>
      <c r="S2" s="28" t="s">
        <v>125</v>
      </c>
      <c r="T2" s="28" t="s">
        <v>153</v>
      </c>
      <c r="U2" s="235" t="s">
        <v>252</v>
      </c>
      <c r="V2" s="235" t="s">
        <v>299</v>
      </c>
      <c r="W2" s="235" t="s">
        <v>398</v>
      </c>
      <c r="X2" s="28"/>
    </row>
    <row r="3" spans="1:35">
      <c r="A3" s="25"/>
      <c r="B3" s="8"/>
      <c r="C3" s="8"/>
      <c r="D3" s="8"/>
      <c r="E3" s="8"/>
      <c r="F3" s="8"/>
      <c r="G3" s="8"/>
      <c r="H3" s="8"/>
      <c r="I3" s="28">
        <v>2008</v>
      </c>
      <c r="J3" s="28">
        <v>2009</v>
      </c>
      <c r="K3" s="28">
        <v>2010</v>
      </c>
      <c r="L3" s="28">
        <v>2011</v>
      </c>
      <c r="M3" s="28">
        <v>2012</v>
      </c>
      <c r="N3" s="28">
        <v>2013</v>
      </c>
      <c r="O3" s="28">
        <v>2014</v>
      </c>
      <c r="P3" s="28">
        <v>2015</v>
      </c>
      <c r="Q3" s="28">
        <v>2016</v>
      </c>
      <c r="R3" s="28">
        <v>2017</v>
      </c>
      <c r="S3" s="28">
        <v>2018</v>
      </c>
      <c r="T3" s="28">
        <v>2019</v>
      </c>
      <c r="U3" s="235">
        <v>2020</v>
      </c>
      <c r="V3" s="28">
        <v>2021</v>
      </c>
      <c r="W3" s="28">
        <v>2022</v>
      </c>
      <c r="X3" s="28"/>
    </row>
    <row r="4" spans="1:35">
      <c r="A4" s="29" t="s">
        <v>9</v>
      </c>
      <c r="B4" s="30">
        <v>75</v>
      </c>
      <c r="C4" s="30">
        <v>59</v>
      </c>
      <c r="D4" s="30">
        <v>72</v>
      </c>
      <c r="E4" s="30">
        <v>80</v>
      </c>
      <c r="F4" s="30">
        <v>62</v>
      </c>
      <c r="G4" s="30">
        <v>65</v>
      </c>
      <c r="H4" s="30">
        <v>56</v>
      </c>
      <c r="I4" s="37">
        <v>61</v>
      </c>
      <c r="J4" s="37">
        <v>60</v>
      </c>
      <c r="K4" s="37">
        <v>58</v>
      </c>
      <c r="L4" s="37">
        <v>47</v>
      </c>
      <c r="M4" s="37">
        <v>73</v>
      </c>
      <c r="N4" s="37">
        <v>52</v>
      </c>
      <c r="O4" s="37">
        <v>79</v>
      </c>
      <c r="P4" s="37">
        <v>65</v>
      </c>
      <c r="Q4" s="37">
        <v>76</v>
      </c>
      <c r="R4" s="37">
        <v>89</v>
      </c>
      <c r="S4" s="37">
        <v>77</v>
      </c>
      <c r="T4" s="78">
        <v>71</v>
      </c>
      <c r="U4" s="236">
        <v>68</v>
      </c>
      <c r="V4" s="236">
        <v>75</v>
      </c>
      <c r="W4" s="37">
        <v>58</v>
      </c>
      <c r="X4" s="37"/>
      <c r="Z4" s="31">
        <v>59</v>
      </c>
      <c r="AA4" s="31">
        <v>60</v>
      </c>
      <c r="AB4" s="31">
        <v>58</v>
      </c>
      <c r="AC4" s="31">
        <v>47</v>
      </c>
      <c r="AD4" s="31">
        <v>73</v>
      </c>
      <c r="AE4" s="31">
        <v>52</v>
      </c>
      <c r="AF4" s="31">
        <v>79</v>
      </c>
      <c r="AG4" s="31">
        <v>65</v>
      </c>
      <c r="AH4" s="31">
        <v>76</v>
      </c>
      <c r="AI4" s="31">
        <v>89</v>
      </c>
    </row>
    <row r="5" spans="1:35">
      <c r="A5" s="29" t="s">
        <v>10</v>
      </c>
      <c r="B5" s="30">
        <v>66</v>
      </c>
      <c r="C5" s="30">
        <v>76</v>
      </c>
      <c r="D5" s="30">
        <v>65</v>
      </c>
      <c r="E5" s="30">
        <v>62</v>
      </c>
      <c r="F5" s="30">
        <v>82</v>
      </c>
      <c r="G5" s="30">
        <v>64</v>
      </c>
      <c r="H5" s="30">
        <v>68</v>
      </c>
      <c r="I5" s="37">
        <v>73</v>
      </c>
      <c r="J5" s="37">
        <v>78</v>
      </c>
      <c r="K5" s="37">
        <v>86</v>
      </c>
      <c r="L5" s="37">
        <v>99</v>
      </c>
      <c r="M5" s="37">
        <v>98</v>
      </c>
      <c r="N5" s="37">
        <v>119</v>
      </c>
      <c r="O5" s="37">
        <v>109</v>
      </c>
      <c r="P5" s="37">
        <v>140</v>
      </c>
      <c r="Q5" s="37">
        <v>137</v>
      </c>
      <c r="R5" s="37">
        <v>156</v>
      </c>
      <c r="S5" s="37">
        <v>134</v>
      </c>
      <c r="T5" s="78">
        <v>142</v>
      </c>
      <c r="U5" s="236">
        <v>117</v>
      </c>
      <c r="V5" s="236">
        <v>103</v>
      </c>
      <c r="W5" s="37">
        <v>93</v>
      </c>
      <c r="X5" s="37"/>
      <c r="Z5" s="31">
        <v>73</v>
      </c>
      <c r="AA5" s="31">
        <v>78</v>
      </c>
      <c r="AB5" s="31">
        <v>86</v>
      </c>
      <c r="AC5" s="31">
        <v>99</v>
      </c>
      <c r="AD5" s="31">
        <v>98</v>
      </c>
      <c r="AE5" s="31">
        <v>119</v>
      </c>
      <c r="AF5" s="31">
        <v>109</v>
      </c>
      <c r="AG5" s="31">
        <v>140</v>
      </c>
      <c r="AH5" s="31">
        <v>137</v>
      </c>
      <c r="AI5" s="31">
        <v>156</v>
      </c>
    </row>
    <row r="6" spans="1:35">
      <c r="A6" s="29" t="s">
        <v>11</v>
      </c>
      <c r="B6" s="30">
        <v>32</v>
      </c>
      <c r="C6" s="30">
        <v>42</v>
      </c>
      <c r="D6" s="30">
        <v>36</v>
      </c>
      <c r="E6" s="30">
        <v>58</v>
      </c>
      <c r="F6" s="30">
        <v>44</v>
      </c>
      <c r="G6" s="30">
        <v>41</v>
      </c>
      <c r="H6" s="30">
        <v>33</v>
      </c>
      <c r="I6" s="37">
        <v>61</v>
      </c>
      <c r="J6" s="37">
        <v>30</v>
      </c>
      <c r="K6" s="37">
        <v>41</v>
      </c>
      <c r="L6" s="37">
        <v>52</v>
      </c>
      <c r="M6" s="37">
        <v>45</v>
      </c>
      <c r="N6" s="37">
        <v>62</v>
      </c>
      <c r="O6" s="37">
        <v>45</v>
      </c>
      <c r="P6" s="37">
        <v>49</v>
      </c>
      <c r="Q6" s="37">
        <v>50</v>
      </c>
      <c r="R6" s="37">
        <v>51</v>
      </c>
      <c r="S6" s="37">
        <v>57</v>
      </c>
      <c r="T6" s="78">
        <v>45</v>
      </c>
      <c r="U6" s="236">
        <v>46</v>
      </c>
      <c r="V6" s="236">
        <v>32</v>
      </c>
      <c r="W6" s="37">
        <v>44</v>
      </c>
      <c r="X6" s="37"/>
      <c r="Z6" s="31">
        <v>61</v>
      </c>
      <c r="AA6" s="31">
        <v>30</v>
      </c>
      <c r="AB6" s="31">
        <v>41</v>
      </c>
      <c r="AC6" s="31">
        <v>52</v>
      </c>
      <c r="AD6" s="31">
        <v>45</v>
      </c>
      <c r="AE6" s="31">
        <v>62</v>
      </c>
      <c r="AF6" s="31">
        <v>45</v>
      </c>
      <c r="AG6" s="31">
        <v>49</v>
      </c>
      <c r="AH6" s="31">
        <v>50</v>
      </c>
      <c r="AI6" s="31">
        <v>51</v>
      </c>
    </row>
    <row r="7" spans="1:35">
      <c r="A7" s="29" t="s">
        <v>12</v>
      </c>
      <c r="B7" s="30">
        <v>53</v>
      </c>
      <c r="C7" s="30">
        <v>41</v>
      </c>
      <c r="D7" s="30">
        <v>47</v>
      </c>
      <c r="E7" s="30">
        <v>42</v>
      </c>
      <c r="F7" s="30">
        <v>55</v>
      </c>
      <c r="G7" s="30">
        <v>48</v>
      </c>
      <c r="H7" s="30">
        <v>56</v>
      </c>
      <c r="I7" s="37">
        <v>48</v>
      </c>
      <c r="J7" s="37">
        <v>53</v>
      </c>
      <c r="K7" s="37">
        <v>44</v>
      </c>
      <c r="L7" s="37">
        <v>57</v>
      </c>
      <c r="M7" s="37">
        <v>46</v>
      </c>
      <c r="N7" s="37">
        <v>44</v>
      </c>
      <c r="O7" s="37">
        <v>44</v>
      </c>
      <c r="P7" s="37">
        <v>40</v>
      </c>
      <c r="Q7" s="37">
        <v>50</v>
      </c>
      <c r="R7" s="37">
        <v>45</v>
      </c>
      <c r="S7" s="37">
        <v>50</v>
      </c>
      <c r="T7" s="78">
        <v>43</v>
      </c>
      <c r="U7" s="236">
        <v>46</v>
      </c>
      <c r="V7" s="236">
        <v>52</v>
      </c>
      <c r="W7" s="37">
        <v>37</v>
      </c>
      <c r="X7" s="37"/>
      <c r="Z7" s="31">
        <v>48</v>
      </c>
      <c r="AA7" s="31">
        <v>53</v>
      </c>
      <c r="AB7" s="31">
        <v>44</v>
      </c>
      <c r="AC7" s="31">
        <v>57</v>
      </c>
      <c r="AD7" s="31">
        <v>46</v>
      </c>
      <c r="AE7" s="31">
        <v>44</v>
      </c>
      <c r="AF7" s="31">
        <v>44</v>
      </c>
      <c r="AG7" s="31">
        <v>40</v>
      </c>
      <c r="AH7" s="31">
        <v>50</v>
      </c>
      <c r="AI7" s="31">
        <v>45</v>
      </c>
    </row>
    <row r="8" spans="1:35">
      <c r="A8" s="29" t="s">
        <v>13</v>
      </c>
      <c r="B8" s="30">
        <v>56</v>
      </c>
      <c r="C8" s="30">
        <v>51</v>
      </c>
      <c r="D8" s="30">
        <v>56</v>
      </c>
      <c r="E8" s="30">
        <v>51</v>
      </c>
      <c r="F8" s="30">
        <v>53</v>
      </c>
      <c r="G8" s="30">
        <v>56</v>
      </c>
      <c r="H8" s="30">
        <v>52</v>
      </c>
      <c r="I8" s="37">
        <v>50</v>
      </c>
      <c r="J8" s="37">
        <v>52</v>
      </c>
      <c r="K8" s="37">
        <v>61</v>
      </c>
      <c r="L8" s="37">
        <v>56</v>
      </c>
      <c r="M8" s="37">
        <v>59</v>
      </c>
      <c r="N8" s="37">
        <v>56</v>
      </c>
      <c r="O8" s="37">
        <v>58</v>
      </c>
      <c r="P8" s="37">
        <v>57</v>
      </c>
      <c r="Q8" s="37">
        <v>42</v>
      </c>
      <c r="R8" s="37">
        <v>37</v>
      </c>
      <c r="S8" s="37">
        <v>32</v>
      </c>
      <c r="T8" s="78">
        <v>37</v>
      </c>
      <c r="U8" s="236">
        <v>31</v>
      </c>
      <c r="V8" s="236">
        <v>48</v>
      </c>
      <c r="W8" s="37">
        <v>39</v>
      </c>
      <c r="X8" s="37"/>
      <c r="Z8" s="31">
        <v>50</v>
      </c>
      <c r="AA8" s="31">
        <v>52</v>
      </c>
      <c r="AB8" s="31">
        <v>61</v>
      </c>
      <c r="AC8" s="31">
        <v>56</v>
      </c>
      <c r="AD8" s="31">
        <v>59</v>
      </c>
      <c r="AE8" s="31">
        <v>56</v>
      </c>
      <c r="AF8" s="31">
        <v>58</v>
      </c>
      <c r="AG8" s="31">
        <v>57</v>
      </c>
      <c r="AH8" s="31">
        <v>42</v>
      </c>
      <c r="AI8" s="31">
        <v>37</v>
      </c>
    </row>
    <row r="9" spans="1:35">
      <c r="A9" s="29" t="s">
        <v>14</v>
      </c>
      <c r="B9" s="30">
        <v>139</v>
      </c>
      <c r="C9" s="30">
        <v>142</v>
      </c>
      <c r="D9" s="30">
        <v>142</v>
      </c>
      <c r="E9" s="30">
        <v>140</v>
      </c>
      <c r="F9" s="30">
        <v>142</v>
      </c>
      <c r="G9" s="30">
        <v>128</v>
      </c>
      <c r="H9" s="30">
        <v>129</v>
      </c>
      <c r="I9" s="37">
        <v>149</v>
      </c>
      <c r="J9" s="37">
        <v>155</v>
      </c>
      <c r="K9" s="37">
        <v>169</v>
      </c>
      <c r="L9" s="37">
        <v>188</v>
      </c>
      <c r="M9" s="37">
        <v>168</v>
      </c>
      <c r="N9" s="37">
        <v>182</v>
      </c>
      <c r="O9" s="37">
        <v>211</v>
      </c>
      <c r="P9" s="37">
        <v>213</v>
      </c>
      <c r="Q9" s="37">
        <v>212</v>
      </c>
      <c r="R9" s="37">
        <v>223</v>
      </c>
      <c r="S9" s="37">
        <v>198</v>
      </c>
      <c r="T9" s="78">
        <v>197</v>
      </c>
      <c r="U9" s="236">
        <v>213</v>
      </c>
      <c r="V9" s="236">
        <v>193</v>
      </c>
      <c r="W9" s="37">
        <v>211</v>
      </c>
      <c r="X9" s="37"/>
      <c r="Z9" s="31">
        <v>144</v>
      </c>
      <c r="AA9" s="31">
        <v>148</v>
      </c>
      <c r="AB9" s="31">
        <v>161</v>
      </c>
      <c r="AC9" s="31">
        <v>178</v>
      </c>
      <c r="AD9" s="31">
        <v>161</v>
      </c>
      <c r="AE9" s="31">
        <v>173</v>
      </c>
      <c r="AF9" s="31">
        <v>211</v>
      </c>
      <c r="AG9" s="31">
        <v>213</v>
      </c>
      <c r="AH9" s="31">
        <v>212</v>
      </c>
      <c r="AI9" s="31">
        <v>223</v>
      </c>
    </row>
    <row r="10" spans="1:35">
      <c r="A10" s="29" t="s">
        <v>15</v>
      </c>
      <c r="B10" s="30">
        <v>37</v>
      </c>
      <c r="C10" s="30">
        <v>39</v>
      </c>
      <c r="D10" s="30">
        <v>48</v>
      </c>
      <c r="E10" s="30">
        <v>38</v>
      </c>
      <c r="F10" s="30">
        <v>32</v>
      </c>
      <c r="G10" s="30">
        <v>39</v>
      </c>
      <c r="H10" s="30">
        <v>31</v>
      </c>
      <c r="I10" s="37">
        <v>53</v>
      </c>
      <c r="J10" s="37">
        <v>46</v>
      </c>
      <c r="K10" s="37">
        <v>57</v>
      </c>
      <c r="L10" s="37">
        <v>53</v>
      </c>
      <c r="M10" s="37">
        <v>68</v>
      </c>
      <c r="N10" s="37">
        <v>59</v>
      </c>
      <c r="O10" s="37">
        <v>50</v>
      </c>
      <c r="P10" s="37">
        <v>49</v>
      </c>
      <c r="Q10" s="37">
        <v>60</v>
      </c>
      <c r="R10" s="37">
        <v>62</v>
      </c>
      <c r="S10" s="37">
        <v>52</v>
      </c>
      <c r="T10" s="78">
        <v>55</v>
      </c>
      <c r="U10" s="236">
        <v>85</v>
      </c>
      <c r="V10" s="236">
        <v>72</v>
      </c>
      <c r="W10" s="37">
        <v>63</v>
      </c>
      <c r="X10" s="37"/>
      <c r="Z10" s="31">
        <v>33</v>
      </c>
      <c r="AA10" s="31">
        <v>20</v>
      </c>
      <c r="AB10" s="31">
        <v>28</v>
      </c>
      <c r="AC10" s="31">
        <v>37</v>
      </c>
      <c r="AD10" s="31">
        <v>50</v>
      </c>
      <c r="AE10" s="31">
        <v>36</v>
      </c>
      <c r="AF10" s="31">
        <v>50</v>
      </c>
      <c r="AG10" s="31">
        <v>49</v>
      </c>
      <c r="AH10" s="31">
        <v>60</v>
      </c>
      <c r="AI10" s="31">
        <v>62</v>
      </c>
    </row>
    <row r="11" spans="1:35">
      <c r="A11" s="29" t="s">
        <v>16</v>
      </c>
      <c r="B11" s="30">
        <v>158</v>
      </c>
      <c r="C11" s="30">
        <v>173</v>
      </c>
      <c r="D11" s="30">
        <v>130</v>
      </c>
      <c r="E11" s="30">
        <v>119</v>
      </c>
      <c r="F11" s="30">
        <v>119</v>
      </c>
      <c r="G11" s="30">
        <v>140</v>
      </c>
      <c r="H11" s="30">
        <v>134</v>
      </c>
      <c r="I11" s="37">
        <v>141</v>
      </c>
      <c r="J11" s="37">
        <v>138</v>
      </c>
      <c r="K11" s="37">
        <v>129</v>
      </c>
      <c r="L11" s="37">
        <v>144</v>
      </c>
      <c r="M11" s="37">
        <v>136</v>
      </c>
      <c r="N11" s="37">
        <v>143</v>
      </c>
      <c r="O11" s="37">
        <v>152</v>
      </c>
      <c r="P11" s="37">
        <v>119</v>
      </c>
      <c r="Q11" s="37">
        <v>157</v>
      </c>
      <c r="R11" s="37">
        <v>137</v>
      </c>
      <c r="S11" s="37">
        <v>135</v>
      </c>
      <c r="T11" s="78">
        <v>149</v>
      </c>
      <c r="U11" s="236">
        <v>122</v>
      </c>
      <c r="V11" s="236">
        <v>126</v>
      </c>
      <c r="W11" s="37">
        <v>150</v>
      </c>
      <c r="X11" s="37"/>
      <c r="Z11" s="31">
        <v>141</v>
      </c>
      <c r="AA11" s="31">
        <v>138</v>
      </c>
      <c r="AB11" s="31">
        <v>129</v>
      </c>
      <c r="AC11" s="31">
        <v>144</v>
      </c>
      <c r="AD11" s="31">
        <v>136</v>
      </c>
      <c r="AE11" s="31">
        <v>143</v>
      </c>
      <c r="AF11" s="31">
        <v>152</v>
      </c>
      <c r="AG11" s="31">
        <v>119</v>
      </c>
      <c r="AH11" s="31">
        <v>157</v>
      </c>
      <c r="AI11" s="31">
        <v>137</v>
      </c>
    </row>
    <row r="12" spans="1:35">
      <c r="A12" s="29" t="s">
        <v>17</v>
      </c>
      <c r="B12" s="30">
        <v>35</v>
      </c>
      <c r="C12" s="30">
        <v>42</v>
      </c>
      <c r="D12" s="30">
        <v>34</v>
      </c>
      <c r="E12" s="30">
        <v>43</v>
      </c>
      <c r="F12" s="30">
        <v>33</v>
      </c>
      <c r="G12" s="30">
        <v>30</v>
      </c>
      <c r="H12" s="30">
        <v>34</v>
      </c>
      <c r="I12" s="37">
        <v>35</v>
      </c>
      <c r="J12" s="37">
        <v>19</v>
      </c>
      <c r="K12" s="37">
        <v>36</v>
      </c>
      <c r="L12" s="37">
        <v>39</v>
      </c>
      <c r="M12" s="37">
        <v>36</v>
      </c>
      <c r="N12" s="37">
        <v>30</v>
      </c>
      <c r="O12" s="37">
        <v>25</v>
      </c>
      <c r="P12" s="37">
        <v>33</v>
      </c>
      <c r="Q12" s="37">
        <v>17</v>
      </c>
      <c r="R12" s="37">
        <v>29</v>
      </c>
      <c r="S12" s="37">
        <v>26</v>
      </c>
      <c r="T12" s="78">
        <v>29</v>
      </c>
      <c r="U12" s="236">
        <v>56</v>
      </c>
      <c r="V12" s="236">
        <v>40</v>
      </c>
      <c r="W12" s="37">
        <v>49</v>
      </c>
      <c r="X12" s="37"/>
      <c r="Z12" s="31">
        <v>35</v>
      </c>
      <c r="AA12" s="31">
        <v>19</v>
      </c>
      <c r="AB12" s="31">
        <v>36</v>
      </c>
      <c r="AC12" s="31">
        <v>39</v>
      </c>
      <c r="AD12" s="31">
        <v>36</v>
      </c>
      <c r="AE12" s="31">
        <v>30</v>
      </c>
      <c r="AF12" s="31">
        <v>25</v>
      </c>
      <c r="AG12" s="31">
        <v>33</v>
      </c>
      <c r="AH12" s="31">
        <v>17</v>
      </c>
      <c r="AI12" s="31">
        <v>29</v>
      </c>
    </row>
    <row r="13" spans="1:35">
      <c r="A13" s="29" t="s">
        <v>74</v>
      </c>
      <c r="B13" s="30" t="s">
        <v>120</v>
      </c>
      <c r="C13" s="30" t="s">
        <v>120</v>
      </c>
      <c r="D13" s="30" t="s">
        <v>120</v>
      </c>
      <c r="E13" s="30" t="s">
        <v>120</v>
      </c>
      <c r="F13" s="30" t="s">
        <v>120</v>
      </c>
      <c r="G13" s="30" t="s">
        <v>120</v>
      </c>
      <c r="H13" s="30" t="s">
        <v>120</v>
      </c>
      <c r="I13" s="37">
        <v>63</v>
      </c>
      <c r="J13" s="37">
        <v>56</v>
      </c>
      <c r="K13" s="37">
        <v>52</v>
      </c>
      <c r="L13" s="37">
        <v>73</v>
      </c>
      <c r="M13" s="37">
        <v>75</v>
      </c>
      <c r="N13" s="37">
        <v>59</v>
      </c>
      <c r="O13" s="37">
        <v>77</v>
      </c>
      <c r="P13" s="37">
        <v>83</v>
      </c>
      <c r="Q13" s="37">
        <v>65</v>
      </c>
      <c r="R13" s="37">
        <v>68</v>
      </c>
      <c r="S13" s="37">
        <v>94</v>
      </c>
      <c r="T13" s="78">
        <v>63</v>
      </c>
      <c r="U13" s="236">
        <v>46</v>
      </c>
      <c r="V13" s="236">
        <v>71</v>
      </c>
      <c r="W13" s="37">
        <v>75</v>
      </c>
      <c r="X13" s="37"/>
      <c r="Z13" s="31" t="s">
        <v>120</v>
      </c>
      <c r="AA13" s="31" t="s">
        <v>120</v>
      </c>
      <c r="AB13" s="31">
        <v>52</v>
      </c>
      <c r="AC13" s="31">
        <v>73</v>
      </c>
      <c r="AD13" s="31">
        <v>75</v>
      </c>
      <c r="AE13" s="31">
        <v>59</v>
      </c>
      <c r="AF13" s="31">
        <v>77</v>
      </c>
      <c r="AG13" s="31">
        <v>83</v>
      </c>
      <c r="AH13" s="31">
        <v>65</v>
      </c>
      <c r="AI13" s="31">
        <v>68</v>
      </c>
    </row>
    <row r="14" spans="1:35">
      <c r="A14" s="29" t="s">
        <v>18</v>
      </c>
      <c r="B14" s="30">
        <v>76</v>
      </c>
      <c r="C14" s="30">
        <v>73</v>
      </c>
      <c r="D14" s="30">
        <v>75</v>
      </c>
      <c r="E14" s="30">
        <v>71</v>
      </c>
      <c r="F14" s="30">
        <v>53</v>
      </c>
      <c r="G14" s="30">
        <v>62</v>
      </c>
      <c r="H14" s="30">
        <v>64</v>
      </c>
      <c r="I14" s="37">
        <v>66</v>
      </c>
      <c r="J14" s="37">
        <v>60</v>
      </c>
      <c r="K14" s="37">
        <v>64</v>
      </c>
      <c r="L14" s="37">
        <v>70</v>
      </c>
      <c r="M14" s="37">
        <v>77</v>
      </c>
      <c r="N14" s="37">
        <v>84</v>
      </c>
      <c r="O14" s="37">
        <v>85</v>
      </c>
      <c r="P14" s="37">
        <v>97</v>
      </c>
      <c r="Q14" s="37">
        <v>68</v>
      </c>
      <c r="R14" s="37">
        <v>74</v>
      </c>
      <c r="S14" s="37">
        <v>80</v>
      </c>
      <c r="T14" s="78">
        <v>82</v>
      </c>
      <c r="U14" s="236">
        <v>65</v>
      </c>
      <c r="V14" s="236">
        <v>65</v>
      </c>
      <c r="W14" s="37">
        <v>73</v>
      </c>
      <c r="X14" s="37"/>
      <c r="Z14" s="31">
        <v>66</v>
      </c>
      <c r="AA14" s="31">
        <v>60</v>
      </c>
      <c r="AB14" s="31">
        <v>64</v>
      </c>
      <c r="AC14" s="31">
        <v>70</v>
      </c>
      <c r="AD14" s="31">
        <v>77</v>
      </c>
      <c r="AE14" s="31">
        <v>84</v>
      </c>
      <c r="AF14" s="31">
        <v>85</v>
      </c>
      <c r="AG14" s="31">
        <v>97</v>
      </c>
      <c r="AH14" s="31">
        <v>68</v>
      </c>
      <c r="AI14" s="31">
        <v>74</v>
      </c>
    </row>
    <row r="15" spans="1:35">
      <c r="A15" s="29" t="s">
        <v>75</v>
      </c>
      <c r="B15" s="30">
        <v>141</v>
      </c>
      <c r="C15" s="30">
        <v>139</v>
      </c>
      <c r="D15" s="30">
        <v>112</v>
      </c>
      <c r="E15" s="30">
        <v>110</v>
      </c>
      <c r="F15" s="30">
        <v>93</v>
      </c>
      <c r="G15" s="30">
        <v>103</v>
      </c>
      <c r="H15" s="30">
        <v>91</v>
      </c>
      <c r="I15" s="37">
        <v>44</v>
      </c>
      <c r="J15" s="37">
        <v>54</v>
      </c>
      <c r="K15" s="37">
        <v>56</v>
      </c>
      <c r="L15" s="37">
        <v>64</v>
      </c>
      <c r="M15" s="37">
        <v>67</v>
      </c>
      <c r="N15" s="37">
        <v>80</v>
      </c>
      <c r="O15" s="37">
        <v>73</v>
      </c>
      <c r="P15" s="37">
        <v>62</v>
      </c>
      <c r="Q15" s="37">
        <v>57</v>
      </c>
      <c r="R15" s="37">
        <v>71</v>
      </c>
      <c r="S15" s="37">
        <v>62</v>
      </c>
      <c r="T15" s="78">
        <v>56</v>
      </c>
      <c r="U15" s="236">
        <v>66</v>
      </c>
      <c r="V15" s="236">
        <v>89</v>
      </c>
      <c r="W15" s="37">
        <v>81</v>
      </c>
      <c r="X15" s="37"/>
      <c r="Z15" s="31">
        <v>61</v>
      </c>
      <c r="AA15" s="31">
        <v>65</v>
      </c>
      <c r="AB15" s="31">
        <v>72</v>
      </c>
      <c r="AC15" s="31">
        <v>70</v>
      </c>
      <c r="AD15" s="31">
        <v>76</v>
      </c>
      <c r="AE15" s="31">
        <v>80</v>
      </c>
      <c r="AF15" s="31">
        <v>72</v>
      </c>
      <c r="AG15" s="31">
        <v>62</v>
      </c>
      <c r="AH15" s="31">
        <v>56</v>
      </c>
      <c r="AI15" s="31">
        <v>71</v>
      </c>
    </row>
    <row r="16" spans="1:35">
      <c r="A16" s="29" t="s">
        <v>19</v>
      </c>
      <c r="B16" s="30">
        <v>54</v>
      </c>
      <c r="C16" s="30">
        <v>44</v>
      </c>
      <c r="D16" s="30">
        <v>39</v>
      </c>
      <c r="E16" s="30">
        <v>40</v>
      </c>
      <c r="F16" s="30">
        <v>33</v>
      </c>
      <c r="G16" s="30">
        <v>42</v>
      </c>
      <c r="H16" s="30">
        <v>43</v>
      </c>
      <c r="I16" s="37">
        <v>67</v>
      </c>
      <c r="J16" s="37">
        <v>63</v>
      </c>
      <c r="K16" s="37">
        <v>73</v>
      </c>
      <c r="L16" s="37">
        <v>94</v>
      </c>
      <c r="M16" s="37">
        <v>73</v>
      </c>
      <c r="N16" s="37">
        <v>78</v>
      </c>
      <c r="O16" s="37">
        <v>98</v>
      </c>
      <c r="P16" s="37">
        <v>78</v>
      </c>
      <c r="Q16" s="37">
        <v>92</v>
      </c>
      <c r="R16" s="37">
        <v>87</v>
      </c>
      <c r="S16" s="37">
        <v>93</v>
      </c>
      <c r="T16" s="78">
        <v>84</v>
      </c>
      <c r="U16" s="236">
        <v>91</v>
      </c>
      <c r="V16" s="236">
        <v>98</v>
      </c>
      <c r="W16" s="37">
        <v>75</v>
      </c>
      <c r="X16" s="37"/>
      <c r="Z16" s="31">
        <v>44</v>
      </c>
      <c r="AA16" s="31">
        <v>43</v>
      </c>
      <c r="AB16" s="31">
        <v>44</v>
      </c>
      <c r="AC16" s="31">
        <v>59</v>
      </c>
      <c r="AD16" s="31">
        <v>49</v>
      </c>
      <c r="AE16" s="31">
        <v>47</v>
      </c>
      <c r="AF16" s="31">
        <v>57</v>
      </c>
      <c r="AG16" s="31">
        <v>78</v>
      </c>
      <c r="AH16" s="31">
        <v>92</v>
      </c>
      <c r="AI16" s="31">
        <v>87</v>
      </c>
    </row>
    <row r="17" spans="1:35">
      <c r="A17" s="29" t="s">
        <v>20</v>
      </c>
      <c r="B17" s="30">
        <v>40</v>
      </c>
      <c r="C17" s="30">
        <v>50</v>
      </c>
      <c r="D17" s="30">
        <v>49</v>
      </c>
      <c r="E17" s="30">
        <v>37</v>
      </c>
      <c r="F17" s="30">
        <v>40</v>
      </c>
      <c r="G17" s="30">
        <v>40</v>
      </c>
      <c r="H17" s="30">
        <v>57</v>
      </c>
      <c r="I17" s="37">
        <v>55</v>
      </c>
      <c r="J17" s="37">
        <v>50</v>
      </c>
      <c r="K17" s="37">
        <v>47</v>
      </c>
      <c r="L17" s="37">
        <v>61</v>
      </c>
      <c r="M17" s="37">
        <v>43</v>
      </c>
      <c r="N17" s="37">
        <v>51</v>
      </c>
      <c r="O17" s="37">
        <v>47</v>
      </c>
      <c r="P17" s="37">
        <v>47</v>
      </c>
      <c r="Q17" s="37">
        <v>69</v>
      </c>
      <c r="R17" s="37">
        <v>60</v>
      </c>
      <c r="S17" s="37">
        <v>44</v>
      </c>
      <c r="T17" s="78">
        <v>47</v>
      </c>
      <c r="U17" s="236">
        <v>47</v>
      </c>
      <c r="V17" s="236">
        <v>44</v>
      </c>
      <c r="W17" s="37">
        <v>42</v>
      </c>
      <c r="X17" s="37"/>
      <c r="Z17" s="31">
        <v>55</v>
      </c>
      <c r="AA17" s="31">
        <v>50</v>
      </c>
      <c r="AB17" s="31">
        <v>47</v>
      </c>
      <c r="AC17" s="31">
        <v>61</v>
      </c>
      <c r="AD17" s="31">
        <v>43</v>
      </c>
      <c r="AE17" s="31">
        <v>51</v>
      </c>
      <c r="AF17" s="31">
        <v>47</v>
      </c>
      <c r="AG17" s="31">
        <v>47</v>
      </c>
      <c r="AH17" s="31">
        <v>69</v>
      </c>
      <c r="AI17" s="31">
        <v>60</v>
      </c>
    </row>
    <row r="18" spans="1:35">
      <c r="A18" s="29" t="s">
        <v>21</v>
      </c>
      <c r="B18" s="30">
        <v>56</v>
      </c>
      <c r="C18" s="30">
        <v>49</v>
      </c>
      <c r="D18" s="30">
        <v>54</v>
      </c>
      <c r="E18" s="30">
        <v>60</v>
      </c>
      <c r="F18" s="30">
        <v>58</v>
      </c>
      <c r="G18" s="30">
        <v>61</v>
      </c>
      <c r="H18" s="30">
        <v>58</v>
      </c>
      <c r="I18" s="37">
        <v>63</v>
      </c>
      <c r="J18" s="37">
        <v>63</v>
      </c>
      <c r="K18" s="37">
        <v>63</v>
      </c>
      <c r="L18" s="37">
        <v>52</v>
      </c>
      <c r="M18" s="37">
        <v>54</v>
      </c>
      <c r="N18" s="37">
        <v>60</v>
      </c>
      <c r="O18" s="37">
        <v>50</v>
      </c>
      <c r="P18" s="37">
        <v>55</v>
      </c>
      <c r="Q18" s="37">
        <v>77</v>
      </c>
      <c r="R18" s="37">
        <v>54</v>
      </c>
      <c r="S18" s="37">
        <v>57</v>
      </c>
      <c r="T18" s="78">
        <v>41</v>
      </c>
      <c r="U18" s="236">
        <v>40</v>
      </c>
      <c r="V18" s="236">
        <v>60</v>
      </c>
      <c r="W18" s="37">
        <v>37</v>
      </c>
      <c r="X18" s="37"/>
      <c r="Z18" s="31">
        <v>63</v>
      </c>
      <c r="AA18" s="31">
        <v>63</v>
      </c>
      <c r="AB18" s="31">
        <v>63</v>
      </c>
      <c r="AC18" s="31">
        <v>52</v>
      </c>
      <c r="AD18" s="31">
        <v>54</v>
      </c>
      <c r="AE18" s="31">
        <v>60</v>
      </c>
      <c r="AF18" s="31">
        <v>50</v>
      </c>
      <c r="AG18" s="31">
        <v>55</v>
      </c>
      <c r="AH18" s="31">
        <v>77</v>
      </c>
      <c r="AI18" s="31">
        <v>54</v>
      </c>
    </row>
    <row r="19" spans="1:35">
      <c r="A19" s="29" t="s">
        <v>22</v>
      </c>
      <c r="B19" s="30">
        <v>54</v>
      </c>
      <c r="C19" s="30">
        <v>57</v>
      </c>
      <c r="D19" s="30">
        <v>51</v>
      </c>
      <c r="E19" s="30">
        <v>65</v>
      </c>
      <c r="F19" s="30">
        <v>67</v>
      </c>
      <c r="G19" s="30">
        <v>65</v>
      </c>
      <c r="H19" s="30">
        <v>78</v>
      </c>
      <c r="I19" s="37">
        <v>55</v>
      </c>
      <c r="J19" s="37">
        <v>53</v>
      </c>
      <c r="K19" s="37">
        <v>73</v>
      </c>
      <c r="L19" s="37">
        <v>75</v>
      </c>
      <c r="M19" s="37">
        <v>79</v>
      </c>
      <c r="N19" s="37">
        <v>71</v>
      </c>
      <c r="O19" s="37">
        <v>67</v>
      </c>
      <c r="P19" s="37">
        <v>67</v>
      </c>
      <c r="Q19" s="37">
        <v>75</v>
      </c>
      <c r="R19" s="37">
        <v>66</v>
      </c>
      <c r="S19" s="37">
        <v>81</v>
      </c>
      <c r="T19" s="78">
        <v>63</v>
      </c>
      <c r="U19" s="236">
        <v>73</v>
      </c>
      <c r="V19" s="236">
        <v>64</v>
      </c>
      <c r="W19" s="37">
        <v>60</v>
      </c>
      <c r="X19" s="37"/>
      <c r="Z19" s="31">
        <v>55</v>
      </c>
      <c r="AA19" s="31">
        <v>53</v>
      </c>
      <c r="AB19" s="31">
        <v>73</v>
      </c>
      <c r="AC19" s="31">
        <v>75</v>
      </c>
      <c r="AD19" s="31">
        <v>79</v>
      </c>
      <c r="AE19" s="31">
        <v>71</v>
      </c>
      <c r="AF19" s="31">
        <v>67</v>
      </c>
      <c r="AG19" s="31">
        <v>67</v>
      </c>
      <c r="AH19" s="31">
        <v>75</v>
      </c>
      <c r="AI19" s="31">
        <v>66</v>
      </c>
    </row>
    <row r="20" spans="1:35">
      <c r="A20" s="29" t="s">
        <v>23</v>
      </c>
      <c r="B20" s="30">
        <v>103</v>
      </c>
      <c r="C20" s="30">
        <v>78</v>
      </c>
      <c r="D20" s="30">
        <v>79</v>
      </c>
      <c r="E20" s="30">
        <v>80</v>
      </c>
      <c r="F20" s="30">
        <v>77</v>
      </c>
      <c r="G20" s="30">
        <v>98</v>
      </c>
      <c r="H20" s="30">
        <v>78</v>
      </c>
      <c r="I20" s="37">
        <v>85</v>
      </c>
      <c r="J20" s="37">
        <v>76</v>
      </c>
      <c r="K20" s="37">
        <v>89</v>
      </c>
      <c r="L20" s="37">
        <v>80</v>
      </c>
      <c r="M20" s="37">
        <v>84</v>
      </c>
      <c r="N20" s="37">
        <v>105</v>
      </c>
      <c r="O20" s="37">
        <v>88</v>
      </c>
      <c r="P20" s="37">
        <v>106</v>
      </c>
      <c r="Q20" s="37">
        <v>107</v>
      </c>
      <c r="R20" s="37">
        <v>116</v>
      </c>
      <c r="S20" s="37">
        <v>105</v>
      </c>
      <c r="T20" s="78">
        <v>111</v>
      </c>
      <c r="U20" s="236">
        <v>92</v>
      </c>
      <c r="V20" s="236">
        <v>101</v>
      </c>
      <c r="W20" s="37">
        <v>89</v>
      </c>
      <c r="X20" s="37"/>
      <c r="Z20" s="31">
        <v>85</v>
      </c>
      <c r="AA20" s="31">
        <v>76</v>
      </c>
      <c r="AB20" s="31">
        <v>89</v>
      </c>
      <c r="AC20" s="31">
        <v>80</v>
      </c>
      <c r="AD20" s="31">
        <v>84</v>
      </c>
      <c r="AE20" s="31">
        <v>105</v>
      </c>
      <c r="AF20" s="31">
        <v>88</v>
      </c>
      <c r="AG20" s="31">
        <v>106</v>
      </c>
      <c r="AH20" s="31">
        <v>107</v>
      </c>
      <c r="AI20" s="31">
        <v>116</v>
      </c>
    </row>
    <row r="21" spans="1:35">
      <c r="A21" s="29" t="s">
        <v>24</v>
      </c>
      <c r="B21" s="30">
        <v>75</v>
      </c>
      <c r="C21" s="30">
        <v>84</v>
      </c>
      <c r="D21" s="30">
        <v>68</v>
      </c>
      <c r="E21" s="30">
        <v>79</v>
      </c>
      <c r="F21" s="30">
        <v>72</v>
      </c>
      <c r="G21" s="30">
        <v>76</v>
      </c>
      <c r="H21" s="30">
        <v>76</v>
      </c>
      <c r="I21" s="37">
        <v>75</v>
      </c>
      <c r="J21" s="37">
        <v>82</v>
      </c>
      <c r="K21" s="37">
        <v>61</v>
      </c>
      <c r="L21" s="37">
        <v>89</v>
      </c>
      <c r="M21" s="37">
        <v>78</v>
      </c>
      <c r="N21" s="37">
        <v>111</v>
      </c>
      <c r="O21" s="37">
        <v>86</v>
      </c>
      <c r="P21" s="37">
        <v>90</v>
      </c>
      <c r="Q21" s="37">
        <v>94</v>
      </c>
      <c r="R21" s="37">
        <v>109</v>
      </c>
      <c r="S21" s="37">
        <v>88</v>
      </c>
      <c r="T21" s="78">
        <v>78</v>
      </c>
      <c r="U21" s="236">
        <v>80</v>
      </c>
      <c r="V21" s="236">
        <v>86</v>
      </c>
      <c r="W21" s="37">
        <v>59</v>
      </c>
      <c r="X21" s="37"/>
      <c r="Z21" s="31">
        <v>75</v>
      </c>
      <c r="AA21" s="31">
        <v>82</v>
      </c>
      <c r="AB21" s="31">
        <v>61</v>
      </c>
      <c r="AC21" s="31">
        <v>89</v>
      </c>
      <c r="AD21" s="31">
        <v>78</v>
      </c>
      <c r="AE21" s="31">
        <v>111</v>
      </c>
      <c r="AF21" s="31">
        <v>86</v>
      </c>
      <c r="AG21" s="31">
        <v>90</v>
      </c>
      <c r="AH21" s="31">
        <v>94</v>
      </c>
      <c r="AI21" s="31">
        <v>109</v>
      </c>
    </row>
    <row r="22" spans="1:35">
      <c r="A22" s="29" t="s">
        <v>82</v>
      </c>
      <c r="B22" s="30">
        <v>93</v>
      </c>
      <c r="C22" s="30">
        <v>94</v>
      </c>
      <c r="D22" s="30">
        <v>83</v>
      </c>
      <c r="E22" s="30">
        <v>90</v>
      </c>
      <c r="F22" s="30">
        <v>77</v>
      </c>
      <c r="G22" s="30">
        <v>71</v>
      </c>
      <c r="H22" s="30">
        <v>70</v>
      </c>
      <c r="I22" s="37">
        <v>61</v>
      </c>
      <c r="J22" s="37">
        <v>97</v>
      </c>
      <c r="K22" s="37">
        <v>111</v>
      </c>
      <c r="L22" s="37">
        <v>108</v>
      </c>
      <c r="M22" s="37">
        <v>84</v>
      </c>
      <c r="N22" s="37">
        <v>112</v>
      </c>
      <c r="O22" s="37">
        <v>101</v>
      </c>
      <c r="P22" s="37">
        <v>109</v>
      </c>
      <c r="Q22" s="37">
        <v>91</v>
      </c>
      <c r="R22" s="37">
        <v>125</v>
      </c>
      <c r="S22" s="37">
        <v>91</v>
      </c>
      <c r="T22" s="78">
        <v>106</v>
      </c>
      <c r="U22" s="236">
        <v>96</v>
      </c>
      <c r="V22" s="236">
        <v>98</v>
      </c>
      <c r="W22" s="37">
        <v>80</v>
      </c>
      <c r="X22" s="37"/>
      <c r="Z22" s="31">
        <v>61</v>
      </c>
      <c r="AA22" s="31">
        <v>97</v>
      </c>
      <c r="AB22" s="31">
        <v>111</v>
      </c>
      <c r="AC22" s="31">
        <v>108</v>
      </c>
      <c r="AD22" s="31">
        <v>84</v>
      </c>
      <c r="AE22" s="31">
        <v>112</v>
      </c>
      <c r="AF22" s="31">
        <v>101</v>
      </c>
      <c r="AG22" s="31">
        <v>109</v>
      </c>
      <c r="AH22" s="31">
        <v>91</v>
      </c>
      <c r="AI22" s="31">
        <v>125</v>
      </c>
    </row>
    <row r="23" spans="1:35">
      <c r="A23" s="29" t="s">
        <v>76</v>
      </c>
      <c r="B23" s="30">
        <v>92</v>
      </c>
      <c r="C23" s="30">
        <v>73</v>
      </c>
      <c r="D23" s="30">
        <v>88</v>
      </c>
      <c r="E23" s="30">
        <v>92</v>
      </c>
      <c r="F23" s="30">
        <v>81</v>
      </c>
      <c r="G23" s="30">
        <v>92</v>
      </c>
      <c r="H23" s="30">
        <v>87</v>
      </c>
      <c r="I23" s="37">
        <v>98</v>
      </c>
      <c r="J23" s="37">
        <v>91</v>
      </c>
      <c r="K23" s="37">
        <v>102</v>
      </c>
      <c r="L23" s="37">
        <v>107</v>
      </c>
      <c r="M23" s="37">
        <v>94</v>
      </c>
      <c r="N23" s="37">
        <v>101</v>
      </c>
      <c r="O23" s="37">
        <v>93</v>
      </c>
      <c r="P23" s="37">
        <v>78</v>
      </c>
      <c r="Q23" s="37">
        <v>85</v>
      </c>
      <c r="R23" s="37">
        <v>81</v>
      </c>
      <c r="S23" s="37">
        <v>85</v>
      </c>
      <c r="T23" s="78">
        <v>84</v>
      </c>
      <c r="U23" s="236">
        <v>77</v>
      </c>
      <c r="V23" s="236">
        <v>89</v>
      </c>
      <c r="W23" s="37">
        <v>104</v>
      </c>
      <c r="X23" s="37"/>
      <c r="Z23" s="31">
        <v>98</v>
      </c>
      <c r="AA23" s="31">
        <v>91</v>
      </c>
      <c r="AB23" s="31">
        <v>102</v>
      </c>
      <c r="AC23" s="31">
        <v>107</v>
      </c>
      <c r="AD23" s="31">
        <v>94</v>
      </c>
      <c r="AE23" s="31">
        <v>101</v>
      </c>
      <c r="AF23" s="31">
        <v>93</v>
      </c>
      <c r="AG23" s="31">
        <v>78</v>
      </c>
      <c r="AH23" s="31">
        <v>85</v>
      </c>
      <c r="AI23" s="31">
        <v>81</v>
      </c>
    </row>
    <row r="24" spans="1:35">
      <c r="A24" s="29" t="s">
        <v>25</v>
      </c>
      <c r="B24" s="30">
        <v>35</v>
      </c>
      <c r="C24" s="30">
        <v>40</v>
      </c>
      <c r="D24" s="30">
        <v>42</v>
      </c>
      <c r="E24" s="30">
        <v>37</v>
      </c>
      <c r="F24" s="30">
        <v>41</v>
      </c>
      <c r="G24" s="30">
        <v>46</v>
      </c>
      <c r="H24" s="30">
        <v>32</v>
      </c>
      <c r="I24" s="37">
        <v>49</v>
      </c>
      <c r="J24" s="37">
        <v>46</v>
      </c>
      <c r="K24" s="37">
        <v>33</v>
      </c>
      <c r="L24" s="37">
        <v>32</v>
      </c>
      <c r="M24" s="37">
        <v>51</v>
      </c>
      <c r="N24" s="37">
        <v>46</v>
      </c>
      <c r="O24" s="37">
        <v>36</v>
      </c>
      <c r="P24" s="37">
        <v>44</v>
      </c>
      <c r="Q24" s="37">
        <v>47</v>
      </c>
      <c r="R24" s="37">
        <v>44</v>
      </c>
      <c r="S24" s="37">
        <v>53</v>
      </c>
      <c r="T24" s="78">
        <v>45</v>
      </c>
      <c r="U24" s="236">
        <v>46</v>
      </c>
      <c r="V24" s="236">
        <v>46</v>
      </c>
      <c r="W24" s="37">
        <v>39</v>
      </c>
      <c r="X24" s="37"/>
      <c r="Z24" s="31">
        <v>49</v>
      </c>
      <c r="AA24" s="31">
        <v>46</v>
      </c>
      <c r="AB24" s="31">
        <v>33</v>
      </c>
      <c r="AC24" s="31">
        <v>32</v>
      </c>
      <c r="AD24" s="31">
        <v>51</v>
      </c>
      <c r="AE24" s="31">
        <v>46</v>
      </c>
      <c r="AF24" s="31">
        <v>36</v>
      </c>
      <c r="AG24" s="31">
        <v>44</v>
      </c>
      <c r="AH24" s="31">
        <v>47</v>
      </c>
      <c r="AI24" s="31">
        <v>44</v>
      </c>
    </row>
    <row r="25" spans="1:35">
      <c r="A25" s="29" t="s">
        <v>77</v>
      </c>
      <c r="B25" s="30" t="s">
        <v>120</v>
      </c>
      <c r="C25" s="30" t="s">
        <v>120</v>
      </c>
      <c r="D25" s="30" t="s">
        <v>120</v>
      </c>
      <c r="E25" s="30" t="s">
        <v>120</v>
      </c>
      <c r="F25" s="30" t="s">
        <v>120</v>
      </c>
      <c r="G25" s="30" t="s">
        <v>120</v>
      </c>
      <c r="H25" s="30" t="s">
        <v>120</v>
      </c>
      <c r="I25" s="37">
        <v>50</v>
      </c>
      <c r="J25" s="37">
        <v>35</v>
      </c>
      <c r="K25" s="37">
        <v>56</v>
      </c>
      <c r="L25" s="37">
        <v>44</v>
      </c>
      <c r="M25" s="37">
        <v>53</v>
      </c>
      <c r="N25" s="37">
        <v>53</v>
      </c>
      <c r="O25" s="37">
        <v>48</v>
      </c>
      <c r="P25" s="37">
        <v>48</v>
      </c>
      <c r="Q25" s="37">
        <v>40</v>
      </c>
      <c r="R25" s="37">
        <v>46</v>
      </c>
      <c r="S25" s="37">
        <v>52</v>
      </c>
      <c r="T25" s="78">
        <v>63</v>
      </c>
      <c r="U25" s="236">
        <v>68</v>
      </c>
      <c r="V25" s="236">
        <v>60</v>
      </c>
      <c r="W25" s="37">
        <v>57</v>
      </c>
      <c r="X25" s="37"/>
      <c r="Z25" s="31" t="s">
        <v>120</v>
      </c>
      <c r="AA25" s="31" t="s">
        <v>120</v>
      </c>
      <c r="AB25" s="31">
        <v>56</v>
      </c>
      <c r="AC25" s="31">
        <v>44</v>
      </c>
      <c r="AD25" s="31">
        <v>53</v>
      </c>
      <c r="AE25" s="31">
        <v>53</v>
      </c>
      <c r="AF25" s="31">
        <v>48</v>
      </c>
      <c r="AG25" s="31">
        <v>48</v>
      </c>
      <c r="AH25" s="31">
        <v>40</v>
      </c>
      <c r="AI25" s="31">
        <v>46</v>
      </c>
    </row>
    <row r="26" spans="1:35">
      <c r="A26" s="29" t="s">
        <v>26</v>
      </c>
      <c r="B26" s="30">
        <v>10</v>
      </c>
      <c r="C26" s="30">
        <v>11</v>
      </c>
      <c r="D26" s="30">
        <v>12</v>
      </c>
      <c r="E26" s="30">
        <v>9</v>
      </c>
      <c r="F26" s="30">
        <v>11</v>
      </c>
      <c r="G26" s="30">
        <v>8</v>
      </c>
      <c r="H26" s="30">
        <v>7</v>
      </c>
      <c r="I26" s="37">
        <v>17</v>
      </c>
      <c r="J26" s="37">
        <v>12</v>
      </c>
      <c r="K26" s="37">
        <v>7</v>
      </c>
      <c r="L26" s="37">
        <v>7</v>
      </c>
      <c r="M26" s="37">
        <v>8</v>
      </c>
      <c r="N26" s="37">
        <v>12</v>
      </c>
      <c r="O26" s="37">
        <v>4</v>
      </c>
      <c r="P26" s="37">
        <v>19</v>
      </c>
      <c r="Q26" s="37">
        <v>9</v>
      </c>
      <c r="R26" s="37">
        <v>9</v>
      </c>
      <c r="S26" s="37">
        <v>11</v>
      </c>
      <c r="T26" s="78">
        <v>8</v>
      </c>
      <c r="U26" s="236">
        <v>13</v>
      </c>
      <c r="V26" s="236">
        <v>18</v>
      </c>
      <c r="W26" s="37">
        <v>25</v>
      </c>
      <c r="X26" s="37"/>
      <c r="Z26" s="31">
        <v>17</v>
      </c>
      <c r="AA26" s="31">
        <v>12</v>
      </c>
      <c r="AB26" s="31">
        <v>7</v>
      </c>
      <c r="AC26" s="31">
        <v>7</v>
      </c>
      <c r="AD26" s="31">
        <v>8</v>
      </c>
      <c r="AE26" s="31">
        <v>12</v>
      </c>
      <c r="AF26" s="31">
        <v>4</v>
      </c>
      <c r="AG26" s="31">
        <v>19</v>
      </c>
      <c r="AH26" s="31">
        <v>9</v>
      </c>
      <c r="AI26" s="31">
        <v>9</v>
      </c>
    </row>
    <row r="27" spans="1:35">
      <c r="A27" s="29" t="s">
        <v>27</v>
      </c>
      <c r="B27" s="30">
        <v>81</v>
      </c>
      <c r="C27" s="30">
        <v>70</v>
      </c>
      <c r="D27" s="30">
        <v>75</v>
      </c>
      <c r="E27" s="30">
        <v>64</v>
      </c>
      <c r="F27" s="30">
        <v>57</v>
      </c>
      <c r="G27" s="30">
        <v>57</v>
      </c>
      <c r="H27" s="30">
        <v>72</v>
      </c>
      <c r="I27" s="37">
        <v>75</v>
      </c>
      <c r="J27" s="37">
        <v>76</v>
      </c>
      <c r="K27" s="37">
        <v>94</v>
      </c>
      <c r="L27" s="37">
        <v>104</v>
      </c>
      <c r="M27" s="37">
        <v>114</v>
      </c>
      <c r="N27" s="37">
        <v>115</v>
      </c>
      <c r="O27" s="37">
        <v>118</v>
      </c>
      <c r="P27" s="37">
        <v>145</v>
      </c>
      <c r="Q27" s="37">
        <v>134</v>
      </c>
      <c r="R27" s="37">
        <v>142</v>
      </c>
      <c r="S27" s="37">
        <v>121</v>
      </c>
      <c r="T27" s="78">
        <v>104</v>
      </c>
      <c r="U27" s="236">
        <v>141</v>
      </c>
      <c r="V27" s="236">
        <v>130</v>
      </c>
      <c r="W27" s="37">
        <v>111</v>
      </c>
      <c r="X27" s="37"/>
      <c r="Z27" s="31">
        <v>57</v>
      </c>
      <c r="AA27" s="31">
        <v>76</v>
      </c>
      <c r="AB27" s="31">
        <v>94</v>
      </c>
      <c r="AC27" s="31">
        <v>104</v>
      </c>
      <c r="AD27" s="31">
        <v>114</v>
      </c>
      <c r="AE27" s="31">
        <v>115</v>
      </c>
      <c r="AF27" s="31">
        <v>118</v>
      </c>
      <c r="AG27" s="31">
        <v>145</v>
      </c>
      <c r="AH27" s="31">
        <v>134</v>
      </c>
      <c r="AI27" s="31">
        <v>142</v>
      </c>
    </row>
    <row r="28" spans="1:35">
      <c r="A28" s="29" t="s">
        <v>28</v>
      </c>
      <c r="B28" s="30">
        <v>55</v>
      </c>
      <c r="C28" s="30">
        <v>53</v>
      </c>
      <c r="D28" s="30">
        <v>52</v>
      </c>
      <c r="E28" s="30">
        <v>49</v>
      </c>
      <c r="F28" s="30">
        <v>53</v>
      </c>
      <c r="G28" s="30">
        <v>53</v>
      </c>
      <c r="H28" s="30">
        <v>58</v>
      </c>
      <c r="I28" s="37">
        <v>55</v>
      </c>
      <c r="J28" s="37">
        <v>48</v>
      </c>
      <c r="K28" s="37">
        <v>37</v>
      </c>
      <c r="L28" s="37">
        <v>44</v>
      </c>
      <c r="M28" s="37">
        <v>47</v>
      </c>
      <c r="N28" s="37">
        <v>51</v>
      </c>
      <c r="O28" s="37">
        <v>53</v>
      </c>
      <c r="P28" s="37">
        <v>54</v>
      </c>
      <c r="Q28" s="37">
        <v>42</v>
      </c>
      <c r="R28" s="37">
        <v>46</v>
      </c>
      <c r="S28" s="37">
        <v>44</v>
      </c>
      <c r="T28" s="78">
        <v>47</v>
      </c>
      <c r="U28" s="236">
        <v>46</v>
      </c>
      <c r="V28" s="236">
        <v>42</v>
      </c>
      <c r="W28" s="37">
        <v>39</v>
      </c>
      <c r="X28" s="37"/>
      <c r="Z28" s="31">
        <v>55</v>
      </c>
      <c r="AA28" s="31">
        <v>48</v>
      </c>
      <c r="AB28" s="31">
        <v>37</v>
      </c>
      <c r="AC28" s="31">
        <v>44</v>
      </c>
      <c r="AD28" s="31">
        <v>47</v>
      </c>
      <c r="AE28" s="31">
        <v>51</v>
      </c>
      <c r="AF28" s="31">
        <v>53</v>
      </c>
      <c r="AG28" s="31">
        <v>54</v>
      </c>
      <c r="AH28" s="31">
        <v>42</v>
      </c>
      <c r="AI28" s="31">
        <v>46</v>
      </c>
    </row>
    <row r="29" spans="1:35">
      <c r="A29" s="29" t="s">
        <v>29</v>
      </c>
      <c r="B29" s="30">
        <v>49</v>
      </c>
      <c r="C29" s="30">
        <v>46</v>
      </c>
      <c r="D29" s="30">
        <v>46</v>
      </c>
      <c r="E29" s="30">
        <v>47</v>
      </c>
      <c r="F29" s="30">
        <v>43</v>
      </c>
      <c r="G29" s="30">
        <v>37</v>
      </c>
      <c r="H29" s="30">
        <v>32</v>
      </c>
      <c r="I29" s="37">
        <v>40</v>
      </c>
      <c r="J29" s="37">
        <v>34</v>
      </c>
      <c r="K29" s="37">
        <v>38</v>
      </c>
      <c r="L29" s="37">
        <v>43</v>
      </c>
      <c r="M29" s="37">
        <v>42</v>
      </c>
      <c r="N29" s="37">
        <v>44</v>
      </c>
      <c r="O29" s="37">
        <v>42</v>
      </c>
      <c r="P29" s="37">
        <v>45</v>
      </c>
      <c r="Q29" s="37">
        <v>46</v>
      </c>
      <c r="R29" s="37">
        <v>29</v>
      </c>
      <c r="S29" s="37">
        <v>33</v>
      </c>
      <c r="T29" s="78">
        <v>49</v>
      </c>
      <c r="U29" s="236">
        <v>35</v>
      </c>
      <c r="V29" s="236">
        <v>28</v>
      </c>
      <c r="W29" s="37">
        <v>33</v>
      </c>
      <c r="X29" s="37"/>
      <c r="Z29" s="31">
        <v>40</v>
      </c>
      <c r="AA29" s="31">
        <v>34</v>
      </c>
      <c r="AB29" s="31">
        <v>38</v>
      </c>
      <c r="AC29" s="31">
        <v>43</v>
      </c>
      <c r="AD29" s="31">
        <v>42</v>
      </c>
      <c r="AE29" s="31">
        <v>44</v>
      </c>
      <c r="AF29" s="31">
        <v>42</v>
      </c>
      <c r="AG29" s="31">
        <v>45</v>
      </c>
      <c r="AH29" s="31">
        <v>46</v>
      </c>
      <c r="AI29" s="31">
        <v>29</v>
      </c>
    </row>
    <row r="30" spans="1:35">
      <c r="A30" s="29" t="s">
        <v>30</v>
      </c>
      <c r="B30" s="30">
        <v>48</v>
      </c>
      <c r="C30" s="30">
        <v>43</v>
      </c>
      <c r="D30" s="30">
        <v>51</v>
      </c>
      <c r="E30" s="30">
        <v>40</v>
      </c>
      <c r="F30" s="30">
        <v>44</v>
      </c>
      <c r="G30" s="30">
        <v>37</v>
      </c>
      <c r="H30" s="30">
        <v>36</v>
      </c>
      <c r="I30" s="37">
        <v>30</v>
      </c>
      <c r="J30" s="37">
        <v>46</v>
      </c>
      <c r="K30" s="37">
        <v>43</v>
      </c>
      <c r="L30" s="37">
        <v>50</v>
      </c>
      <c r="M30" s="37">
        <v>35</v>
      </c>
      <c r="N30" s="37">
        <v>58</v>
      </c>
      <c r="O30" s="37">
        <v>42</v>
      </c>
      <c r="P30" s="37">
        <v>42</v>
      </c>
      <c r="Q30" s="37">
        <v>52</v>
      </c>
      <c r="R30" s="37">
        <v>49</v>
      </c>
      <c r="S30" s="37">
        <v>51</v>
      </c>
      <c r="T30" s="78">
        <v>33</v>
      </c>
      <c r="U30" s="236">
        <v>46</v>
      </c>
      <c r="V30" s="236">
        <v>49</v>
      </c>
      <c r="W30" s="37">
        <v>55</v>
      </c>
      <c r="X30" s="37"/>
      <c r="Z30" s="31">
        <v>30</v>
      </c>
      <c r="AA30" s="31">
        <v>46</v>
      </c>
      <c r="AB30" s="31">
        <v>43</v>
      </c>
      <c r="AC30" s="31">
        <v>50</v>
      </c>
      <c r="AD30" s="31">
        <v>35</v>
      </c>
      <c r="AE30" s="31">
        <v>58</v>
      </c>
      <c r="AF30" s="31">
        <v>42</v>
      </c>
      <c r="AG30" s="31">
        <v>42</v>
      </c>
      <c r="AH30" s="31">
        <v>52</v>
      </c>
      <c r="AI30" s="31">
        <v>49</v>
      </c>
    </row>
    <row r="31" spans="1:35">
      <c r="A31" s="29" t="s">
        <v>31</v>
      </c>
      <c r="B31" s="30">
        <v>37</v>
      </c>
      <c r="C31" s="30">
        <v>36</v>
      </c>
      <c r="D31" s="30">
        <v>37</v>
      </c>
      <c r="E31" s="30">
        <v>26</v>
      </c>
      <c r="F31" s="30">
        <v>36</v>
      </c>
      <c r="G31" s="30">
        <v>29</v>
      </c>
      <c r="H31" s="30">
        <v>26</v>
      </c>
      <c r="I31" s="37">
        <v>47</v>
      </c>
      <c r="J31" s="37">
        <v>44</v>
      </c>
      <c r="K31" s="37">
        <v>45</v>
      </c>
      <c r="L31" s="37">
        <v>63</v>
      </c>
      <c r="M31" s="37">
        <v>43</v>
      </c>
      <c r="N31" s="37">
        <v>53</v>
      </c>
      <c r="O31" s="37">
        <v>70</v>
      </c>
      <c r="P31" s="37">
        <v>62</v>
      </c>
      <c r="Q31" s="37">
        <v>62</v>
      </c>
      <c r="R31" s="37">
        <v>60</v>
      </c>
      <c r="S31" s="37">
        <v>65</v>
      </c>
      <c r="T31" s="78">
        <v>70</v>
      </c>
      <c r="U31" s="236">
        <v>63</v>
      </c>
      <c r="V31" s="236">
        <v>49</v>
      </c>
      <c r="W31" s="37">
        <v>72</v>
      </c>
      <c r="X31" s="37"/>
      <c r="Z31" s="31">
        <v>41</v>
      </c>
      <c r="AA31" s="31">
        <v>31</v>
      </c>
      <c r="AB31" s="31">
        <v>34</v>
      </c>
      <c r="AC31" s="31">
        <v>48</v>
      </c>
      <c r="AD31" s="31">
        <v>35</v>
      </c>
      <c r="AE31" s="31">
        <v>40</v>
      </c>
      <c r="AF31" s="31">
        <v>53</v>
      </c>
      <c r="AG31" s="31">
        <v>62</v>
      </c>
      <c r="AH31" s="31">
        <v>62</v>
      </c>
      <c r="AI31" s="31">
        <v>60</v>
      </c>
    </row>
    <row r="32" spans="1:35">
      <c r="A32" s="29" t="s">
        <v>32</v>
      </c>
      <c r="B32" s="30">
        <v>60</v>
      </c>
      <c r="C32" s="30">
        <v>39</v>
      </c>
      <c r="D32" s="30">
        <v>48</v>
      </c>
      <c r="E32" s="30">
        <v>43</v>
      </c>
      <c r="F32" s="30">
        <v>41</v>
      </c>
      <c r="G32" s="30">
        <v>36</v>
      </c>
      <c r="H32" s="30">
        <v>46</v>
      </c>
      <c r="I32" s="37">
        <v>38</v>
      </c>
      <c r="J32" s="37">
        <v>42</v>
      </c>
      <c r="K32" s="37">
        <v>39</v>
      </c>
      <c r="L32" s="37">
        <v>42</v>
      </c>
      <c r="M32" s="37">
        <v>43</v>
      </c>
      <c r="N32" s="37">
        <v>34</v>
      </c>
      <c r="O32" s="37">
        <v>48</v>
      </c>
      <c r="P32" s="37">
        <v>29</v>
      </c>
      <c r="Q32" s="37">
        <v>38</v>
      </c>
      <c r="R32" s="37">
        <v>46</v>
      </c>
      <c r="S32" s="37">
        <v>37</v>
      </c>
      <c r="T32" s="78">
        <v>45</v>
      </c>
      <c r="U32" s="236">
        <v>39</v>
      </c>
      <c r="V32" s="236">
        <v>40</v>
      </c>
      <c r="W32" s="37">
        <v>36</v>
      </c>
      <c r="X32" s="37"/>
      <c r="Z32" s="31">
        <v>38</v>
      </c>
      <c r="AA32" s="31">
        <v>42</v>
      </c>
      <c r="AB32" s="31">
        <v>39</v>
      </c>
      <c r="AC32" s="31">
        <v>42</v>
      </c>
      <c r="AD32" s="31">
        <v>43</v>
      </c>
      <c r="AE32" s="31">
        <v>34</v>
      </c>
      <c r="AF32" s="31">
        <v>48</v>
      </c>
      <c r="AG32" s="31">
        <v>29</v>
      </c>
      <c r="AH32" s="31">
        <v>38</v>
      </c>
      <c r="AI32" s="31">
        <v>46</v>
      </c>
    </row>
    <row r="33" spans="1:35">
      <c r="A33" s="29" t="s">
        <v>33</v>
      </c>
      <c r="B33" s="30">
        <v>41</v>
      </c>
      <c r="C33" s="30">
        <v>40</v>
      </c>
      <c r="D33" s="30">
        <v>35</v>
      </c>
      <c r="E33" s="30">
        <v>44</v>
      </c>
      <c r="F33" s="30">
        <v>38</v>
      </c>
      <c r="G33" s="30">
        <v>38</v>
      </c>
      <c r="H33" s="30">
        <v>37</v>
      </c>
      <c r="I33" s="37">
        <v>47</v>
      </c>
      <c r="J33" s="37">
        <v>37</v>
      </c>
      <c r="K33" s="37">
        <v>47</v>
      </c>
      <c r="L33" s="37">
        <v>32</v>
      </c>
      <c r="M33" s="37">
        <v>49</v>
      </c>
      <c r="N33" s="37">
        <v>51</v>
      </c>
      <c r="O33" s="37">
        <v>53</v>
      </c>
      <c r="P33" s="37">
        <v>59</v>
      </c>
      <c r="Q33" s="37">
        <v>60</v>
      </c>
      <c r="R33" s="37">
        <v>68</v>
      </c>
      <c r="S33" s="37">
        <v>68</v>
      </c>
      <c r="T33" s="78">
        <v>56</v>
      </c>
      <c r="U33" s="236">
        <v>66</v>
      </c>
      <c r="V33" s="236">
        <v>51</v>
      </c>
      <c r="W33" s="37">
        <v>45</v>
      </c>
      <c r="X33" s="37"/>
      <c r="Z33" s="31">
        <v>47</v>
      </c>
      <c r="AA33" s="31">
        <v>37</v>
      </c>
      <c r="AB33" s="31">
        <v>47</v>
      </c>
      <c r="AC33" s="31">
        <v>32</v>
      </c>
      <c r="AD33" s="31">
        <v>49</v>
      </c>
      <c r="AE33" s="31">
        <v>51</v>
      </c>
      <c r="AF33" s="31">
        <v>53</v>
      </c>
      <c r="AG33" s="31">
        <v>59</v>
      </c>
      <c r="AH33" s="31">
        <v>60</v>
      </c>
      <c r="AI33" s="31">
        <v>68</v>
      </c>
    </row>
    <row r="34" spans="1:35">
      <c r="A34" s="29" t="s">
        <v>78</v>
      </c>
      <c r="B34" s="30">
        <v>159</v>
      </c>
      <c r="C34" s="30">
        <v>170</v>
      </c>
      <c r="D34" s="30">
        <v>158</v>
      </c>
      <c r="E34" s="30">
        <v>165</v>
      </c>
      <c r="F34" s="30">
        <v>129</v>
      </c>
      <c r="G34" s="30">
        <v>164</v>
      </c>
      <c r="H34" s="30">
        <v>153</v>
      </c>
      <c r="I34" s="37">
        <v>107</v>
      </c>
      <c r="J34" s="37">
        <v>104</v>
      </c>
      <c r="K34" s="37">
        <v>123</v>
      </c>
      <c r="L34" s="37">
        <v>120</v>
      </c>
      <c r="M34" s="37">
        <v>133</v>
      </c>
      <c r="N34" s="37">
        <v>126</v>
      </c>
      <c r="O34" s="37">
        <v>135</v>
      </c>
      <c r="P34" s="37">
        <v>166</v>
      </c>
      <c r="Q34" s="37">
        <v>168</v>
      </c>
      <c r="R34" s="37">
        <v>133</v>
      </c>
      <c r="S34" s="37">
        <v>177</v>
      </c>
      <c r="T34" s="78">
        <v>149</v>
      </c>
      <c r="U34" s="236">
        <v>149</v>
      </c>
      <c r="V34" s="236">
        <v>134</v>
      </c>
      <c r="W34" s="37">
        <v>138</v>
      </c>
      <c r="X34" s="37"/>
      <c r="Z34" s="31">
        <v>137</v>
      </c>
      <c r="AA34" s="31">
        <v>136</v>
      </c>
      <c r="AB34" s="31">
        <v>158</v>
      </c>
      <c r="AC34" s="31">
        <v>153</v>
      </c>
      <c r="AD34" s="31">
        <v>163</v>
      </c>
      <c r="AE34" s="31">
        <v>157</v>
      </c>
      <c r="AF34" s="31">
        <v>160</v>
      </c>
      <c r="AG34" s="31">
        <v>166</v>
      </c>
      <c r="AH34" s="31">
        <v>168</v>
      </c>
      <c r="AI34" s="31">
        <v>133</v>
      </c>
    </row>
    <row r="35" spans="1:35">
      <c r="A35" s="29" t="s">
        <v>34</v>
      </c>
      <c r="B35" s="30">
        <v>41</v>
      </c>
      <c r="C35" s="30">
        <v>59</v>
      </c>
      <c r="D35" s="30">
        <v>58</v>
      </c>
      <c r="E35" s="30">
        <v>42</v>
      </c>
      <c r="F35" s="30">
        <v>48</v>
      </c>
      <c r="G35" s="30">
        <v>40</v>
      </c>
      <c r="H35" s="30">
        <v>57</v>
      </c>
      <c r="I35" s="37">
        <v>64</v>
      </c>
      <c r="J35" s="37">
        <v>75</v>
      </c>
      <c r="K35" s="37">
        <v>58</v>
      </c>
      <c r="L35" s="37">
        <v>93</v>
      </c>
      <c r="M35" s="37">
        <v>76</v>
      </c>
      <c r="N35" s="37">
        <v>82</v>
      </c>
      <c r="O35" s="37">
        <v>85</v>
      </c>
      <c r="P35" s="37">
        <v>78</v>
      </c>
      <c r="Q35" s="37">
        <v>96</v>
      </c>
      <c r="R35" s="37">
        <v>86</v>
      </c>
      <c r="S35" s="37">
        <v>79</v>
      </c>
      <c r="T35" s="78">
        <v>102</v>
      </c>
      <c r="U35" s="236">
        <v>107</v>
      </c>
      <c r="V35" s="236">
        <v>90</v>
      </c>
      <c r="W35" s="37">
        <v>102</v>
      </c>
      <c r="X35" s="37"/>
      <c r="Z35" s="31">
        <v>36</v>
      </c>
      <c r="AA35" s="31">
        <v>55</v>
      </c>
      <c r="AB35" s="31">
        <v>43</v>
      </c>
      <c r="AC35" s="31">
        <v>70</v>
      </c>
      <c r="AD35" s="31">
        <v>65</v>
      </c>
      <c r="AE35" s="31">
        <v>56</v>
      </c>
      <c r="AF35" s="31">
        <v>65</v>
      </c>
      <c r="AG35" s="31">
        <v>78</v>
      </c>
      <c r="AH35" s="31">
        <v>96</v>
      </c>
      <c r="AI35" s="31">
        <v>86</v>
      </c>
    </row>
    <row r="36" spans="1:35">
      <c r="A36" s="29" t="s">
        <v>83</v>
      </c>
      <c r="B36" s="30">
        <v>22</v>
      </c>
      <c r="C36" s="30">
        <v>27</v>
      </c>
      <c r="D36" s="30">
        <v>18</v>
      </c>
      <c r="E36" s="30">
        <v>14</v>
      </c>
      <c r="F36" s="30">
        <v>23</v>
      </c>
      <c r="G36" s="30">
        <v>22</v>
      </c>
      <c r="H36" s="30">
        <v>14</v>
      </c>
      <c r="I36" s="37">
        <v>19</v>
      </c>
      <c r="J36" s="37">
        <v>18</v>
      </c>
      <c r="K36" s="37">
        <v>23</v>
      </c>
      <c r="L36" s="37">
        <v>18</v>
      </c>
      <c r="M36" s="37">
        <v>32</v>
      </c>
      <c r="N36" s="37">
        <v>32</v>
      </c>
      <c r="O36" s="37">
        <v>28</v>
      </c>
      <c r="P36" s="37">
        <v>34</v>
      </c>
      <c r="Q36" s="37">
        <v>40</v>
      </c>
      <c r="R36" s="37">
        <v>37</v>
      </c>
      <c r="S36" s="37">
        <v>45</v>
      </c>
      <c r="T36" s="78">
        <v>36</v>
      </c>
      <c r="U36" s="236">
        <v>50</v>
      </c>
      <c r="V36" s="236">
        <v>41</v>
      </c>
      <c r="W36" s="37">
        <v>38</v>
      </c>
      <c r="X36" s="37"/>
      <c r="Z36" s="31">
        <v>19</v>
      </c>
      <c r="AA36" s="31">
        <v>18</v>
      </c>
      <c r="AB36" s="31">
        <v>23</v>
      </c>
      <c r="AC36" s="31">
        <v>18</v>
      </c>
      <c r="AD36" s="31">
        <v>32</v>
      </c>
      <c r="AE36" s="31">
        <v>32</v>
      </c>
      <c r="AF36" s="31">
        <v>28</v>
      </c>
      <c r="AG36" s="31">
        <v>34</v>
      </c>
      <c r="AH36" s="31">
        <v>40</v>
      </c>
      <c r="AI36" s="31">
        <v>37</v>
      </c>
    </row>
    <row r="37" spans="1:35">
      <c r="A37" s="33" t="s">
        <v>79</v>
      </c>
      <c r="B37" s="34">
        <v>422</v>
      </c>
      <c r="C37" s="34">
        <v>439</v>
      </c>
      <c r="D37" s="34">
        <v>422</v>
      </c>
      <c r="E37" s="34">
        <v>404</v>
      </c>
      <c r="F37" s="34">
        <v>403</v>
      </c>
      <c r="G37" s="34">
        <v>419</v>
      </c>
      <c r="H37" s="34">
        <v>407</v>
      </c>
      <c r="I37" s="38">
        <v>451</v>
      </c>
      <c r="J37" s="38">
        <v>421</v>
      </c>
      <c r="K37" s="38">
        <v>442</v>
      </c>
      <c r="L37" s="38">
        <v>484</v>
      </c>
      <c r="M37" s="38">
        <v>506</v>
      </c>
      <c r="N37" s="38">
        <v>518</v>
      </c>
      <c r="O37" s="38">
        <v>524</v>
      </c>
      <c r="P37" s="38">
        <v>528</v>
      </c>
      <c r="Q37" s="38">
        <v>541</v>
      </c>
      <c r="R37" s="38">
        <v>536</v>
      </c>
      <c r="S37" s="38">
        <v>566</v>
      </c>
      <c r="T37" s="79">
        <v>534</v>
      </c>
      <c r="U37" s="239">
        <v>544</v>
      </c>
      <c r="V37" s="239">
        <v>511</v>
      </c>
      <c r="W37" s="38">
        <v>489</v>
      </c>
      <c r="X37" s="37"/>
      <c r="Z37" s="34">
        <v>432</v>
      </c>
      <c r="AA37" s="34">
        <v>388</v>
      </c>
      <c r="AB37" s="34">
        <v>408</v>
      </c>
      <c r="AC37" s="34">
        <v>462</v>
      </c>
      <c r="AD37" s="34">
        <v>478</v>
      </c>
      <c r="AE37" s="34">
        <v>489</v>
      </c>
      <c r="AF37" s="34">
        <v>491</v>
      </c>
      <c r="AG37" s="34">
        <v>528</v>
      </c>
      <c r="AH37" s="34">
        <v>541</v>
      </c>
      <c r="AI37" s="34">
        <v>536</v>
      </c>
    </row>
    <row r="38" spans="1:35">
      <c r="A38" s="29" t="s">
        <v>35</v>
      </c>
      <c r="B38" s="30">
        <v>70</v>
      </c>
      <c r="C38" s="30">
        <v>61</v>
      </c>
      <c r="D38" s="30">
        <v>76</v>
      </c>
      <c r="E38" s="30">
        <v>90</v>
      </c>
      <c r="F38" s="30">
        <v>86</v>
      </c>
      <c r="G38" s="30">
        <v>92</v>
      </c>
      <c r="H38" s="30">
        <v>66</v>
      </c>
      <c r="I38" s="37">
        <v>120</v>
      </c>
      <c r="J38" s="37">
        <v>106</v>
      </c>
      <c r="K38" s="37">
        <v>106</v>
      </c>
      <c r="L38" s="37">
        <v>99</v>
      </c>
      <c r="M38" s="37">
        <v>98</v>
      </c>
      <c r="N38" s="37">
        <v>85</v>
      </c>
      <c r="O38" s="37">
        <v>112</v>
      </c>
      <c r="P38" s="37">
        <v>100</v>
      </c>
      <c r="Q38" s="37">
        <v>92</v>
      </c>
      <c r="R38" s="37">
        <v>94</v>
      </c>
      <c r="S38" s="37">
        <v>108</v>
      </c>
      <c r="T38" s="78">
        <v>105</v>
      </c>
      <c r="U38" s="78">
        <v>123</v>
      </c>
      <c r="V38" s="78">
        <v>101</v>
      </c>
      <c r="W38" s="37">
        <v>105</v>
      </c>
      <c r="X38" s="38"/>
      <c r="Z38" s="31">
        <v>81</v>
      </c>
      <c r="AA38" s="31">
        <v>79</v>
      </c>
      <c r="AB38" s="31">
        <v>64</v>
      </c>
      <c r="AC38" s="31">
        <v>65</v>
      </c>
      <c r="AD38" s="31">
        <v>57</v>
      </c>
      <c r="AE38" s="31">
        <v>52</v>
      </c>
      <c r="AF38" s="31">
        <v>77</v>
      </c>
      <c r="AG38" s="31">
        <v>100</v>
      </c>
      <c r="AH38" s="31">
        <v>92</v>
      </c>
      <c r="AI38" s="31">
        <v>94</v>
      </c>
    </row>
    <row r="39" spans="1:35">
      <c r="A39" s="29" t="s">
        <v>36</v>
      </c>
      <c r="B39" s="30">
        <v>125</v>
      </c>
      <c r="C39" s="30">
        <v>119</v>
      </c>
      <c r="D39" s="30">
        <v>121</v>
      </c>
      <c r="E39" s="30">
        <v>110</v>
      </c>
      <c r="F39" s="30">
        <v>117</v>
      </c>
      <c r="G39" s="30">
        <v>118</v>
      </c>
      <c r="H39" s="30">
        <v>101</v>
      </c>
      <c r="I39" s="37">
        <v>104</v>
      </c>
      <c r="J39" s="37">
        <v>141</v>
      </c>
      <c r="K39" s="37">
        <v>143</v>
      </c>
      <c r="L39" s="37">
        <v>130</v>
      </c>
      <c r="M39" s="37">
        <v>124</v>
      </c>
      <c r="N39" s="37">
        <v>137</v>
      </c>
      <c r="O39" s="37">
        <v>129</v>
      </c>
      <c r="P39" s="37">
        <v>133</v>
      </c>
      <c r="Q39" s="37">
        <v>114</v>
      </c>
      <c r="R39" s="37">
        <v>129</v>
      </c>
      <c r="S39" s="37">
        <v>138</v>
      </c>
      <c r="T39" s="78">
        <v>130</v>
      </c>
      <c r="U39" s="78">
        <v>115</v>
      </c>
      <c r="V39" s="78">
        <v>144</v>
      </c>
      <c r="W39" s="37">
        <v>120</v>
      </c>
      <c r="X39" s="37"/>
      <c r="Z39" s="31">
        <v>92</v>
      </c>
      <c r="AA39" s="31">
        <v>106</v>
      </c>
      <c r="AB39" s="31">
        <v>116</v>
      </c>
      <c r="AC39" s="31">
        <v>114</v>
      </c>
      <c r="AD39" s="31">
        <v>111</v>
      </c>
      <c r="AE39" s="31">
        <v>114</v>
      </c>
      <c r="AF39" s="31">
        <v>111</v>
      </c>
      <c r="AG39" s="31">
        <v>133</v>
      </c>
      <c r="AH39" s="31">
        <v>114</v>
      </c>
      <c r="AI39" s="31">
        <v>129</v>
      </c>
    </row>
    <row r="40" spans="1:35">
      <c r="A40" s="29" t="s">
        <v>37</v>
      </c>
      <c r="B40" s="30">
        <v>59</v>
      </c>
      <c r="C40" s="30">
        <v>51</v>
      </c>
      <c r="D40" s="30">
        <v>48</v>
      </c>
      <c r="E40" s="30">
        <v>57</v>
      </c>
      <c r="F40" s="30">
        <v>62</v>
      </c>
      <c r="G40" s="30">
        <v>55</v>
      </c>
      <c r="H40" s="30">
        <v>40</v>
      </c>
      <c r="I40" s="37">
        <v>70</v>
      </c>
      <c r="J40" s="37">
        <v>82</v>
      </c>
      <c r="K40" s="37">
        <v>72</v>
      </c>
      <c r="L40" s="37">
        <v>97</v>
      </c>
      <c r="M40" s="37">
        <v>115</v>
      </c>
      <c r="N40" s="37">
        <v>137</v>
      </c>
      <c r="O40" s="37">
        <v>132</v>
      </c>
      <c r="P40" s="37">
        <v>139</v>
      </c>
      <c r="Q40" s="37">
        <v>161</v>
      </c>
      <c r="R40" s="37">
        <v>155</v>
      </c>
      <c r="S40" s="37">
        <v>139</v>
      </c>
      <c r="T40" s="78">
        <v>134</v>
      </c>
      <c r="U40" s="78">
        <v>148</v>
      </c>
      <c r="V40" s="78">
        <v>158</v>
      </c>
      <c r="W40" s="37">
        <v>150</v>
      </c>
      <c r="X40" s="37"/>
      <c r="Z40" s="31">
        <v>44</v>
      </c>
      <c r="AA40" s="31">
        <v>49</v>
      </c>
      <c r="AB40" s="31">
        <v>44</v>
      </c>
      <c r="AC40" s="31">
        <v>63</v>
      </c>
      <c r="AD40" s="31">
        <v>80</v>
      </c>
      <c r="AE40" s="31">
        <v>94</v>
      </c>
      <c r="AF40" s="31">
        <v>92</v>
      </c>
      <c r="AG40" s="31">
        <v>139</v>
      </c>
      <c r="AH40" s="31">
        <v>161</v>
      </c>
      <c r="AI40" s="31">
        <v>155</v>
      </c>
    </row>
    <row r="41" spans="1:35">
      <c r="A41" s="29" t="s">
        <v>38</v>
      </c>
      <c r="B41" s="30">
        <v>78</v>
      </c>
      <c r="C41" s="30">
        <v>82</v>
      </c>
      <c r="D41" s="30">
        <v>72</v>
      </c>
      <c r="E41" s="30">
        <v>79</v>
      </c>
      <c r="F41" s="30">
        <v>78</v>
      </c>
      <c r="G41" s="30">
        <v>69</v>
      </c>
      <c r="H41" s="30">
        <v>84</v>
      </c>
      <c r="I41" s="37">
        <v>61</v>
      </c>
      <c r="J41" s="37">
        <v>74</v>
      </c>
      <c r="K41" s="37">
        <v>63</v>
      </c>
      <c r="L41" s="37">
        <v>65</v>
      </c>
      <c r="M41" s="37">
        <v>78</v>
      </c>
      <c r="N41" s="37">
        <v>81</v>
      </c>
      <c r="O41" s="37">
        <v>81</v>
      </c>
      <c r="P41" s="37">
        <v>88</v>
      </c>
      <c r="Q41" s="37">
        <v>81</v>
      </c>
      <c r="R41" s="37">
        <v>83</v>
      </c>
      <c r="S41" s="37">
        <v>70</v>
      </c>
      <c r="T41" s="78">
        <v>71</v>
      </c>
      <c r="U41" s="78">
        <v>75</v>
      </c>
      <c r="V41" s="78">
        <v>73</v>
      </c>
      <c r="W41" s="37">
        <v>81</v>
      </c>
      <c r="X41" s="37"/>
      <c r="Z41" s="31">
        <v>61</v>
      </c>
      <c r="AA41" s="31">
        <v>74</v>
      </c>
      <c r="AB41" s="31">
        <v>63</v>
      </c>
      <c r="AC41" s="31">
        <v>65</v>
      </c>
      <c r="AD41" s="31">
        <v>78</v>
      </c>
      <c r="AE41" s="31">
        <v>81</v>
      </c>
      <c r="AF41" s="31">
        <v>81</v>
      </c>
      <c r="AG41" s="31">
        <v>88</v>
      </c>
      <c r="AH41" s="31">
        <v>81</v>
      </c>
      <c r="AI41" s="31">
        <v>83</v>
      </c>
    </row>
    <row r="42" spans="1:35">
      <c r="A42" s="29" t="s">
        <v>39</v>
      </c>
      <c r="B42" s="30">
        <v>53</v>
      </c>
      <c r="C42" s="30">
        <v>64</v>
      </c>
      <c r="D42" s="30">
        <v>58</v>
      </c>
      <c r="E42" s="30">
        <v>63</v>
      </c>
      <c r="F42" s="30">
        <v>83</v>
      </c>
      <c r="G42" s="30">
        <v>65</v>
      </c>
      <c r="H42" s="30">
        <v>74</v>
      </c>
      <c r="I42" s="37">
        <v>87</v>
      </c>
      <c r="J42" s="37">
        <v>66</v>
      </c>
      <c r="K42" s="37">
        <v>63</v>
      </c>
      <c r="L42" s="37">
        <v>63</v>
      </c>
      <c r="M42" s="37">
        <v>74</v>
      </c>
      <c r="N42" s="37">
        <v>90</v>
      </c>
      <c r="O42" s="37">
        <v>99</v>
      </c>
      <c r="P42" s="37">
        <v>89</v>
      </c>
      <c r="Q42" s="37">
        <v>84</v>
      </c>
      <c r="R42" s="37">
        <v>101</v>
      </c>
      <c r="S42" s="37">
        <v>101</v>
      </c>
      <c r="T42" s="78">
        <v>90</v>
      </c>
      <c r="U42" s="78">
        <v>93</v>
      </c>
      <c r="V42" s="78">
        <v>89</v>
      </c>
      <c r="W42" s="37">
        <v>70</v>
      </c>
      <c r="X42" s="37"/>
      <c r="Z42" s="31">
        <v>87</v>
      </c>
      <c r="AA42" s="31">
        <v>66</v>
      </c>
      <c r="AB42" s="31">
        <v>63</v>
      </c>
      <c r="AC42" s="31">
        <v>63</v>
      </c>
      <c r="AD42" s="31">
        <v>74</v>
      </c>
      <c r="AE42" s="31">
        <v>90</v>
      </c>
      <c r="AF42" s="31">
        <v>99</v>
      </c>
      <c r="AG42" s="31">
        <v>89</v>
      </c>
      <c r="AH42" s="31">
        <v>84</v>
      </c>
      <c r="AI42" s="31">
        <v>101</v>
      </c>
    </row>
    <row r="43" spans="1:35">
      <c r="A43" s="29" t="s">
        <v>40</v>
      </c>
      <c r="B43" s="30">
        <v>21</v>
      </c>
      <c r="C43" s="30">
        <v>11</v>
      </c>
      <c r="D43" s="30">
        <v>20</v>
      </c>
      <c r="E43" s="30">
        <v>7</v>
      </c>
      <c r="F43" s="30">
        <v>10</v>
      </c>
      <c r="G43" s="30">
        <v>15</v>
      </c>
      <c r="H43" s="30">
        <v>8</v>
      </c>
      <c r="I43" s="37">
        <v>11</v>
      </c>
      <c r="J43" s="37">
        <v>15</v>
      </c>
      <c r="K43" s="37">
        <v>13</v>
      </c>
      <c r="L43" s="37">
        <v>6</v>
      </c>
      <c r="M43" s="37">
        <v>6</v>
      </c>
      <c r="N43" s="37">
        <v>9</v>
      </c>
      <c r="O43" s="37">
        <v>9</v>
      </c>
      <c r="P43" s="37">
        <v>10</v>
      </c>
      <c r="Q43" s="37">
        <v>16</v>
      </c>
      <c r="R43" s="37">
        <v>16</v>
      </c>
      <c r="S43" s="37">
        <v>10</v>
      </c>
      <c r="T43" s="78">
        <v>15</v>
      </c>
      <c r="U43" s="78">
        <v>8</v>
      </c>
      <c r="V43" s="78">
        <v>18</v>
      </c>
      <c r="W43" s="37">
        <v>15</v>
      </c>
      <c r="X43" s="37"/>
      <c r="Z43" s="31">
        <v>11</v>
      </c>
      <c r="AA43" s="31">
        <v>15</v>
      </c>
      <c r="AB43" s="31">
        <v>13</v>
      </c>
      <c r="AC43" s="31">
        <v>6</v>
      </c>
      <c r="AD43" s="31">
        <v>6</v>
      </c>
      <c r="AE43" s="31">
        <v>9</v>
      </c>
      <c r="AF43" s="31">
        <v>9</v>
      </c>
      <c r="AG43" s="31">
        <v>10</v>
      </c>
      <c r="AH43" s="31">
        <v>16</v>
      </c>
      <c r="AI43" s="31">
        <v>16</v>
      </c>
    </row>
    <row r="44" spans="1:35">
      <c r="A44" s="33" t="s">
        <v>84</v>
      </c>
      <c r="B44" s="34">
        <v>299</v>
      </c>
      <c r="C44" s="34">
        <v>295</v>
      </c>
      <c r="D44" s="34">
        <v>284</v>
      </c>
      <c r="E44" s="34">
        <v>285</v>
      </c>
      <c r="F44" s="34">
        <v>307</v>
      </c>
      <c r="G44" s="34">
        <v>285</v>
      </c>
      <c r="H44" s="34">
        <v>259</v>
      </c>
      <c r="I44" s="38">
        <v>276</v>
      </c>
      <c r="J44" s="38">
        <v>278</v>
      </c>
      <c r="K44" s="38">
        <v>293</v>
      </c>
      <c r="L44" s="38">
        <v>331</v>
      </c>
      <c r="M44" s="38">
        <v>371</v>
      </c>
      <c r="N44" s="38">
        <v>395</v>
      </c>
      <c r="O44" s="38">
        <v>419</v>
      </c>
      <c r="P44" s="38">
        <v>446</v>
      </c>
      <c r="Q44" s="38">
        <v>456</v>
      </c>
      <c r="R44" s="38">
        <v>419</v>
      </c>
      <c r="S44" s="38">
        <v>404</v>
      </c>
      <c r="T44" s="79">
        <v>423</v>
      </c>
      <c r="U44" s="239">
        <v>403</v>
      </c>
      <c r="V44" s="239">
        <v>370</v>
      </c>
      <c r="W44" s="38">
        <v>397</v>
      </c>
      <c r="X44" s="37"/>
      <c r="Z44" s="34">
        <v>276</v>
      </c>
      <c r="AA44" s="34">
        <v>278</v>
      </c>
      <c r="AB44" s="34">
        <v>295</v>
      </c>
      <c r="AC44" s="34">
        <v>331</v>
      </c>
      <c r="AD44" s="34">
        <v>371</v>
      </c>
      <c r="AE44" s="34">
        <v>395</v>
      </c>
      <c r="AF44" s="34">
        <v>398</v>
      </c>
      <c r="AG44" s="34">
        <v>424</v>
      </c>
      <c r="AH44" s="34">
        <v>443</v>
      </c>
      <c r="AI44" s="34">
        <v>391</v>
      </c>
    </row>
    <row r="45" spans="1:35">
      <c r="A45" s="29" t="s">
        <v>41</v>
      </c>
      <c r="B45" s="30">
        <v>110</v>
      </c>
      <c r="C45" s="30">
        <v>97</v>
      </c>
      <c r="D45" s="30">
        <v>77</v>
      </c>
      <c r="E45" s="30">
        <v>98</v>
      </c>
      <c r="F45" s="30">
        <v>72</v>
      </c>
      <c r="G45" s="30">
        <v>78</v>
      </c>
      <c r="H45" s="30">
        <v>96</v>
      </c>
      <c r="I45" s="37">
        <v>73</v>
      </c>
      <c r="J45" s="37">
        <v>83</v>
      </c>
      <c r="K45" s="37">
        <v>78</v>
      </c>
      <c r="L45" s="37">
        <v>97</v>
      </c>
      <c r="M45" s="37">
        <v>74</v>
      </c>
      <c r="N45" s="37">
        <v>75</v>
      </c>
      <c r="O45" s="37">
        <v>96</v>
      </c>
      <c r="P45" s="37">
        <v>101</v>
      </c>
      <c r="Q45" s="37">
        <v>62</v>
      </c>
      <c r="R45" s="37">
        <v>84</v>
      </c>
      <c r="S45" s="37">
        <v>90</v>
      </c>
      <c r="T45" s="78">
        <v>93</v>
      </c>
      <c r="U45" s="78">
        <v>90</v>
      </c>
      <c r="V45" s="78">
        <v>59</v>
      </c>
      <c r="W45" s="37">
        <v>63</v>
      </c>
      <c r="X45" s="37"/>
      <c r="Z45" s="31">
        <v>73</v>
      </c>
      <c r="AA45" s="31">
        <v>83</v>
      </c>
      <c r="AB45" s="31">
        <v>78</v>
      </c>
      <c r="AC45" s="31">
        <v>97</v>
      </c>
      <c r="AD45" s="31">
        <v>74</v>
      </c>
      <c r="AE45" s="31">
        <v>75</v>
      </c>
      <c r="AF45" s="31">
        <v>96</v>
      </c>
      <c r="AG45" s="31">
        <v>101</v>
      </c>
      <c r="AH45" s="31">
        <v>62</v>
      </c>
      <c r="AI45" s="31">
        <v>84</v>
      </c>
    </row>
    <row r="46" spans="1:35">
      <c r="A46" s="29" t="s">
        <v>42</v>
      </c>
      <c r="B46" s="30">
        <v>57</v>
      </c>
      <c r="C46" s="30">
        <v>52</v>
      </c>
      <c r="D46" s="30">
        <v>40</v>
      </c>
      <c r="E46" s="30">
        <v>43</v>
      </c>
      <c r="F46" s="30">
        <v>32</v>
      </c>
      <c r="G46" s="30">
        <v>46</v>
      </c>
      <c r="H46" s="30">
        <v>39</v>
      </c>
      <c r="I46" s="37">
        <v>35</v>
      </c>
      <c r="J46" s="37">
        <v>28</v>
      </c>
      <c r="K46" s="37">
        <v>52</v>
      </c>
      <c r="L46" s="37">
        <v>46</v>
      </c>
      <c r="M46" s="37">
        <v>66</v>
      </c>
      <c r="N46" s="37">
        <v>37</v>
      </c>
      <c r="O46" s="37">
        <v>55</v>
      </c>
      <c r="P46" s="37">
        <v>36</v>
      </c>
      <c r="Q46" s="37">
        <v>39</v>
      </c>
      <c r="R46" s="37">
        <v>45</v>
      </c>
      <c r="S46" s="37">
        <v>41</v>
      </c>
      <c r="T46" s="78">
        <v>58</v>
      </c>
      <c r="U46" s="78">
        <v>41</v>
      </c>
      <c r="V46" s="78">
        <v>36</v>
      </c>
      <c r="W46" s="37">
        <v>53</v>
      </c>
      <c r="X46" s="38"/>
      <c r="Z46" s="31">
        <v>35</v>
      </c>
      <c r="AA46" s="31">
        <v>28</v>
      </c>
      <c r="AB46" s="31">
        <v>52</v>
      </c>
      <c r="AC46" s="31">
        <v>46</v>
      </c>
      <c r="AD46" s="31">
        <v>66</v>
      </c>
      <c r="AE46" s="31">
        <v>37</v>
      </c>
      <c r="AF46" s="31">
        <v>55</v>
      </c>
      <c r="AG46" s="31">
        <v>36</v>
      </c>
      <c r="AH46" s="31">
        <v>39</v>
      </c>
      <c r="AI46" s="31">
        <v>45</v>
      </c>
    </row>
    <row r="47" spans="1:35">
      <c r="A47" s="29" t="s">
        <v>43</v>
      </c>
      <c r="B47" s="30">
        <v>39</v>
      </c>
      <c r="C47" s="30">
        <v>43</v>
      </c>
      <c r="D47" s="30">
        <v>37</v>
      </c>
      <c r="E47" s="30">
        <v>41</v>
      </c>
      <c r="F47" s="30">
        <v>47</v>
      </c>
      <c r="G47" s="30">
        <v>39</v>
      </c>
      <c r="H47" s="30">
        <v>45</v>
      </c>
      <c r="I47" s="37">
        <v>44</v>
      </c>
      <c r="J47" s="37">
        <v>39</v>
      </c>
      <c r="K47" s="37">
        <v>41</v>
      </c>
      <c r="L47" s="37">
        <v>43</v>
      </c>
      <c r="M47" s="37">
        <v>59</v>
      </c>
      <c r="N47" s="37">
        <v>48</v>
      </c>
      <c r="O47" s="37">
        <v>48</v>
      </c>
      <c r="P47" s="37">
        <v>41</v>
      </c>
      <c r="Q47" s="37">
        <v>50</v>
      </c>
      <c r="R47" s="37">
        <v>58</v>
      </c>
      <c r="S47" s="37">
        <v>70</v>
      </c>
      <c r="T47" s="78">
        <v>69</v>
      </c>
      <c r="U47" s="78">
        <v>80</v>
      </c>
      <c r="V47" s="78">
        <v>84</v>
      </c>
      <c r="W47" s="37">
        <v>99</v>
      </c>
      <c r="X47" s="37"/>
      <c r="Z47" s="31">
        <v>44</v>
      </c>
      <c r="AA47" s="31">
        <v>39</v>
      </c>
      <c r="AB47" s="31">
        <v>41</v>
      </c>
      <c r="AC47" s="31">
        <v>43</v>
      </c>
      <c r="AD47" s="31">
        <v>59</v>
      </c>
      <c r="AE47" s="31">
        <v>48</v>
      </c>
      <c r="AF47" s="31">
        <v>48</v>
      </c>
      <c r="AG47" s="31">
        <v>41</v>
      </c>
      <c r="AH47" s="31">
        <v>50</v>
      </c>
      <c r="AI47" s="31">
        <v>58</v>
      </c>
    </row>
    <row r="48" spans="1:35">
      <c r="A48" s="29" t="s">
        <v>44</v>
      </c>
      <c r="B48" s="30">
        <v>94</v>
      </c>
      <c r="C48" s="30">
        <v>95</v>
      </c>
      <c r="D48" s="30">
        <v>82</v>
      </c>
      <c r="E48" s="30">
        <v>75</v>
      </c>
      <c r="F48" s="30">
        <v>95</v>
      </c>
      <c r="G48" s="30">
        <v>74</v>
      </c>
      <c r="H48" s="30">
        <v>82</v>
      </c>
      <c r="I48" s="37">
        <v>114</v>
      </c>
      <c r="J48" s="37">
        <v>109</v>
      </c>
      <c r="K48" s="37">
        <v>137</v>
      </c>
      <c r="L48" s="37">
        <v>135</v>
      </c>
      <c r="M48" s="37">
        <v>124</v>
      </c>
      <c r="N48" s="37">
        <v>167</v>
      </c>
      <c r="O48" s="37">
        <v>181</v>
      </c>
      <c r="P48" s="37">
        <v>181</v>
      </c>
      <c r="Q48" s="37">
        <v>168</v>
      </c>
      <c r="R48" s="37">
        <v>207</v>
      </c>
      <c r="S48" s="37">
        <v>162</v>
      </c>
      <c r="T48" s="78">
        <v>175</v>
      </c>
      <c r="U48" s="78">
        <v>146</v>
      </c>
      <c r="V48" s="78">
        <v>155</v>
      </c>
      <c r="W48" s="37">
        <v>168</v>
      </c>
      <c r="X48" s="37"/>
      <c r="Z48" s="31">
        <v>78</v>
      </c>
      <c r="AA48" s="31">
        <v>69</v>
      </c>
      <c r="AB48" s="31">
        <v>97</v>
      </c>
      <c r="AC48" s="31">
        <v>92</v>
      </c>
      <c r="AD48" s="31">
        <v>77</v>
      </c>
      <c r="AE48" s="31">
        <v>120</v>
      </c>
      <c r="AF48" s="31">
        <v>181</v>
      </c>
      <c r="AG48" s="31">
        <v>181</v>
      </c>
      <c r="AH48" s="31">
        <v>168</v>
      </c>
      <c r="AI48" s="31">
        <v>207</v>
      </c>
    </row>
    <row r="49" spans="1:35">
      <c r="A49" s="29" t="s">
        <v>45</v>
      </c>
      <c r="B49" s="30">
        <v>107</v>
      </c>
      <c r="C49" s="30">
        <v>98</v>
      </c>
      <c r="D49" s="30">
        <v>88</v>
      </c>
      <c r="E49" s="30">
        <v>87</v>
      </c>
      <c r="F49" s="30">
        <v>94</v>
      </c>
      <c r="G49" s="30">
        <v>84</v>
      </c>
      <c r="H49" s="30">
        <v>80</v>
      </c>
      <c r="I49" s="37">
        <v>82</v>
      </c>
      <c r="J49" s="37">
        <v>81</v>
      </c>
      <c r="K49" s="37">
        <v>93</v>
      </c>
      <c r="L49" s="37">
        <v>94</v>
      </c>
      <c r="M49" s="37">
        <v>100</v>
      </c>
      <c r="N49" s="37">
        <v>133</v>
      </c>
      <c r="O49" s="37">
        <v>155</v>
      </c>
      <c r="P49" s="37">
        <v>145</v>
      </c>
      <c r="Q49" s="37">
        <v>150</v>
      </c>
      <c r="R49" s="37">
        <v>133</v>
      </c>
      <c r="S49" s="37">
        <v>146</v>
      </c>
      <c r="T49" s="78">
        <v>137</v>
      </c>
      <c r="U49" s="78">
        <v>112</v>
      </c>
      <c r="V49" s="78">
        <v>128</v>
      </c>
      <c r="W49" s="37">
        <v>99</v>
      </c>
      <c r="X49" s="37"/>
      <c r="Z49" s="31">
        <v>82</v>
      </c>
      <c r="AA49" s="31">
        <v>81</v>
      </c>
      <c r="AB49" s="31">
        <v>93</v>
      </c>
      <c r="AC49" s="31">
        <v>94</v>
      </c>
      <c r="AD49" s="31">
        <v>100</v>
      </c>
      <c r="AE49" s="31">
        <v>133</v>
      </c>
      <c r="AF49" s="31">
        <v>155</v>
      </c>
      <c r="AG49" s="31">
        <v>145</v>
      </c>
      <c r="AH49" s="31">
        <v>150</v>
      </c>
      <c r="AI49" s="31">
        <v>133</v>
      </c>
    </row>
    <row r="50" spans="1:35">
      <c r="A50" s="29" t="s">
        <v>46</v>
      </c>
      <c r="B50" s="30">
        <v>71</v>
      </c>
      <c r="C50" s="30">
        <v>86</v>
      </c>
      <c r="D50" s="30">
        <v>96</v>
      </c>
      <c r="E50" s="30">
        <v>83</v>
      </c>
      <c r="F50" s="30">
        <v>79</v>
      </c>
      <c r="G50" s="30">
        <v>71</v>
      </c>
      <c r="H50" s="30">
        <v>69</v>
      </c>
      <c r="I50" s="37">
        <v>95</v>
      </c>
      <c r="J50" s="37">
        <v>76</v>
      </c>
      <c r="K50" s="37">
        <v>99</v>
      </c>
      <c r="L50" s="37">
        <v>94</v>
      </c>
      <c r="M50" s="37">
        <v>92</v>
      </c>
      <c r="N50" s="37">
        <v>115</v>
      </c>
      <c r="O50" s="37">
        <v>85</v>
      </c>
      <c r="P50" s="37">
        <v>115</v>
      </c>
      <c r="Q50" s="37">
        <v>99</v>
      </c>
      <c r="R50" s="37">
        <v>102</v>
      </c>
      <c r="S50" s="37">
        <v>98</v>
      </c>
      <c r="T50" s="78">
        <v>96</v>
      </c>
      <c r="U50" s="78">
        <v>100</v>
      </c>
      <c r="V50" s="78">
        <v>107</v>
      </c>
      <c r="W50" s="37">
        <v>106</v>
      </c>
      <c r="X50" s="37"/>
      <c r="Z50" s="31">
        <v>95</v>
      </c>
      <c r="AA50" s="31">
        <v>76</v>
      </c>
      <c r="AB50" s="31">
        <v>99</v>
      </c>
      <c r="AC50" s="31">
        <v>94</v>
      </c>
      <c r="AD50" s="31">
        <v>92</v>
      </c>
      <c r="AE50" s="31">
        <v>115</v>
      </c>
      <c r="AF50" s="31">
        <v>85</v>
      </c>
      <c r="AG50" s="31">
        <v>115</v>
      </c>
      <c r="AH50" s="31">
        <v>99</v>
      </c>
      <c r="AI50" s="31">
        <v>102</v>
      </c>
    </row>
    <row r="51" spans="1:35">
      <c r="A51" s="29" t="s">
        <v>47</v>
      </c>
      <c r="B51" s="30">
        <v>48</v>
      </c>
      <c r="C51" s="30">
        <v>38</v>
      </c>
      <c r="D51" s="30">
        <v>45</v>
      </c>
      <c r="E51" s="30">
        <v>36</v>
      </c>
      <c r="F51" s="30">
        <v>47</v>
      </c>
      <c r="G51" s="30">
        <v>31</v>
      </c>
      <c r="H51" s="30">
        <v>57</v>
      </c>
      <c r="I51" s="37">
        <v>46</v>
      </c>
      <c r="J51" s="37">
        <v>32</v>
      </c>
      <c r="K51" s="37">
        <v>31</v>
      </c>
      <c r="L51" s="37">
        <v>36</v>
      </c>
      <c r="M51" s="37">
        <v>47</v>
      </c>
      <c r="N51" s="37">
        <v>23</v>
      </c>
      <c r="O51" s="37">
        <v>50</v>
      </c>
      <c r="P51" s="37">
        <v>52</v>
      </c>
      <c r="Q51" s="37">
        <v>54</v>
      </c>
      <c r="R51" s="37">
        <v>45</v>
      </c>
      <c r="S51" s="37">
        <v>40</v>
      </c>
      <c r="T51" s="78">
        <v>48</v>
      </c>
      <c r="U51" s="78">
        <v>28</v>
      </c>
      <c r="V51" s="78">
        <v>32</v>
      </c>
      <c r="W51" s="37">
        <v>34</v>
      </c>
      <c r="X51" s="37"/>
      <c r="Z51" s="31">
        <v>46</v>
      </c>
      <c r="AA51" s="31">
        <v>32</v>
      </c>
      <c r="AB51" s="31">
        <v>31</v>
      </c>
      <c r="AC51" s="31">
        <v>36</v>
      </c>
      <c r="AD51" s="31">
        <v>47</v>
      </c>
      <c r="AE51" s="31">
        <v>23</v>
      </c>
      <c r="AF51" s="31">
        <v>50</v>
      </c>
      <c r="AG51" s="31">
        <v>52</v>
      </c>
      <c r="AH51" s="31">
        <v>54</v>
      </c>
      <c r="AI51" s="31">
        <v>45</v>
      </c>
    </row>
    <row r="52" spans="1:35">
      <c r="A52" s="29" t="s">
        <v>48</v>
      </c>
      <c r="B52" s="30">
        <v>45</v>
      </c>
      <c r="C52" s="30">
        <v>41</v>
      </c>
      <c r="D52" s="30">
        <v>45</v>
      </c>
      <c r="E52" s="30">
        <v>36</v>
      </c>
      <c r="F52" s="30">
        <v>52</v>
      </c>
      <c r="G52" s="30">
        <v>34</v>
      </c>
      <c r="H52" s="30">
        <v>28</v>
      </c>
      <c r="I52" s="37">
        <v>57</v>
      </c>
      <c r="J52" s="37">
        <v>67</v>
      </c>
      <c r="K52" s="37">
        <v>62</v>
      </c>
      <c r="L52" s="37">
        <v>61</v>
      </c>
      <c r="M52" s="37">
        <v>84</v>
      </c>
      <c r="N52" s="37">
        <v>78</v>
      </c>
      <c r="O52" s="37">
        <v>78</v>
      </c>
      <c r="P52" s="37">
        <v>90</v>
      </c>
      <c r="Q52" s="37">
        <v>101</v>
      </c>
      <c r="R52" s="37">
        <v>84</v>
      </c>
      <c r="S52" s="37">
        <v>84</v>
      </c>
      <c r="T52" s="78">
        <v>95</v>
      </c>
      <c r="U52" s="78">
        <v>77</v>
      </c>
      <c r="V52" s="78">
        <v>73</v>
      </c>
      <c r="W52" s="37">
        <v>65</v>
      </c>
      <c r="X52" s="37"/>
      <c r="Z52" s="31">
        <v>30</v>
      </c>
      <c r="AA52" s="31">
        <v>38</v>
      </c>
      <c r="AB52" s="31">
        <v>38</v>
      </c>
      <c r="AC52" s="31">
        <v>33</v>
      </c>
      <c r="AD52" s="31">
        <v>51</v>
      </c>
      <c r="AE52" s="31">
        <v>49</v>
      </c>
      <c r="AF52" s="31">
        <v>78</v>
      </c>
      <c r="AG52" s="31">
        <v>90</v>
      </c>
      <c r="AH52" s="31">
        <v>101</v>
      </c>
      <c r="AI52" s="31">
        <v>84</v>
      </c>
    </row>
    <row r="53" spans="1:35">
      <c r="A53" s="29" t="s">
        <v>49</v>
      </c>
      <c r="B53" s="30">
        <v>47</v>
      </c>
      <c r="C53" s="30">
        <v>44</v>
      </c>
      <c r="D53" s="30">
        <v>48</v>
      </c>
      <c r="E53" s="30">
        <v>30</v>
      </c>
      <c r="F53" s="30">
        <v>47</v>
      </c>
      <c r="G53" s="30">
        <v>31</v>
      </c>
      <c r="H53" s="30">
        <v>40</v>
      </c>
      <c r="I53" s="37">
        <v>44</v>
      </c>
      <c r="J53" s="37">
        <v>34</v>
      </c>
      <c r="K53" s="37">
        <v>44</v>
      </c>
      <c r="L53" s="37">
        <v>40</v>
      </c>
      <c r="M53" s="37">
        <v>61</v>
      </c>
      <c r="N53" s="37">
        <v>59</v>
      </c>
      <c r="O53" s="37">
        <v>56</v>
      </c>
      <c r="P53" s="37">
        <v>44</v>
      </c>
      <c r="Q53" s="37">
        <v>52</v>
      </c>
      <c r="R53" s="37">
        <v>54</v>
      </c>
      <c r="S53" s="37">
        <v>55</v>
      </c>
      <c r="T53" s="78">
        <v>64</v>
      </c>
      <c r="U53" s="78">
        <v>53</v>
      </c>
      <c r="V53" s="78">
        <v>38</v>
      </c>
      <c r="W53" s="37">
        <v>57</v>
      </c>
      <c r="X53" s="37"/>
      <c r="Z53" s="31">
        <v>42</v>
      </c>
      <c r="AA53" s="31">
        <v>30</v>
      </c>
      <c r="AB53" s="31">
        <v>38</v>
      </c>
      <c r="AC53" s="31">
        <v>36</v>
      </c>
      <c r="AD53" s="31">
        <v>54</v>
      </c>
      <c r="AE53" s="31">
        <v>51</v>
      </c>
      <c r="AF53" s="31">
        <v>56</v>
      </c>
      <c r="AG53" s="31">
        <v>44</v>
      </c>
      <c r="AH53" s="31">
        <v>52</v>
      </c>
      <c r="AI53" s="31">
        <v>54</v>
      </c>
    </row>
    <row r="54" spans="1:35">
      <c r="A54" s="29" t="s">
        <v>50</v>
      </c>
      <c r="B54" s="30">
        <v>16</v>
      </c>
      <c r="C54" s="30">
        <v>19</v>
      </c>
      <c r="D54" s="30">
        <v>9</v>
      </c>
      <c r="E54" s="30">
        <v>14</v>
      </c>
      <c r="F54" s="30">
        <v>14</v>
      </c>
      <c r="G54" s="30">
        <v>7</v>
      </c>
      <c r="H54" s="30">
        <v>8</v>
      </c>
      <c r="I54" s="37">
        <v>11</v>
      </c>
      <c r="J54" s="37">
        <v>10</v>
      </c>
      <c r="K54" s="37">
        <v>14</v>
      </c>
      <c r="L54" s="37">
        <v>10</v>
      </c>
      <c r="M54" s="37">
        <v>5</v>
      </c>
      <c r="N54" s="37">
        <v>16</v>
      </c>
      <c r="O54" s="37">
        <v>9</v>
      </c>
      <c r="P54" s="37">
        <v>8</v>
      </c>
      <c r="Q54" s="37">
        <v>9</v>
      </c>
      <c r="R54" s="37">
        <v>8</v>
      </c>
      <c r="S54" s="37">
        <v>9</v>
      </c>
      <c r="T54" s="78">
        <v>11</v>
      </c>
      <c r="U54" s="78">
        <v>9</v>
      </c>
      <c r="V54" s="78">
        <v>9</v>
      </c>
      <c r="W54" s="37">
        <v>13</v>
      </c>
      <c r="X54" s="37"/>
      <c r="Z54" s="31">
        <v>11</v>
      </c>
      <c r="AA54" s="31">
        <v>10</v>
      </c>
      <c r="AB54" s="31">
        <v>14</v>
      </c>
      <c r="AC54" s="31">
        <v>10</v>
      </c>
      <c r="AD54" s="31">
        <v>5</v>
      </c>
      <c r="AE54" s="31">
        <v>16</v>
      </c>
      <c r="AF54" s="31">
        <v>9</v>
      </c>
      <c r="AG54" s="31">
        <v>8</v>
      </c>
      <c r="AH54" s="31">
        <v>9</v>
      </c>
      <c r="AI54" s="31">
        <v>8</v>
      </c>
    </row>
    <row r="55" spans="1:35">
      <c r="A55" s="29" t="s">
        <v>51</v>
      </c>
      <c r="B55" s="30">
        <v>29</v>
      </c>
      <c r="C55" s="30">
        <v>19</v>
      </c>
      <c r="D55" s="30">
        <v>26</v>
      </c>
      <c r="E55" s="30">
        <v>26</v>
      </c>
      <c r="F55" s="30">
        <v>19</v>
      </c>
      <c r="G55" s="30">
        <v>15</v>
      </c>
      <c r="H55" s="30">
        <v>14</v>
      </c>
      <c r="I55" s="37">
        <v>17</v>
      </c>
      <c r="J55" s="37">
        <v>13</v>
      </c>
      <c r="K55" s="37">
        <v>13</v>
      </c>
      <c r="L55" s="37">
        <v>17</v>
      </c>
      <c r="M55" s="37">
        <v>15</v>
      </c>
      <c r="N55" s="37">
        <v>7</v>
      </c>
      <c r="O55" s="37">
        <v>20</v>
      </c>
      <c r="P55" s="37">
        <v>19</v>
      </c>
      <c r="Q55" s="37">
        <v>14</v>
      </c>
      <c r="R55" s="37">
        <v>14</v>
      </c>
      <c r="S55" s="37">
        <v>14</v>
      </c>
      <c r="T55" s="78">
        <v>9</v>
      </c>
      <c r="U55" s="78">
        <v>20</v>
      </c>
      <c r="V55" s="78">
        <v>14</v>
      </c>
      <c r="W55" s="37">
        <v>21</v>
      </c>
      <c r="X55" s="37"/>
      <c r="Z55" s="31">
        <v>17</v>
      </c>
      <c r="AA55" s="31">
        <v>13</v>
      </c>
      <c r="AB55" s="31">
        <v>13</v>
      </c>
      <c r="AC55" s="31">
        <v>17</v>
      </c>
      <c r="AD55" s="31">
        <v>15</v>
      </c>
      <c r="AE55" s="31">
        <v>7</v>
      </c>
      <c r="AF55" s="31">
        <v>20</v>
      </c>
      <c r="AG55" s="31">
        <v>19</v>
      </c>
      <c r="AH55" s="31">
        <v>14</v>
      </c>
      <c r="AI55" s="31">
        <v>14</v>
      </c>
    </row>
    <row r="56" spans="1:35">
      <c r="A56" s="29" t="s">
        <v>52</v>
      </c>
      <c r="B56" s="30">
        <v>50</v>
      </c>
      <c r="C56" s="30">
        <v>44</v>
      </c>
      <c r="D56" s="30">
        <v>43</v>
      </c>
      <c r="E56" s="30">
        <v>47</v>
      </c>
      <c r="F56" s="30">
        <v>55</v>
      </c>
      <c r="G56" s="30">
        <v>38</v>
      </c>
      <c r="H56" s="30">
        <v>45</v>
      </c>
      <c r="I56" s="37">
        <v>94</v>
      </c>
      <c r="J56" s="37">
        <v>71</v>
      </c>
      <c r="K56" s="37">
        <v>105</v>
      </c>
      <c r="L56" s="37">
        <v>88</v>
      </c>
      <c r="M56" s="37">
        <v>95</v>
      </c>
      <c r="N56" s="37">
        <v>94</v>
      </c>
      <c r="O56" s="37">
        <v>112</v>
      </c>
      <c r="P56" s="37">
        <v>99</v>
      </c>
      <c r="Q56" s="37">
        <v>102</v>
      </c>
      <c r="R56" s="37">
        <v>104</v>
      </c>
      <c r="S56" s="37">
        <v>126</v>
      </c>
      <c r="T56" s="78">
        <v>114</v>
      </c>
      <c r="U56" s="78">
        <v>103</v>
      </c>
      <c r="V56" s="78">
        <v>106</v>
      </c>
      <c r="W56" s="37">
        <v>131</v>
      </c>
      <c r="X56" s="37"/>
      <c r="Z56" s="31">
        <v>77</v>
      </c>
      <c r="AA56" s="31">
        <v>60</v>
      </c>
      <c r="AB56" s="31">
        <v>89</v>
      </c>
      <c r="AC56" s="31">
        <v>82</v>
      </c>
      <c r="AD56" s="31">
        <v>86</v>
      </c>
      <c r="AE56" s="31">
        <v>94</v>
      </c>
      <c r="AF56" s="31">
        <v>112</v>
      </c>
      <c r="AG56" s="31">
        <v>99</v>
      </c>
      <c r="AH56" s="31">
        <v>102</v>
      </c>
      <c r="AI56" s="31">
        <v>104</v>
      </c>
    </row>
    <row r="57" spans="1:35">
      <c r="A57" s="29" t="s">
        <v>53</v>
      </c>
      <c r="B57" s="30">
        <v>89</v>
      </c>
      <c r="C57" s="30">
        <v>111</v>
      </c>
      <c r="D57" s="30">
        <v>82</v>
      </c>
      <c r="E57" s="30">
        <v>76</v>
      </c>
      <c r="F57" s="30">
        <v>90</v>
      </c>
      <c r="G57" s="30">
        <v>83</v>
      </c>
      <c r="H57" s="30">
        <v>85</v>
      </c>
      <c r="I57" s="37">
        <v>94</v>
      </c>
      <c r="J57" s="37">
        <v>83</v>
      </c>
      <c r="K57" s="37">
        <v>79</v>
      </c>
      <c r="L57" s="37">
        <v>96</v>
      </c>
      <c r="M57" s="37">
        <v>87</v>
      </c>
      <c r="N57" s="37">
        <v>101</v>
      </c>
      <c r="O57" s="37">
        <v>91</v>
      </c>
      <c r="P57" s="37">
        <v>107</v>
      </c>
      <c r="Q57" s="37">
        <v>89</v>
      </c>
      <c r="R57" s="37">
        <v>104</v>
      </c>
      <c r="S57" s="37">
        <v>76</v>
      </c>
      <c r="T57" s="78">
        <v>86</v>
      </c>
      <c r="U57" s="78">
        <v>85</v>
      </c>
      <c r="V57" s="78">
        <v>94</v>
      </c>
      <c r="W57" s="37">
        <v>76</v>
      </c>
      <c r="X57" s="37"/>
      <c r="Z57" s="31">
        <v>94</v>
      </c>
      <c r="AA57" s="31">
        <v>83</v>
      </c>
      <c r="AB57" s="31">
        <v>79</v>
      </c>
      <c r="AC57" s="31">
        <v>96</v>
      </c>
      <c r="AD57" s="31">
        <v>87</v>
      </c>
      <c r="AE57" s="31">
        <v>101</v>
      </c>
      <c r="AF57" s="31">
        <v>91</v>
      </c>
      <c r="AG57" s="31">
        <v>107</v>
      </c>
      <c r="AH57" s="31">
        <v>89</v>
      </c>
      <c r="AI57" s="31">
        <v>104</v>
      </c>
    </row>
    <row r="58" spans="1:35">
      <c r="A58" s="29" t="s">
        <v>54</v>
      </c>
      <c r="B58" s="30">
        <v>63</v>
      </c>
      <c r="C58" s="30">
        <v>62</v>
      </c>
      <c r="D58" s="30">
        <v>52</v>
      </c>
      <c r="E58" s="30">
        <v>62</v>
      </c>
      <c r="F58" s="30">
        <v>51</v>
      </c>
      <c r="G58" s="30">
        <v>55</v>
      </c>
      <c r="H58" s="30">
        <v>53</v>
      </c>
      <c r="I58" s="37">
        <v>61</v>
      </c>
      <c r="J58" s="37">
        <v>57</v>
      </c>
      <c r="K58" s="37">
        <v>53</v>
      </c>
      <c r="L58" s="37">
        <v>54</v>
      </c>
      <c r="M58" s="37">
        <v>64</v>
      </c>
      <c r="N58" s="37">
        <v>59</v>
      </c>
      <c r="O58" s="37">
        <v>62</v>
      </c>
      <c r="P58" s="37">
        <v>83</v>
      </c>
      <c r="Q58" s="37">
        <v>52</v>
      </c>
      <c r="R58" s="37">
        <v>64</v>
      </c>
      <c r="S58" s="37">
        <v>72</v>
      </c>
      <c r="T58" s="78">
        <v>62</v>
      </c>
      <c r="U58" s="78">
        <v>38</v>
      </c>
      <c r="V58" s="78">
        <v>58</v>
      </c>
      <c r="W58" s="37">
        <v>55</v>
      </c>
      <c r="X58" s="37"/>
      <c r="Z58" s="31">
        <v>61</v>
      </c>
      <c r="AA58" s="31">
        <v>57</v>
      </c>
      <c r="AB58" s="31">
        <v>53</v>
      </c>
      <c r="AC58" s="31">
        <v>54</v>
      </c>
      <c r="AD58" s="31">
        <v>64</v>
      </c>
      <c r="AE58" s="31">
        <v>59</v>
      </c>
      <c r="AF58" s="31">
        <v>62</v>
      </c>
      <c r="AG58" s="31">
        <v>83</v>
      </c>
      <c r="AH58" s="31">
        <v>52</v>
      </c>
      <c r="AI58" s="31">
        <v>64</v>
      </c>
    </row>
    <row r="59" spans="1:35">
      <c r="A59" s="29" t="s">
        <v>80</v>
      </c>
      <c r="B59" s="30" t="s">
        <v>120</v>
      </c>
      <c r="C59" s="30" t="s">
        <v>120</v>
      </c>
      <c r="D59" s="30" t="s">
        <v>120</v>
      </c>
      <c r="E59" s="30" t="s">
        <v>120</v>
      </c>
      <c r="F59" s="30" t="s">
        <v>120</v>
      </c>
      <c r="G59" s="30" t="s">
        <v>120</v>
      </c>
      <c r="H59" s="30" t="s">
        <v>120</v>
      </c>
      <c r="I59" s="37">
        <v>81</v>
      </c>
      <c r="J59" s="37">
        <v>64</v>
      </c>
      <c r="K59" s="37">
        <v>73</v>
      </c>
      <c r="L59" s="37">
        <v>79</v>
      </c>
      <c r="M59" s="37">
        <v>93</v>
      </c>
      <c r="N59" s="37">
        <v>85</v>
      </c>
      <c r="O59" s="37">
        <v>83</v>
      </c>
      <c r="P59" s="37">
        <v>92</v>
      </c>
      <c r="Q59" s="37">
        <v>78</v>
      </c>
      <c r="R59" s="37">
        <v>83</v>
      </c>
      <c r="S59" s="37">
        <v>64</v>
      </c>
      <c r="T59" s="78">
        <v>77</v>
      </c>
      <c r="U59" s="78">
        <v>87</v>
      </c>
      <c r="V59" s="78">
        <v>89</v>
      </c>
      <c r="W59" s="37">
        <v>74</v>
      </c>
      <c r="X59" s="37"/>
      <c r="Z59" s="31" t="s">
        <v>120</v>
      </c>
      <c r="AA59" s="31" t="s">
        <v>120</v>
      </c>
      <c r="AB59" s="31">
        <v>73</v>
      </c>
      <c r="AC59" s="31">
        <v>79</v>
      </c>
      <c r="AD59" s="31">
        <v>93</v>
      </c>
      <c r="AE59" s="31">
        <v>85</v>
      </c>
      <c r="AF59" s="31">
        <v>83</v>
      </c>
      <c r="AG59" s="31">
        <v>92</v>
      </c>
      <c r="AH59" s="31">
        <v>78</v>
      </c>
      <c r="AI59" s="31">
        <v>83</v>
      </c>
    </row>
    <row r="60" spans="1:35">
      <c r="A60" s="29" t="s">
        <v>55</v>
      </c>
      <c r="B60" s="30">
        <v>70</v>
      </c>
      <c r="C60" s="30">
        <v>38</v>
      </c>
      <c r="D60" s="30">
        <v>61</v>
      </c>
      <c r="E60" s="30">
        <v>49</v>
      </c>
      <c r="F60" s="30">
        <v>35</v>
      </c>
      <c r="G60" s="30">
        <v>58</v>
      </c>
      <c r="H60" s="30">
        <v>41</v>
      </c>
      <c r="I60" s="37">
        <v>55</v>
      </c>
      <c r="J60" s="37">
        <v>62</v>
      </c>
      <c r="K60" s="37">
        <v>44</v>
      </c>
      <c r="L60" s="37">
        <v>46</v>
      </c>
      <c r="M60" s="37">
        <v>51</v>
      </c>
      <c r="N60" s="37">
        <v>53</v>
      </c>
      <c r="O60" s="37">
        <v>53</v>
      </c>
      <c r="P60" s="37">
        <v>51</v>
      </c>
      <c r="Q60" s="37">
        <v>84</v>
      </c>
      <c r="R60" s="37">
        <v>61</v>
      </c>
      <c r="S60" s="37">
        <v>68</v>
      </c>
      <c r="T60" s="78">
        <v>58</v>
      </c>
      <c r="U60" s="78">
        <v>82</v>
      </c>
      <c r="V60" s="78">
        <v>63</v>
      </c>
      <c r="W60" s="37">
        <v>80</v>
      </c>
      <c r="X60" s="37"/>
      <c r="Z60" s="31">
        <v>58</v>
      </c>
      <c r="AA60" s="31">
        <v>64</v>
      </c>
      <c r="AB60" s="31">
        <v>44</v>
      </c>
      <c r="AC60" s="31">
        <v>46</v>
      </c>
      <c r="AD60" s="31">
        <v>51</v>
      </c>
      <c r="AE60" s="31">
        <v>43</v>
      </c>
      <c r="AF60" s="31">
        <v>32</v>
      </c>
      <c r="AG60" s="31">
        <v>30</v>
      </c>
      <c r="AH60" s="31">
        <v>35</v>
      </c>
      <c r="AI60" s="31">
        <v>31</v>
      </c>
    </row>
    <row r="61" spans="1:35">
      <c r="A61" s="29" t="s">
        <v>56</v>
      </c>
      <c r="B61" s="30">
        <v>75</v>
      </c>
      <c r="C61" s="30">
        <v>86</v>
      </c>
      <c r="D61" s="30">
        <v>87</v>
      </c>
      <c r="E61" s="30">
        <v>73</v>
      </c>
      <c r="F61" s="30">
        <v>83</v>
      </c>
      <c r="G61" s="30">
        <v>61</v>
      </c>
      <c r="H61" s="30">
        <v>75</v>
      </c>
      <c r="I61" s="37">
        <v>75</v>
      </c>
      <c r="J61" s="37">
        <v>81</v>
      </c>
      <c r="K61" s="37">
        <v>51</v>
      </c>
      <c r="L61" s="37">
        <v>67</v>
      </c>
      <c r="M61" s="37">
        <v>72</v>
      </c>
      <c r="N61" s="37">
        <v>72</v>
      </c>
      <c r="O61" s="37">
        <v>83</v>
      </c>
      <c r="P61" s="37">
        <v>70</v>
      </c>
      <c r="Q61" s="37">
        <v>65</v>
      </c>
      <c r="R61" s="37">
        <v>63</v>
      </c>
      <c r="S61" s="37">
        <v>72</v>
      </c>
      <c r="T61" s="78">
        <v>66</v>
      </c>
      <c r="U61" s="78">
        <v>63</v>
      </c>
      <c r="V61" s="78">
        <v>55</v>
      </c>
      <c r="W61" s="37">
        <v>45</v>
      </c>
      <c r="X61" s="37"/>
      <c r="Z61" s="31">
        <v>75</v>
      </c>
      <c r="AA61" s="31">
        <v>81</v>
      </c>
      <c r="AB61" s="31">
        <v>51</v>
      </c>
      <c r="AC61" s="31">
        <v>67</v>
      </c>
      <c r="AD61" s="31">
        <v>72</v>
      </c>
      <c r="AE61" s="31">
        <v>72</v>
      </c>
      <c r="AF61" s="31">
        <v>83</v>
      </c>
      <c r="AG61" s="31">
        <v>70</v>
      </c>
      <c r="AH61" s="31">
        <v>65</v>
      </c>
      <c r="AI61" s="31">
        <v>63</v>
      </c>
    </row>
    <row r="62" spans="1:35">
      <c r="A62" s="29" t="s">
        <v>57</v>
      </c>
      <c r="B62" s="30">
        <v>23</v>
      </c>
      <c r="C62" s="30">
        <v>24</v>
      </c>
      <c r="D62" s="30">
        <v>27</v>
      </c>
      <c r="E62" s="30">
        <v>36</v>
      </c>
      <c r="F62" s="30">
        <v>16</v>
      </c>
      <c r="G62" s="30">
        <v>20</v>
      </c>
      <c r="H62" s="30">
        <v>27</v>
      </c>
      <c r="I62" s="37">
        <v>26</v>
      </c>
      <c r="J62" s="37">
        <v>24</v>
      </c>
      <c r="K62" s="37">
        <v>10</v>
      </c>
      <c r="L62" s="37">
        <v>31</v>
      </c>
      <c r="M62" s="37">
        <v>32</v>
      </c>
      <c r="N62" s="37">
        <v>32</v>
      </c>
      <c r="O62" s="37">
        <v>29</v>
      </c>
      <c r="P62" s="37">
        <v>32</v>
      </c>
      <c r="Q62" s="37">
        <v>28</v>
      </c>
      <c r="R62" s="37">
        <v>34</v>
      </c>
      <c r="S62" s="37">
        <v>32</v>
      </c>
      <c r="T62" s="78">
        <v>44</v>
      </c>
      <c r="U62" s="78">
        <v>37</v>
      </c>
      <c r="V62" s="78">
        <v>21</v>
      </c>
      <c r="W62" s="37">
        <v>18</v>
      </c>
      <c r="X62" s="37"/>
      <c r="Z62" s="31">
        <v>26</v>
      </c>
      <c r="AA62" s="31">
        <v>24</v>
      </c>
      <c r="AB62" s="31">
        <v>10</v>
      </c>
      <c r="AC62" s="31">
        <v>31</v>
      </c>
      <c r="AD62" s="31">
        <v>32</v>
      </c>
      <c r="AE62" s="31">
        <v>32</v>
      </c>
      <c r="AF62" s="31">
        <v>29</v>
      </c>
      <c r="AG62" s="31">
        <v>32</v>
      </c>
      <c r="AH62" s="31">
        <v>28</v>
      </c>
      <c r="AI62" s="31">
        <v>34</v>
      </c>
    </row>
    <row r="63" spans="1:35">
      <c r="A63" s="29" t="s">
        <v>58</v>
      </c>
      <c r="B63" s="30">
        <v>63</v>
      </c>
      <c r="C63" s="30">
        <v>65</v>
      </c>
      <c r="D63" s="30">
        <v>60</v>
      </c>
      <c r="E63" s="30">
        <v>55</v>
      </c>
      <c r="F63" s="30">
        <v>54</v>
      </c>
      <c r="G63" s="30">
        <v>61</v>
      </c>
      <c r="H63" s="30">
        <v>55</v>
      </c>
      <c r="I63" s="37">
        <v>61</v>
      </c>
      <c r="J63" s="37">
        <v>82</v>
      </c>
      <c r="K63" s="37">
        <v>66</v>
      </c>
      <c r="L63" s="37">
        <v>88</v>
      </c>
      <c r="M63" s="37">
        <v>87</v>
      </c>
      <c r="N63" s="37">
        <v>73</v>
      </c>
      <c r="O63" s="37">
        <v>66</v>
      </c>
      <c r="P63" s="37">
        <v>64</v>
      </c>
      <c r="Q63" s="37">
        <v>63</v>
      </c>
      <c r="R63" s="37">
        <v>53</v>
      </c>
      <c r="S63" s="37">
        <v>60</v>
      </c>
      <c r="T63" s="78">
        <v>60</v>
      </c>
      <c r="U63" s="78">
        <v>59</v>
      </c>
      <c r="V63" s="78">
        <v>61</v>
      </c>
      <c r="W63" s="37">
        <v>69</v>
      </c>
      <c r="X63" s="37"/>
      <c r="Z63" s="31">
        <v>61</v>
      </c>
      <c r="AA63" s="31">
        <v>82</v>
      </c>
      <c r="AB63" s="31">
        <v>66</v>
      </c>
      <c r="AC63" s="31">
        <v>88</v>
      </c>
      <c r="AD63" s="31">
        <v>87</v>
      </c>
      <c r="AE63" s="31">
        <v>73</v>
      </c>
      <c r="AF63" s="31">
        <v>66</v>
      </c>
      <c r="AG63" s="31">
        <v>64</v>
      </c>
      <c r="AH63" s="31">
        <v>63</v>
      </c>
      <c r="AI63" s="31">
        <v>53</v>
      </c>
    </row>
    <row r="64" spans="1:35">
      <c r="A64" s="29" t="s">
        <v>59</v>
      </c>
      <c r="B64" s="30">
        <v>23</v>
      </c>
      <c r="C64" s="30">
        <v>24</v>
      </c>
      <c r="D64" s="30">
        <v>20</v>
      </c>
      <c r="E64" s="30">
        <v>24</v>
      </c>
      <c r="F64" s="30">
        <v>19</v>
      </c>
      <c r="G64" s="30">
        <v>14</v>
      </c>
      <c r="H64" s="30">
        <v>16</v>
      </c>
      <c r="I64" s="37">
        <v>9</v>
      </c>
      <c r="J64" s="37">
        <v>18</v>
      </c>
      <c r="K64" s="37">
        <v>21</v>
      </c>
      <c r="L64" s="37">
        <v>16</v>
      </c>
      <c r="M64" s="37">
        <v>22</v>
      </c>
      <c r="N64" s="37">
        <v>20</v>
      </c>
      <c r="O64" s="37">
        <v>24</v>
      </c>
      <c r="P64" s="37">
        <v>20</v>
      </c>
      <c r="Q64" s="37">
        <v>16</v>
      </c>
      <c r="R64" s="37">
        <v>28</v>
      </c>
      <c r="S64" s="37">
        <v>28</v>
      </c>
      <c r="T64" s="78">
        <v>32</v>
      </c>
      <c r="U64" s="78">
        <v>29</v>
      </c>
      <c r="V64" s="78">
        <v>28</v>
      </c>
      <c r="W64" s="37">
        <v>28</v>
      </c>
      <c r="X64" s="37"/>
      <c r="Z64" s="31">
        <v>9</v>
      </c>
      <c r="AA64" s="31">
        <v>18</v>
      </c>
      <c r="AB64" s="31">
        <v>21</v>
      </c>
      <c r="AC64" s="31">
        <v>16</v>
      </c>
      <c r="AD64" s="31">
        <v>22</v>
      </c>
      <c r="AE64" s="31">
        <v>20</v>
      </c>
      <c r="AF64" s="31">
        <v>24</v>
      </c>
      <c r="AG64" s="31">
        <v>20</v>
      </c>
      <c r="AH64" s="31">
        <v>16</v>
      </c>
      <c r="AI64" s="31">
        <v>28</v>
      </c>
    </row>
    <row r="65" spans="1:39">
      <c r="A65" s="29" t="s">
        <v>60</v>
      </c>
      <c r="B65" s="30">
        <v>76</v>
      </c>
      <c r="C65" s="30">
        <v>93</v>
      </c>
      <c r="D65" s="30">
        <v>93</v>
      </c>
      <c r="E65" s="30">
        <v>79</v>
      </c>
      <c r="F65" s="30">
        <v>79</v>
      </c>
      <c r="G65" s="30">
        <v>87</v>
      </c>
      <c r="H65" s="30">
        <v>74</v>
      </c>
      <c r="I65" s="37">
        <v>76</v>
      </c>
      <c r="J65" s="37">
        <v>63</v>
      </c>
      <c r="K65" s="37">
        <v>55</v>
      </c>
      <c r="L65" s="37">
        <v>67</v>
      </c>
      <c r="M65" s="37">
        <v>83</v>
      </c>
      <c r="N65" s="37">
        <v>76</v>
      </c>
      <c r="O65" s="37">
        <v>86</v>
      </c>
      <c r="P65" s="37">
        <v>79</v>
      </c>
      <c r="Q65" s="37">
        <v>69</v>
      </c>
      <c r="R65" s="37">
        <v>85</v>
      </c>
      <c r="S65" s="37">
        <v>74</v>
      </c>
      <c r="T65" s="78">
        <v>75</v>
      </c>
      <c r="U65" s="78">
        <v>63</v>
      </c>
      <c r="V65" s="78">
        <v>81</v>
      </c>
      <c r="W65" s="37">
        <v>48</v>
      </c>
      <c r="X65" s="37"/>
      <c r="Z65" s="31">
        <v>76</v>
      </c>
      <c r="AA65" s="31">
        <v>63</v>
      </c>
      <c r="AB65" s="31">
        <v>55</v>
      </c>
      <c r="AC65" s="31">
        <v>67</v>
      </c>
      <c r="AD65" s="31">
        <v>83</v>
      </c>
      <c r="AE65" s="31">
        <v>76</v>
      </c>
      <c r="AF65" s="31">
        <v>86</v>
      </c>
      <c r="AG65" s="31">
        <v>79</v>
      </c>
      <c r="AH65" s="31">
        <v>69</v>
      </c>
      <c r="AI65" s="31">
        <v>85</v>
      </c>
    </row>
    <row r="66" spans="1:39">
      <c r="A66" s="29" t="s">
        <v>61</v>
      </c>
      <c r="B66" s="30">
        <v>47</v>
      </c>
      <c r="C66" s="30">
        <v>55</v>
      </c>
      <c r="D66" s="30">
        <v>47</v>
      </c>
      <c r="E66" s="30">
        <v>51</v>
      </c>
      <c r="F66" s="30">
        <v>40</v>
      </c>
      <c r="G66" s="30">
        <v>45</v>
      </c>
      <c r="H66" s="30">
        <v>42</v>
      </c>
      <c r="I66" s="37">
        <v>44</v>
      </c>
      <c r="J66" s="37">
        <v>43</v>
      </c>
      <c r="K66" s="37">
        <v>49</v>
      </c>
      <c r="L66" s="37">
        <v>55</v>
      </c>
      <c r="M66" s="37">
        <v>67</v>
      </c>
      <c r="N66" s="37">
        <v>50</v>
      </c>
      <c r="O66" s="37">
        <v>55</v>
      </c>
      <c r="P66" s="37">
        <v>60</v>
      </c>
      <c r="Q66" s="37">
        <v>51</v>
      </c>
      <c r="R66" s="37">
        <v>46</v>
      </c>
      <c r="S66" s="37">
        <v>54</v>
      </c>
      <c r="T66" s="78">
        <v>43</v>
      </c>
      <c r="U66" s="78">
        <v>34</v>
      </c>
      <c r="V66" s="78">
        <v>40</v>
      </c>
      <c r="W66" s="37">
        <v>35</v>
      </c>
      <c r="X66" s="37"/>
      <c r="Z66" s="31">
        <v>44</v>
      </c>
      <c r="AA66" s="31">
        <v>43</v>
      </c>
      <c r="AB66" s="31">
        <v>49</v>
      </c>
      <c r="AC66" s="31">
        <v>55</v>
      </c>
      <c r="AD66" s="31">
        <v>67</v>
      </c>
      <c r="AE66" s="31">
        <v>50</v>
      </c>
      <c r="AF66" s="31">
        <v>55</v>
      </c>
      <c r="AG66" s="31">
        <v>60</v>
      </c>
      <c r="AH66" s="31">
        <v>51</v>
      </c>
      <c r="AI66" s="31">
        <v>46</v>
      </c>
    </row>
    <row r="67" spans="1:39">
      <c r="A67" s="29" t="s">
        <v>62</v>
      </c>
      <c r="B67" s="30">
        <v>99</v>
      </c>
      <c r="C67" s="30">
        <v>93</v>
      </c>
      <c r="D67" s="30">
        <v>102</v>
      </c>
      <c r="E67" s="30">
        <v>94</v>
      </c>
      <c r="F67" s="30">
        <v>94</v>
      </c>
      <c r="G67" s="30">
        <v>78</v>
      </c>
      <c r="H67" s="30">
        <v>81</v>
      </c>
      <c r="I67" s="37">
        <v>94</v>
      </c>
      <c r="J67" s="37">
        <v>95</v>
      </c>
      <c r="K67" s="37">
        <v>79</v>
      </c>
      <c r="L67" s="37">
        <v>81</v>
      </c>
      <c r="M67" s="37">
        <v>80</v>
      </c>
      <c r="N67" s="37">
        <v>104</v>
      </c>
      <c r="O67" s="37">
        <v>83</v>
      </c>
      <c r="P67" s="37">
        <v>79</v>
      </c>
      <c r="Q67" s="37">
        <v>77</v>
      </c>
      <c r="R67" s="37">
        <v>78</v>
      </c>
      <c r="S67" s="37">
        <v>85</v>
      </c>
      <c r="T67" s="78">
        <v>90</v>
      </c>
      <c r="U67" s="78">
        <v>64</v>
      </c>
      <c r="V67" s="78">
        <v>81</v>
      </c>
      <c r="W67" s="37">
        <v>69</v>
      </c>
      <c r="X67" s="37"/>
      <c r="Z67" s="31">
        <v>94</v>
      </c>
      <c r="AA67" s="31">
        <v>95</v>
      </c>
      <c r="AB67" s="31">
        <v>79</v>
      </c>
      <c r="AC67" s="31">
        <v>81</v>
      </c>
      <c r="AD67" s="31">
        <v>80</v>
      </c>
      <c r="AE67" s="31">
        <v>104</v>
      </c>
      <c r="AF67" s="31">
        <v>83</v>
      </c>
      <c r="AG67" s="31">
        <v>79</v>
      </c>
      <c r="AH67" s="31">
        <v>77</v>
      </c>
      <c r="AI67" s="31">
        <v>78</v>
      </c>
    </row>
    <row r="68" spans="1:39">
      <c r="A68" s="29" t="s">
        <v>63</v>
      </c>
      <c r="B68" s="30">
        <v>44</v>
      </c>
      <c r="C68" s="30">
        <v>45</v>
      </c>
      <c r="D68" s="30">
        <v>41</v>
      </c>
      <c r="E68" s="30">
        <v>35</v>
      </c>
      <c r="F68" s="30">
        <v>48</v>
      </c>
      <c r="G68" s="30">
        <v>39</v>
      </c>
      <c r="H68" s="30">
        <v>37</v>
      </c>
      <c r="I68" s="37">
        <v>65</v>
      </c>
      <c r="J68" s="37">
        <v>61</v>
      </c>
      <c r="K68" s="37">
        <v>62</v>
      </c>
      <c r="L68" s="37">
        <v>73</v>
      </c>
      <c r="M68" s="37">
        <v>75</v>
      </c>
      <c r="N68" s="37">
        <v>55</v>
      </c>
      <c r="O68" s="37">
        <v>77</v>
      </c>
      <c r="P68" s="37">
        <v>81</v>
      </c>
      <c r="Q68" s="37">
        <v>75</v>
      </c>
      <c r="R68" s="37">
        <v>85</v>
      </c>
      <c r="S68" s="37">
        <v>85</v>
      </c>
      <c r="T68" s="78">
        <v>71</v>
      </c>
      <c r="U68" s="78">
        <v>78</v>
      </c>
      <c r="V68" s="78">
        <v>51</v>
      </c>
      <c r="W68" s="37">
        <v>56</v>
      </c>
      <c r="X68" s="37"/>
      <c r="Z68" s="31">
        <v>37</v>
      </c>
      <c r="AA68" s="31">
        <v>35</v>
      </c>
      <c r="AB68" s="31">
        <v>40</v>
      </c>
      <c r="AC68" s="31">
        <v>41</v>
      </c>
      <c r="AD68" s="31">
        <v>49</v>
      </c>
      <c r="AE68" s="31">
        <v>42</v>
      </c>
      <c r="AF68" s="31">
        <v>77</v>
      </c>
      <c r="AG68" s="31">
        <v>81</v>
      </c>
      <c r="AH68" s="31">
        <v>75</v>
      </c>
      <c r="AI68" s="31">
        <v>85</v>
      </c>
    </row>
    <row r="69" spans="1:39">
      <c r="A69" s="29" t="s">
        <v>64</v>
      </c>
      <c r="B69" s="30">
        <v>102</v>
      </c>
      <c r="C69" s="30">
        <v>137</v>
      </c>
      <c r="D69" s="30">
        <v>114</v>
      </c>
      <c r="E69" s="30">
        <v>114</v>
      </c>
      <c r="F69" s="30">
        <v>121</v>
      </c>
      <c r="G69" s="30">
        <v>101</v>
      </c>
      <c r="H69" s="30">
        <v>91</v>
      </c>
      <c r="I69" s="37">
        <v>108</v>
      </c>
      <c r="J69" s="37">
        <v>81</v>
      </c>
      <c r="K69" s="37">
        <v>105</v>
      </c>
      <c r="L69" s="37">
        <v>94</v>
      </c>
      <c r="M69" s="37">
        <v>101</v>
      </c>
      <c r="N69" s="37">
        <v>97</v>
      </c>
      <c r="O69" s="37">
        <v>129</v>
      </c>
      <c r="P69" s="37">
        <v>105</v>
      </c>
      <c r="Q69" s="37">
        <v>93</v>
      </c>
      <c r="R69" s="37">
        <v>108</v>
      </c>
      <c r="S69" s="37">
        <v>98</v>
      </c>
      <c r="T69" s="78">
        <v>97</v>
      </c>
      <c r="U69" s="78">
        <v>96</v>
      </c>
      <c r="V69" s="78">
        <v>116</v>
      </c>
      <c r="W69" s="37">
        <v>91</v>
      </c>
      <c r="X69" s="37"/>
      <c r="Z69" s="31">
        <v>108</v>
      </c>
      <c r="AA69" s="31">
        <v>81</v>
      </c>
      <c r="AB69" s="31">
        <v>105</v>
      </c>
      <c r="AC69" s="31">
        <v>94</v>
      </c>
      <c r="AD69" s="31">
        <v>101</v>
      </c>
      <c r="AE69" s="31">
        <v>97</v>
      </c>
      <c r="AF69" s="31">
        <v>129</v>
      </c>
      <c r="AG69" s="31">
        <v>105</v>
      </c>
      <c r="AH69" s="31">
        <v>93</v>
      </c>
      <c r="AI69" s="31">
        <v>108</v>
      </c>
    </row>
    <row r="70" spans="1:39">
      <c r="A70" s="33" t="s">
        <v>65</v>
      </c>
      <c r="B70" s="34">
        <v>206</v>
      </c>
      <c r="C70" s="34">
        <v>216</v>
      </c>
      <c r="D70" s="34">
        <v>237</v>
      </c>
      <c r="E70" s="34">
        <v>205</v>
      </c>
      <c r="F70" s="34">
        <v>196</v>
      </c>
      <c r="G70" s="34">
        <v>197</v>
      </c>
      <c r="H70" s="34">
        <v>172</v>
      </c>
      <c r="I70" s="38">
        <v>174</v>
      </c>
      <c r="J70" s="38">
        <v>186</v>
      </c>
      <c r="K70" s="38">
        <v>211</v>
      </c>
      <c r="L70" s="38">
        <v>190</v>
      </c>
      <c r="M70" s="38">
        <v>175</v>
      </c>
      <c r="N70" s="38">
        <v>182</v>
      </c>
      <c r="O70" s="38">
        <v>164</v>
      </c>
      <c r="P70" s="38">
        <v>185</v>
      </c>
      <c r="Q70" s="38">
        <v>159</v>
      </c>
      <c r="R70" s="38">
        <v>163</v>
      </c>
      <c r="S70" s="38">
        <v>184</v>
      </c>
      <c r="T70" s="79">
        <v>175</v>
      </c>
      <c r="U70" s="239">
        <v>173</v>
      </c>
      <c r="V70" s="239">
        <v>197</v>
      </c>
      <c r="W70" s="38">
        <v>169</v>
      </c>
      <c r="X70" s="37"/>
      <c r="Z70" s="34">
        <v>174</v>
      </c>
      <c r="AA70" s="34">
        <v>186</v>
      </c>
      <c r="AB70" s="34">
        <v>211</v>
      </c>
      <c r="AC70" s="34">
        <v>190</v>
      </c>
      <c r="AD70" s="34">
        <v>175</v>
      </c>
      <c r="AE70" s="34">
        <v>182</v>
      </c>
      <c r="AF70" s="34">
        <v>164</v>
      </c>
      <c r="AG70" s="34">
        <v>185</v>
      </c>
      <c r="AH70" s="34">
        <v>159</v>
      </c>
      <c r="AI70" s="34">
        <v>163</v>
      </c>
      <c r="AM70" s="39"/>
    </row>
    <row r="71" spans="1:39">
      <c r="A71" s="33" t="s">
        <v>85</v>
      </c>
      <c r="B71" s="34">
        <v>570</v>
      </c>
      <c r="C71" s="34">
        <v>575</v>
      </c>
      <c r="D71" s="34">
        <v>504</v>
      </c>
      <c r="E71" s="34">
        <v>497</v>
      </c>
      <c r="F71" s="34">
        <v>485</v>
      </c>
      <c r="G71" s="34">
        <v>503</v>
      </c>
      <c r="H71" s="34">
        <v>494</v>
      </c>
      <c r="I71" s="38">
        <v>461</v>
      </c>
      <c r="J71" s="38">
        <v>437</v>
      </c>
      <c r="K71" s="38">
        <v>487</v>
      </c>
      <c r="L71" s="38">
        <v>536</v>
      </c>
      <c r="M71" s="38">
        <v>563</v>
      </c>
      <c r="N71" s="38">
        <v>579</v>
      </c>
      <c r="O71" s="38">
        <v>591</v>
      </c>
      <c r="P71" s="38">
        <v>633</v>
      </c>
      <c r="Q71" s="38">
        <v>596</v>
      </c>
      <c r="R71" s="38">
        <v>659</v>
      </c>
      <c r="S71" s="38">
        <v>575</v>
      </c>
      <c r="T71" s="79">
        <v>616</v>
      </c>
      <c r="U71" s="239">
        <v>597</v>
      </c>
      <c r="V71" s="239">
        <v>546</v>
      </c>
      <c r="W71" s="38">
        <v>525</v>
      </c>
      <c r="X71" s="37"/>
      <c r="Z71" s="34">
        <v>461</v>
      </c>
      <c r="AA71" s="34">
        <v>437</v>
      </c>
      <c r="AB71" s="34">
        <v>487</v>
      </c>
      <c r="AC71" s="34">
        <v>536</v>
      </c>
      <c r="AD71" s="34">
        <v>563</v>
      </c>
      <c r="AE71" s="34">
        <v>579</v>
      </c>
      <c r="AF71" s="34">
        <v>591</v>
      </c>
      <c r="AG71" s="34">
        <v>633</v>
      </c>
      <c r="AH71" s="34">
        <v>596</v>
      </c>
      <c r="AI71" s="34">
        <v>659</v>
      </c>
      <c r="AM71" s="39"/>
    </row>
    <row r="72" spans="1:39" s="32" customFormat="1">
      <c r="A72" s="33" t="s">
        <v>86</v>
      </c>
      <c r="B72" s="34">
        <v>287</v>
      </c>
      <c r="C72" s="34">
        <v>269</v>
      </c>
      <c r="D72" s="34">
        <v>320</v>
      </c>
      <c r="E72" s="34">
        <v>288</v>
      </c>
      <c r="F72" s="34">
        <v>256</v>
      </c>
      <c r="G72" s="34">
        <v>277</v>
      </c>
      <c r="H72" s="34">
        <v>275</v>
      </c>
      <c r="I72" s="38">
        <v>299</v>
      </c>
      <c r="J72" s="38">
        <v>293</v>
      </c>
      <c r="K72" s="38">
        <v>284</v>
      </c>
      <c r="L72" s="38">
        <v>327</v>
      </c>
      <c r="M72" s="38">
        <v>315</v>
      </c>
      <c r="N72" s="38">
        <v>343</v>
      </c>
      <c r="O72" s="38">
        <v>348</v>
      </c>
      <c r="P72" s="38">
        <v>337</v>
      </c>
      <c r="Q72" s="38">
        <v>400</v>
      </c>
      <c r="R72" s="38">
        <v>378</v>
      </c>
      <c r="S72" s="38">
        <v>383</v>
      </c>
      <c r="T72" s="79">
        <v>358</v>
      </c>
      <c r="U72" s="239">
        <v>416</v>
      </c>
      <c r="V72" s="239">
        <v>353</v>
      </c>
      <c r="W72" s="38">
        <v>394</v>
      </c>
      <c r="X72" s="37"/>
      <c r="Z72" s="34">
        <v>299</v>
      </c>
      <c r="AA72" s="34">
        <v>293</v>
      </c>
      <c r="AB72" s="34">
        <v>284</v>
      </c>
      <c r="AC72" s="34">
        <v>327</v>
      </c>
      <c r="AD72" s="34">
        <v>315</v>
      </c>
      <c r="AE72" s="34">
        <v>343</v>
      </c>
      <c r="AF72" s="34">
        <v>348</v>
      </c>
      <c r="AG72" s="34">
        <v>337</v>
      </c>
      <c r="AH72" s="34">
        <v>400</v>
      </c>
      <c r="AI72" s="34">
        <v>378</v>
      </c>
      <c r="AM72" s="39"/>
    </row>
    <row r="73" spans="1:39" s="32" customFormat="1">
      <c r="A73" s="33" t="s">
        <v>87</v>
      </c>
      <c r="B73" s="34">
        <v>180</v>
      </c>
      <c r="C73" s="34">
        <v>176</v>
      </c>
      <c r="D73" s="34">
        <v>143</v>
      </c>
      <c r="E73" s="34">
        <v>146</v>
      </c>
      <c r="F73" s="34">
        <v>130</v>
      </c>
      <c r="G73" s="34">
        <v>133</v>
      </c>
      <c r="H73" s="34">
        <v>122</v>
      </c>
      <c r="I73" s="38">
        <v>126</v>
      </c>
      <c r="J73" s="38">
        <v>113</v>
      </c>
      <c r="K73" s="38">
        <v>151</v>
      </c>
      <c r="L73" s="38">
        <v>141</v>
      </c>
      <c r="M73" s="38">
        <v>156</v>
      </c>
      <c r="N73" s="38">
        <v>162</v>
      </c>
      <c r="O73" s="38">
        <v>177</v>
      </c>
      <c r="P73" s="38">
        <v>150</v>
      </c>
      <c r="Q73" s="38">
        <v>153</v>
      </c>
      <c r="R73" s="38">
        <v>161</v>
      </c>
      <c r="S73" s="38">
        <v>181</v>
      </c>
      <c r="T73" s="79">
        <v>160</v>
      </c>
      <c r="U73" s="239">
        <v>165</v>
      </c>
      <c r="V73" s="239">
        <v>178</v>
      </c>
      <c r="W73" s="38">
        <v>186</v>
      </c>
      <c r="X73" s="37"/>
      <c r="Z73" s="34">
        <v>126</v>
      </c>
      <c r="AA73" s="34">
        <v>113</v>
      </c>
      <c r="AB73" s="34">
        <v>151</v>
      </c>
      <c r="AC73" s="34">
        <v>141</v>
      </c>
      <c r="AD73" s="34">
        <v>156</v>
      </c>
      <c r="AE73" s="34">
        <v>162</v>
      </c>
      <c r="AF73" s="34">
        <v>177</v>
      </c>
      <c r="AG73" s="34">
        <v>150</v>
      </c>
      <c r="AH73" s="34">
        <v>153</v>
      </c>
      <c r="AI73" s="34">
        <v>161</v>
      </c>
      <c r="AM73" s="39"/>
    </row>
    <row r="74" spans="1:39" s="32" customFormat="1">
      <c r="A74" s="33" t="s">
        <v>88</v>
      </c>
      <c r="B74" s="34">
        <v>229</v>
      </c>
      <c r="C74" s="34">
        <v>212</v>
      </c>
      <c r="D74" s="34">
        <v>219</v>
      </c>
      <c r="E74" s="34">
        <v>247</v>
      </c>
      <c r="F74" s="34">
        <v>217</v>
      </c>
      <c r="G74" s="34">
        <v>216</v>
      </c>
      <c r="H74" s="34">
        <v>193</v>
      </c>
      <c r="I74" s="38">
        <v>206</v>
      </c>
      <c r="J74" s="38">
        <v>234</v>
      </c>
      <c r="K74" s="38">
        <v>246</v>
      </c>
      <c r="L74" s="38">
        <v>244</v>
      </c>
      <c r="M74" s="38">
        <v>218</v>
      </c>
      <c r="N74" s="38">
        <v>267</v>
      </c>
      <c r="O74" s="38">
        <v>260</v>
      </c>
      <c r="P74" s="38">
        <v>271</v>
      </c>
      <c r="Q74" s="38">
        <v>237</v>
      </c>
      <c r="R74" s="38">
        <v>289</v>
      </c>
      <c r="S74" s="38">
        <v>257</v>
      </c>
      <c r="T74" s="79">
        <v>265</v>
      </c>
      <c r="U74" s="239">
        <v>265</v>
      </c>
      <c r="V74" s="239">
        <v>256</v>
      </c>
      <c r="W74" s="38">
        <v>265</v>
      </c>
      <c r="X74" s="37"/>
      <c r="Z74" s="34">
        <v>206</v>
      </c>
      <c r="AA74" s="34">
        <v>234</v>
      </c>
      <c r="AB74" s="34">
        <v>246</v>
      </c>
      <c r="AC74" s="34">
        <v>244</v>
      </c>
      <c r="AD74" s="34">
        <v>218</v>
      </c>
      <c r="AE74" s="34">
        <v>267</v>
      </c>
      <c r="AF74" s="34">
        <v>260</v>
      </c>
      <c r="AG74" s="34">
        <v>271</v>
      </c>
      <c r="AH74" s="34">
        <v>237</v>
      </c>
      <c r="AI74" s="34">
        <v>289</v>
      </c>
      <c r="AM74" s="39"/>
    </row>
    <row r="75" spans="1:39" s="32" customFormat="1">
      <c r="A75" s="33" t="s">
        <v>89</v>
      </c>
      <c r="B75" s="34">
        <v>317</v>
      </c>
      <c r="C75" s="34">
        <v>301</v>
      </c>
      <c r="D75" s="34">
        <v>313</v>
      </c>
      <c r="E75" s="34">
        <v>278</v>
      </c>
      <c r="F75" s="34">
        <v>277</v>
      </c>
      <c r="G75" s="34">
        <v>272</v>
      </c>
      <c r="H75" s="34">
        <v>273</v>
      </c>
      <c r="I75" s="38">
        <v>260</v>
      </c>
      <c r="J75" s="38">
        <v>283</v>
      </c>
      <c r="K75" s="38">
        <v>278</v>
      </c>
      <c r="L75" s="38">
        <v>269</v>
      </c>
      <c r="M75" s="38">
        <v>290</v>
      </c>
      <c r="N75" s="38">
        <v>288</v>
      </c>
      <c r="O75" s="38">
        <v>280</v>
      </c>
      <c r="P75" s="38">
        <v>295</v>
      </c>
      <c r="Q75" s="38">
        <v>302</v>
      </c>
      <c r="R75" s="38">
        <v>287</v>
      </c>
      <c r="S75" s="38">
        <v>294</v>
      </c>
      <c r="T75" s="79">
        <v>266</v>
      </c>
      <c r="U75" s="239">
        <v>261</v>
      </c>
      <c r="V75" s="239">
        <v>290</v>
      </c>
      <c r="W75" s="38">
        <v>277</v>
      </c>
      <c r="X75" s="37"/>
      <c r="Z75" s="34">
        <v>260</v>
      </c>
      <c r="AA75" s="34">
        <v>283</v>
      </c>
      <c r="AB75" s="34">
        <v>278</v>
      </c>
      <c r="AC75" s="34">
        <v>269</v>
      </c>
      <c r="AD75" s="34">
        <v>290</v>
      </c>
      <c r="AE75" s="34">
        <v>288</v>
      </c>
      <c r="AF75" s="34">
        <v>280</v>
      </c>
      <c r="AG75" s="34">
        <v>295</v>
      </c>
      <c r="AH75" s="34">
        <v>302</v>
      </c>
      <c r="AI75" s="34">
        <v>287</v>
      </c>
      <c r="AM75" s="39"/>
    </row>
    <row r="76" spans="1:39" s="32" customFormat="1">
      <c r="A76" s="33" t="s">
        <v>90</v>
      </c>
      <c r="B76" s="34">
        <v>464</v>
      </c>
      <c r="C76" s="34">
        <v>462</v>
      </c>
      <c r="D76" s="34">
        <v>451</v>
      </c>
      <c r="E76" s="34">
        <v>412</v>
      </c>
      <c r="F76" s="34">
        <v>415</v>
      </c>
      <c r="G76" s="34">
        <v>399</v>
      </c>
      <c r="H76" s="34">
        <v>445</v>
      </c>
      <c r="I76" s="38">
        <v>405</v>
      </c>
      <c r="J76" s="38">
        <v>390</v>
      </c>
      <c r="K76" s="38">
        <v>391</v>
      </c>
      <c r="L76" s="38">
        <v>450</v>
      </c>
      <c r="M76" s="38">
        <v>486</v>
      </c>
      <c r="N76" s="38">
        <v>476</v>
      </c>
      <c r="O76" s="38">
        <v>510</v>
      </c>
      <c r="P76" s="38">
        <v>520</v>
      </c>
      <c r="Q76" s="38">
        <v>475</v>
      </c>
      <c r="R76" s="38">
        <v>507</v>
      </c>
      <c r="S76" s="38">
        <v>486</v>
      </c>
      <c r="T76" s="79">
        <v>460</v>
      </c>
      <c r="U76" s="239">
        <v>419</v>
      </c>
      <c r="V76" s="239">
        <v>420</v>
      </c>
      <c r="W76" s="38">
        <v>435</v>
      </c>
      <c r="X76" s="37"/>
      <c r="Z76" s="34">
        <v>405</v>
      </c>
      <c r="AA76" s="34">
        <v>390</v>
      </c>
      <c r="AB76" s="34">
        <v>391</v>
      </c>
      <c r="AC76" s="34">
        <v>450</v>
      </c>
      <c r="AD76" s="34">
        <v>486</v>
      </c>
      <c r="AE76" s="34">
        <v>476</v>
      </c>
      <c r="AF76" s="34">
        <v>510</v>
      </c>
      <c r="AG76" s="34">
        <v>520</v>
      </c>
      <c r="AH76" s="34">
        <v>475</v>
      </c>
      <c r="AI76" s="34">
        <v>507</v>
      </c>
      <c r="AM76" s="39"/>
    </row>
    <row r="77" spans="1:39" s="32" customFormat="1">
      <c r="A77" s="33" t="s">
        <v>81</v>
      </c>
      <c r="B77" s="34">
        <v>136</v>
      </c>
      <c r="C77" s="34">
        <v>116</v>
      </c>
      <c r="D77" s="34">
        <v>120</v>
      </c>
      <c r="E77" s="34">
        <v>109</v>
      </c>
      <c r="F77" s="34">
        <v>108</v>
      </c>
      <c r="G77" s="34">
        <v>106</v>
      </c>
      <c r="H77" s="34">
        <v>112</v>
      </c>
      <c r="I77" s="38">
        <v>161</v>
      </c>
      <c r="J77" s="38">
        <v>175</v>
      </c>
      <c r="K77" s="38">
        <v>153</v>
      </c>
      <c r="L77" s="38">
        <v>180</v>
      </c>
      <c r="M77" s="38">
        <v>197</v>
      </c>
      <c r="N77" s="38">
        <v>167</v>
      </c>
      <c r="O77" s="38">
        <v>166</v>
      </c>
      <c r="P77" s="38">
        <v>154</v>
      </c>
      <c r="Q77" s="38">
        <v>161</v>
      </c>
      <c r="R77" s="38">
        <v>166</v>
      </c>
      <c r="S77" s="38">
        <v>178</v>
      </c>
      <c r="T77" s="79">
        <v>182</v>
      </c>
      <c r="U77" s="239">
        <v>191</v>
      </c>
      <c r="V77" s="239">
        <v>203</v>
      </c>
      <c r="W77" s="38">
        <v>229</v>
      </c>
      <c r="X77" s="37"/>
      <c r="Z77" s="34">
        <v>117</v>
      </c>
      <c r="AA77" s="34">
        <v>137</v>
      </c>
      <c r="AB77" s="34">
        <v>113</v>
      </c>
      <c r="AC77" s="34">
        <v>139</v>
      </c>
      <c r="AD77" s="34">
        <v>145</v>
      </c>
      <c r="AE77" s="34">
        <v>123</v>
      </c>
      <c r="AF77" s="34">
        <v>120</v>
      </c>
      <c r="AG77" s="34">
        <v>154</v>
      </c>
      <c r="AH77" s="34">
        <v>161</v>
      </c>
      <c r="AI77" s="34">
        <v>166</v>
      </c>
      <c r="AM77" s="39"/>
    </row>
    <row r="78" spans="1:39" s="32" customFormat="1">
      <c r="A78" s="33" t="s">
        <v>91</v>
      </c>
      <c r="B78" s="34">
        <v>232</v>
      </c>
      <c r="C78" s="34">
        <v>224</v>
      </c>
      <c r="D78" s="34">
        <v>219</v>
      </c>
      <c r="E78" s="34">
        <v>211</v>
      </c>
      <c r="F78" s="34">
        <v>234</v>
      </c>
      <c r="G78" s="34">
        <v>216</v>
      </c>
      <c r="H78" s="34">
        <v>219</v>
      </c>
      <c r="I78" s="38">
        <v>225</v>
      </c>
      <c r="J78" s="38">
        <v>206</v>
      </c>
      <c r="K78" s="38">
        <v>198</v>
      </c>
      <c r="L78" s="38">
        <v>208</v>
      </c>
      <c r="M78" s="38">
        <v>224</v>
      </c>
      <c r="N78" s="38">
        <v>208</v>
      </c>
      <c r="O78" s="38">
        <v>203</v>
      </c>
      <c r="P78" s="38">
        <v>230</v>
      </c>
      <c r="Q78" s="38">
        <v>245</v>
      </c>
      <c r="R78" s="38">
        <v>230</v>
      </c>
      <c r="S78" s="38">
        <v>214</v>
      </c>
      <c r="T78" s="79">
        <v>205</v>
      </c>
      <c r="U78" s="239">
        <v>214</v>
      </c>
      <c r="V78" s="239">
        <v>246</v>
      </c>
      <c r="W78" s="38">
        <v>186</v>
      </c>
      <c r="X78" s="37"/>
      <c r="Z78" s="34">
        <v>225</v>
      </c>
      <c r="AA78" s="34">
        <v>206</v>
      </c>
      <c r="AB78" s="34">
        <v>198</v>
      </c>
      <c r="AC78" s="34">
        <v>208</v>
      </c>
      <c r="AD78" s="34">
        <v>224</v>
      </c>
      <c r="AE78" s="34">
        <v>208</v>
      </c>
      <c r="AF78" s="34">
        <v>203</v>
      </c>
      <c r="AG78" s="34">
        <v>230</v>
      </c>
      <c r="AH78" s="34">
        <v>245</v>
      </c>
      <c r="AI78" s="34">
        <v>230</v>
      </c>
      <c r="AM78" s="39"/>
    </row>
    <row r="79" spans="1:39" s="32" customFormat="1">
      <c r="A79" s="33" t="s">
        <v>92</v>
      </c>
      <c r="B79" s="34">
        <v>544</v>
      </c>
      <c r="C79" s="34">
        <v>543</v>
      </c>
      <c r="D79" s="34">
        <v>509</v>
      </c>
      <c r="E79" s="34">
        <v>511</v>
      </c>
      <c r="F79" s="34">
        <v>458</v>
      </c>
      <c r="G79" s="34">
        <v>460</v>
      </c>
      <c r="H79" s="34">
        <v>461</v>
      </c>
      <c r="I79" s="38">
        <v>464</v>
      </c>
      <c r="J79" s="38">
        <v>488</v>
      </c>
      <c r="K79" s="38">
        <v>489</v>
      </c>
      <c r="L79" s="38">
        <v>513</v>
      </c>
      <c r="M79" s="38">
        <v>522</v>
      </c>
      <c r="N79" s="38">
        <v>533</v>
      </c>
      <c r="O79" s="38">
        <v>602</v>
      </c>
      <c r="P79" s="38">
        <v>623</v>
      </c>
      <c r="Q79" s="38">
        <v>588</v>
      </c>
      <c r="R79" s="38">
        <v>573</v>
      </c>
      <c r="S79" s="38">
        <v>605</v>
      </c>
      <c r="T79" s="79">
        <v>549</v>
      </c>
      <c r="U79" s="239">
        <v>515</v>
      </c>
      <c r="V79" s="239">
        <v>538</v>
      </c>
      <c r="W79" s="38">
        <v>483</v>
      </c>
      <c r="X79" s="37"/>
      <c r="Z79" s="34">
        <v>464</v>
      </c>
      <c r="AA79" s="34">
        <v>488</v>
      </c>
      <c r="AB79" s="34">
        <v>490</v>
      </c>
      <c r="AC79" s="34">
        <v>513</v>
      </c>
      <c r="AD79" s="34">
        <v>522</v>
      </c>
      <c r="AE79" s="34">
        <v>533</v>
      </c>
      <c r="AF79" s="34">
        <v>602</v>
      </c>
      <c r="AG79" s="34">
        <v>623</v>
      </c>
      <c r="AH79" s="34">
        <v>588</v>
      </c>
      <c r="AI79" s="34">
        <v>573</v>
      </c>
      <c r="AM79" s="39"/>
    </row>
    <row r="80" spans="1:39" s="32" customFormat="1">
      <c r="A80" s="33" t="s">
        <v>93</v>
      </c>
      <c r="B80" s="34">
        <v>254</v>
      </c>
      <c r="C80" s="34">
        <v>250</v>
      </c>
      <c r="D80" s="34">
        <v>248</v>
      </c>
      <c r="E80" s="34">
        <v>219</v>
      </c>
      <c r="F80" s="34">
        <v>274</v>
      </c>
      <c r="G80" s="34">
        <v>215</v>
      </c>
      <c r="H80" s="34">
        <v>220</v>
      </c>
      <c r="I80" s="38">
        <v>243</v>
      </c>
      <c r="J80" s="38">
        <v>234</v>
      </c>
      <c r="K80" s="38">
        <v>259</v>
      </c>
      <c r="L80" s="38">
        <v>261</v>
      </c>
      <c r="M80" s="38">
        <v>289</v>
      </c>
      <c r="N80" s="38">
        <v>330</v>
      </c>
      <c r="O80" s="38">
        <v>349</v>
      </c>
      <c r="P80" s="38">
        <v>374</v>
      </c>
      <c r="Q80" s="38">
        <v>376</v>
      </c>
      <c r="R80" s="38">
        <v>385</v>
      </c>
      <c r="S80" s="38">
        <v>350</v>
      </c>
      <c r="T80" s="79">
        <v>366</v>
      </c>
      <c r="U80" s="239">
        <v>307</v>
      </c>
      <c r="V80" s="239">
        <v>314</v>
      </c>
      <c r="W80" s="38">
        <v>320</v>
      </c>
      <c r="X80" s="37"/>
      <c r="Z80" s="34">
        <v>243</v>
      </c>
      <c r="AA80" s="34">
        <v>234</v>
      </c>
      <c r="AB80" s="34">
        <v>259</v>
      </c>
      <c r="AC80" s="34">
        <v>261</v>
      </c>
      <c r="AD80" s="34">
        <v>289</v>
      </c>
      <c r="AE80" s="34">
        <v>330</v>
      </c>
      <c r="AF80" s="34">
        <v>349</v>
      </c>
      <c r="AG80" s="34">
        <v>374</v>
      </c>
      <c r="AH80" s="34">
        <v>376</v>
      </c>
      <c r="AI80" s="34">
        <v>385</v>
      </c>
      <c r="AM80" s="39"/>
    </row>
    <row r="81" spans="1:39" s="32" customFormat="1">
      <c r="A81" s="33" t="s">
        <v>94</v>
      </c>
      <c r="B81" s="34">
        <v>215</v>
      </c>
      <c r="C81" s="34">
        <v>192</v>
      </c>
      <c r="D81" s="34">
        <v>200</v>
      </c>
      <c r="E81" s="34">
        <v>217</v>
      </c>
      <c r="F81" s="34">
        <v>185</v>
      </c>
      <c r="G81" s="34">
        <v>208</v>
      </c>
      <c r="H81" s="34">
        <v>184</v>
      </c>
      <c r="I81" s="38">
        <v>213</v>
      </c>
      <c r="J81" s="38">
        <v>187</v>
      </c>
      <c r="K81" s="38">
        <v>209</v>
      </c>
      <c r="L81" s="38">
        <v>188</v>
      </c>
      <c r="M81" s="38">
        <v>241</v>
      </c>
      <c r="N81" s="38">
        <v>262</v>
      </c>
      <c r="O81" s="38">
        <v>275</v>
      </c>
      <c r="P81" s="38">
        <v>265</v>
      </c>
      <c r="Q81" s="38">
        <v>277</v>
      </c>
      <c r="R81" s="38">
        <v>296</v>
      </c>
      <c r="S81" s="38">
        <v>278</v>
      </c>
      <c r="T81" s="79">
        <v>285</v>
      </c>
      <c r="U81" s="239">
        <v>250</v>
      </c>
      <c r="V81" s="239">
        <v>273</v>
      </c>
      <c r="W81" s="38">
        <v>216</v>
      </c>
      <c r="X81" s="37"/>
      <c r="Z81" s="34">
        <v>213</v>
      </c>
      <c r="AA81" s="34">
        <v>187</v>
      </c>
      <c r="AB81" s="34">
        <v>209</v>
      </c>
      <c r="AC81" s="34">
        <v>188</v>
      </c>
      <c r="AD81" s="34">
        <v>241</v>
      </c>
      <c r="AE81" s="34">
        <v>262</v>
      </c>
      <c r="AF81" s="34">
        <v>275</v>
      </c>
      <c r="AG81" s="34">
        <v>265</v>
      </c>
      <c r="AH81" s="34">
        <v>277</v>
      </c>
      <c r="AI81" s="34">
        <v>296</v>
      </c>
      <c r="AM81" s="39"/>
    </row>
    <row r="82" spans="1:39" s="32" customFormat="1">
      <c r="A82" s="33" t="s">
        <v>95</v>
      </c>
      <c r="B82" s="34">
        <v>635</v>
      </c>
      <c r="C82" s="34">
        <v>657</v>
      </c>
      <c r="D82" s="34">
        <v>580</v>
      </c>
      <c r="E82" s="34">
        <v>591</v>
      </c>
      <c r="F82" s="34">
        <v>556</v>
      </c>
      <c r="G82" s="34">
        <v>507</v>
      </c>
      <c r="H82" s="34">
        <v>557</v>
      </c>
      <c r="I82" s="38">
        <v>575</v>
      </c>
      <c r="J82" s="38">
        <v>535</v>
      </c>
      <c r="K82" s="38">
        <v>528</v>
      </c>
      <c r="L82" s="38">
        <v>576</v>
      </c>
      <c r="M82" s="38">
        <v>560</v>
      </c>
      <c r="N82" s="38">
        <v>582</v>
      </c>
      <c r="O82" s="38">
        <v>623</v>
      </c>
      <c r="P82" s="38">
        <v>563</v>
      </c>
      <c r="Q82" s="38">
        <v>519</v>
      </c>
      <c r="R82" s="38">
        <v>544</v>
      </c>
      <c r="S82" s="38">
        <v>555</v>
      </c>
      <c r="T82" s="79">
        <v>579</v>
      </c>
      <c r="U82" s="239">
        <v>546</v>
      </c>
      <c r="V82" s="239">
        <v>502</v>
      </c>
      <c r="W82" s="38">
        <v>487</v>
      </c>
      <c r="X82" s="37"/>
      <c r="Z82" s="34">
        <v>575</v>
      </c>
      <c r="AA82" s="34">
        <v>535</v>
      </c>
      <c r="AB82" s="34">
        <v>528</v>
      </c>
      <c r="AC82" s="34">
        <v>576</v>
      </c>
      <c r="AD82" s="34">
        <v>560</v>
      </c>
      <c r="AE82" s="34">
        <v>582</v>
      </c>
      <c r="AF82" s="34">
        <v>623</v>
      </c>
      <c r="AG82" s="34">
        <v>563</v>
      </c>
      <c r="AH82" s="34">
        <v>519</v>
      </c>
      <c r="AI82" s="34">
        <v>544</v>
      </c>
      <c r="AM82" s="39"/>
    </row>
    <row r="83" spans="1:39">
      <c r="A83" s="29" t="s">
        <v>66</v>
      </c>
      <c r="B83" s="30">
        <v>57</v>
      </c>
      <c r="C83" s="30">
        <v>49</v>
      </c>
      <c r="D83" s="30">
        <v>59</v>
      </c>
      <c r="E83" s="30">
        <v>55</v>
      </c>
      <c r="F83" s="30">
        <v>51</v>
      </c>
      <c r="G83" s="30">
        <v>45</v>
      </c>
      <c r="H83" s="30">
        <v>60</v>
      </c>
      <c r="I83" s="37">
        <v>42</v>
      </c>
      <c r="J83" s="37">
        <v>49</v>
      </c>
      <c r="K83" s="37">
        <v>48</v>
      </c>
      <c r="L83" s="37">
        <v>50</v>
      </c>
      <c r="M83" s="37">
        <v>68</v>
      </c>
      <c r="N83" s="37">
        <v>70</v>
      </c>
      <c r="O83" s="37">
        <v>83</v>
      </c>
      <c r="P83" s="37">
        <v>85</v>
      </c>
      <c r="Q83" s="37">
        <v>71</v>
      </c>
      <c r="R83" s="37">
        <v>97</v>
      </c>
      <c r="S83" s="37">
        <v>71</v>
      </c>
      <c r="T83" s="78">
        <v>74</v>
      </c>
      <c r="U83" s="78">
        <v>69</v>
      </c>
      <c r="V83" s="78">
        <v>66</v>
      </c>
      <c r="W83" s="37">
        <v>68</v>
      </c>
      <c r="X83" s="37"/>
      <c r="Z83" s="31">
        <v>42</v>
      </c>
      <c r="AA83" s="31">
        <v>49</v>
      </c>
      <c r="AB83" s="31">
        <v>48</v>
      </c>
      <c r="AC83" s="31">
        <v>50</v>
      </c>
      <c r="AD83" s="31">
        <v>68</v>
      </c>
      <c r="AE83" s="31">
        <v>70</v>
      </c>
      <c r="AF83" s="31">
        <v>83</v>
      </c>
      <c r="AG83" s="31">
        <v>85</v>
      </c>
      <c r="AH83" s="31">
        <v>71</v>
      </c>
      <c r="AI83" s="31">
        <v>97</v>
      </c>
      <c r="AM83" s="39"/>
    </row>
    <row r="84" spans="1:39">
      <c r="A84" s="29" t="s">
        <v>67</v>
      </c>
      <c r="B84" s="30">
        <v>68</v>
      </c>
      <c r="C84" s="30">
        <v>52</v>
      </c>
      <c r="D84" s="30">
        <v>59</v>
      </c>
      <c r="E84" s="30">
        <v>53</v>
      </c>
      <c r="F84" s="30">
        <v>48</v>
      </c>
      <c r="G84" s="30">
        <v>45</v>
      </c>
      <c r="H84" s="30">
        <v>52</v>
      </c>
      <c r="I84" s="37">
        <v>69</v>
      </c>
      <c r="J84" s="37">
        <v>92</v>
      </c>
      <c r="K84" s="37">
        <v>82</v>
      </c>
      <c r="L84" s="37">
        <v>84</v>
      </c>
      <c r="M84" s="37">
        <v>80</v>
      </c>
      <c r="N84" s="37">
        <v>78</v>
      </c>
      <c r="O84" s="37">
        <v>77</v>
      </c>
      <c r="P84" s="37">
        <v>91</v>
      </c>
      <c r="Q84" s="37">
        <v>87</v>
      </c>
      <c r="R84" s="37">
        <v>82</v>
      </c>
      <c r="S84" s="37">
        <v>103</v>
      </c>
      <c r="T84" s="78">
        <v>92</v>
      </c>
      <c r="U84" s="78">
        <v>72</v>
      </c>
      <c r="V84" s="78">
        <v>83</v>
      </c>
      <c r="W84" s="37">
        <v>62</v>
      </c>
      <c r="X84" s="37"/>
      <c r="Z84" s="31">
        <v>40</v>
      </c>
      <c r="AA84" s="31">
        <v>60</v>
      </c>
      <c r="AB84" s="31">
        <v>47</v>
      </c>
      <c r="AC84" s="31">
        <v>51</v>
      </c>
      <c r="AD84" s="31">
        <v>50</v>
      </c>
      <c r="AE84" s="31">
        <v>47</v>
      </c>
      <c r="AF84" s="31">
        <v>52</v>
      </c>
      <c r="AG84" s="31">
        <v>91</v>
      </c>
      <c r="AH84" s="31">
        <v>87</v>
      </c>
      <c r="AI84" s="31">
        <v>82</v>
      </c>
      <c r="AM84" s="39"/>
    </row>
    <row r="85" spans="1:39">
      <c r="A85" s="29" t="s">
        <v>68</v>
      </c>
      <c r="B85" s="30">
        <v>42</v>
      </c>
      <c r="C85" s="30">
        <v>43</v>
      </c>
      <c r="D85" s="30">
        <v>42</v>
      </c>
      <c r="E85" s="30">
        <v>36</v>
      </c>
      <c r="F85" s="30">
        <v>33</v>
      </c>
      <c r="G85" s="30">
        <v>36</v>
      </c>
      <c r="H85" s="30">
        <v>37</v>
      </c>
      <c r="I85" s="37">
        <v>41</v>
      </c>
      <c r="J85" s="37">
        <v>28</v>
      </c>
      <c r="K85" s="37">
        <v>44</v>
      </c>
      <c r="L85" s="37">
        <v>34</v>
      </c>
      <c r="M85" s="37">
        <v>42</v>
      </c>
      <c r="N85" s="37">
        <v>43</v>
      </c>
      <c r="O85" s="37">
        <v>39</v>
      </c>
      <c r="P85" s="37">
        <v>49</v>
      </c>
      <c r="Q85" s="37">
        <v>37</v>
      </c>
      <c r="R85" s="37">
        <v>40</v>
      </c>
      <c r="S85" s="37">
        <v>38</v>
      </c>
      <c r="T85" s="78">
        <v>49</v>
      </c>
      <c r="U85" s="78">
        <v>34</v>
      </c>
      <c r="V85" s="78">
        <v>53</v>
      </c>
      <c r="W85" s="37">
        <v>49</v>
      </c>
      <c r="X85" s="233"/>
      <c r="Z85" s="31">
        <v>41</v>
      </c>
      <c r="AA85" s="31">
        <v>28</v>
      </c>
      <c r="AB85" s="31">
        <v>44</v>
      </c>
      <c r="AC85" s="31">
        <v>34</v>
      </c>
      <c r="AD85" s="31">
        <v>42</v>
      </c>
      <c r="AE85" s="31">
        <v>43</v>
      </c>
      <c r="AF85" s="31">
        <v>39</v>
      </c>
      <c r="AG85" s="31">
        <v>49</v>
      </c>
      <c r="AH85" s="31">
        <v>37</v>
      </c>
      <c r="AI85" s="31">
        <v>40</v>
      </c>
    </row>
    <row r="86" spans="1:39">
      <c r="A86" s="29" t="s">
        <v>69</v>
      </c>
      <c r="B86" s="30">
        <v>75</v>
      </c>
      <c r="C86" s="30">
        <v>49</v>
      </c>
      <c r="D86" s="30">
        <v>60</v>
      </c>
      <c r="E86" s="30">
        <v>44</v>
      </c>
      <c r="F86" s="30">
        <v>49</v>
      </c>
      <c r="G86" s="30">
        <v>43</v>
      </c>
      <c r="H86" s="30">
        <v>45</v>
      </c>
      <c r="I86" s="37">
        <v>37</v>
      </c>
      <c r="J86" s="37">
        <v>48</v>
      </c>
      <c r="K86" s="37">
        <v>46</v>
      </c>
      <c r="L86" s="37">
        <v>36</v>
      </c>
      <c r="M86" s="37">
        <v>50</v>
      </c>
      <c r="N86" s="37">
        <v>48</v>
      </c>
      <c r="O86" s="37">
        <v>43</v>
      </c>
      <c r="P86" s="37">
        <v>49</v>
      </c>
      <c r="Q86" s="37">
        <v>41</v>
      </c>
      <c r="R86" s="37">
        <v>53</v>
      </c>
      <c r="S86" s="37">
        <v>50</v>
      </c>
      <c r="T86" s="78">
        <v>57</v>
      </c>
      <c r="U86" s="78">
        <v>68</v>
      </c>
      <c r="V86" s="78">
        <v>41</v>
      </c>
      <c r="W86" s="37">
        <v>37</v>
      </c>
      <c r="X86" s="233"/>
      <c r="Z86" s="31">
        <v>37</v>
      </c>
      <c r="AA86" s="31">
        <v>48</v>
      </c>
      <c r="AB86" s="31">
        <v>46</v>
      </c>
      <c r="AC86" s="31">
        <v>36</v>
      </c>
      <c r="AD86" s="31">
        <v>50</v>
      </c>
      <c r="AE86" s="31">
        <v>48</v>
      </c>
      <c r="AF86" s="31">
        <v>43</v>
      </c>
      <c r="AG86" s="31">
        <v>49</v>
      </c>
      <c r="AH86" s="31">
        <v>41</v>
      </c>
      <c r="AI86" s="31">
        <v>53</v>
      </c>
    </row>
    <row r="87" spans="1:39">
      <c r="A87" s="29" t="s">
        <v>70</v>
      </c>
      <c r="B87" s="30">
        <v>102</v>
      </c>
      <c r="C87" s="30">
        <v>101</v>
      </c>
      <c r="D87" s="30">
        <v>97</v>
      </c>
      <c r="E87" s="30">
        <v>77</v>
      </c>
      <c r="F87" s="30">
        <v>87</v>
      </c>
      <c r="G87" s="30">
        <v>89</v>
      </c>
      <c r="H87" s="30">
        <v>104</v>
      </c>
      <c r="I87" s="37">
        <v>85</v>
      </c>
      <c r="J87" s="37">
        <v>111</v>
      </c>
      <c r="K87" s="37">
        <v>87</v>
      </c>
      <c r="L87" s="37">
        <v>83</v>
      </c>
      <c r="M87" s="37">
        <v>103</v>
      </c>
      <c r="N87" s="37">
        <v>87</v>
      </c>
      <c r="O87" s="37">
        <v>104</v>
      </c>
      <c r="P87" s="37">
        <v>91</v>
      </c>
      <c r="Q87" s="37">
        <v>114</v>
      </c>
      <c r="R87" s="37">
        <v>76</v>
      </c>
      <c r="S87" s="37">
        <v>101</v>
      </c>
      <c r="T87" s="78">
        <v>81</v>
      </c>
      <c r="U87" s="78">
        <v>60</v>
      </c>
      <c r="V87" s="78">
        <v>59</v>
      </c>
      <c r="W87" s="37">
        <v>63</v>
      </c>
      <c r="X87" s="233"/>
      <c r="Z87" s="31">
        <v>85</v>
      </c>
      <c r="AA87" s="31">
        <v>111</v>
      </c>
      <c r="AB87" s="31">
        <v>87</v>
      </c>
      <c r="AC87" s="31">
        <v>83</v>
      </c>
      <c r="AD87" s="31">
        <v>103</v>
      </c>
      <c r="AE87" s="31">
        <v>87</v>
      </c>
      <c r="AF87" s="31">
        <v>104</v>
      </c>
      <c r="AG87" s="31">
        <v>91</v>
      </c>
      <c r="AH87" s="31">
        <v>114</v>
      </c>
      <c r="AI87" s="31">
        <v>76</v>
      </c>
    </row>
    <row r="88" spans="1:39">
      <c r="A88" s="29" t="s">
        <v>71</v>
      </c>
      <c r="B88" s="30">
        <v>58</v>
      </c>
      <c r="C88" s="30">
        <v>71</v>
      </c>
      <c r="D88" s="30">
        <v>51</v>
      </c>
      <c r="E88" s="30">
        <v>56</v>
      </c>
      <c r="F88" s="30">
        <v>56</v>
      </c>
      <c r="G88" s="30">
        <v>58</v>
      </c>
      <c r="H88" s="30">
        <v>53</v>
      </c>
      <c r="I88" s="37">
        <v>124</v>
      </c>
      <c r="J88" s="37">
        <v>110</v>
      </c>
      <c r="K88" s="37">
        <v>129</v>
      </c>
      <c r="L88" s="37">
        <v>142</v>
      </c>
      <c r="M88" s="37">
        <v>166</v>
      </c>
      <c r="N88" s="37">
        <v>162</v>
      </c>
      <c r="O88" s="37">
        <v>155</v>
      </c>
      <c r="P88" s="37">
        <v>158</v>
      </c>
      <c r="Q88" s="37">
        <v>146</v>
      </c>
      <c r="R88" s="37">
        <v>143</v>
      </c>
      <c r="S88" s="37">
        <v>156</v>
      </c>
      <c r="T88" s="78">
        <v>136</v>
      </c>
      <c r="U88" s="78">
        <v>147</v>
      </c>
      <c r="V88" s="78">
        <v>120</v>
      </c>
      <c r="W88" s="37">
        <v>134</v>
      </c>
      <c r="X88" s="233"/>
      <c r="Z88" s="31">
        <v>51</v>
      </c>
      <c r="AA88" s="27">
        <f t="shared" ref="AA88:AF88" si="0">AA45+AA35</f>
        <v>138</v>
      </c>
      <c r="AB88" s="27">
        <f t="shared" si="0"/>
        <v>121</v>
      </c>
      <c r="AC88" s="27">
        <f t="shared" si="0"/>
        <v>167</v>
      </c>
      <c r="AD88" s="27">
        <f t="shared" si="0"/>
        <v>139</v>
      </c>
      <c r="AE88" s="27">
        <f t="shared" si="0"/>
        <v>131</v>
      </c>
      <c r="AF88" s="27">
        <f t="shared" si="0"/>
        <v>161</v>
      </c>
      <c r="AG88" s="31">
        <v>158</v>
      </c>
      <c r="AH88" s="31">
        <v>146</v>
      </c>
      <c r="AI88" s="31">
        <v>143</v>
      </c>
    </row>
    <row r="89" spans="1:39">
      <c r="A89" s="29" t="s">
        <v>72</v>
      </c>
      <c r="B89" s="30">
        <v>45</v>
      </c>
      <c r="C89" s="30">
        <v>26</v>
      </c>
      <c r="D89" s="30">
        <v>35</v>
      </c>
      <c r="E89" s="30">
        <v>27</v>
      </c>
      <c r="F89" s="30">
        <v>34</v>
      </c>
      <c r="G89" s="30">
        <v>26</v>
      </c>
      <c r="H89" s="30">
        <v>27</v>
      </c>
      <c r="I89" s="37">
        <v>35</v>
      </c>
      <c r="J89" s="37">
        <v>30</v>
      </c>
      <c r="K89" s="37">
        <v>33</v>
      </c>
      <c r="L89" s="37">
        <v>35</v>
      </c>
      <c r="M89" s="37">
        <v>51</v>
      </c>
      <c r="N89" s="37">
        <v>46</v>
      </c>
      <c r="O89" s="37">
        <v>68</v>
      </c>
      <c r="P89" s="37">
        <v>77</v>
      </c>
      <c r="Q89" s="37">
        <v>74</v>
      </c>
      <c r="R89" s="37">
        <v>84</v>
      </c>
      <c r="S89" s="37">
        <v>70</v>
      </c>
      <c r="T89" s="78">
        <v>75</v>
      </c>
      <c r="U89" s="78">
        <v>66</v>
      </c>
      <c r="V89" s="78">
        <v>62</v>
      </c>
      <c r="W89" s="37">
        <v>72</v>
      </c>
      <c r="X89" s="233"/>
      <c r="Z89" s="31">
        <v>35</v>
      </c>
      <c r="AA89" s="31">
        <v>30</v>
      </c>
      <c r="AB89" s="31">
        <v>33</v>
      </c>
      <c r="AC89" s="31">
        <v>29</v>
      </c>
      <c r="AD89" s="31">
        <v>38</v>
      </c>
      <c r="AE89" s="31">
        <v>33</v>
      </c>
      <c r="AF89" s="31">
        <v>47</v>
      </c>
      <c r="AG89" s="31">
        <v>56</v>
      </c>
      <c r="AH89" s="31">
        <v>62</v>
      </c>
      <c r="AI89" s="31">
        <v>57</v>
      </c>
    </row>
    <row r="90" spans="1:39">
      <c r="A90" s="29" t="s">
        <v>73</v>
      </c>
      <c r="B90" s="30">
        <v>64</v>
      </c>
      <c r="C90" s="30">
        <v>72</v>
      </c>
      <c r="D90" s="30">
        <v>73</v>
      </c>
      <c r="E90" s="30">
        <v>76</v>
      </c>
      <c r="F90" s="30">
        <v>73</v>
      </c>
      <c r="G90" s="30">
        <v>60</v>
      </c>
      <c r="H90" s="30">
        <v>81</v>
      </c>
      <c r="I90" s="37">
        <v>66</v>
      </c>
      <c r="J90" s="37">
        <v>82</v>
      </c>
      <c r="K90" s="37">
        <v>73</v>
      </c>
      <c r="L90" s="37">
        <v>81</v>
      </c>
      <c r="M90" s="37">
        <v>82</v>
      </c>
      <c r="N90" s="37">
        <v>99</v>
      </c>
      <c r="O90" s="37">
        <v>97</v>
      </c>
      <c r="P90" s="37">
        <v>101</v>
      </c>
      <c r="Q90" s="37">
        <v>113</v>
      </c>
      <c r="R90" s="37">
        <v>75</v>
      </c>
      <c r="S90" s="37">
        <v>75</v>
      </c>
      <c r="T90" s="78">
        <v>95</v>
      </c>
      <c r="U90" s="78">
        <v>88</v>
      </c>
      <c r="V90" s="78">
        <v>67</v>
      </c>
      <c r="W90" s="37">
        <v>70</v>
      </c>
      <c r="X90" s="233"/>
      <c r="Z90" s="31">
        <v>66</v>
      </c>
      <c r="AA90" s="31">
        <v>82</v>
      </c>
      <c r="AB90" s="31">
        <v>73</v>
      </c>
      <c r="AC90" s="31">
        <v>81</v>
      </c>
      <c r="AD90" s="31">
        <v>82</v>
      </c>
      <c r="AE90" s="31">
        <v>99</v>
      </c>
      <c r="AF90" s="31">
        <v>97</v>
      </c>
      <c r="AG90" s="31">
        <v>101</v>
      </c>
      <c r="AH90" s="31">
        <v>113</v>
      </c>
      <c r="AI90" s="31">
        <v>75</v>
      </c>
    </row>
    <row r="91" spans="1:39" s="32" customFormat="1">
      <c r="A91" s="33"/>
      <c r="B91" s="234">
        <f t="shared" ref="B91:W91" si="1">((SUM(B83:B90))+(SUM(B45:B69))+(SUM(B38:B43))+(SUM(B4:B36)))</f>
        <v>4477</v>
      </c>
      <c r="C91" s="234">
        <f t="shared" si="1"/>
        <v>4400</v>
      </c>
      <c r="D91" s="234">
        <f t="shared" si="1"/>
        <v>4253</v>
      </c>
      <c r="E91" s="234">
        <f t="shared" si="1"/>
        <v>4131</v>
      </c>
      <c r="F91" s="234">
        <f t="shared" si="1"/>
        <v>4087</v>
      </c>
      <c r="G91" s="234">
        <f t="shared" si="1"/>
        <v>3954</v>
      </c>
      <c r="H91" s="234">
        <f t="shared" si="1"/>
        <v>3977</v>
      </c>
      <c r="I91" s="234">
        <f t="shared" si="1"/>
        <v>4554</v>
      </c>
      <c r="J91" s="234">
        <f t="shared" si="1"/>
        <v>4484</v>
      </c>
      <c r="K91" s="234">
        <f t="shared" si="1"/>
        <v>4633</v>
      </c>
      <c r="L91" s="234">
        <f t="shared" si="1"/>
        <v>4913</v>
      </c>
      <c r="M91" s="234">
        <f t="shared" si="1"/>
        <v>5136</v>
      </c>
      <c r="N91" s="234">
        <f t="shared" si="1"/>
        <v>5317</v>
      </c>
      <c r="O91" s="234">
        <f t="shared" si="1"/>
        <v>5494</v>
      </c>
      <c r="P91" s="234">
        <f t="shared" si="1"/>
        <v>5576</v>
      </c>
      <c r="Q91" s="234">
        <f t="shared" si="1"/>
        <v>5486</v>
      </c>
      <c r="R91" s="234">
        <f t="shared" si="1"/>
        <v>5593</v>
      </c>
      <c r="S91" s="234">
        <f t="shared" si="1"/>
        <v>5510</v>
      </c>
      <c r="T91" s="234">
        <f t="shared" si="1"/>
        <v>5424</v>
      </c>
      <c r="U91" s="234">
        <f t="shared" si="1"/>
        <v>5266</v>
      </c>
      <c r="V91" s="234">
        <f t="shared" si="1"/>
        <v>5197</v>
      </c>
      <c r="W91" s="234">
        <f t="shared" si="1"/>
        <v>5058</v>
      </c>
      <c r="X91" s="38"/>
    </row>
    <row r="92" spans="1:39" s="32" customFormat="1">
      <c r="A92" s="33"/>
      <c r="B92" s="34"/>
      <c r="C92" s="34"/>
      <c r="D92" s="34"/>
      <c r="E92" s="34"/>
      <c r="F92" s="34"/>
      <c r="G92" s="34"/>
      <c r="H92" s="34"/>
      <c r="I92" s="34"/>
      <c r="J92" s="34"/>
      <c r="K92" s="34"/>
      <c r="L92" s="34"/>
      <c r="S92" s="7"/>
      <c r="T92" s="38"/>
      <c r="U92" s="237"/>
      <c r="V92" s="38"/>
      <c r="W92" s="38"/>
      <c r="X92" s="38"/>
    </row>
    <row r="93" spans="1:39">
      <c r="A93" s="26" t="s">
        <v>259</v>
      </c>
      <c r="S93" s="25"/>
      <c r="T93" s="38"/>
      <c r="V93" s="38"/>
      <c r="W93" s="38"/>
      <c r="X93" s="38"/>
    </row>
    <row r="94" spans="1:39">
      <c r="A94" s="253" t="s">
        <v>256</v>
      </c>
      <c r="B94" s="254"/>
      <c r="C94" s="254"/>
      <c r="D94" s="254"/>
      <c r="E94" s="254"/>
      <c r="F94" s="254"/>
      <c r="G94" s="254"/>
      <c r="H94" s="254"/>
      <c r="K94" s="256">
        <v>3</v>
      </c>
      <c r="L94" s="256">
        <v>6</v>
      </c>
      <c r="M94" s="256">
        <v>13</v>
      </c>
      <c r="N94" s="256">
        <v>13</v>
      </c>
      <c r="O94" s="254">
        <v>21</v>
      </c>
      <c r="P94" s="254">
        <v>21</v>
      </c>
      <c r="Q94" s="254">
        <v>12</v>
      </c>
      <c r="R94" s="254">
        <v>27</v>
      </c>
      <c r="S94" s="256">
        <v>22</v>
      </c>
      <c r="T94" s="256">
        <v>24</v>
      </c>
      <c r="U94" s="257">
        <v>18</v>
      </c>
      <c r="V94" s="257">
        <v>18</v>
      </c>
      <c r="W94" s="257">
        <v>17</v>
      </c>
      <c r="X94" s="38"/>
      <c r="AK94" s="32"/>
    </row>
    <row r="95" spans="1:39">
      <c r="A95" s="253" t="s">
        <v>257</v>
      </c>
      <c r="B95" s="254"/>
      <c r="C95" s="254"/>
      <c r="D95" s="254"/>
      <c r="E95" s="254"/>
      <c r="F95" s="254"/>
      <c r="G95" s="254"/>
      <c r="H95" s="254"/>
      <c r="I95" s="254"/>
      <c r="J95" s="254"/>
      <c r="K95" s="254"/>
      <c r="L95" s="254"/>
      <c r="M95" s="255"/>
      <c r="N95" s="254">
        <v>10</v>
      </c>
      <c r="O95" s="254">
        <v>21</v>
      </c>
      <c r="P95" s="254">
        <v>21</v>
      </c>
      <c r="Q95" s="254">
        <v>49</v>
      </c>
      <c r="R95" s="254">
        <v>30</v>
      </c>
      <c r="S95" s="256">
        <v>38</v>
      </c>
      <c r="T95" s="256">
        <v>26</v>
      </c>
      <c r="U95" s="257">
        <v>32</v>
      </c>
      <c r="V95" s="257">
        <v>16</v>
      </c>
      <c r="W95" s="257">
        <v>40</v>
      </c>
      <c r="X95" s="38"/>
    </row>
    <row r="96" spans="1:39">
      <c r="A96" s="253" t="s">
        <v>258</v>
      </c>
      <c r="B96" s="254"/>
      <c r="C96" s="254"/>
      <c r="D96" s="254"/>
      <c r="E96" s="254"/>
      <c r="F96" s="254"/>
      <c r="G96" s="254"/>
      <c r="H96" s="254"/>
      <c r="I96" s="254"/>
      <c r="J96" s="254"/>
      <c r="K96" s="254"/>
      <c r="L96" s="254"/>
      <c r="M96" s="255"/>
      <c r="N96" s="255"/>
      <c r="O96" s="254">
        <v>1</v>
      </c>
      <c r="P96" s="254">
        <v>0</v>
      </c>
      <c r="Q96" s="254">
        <v>1</v>
      </c>
      <c r="R96" s="254">
        <v>0</v>
      </c>
      <c r="S96" s="256">
        <v>1</v>
      </c>
      <c r="T96" s="256">
        <v>1</v>
      </c>
      <c r="U96" s="257">
        <v>4</v>
      </c>
      <c r="V96" s="257">
        <v>2</v>
      </c>
      <c r="W96" s="257">
        <v>28</v>
      </c>
      <c r="X96" s="38"/>
    </row>
    <row r="97" spans="1:24">
      <c r="T97" s="38"/>
      <c r="V97" s="238"/>
      <c r="W97" s="257"/>
      <c r="X97" s="38"/>
    </row>
    <row r="98" spans="1:24">
      <c r="A98" s="26" t="s">
        <v>260</v>
      </c>
      <c r="S98" s="38"/>
      <c r="T98" s="38"/>
      <c r="V98" s="238"/>
      <c r="W98" s="257"/>
      <c r="X98" s="38"/>
    </row>
    <row r="99" spans="1:24">
      <c r="A99" s="260" t="s">
        <v>261</v>
      </c>
      <c r="B99" s="259">
        <v>18</v>
      </c>
      <c r="O99" s="254">
        <v>21</v>
      </c>
      <c r="P99" s="254">
        <v>21</v>
      </c>
      <c r="Q99" s="254">
        <v>12</v>
      </c>
      <c r="R99" s="254">
        <v>27</v>
      </c>
      <c r="S99" s="254">
        <v>22</v>
      </c>
      <c r="T99" s="258">
        <v>24</v>
      </c>
      <c r="U99" s="261">
        <v>18</v>
      </c>
      <c r="V99" s="261">
        <v>18</v>
      </c>
      <c r="W99" s="257">
        <v>17</v>
      </c>
      <c r="X99" s="37"/>
    </row>
    <row r="100" spans="1:24">
      <c r="A100" s="260" t="s">
        <v>262</v>
      </c>
      <c r="B100" s="259">
        <v>8</v>
      </c>
      <c r="O100" s="254">
        <v>0</v>
      </c>
      <c r="P100" s="254">
        <v>1</v>
      </c>
      <c r="Q100" s="254">
        <v>1</v>
      </c>
      <c r="R100" s="254">
        <v>1</v>
      </c>
      <c r="S100" s="254">
        <v>4</v>
      </c>
      <c r="T100" s="258">
        <v>5</v>
      </c>
      <c r="U100" s="261">
        <v>8</v>
      </c>
      <c r="V100" s="261">
        <v>10</v>
      </c>
      <c r="W100" s="257">
        <v>6</v>
      </c>
      <c r="X100" s="37"/>
    </row>
    <row r="101" spans="1:24">
      <c r="L101" s="10"/>
      <c r="O101" s="262"/>
      <c r="P101" s="262"/>
      <c r="Q101" s="262"/>
      <c r="R101" s="262"/>
      <c r="S101" s="262"/>
      <c r="T101" s="262"/>
      <c r="U101" s="262"/>
      <c r="V101" s="37"/>
      <c r="W101" s="37"/>
      <c r="X101" s="37"/>
    </row>
    <row r="102" spans="1:24">
      <c r="T102" s="37"/>
      <c r="V102" s="37"/>
      <c r="W102" s="37"/>
      <c r="X102" s="37"/>
    </row>
    <row r="103" spans="1:24">
      <c r="T103" s="37"/>
      <c r="V103" s="37"/>
      <c r="W103" s="37"/>
      <c r="X103" s="37"/>
    </row>
    <row r="104" spans="1:24">
      <c r="T104" s="37"/>
      <c r="V104" s="37"/>
      <c r="W104" s="37"/>
      <c r="X104" s="37"/>
    </row>
    <row r="105" spans="1:24">
      <c r="T105" s="37"/>
      <c r="V105" s="37"/>
      <c r="W105" s="37"/>
      <c r="X105" s="37"/>
    </row>
    <row r="106" spans="1:24">
      <c r="T106" s="7"/>
      <c r="V106" s="32"/>
      <c r="W106" s="32"/>
      <c r="X106" s="32"/>
    </row>
    <row r="107" spans="1:24">
      <c r="T107" s="25"/>
    </row>
    <row r="108" spans="1:24">
      <c r="T108" s="70"/>
    </row>
  </sheetData>
  <pageMargins left="0.75" right="0.75" top="1" bottom="1" header="0.5" footer="0.5"/>
  <pageSetup paperSize="9" orientation="portrait" r:id="rId1"/>
  <headerFooter alignWithMargins="0"/>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dimension ref="A1:DQ95"/>
  <sheetViews>
    <sheetView workbookViewId="0">
      <selection activeCell="D5" sqref="D5"/>
    </sheetView>
  </sheetViews>
  <sheetFormatPr defaultRowHeight="12.75"/>
  <cols>
    <col min="1" max="1" width="47.85546875" style="25" customWidth="1"/>
    <col min="2" max="2" width="3" style="26" customWidth="1"/>
    <col min="3" max="8" width="3.28515625" style="26" customWidth="1"/>
    <col min="9" max="9" width="5.5703125" style="26" bestFit="1" customWidth="1"/>
    <col min="10" max="11" width="4" style="26" bestFit="1" customWidth="1"/>
    <col min="12" max="15" width="3.28515625" style="26" customWidth="1"/>
    <col min="16" max="16" width="3.28515625" style="26" bestFit="1" customWidth="1"/>
    <col min="17" max="17" width="5.5703125" style="6" bestFit="1" customWidth="1"/>
    <col min="18" max="21" width="4" style="26" bestFit="1" customWidth="1"/>
    <col min="22" max="23" width="3.28515625" style="26" customWidth="1"/>
    <col min="24" max="24" width="3.28515625" style="26" bestFit="1" customWidth="1"/>
    <col min="25" max="25" width="5.5703125" style="26" bestFit="1" customWidth="1"/>
    <col min="26" max="32" width="4" style="26" bestFit="1" customWidth="1"/>
    <col min="33" max="33" width="5.5703125" style="26" bestFit="1" customWidth="1"/>
    <col min="34" max="40" width="4" style="26" bestFit="1" customWidth="1"/>
    <col min="41" max="41" width="5.5703125" style="26" bestFit="1" customWidth="1"/>
    <col min="42" max="48" width="4" style="26" bestFit="1" customWidth="1"/>
    <col min="49" max="49" width="5.5703125" style="26" bestFit="1" customWidth="1"/>
    <col min="50" max="56" width="4" style="26" bestFit="1" customWidth="1"/>
    <col min="57" max="57" width="5.5703125" style="26" bestFit="1" customWidth="1"/>
    <col min="58" max="64" width="4" style="26" bestFit="1" customWidth="1"/>
    <col min="65" max="65" width="5.5703125" style="26" bestFit="1" customWidth="1"/>
    <col min="66" max="72" width="4" style="26" bestFit="1" customWidth="1"/>
    <col min="73" max="73" width="5.5703125" style="26" bestFit="1" customWidth="1"/>
    <col min="74" max="80" width="4" style="26" bestFit="1" customWidth="1"/>
    <col min="81" max="81" width="5.5703125" style="26" bestFit="1" customWidth="1"/>
    <col min="82" max="88" width="4" style="26" bestFit="1" customWidth="1"/>
    <col min="89" max="89" width="5.5703125" style="26" bestFit="1" customWidth="1"/>
    <col min="90" max="96" width="4" style="26" bestFit="1" customWidth="1"/>
    <col min="97" max="97" width="5.5703125" style="26" bestFit="1" customWidth="1"/>
    <col min="98" max="104" width="4" style="26" bestFit="1" customWidth="1"/>
    <col min="105" max="105" width="5.5703125" style="26" bestFit="1" customWidth="1"/>
    <col min="106" max="112" width="4" style="26" bestFit="1" customWidth="1"/>
    <col min="113" max="113" width="5.5703125" style="26" bestFit="1" customWidth="1"/>
    <col min="114" max="120" width="4" style="26" bestFit="1" customWidth="1"/>
    <col min="121" max="121" width="5.5703125" style="26" bestFit="1" customWidth="1"/>
    <col min="122" max="16384" width="9.140625" style="26"/>
  </cols>
  <sheetData>
    <row r="1" spans="1:121">
      <c r="A1" s="25" t="s">
        <v>401</v>
      </c>
      <c r="B1" s="441">
        <v>2018</v>
      </c>
      <c r="C1" s="441"/>
      <c r="D1" s="441"/>
      <c r="E1" s="441"/>
      <c r="F1" s="441"/>
      <c r="G1" s="441"/>
      <c r="H1" s="441"/>
      <c r="I1" s="441"/>
      <c r="J1" s="442">
        <v>2019</v>
      </c>
      <c r="K1" s="442"/>
      <c r="L1" s="442"/>
      <c r="M1" s="442"/>
      <c r="N1" s="442"/>
      <c r="O1" s="442"/>
      <c r="P1" s="442"/>
      <c r="Q1" s="442"/>
      <c r="R1" s="441">
        <v>2020</v>
      </c>
      <c r="S1" s="441"/>
      <c r="T1" s="441"/>
      <c r="U1" s="441"/>
      <c r="V1" s="441"/>
      <c r="W1" s="441"/>
      <c r="X1" s="441"/>
      <c r="Y1" s="441"/>
      <c r="Z1" s="442">
        <v>2021</v>
      </c>
      <c r="AA1" s="442"/>
      <c r="AB1" s="442"/>
      <c r="AC1" s="442"/>
      <c r="AD1" s="442"/>
      <c r="AE1" s="442"/>
      <c r="AF1" s="442"/>
      <c r="AG1" s="442"/>
      <c r="AH1" s="441">
        <v>2022</v>
      </c>
      <c r="AI1" s="441"/>
      <c r="AJ1" s="441"/>
      <c r="AK1" s="441"/>
      <c r="AL1" s="441"/>
      <c r="AM1" s="441"/>
      <c r="AN1" s="441"/>
      <c r="AO1" s="441"/>
      <c r="AP1" s="442">
        <v>2023</v>
      </c>
      <c r="AQ1" s="442"/>
      <c r="AR1" s="442"/>
      <c r="AS1" s="442"/>
      <c r="AT1" s="442"/>
      <c r="AU1" s="442"/>
      <c r="AV1" s="442"/>
      <c r="AW1" s="442"/>
      <c r="AX1" s="441">
        <v>2024</v>
      </c>
      <c r="AY1" s="441"/>
      <c r="AZ1" s="441"/>
      <c r="BA1" s="441"/>
      <c r="BB1" s="441"/>
      <c r="BC1" s="441"/>
      <c r="BD1" s="441"/>
      <c r="BE1" s="441"/>
      <c r="BF1" s="442">
        <v>2025</v>
      </c>
      <c r="BG1" s="442"/>
      <c r="BH1" s="442"/>
      <c r="BI1" s="442"/>
      <c r="BJ1" s="442"/>
      <c r="BK1" s="442"/>
      <c r="BL1" s="442"/>
      <c r="BM1" s="442"/>
      <c r="BN1" s="441">
        <v>2026</v>
      </c>
      <c r="BO1" s="441"/>
      <c r="BP1" s="441"/>
      <c r="BQ1" s="441"/>
      <c r="BR1" s="441"/>
      <c r="BS1" s="441"/>
      <c r="BT1" s="441"/>
      <c r="BU1" s="441"/>
      <c r="BV1" s="442">
        <v>2027</v>
      </c>
      <c r="BW1" s="442"/>
      <c r="BX1" s="442"/>
      <c r="BY1" s="442"/>
      <c r="BZ1" s="442"/>
      <c r="CA1" s="442"/>
      <c r="CB1" s="442"/>
      <c r="CC1" s="442"/>
      <c r="CD1" s="441">
        <v>2028</v>
      </c>
      <c r="CE1" s="441"/>
      <c r="CF1" s="441"/>
      <c r="CG1" s="441"/>
      <c r="CH1" s="441"/>
      <c r="CI1" s="441"/>
      <c r="CJ1" s="441"/>
      <c r="CK1" s="441"/>
      <c r="CL1" s="442">
        <v>2029</v>
      </c>
      <c r="CM1" s="442"/>
      <c r="CN1" s="442"/>
      <c r="CO1" s="442"/>
      <c r="CP1" s="442"/>
      <c r="CQ1" s="442"/>
      <c r="CR1" s="442"/>
      <c r="CS1" s="442"/>
      <c r="CT1" s="441">
        <v>2030</v>
      </c>
      <c r="CU1" s="441"/>
      <c r="CV1" s="441"/>
      <c r="CW1" s="441"/>
      <c r="CX1" s="441"/>
      <c r="CY1" s="441"/>
      <c r="CZ1" s="441"/>
      <c r="DA1" s="441"/>
      <c r="DB1" s="442">
        <v>2031</v>
      </c>
      <c r="DC1" s="442"/>
      <c r="DD1" s="442"/>
      <c r="DE1" s="442"/>
      <c r="DF1" s="442"/>
      <c r="DG1" s="442"/>
      <c r="DH1" s="442"/>
      <c r="DI1" s="442"/>
      <c r="DJ1" s="441">
        <v>2032</v>
      </c>
      <c r="DK1" s="441"/>
      <c r="DL1" s="441"/>
      <c r="DM1" s="441"/>
      <c r="DN1" s="441"/>
      <c r="DO1" s="441"/>
      <c r="DP1" s="441"/>
      <c r="DQ1" s="441"/>
    </row>
    <row r="2" spans="1:121" s="25" customFormat="1">
      <c r="A2" s="43" t="s">
        <v>0</v>
      </c>
      <c r="B2" s="45" t="s">
        <v>1</v>
      </c>
      <c r="C2" s="45" t="s">
        <v>2</v>
      </c>
      <c r="D2" s="45" t="s">
        <v>3</v>
      </c>
      <c r="E2" s="45" t="s">
        <v>4</v>
      </c>
      <c r="F2" s="45" t="s">
        <v>5</v>
      </c>
      <c r="G2" s="45" t="s">
        <v>6</v>
      </c>
      <c r="H2" s="45" t="s">
        <v>7</v>
      </c>
      <c r="I2" s="45" t="s">
        <v>8</v>
      </c>
      <c r="J2" s="43" t="s">
        <v>1</v>
      </c>
      <c r="K2" s="43" t="s">
        <v>2</v>
      </c>
      <c r="L2" s="43" t="s">
        <v>3</v>
      </c>
      <c r="M2" s="43" t="s">
        <v>4</v>
      </c>
      <c r="N2" s="43" t="s">
        <v>5</v>
      </c>
      <c r="O2" s="43" t="s">
        <v>6</v>
      </c>
      <c r="P2" s="43" t="s">
        <v>7</v>
      </c>
      <c r="Q2" s="43" t="s">
        <v>8</v>
      </c>
      <c r="R2" s="45" t="s">
        <v>1</v>
      </c>
      <c r="S2" s="45" t="s">
        <v>2</v>
      </c>
      <c r="T2" s="45" t="s">
        <v>3</v>
      </c>
      <c r="U2" s="45" t="s">
        <v>4</v>
      </c>
      <c r="V2" s="45" t="s">
        <v>5</v>
      </c>
      <c r="W2" s="45" t="s">
        <v>6</v>
      </c>
      <c r="X2" s="45" t="s">
        <v>7</v>
      </c>
      <c r="Y2" s="45" t="s">
        <v>8</v>
      </c>
      <c r="Z2" s="43" t="s">
        <v>1</v>
      </c>
      <c r="AA2" s="43" t="s">
        <v>2</v>
      </c>
      <c r="AB2" s="43" t="s">
        <v>3</v>
      </c>
      <c r="AC2" s="43" t="s">
        <v>4</v>
      </c>
      <c r="AD2" s="43" t="s">
        <v>5</v>
      </c>
      <c r="AE2" s="43" t="s">
        <v>6</v>
      </c>
      <c r="AF2" s="43" t="s">
        <v>7</v>
      </c>
      <c r="AG2" s="43" t="s">
        <v>8</v>
      </c>
      <c r="AH2" s="45" t="s">
        <v>1</v>
      </c>
      <c r="AI2" s="45" t="s">
        <v>2</v>
      </c>
      <c r="AJ2" s="45" t="s">
        <v>3</v>
      </c>
      <c r="AK2" s="45" t="s">
        <v>4</v>
      </c>
      <c r="AL2" s="45" t="s">
        <v>5</v>
      </c>
      <c r="AM2" s="45" t="s">
        <v>6</v>
      </c>
      <c r="AN2" s="45" t="s">
        <v>7</v>
      </c>
      <c r="AO2" s="45" t="s">
        <v>8</v>
      </c>
      <c r="AP2" s="43" t="s">
        <v>1</v>
      </c>
      <c r="AQ2" s="43" t="s">
        <v>2</v>
      </c>
      <c r="AR2" s="43" t="s">
        <v>3</v>
      </c>
      <c r="AS2" s="43" t="s">
        <v>4</v>
      </c>
      <c r="AT2" s="43" t="s">
        <v>5</v>
      </c>
      <c r="AU2" s="43" t="s">
        <v>6</v>
      </c>
      <c r="AV2" s="43" t="s">
        <v>7</v>
      </c>
      <c r="AW2" s="43" t="s">
        <v>8</v>
      </c>
      <c r="AX2" s="45" t="s">
        <v>1</v>
      </c>
      <c r="AY2" s="45" t="s">
        <v>2</v>
      </c>
      <c r="AZ2" s="45" t="s">
        <v>3</v>
      </c>
      <c r="BA2" s="45" t="s">
        <v>4</v>
      </c>
      <c r="BB2" s="45" t="s">
        <v>5</v>
      </c>
      <c r="BC2" s="45" t="s">
        <v>6</v>
      </c>
      <c r="BD2" s="45" t="s">
        <v>7</v>
      </c>
      <c r="BE2" s="45" t="s">
        <v>8</v>
      </c>
      <c r="BF2" s="43" t="s">
        <v>1</v>
      </c>
      <c r="BG2" s="43" t="s">
        <v>2</v>
      </c>
      <c r="BH2" s="43" t="s">
        <v>3</v>
      </c>
      <c r="BI2" s="43" t="s">
        <v>4</v>
      </c>
      <c r="BJ2" s="43" t="s">
        <v>5</v>
      </c>
      <c r="BK2" s="43" t="s">
        <v>6</v>
      </c>
      <c r="BL2" s="43" t="s">
        <v>7</v>
      </c>
      <c r="BM2" s="43" t="s">
        <v>8</v>
      </c>
      <c r="BN2" s="45" t="s">
        <v>1</v>
      </c>
      <c r="BO2" s="45" t="s">
        <v>2</v>
      </c>
      <c r="BP2" s="45" t="s">
        <v>3</v>
      </c>
      <c r="BQ2" s="45" t="s">
        <v>4</v>
      </c>
      <c r="BR2" s="45" t="s">
        <v>5</v>
      </c>
      <c r="BS2" s="45" t="s">
        <v>6</v>
      </c>
      <c r="BT2" s="45" t="s">
        <v>7</v>
      </c>
      <c r="BU2" s="45" t="s">
        <v>8</v>
      </c>
      <c r="BV2" s="43" t="s">
        <v>1</v>
      </c>
      <c r="BW2" s="43" t="s">
        <v>2</v>
      </c>
      <c r="BX2" s="43" t="s">
        <v>3</v>
      </c>
      <c r="BY2" s="43" t="s">
        <v>4</v>
      </c>
      <c r="BZ2" s="43" t="s">
        <v>5</v>
      </c>
      <c r="CA2" s="43" t="s">
        <v>6</v>
      </c>
      <c r="CB2" s="43" t="s">
        <v>7</v>
      </c>
      <c r="CC2" s="43" t="s">
        <v>8</v>
      </c>
      <c r="CD2" s="45" t="s">
        <v>1</v>
      </c>
      <c r="CE2" s="45" t="s">
        <v>2</v>
      </c>
      <c r="CF2" s="45" t="s">
        <v>3</v>
      </c>
      <c r="CG2" s="45" t="s">
        <v>4</v>
      </c>
      <c r="CH2" s="45" t="s">
        <v>5</v>
      </c>
      <c r="CI2" s="45" t="s">
        <v>6</v>
      </c>
      <c r="CJ2" s="45" t="s">
        <v>7</v>
      </c>
      <c r="CK2" s="45" t="s">
        <v>8</v>
      </c>
      <c r="CL2" s="43" t="s">
        <v>1</v>
      </c>
      <c r="CM2" s="43" t="s">
        <v>2</v>
      </c>
      <c r="CN2" s="43" t="s">
        <v>3</v>
      </c>
      <c r="CO2" s="43" t="s">
        <v>4</v>
      </c>
      <c r="CP2" s="43" t="s">
        <v>5</v>
      </c>
      <c r="CQ2" s="43" t="s">
        <v>6</v>
      </c>
      <c r="CR2" s="43" t="s">
        <v>7</v>
      </c>
      <c r="CS2" s="43" t="s">
        <v>8</v>
      </c>
      <c r="CT2" s="45" t="s">
        <v>1</v>
      </c>
      <c r="CU2" s="45" t="s">
        <v>2</v>
      </c>
      <c r="CV2" s="45" t="s">
        <v>3</v>
      </c>
      <c r="CW2" s="45" t="s">
        <v>4</v>
      </c>
      <c r="CX2" s="45" t="s">
        <v>5</v>
      </c>
      <c r="CY2" s="45" t="s">
        <v>6</v>
      </c>
      <c r="CZ2" s="45" t="s">
        <v>7</v>
      </c>
      <c r="DA2" s="45" t="s">
        <v>8</v>
      </c>
      <c r="DB2" s="43" t="s">
        <v>1</v>
      </c>
      <c r="DC2" s="43" t="s">
        <v>2</v>
      </c>
      <c r="DD2" s="43" t="s">
        <v>3</v>
      </c>
      <c r="DE2" s="43" t="s">
        <v>4</v>
      </c>
      <c r="DF2" s="43" t="s">
        <v>5</v>
      </c>
      <c r="DG2" s="43" t="s">
        <v>6</v>
      </c>
      <c r="DH2" s="43" t="s">
        <v>7</v>
      </c>
      <c r="DI2" s="43" t="s">
        <v>8</v>
      </c>
      <c r="DJ2" s="45" t="s">
        <v>1</v>
      </c>
      <c r="DK2" s="45" t="s">
        <v>2</v>
      </c>
      <c r="DL2" s="45" t="s">
        <v>3</v>
      </c>
      <c r="DM2" s="45" t="s">
        <v>4</v>
      </c>
      <c r="DN2" s="45" t="s">
        <v>5</v>
      </c>
      <c r="DO2" s="45" t="s">
        <v>6</v>
      </c>
      <c r="DP2" s="45" t="s">
        <v>7</v>
      </c>
      <c r="DQ2" s="45" t="s">
        <v>8</v>
      </c>
    </row>
    <row r="3" spans="1:121">
      <c r="A3" s="4" t="s">
        <v>9</v>
      </c>
      <c r="B3" s="46">
        <v>2</v>
      </c>
      <c r="C3" s="46">
        <v>2</v>
      </c>
      <c r="D3" s="46">
        <v>1</v>
      </c>
      <c r="E3" s="46">
        <v>1</v>
      </c>
      <c r="F3" s="46">
        <v>1</v>
      </c>
      <c r="G3" s="46">
        <v>1</v>
      </c>
      <c r="H3" s="46">
        <v>1</v>
      </c>
      <c r="I3" s="45">
        <v>9</v>
      </c>
      <c r="J3" s="44">
        <f>ROUNDUP(Q3/7,0)</f>
        <v>1</v>
      </c>
      <c r="K3" s="44">
        <f>IF((Q3-J3)&gt;0,(ROUNDUP(((Q3-J3)/6),0)),0)</f>
        <v>1</v>
      </c>
      <c r="L3" s="44">
        <f>IF((Q3-J3-K3)&gt;0,(ROUNDUP(((Q3-J3-K3)/5),0)),0)</f>
        <v>1</v>
      </c>
      <c r="M3" s="44">
        <f>IF((Q3-J3-K3-L3)&gt;0,(ROUNDUP(((Q3-J3-K3-L3)/4),0)),0)</f>
        <v>1</v>
      </c>
      <c r="N3" s="44">
        <f>IF((Q3-J3-K3-L3-M3)&gt;0,(ROUNDUP(((Q3-J3-K3-L3-M3)/3),0)),0)</f>
        <v>1</v>
      </c>
      <c r="O3" s="44">
        <f>IF((Q3-J3-K3-L3-M3-N3)&gt;0,(ROUNDUP(((Q3-J3-K3-L3-M3-N3)/2),0)),0)</f>
        <v>1</v>
      </c>
      <c r="P3" s="44">
        <f>IF((Q3-J3-K3-L3-M3-N3-O3)&gt;0,(ROUNDUP(((Q3-J3-K3-L3-M3-N3-O3)/1),0)),0)</f>
        <v>0</v>
      </c>
      <c r="Q3" s="43">
        <f>ROUND((VLOOKUP(A3,'Cumulative pupils per year'!$A$3:$S$88,2,FALSE)),0)</f>
        <v>6</v>
      </c>
      <c r="R3" s="46">
        <f>ROUNDUP(Y3/7,0)</f>
        <v>2</v>
      </c>
      <c r="S3" s="46">
        <f>IF((Y3-R3)&gt;0,(ROUNDUP(((Y3-R3)/6),0)),0)</f>
        <v>2</v>
      </c>
      <c r="T3" s="46">
        <f>IF((Y3-R3-S3)&gt;0,(ROUNDUP(((Y3-R3-S3)/5),0)),0)</f>
        <v>2</v>
      </c>
      <c r="U3" s="46">
        <f>IF((Y3-R3-S3-T3)&gt;0,(ROUNDUP(((Y3-R3-S3-T3)/4),0)),0)</f>
        <v>2</v>
      </c>
      <c r="V3" s="46">
        <f>IF((Y3-R3-S3-T3-U3)&gt;0,(ROUNDUP(((Y3-R3-S3-T3-U3)/3),0)),0)</f>
        <v>2</v>
      </c>
      <c r="W3" s="46">
        <f>IF((Y3-R3-S3-T3-U3-V3)&gt;0,(ROUNDUP(((Y3-R3-S3-T3-U3-V3)/2),0)),0)</f>
        <v>2</v>
      </c>
      <c r="X3" s="46">
        <f>IF((Y3-R3-S3-T3-U3-V3-W3)&gt;0,(ROUNDUP(((Y3-R3-S3-T3-U3-V3-W3)/1),0)),0)</f>
        <v>1</v>
      </c>
      <c r="Y3" s="45">
        <f>ROUND((VLOOKUP(A3,'Cumulative pupils per year'!$A$3:$S$88,3,FALSE)),0)</f>
        <v>13</v>
      </c>
      <c r="Z3" s="274">
        <f>ROUNDUP(AG3/7,0)</f>
        <v>3</v>
      </c>
      <c r="AA3" s="274">
        <f>IF((AG3-Z3)&gt;0,(ROUNDUP(((AG3-Z3)/6),0)),0)</f>
        <v>3</v>
      </c>
      <c r="AB3" s="274">
        <f>IF((AG3-Z3-AA3)&gt;0,(ROUNDUP(((AG3-Z3-AA3)/5),0)),0)</f>
        <v>3</v>
      </c>
      <c r="AC3" s="274">
        <f>IF((AG3-Z3-AA3-AB3)&gt;0,(ROUNDUP(((AG3-Z3-AA3-AB3)/4),0)),0)</f>
        <v>3</v>
      </c>
      <c r="AD3" s="274">
        <f>IF((AG3-Z3-AA3-AB3-AC3)&gt;0,(ROUNDUP(((AG3-Z3-AA3-AB3-AC3)/3),0)),0)</f>
        <v>3</v>
      </c>
      <c r="AE3" s="274">
        <f>IF((AG3-Z3-AA3-AB3-AC3-AD3)&gt;0,(ROUNDUP(((AG3-Z3-AA3-AB3-AC3-AD3)/2),0)),0)</f>
        <v>3</v>
      </c>
      <c r="AF3" s="274">
        <f>IF((AG3-Z3-AA3-AB3-AC3-AD3-AE3)&gt;0,(ROUNDUP(((AG3-Z3-AA3-AB3-AC3-AD3-AE3)/1),0)),0)</f>
        <v>3</v>
      </c>
      <c r="AG3" s="43">
        <f>ROUND((VLOOKUP(A3,'Cumulative pupils per year'!$A$3:$S$88,4,FALSE)),0)</f>
        <v>21</v>
      </c>
      <c r="AH3" s="46">
        <f>ROUNDUP(AO3/7,0)</f>
        <v>4</v>
      </c>
      <c r="AI3" s="46">
        <f>IF((AO3-AH3)&gt;0,(ROUNDUP(((AO3-AH3)/6),0)),0)</f>
        <v>3</v>
      </c>
      <c r="AJ3" s="46">
        <f>IF((AO3-AH3-AI3)&gt;0,(ROUNDUP(((AO3-AH3-AI3)/5),0)),0)</f>
        <v>3</v>
      </c>
      <c r="AK3" s="46">
        <f>IF((AO3-AH3-AI3-AJ3)&gt;0,(ROUNDUP(((AO3-AH3-AI3-AJ3)/4),0)),0)</f>
        <v>3</v>
      </c>
      <c r="AL3" s="46">
        <f>IF((AO3-AH3-AI3-AJ3-AK3)&gt;0,(ROUNDUP(((AO3-AH3-AI3-AJ3-AK3)/3),0)),0)</f>
        <v>3</v>
      </c>
      <c r="AM3" s="46">
        <f>IF((AO3-AH3-AI3-AJ3-AK3-AL3)&gt;0,(ROUNDUP(((AO3-AH3-AI3-AJ3-AK3-AL3)/2),0)),0)</f>
        <v>3</v>
      </c>
      <c r="AN3" s="46">
        <f>IF((AO3-AH3-AI3-AJ3-AK3-AL3-AM3)&gt;0,(ROUNDUP(((AO3-AH3-AI3-AJ3-AK3-AL3-AM3)/1),0)),0)</f>
        <v>3</v>
      </c>
      <c r="AO3" s="45">
        <f>ROUND((VLOOKUP(A3,'Cumulative pupils per year'!$A$3:$S$88,5,FALSE)),0)</f>
        <v>22</v>
      </c>
      <c r="AP3" s="274">
        <f>ROUNDUP(AW3/7,0)</f>
        <v>4</v>
      </c>
      <c r="AQ3" s="274">
        <f>IF((AW3-AP3)&gt;0,(ROUNDUP(((AW3-AP3)/6),0)),0)</f>
        <v>3</v>
      </c>
      <c r="AR3" s="274">
        <f>IF((AW3-AP3-AQ3)&gt;0,(ROUNDUP(((AW3-AP3-AQ3)/5),0)),0)</f>
        <v>3</v>
      </c>
      <c r="AS3" s="274">
        <f>IF((AW3-AP3-AQ3-AR3)&gt;0,(ROUNDUP(((AW3-AP3-AQ3-AR3)/4),0)),0)</f>
        <v>3</v>
      </c>
      <c r="AT3" s="274">
        <f>IF((AW3-AP3-AQ3-AR3-AS3)&gt;0,(ROUNDUP(((AW3-AP3-AQ3-AR3-AS3)/3),0)),0)</f>
        <v>3</v>
      </c>
      <c r="AU3" s="274">
        <f>IF((AW3-AP3-AQ3-AR3-AS3-AT3)&gt;0,(ROUNDUP(((AW3-AP3-AQ3-AR3-AS3-AT3)/2),0)),0)</f>
        <v>3</v>
      </c>
      <c r="AV3" s="274">
        <f>IF((AW3-AP3-AQ3-AR3-AS3-AT3-AU3)&gt;0,(ROUNDUP(((AW3-AP3-AQ3-AR3-AS3-AT3-AU3)/1),0)),0)</f>
        <v>3</v>
      </c>
      <c r="AW3" s="43">
        <f>ROUND((VLOOKUP(A3,'Cumulative pupils per year'!$A$3:$S$88,6,FALSE)),0)</f>
        <v>22</v>
      </c>
      <c r="AX3" s="46">
        <f>ROUNDUP(BE3/7,0)</f>
        <v>4</v>
      </c>
      <c r="AY3" s="46">
        <f>IF((BE3-AX3)&gt;0,(ROUNDUP(((BE3-AX3)/6),0)),0)</f>
        <v>3</v>
      </c>
      <c r="AZ3" s="46">
        <f>IF((BE3-AX3-AY3)&gt;0,(ROUNDUP(((BE3-AX3-AY3)/5),0)),0)</f>
        <v>3</v>
      </c>
      <c r="BA3" s="46">
        <f>IF((BE3-AX3-AY3-AZ3)&gt;0,(ROUNDUP(((BE3-AX3-AY3-AZ3)/4),0)),0)</f>
        <v>3</v>
      </c>
      <c r="BB3" s="46">
        <f>IF((BE3-AX3-AY3-AZ3-BA3)&gt;0,(ROUNDUP(((BE3-AX3-AY3-AZ3-BA3)/3),0)),0)</f>
        <v>3</v>
      </c>
      <c r="BC3" s="46">
        <f>IF((BE3-AX3-AY3-AZ3-BA3-BB3)&gt;0,(ROUNDUP(((BE3-AX3-AY3-AZ3-BA3-BB3)/2),0)),0)</f>
        <v>3</v>
      </c>
      <c r="BD3" s="46">
        <f>IF((BE3-AX3-AY3-AZ3-BA3-BB3-BC3)&gt;0,(ROUNDUP(((BE3-AX3-AY3-AZ3-BA3-BB3-BC3)/1),0)),0)</f>
        <v>3</v>
      </c>
      <c r="BE3" s="45">
        <f>ROUND((VLOOKUP(A3,'Cumulative pupils per year'!$A$3:$S$88,7,FALSE)),0)</f>
        <v>22</v>
      </c>
      <c r="BF3" s="274">
        <f>ROUNDUP(BM3/7,0)</f>
        <v>4</v>
      </c>
      <c r="BG3" s="274">
        <f>IF((BM3-BF3)&gt;0,(ROUNDUP(((BM3-BF3)/6),0)),0)</f>
        <v>3</v>
      </c>
      <c r="BH3" s="274">
        <f>IF((BM3-BF3-BG3)&gt;0,(ROUNDUP(((BM3-BF3-BG3)/5),0)),0)</f>
        <v>3</v>
      </c>
      <c r="BI3" s="274">
        <f>IF((BM3-BF3-BG3-BH3)&gt;0,(ROUNDUP(((BM3-BF3-BG3-BH3)/4),0)),0)</f>
        <v>3</v>
      </c>
      <c r="BJ3" s="274">
        <f>IF((BM3-BF3-BG3-BH3-BI3)&gt;0,(ROUNDUP(((BM3-BF3-BG3-BH3-BI3)/3),0)),0)</f>
        <v>3</v>
      </c>
      <c r="BK3" s="274">
        <f>IF((BM3-BF3-BG3-BH3-BI3-BJ3)&gt;0,(ROUNDUP(((BM3-BF3-BG3-BH3-BI3-BJ3)/2),0)),0)</f>
        <v>3</v>
      </c>
      <c r="BL3" s="274">
        <f>IF((BM3-BF3-BG3-BH3-BI3-BJ3-BK3)&gt;0,(ROUNDUP(((BM3-BF3-BG3-BH3-BI3-BJ3-BK3)/1),0)),0)</f>
        <v>3</v>
      </c>
      <c r="BM3" s="43">
        <f>ROUND((VLOOKUP(A3,'Cumulative pupils per year'!$A$3:$S$88,8,FALSE)),0)</f>
        <v>22</v>
      </c>
      <c r="BN3" s="46">
        <f>ROUNDUP(BU3/7,0)</f>
        <v>4</v>
      </c>
      <c r="BO3" s="46">
        <f>IF((BU3-BN3)&gt;0,(ROUNDUP(((BU3-BN3)/6),0)),0)</f>
        <v>3</v>
      </c>
      <c r="BP3" s="46">
        <f>IF((BU3-BN3-BO3)&gt;0,(ROUNDUP(((BU3-BN3-BO3)/5),0)),0)</f>
        <v>3</v>
      </c>
      <c r="BQ3" s="46">
        <f>IF((BU3-BN3-BO3-BP3)&gt;0,(ROUNDUP(((BU3-BN3-BO3-BP3)/4),0)),0)</f>
        <v>3</v>
      </c>
      <c r="BR3" s="46">
        <f>IF((BU3-BN3-BO3-BP3-BQ3)&gt;0,(ROUNDUP(((BU3-BN3-BO3-BP3-BQ3)/3),0)),0)</f>
        <v>3</v>
      </c>
      <c r="BS3" s="46">
        <f>IF((BU3-BN3-BO3-BP3-BQ3-BR3)&gt;0,(ROUNDUP(((BU3-BN3-BO3-BP3-BQ3-BR3)/2),0)),0)</f>
        <v>3</v>
      </c>
      <c r="BT3" s="46">
        <f>IF((BU3-BN3-BO3-BP3-BQ3-BR3-BS3)&gt;0,(ROUNDUP(((BU3-BN3-BO3-BP3-BQ3-BR3-BS3)/1),0)),0)</f>
        <v>3</v>
      </c>
      <c r="BU3" s="45">
        <f>ROUND((VLOOKUP(A3,'Cumulative pupils per year'!$A$3:$S$88,9,FALSE)),0)</f>
        <v>22</v>
      </c>
      <c r="BV3" s="274">
        <f>ROUNDUP(CC3/7,0)</f>
        <v>4</v>
      </c>
      <c r="BW3" s="274">
        <f>IF((CC3-BV3)&gt;0,(ROUNDUP(((CC3-BV3)/6),0)),0)</f>
        <v>3</v>
      </c>
      <c r="BX3" s="274">
        <f>IF((CC3-BV3-BW3)&gt;0,(ROUNDUP(((CC3-BV3-BW3)/5),0)),0)</f>
        <v>3</v>
      </c>
      <c r="BY3" s="274">
        <f>IF((CC3-BV3-BW3-BX3)&gt;0,(ROUNDUP(((CC3-BV3-BW3-BX3)/4),0)),0)</f>
        <v>3</v>
      </c>
      <c r="BZ3" s="274">
        <f>IF((CC3-BV3-BW3-BX3-BY3)&gt;0,(ROUNDUP(((CC3-BV3-BW3-BX3-BY3)/3),0)),0)</f>
        <v>3</v>
      </c>
      <c r="CA3" s="274">
        <f>IF((CC3-BV3-BW3-BX3-BY3-BZ3)&gt;0,(ROUNDUP(((CC3-BV3-BW3-BX3-BY3-BZ3)/2),0)),0)</f>
        <v>3</v>
      </c>
      <c r="CB3" s="274">
        <f>IF((CC3-BV3-BW3-BX3-BY3-BZ3-CA3)&gt;0,(ROUNDUP(((CC3-BV3-BW3-BX3-BY3-BZ3-CA3)/1),0)),0)</f>
        <v>3</v>
      </c>
      <c r="CC3" s="43">
        <f>ROUND((VLOOKUP(A3,'Cumulative pupils per year'!$A$3:$S$88,10,FALSE)),0)</f>
        <v>22</v>
      </c>
      <c r="CD3" s="46">
        <f>ROUNDUP(CK3/7,0)</f>
        <v>4</v>
      </c>
      <c r="CE3" s="46">
        <f>IF((CK3-CD3)&gt;0,(ROUNDUP(((CK3-CD3)/6),0)),0)</f>
        <v>3</v>
      </c>
      <c r="CF3" s="46">
        <f>IF((CK3-CD3-CE3)&gt;0,(ROUNDUP(((CK3-CD3-CE3)/5),0)),0)</f>
        <v>3</v>
      </c>
      <c r="CG3" s="46">
        <f>IF((CK3-CD3-CE3-CF3)&gt;0,(ROUNDUP(((CK3-CD3-CE3-CF3)/4),0)),0)</f>
        <v>3</v>
      </c>
      <c r="CH3" s="46">
        <f>IF((CK3-CD3-CE3-CF3-CG3)&gt;0,(ROUNDUP(((CK3-CD3-CE3-CF3-CG3)/3),0)),0)</f>
        <v>3</v>
      </c>
      <c r="CI3" s="46">
        <f>IF((CK3-CD3-CE3-CF3-CG3-CH3)&gt;0,(ROUNDUP(((CK3-CD3-CE3-CF3-CG3-CH3)/2),0)),0)</f>
        <v>3</v>
      </c>
      <c r="CJ3" s="46">
        <f>IF((CK3-CD3-CE3-CF3-CG3-CH3-CI3)&gt;0,(ROUNDUP(((CK3-CD3-CE3-CF3-CG3-CH3-CI3)/1),0)),0)</f>
        <v>3</v>
      </c>
      <c r="CK3" s="45">
        <f>ROUND((VLOOKUP(A3,'Cumulative pupils per year'!$A$3:$S$88,11,FALSE)),0)</f>
        <v>22</v>
      </c>
      <c r="CL3" s="274">
        <f>ROUNDUP(CS3/7,0)</f>
        <v>4</v>
      </c>
      <c r="CM3" s="274">
        <f>IF((CS3-CL3)&gt;0,(ROUNDUP(((CS3-CL3)/6),0)),0)</f>
        <v>3</v>
      </c>
      <c r="CN3" s="274">
        <f>IF((CS3-CL3-CM3)&gt;0,(ROUNDUP(((CS3-CL3-CM3)/5),0)),0)</f>
        <v>3</v>
      </c>
      <c r="CO3" s="274">
        <f>IF((CS3-CL3-CM3-CN3)&gt;0,(ROUNDUP(((CS3-CL3-CM3-CN3)/4),0)),0)</f>
        <v>3</v>
      </c>
      <c r="CP3" s="274">
        <f>IF((CS3-CL3-CM3-CN3-CO3)&gt;0,(ROUNDUP(((CS3-CL3-CM3-CN3-CO3)/3),0)),0)</f>
        <v>3</v>
      </c>
      <c r="CQ3" s="274">
        <f>IF((CS3-CL3-CM3-CN3-CO3-CP3)&gt;0,(ROUNDUP(((CS3-CL3-CM3-CN3-CO3-CP3)/2),0)),0)</f>
        <v>3</v>
      </c>
      <c r="CR3" s="274">
        <f>IF((CS3-CL3-CM3-CN3-CO3-CP3-CQ3)&gt;0,(ROUNDUP(((CS3-CL3-CM3-CN3-CO3-CP3-CQ3)/1),0)),0)</f>
        <v>3</v>
      </c>
      <c r="CS3" s="291">
        <f>ROUND((VLOOKUP(A3,'Cumulative pupils per year'!$A$3:$S$88,12,FALSE)),0)</f>
        <v>22</v>
      </c>
      <c r="CT3" s="46">
        <f>ROUNDUP(DA3/7,0)</f>
        <v>4</v>
      </c>
      <c r="CU3" s="46">
        <f>IF((DA3-CT3)&gt;0,(ROUNDUP(((DA3-CT3)/6),0)),0)</f>
        <v>3</v>
      </c>
      <c r="CV3" s="46">
        <f>IF((DA3-CT3-CU3)&gt;0,(ROUNDUP(((DA3-CT3-CU3)/5),0)),0)</f>
        <v>3</v>
      </c>
      <c r="CW3" s="46">
        <f>IF((DA3-CT3-CU3-CV3)&gt;0,(ROUNDUP(((DA3-CT3-CU3-CV3)/4),0)),0)</f>
        <v>3</v>
      </c>
      <c r="CX3" s="46">
        <f>IF((DA3-CT3-CU3-CV3-CW3)&gt;0,(ROUNDUP(((DA3-CT3-CU3-CV3-CW3)/3),0)),0)</f>
        <v>3</v>
      </c>
      <c r="CY3" s="46">
        <f>IF((DA3-CT3-CU3-CV3-CW3-CX3)&gt;0,(ROUNDUP(((DA3-CT3-CU3-CV3-CW3-CX3)/2),0)),0)</f>
        <v>3</v>
      </c>
      <c r="CZ3" s="46">
        <f>IF((DA3-CT3-CU3-CV3-CW3-CX3-CY3)&gt;0,(ROUNDUP(((DA3-CT3-CU3-CV3-CW3-CX3-CY3)/1),0)),0)</f>
        <v>3</v>
      </c>
      <c r="DA3" s="45">
        <f>ROUND((VLOOKUP(A3,'Cumulative pupils per year'!$A$3:$S$88,13,FALSE)),0)</f>
        <v>22</v>
      </c>
      <c r="DB3" s="274">
        <f>ROUNDUP(DI3/7,0)</f>
        <v>4</v>
      </c>
      <c r="DC3" s="274">
        <f>IF((DI3-DB3)&gt;0,(ROUNDUP(((DI3-DB3)/6),0)),0)</f>
        <v>3</v>
      </c>
      <c r="DD3" s="274">
        <f>IF((DI3-DB3-DC3)&gt;0,(ROUNDUP(((DI3-DB3-DC3)/5),0)),0)</f>
        <v>3</v>
      </c>
      <c r="DE3" s="274">
        <f>IF((DI3-DB3-DC3-DD3)&gt;0,(ROUNDUP(((DI3-DB3-DC3-DD3)/4),0)),0)</f>
        <v>3</v>
      </c>
      <c r="DF3" s="274">
        <f>IF((DI3-DB3-DC3-DD3-DE3)&gt;0,(ROUNDUP(((DI3-DB3-DC3-DD3-DE3)/3),0)),0)</f>
        <v>3</v>
      </c>
      <c r="DG3" s="274">
        <f>IF((DI3-DB3-DC3-DD3-DE3-DF3)&gt;0,(ROUNDUP(((DI3-DB3-DC3-DD3-DE3-DF3)/2),0)),0)</f>
        <v>3</v>
      </c>
      <c r="DH3" s="274">
        <f>IF((DI3-DB3-DC3-DD3-DE3-DF3-DG3)&gt;0,(ROUNDUP(((DI3-DB3-DC3-DD3-DE3-DF3-DG3)/1),0)),0)</f>
        <v>3</v>
      </c>
      <c r="DI3" s="291">
        <f>ROUND((VLOOKUP(A3,'Cumulative pupils per year'!$A$3:$S$88,14,FALSE)),0)</f>
        <v>22</v>
      </c>
      <c r="DJ3" s="46">
        <f>ROUNDUP(DQ3/7,0)</f>
        <v>4</v>
      </c>
      <c r="DK3" s="46">
        <f>IF((DQ3-DJ3)&gt;0,(ROUNDUP(((DQ3-DJ3)/6),0)),0)</f>
        <v>3</v>
      </c>
      <c r="DL3" s="46">
        <f>IF((DQ3-DJ3-DK3)&gt;0,(ROUNDUP(((DQ3-DJ3-DK3)/5),0)),0)</f>
        <v>3</v>
      </c>
      <c r="DM3" s="46">
        <f>IF((DQ3-DJ3-DK3-DL3)&gt;0,(ROUNDUP(((DQ3-DJ3-DK3-DL3)/4),0)),0)</f>
        <v>3</v>
      </c>
      <c r="DN3" s="46">
        <f>IF((DQ3-DJ3-DK3-DL3-DM3)&gt;0,(ROUNDUP(((DQ3-DJ3-DK3-DL3-DM3)/3),0)),0)</f>
        <v>3</v>
      </c>
      <c r="DO3" s="46">
        <f>IF((DQ3-DJ3-DK3-DL3-DM3-DN3)&gt;0,(ROUNDUP(((DQ3-DJ3-DK3-DL3-DM3-DN3)/2),0)),0)</f>
        <v>3</v>
      </c>
      <c r="DP3" s="46">
        <f>IF((DQ3-DJ3-DK3-DL3-DM3-DN3-DO3)&gt;0,(ROUNDUP(((DQ3-DJ3-DK3-DL3-DM3-DN3-DO3)/1),0)),0)</f>
        <v>3</v>
      </c>
      <c r="DQ3" s="45">
        <f>ROUND((VLOOKUP(A3,'Cumulative pupils per year'!$A$3:$S$88,15,FALSE)),0)</f>
        <v>22</v>
      </c>
    </row>
    <row r="4" spans="1:121">
      <c r="A4" s="4" t="s">
        <v>10</v>
      </c>
      <c r="B4" s="46">
        <v>2</v>
      </c>
      <c r="C4" s="46">
        <v>2</v>
      </c>
      <c r="D4" s="46">
        <v>2</v>
      </c>
      <c r="E4" s="46">
        <v>2</v>
      </c>
      <c r="F4" s="46">
        <v>1</v>
      </c>
      <c r="G4" s="46">
        <v>1</v>
      </c>
      <c r="H4" s="46">
        <v>1</v>
      </c>
      <c r="I4" s="45">
        <v>11</v>
      </c>
      <c r="J4" s="44">
        <f t="shared" ref="J4:J6" si="0">ROUNDUP(Q4/7,0)</f>
        <v>0</v>
      </c>
      <c r="K4" s="44">
        <f t="shared" ref="K4:K6" si="1">IF((Q4-J4)&gt;0,(ROUNDUP(((Q4-J4)/6),0)),0)</f>
        <v>0</v>
      </c>
      <c r="L4" s="44">
        <f t="shared" ref="L4:L6" si="2">IF((Q4-J4-K4)&gt;0,(ROUNDUP(((Q4-J4-K4)/5),0)),0)</f>
        <v>0</v>
      </c>
      <c r="M4" s="44">
        <f t="shared" ref="M4:M6" si="3">IF((Q4-J4-K4-L4)&gt;0,(ROUNDUP(((Q4-J4-K4-L4)/4),0)),0)</f>
        <v>0</v>
      </c>
      <c r="N4" s="44">
        <f t="shared" ref="N4:N6" si="4">IF((Q4-J4-K4-L4-M4)&gt;0,(ROUNDUP(((Q4-J4-K4-L4-M4)/3),0)),0)</f>
        <v>0</v>
      </c>
      <c r="O4" s="44">
        <f t="shared" ref="O4:O6" si="5">IF((Q4-J4-K4-L4-M4-N4)&gt;0,(ROUNDUP(((Q4-J4-K4-L4-M4-N4)/2),0)),0)</f>
        <v>0</v>
      </c>
      <c r="P4" s="44">
        <f t="shared" ref="P4:P6" si="6">IF((Q4-J4-K4-L4-M4-N4-O4)&gt;0,(ROUNDUP(((Q4-J4-K4-L4-M4-N4-O4)/1),0)),0)</f>
        <v>0</v>
      </c>
      <c r="Q4" s="43">
        <f>ROUND((VLOOKUP(A4,'Cumulative pupils per year'!$A$3:$S$88,2,FALSE)),0)</f>
        <v>0</v>
      </c>
      <c r="R4" s="46">
        <f t="shared" ref="R4:R67" si="7">ROUNDUP(Y4/7,0)</f>
        <v>0</v>
      </c>
      <c r="S4" s="46">
        <f t="shared" ref="S4:S67" si="8">IF((Y4-R4)&gt;0,(ROUNDUP(((Y4-R4)/6),0)),0)</f>
        <v>0</v>
      </c>
      <c r="T4" s="46">
        <f t="shared" ref="T4:T67" si="9">IF((Y4-R4-S4)&gt;0,(ROUNDUP(((Y4-R4-S4)/5),0)),0)</f>
        <v>0</v>
      </c>
      <c r="U4" s="46">
        <f t="shared" ref="U4:U67" si="10">IF((Y4-R4-S4-T4)&gt;0,(ROUNDUP(((Y4-R4-S4-T4)/4),0)),0)</f>
        <v>0</v>
      </c>
      <c r="V4" s="46">
        <f t="shared" ref="V4:V67" si="11">IF((Y4-R4-S4-T4-U4)&gt;0,(ROUNDUP(((Y4-R4-S4-T4-U4)/3),0)),0)</f>
        <v>0</v>
      </c>
      <c r="W4" s="46">
        <f t="shared" ref="W4:W67" si="12">IF((Y4-R4-S4-T4-U4-V4)&gt;0,(ROUNDUP(((Y4-R4-S4-T4-U4-V4)/2),0)),0)</f>
        <v>0</v>
      </c>
      <c r="X4" s="46">
        <f t="shared" ref="X4:X67" si="13">IF((Y4-R4-S4-T4-U4-V4-W4)&gt;0,(ROUNDUP(((Y4-R4-S4-T4-U4-V4-W4)/1),0)),0)</f>
        <v>0</v>
      </c>
      <c r="Y4" s="45">
        <f>ROUND((VLOOKUP(A4,'Cumulative pupils per year'!$A$3:$S$88,3,FALSE)),0)</f>
        <v>0</v>
      </c>
      <c r="Z4" s="274">
        <f t="shared" ref="Z4:Z67" si="14">ROUNDUP(AG4/7,0)</f>
        <v>0</v>
      </c>
      <c r="AA4" s="274">
        <f t="shared" ref="AA4:AA67" si="15">IF((AG4-Z4)&gt;0,(ROUNDUP(((AG4-Z4)/6),0)),0)</f>
        <v>0</v>
      </c>
      <c r="AB4" s="274">
        <f t="shared" ref="AB4:AB67" si="16">IF((AG4-Z4-AA4)&gt;0,(ROUNDUP(((AG4-Z4-AA4)/5),0)),0)</f>
        <v>0</v>
      </c>
      <c r="AC4" s="274">
        <f t="shared" ref="AC4:AC67" si="17">IF((AG4-Z4-AA4-AB4)&gt;0,(ROUNDUP(((AG4-Z4-AA4-AB4)/4),0)),0)</f>
        <v>0</v>
      </c>
      <c r="AD4" s="274">
        <f t="shared" ref="AD4:AD67" si="18">IF((AG4-Z4-AA4-AB4-AC4)&gt;0,(ROUNDUP(((AG4-Z4-AA4-AB4-AC4)/3),0)),0)</f>
        <v>0</v>
      </c>
      <c r="AE4" s="274">
        <f t="shared" ref="AE4:AE67" si="19">IF((AG4-Z4-AA4-AB4-AC4-AD4)&gt;0,(ROUNDUP(((AG4-Z4-AA4-AB4-AC4-AD4)/2),0)),0)</f>
        <v>0</v>
      </c>
      <c r="AF4" s="274">
        <f t="shared" ref="AF4:AF67" si="20">IF((AG4-Z4-AA4-AB4-AC4-AD4-AE4)&gt;0,(ROUNDUP(((AG4-Z4-AA4-AB4-AC4-AD4-AE4)/1),0)),0)</f>
        <v>0</v>
      </c>
      <c r="AG4" s="43">
        <f>ROUND((VLOOKUP(A4,'Cumulative pupils per year'!$A$3:$S$88,4,FALSE)),0)</f>
        <v>0</v>
      </c>
      <c r="AH4" s="46">
        <f t="shared" ref="AH4:AH67" si="21">ROUNDUP(AO4/7,0)</f>
        <v>0</v>
      </c>
      <c r="AI4" s="46">
        <f t="shared" ref="AI4:AI67" si="22">IF((AO4-AH4)&gt;0,(ROUNDUP(((AO4-AH4)/6),0)),0)</f>
        <v>0</v>
      </c>
      <c r="AJ4" s="46">
        <f t="shared" ref="AJ4:AJ67" si="23">IF((AO4-AH4-AI4)&gt;0,(ROUNDUP(((AO4-AH4-AI4)/5),0)),0)</f>
        <v>0</v>
      </c>
      <c r="AK4" s="46">
        <f t="shared" ref="AK4:AK67" si="24">IF((AO4-AH4-AI4-AJ4)&gt;0,(ROUNDUP(((AO4-AH4-AI4-AJ4)/4),0)),0)</f>
        <v>0</v>
      </c>
      <c r="AL4" s="46">
        <f t="shared" ref="AL4:AL67" si="25">IF((AO4-AH4-AI4-AJ4-AK4)&gt;0,(ROUNDUP(((AO4-AH4-AI4-AJ4-AK4)/3),0)),0)</f>
        <v>0</v>
      </c>
      <c r="AM4" s="46">
        <f t="shared" ref="AM4:AM67" si="26">IF((AO4-AH4-AI4-AJ4-AK4-AL4)&gt;0,(ROUNDUP(((AO4-AH4-AI4-AJ4-AK4-AL4)/2),0)),0)</f>
        <v>0</v>
      </c>
      <c r="AN4" s="46">
        <f t="shared" ref="AN4:AN67" si="27">IF((AO4-AH4-AI4-AJ4-AK4-AL4-AM4)&gt;0,(ROUNDUP(((AO4-AH4-AI4-AJ4-AK4-AL4-AM4)/1),0)),0)</f>
        <v>0</v>
      </c>
      <c r="AO4" s="45">
        <f>ROUND((VLOOKUP(A4,'Cumulative pupils per year'!$A$3:$S$88,5,FALSE)),0)</f>
        <v>0</v>
      </c>
      <c r="AP4" s="274">
        <f t="shared" ref="AP4:AP67" si="28">ROUNDUP(AW4/7,0)</f>
        <v>1</v>
      </c>
      <c r="AQ4" s="274">
        <f t="shared" ref="AQ4:AQ67" si="29">IF((AW4-AP4)&gt;0,(ROUNDUP(((AW4-AP4)/6),0)),0)</f>
        <v>1</v>
      </c>
      <c r="AR4" s="274">
        <f t="shared" ref="AR4:AR67" si="30">IF((AW4-AP4-AQ4)&gt;0,(ROUNDUP(((AW4-AP4-AQ4)/5),0)),0)</f>
        <v>1</v>
      </c>
      <c r="AS4" s="274">
        <f t="shared" ref="AS4:AS67" si="31">IF((AW4-AP4-AQ4-AR4)&gt;0,(ROUNDUP(((AW4-AP4-AQ4-AR4)/4),0)),0)</f>
        <v>1</v>
      </c>
      <c r="AT4" s="274">
        <f t="shared" ref="AT4:AT67" si="32">IF((AW4-AP4-AQ4-AR4-AS4)&gt;0,(ROUNDUP(((AW4-AP4-AQ4-AR4-AS4)/3),0)),0)</f>
        <v>0</v>
      </c>
      <c r="AU4" s="274">
        <f t="shared" ref="AU4:AU67" si="33">IF((AW4-AP4-AQ4-AR4-AS4-AT4)&gt;0,(ROUNDUP(((AW4-AP4-AQ4-AR4-AS4-AT4)/2),0)),0)</f>
        <v>0</v>
      </c>
      <c r="AV4" s="274">
        <f t="shared" ref="AV4:AV67" si="34">IF((AW4-AP4-AQ4-AR4-AS4-AT4-AU4)&gt;0,(ROUNDUP(((AW4-AP4-AQ4-AR4-AS4-AT4-AU4)/1),0)),0)</f>
        <v>0</v>
      </c>
      <c r="AW4" s="43">
        <f>ROUND((VLOOKUP(A4,'Cumulative pupils per year'!$A$3:$S$88,6,FALSE)),0)</f>
        <v>4</v>
      </c>
      <c r="AX4" s="46">
        <f t="shared" ref="AX4:AX67" si="35">ROUNDUP(BE4/7,0)</f>
        <v>2</v>
      </c>
      <c r="AY4" s="46">
        <f t="shared" ref="AY4:AY67" si="36">IF((BE4-AX4)&gt;0,(ROUNDUP(((BE4-AX4)/6),0)),0)</f>
        <v>2</v>
      </c>
      <c r="AZ4" s="46">
        <f t="shared" ref="AZ4:AZ67" si="37">IF((BE4-AX4-AY4)&gt;0,(ROUNDUP(((BE4-AX4-AY4)/5),0)),0)</f>
        <v>1</v>
      </c>
      <c r="BA4" s="46">
        <f t="shared" ref="BA4:BA67" si="38">IF((BE4-AX4-AY4-AZ4)&gt;0,(ROUNDUP(((BE4-AX4-AY4-AZ4)/4),0)),0)</f>
        <v>1</v>
      </c>
      <c r="BB4" s="46">
        <f t="shared" ref="BB4:BB67" si="39">IF((BE4-AX4-AY4-AZ4-BA4)&gt;0,(ROUNDUP(((BE4-AX4-AY4-AZ4-BA4)/3),0)),0)</f>
        <v>1</v>
      </c>
      <c r="BC4" s="46">
        <f t="shared" ref="BC4:BC67" si="40">IF((BE4-AX4-AY4-AZ4-BA4-BB4)&gt;0,(ROUNDUP(((BE4-AX4-AY4-AZ4-BA4-BB4)/2),0)),0)</f>
        <v>1</v>
      </c>
      <c r="BD4" s="46">
        <f t="shared" ref="BD4:BD67" si="41">IF((BE4-AX4-AY4-AZ4-BA4-BB4-BC4)&gt;0,(ROUNDUP(((BE4-AX4-AY4-AZ4-BA4-BB4-BC4)/1),0)),0)</f>
        <v>1</v>
      </c>
      <c r="BE4" s="45">
        <f>ROUND((VLOOKUP(A4,'Cumulative pupils per year'!$A$3:$S$88,7,FALSE)),0)</f>
        <v>9</v>
      </c>
      <c r="BF4" s="274">
        <f t="shared" ref="BF4:BF67" si="42">ROUNDUP(BM4/7,0)</f>
        <v>2</v>
      </c>
      <c r="BG4" s="274">
        <f t="shared" ref="BG4:BG67" si="43">IF((BM4-BF4)&gt;0,(ROUNDUP(((BM4-BF4)/6),0)),0)</f>
        <v>2</v>
      </c>
      <c r="BH4" s="274">
        <f t="shared" ref="BH4:BH67" si="44">IF((BM4-BF4-BG4)&gt;0,(ROUNDUP(((BM4-BF4-BG4)/5),0)),0)</f>
        <v>2</v>
      </c>
      <c r="BI4" s="274">
        <f t="shared" ref="BI4:BI67" si="45">IF((BM4-BF4-BG4-BH4)&gt;0,(ROUNDUP(((BM4-BF4-BG4-BH4)/4),0)),0)</f>
        <v>2</v>
      </c>
      <c r="BJ4" s="274">
        <f t="shared" ref="BJ4:BJ67" si="46">IF((BM4-BF4-BG4-BH4-BI4)&gt;0,(ROUNDUP(((BM4-BF4-BG4-BH4-BI4)/3),0)),0)</f>
        <v>2</v>
      </c>
      <c r="BK4" s="274">
        <f t="shared" ref="BK4:BK67" si="47">IF((BM4-BF4-BG4-BH4-BI4-BJ4)&gt;0,(ROUNDUP(((BM4-BF4-BG4-BH4-BI4-BJ4)/2),0)),0)</f>
        <v>2</v>
      </c>
      <c r="BL4" s="274">
        <f t="shared" ref="BL4:BL67" si="48">IF((BM4-BF4-BG4-BH4-BI4-BJ4-BK4)&gt;0,(ROUNDUP(((BM4-BF4-BG4-BH4-BI4-BJ4-BK4)/1),0)),0)</f>
        <v>2</v>
      </c>
      <c r="BM4" s="43">
        <f>ROUND((VLOOKUP(A4,'Cumulative pupils per year'!$A$3:$S$88,8,FALSE)),0)</f>
        <v>14</v>
      </c>
      <c r="BN4" s="46">
        <f t="shared" ref="BN4:BN67" si="49">ROUNDUP(BU4/7,0)</f>
        <v>4</v>
      </c>
      <c r="BO4" s="46">
        <f t="shared" ref="BO4:BO67" si="50">IF((BU4-BN4)&gt;0,(ROUNDUP(((BU4-BN4)/6),0)),0)</f>
        <v>3</v>
      </c>
      <c r="BP4" s="46">
        <f t="shared" ref="BP4:BP67" si="51">IF((BU4-BN4-BO4)&gt;0,(ROUNDUP(((BU4-BN4-BO4)/5),0)),0)</f>
        <v>3</v>
      </c>
      <c r="BQ4" s="46">
        <f t="shared" ref="BQ4:BQ67" si="52">IF((BU4-BN4-BO4-BP4)&gt;0,(ROUNDUP(((BU4-BN4-BO4-BP4)/4),0)),0)</f>
        <v>3</v>
      </c>
      <c r="BR4" s="46">
        <f t="shared" ref="BR4:BR67" si="53">IF((BU4-BN4-BO4-BP4-BQ4)&gt;0,(ROUNDUP(((BU4-BN4-BO4-BP4-BQ4)/3),0)),0)</f>
        <v>3</v>
      </c>
      <c r="BS4" s="46">
        <f t="shared" ref="BS4:BS67" si="54">IF((BU4-BN4-BO4-BP4-BQ4-BR4)&gt;0,(ROUNDUP(((BU4-BN4-BO4-BP4-BQ4-BR4)/2),0)),0)</f>
        <v>3</v>
      </c>
      <c r="BT4" s="46">
        <f t="shared" ref="BT4:BT67" si="55">IF((BU4-BN4-BO4-BP4-BQ4-BR4-BS4)&gt;0,(ROUNDUP(((BU4-BN4-BO4-BP4-BQ4-BR4-BS4)/1),0)),0)</f>
        <v>3</v>
      </c>
      <c r="BU4" s="45">
        <f>ROUND((VLOOKUP(A4,'Cumulative pupils per year'!$A$3:$S$88,9,FALSE)),0)</f>
        <v>22</v>
      </c>
      <c r="BV4" s="274">
        <f t="shared" ref="BV4:BV67" si="56">ROUNDUP(CC4/7,0)</f>
        <v>5</v>
      </c>
      <c r="BW4" s="274">
        <f t="shared" ref="BW4:BW67" si="57">IF((CC4-BV4)&gt;0,(ROUNDUP(((CC4-BV4)/6),0)),0)</f>
        <v>5</v>
      </c>
      <c r="BX4" s="274">
        <f t="shared" ref="BX4:BX67" si="58">IF((CC4-BV4-BW4)&gt;0,(ROUNDUP(((CC4-BV4-BW4)/5),0)),0)</f>
        <v>4</v>
      </c>
      <c r="BY4" s="274">
        <f t="shared" ref="BY4:BY67" si="59">IF((CC4-BV4-BW4-BX4)&gt;0,(ROUNDUP(((CC4-BV4-BW4-BX4)/4),0)),0)</f>
        <v>4</v>
      </c>
      <c r="BZ4" s="274">
        <f t="shared" ref="BZ4:BZ67" si="60">IF((CC4-BV4-BW4-BX4-BY4)&gt;0,(ROUNDUP(((CC4-BV4-BW4-BX4-BY4)/3),0)),0)</f>
        <v>4</v>
      </c>
      <c r="CA4" s="274">
        <f t="shared" ref="CA4:CA67" si="61">IF((CC4-BV4-BW4-BX4-BY4-BZ4)&gt;0,(ROUNDUP(((CC4-BV4-BW4-BX4-BY4-BZ4)/2),0)),0)</f>
        <v>4</v>
      </c>
      <c r="CB4" s="274">
        <f t="shared" ref="CB4:CB67" si="62">IF((CC4-BV4-BW4-BX4-BY4-BZ4-CA4)&gt;0,(ROUNDUP(((CC4-BV4-BW4-BX4-BY4-BZ4-CA4)/1),0)),0)</f>
        <v>4</v>
      </c>
      <c r="CC4" s="43">
        <f>ROUND((VLOOKUP(A4,'Cumulative pupils per year'!$A$3:$S$88,10,FALSE)),0)</f>
        <v>30</v>
      </c>
      <c r="CD4" s="46">
        <f t="shared" ref="CD4:CD67" si="63">ROUNDUP(CK4/7,0)</f>
        <v>5</v>
      </c>
      <c r="CE4" s="46">
        <f t="shared" ref="CE4:CE67" si="64">IF((CK4-CD4)&gt;0,(ROUNDUP(((CK4-CD4)/6),0)),0)</f>
        <v>5</v>
      </c>
      <c r="CF4" s="46">
        <f t="shared" ref="CF4:CF67" si="65">IF((CK4-CD4-CE4)&gt;0,(ROUNDUP(((CK4-CD4-CE4)/5),0)),0)</f>
        <v>5</v>
      </c>
      <c r="CG4" s="46">
        <f t="shared" ref="CG4:CG67" si="66">IF((CK4-CD4-CE4-CF4)&gt;0,(ROUNDUP(((CK4-CD4-CE4-CF4)/4),0)),0)</f>
        <v>5</v>
      </c>
      <c r="CH4" s="46">
        <f t="shared" ref="CH4:CH67" si="67">IF((CK4-CD4-CE4-CF4-CG4)&gt;0,(ROUNDUP(((CK4-CD4-CE4-CF4-CG4)/3),0)),0)</f>
        <v>5</v>
      </c>
      <c r="CI4" s="46">
        <f t="shared" ref="CI4:CI67" si="68">IF((CK4-CD4-CE4-CF4-CG4-CH4)&gt;0,(ROUNDUP(((CK4-CD4-CE4-CF4-CG4-CH4)/2),0)),0)</f>
        <v>5</v>
      </c>
      <c r="CJ4" s="46">
        <f t="shared" ref="CJ4:CJ67" si="69">IF((CK4-CD4-CE4-CF4-CG4-CH4-CI4)&gt;0,(ROUNDUP(((CK4-CD4-CE4-CF4-CG4-CH4-CI4)/1),0)),0)</f>
        <v>5</v>
      </c>
      <c r="CK4" s="45">
        <f>ROUND((VLOOKUP(A4,'Cumulative pupils per year'!$A$3:$S$88,11,FALSE)),0)</f>
        <v>35</v>
      </c>
      <c r="CL4" s="274">
        <f t="shared" ref="CL4:CL67" si="70">ROUNDUP(CS4/7,0)</f>
        <v>6</v>
      </c>
      <c r="CM4" s="274">
        <f t="shared" ref="CM4:CM67" si="71">IF((CS4-CL4)&gt;0,(ROUNDUP(((CS4-CL4)/6),0)),0)</f>
        <v>6</v>
      </c>
      <c r="CN4" s="274">
        <f t="shared" ref="CN4:CN67" si="72">IF((CS4-CL4-CM4)&gt;0,(ROUNDUP(((CS4-CL4-CM4)/5),0)),0)</f>
        <v>5</v>
      </c>
      <c r="CO4" s="274">
        <f t="shared" ref="CO4:CO67" si="73">IF((CS4-CL4-CM4-CN4)&gt;0,(ROUNDUP(((CS4-CL4-CM4-CN4)/4),0)),0)</f>
        <v>5</v>
      </c>
      <c r="CP4" s="274">
        <f t="shared" ref="CP4:CP67" si="74">IF((CS4-CL4-CM4-CN4-CO4)&gt;0,(ROUNDUP(((CS4-CL4-CM4-CN4-CO4)/3),0)),0)</f>
        <v>5</v>
      </c>
      <c r="CQ4" s="274">
        <f t="shared" ref="CQ4:CQ67" si="75">IF((CS4-CL4-CM4-CN4-CO4-CP4)&gt;0,(ROUNDUP(((CS4-CL4-CM4-CN4-CO4-CP4)/2),0)),0)</f>
        <v>5</v>
      </c>
      <c r="CR4" s="274">
        <f t="shared" ref="CR4:CR67" si="76">IF((CS4-CL4-CM4-CN4-CO4-CP4-CQ4)&gt;0,(ROUNDUP(((CS4-CL4-CM4-CN4-CO4-CP4-CQ4)/1),0)),0)</f>
        <v>5</v>
      </c>
      <c r="CS4" s="291">
        <f>ROUND((VLOOKUP(A4,'Cumulative pupils per year'!$A$3:$S$88,12,FALSE)),0)</f>
        <v>37</v>
      </c>
      <c r="CT4" s="46">
        <f t="shared" ref="CT4:CT67" si="77">ROUNDUP(DA4/7,0)</f>
        <v>6</v>
      </c>
      <c r="CU4" s="46">
        <f t="shared" ref="CU4:CU67" si="78">IF((DA4-CT4)&gt;0,(ROUNDUP(((DA4-CT4)/6),0)),0)</f>
        <v>6</v>
      </c>
      <c r="CV4" s="46">
        <f t="shared" ref="CV4:CV67" si="79">IF((DA4-CT4-CU4)&gt;0,(ROUNDUP(((DA4-CT4-CU4)/5),0)),0)</f>
        <v>5</v>
      </c>
      <c r="CW4" s="46">
        <f t="shared" ref="CW4:CW67" si="80">IF((DA4-CT4-CU4-CV4)&gt;0,(ROUNDUP(((DA4-CT4-CU4-CV4)/4),0)),0)</f>
        <v>5</v>
      </c>
      <c r="CX4" s="46">
        <f t="shared" ref="CX4:CX67" si="81">IF((DA4-CT4-CU4-CV4-CW4)&gt;0,(ROUNDUP(((DA4-CT4-CU4-CV4-CW4)/3),0)),0)</f>
        <v>5</v>
      </c>
      <c r="CY4" s="46">
        <f t="shared" ref="CY4:CY67" si="82">IF((DA4-CT4-CU4-CV4-CW4-CX4)&gt;0,(ROUNDUP(((DA4-CT4-CU4-CV4-CW4-CX4)/2),0)),0)</f>
        <v>5</v>
      </c>
      <c r="CZ4" s="46">
        <f t="shared" ref="CZ4:CZ67" si="83">IF((DA4-CT4-CU4-CV4-CW4-CX4-CY4)&gt;0,(ROUNDUP(((DA4-CT4-CU4-CV4-CW4-CX4-CY4)/1),0)),0)</f>
        <v>5</v>
      </c>
      <c r="DA4" s="45">
        <f>ROUND((VLOOKUP(A4,'Cumulative pupils per year'!$A$3:$S$88,13,FALSE)),0)</f>
        <v>37</v>
      </c>
      <c r="DB4" s="274">
        <f t="shared" ref="DB4:DB67" si="84">ROUNDUP(DI4/7,0)</f>
        <v>6</v>
      </c>
      <c r="DC4" s="274">
        <f t="shared" ref="DC4:DC67" si="85">IF((DI4-DB4)&gt;0,(ROUNDUP(((DI4-DB4)/6),0)),0)</f>
        <v>6</v>
      </c>
      <c r="DD4" s="274">
        <f t="shared" ref="DD4:DD67" si="86">IF((DI4-DB4-DC4)&gt;0,(ROUNDUP(((DI4-DB4-DC4)/5),0)),0)</f>
        <v>5</v>
      </c>
      <c r="DE4" s="274">
        <f t="shared" ref="DE4:DE67" si="87">IF((DI4-DB4-DC4-DD4)&gt;0,(ROUNDUP(((DI4-DB4-DC4-DD4)/4),0)),0)</f>
        <v>5</v>
      </c>
      <c r="DF4" s="274">
        <f t="shared" ref="DF4:DF67" si="88">IF((DI4-DB4-DC4-DD4-DE4)&gt;0,(ROUNDUP(((DI4-DB4-DC4-DD4-DE4)/3),0)),0)</f>
        <v>5</v>
      </c>
      <c r="DG4" s="274">
        <f t="shared" ref="DG4:DG67" si="89">IF((DI4-DB4-DC4-DD4-DE4-DF4)&gt;0,(ROUNDUP(((DI4-DB4-DC4-DD4-DE4-DF4)/2),0)),0)</f>
        <v>5</v>
      </c>
      <c r="DH4" s="274">
        <f t="shared" ref="DH4:DH67" si="90">IF((DI4-DB4-DC4-DD4-DE4-DF4-DG4)&gt;0,(ROUNDUP(((DI4-DB4-DC4-DD4-DE4-DF4-DG4)/1),0)),0)</f>
        <v>5</v>
      </c>
      <c r="DI4" s="291">
        <f>ROUND((VLOOKUP(A4,'Cumulative pupils per year'!$A$3:$S$88,14,FALSE)),0)</f>
        <v>37</v>
      </c>
      <c r="DJ4" s="46">
        <f t="shared" ref="DJ4:DJ67" si="91">ROUNDUP(DQ4/7,0)</f>
        <v>6</v>
      </c>
      <c r="DK4" s="46">
        <f t="shared" ref="DK4:DK67" si="92">IF((DQ4-DJ4)&gt;0,(ROUNDUP(((DQ4-DJ4)/6),0)),0)</f>
        <v>6</v>
      </c>
      <c r="DL4" s="46">
        <f t="shared" ref="DL4:DL67" si="93">IF((DQ4-DJ4-DK4)&gt;0,(ROUNDUP(((DQ4-DJ4-DK4)/5),0)),0)</f>
        <v>5</v>
      </c>
      <c r="DM4" s="46">
        <f t="shared" ref="DM4:DM67" si="94">IF((DQ4-DJ4-DK4-DL4)&gt;0,(ROUNDUP(((DQ4-DJ4-DK4-DL4)/4),0)),0)</f>
        <v>5</v>
      </c>
      <c r="DN4" s="46">
        <f t="shared" ref="DN4:DN67" si="95">IF((DQ4-DJ4-DK4-DL4-DM4)&gt;0,(ROUNDUP(((DQ4-DJ4-DK4-DL4-DM4)/3),0)),0)</f>
        <v>5</v>
      </c>
      <c r="DO4" s="46">
        <f t="shared" ref="DO4:DO67" si="96">IF((DQ4-DJ4-DK4-DL4-DM4-DN4)&gt;0,(ROUNDUP(((DQ4-DJ4-DK4-DL4-DM4-DN4)/2),0)),0)</f>
        <v>5</v>
      </c>
      <c r="DP4" s="46">
        <f t="shared" ref="DP4:DP67" si="97">IF((DQ4-DJ4-DK4-DL4-DM4-DN4-DO4)&gt;0,(ROUNDUP(((DQ4-DJ4-DK4-DL4-DM4-DN4-DO4)/1),0)),0)</f>
        <v>5</v>
      </c>
      <c r="DQ4" s="45">
        <f>ROUND((VLOOKUP(A4,'Cumulative pupils per year'!$A$3:$S$88,15,FALSE)),0)</f>
        <v>37</v>
      </c>
    </row>
    <row r="5" spans="1:121">
      <c r="A5" s="4" t="s">
        <v>11</v>
      </c>
      <c r="B5" s="46">
        <v>0</v>
      </c>
      <c r="C5" s="46">
        <v>0</v>
      </c>
      <c r="D5" s="46">
        <v>0</v>
      </c>
      <c r="E5" s="46">
        <v>0</v>
      </c>
      <c r="F5" s="46">
        <v>0</v>
      </c>
      <c r="G5" s="46">
        <v>0</v>
      </c>
      <c r="H5" s="46">
        <v>0</v>
      </c>
      <c r="I5" s="45">
        <v>0</v>
      </c>
      <c r="J5" s="44">
        <f t="shared" si="0"/>
        <v>0</v>
      </c>
      <c r="K5" s="44">
        <f t="shared" si="1"/>
        <v>0</v>
      </c>
      <c r="L5" s="44">
        <f t="shared" si="2"/>
        <v>0</v>
      </c>
      <c r="M5" s="44">
        <f t="shared" si="3"/>
        <v>0</v>
      </c>
      <c r="N5" s="44">
        <f t="shared" si="4"/>
        <v>0</v>
      </c>
      <c r="O5" s="44">
        <f t="shared" si="5"/>
        <v>0</v>
      </c>
      <c r="P5" s="44">
        <f t="shared" si="6"/>
        <v>0</v>
      </c>
      <c r="Q5" s="43">
        <f>ROUND((VLOOKUP(A5,'Cumulative pupils per year'!$A$3:$S$88,2,FALSE)),0)</f>
        <v>0</v>
      </c>
      <c r="R5" s="46">
        <f t="shared" si="7"/>
        <v>0</v>
      </c>
      <c r="S5" s="46">
        <f t="shared" si="8"/>
        <v>0</v>
      </c>
      <c r="T5" s="46">
        <f t="shared" si="9"/>
        <v>0</v>
      </c>
      <c r="U5" s="46">
        <f t="shared" si="10"/>
        <v>0</v>
      </c>
      <c r="V5" s="46">
        <f t="shared" si="11"/>
        <v>0</v>
      </c>
      <c r="W5" s="46">
        <f t="shared" si="12"/>
        <v>0</v>
      </c>
      <c r="X5" s="46">
        <f t="shared" si="13"/>
        <v>0</v>
      </c>
      <c r="Y5" s="45">
        <f>ROUND((VLOOKUP(A5,'Cumulative pupils per year'!$A$3:$S$88,3,FALSE)),0)</f>
        <v>0</v>
      </c>
      <c r="Z5" s="274">
        <f t="shared" si="14"/>
        <v>0</v>
      </c>
      <c r="AA5" s="274">
        <f t="shared" si="15"/>
        <v>0</v>
      </c>
      <c r="AB5" s="274">
        <f t="shared" si="16"/>
        <v>0</v>
      </c>
      <c r="AC5" s="274">
        <f t="shared" si="17"/>
        <v>0</v>
      </c>
      <c r="AD5" s="274">
        <f t="shared" si="18"/>
        <v>0</v>
      </c>
      <c r="AE5" s="274">
        <f t="shared" si="19"/>
        <v>0</v>
      </c>
      <c r="AF5" s="274">
        <f t="shared" si="20"/>
        <v>0</v>
      </c>
      <c r="AG5" s="43">
        <f>ROUND((VLOOKUP(A5,'Cumulative pupils per year'!$A$3:$S$88,4,FALSE)),0)</f>
        <v>0</v>
      </c>
      <c r="AH5" s="46">
        <f t="shared" si="21"/>
        <v>0</v>
      </c>
      <c r="AI5" s="46">
        <f t="shared" si="22"/>
        <v>0</v>
      </c>
      <c r="AJ5" s="46">
        <f t="shared" si="23"/>
        <v>0</v>
      </c>
      <c r="AK5" s="46">
        <f t="shared" si="24"/>
        <v>0</v>
      </c>
      <c r="AL5" s="46">
        <f t="shared" si="25"/>
        <v>0</v>
      </c>
      <c r="AM5" s="46">
        <f t="shared" si="26"/>
        <v>0</v>
      </c>
      <c r="AN5" s="46">
        <f t="shared" si="27"/>
        <v>0</v>
      </c>
      <c r="AO5" s="45">
        <f>ROUND((VLOOKUP(A5,'Cumulative pupils per year'!$A$3:$S$88,5,FALSE)),0)</f>
        <v>0</v>
      </c>
      <c r="AP5" s="274">
        <f t="shared" si="28"/>
        <v>0</v>
      </c>
      <c r="AQ5" s="274">
        <f t="shared" si="29"/>
        <v>0</v>
      </c>
      <c r="AR5" s="274">
        <f t="shared" si="30"/>
        <v>0</v>
      </c>
      <c r="AS5" s="274">
        <f t="shared" si="31"/>
        <v>0</v>
      </c>
      <c r="AT5" s="274">
        <f t="shared" si="32"/>
        <v>0</v>
      </c>
      <c r="AU5" s="274">
        <f t="shared" si="33"/>
        <v>0</v>
      </c>
      <c r="AV5" s="274">
        <f t="shared" si="34"/>
        <v>0</v>
      </c>
      <c r="AW5" s="43">
        <f>ROUND((VLOOKUP(A5,'Cumulative pupils per year'!$A$3:$S$88,6,FALSE)),0)</f>
        <v>0</v>
      </c>
      <c r="AX5" s="46">
        <f t="shared" si="35"/>
        <v>0</v>
      </c>
      <c r="AY5" s="46">
        <f t="shared" si="36"/>
        <v>0</v>
      </c>
      <c r="AZ5" s="46">
        <f t="shared" si="37"/>
        <v>0</v>
      </c>
      <c r="BA5" s="46">
        <f t="shared" si="38"/>
        <v>0</v>
      </c>
      <c r="BB5" s="46">
        <f t="shared" si="39"/>
        <v>0</v>
      </c>
      <c r="BC5" s="46">
        <f t="shared" si="40"/>
        <v>0</v>
      </c>
      <c r="BD5" s="46">
        <f t="shared" si="41"/>
        <v>0</v>
      </c>
      <c r="BE5" s="45">
        <f>ROUND((VLOOKUP(A5,'Cumulative pupils per year'!$A$3:$S$88,7,FALSE)),0)</f>
        <v>0</v>
      </c>
      <c r="BF5" s="274">
        <f t="shared" si="42"/>
        <v>0</v>
      </c>
      <c r="BG5" s="274">
        <f t="shared" si="43"/>
        <v>0</v>
      </c>
      <c r="BH5" s="274">
        <f t="shared" si="44"/>
        <v>0</v>
      </c>
      <c r="BI5" s="274">
        <f t="shared" si="45"/>
        <v>0</v>
      </c>
      <c r="BJ5" s="274">
        <f t="shared" si="46"/>
        <v>0</v>
      </c>
      <c r="BK5" s="274">
        <f t="shared" si="47"/>
        <v>0</v>
      </c>
      <c r="BL5" s="274">
        <f t="shared" si="48"/>
        <v>0</v>
      </c>
      <c r="BM5" s="43">
        <f>ROUND((VLOOKUP(A5,'Cumulative pupils per year'!$A$3:$S$88,8,FALSE)),0)</f>
        <v>0</v>
      </c>
      <c r="BN5" s="46">
        <f t="shared" si="49"/>
        <v>0</v>
      </c>
      <c r="BO5" s="46">
        <f t="shared" si="50"/>
        <v>0</v>
      </c>
      <c r="BP5" s="46">
        <f t="shared" si="51"/>
        <v>0</v>
      </c>
      <c r="BQ5" s="46">
        <f t="shared" si="52"/>
        <v>0</v>
      </c>
      <c r="BR5" s="46">
        <f t="shared" si="53"/>
        <v>0</v>
      </c>
      <c r="BS5" s="46">
        <f t="shared" si="54"/>
        <v>0</v>
      </c>
      <c r="BT5" s="46">
        <f t="shared" si="55"/>
        <v>0</v>
      </c>
      <c r="BU5" s="45">
        <f>ROUND((VLOOKUP(A5,'Cumulative pupils per year'!$A$3:$S$88,9,FALSE)),0)</f>
        <v>0</v>
      </c>
      <c r="BV5" s="274">
        <f t="shared" si="56"/>
        <v>0</v>
      </c>
      <c r="BW5" s="274">
        <f t="shared" si="57"/>
        <v>0</v>
      </c>
      <c r="BX5" s="274">
        <f t="shared" si="58"/>
        <v>0</v>
      </c>
      <c r="BY5" s="274">
        <f t="shared" si="59"/>
        <v>0</v>
      </c>
      <c r="BZ5" s="274">
        <f t="shared" si="60"/>
        <v>0</v>
      </c>
      <c r="CA5" s="274">
        <f t="shared" si="61"/>
        <v>0</v>
      </c>
      <c r="CB5" s="274">
        <f t="shared" si="62"/>
        <v>0</v>
      </c>
      <c r="CC5" s="43">
        <f>ROUND((VLOOKUP(A5,'Cumulative pupils per year'!$A$3:$S$88,10,FALSE)),0)</f>
        <v>0</v>
      </c>
      <c r="CD5" s="46">
        <f t="shared" si="63"/>
        <v>0</v>
      </c>
      <c r="CE5" s="46">
        <f t="shared" si="64"/>
        <v>0</v>
      </c>
      <c r="CF5" s="46">
        <f t="shared" si="65"/>
        <v>0</v>
      </c>
      <c r="CG5" s="46">
        <f t="shared" si="66"/>
        <v>0</v>
      </c>
      <c r="CH5" s="46">
        <f t="shared" si="67"/>
        <v>0</v>
      </c>
      <c r="CI5" s="46">
        <f t="shared" si="68"/>
        <v>0</v>
      </c>
      <c r="CJ5" s="46">
        <f t="shared" si="69"/>
        <v>0</v>
      </c>
      <c r="CK5" s="45">
        <f>ROUND((VLOOKUP(A5,'Cumulative pupils per year'!$A$3:$S$88,11,FALSE)),0)</f>
        <v>0</v>
      </c>
      <c r="CL5" s="274">
        <f t="shared" si="70"/>
        <v>0</v>
      </c>
      <c r="CM5" s="274">
        <f t="shared" si="71"/>
        <v>0</v>
      </c>
      <c r="CN5" s="274">
        <f t="shared" si="72"/>
        <v>0</v>
      </c>
      <c r="CO5" s="274">
        <f t="shared" si="73"/>
        <v>0</v>
      </c>
      <c r="CP5" s="274">
        <f t="shared" si="74"/>
        <v>0</v>
      </c>
      <c r="CQ5" s="274">
        <f t="shared" si="75"/>
        <v>0</v>
      </c>
      <c r="CR5" s="274">
        <f t="shared" si="76"/>
        <v>0</v>
      </c>
      <c r="CS5" s="291">
        <f>ROUND((VLOOKUP(A5,'Cumulative pupils per year'!$A$3:$S$88,12,FALSE)),0)</f>
        <v>0</v>
      </c>
      <c r="CT5" s="46">
        <f t="shared" si="77"/>
        <v>0</v>
      </c>
      <c r="CU5" s="46">
        <f t="shared" si="78"/>
        <v>0</v>
      </c>
      <c r="CV5" s="46">
        <f t="shared" si="79"/>
        <v>0</v>
      </c>
      <c r="CW5" s="46">
        <f t="shared" si="80"/>
        <v>0</v>
      </c>
      <c r="CX5" s="46">
        <f t="shared" si="81"/>
        <v>0</v>
      </c>
      <c r="CY5" s="46">
        <f t="shared" si="82"/>
        <v>0</v>
      </c>
      <c r="CZ5" s="46">
        <f t="shared" si="83"/>
        <v>0</v>
      </c>
      <c r="DA5" s="45">
        <f>ROUND((VLOOKUP(A5,'Cumulative pupils per year'!$A$3:$S$88,13,FALSE)),0)</f>
        <v>0</v>
      </c>
      <c r="DB5" s="274">
        <f t="shared" si="84"/>
        <v>0</v>
      </c>
      <c r="DC5" s="274">
        <f t="shared" si="85"/>
        <v>0</v>
      </c>
      <c r="DD5" s="274">
        <f t="shared" si="86"/>
        <v>0</v>
      </c>
      <c r="DE5" s="274">
        <f t="shared" si="87"/>
        <v>0</v>
      </c>
      <c r="DF5" s="274">
        <f t="shared" si="88"/>
        <v>0</v>
      </c>
      <c r="DG5" s="274">
        <f t="shared" si="89"/>
        <v>0</v>
      </c>
      <c r="DH5" s="274">
        <f t="shared" si="90"/>
        <v>0</v>
      </c>
      <c r="DI5" s="291">
        <f>ROUND((VLOOKUP(A5,'Cumulative pupils per year'!$A$3:$S$88,14,FALSE)),0)</f>
        <v>0</v>
      </c>
      <c r="DJ5" s="46">
        <f t="shared" si="91"/>
        <v>0</v>
      </c>
      <c r="DK5" s="46">
        <f t="shared" si="92"/>
        <v>0</v>
      </c>
      <c r="DL5" s="46">
        <f t="shared" si="93"/>
        <v>0</v>
      </c>
      <c r="DM5" s="46">
        <f t="shared" si="94"/>
        <v>0</v>
      </c>
      <c r="DN5" s="46">
        <f t="shared" si="95"/>
        <v>0</v>
      </c>
      <c r="DO5" s="46">
        <f t="shared" si="96"/>
        <v>0</v>
      </c>
      <c r="DP5" s="46">
        <f t="shared" si="97"/>
        <v>0</v>
      </c>
      <c r="DQ5" s="45">
        <f>ROUND((VLOOKUP(A5,'Cumulative pupils per year'!$A$3:$S$88,15,FALSE)),0)</f>
        <v>0</v>
      </c>
    </row>
    <row r="6" spans="1:121">
      <c r="A6" s="4" t="s">
        <v>12</v>
      </c>
      <c r="B6" s="46">
        <v>1</v>
      </c>
      <c r="C6" s="46">
        <v>1</v>
      </c>
      <c r="D6" s="46">
        <v>0</v>
      </c>
      <c r="E6" s="46">
        <v>0</v>
      </c>
      <c r="F6" s="46">
        <v>0</v>
      </c>
      <c r="G6" s="46">
        <v>0</v>
      </c>
      <c r="H6" s="46">
        <v>0</v>
      </c>
      <c r="I6" s="45">
        <v>2</v>
      </c>
      <c r="J6" s="44">
        <f t="shared" si="0"/>
        <v>1</v>
      </c>
      <c r="K6" s="44">
        <f t="shared" si="1"/>
        <v>1</v>
      </c>
      <c r="L6" s="44">
        <f t="shared" si="2"/>
        <v>0</v>
      </c>
      <c r="M6" s="44">
        <f t="shared" si="3"/>
        <v>0</v>
      </c>
      <c r="N6" s="44">
        <f t="shared" si="4"/>
        <v>0</v>
      </c>
      <c r="O6" s="44">
        <f t="shared" si="5"/>
        <v>0</v>
      </c>
      <c r="P6" s="44">
        <f t="shared" si="6"/>
        <v>0</v>
      </c>
      <c r="Q6" s="43">
        <f>ROUND((VLOOKUP(A6,'Cumulative pupils per year'!$A$3:$S$88,2,FALSE)),0)</f>
        <v>2</v>
      </c>
      <c r="R6" s="46">
        <f t="shared" si="7"/>
        <v>1</v>
      </c>
      <c r="S6" s="46">
        <f t="shared" si="8"/>
        <v>1</v>
      </c>
      <c r="T6" s="46">
        <f t="shared" si="9"/>
        <v>0</v>
      </c>
      <c r="U6" s="46">
        <f t="shared" si="10"/>
        <v>0</v>
      </c>
      <c r="V6" s="46">
        <f t="shared" si="11"/>
        <v>0</v>
      </c>
      <c r="W6" s="46">
        <f t="shared" si="12"/>
        <v>0</v>
      </c>
      <c r="X6" s="46">
        <f t="shared" si="13"/>
        <v>0</v>
      </c>
      <c r="Y6" s="45">
        <f>ROUND((VLOOKUP(A6,'Cumulative pupils per year'!$A$3:$S$88,3,FALSE)),0)</f>
        <v>2</v>
      </c>
      <c r="Z6" s="274">
        <f t="shared" si="14"/>
        <v>1</v>
      </c>
      <c r="AA6" s="274">
        <f t="shared" si="15"/>
        <v>1</v>
      </c>
      <c r="AB6" s="274">
        <f t="shared" si="16"/>
        <v>0</v>
      </c>
      <c r="AC6" s="274">
        <f t="shared" si="17"/>
        <v>0</v>
      </c>
      <c r="AD6" s="274">
        <f t="shared" si="18"/>
        <v>0</v>
      </c>
      <c r="AE6" s="274">
        <f t="shared" si="19"/>
        <v>0</v>
      </c>
      <c r="AF6" s="274">
        <f t="shared" si="20"/>
        <v>0</v>
      </c>
      <c r="AG6" s="43">
        <f>ROUND((VLOOKUP(A6,'Cumulative pupils per year'!$A$3:$S$88,4,FALSE)),0)</f>
        <v>2</v>
      </c>
      <c r="AH6" s="46">
        <f t="shared" si="21"/>
        <v>1</v>
      </c>
      <c r="AI6" s="46">
        <f t="shared" si="22"/>
        <v>1</v>
      </c>
      <c r="AJ6" s="46">
        <f t="shared" si="23"/>
        <v>0</v>
      </c>
      <c r="AK6" s="46">
        <f t="shared" si="24"/>
        <v>0</v>
      </c>
      <c r="AL6" s="46">
        <f t="shared" si="25"/>
        <v>0</v>
      </c>
      <c r="AM6" s="46">
        <f t="shared" si="26"/>
        <v>0</v>
      </c>
      <c r="AN6" s="46">
        <f t="shared" si="27"/>
        <v>0</v>
      </c>
      <c r="AO6" s="45">
        <f>ROUND((VLOOKUP(A6,'Cumulative pupils per year'!$A$3:$S$88,5,FALSE)),0)</f>
        <v>2</v>
      </c>
      <c r="AP6" s="274">
        <f t="shared" si="28"/>
        <v>1</v>
      </c>
      <c r="AQ6" s="274">
        <f t="shared" si="29"/>
        <v>1</v>
      </c>
      <c r="AR6" s="274">
        <f t="shared" si="30"/>
        <v>0</v>
      </c>
      <c r="AS6" s="274">
        <f t="shared" si="31"/>
        <v>0</v>
      </c>
      <c r="AT6" s="274">
        <f t="shared" si="32"/>
        <v>0</v>
      </c>
      <c r="AU6" s="274">
        <f t="shared" si="33"/>
        <v>0</v>
      </c>
      <c r="AV6" s="274">
        <f t="shared" si="34"/>
        <v>0</v>
      </c>
      <c r="AW6" s="43">
        <f>ROUND((VLOOKUP(A6,'Cumulative pupils per year'!$A$3:$S$88,6,FALSE)),0)</f>
        <v>2</v>
      </c>
      <c r="AX6" s="46">
        <f t="shared" si="35"/>
        <v>1</v>
      </c>
      <c r="AY6" s="46">
        <f t="shared" si="36"/>
        <v>1</v>
      </c>
      <c r="AZ6" s="46">
        <f t="shared" si="37"/>
        <v>0</v>
      </c>
      <c r="BA6" s="46">
        <f t="shared" si="38"/>
        <v>0</v>
      </c>
      <c r="BB6" s="46">
        <f t="shared" si="39"/>
        <v>0</v>
      </c>
      <c r="BC6" s="46">
        <f t="shared" si="40"/>
        <v>0</v>
      </c>
      <c r="BD6" s="46">
        <f t="shared" si="41"/>
        <v>0</v>
      </c>
      <c r="BE6" s="45">
        <f>ROUND((VLOOKUP(A6,'Cumulative pupils per year'!$A$3:$S$88,7,FALSE)),0)</f>
        <v>2</v>
      </c>
      <c r="BF6" s="274">
        <f t="shared" si="42"/>
        <v>1</v>
      </c>
      <c r="BG6" s="274">
        <f t="shared" si="43"/>
        <v>1</v>
      </c>
      <c r="BH6" s="274">
        <f t="shared" si="44"/>
        <v>0</v>
      </c>
      <c r="BI6" s="274">
        <f t="shared" si="45"/>
        <v>0</v>
      </c>
      <c r="BJ6" s="274">
        <f t="shared" si="46"/>
        <v>0</v>
      </c>
      <c r="BK6" s="274">
        <f t="shared" si="47"/>
        <v>0</v>
      </c>
      <c r="BL6" s="274">
        <f t="shared" si="48"/>
        <v>0</v>
      </c>
      <c r="BM6" s="43">
        <f>ROUND((VLOOKUP(A6,'Cumulative pupils per year'!$A$3:$S$88,8,FALSE)),0)</f>
        <v>2</v>
      </c>
      <c r="BN6" s="46">
        <f t="shared" si="49"/>
        <v>1</v>
      </c>
      <c r="BO6" s="46">
        <f t="shared" si="50"/>
        <v>1</v>
      </c>
      <c r="BP6" s="46">
        <f t="shared" si="51"/>
        <v>0</v>
      </c>
      <c r="BQ6" s="46">
        <f t="shared" si="52"/>
        <v>0</v>
      </c>
      <c r="BR6" s="46">
        <f t="shared" si="53"/>
        <v>0</v>
      </c>
      <c r="BS6" s="46">
        <f t="shared" si="54"/>
        <v>0</v>
      </c>
      <c r="BT6" s="46">
        <f t="shared" si="55"/>
        <v>0</v>
      </c>
      <c r="BU6" s="45">
        <f>ROUND((VLOOKUP(A6,'Cumulative pupils per year'!$A$3:$S$88,9,FALSE)),0)</f>
        <v>2</v>
      </c>
      <c r="BV6" s="274">
        <f t="shared" si="56"/>
        <v>1</v>
      </c>
      <c r="BW6" s="274">
        <f t="shared" si="57"/>
        <v>1</v>
      </c>
      <c r="BX6" s="274">
        <f t="shared" si="58"/>
        <v>0</v>
      </c>
      <c r="BY6" s="274">
        <f t="shared" si="59"/>
        <v>0</v>
      </c>
      <c r="BZ6" s="274">
        <f t="shared" si="60"/>
        <v>0</v>
      </c>
      <c r="CA6" s="274">
        <f t="shared" si="61"/>
        <v>0</v>
      </c>
      <c r="CB6" s="274">
        <f t="shared" si="62"/>
        <v>0</v>
      </c>
      <c r="CC6" s="43">
        <f>ROUND((VLOOKUP(A6,'Cumulative pupils per year'!$A$3:$S$88,10,FALSE)),0)</f>
        <v>2</v>
      </c>
      <c r="CD6" s="46">
        <f t="shared" si="63"/>
        <v>1</v>
      </c>
      <c r="CE6" s="46">
        <f t="shared" si="64"/>
        <v>1</v>
      </c>
      <c r="CF6" s="46">
        <f t="shared" si="65"/>
        <v>0</v>
      </c>
      <c r="CG6" s="46">
        <f t="shared" si="66"/>
        <v>0</v>
      </c>
      <c r="CH6" s="46">
        <f t="shared" si="67"/>
        <v>0</v>
      </c>
      <c r="CI6" s="46">
        <f t="shared" si="68"/>
        <v>0</v>
      </c>
      <c r="CJ6" s="46">
        <f t="shared" si="69"/>
        <v>0</v>
      </c>
      <c r="CK6" s="45">
        <f>ROUND((VLOOKUP(A6,'Cumulative pupils per year'!$A$3:$S$88,11,FALSE)),0)</f>
        <v>2</v>
      </c>
      <c r="CL6" s="274">
        <f t="shared" si="70"/>
        <v>1</v>
      </c>
      <c r="CM6" s="274">
        <f t="shared" si="71"/>
        <v>1</v>
      </c>
      <c r="CN6" s="274">
        <f t="shared" si="72"/>
        <v>0</v>
      </c>
      <c r="CO6" s="274">
        <f t="shared" si="73"/>
        <v>0</v>
      </c>
      <c r="CP6" s="274">
        <f t="shared" si="74"/>
        <v>0</v>
      </c>
      <c r="CQ6" s="274">
        <f t="shared" si="75"/>
        <v>0</v>
      </c>
      <c r="CR6" s="274">
        <f t="shared" si="76"/>
        <v>0</v>
      </c>
      <c r="CS6" s="291">
        <f>ROUND((VLOOKUP(A6,'Cumulative pupils per year'!$A$3:$S$88,12,FALSE)),0)</f>
        <v>2</v>
      </c>
      <c r="CT6" s="46">
        <f t="shared" si="77"/>
        <v>1</v>
      </c>
      <c r="CU6" s="46">
        <f t="shared" si="78"/>
        <v>1</v>
      </c>
      <c r="CV6" s="46">
        <f t="shared" si="79"/>
        <v>0</v>
      </c>
      <c r="CW6" s="46">
        <f t="shared" si="80"/>
        <v>0</v>
      </c>
      <c r="CX6" s="46">
        <f t="shared" si="81"/>
        <v>0</v>
      </c>
      <c r="CY6" s="46">
        <f t="shared" si="82"/>
        <v>0</v>
      </c>
      <c r="CZ6" s="46">
        <f t="shared" si="83"/>
        <v>0</v>
      </c>
      <c r="DA6" s="45">
        <f>ROUND((VLOOKUP(A6,'Cumulative pupils per year'!$A$3:$S$88,13,FALSE)),0)</f>
        <v>2</v>
      </c>
      <c r="DB6" s="274">
        <f t="shared" si="84"/>
        <v>1</v>
      </c>
      <c r="DC6" s="274">
        <f t="shared" si="85"/>
        <v>1</v>
      </c>
      <c r="DD6" s="274">
        <f t="shared" si="86"/>
        <v>0</v>
      </c>
      <c r="DE6" s="274">
        <f t="shared" si="87"/>
        <v>0</v>
      </c>
      <c r="DF6" s="274">
        <f t="shared" si="88"/>
        <v>0</v>
      </c>
      <c r="DG6" s="274">
        <f t="shared" si="89"/>
        <v>0</v>
      </c>
      <c r="DH6" s="274">
        <f t="shared" si="90"/>
        <v>0</v>
      </c>
      <c r="DI6" s="291">
        <f>ROUND((VLOOKUP(A6,'Cumulative pupils per year'!$A$3:$S$88,14,FALSE)),0)</f>
        <v>2</v>
      </c>
      <c r="DJ6" s="46">
        <f t="shared" si="91"/>
        <v>1</v>
      </c>
      <c r="DK6" s="46">
        <f t="shared" si="92"/>
        <v>1</v>
      </c>
      <c r="DL6" s="46">
        <f t="shared" si="93"/>
        <v>0</v>
      </c>
      <c r="DM6" s="46">
        <f t="shared" si="94"/>
        <v>0</v>
      </c>
      <c r="DN6" s="46">
        <f t="shared" si="95"/>
        <v>0</v>
      </c>
      <c r="DO6" s="46">
        <f t="shared" si="96"/>
        <v>0</v>
      </c>
      <c r="DP6" s="46">
        <f t="shared" si="97"/>
        <v>0</v>
      </c>
      <c r="DQ6" s="45">
        <f>ROUND((VLOOKUP(A6,'Cumulative pupils per year'!$A$3:$S$88,15,FALSE)),0)</f>
        <v>2</v>
      </c>
    </row>
    <row r="7" spans="1:121">
      <c r="A7" s="4" t="s">
        <v>13</v>
      </c>
      <c r="B7" s="46">
        <v>0</v>
      </c>
      <c r="C7" s="46">
        <v>0</v>
      </c>
      <c r="D7" s="46">
        <v>0</v>
      </c>
      <c r="E7" s="46">
        <v>0</v>
      </c>
      <c r="F7" s="46">
        <v>0</v>
      </c>
      <c r="G7" s="46">
        <v>0</v>
      </c>
      <c r="H7" s="46">
        <v>0</v>
      </c>
      <c r="I7" s="45">
        <v>0</v>
      </c>
      <c r="J7" s="44">
        <f t="shared" ref="J7:J11" si="98">ROUNDUP(Q7/7,0)</f>
        <v>3</v>
      </c>
      <c r="K7" s="44">
        <f t="shared" ref="K7:K11" si="99">IF((Q7-J7)&gt;0,(ROUNDUP(((Q7-J7)/6),0)),0)</f>
        <v>3</v>
      </c>
      <c r="L7" s="44">
        <f t="shared" ref="L7:L11" si="100">IF((Q7-J7-K7)&gt;0,(ROUNDUP(((Q7-J7-K7)/5),0)),0)</f>
        <v>3</v>
      </c>
      <c r="M7" s="44">
        <f t="shared" ref="M7:M11" si="101">IF((Q7-J7-K7-L7)&gt;0,(ROUNDUP(((Q7-J7-K7-L7)/4),0)),0)</f>
        <v>2</v>
      </c>
      <c r="N7" s="44">
        <f t="shared" ref="N7:N11" si="102">IF((Q7-J7-K7-L7-M7)&gt;0,(ROUNDUP(((Q7-J7-K7-L7-M7)/3),0)),0)</f>
        <v>2</v>
      </c>
      <c r="O7" s="44">
        <f t="shared" ref="O7:O11" si="103">IF((Q7-J7-K7-L7-M7-N7)&gt;0,(ROUNDUP(((Q7-J7-K7-L7-M7-N7)/2),0)),0)</f>
        <v>2</v>
      </c>
      <c r="P7" s="44">
        <f t="shared" ref="P7:P11" si="104">IF((Q7-J7-K7-L7-M7-N7-O7)&gt;0,(ROUNDUP(((Q7-J7-K7-L7-M7-N7-O7)/1),0)),0)</f>
        <v>2</v>
      </c>
      <c r="Q7" s="43">
        <f>ROUND((VLOOKUP(A7,'Cumulative pupils per year'!$A$3:$S$88,2,FALSE)),0)</f>
        <v>17</v>
      </c>
      <c r="R7" s="46">
        <f t="shared" si="7"/>
        <v>6</v>
      </c>
      <c r="S7" s="46">
        <f t="shared" si="8"/>
        <v>6</v>
      </c>
      <c r="T7" s="46">
        <f t="shared" si="9"/>
        <v>6</v>
      </c>
      <c r="U7" s="46">
        <f t="shared" si="10"/>
        <v>6</v>
      </c>
      <c r="V7" s="46">
        <f t="shared" si="11"/>
        <v>6</v>
      </c>
      <c r="W7" s="46">
        <f t="shared" si="12"/>
        <v>6</v>
      </c>
      <c r="X7" s="46">
        <f t="shared" si="13"/>
        <v>5</v>
      </c>
      <c r="Y7" s="45">
        <f>ROUND((VLOOKUP(A7,'Cumulative pupils per year'!$A$3:$S$88,3,FALSE)),0)</f>
        <v>41</v>
      </c>
      <c r="Z7" s="274">
        <f t="shared" si="14"/>
        <v>6</v>
      </c>
      <c r="AA7" s="274">
        <f t="shared" si="15"/>
        <v>6</v>
      </c>
      <c r="AB7" s="274">
        <f t="shared" si="16"/>
        <v>6</v>
      </c>
      <c r="AC7" s="274">
        <f t="shared" si="17"/>
        <v>6</v>
      </c>
      <c r="AD7" s="274">
        <f t="shared" si="18"/>
        <v>6</v>
      </c>
      <c r="AE7" s="274">
        <f t="shared" si="19"/>
        <v>6</v>
      </c>
      <c r="AF7" s="274">
        <f t="shared" si="20"/>
        <v>5</v>
      </c>
      <c r="AG7" s="43">
        <f>ROUND((VLOOKUP(A7,'Cumulative pupils per year'!$A$3:$S$88,4,FALSE)),0)</f>
        <v>41</v>
      </c>
      <c r="AH7" s="46">
        <f t="shared" si="21"/>
        <v>6</v>
      </c>
      <c r="AI7" s="46">
        <f t="shared" si="22"/>
        <v>6</v>
      </c>
      <c r="AJ7" s="46">
        <f t="shared" si="23"/>
        <v>6</v>
      </c>
      <c r="AK7" s="46">
        <f t="shared" si="24"/>
        <v>6</v>
      </c>
      <c r="AL7" s="46">
        <f t="shared" si="25"/>
        <v>6</v>
      </c>
      <c r="AM7" s="46">
        <f t="shared" si="26"/>
        <v>6</v>
      </c>
      <c r="AN7" s="46">
        <f t="shared" si="27"/>
        <v>5</v>
      </c>
      <c r="AO7" s="45">
        <f>ROUND((VLOOKUP(A7,'Cumulative pupils per year'!$A$3:$S$88,5,FALSE)),0)</f>
        <v>41</v>
      </c>
      <c r="AP7" s="274">
        <f t="shared" si="28"/>
        <v>6</v>
      </c>
      <c r="AQ7" s="274">
        <f t="shared" si="29"/>
        <v>6</v>
      </c>
      <c r="AR7" s="274">
        <f t="shared" si="30"/>
        <v>6</v>
      </c>
      <c r="AS7" s="274">
        <f t="shared" si="31"/>
        <v>6</v>
      </c>
      <c r="AT7" s="274">
        <f t="shared" si="32"/>
        <v>6</v>
      </c>
      <c r="AU7" s="274">
        <f t="shared" si="33"/>
        <v>6</v>
      </c>
      <c r="AV7" s="274">
        <f t="shared" si="34"/>
        <v>5</v>
      </c>
      <c r="AW7" s="43">
        <f>ROUND((VLOOKUP(A7,'Cumulative pupils per year'!$A$3:$S$88,6,FALSE)),0)</f>
        <v>41</v>
      </c>
      <c r="AX7" s="46">
        <f t="shared" si="35"/>
        <v>6</v>
      </c>
      <c r="AY7" s="46">
        <f t="shared" si="36"/>
        <v>6</v>
      </c>
      <c r="AZ7" s="46">
        <f t="shared" si="37"/>
        <v>6</v>
      </c>
      <c r="BA7" s="46">
        <f t="shared" si="38"/>
        <v>6</v>
      </c>
      <c r="BB7" s="46">
        <f t="shared" si="39"/>
        <v>6</v>
      </c>
      <c r="BC7" s="46">
        <f t="shared" si="40"/>
        <v>6</v>
      </c>
      <c r="BD7" s="46">
        <f t="shared" si="41"/>
        <v>5</v>
      </c>
      <c r="BE7" s="45">
        <f>ROUND((VLOOKUP(A7,'Cumulative pupils per year'!$A$3:$S$88,7,FALSE)),0)</f>
        <v>41</v>
      </c>
      <c r="BF7" s="274">
        <f t="shared" si="42"/>
        <v>6</v>
      </c>
      <c r="BG7" s="274">
        <f t="shared" si="43"/>
        <v>6</v>
      </c>
      <c r="BH7" s="274">
        <f t="shared" si="44"/>
        <v>6</v>
      </c>
      <c r="BI7" s="274">
        <f t="shared" si="45"/>
        <v>6</v>
      </c>
      <c r="BJ7" s="274">
        <f t="shared" si="46"/>
        <v>6</v>
      </c>
      <c r="BK7" s="274">
        <f t="shared" si="47"/>
        <v>6</v>
      </c>
      <c r="BL7" s="274">
        <f t="shared" si="48"/>
        <v>5</v>
      </c>
      <c r="BM7" s="43">
        <f>ROUND((VLOOKUP(A7,'Cumulative pupils per year'!$A$3:$S$88,8,FALSE)),0)</f>
        <v>41</v>
      </c>
      <c r="BN7" s="46">
        <f t="shared" si="49"/>
        <v>6</v>
      </c>
      <c r="BO7" s="46">
        <f t="shared" si="50"/>
        <v>6</v>
      </c>
      <c r="BP7" s="46">
        <f t="shared" si="51"/>
        <v>6</v>
      </c>
      <c r="BQ7" s="46">
        <f t="shared" si="52"/>
        <v>6</v>
      </c>
      <c r="BR7" s="46">
        <f t="shared" si="53"/>
        <v>6</v>
      </c>
      <c r="BS7" s="46">
        <f t="shared" si="54"/>
        <v>6</v>
      </c>
      <c r="BT7" s="46">
        <f t="shared" si="55"/>
        <v>5</v>
      </c>
      <c r="BU7" s="45">
        <f>ROUND((VLOOKUP(A7,'Cumulative pupils per year'!$A$3:$S$88,9,FALSE)),0)</f>
        <v>41</v>
      </c>
      <c r="BV7" s="274">
        <f t="shared" si="56"/>
        <v>6</v>
      </c>
      <c r="BW7" s="274">
        <f t="shared" si="57"/>
        <v>6</v>
      </c>
      <c r="BX7" s="274">
        <f t="shared" si="58"/>
        <v>6</v>
      </c>
      <c r="BY7" s="274">
        <f t="shared" si="59"/>
        <v>6</v>
      </c>
      <c r="BZ7" s="274">
        <f t="shared" si="60"/>
        <v>6</v>
      </c>
      <c r="CA7" s="274">
        <f t="shared" si="61"/>
        <v>6</v>
      </c>
      <c r="CB7" s="274">
        <f t="shared" si="62"/>
        <v>5</v>
      </c>
      <c r="CC7" s="43">
        <f>ROUND((VLOOKUP(A7,'Cumulative pupils per year'!$A$3:$S$88,10,FALSE)),0)</f>
        <v>41</v>
      </c>
      <c r="CD7" s="46">
        <f t="shared" si="63"/>
        <v>6</v>
      </c>
      <c r="CE7" s="46">
        <f t="shared" si="64"/>
        <v>6</v>
      </c>
      <c r="CF7" s="46">
        <f t="shared" si="65"/>
        <v>6</v>
      </c>
      <c r="CG7" s="46">
        <f t="shared" si="66"/>
        <v>6</v>
      </c>
      <c r="CH7" s="46">
        <f t="shared" si="67"/>
        <v>6</v>
      </c>
      <c r="CI7" s="46">
        <f t="shared" si="68"/>
        <v>6</v>
      </c>
      <c r="CJ7" s="46">
        <f t="shared" si="69"/>
        <v>5</v>
      </c>
      <c r="CK7" s="45">
        <f>ROUND((VLOOKUP(A7,'Cumulative pupils per year'!$A$3:$S$88,11,FALSE)),0)</f>
        <v>41</v>
      </c>
      <c r="CL7" s="274">
        <f t="shared" si="70"/>
        <v>6</v>
      </c>
      <c r="CM7" s="274">
        <f t="shared" si="71"/>
        <v>6</v>
      </c>
      <c r="CN7" s="274">
        <f t="shared" si="72"/>
        <v>6</v>
      </c>
      <c r="CO7" s="274">
        <f t="shared" si="73"/>
        <v>6</v>
      </c>
      <c r="CP7" s="274">
        <f t="shared" si="74"/>
        <v>6</v>
      </c>
      <c r="CQ7" s="274">
        <f t="shared" si="75"/>
        <v>6</v>
      </c>
      <c r="CR7" s="274">
        <f t="shared" si="76"/>
        <v>5</v>
      </c>
      <c r="CS7" s="291">
        <f>ROUND((VLOOKUP(A7,'Cumulative pupils per year'!$A$3:$S$88,12,FALSE)),0)</f>
        <v>41</v>
      </c>
      <c r="CT7" s="46">
        <f t="shared" si="77"/>
        <v>6</v>
      </c>
      <c r="CU7" s="46">
        <f t="shared" si="78"/>
        <v>6</v>
      </c>
      <c r="CV7" s="46">
        <f t="shared" si="79"/>
        <v>6</v>
      </c>
      <c r="CW7" s="46">
        <f t="shared" si="80"/>
        <v>6</v>
      </c>
      <c r="CX7" s="46">
        <f t="shared" si="81"/>
        <v>6</v>
      </c>
      <c r="CY7" s="46">
        <f t="shared" si="82"/>
        <v>6</v>
      </c>
      <c r="CZ7" s="46">
        <f t="shared" si="83"/>
        <v>5</v>
      </c>
      <c r="DA7" s="45">
        <f>ROUND((VLOOKUP(A7,'Cumulative pupils per year'!$A$3:$S$88,13,FALSE)),0)</f>
        <v>41</v>
      </c>
      <c r="DB7" s="274">
        <f t="shared" si="84"/>
        <v>6</v>
      </c>
      <c r="DC7" s="274">
        <f t="shared" si="85"/>
        <v>6</v>
      </c>
      <c r="DD7" s="274">
        <f t="shared" si="86"/>
        <v>6</v>
      </c>
      <c r="DE7" s="274">
        <f t="shared" si="87"/>
        <v>6</v>
      </c>
      <c r="DF7" s="274">
        <f t="shared" si="88"/>
        <v>6</v>
      </c>
      <c r="DG7" s="274">
        <f t="shared" si="89"/>
        <v>6</v>
      </c>
      <c r="DH7" s="274">
        <f t="shared" si="90"/>
        <v>5</v>
      </c>
      <c r="DI7" s="291">
        <f>ROUND((VLOOKUP(A7,'Cumulative pupils per year'!$A$3:$S$88,14,FALSE)),0)</f>
        <v>41</v>
      </c>
      <c r="DJ7" s="46">
        <f t="shared" si="91"/>
        <v>6</v>
      </c>
      <c r="DK7" s="46">
        <f t="shared" si="92"/>
        <v>6</v>
      </c>
      <c r="DL7" s="46">
        <f t="shared" si="93"/>
        <v>6</v>
      </c>
      <c r="DM7" s="46">
        <f t="shared" si="94"/>
        <v>6</v>
      </c>
      <c r="DN7" s="46">
        <f t="shared" si="95"/>
        <v>6</v>
      </c>
      <c r="DO7" s="46">
        <f t="shared" si="96"/>
        <v>6</v>
      </c>
      <c r="DP7" s="46">
        <f t="shared" si="97"/>
        <v>5</v>
      </c>
      <c r="DQ7" s="45">
        <f>ROUND((VLOOKUP(A7,'Cumulative pupils per year'!$A$3:$S$88,15,FALSE)),0)</f>
        <v>41</v>
      </c>
    </row>
    <row r="8" spans="1:121">
      <c r="A8" s="4" t="s">
        <v>14</v>
      </c>
      <c r="B8" s="46">
        <v>2</v>
      </c>
      <c r="C8" s="46">
        <v>2</v>
      </c>
      <c r="D8" s="46">
        <v>2</v>
      </c>
      <c r="E8" s="46">
        <v>2</v>
      </c>
      <c r="F8" s="46">
        <v>2</v>
      </c>
      <c r="G8" s="46">
        <v>2</v>
      </c>
      <c r="H8" s="46">
        <v>1</v>
      </c>
      <c r="I8" s="45">
        <v>13</v>
      </c>
      <c r="J8" s="44">
        <f t="shared" si="98"/>
        <v>3</v>
      </c>
      <c r="K8" s="44">
        <f t="shared" si="99"/>
        <v>3</v>
      </c>
      <c r="L8" s="44">
        <f t="shared" si="100"/>
        <v>2</v>
      </c>
      <c r="M8" s="44">
        <f t="shared" si="101"/>
        <v>2</v>
      </c>
      <c r="N8" s="44">
        <f t="shared" si="102"/>
        <v>2</v>
      </c>
      <c r="O8" s="44">
        <f t="shared" si="103"/>
        <v>2</v>
      </c>
      <c r="P8" s="44">
        <f t="shared" si="104"/>
        <v>2</v>
      </c>
      <c r="Q8" s="43">
        <f>ROUND((VLOOKUP(A8,'Cumulative pupils per year'!$A$3:$S$88,2,FALSE)),0)</f>
        <v>16</v>
      </c>
      <c r="R8" s="46">
        <f t="shared" si="7"/>
        <v>4</v>
      </c>
      <c r="S8" s="46">
        <f t="shared" si="8"/>
        <v>4</v>
      </c>
      <c r="T8" s="46">
        <f t="shared" si="9"/>
        <v>4</v>
      </c>
      <c r="U8" s="46">
        <f t="shared" si="10"/>
        <v>4</v>
      </c>
      <c r="V8" s="46">
        <f t="shared" si="11"/>
        <v>4</v>
      </c>
      <c r="W8" s="46">
        <f t="shared" si="12"/>
        <v>3</v>
      </c>
      <c r="X8" s="46">
        <f t="shared" si="13"/>
        <v>3</v>
      </c>
      <c r="Y8" s="45">
        <f>ROUND((VLOOKUP(A8,'Cumulative pupils per year'!$A$3:$S$88,3,FALSE)),0)</f>
        <v>26</v>
      </c>
      <c r="Z8" s="274">
        <f t="shared" si="14"/>
        <v>6</v>
      </c>
      <c r="AA8" s="274">
        <f t="shared" si="15"/>
        <v>6</v>
      </c>
      <c r="AB8" s="274">
        <f t="shared" si="16"/>
        <v>6</v>
      </c>
      <c r="AC8" s="274">
        <f t="shared" si="17"/>
        <v>6</v>
      </c>
      <c r="AD8" s="274">
        <f t="shared" si="18"/>
        <v>6</v>
      </c>
      <c r="AE8" s="274">
        <f t="shared" si="19"/>
        <v>6</v>
      </c>
      <c r="AF8" s="274">
        <f t="shared" si="20"/>
        <v>6</v>
      </c>
      <c r="AG8" s="43">
        <f>ROUND((VLOOKUP(A8,'Cumulative pupils per year'!$A$3:$S$88,4,FALSE)),0)</f>
        <v>42</v>
      </c>
      <c r="AH8" s="46">
        <f t="shared" si="21"/>
        <v>9</v>
      </c>
      <c r="AI8" s="46">
        <f t="shared" si="22"/>
        <v>8</v>
      </c>
      <c r="AJ8" s="46">
        <f t="shared" si="23"/>
        <v>8</v>
      </c>
      <c r="AK8" s="46">
        <f t="shared" si="24"/>
        <v>8</v>
      </c>
      <c r="AL8" s="46">
        <f t="shared" si="25"/>
        <v>8</v>
      </c>
      <c r="AM8" s="46">
        <f t="shared" si="26"/>
        <v>8</v>
      </c>
      <c r="AN8" s="46">
        <f t="shared" si="27"/>
        <v>8</v>
      </c>
      <c r="AO8" s="45">
        <f>ROUND((VLOOKUP(A8,'Cumulative pupils per year'!$A$3:$S$88,5,FALSE)),0)</f>
        <v>57</v>
      </c>
      <c r="AP8" s="274">
        <f t="shared" si="28"/>
        <v>10</v>
      </c>
      <c r="AQ8" s="274">
        <f t="shared" si="29"/>
        <v>9</v>
      </c>
      <c r="AR8" s="274">
        <f t="shared" si="30"/>
        <v>9</v>
      </c>
      <c r="AS8" s="274">
        <f t="shared" si="31"/>
        <v>9</v>
      </c>
      <c r="AT8" s="274">
        <f t="shared" si="32"/>
        <v>9</v>
      </c>
      <c r="AU8" s="274">
        <f t="shared" si="33"/>
        <v>9</v>
      </c>
      <c r="AV8" s="274">
        <f t="shared" si="34"/>
        <v>9</v>
      </c>
      <c r="AW8" s="43">
        <f>ROUND((VLOOKUP(A8,'Cumulative pupils per year'!$A$3:$S$88,6,FALSE)),0)</f>
        <v>64</v>
      </c>
      <c r="AX8" s="46">
        <f t="shared" si="35"/>
        <v>11</v>
      </c>
      <c r="AY8" s="46">
        <f t="shared" si="36"/>
        <v>10</v>
      </c>
      <c r="AZ8" s="46">
        <f t="shared" si="37"/>
        <v>10</v>
      </c>
      <c r="BA8" s="46">
        <f t="shared" si="38"/>
        <v>10</v>
      </c>
      <c r="BB8" s="46">
        <f t="shared" si="39"/>
        <v>10</v>
      </c>
      <c r="BC8" s="46">
        <f t="shared" si="40"/>
        <v>10</v>
      </c>
      <c r="BD8" s="46">
        <f t="shared" si="41"/>
        <v>10</v>
      </c>
      <c r="BE8" s="45">
        <f>ROUND((VLOOKUP(A8,'Cumulative pupils per year'!$A$3:$S$88,7,FALSE)),0)</f>
        <v>71</v>
      </c>
      <c r="BF8" s="274">
        <f t="shared" si="42"/>
        <v>11</v>
      </c>
      <c r="BG8" s="274">
        <f t="shared" si="43"/>
        <v>11</v>
      </c>
      <c r="BH8" s="274">
        <f t="shared" si="44"/>
        <v>11</v>
      </c>
      <c r="BI8" s="274">
        <f t="shared" si="45"/>
        <v>11</v>
      </c>
      <c r="BJ8" s="274">
        <f t="shared" si="46"/>
        <v>11</v>
      </c>
      <c r="BK8" s="274">
        <f t="shared" si="47"/>
        <v>10</v>
      </c>
      <c r="BL8" s="274">
        <f t="shared" si="48"/>
        <v>10</v>
      </c>
      <c r="BM8" s="43">
        <f>ROUND((VLOOKUP(A8,'Cumulative pupils per year'!$A$3:$S$88,8,FALSE)),0)</f>
        <v>75</v>
      </c>
      <c r="BN8" s="46">
        <f t="shared" si="49"/>
        <v>11</v>
      </c>
      <c r="BO8" s="46">
        <f t="shared" si="50"/>
        <v>11</v>
      </c>
      <c r="BP8" s="46">
        <f t="shared" si="51"/>
        <v>11</v>
      </c>
      <c r="BQ8" s="46">
        <f t="shared" si="52"/>
        <v>11</v>
      </c>
      <c r="BR8" s="46">
        <f t="shared" si="53"/>
        <v>11</v>
      </c>
      <c r="BS8" s="46">
        <f t="shared" si="54"/>
        <v>11</v>
      </c>
      <c r="BT8" s="46">
        <f t="shared" si="55"/>
        <v>11</v>
      </c>
      <c r="BU8" s="45">
        <f>ROUND((VLOOKUP(A8,'Cumulative pupils per year'!$A$3:$S$88,9,FALSE)),0)</f>
        <v>77</v>
      </c>
      <c r="BV8" s="274">
        <f t="shared" si="56"/>
        <v>12</v>
      </c>
      <c r="BW8" s="274">
        <f t="shared" si="57"/>
        <v>12</v>
      </c>
      <c r="BX8" s="274">
        <f t="shared" si="58"/>
        <v>11</v>
      </c>
      <c r="BY8" s="274">
        <f t="shared" si="59"/>
        <v>11</v>
      </c>
      <c r="BZ8" s="274">
        <f t="shared" si="60"/>
        <v>11</v>
      </c>
      <c r="CA8" s="274">
        <f t="shared" si="61"/>
        <v>11</v>
      </c>
      <c r="CB8" s="274">
        <f t="shared" si="62"/>
        <v>11</v>
      </c>
      <c r="CC8" s="43">
        <f>ROUND((VLOOKUP(A8,'Cumulative pupils per year'!$A$3:$S$88,10,FALSE)),0)</f>
        <v>79</v>
      </c>
      <c r="CD8" s="46">
        <f t="shared" si="63"/>
        <v>12</v>
      </c>
      <c r="CE8" s="46">
        <f t="shared" si="64"/>
        <v>12</v>
      </c>
      <c r="CF8" s="46">
        <f t="shared" si="65"/>
        <v>11</v>
      </c>
      <c r="CG8" s="46">
        <f t="shared" si="66"/>
        <v>11</v>
      </c>
      <c r="CH8" s="46">
        <f t="shared" si="67"/>
        <v>11</v>
      </c>
      <c r="CI8" s="46">
        <f t="shared" si="68"/>
        <v>11</v>
      </c>
      <c r="CJ8" s="46">
        <f t="shared" si="69"/>
        <v>11</v>
      </c>
      <c r="CK8" s="45">
        <f>ROUND((VLOOKUP(A8,'Cumulative pupils per year'!$A$3:$S$88,11,FALSE)),0)</f>
        <v>79</v>
      </c>
      <c r="CL8" s="274">
        <f t="shared" si="70"/>
        <v>12</v>
      </c>
      <c r="CM8" s="274">
        <f t="shared" si="71"/>
        <v>12</v>
      </c>
      <c r="CN8" s="274">
        <f t="shared" si="72"/>
        <v>11</v>
      </c>
      <c r="CO8" s="274">
        <f t="shared" si="73"/>
        <v>11</v>
      </c>
      <c r="CP8" s="274">
        <f t="shared" si="74"/>
        <v>11</v>
      </c>
      <c r="CQ8" s="274">
        <f t="shared" si="75"/>
        <v>11</v>
      </c>
      <c r="CR8" s="274">
        <f t="shared" si="76"/>
        <v>11</v>
      </c>
      <c r="CS8" s="291">
        <f>ROUND((VLOOKUP(A8,'Cumulative pupils per year'!$A$3:$S$88,12,FALSE)),0)</f>
        <v>79</v>
      </c>
      <c r="CT8" s="46">
        <f t="shared" si="77"/>
        <v>12</v>
      </c>
      <c r="CU8" s="46">
        <f t="shared" si="78"/>
        <v>12</v>
      </c>
      <c r="CV8" s="46">
        <f t="shared" si="79"/>
        <v>11</v>
      </c>
      <c r="CW8" s="46">
        <f t="shared" si="80"/>
        <v>11</v>
      </c>
      <c r="CX8" s="46">
        <f t="shared" si="81"/>
        <v>11</v>
      </c>
      <c r="CY8" s="46">
        <f t="shared" si="82"/>
        <v>11</v>
      </c>
      <c r="CZ8" s="46">
        <f t="shared" si="83"/>
        <v>11</v>
      </c>
      <c r="DA8" s="45">
        <f>ROUND((VLOOKUP(A8,'Cumulative pupils per year'!$A$3:$S$88,13,FALSE)),0)</f>
        <v>79</v>
      </c>
      <c r="DB8" s="274">
        <f t="shared" si="84"/>
        <v>12</v>
      </c>
      <c r="DC8" s="274">
        <f t="shared" si="85"/>
        <v>12</v>
      </c>
      <c r="DD8" s="274">
        <f t="shared" si="86"/>
        <v>11</v>
      </c>
      <c r="DE8" s="274">
        <f t="shared" si="87"/>
        <v>11</v>
      </c>
      <c r="DF8" s="274">
        <f t="shared" si="88"/>
        <v>11</v>
      </c>
      <c r="DG8" s="274">
        <f t="shared" si="89"/>
        <v>11</v>
      </c>
      <c r="DH8" s="274">
        <f t="shared" si="90"/>
        <v>11</v>
      </c>
      <c r="DI8" s="291">
        <f>ROUND((VLOOKUP(A8,'Cumulative pupils per year'!$A$3:$S$88,14,FALSE)),0)</f>
        <v>79</v>
      </c>
      <c r="DJ8" s="46">
        <f t="shared" si="91"/>
        <v>12</v>
      </c>
      <c r="DK8" s="46">
        <f t="shared" si="92"/>
        <v>12</v>
      </c>
      <c r="DL8" s="46">
        <f t="shared" si="93"/>
        <v>11</v>
      </c>
      <c r="DM8" s="46">
        <f t="shared" si="94"/>
        <v>11</v>
      </c>
      <c r="DN8" s="46">
        <f t="shared" si="95"/>
        <v>11</v>
      </c>
      <c r="DO8" s="46">
        <f t="shared" si="96"/>
        <v>11</v>
      </c>
      <c r="DP8" s="46">
        <f t="shared" si="97"/>
        <v>11</v>
      </c>
      <c r="DQ8" s="45">
        <f>ROUND((VLOOKUP(A8,'Cumulative pupils per year'!$A$3:$S$88,15,FALSE)),0)</f>
        <v>79</v>
      </c>
    </row>
    <row r="9" spans="1:121">
      <c r="A9" s="4" t="s">
        <v>15</v>
      </c>
      <c r="B9" s="46">
        <v>0</v>
      </c>
      <c r="C9" s="46">
        <v>0</v>
      </c>
      <c r="D9" s="46">
        <v>0</v>
      </c>
      <c r="E9" s="46">
        <v>0</v>
      </c>
      <c r="F9" s="46">
        <v>0</v>
      </c>
      <c r="G9" s="46">
        <v>0</v>
      </c>
      <c r="H9" s="46">
        <v>0</v>
      </c>
      <c r="I9" s="45">
        <v>0</v>
      </c>
      <c r="J9" s="44">
        <f t="shared" si="98"/>
        <v>0</v>
      </c>
      <c r="K9" s="44">
        <f t="shared" si="99"/>
        <v>0</v>
      </c>
      <c r="L9" s="44">
        <f t="shared" si="100"/>
        <v>0</v>
      </c>
      <c r="M9" s="44">
        <f t="shared" si="101"/>
        <v>0</v>
      </c>
      <c r="N9" s="44">
        <f t="shared" si="102"/>
        <v>0</v>
      </c>
      <c r="O9" s="44">
        <f t="shared" si="103"/>
        <v>0</v>
      </c>
      <c r="P9" s="44">
        <f t="shared" si="104"/>
        <v>0</v>
      </c>
      <c r="Q9" s="43">
        <f>ROUND((VLOOKUP(A9,'Cumulative pupils per year'!$A$3:$S$88,2,FALSE)),0)</f>
        <v>0</v>
      </c>
      <c r="R9" s="46">
        <f t="shared" si="7"/>
        <v>0</v>
      </c>
      <c r="S9" s="46">
        <f t="shared" si="8"/>
        <v>0</v>
      </c>
      <c r="T9" s="46">
        <f t="shared" si="9"/>
        <v>0</v>
      </c>
      <c r="U9" s="46">
        <f t="shared" si="10"/>
        <v>0</v>
      </c>
      <c r="V9" s="46">
        <f t="shared" si="11"/>
        <v>0</v>
      </c>
      <c r="W9" s="46">
        <f t="shared" si="12"/>
        <v>0</v>
      </c>
      <c r="X9" s="46">
        <f t="shared" si="13"/>
        <v>0</v>
      </c>
      <c r="Y9" s="45">
        <f>ROUND((VLOOKUP(A9,'Cumulative pupils per year'!$A$3:$S$88,3,FALSE)),0)</f>
        <v>0</v>
      </c>
      <c r="Z9" s="274">
        <f t="shared" si="14"/>
        <v>1</v>
      </c>
      <c r="AA9" s="274">
        <f t="shared" si="15"/>
        <v>1</v>
      </c>
      <c r="AB9" s="274">
        <f t="shared" si="16"/>
        <v>1</v>
      </c>
      <c r="AC9" s="274">
        <f t="shared" si="17"/>
        <v>1</v>
      </c>
      <c r="AD9" s="274">
        <f t="shared" si="18"/>
        <v>1</v>
      </c>
      <c r="AE9" s="274">
        <f t="shared" si="19"/>
        <v>0</v>
      </c>
      <c r="AF9" s="274">
        <f t="shared" si="20"/>
        <v>0</v>
      </c>
      <c r="AG9" s="43">
        <f>ROUND((VLOOKUP(A9,'Cumulative pupils per year'!$A$3:$S$88,4,FALSE)),0)</f>
        <v>5</v>
      </c>
      <c r="AH9" s="46">
        <f t="shared" si="21"/>
        <v>2</v>
      </c>
      <c r="AI9" s="46">
        <f t="shared" si="22"/>
        <v>1</v>
      </c>
      <c r="AJ9" s="46">
        <f t="shared" si="23"/>
        <v>1</v>
      </c>
      <c r="AK9" s="46">
        <f t="shared" si="24"/>
        <v>1</v>
      </c>
      <c r="AL9" s="46">
        <f t="shared" si="25"/>
        <v>1</v>
      </c>
      <c r="AM9" s="46">
        <f t="shared" si="26"/>
        <v>1</v>
      </c>
      <c r="AN9" s="46">
        <f t="shared" si="27"/>
        <v>1</v>
      </c>
      <c r="AO9" s="45">
        <f>ROUND((VLOOKUP(A9,'Cumulative pupils per year'!$A$3:$S$88,5,FALSE)),0)</f>
        <v>8</v>
      </c>
      <c r="AP9" s="274">
        <f t="shared" si="28"/>
        <v>2</v>
      </c>
      <c r="AQ9" s="274">
        <f t="shared" si="29"/>
        <v>2</v>
      </c>
      <c r="AR9" s="274">
        <f t="shared" si="30"/>
        <v>2</v>
      </c>
      <c r="AS9" s="274">
        <f t="shared" si="31"/>
        <v>2</v>
      </c>
      <c r="AT9" s="274">
        <f t="shared" si="32"/>
        <v>1</v>
      </c>
      <c r="AU9" s="274">
        <f t="shared" si="33"/>
        <v>1</v>
      </c>
      <c r="AV9" s="274">
        <f t="shared" si="34"/>
        <v>1</v>
      </c>
      <c r="AW9" s="43">
        <f>ROUND((VLOOKUP(A9,'Cumulative pupils per year'!$A$3:$S$88,6,FALSE)),0)</f>
        <v>11</v>
      </c>
      <c r="AX9" s="46">
        <f t="shared" si="35"/>
        <v>3</v>
      </c>
      <c r="AY9" s="46">
        <f t="shared" si="36"/>
        <v>2</v>
      </c>
      <c r="AZ9" s="46">
        <f t="shared" si="37"/>
        <v>2</v>
      </c>
      <c r="BA9" s="46">
        <f t="shared" si="38"/>
        <v>2</v>
      </c>
      <c r="BB9" s="46">
        <f t="shared" si="39"/>
        <v>2</v>
      </c>
      <c r="BC9" s="46">
        <f t="shared" si="40"/>
        <v>2</v>
      </c>
      <c r="BD9" s="46">
        <f t="shared" si="41"/>
        <v>2</v>
      </c>
      <c r="BE9" s="45">
        <f>ROUND((VLOOKUP(A9,'Cumulative pupils per year'!$A$3:$S$88,7,FALSE)),0)</f>
        <v>15</v>
      </c>
      <c r="BF9" s="274">
        <f t="shared" si="42"/>
        <v>3</v>
      </c>
      <c r="BG9" s="274">
        <f t="shared" si="43"/>
        <v>3</v>
      </c>
      <c r="BH9" s="274">
        <f t="shared" si="44"/>
        <v>3</v>
      </c>
      <c r="BI9" s="274">
        <f t="shared" si="45"/>
        <v>3</v>
      </c>
      <c r="BJ9" s="274">
        <f t="shared" si="46"/>
        <v>2</v>
      </c>
      <c r="BK9" s="274">
        <f t="shared" si="47"/>
        <v>2</v>
      </c>
      <c r="BL9" s="274">
        <f t="shared" si="48"/>
        <v>2</v>
      </c>
      <c r="BM9" s="43">
        <f>ROUND((VLOOKUP(A9,'Cumulative pupils per year'!$A$3:$S$88,8,FALSE)),0)</f>
        <v>18</v>
      </c>
      <c r="BN9" s="46">
        <f t="shared" si="49"/>
        <v>3</v>
      </c>
      <c r="BO9" s="46">
        <f t="shared" si="50"/>
        <v>3</v>
      </c>
      <c r="BP9" s="46">
        <f t="shared" si="51"/>
        <v>3</v>
      </c>
      <c r="BQ9" s="46">
        <f t="shared" si="52"/>
        <v>3</v>
      </c>
      <c r="BR9" s="46">
        <f t="shared" si="53"/>
        <v>3</v>
      </c>
      <c r="BS9" s="46">
        <f t="shared" si="54"/>
        <v>3</v>
      </c>
      <c r="BT9" s="46">
        <f t="shared" si="55"/>
        <v>3</v>
      </c>
      <c r="BU9" s="45">
        <f>ROUND((VLOOKUP(A9,'Cumulative pupils per year'!$A$3:$S$88,9,FALSE)),0)</f>
        <v>21</v>
      </c>
      <c r="BV9" s="274">
        <f t="shared" si="56"/>
        <v>4</v>
      </c>
      <c r="BW9" s="274">
        <f t="shared" si="57"/>
        <v>3</v>
      </c>
      <c r="BX9" s="274">
        <f t="shared" si="58"/>
        <v>3</v>
      </c>
      <c r="BY9" s="274">
        <f t="shared" si="59"/>
        <v>3</v>
      </c>
      <c r="BZ9" s="274">
        <f t="shared" si="60"/>
        <v>3</v>
      </c>
      <c r="CA9" s="274">
        <f t="shared" si="61"/>
        <v>3</v>
      </c>
      <c r="CB9" s="274">
        <f t="shared" si="62"/>
        <v>3</v>
      </c>
      <c r="CC9" s="43">
        <f>ROUND((VLOOKUP(A9,'Cumulative pupils per year'!$A$3:$S$88,10,FALSE)),0)</f>
        <v>22</v>
      </c>
      <c r="CD9" s="46">
        <f t="shared" si="63"/>
        <v>4</v>
      </c>
      <c r="CE9" s="46">
        <f t="shared" si="64"/>
        <v>3</v>
      </c>
      <c r="CF9" s="46">
        <f t="shared" si="65"/>
        <v>3</v>
      </c>
      <c r="CG9" s="46">
        <f t="shared" si="66"/>
        <v>3</v>
      </c>
      <c r="CH9" s="46">
        <f t="shared" si="67"/>
        <v>3</v>
      </c>
      <c r="CI9" s="46">
        <f t="shared" si="68"/>
        <v>3</v>
      </c>
      <c r="CJ9" s="46">
        <f t="shared" si="69"/>
        <v>3</v>
      </c>
      <c r="CK9" s="45">
        <f>ROUND((VLOOKUP(A9,'Cumulative pupils per year'!$A$3:$S$88,11,FALSE)),0)</f>
        <v>22</v>
      </c>
      <c r="CL9" s="274">
        <f t="shared" si="70"/>
        <v>4</v>
      </c>
      <c r="CM9" s="274">
        <f t="shared" si="71"/>
        <v>3</v>
      </c>
      <c r="CN9" s="274">
        <f t="shared" si="72"/>
        <v>3</v>
      </c>
      <c r="CO9" s="274">
        <f t="shared" si="73"/>
        <v>3</v>
      </c>
      <c r="CP9" s="274">
        <f t="shared" si="74"/>
        <v>3</v>
      </c>
      <c r="CQ9" s="274">
        <f t="shared" si="75"/>
        <v>3</v>
      </c>
      <c r="CR9" s="274">
        <f t="shared" si="76"/>
        <v>3</v>
      </c>
      <c r="CS9" s="291">
        <f>ROUND((VLOOKUP(A9,'Cumulative pupils per year'!$A$3:$S$88,12,FALSE)),0)</f>
        <v>22</v>
      </c>
      <c r="CT9" s="46">
        <f t="shared" si="77"/>
        <v>4</v>
      </c>
      <c r="CU9" s="46">
        <f t="shared" si="78"/>
        <v>3</v>
      </c>
      <c r="CV9" s="46">
        <f t="shared" si="79"/>
        <v>3</v>
      </c>
      <c r="CW9" s="46">
        <f t="shared" si="80"/>
        <v>3</v>
      </c>
      <c r="CX9" s="46">
        <f t="shared" si="81"/>
        <v>3</v>
      </c>
      <c r="CY9" s="46">
        <f t="shared" si="82"/>
        <v>3</v>
      </c>
      <c r="CZ9" s="46">
        <f t="shared" si="83"/>
        <v>3</v>
      </c>
      <c r="DA9" s="45">
        <f>ROUND((VLOOKUP(A9,'Cumulative pupils per year'!$A$3:$S$88,13,FALSE)),0)</f>
        <v>22</v>
      </c>
      <c r="DB9" s="274">
        <f t="shared" si="84"/>
        <v>4</v>
      </c>
      <c r="DC9" s="274">
        <f t="shared" si="85"/>
        <v>3</v>
      </c>
      <c r="DD9" s="274">
        <f t="shared" si="86"/>
        <v>3</v>
      </c>
      <c r="DE9" s="274">
        <f t="shared" si="87"/>
        <v>3</v>
      </c>
      <c r="DF9" s="274">
        <f t="shared" si="88"/>
        <v>3</v>
      </c>
      <c r="DG9" s="274">
        <f t="shared" si="89"/>
        <v>3</v>
      </c>
      <c r="DH9" s="274">
        <f t="shared" si="90"/>
        <v>3</v>
      </c>
      <c r="DI9" s="291">
        <f>ROUND((VLOOKUP(A9,'Cumulative pupils per year'!$A$3:$S$88,14,FALSE)),0)</f>
        <v>22</v>
      </c>
      <c r="DJ9" s="46">
        <f t="shared" si="91"/>
        <v>4</v>
      </c>
      <c r="DK9" s="46">
        <f t="shared" si="92"/>
        <v>3</v>
      </c>
      <c r="DL9" s="46">
        <f t="shared" si="93"/>
        <v>3</v>
      </c>
      <c r="DM9" s="46">
        <f t="shared" si="94"/>
        <v>3</v>
      </c>
      <c r="DN9" s="46">
        <f t="shared" si="95"/>
        <v>3</v>
      </c>
      <c r="DO9" s="46">
        <f t="shared" si="96"/>
        <v>3</v>
      </c>
      <c r="DP9" s="46">
        <f t="shared" si="97"/>
        <v>3</v>
      </c>
      <c r="DQ9" s="45">
        <f>ROUND((VLOOKUP(A9,'Cumulative pupils per year'!$A$3:$S$88,15,FALSE)),0)</f>
        <v>22</v>
      </c>
    </row>
    <row r="10" spans="1:121">
      <c r="A10" s="4" t="s">
        <v>16</v>
      </c>
      <c r="B10" s="46">
        <v>1</v>
      </c>
      <c r="C10" s="46">
        <v>1</v>
      </c>
      <c r="D10" s="46">
        <v>1</v>
      </c>
      <c r="E10" s="46">
        <v>1</v>
      </c>
      <c r="F10" s="46">
        <v>0</v>
      </c>
      <c r="G10" s="46">
        <v>0</v>
      </c>
      <c r="H10" s="46">
        <v>0</v>
      </c>
      <c r="I10" s="45">
        <v>4</v>
      </c>
      <c r="J10" s="44">
        <f t="shared" si="98"/>
        <v>0</v>
      </c>
      <c r="K10" s="44">
        <f t="shared" si="99"/>
        <v>0</v>
      </c>
      <c r="L10" s="44">
        <f t="shared" si="100"/>
        <v>0</v>
      </c>
      <c r="M10" s="44">
        <f t="shared" si="101"/>
        <v>0</v>
      </c>
      <c r="N10" s="44">
        <f t="shared" si="102"/>
        <v>0</v>
      </c>
      <c r="O10" s="44">
        <f t="shared" si="103"/>
        <v>0</v>
      </c>
      <c r="P10" s="44">
        <f t="shared" si="104"/>
        <v>0</v>
      </c>
      <c r="Q10" s="43">
        <f>ROUND((VLOOKUP(A10,'Cumulative pupils per year'!$A$3:$S$88,2,FALSE)),0)</f>
        <v>0</v>
      </c>
      <c r="R10" s="46">
        <f t="shared" si="7"/>
        <v>0</v>
      </c>
      <c r="S10" s="46">
        <f t="shared" si="8"/>
        <v>0</v>
      </c>
      <c r="T10" s="46">
        <f t="shared" si="9"/>
        <v>0</v>
      </c>
      <c r="U10" s="46">
        <f t="shared" si="10"/>
        <v>0</v>
      </c>
      <c r="V10" s="46">
        <f t="shared" si="11"/>
        <v>0</v>
      </c>
      <c r="W10" s="46">
        <f t="shared" si="12"/>
        <v>0</v>
      </c>
      <c r="X10" s="46">
        <f t="shared" si="13"/>
        <v>0</v>
      </c>
      <c r="Y10" s="45">
        <f>ROUND((VLOOKUP(A10,'Cumulative pupils per year'!$A$3:$S$88,3,FALSE)),0)</f>
        <v>0</v>
      </c>
      <c r="Z10" s="274">
        <f t="shared" si="14"/>
        <v>0</v>
      </c>
      <c r="AA10" s="274">
        <f t="shared" si="15"/>
        <v>0</v>
      </c>
      <c r="AB10" s="274">
        <f t="shared" si="16"/>
        <v>0</v>
      </c>
      <c r="AC10" s="274">
        <f t="shared" si="17"/>
        <v>0</v>
      </c>
      <c r="AD10" s="274">
        <f t="shared" si="18"/>
        <v>0</v>
      </c>
      <c r="AE10" s="274">
        <f t="shared" si="19"/>
        <v>0</v>
      </c>
      <c r="AF10" s="274">
        <f t="shared" si="20"/>
        <v>0</v>
      </c>
      <c r="AG10" s="43">
        <f>ROUND((VLOOKUP(A10,'Cumulative pupils per year'!$A$3:$S$88,4,FALSE)),0)</f>
        <v>0</v>
      </c>
      <c r="AH10" s="46">
        <f t="shared" si="21"/>
        <v>0</v>
      </c>
      <c r="AI10" s="46">
        <f t="shared" si="22"/>
        <v>0</v>
      </c>
      <c r="AJ10" s="46">
        <f t="shared" si="23"/>
        <v>0</v>
      </c>
      <c r="AK10" s="46">
        <f t="shared" si="24"/>
        <v>0</v>
      </c>
      <c r="AL10" s="46">
        <f t="shared" si="25"/>
        <v>0</v>
      </c>
      <c r="AM10" s="46">
        <f t="shared" si="26"/>
        <v>0</v>
      </c>
      <c r="AN10" s="46">
        <f t="shared" si="27"/>
        <v>0</v>
      </c>
      <c r="AO10" s="45">
        <f>ROUND((VLOOKUP(A10,'Cumulative pupils per year'!$A$3:$S$88,5,FALSE)),0)</f>
        <v>0</v>
      </c>
      <c r="AP10" s="274">
        <f t="shared" si="28"/>
        <v>0</v>
      </c>
      <c r="AQ10" s="274">
        <f t="shared" si="29"/>
        <v>0</v>
      </c>
      <c r="AR10" s="274">
        <f t="shared" si="30"/>
        <v>0</v>
      </c>
      <c r="AS10" s="274">
        <f t="shared" si="31"/>
        <v>0</v>
      </c>
      <c r="AT10" s="274">
        <f t="shared" si="32"/>
        <v>0</v>
      </c>
      <c r="AU10" s="274">
        <f t="shared" si="33"/>
        <v>0</v>
      </c>
      <c r="AV10" s="274">
        <f t="shared" si="34"/>
        <v>0</v>
      </c>
      <c r="AW10" s="43">
        <f>ROUND((VLOOKUP(A10,'Cumulative pupils per year'!$A$3:$S$88,6,FALSE)),0)</f>
        <v>0</v>
      </c>
      <c r="AX10" s="46">
        <f t="shared" si="35"/>
        <v>1</v>
      </c>
      <c r="AY10" s="46">
        <f t="shared" si="36"/>
        <v>1</v>
      </c>
      <c r="AZ10" s="46">
        <f t="shared" si="37"/>
        <v>1</v>
      </c>
      <c r="BA10" s="46">
        <f t="shared" si="38"/>
        <v>1</v>
      </c>
      <c r="BB10" s="46">
        <f t="shared" si="39"/>
        <v>1</v>
      </c>
      <c r="BC10" s="46">
        <f t="shared" si="40"/>
        <v>1</v>
      </c>
      <c r="BD10" s="46">
        <f t="shared" si="41"/>
        <v>1</v>
      </c>
      <c r="BE10" s="45">
        <f>ROUND((VLOOKUP(A10,'Cumulative pupils per year'!$A$3:$S$88,7,FALSE)),0)</f>
        <v>7</v>
      </c>
      <c r="BF10" s="274">
        <f t="shared" si="42"/>
        <v>1</v>
      </c>
      <c r="BG10" s="274">
        <f t="shared" si="43"/>
        <v>1</v>
      </c>
      <c r="BH10" s="274">
        <f t="shared" si="44"/>
        <v>1</v>
      </c>
      <c r="BI10" s="274">
        <f t="shared" si="45"/>
        <v>1</v>
      </c>
      <c r="BJ10" s="274">
        <f t="shared" si="46"/>
        <v>1</v>
      </c>
      <c r="BK10" s="274">
        <f t="shared" si="47"/>
        <v>1</v>
      </c>
      <c r="BL10" s="274">
        <f t="shared" si="48"/>
        <v>1</v>
      </c>
      <c r="BM10" s="43">
        <f>ROUND((VLOOKUP(A10,'Cumulative pupils per year'!$A$3:$S$88,8,FALSE)),0)</f>
        <v>7</v>
      </c>
      <c r="BN10" s="46">
        <f t="shared" si="49"/>
        <v>1</v>
      </c>
      <c r="BO10" s="46">
        <f t="shared" si="50"/>
        <v>1</v>
      </c>
      <c r="BP10" s="46">
        <f t="shared" si="51"/>
        <v>1</v>
      </c>
      <c r="BQ10" s="46">
        <f t="shared" si="52"/>
        <v>1</v>
      </c>
      <c r="BR10" s="46">
        <f t="shared" si="53"/>
        <v>1</v>
      </c>
      <c r="BS10" s="46">
        <f t="shared" si="54"/>
        <v>1</v>
      </c>
      <c r="BT10" s="46">
        <f t="shared" si="55"/>
        <v>1</v>
      </c>
      <c r="BU10" s="45">
        <f>ROUND((VLOOKUP(A10,'Cumulative pupils per year'!$A$3:$S$88,9,FALSE)),0)</f>
        <v>7</v>
      </c>
      <c r="BV10" s="274">
        <f t="shared" si="56"/>
        <v>1</v>
      </c>
      <c r="BW10" s="274">
        <f t="shared" si="57"/>
        <v>1</v>
      </c>
      <c r="BX10" s="274">
        <f t="shared" si="58"/>
        <v>1</v>
      </c>
      <c r="BY10" s="274">
        <f t="shared" si="59"/>
        <v>1</v>
      </c>
      <c r="BZ10" s="274">
        <f t="shared" si="60"/>
        <v>1</v>
      </c>
      <c r="CA10" s="274">
        <f t="shared" si="61"/>
        <v>1</v>
      </c>
      <c r="CB10" s="274">
        <f t="shared" si="62"/>
        <v>1</v>
      </c>
      <c r="CC10" s="43">
        <f>ROUND((VLOOKUP(A10,'Cumulative pupils per year'!$A$3:$S$88,10,FALSE)),0)</f>
        <v>7</v>
      </c>
      <c r="CD10" s="46">
        <f t="shared" si="63"/>
        <v>1</v>
      </c>
      <c r="CE10" s="46">
        <f t="shared" si="64"/>
        <v>1</v>
      </c>
      <c r="CF10" s="46">
        <f t="shared" si="65"/>
        <v>1</v>
      </c>
      <c r="CG10" s="46">
        <f t="shared" si="66"/>
        <v>1</v>
      </c>
      <c r="CH10" s="46">
        <f t="shared" si="67"/>
        <v>1</v>
      </c>
      <c r="CI10" s="46">
        <f t="shared" si="68"/>
        <v>1</v>
      </c>
      <c r="CJ10" s="46">
        <f t="shared" si="69"/>
        <v>1</v>
      </c>
      <c r="CK10" s="45">
        <f>ROUND((VLOOKUP(A10,'Cumulative pupils per year'!$A$3:$S$88,11,FALSE)),0)</f>
        <v>7</v>
      </c>
      <c r="CL10" s="274">
        <f t="shared" si="70"/>
        <v>1</v>
      </c>
      <c r="CM10" s="274">
        <f t="shared" si="71"/>
        <v>1</v>
      </c>
      <c r="CN10" s="274">
        <f t="shared" si="72"/>
        <v>1</v>
      </c>
      <c r="CO10" s="274">
        <f t="shared" si="73"/>
        <v>1</v>
      </c>
      <c r="CP10" s="274">
        <f t="shared" si="74"/>
        <v>1</v>
      </c>
      <c r="CQ10" s="274">
        <f t="shared" si="75"/>
        <v>1</v>
      </c>
      <c r="CR10" s="274">
        <f t="shared" si="76"/>
        <v>1</v>
      </c>
      <c r="CS10" s="291">
        <f>ROUND((VLOOKUP(A10,'Cumulative pupils per year'!$A$3:$S$88,12,FALSE)),0)</f>
        <v>7</v>
      </c>
      <c r="CT10" s="46">
        <f t="shared" si="77"/>
        <v>1</v>
      </c>
      <c r="CU10" s="46">
        <f t="shared" si="78"/>
        <v>1</v>
      </c>
      <c r="CV10" s="46">
        <f t="shared" si="79"/>
        <v>1</v>
      </c>
      <c r="CW10" s="46">
        <f t="shared" si="80"/>
        <v>1</v>
      </c>
      <c r="CX10" s="46">
        <f t="shared" si="81"/>
        <v>1</v>
      </c>
      <c r="CY10" s="46">
        <f t="shared" si="82"/>
        <v>1</v>
      </c>
      <c r="CZ10" s="46">
        <f t="shared" si="83"/>
        <v>1</v>
      </c>
      <c r="DA10" s="45">
        <f>ROUND((VLOOKUP(A10,'Cumulative pupils per year'!$A$3:$S$88,13,FALSE)),0)</f>
        <v>7</v>
      </c>
      <c r="DB10" s="274">
        <f t="shared" si="84"/>
        <v>1</v>
      </c>
      <c r="DC10" s="274">
        <f t="shared" si="85"/>
        <v>1</v>
      </c>
      <c r="DD10" s="274">
        <f t="shared" si="86"/>
        <v>1</v>
      </c>
      <c r="DE10" s="274">
        <f t="shared" si="87"/>
        <v>1</v>
      </c>
      <c r="DF10" s="274">
        <f t="shared" si="88"/>
        <v>1</v>
      </c>
      <c r="DG10" s="274">
        <f t="shared" si="89"/>
        <v>1</v>
      </c>
      <c r="DH10" s="274">
        <f t="shared" si="90"/>
        <v>1</v>
      </c>
      <c r="DI10" s="291">
        <f>ROUND((VLOOKUP(A10,'Cumulative pupils per year'!$A$3:$S$88,14,FALSE)),0)</f>
        <v>7</v>
      </c>
      <c r="DJ10" s="46">
        <f t="shared" si="91"/>
        <v>1</v>
      </c>
      <c r="DK10" s="46">
        <f t="shared" si="92"/>
        <v>1</v>
      </c>
      <c r="DL10" s="46">
        <f t="shared" si="93"/>
        <v>1</v>
      </c>
      <c r="DM10" s="46">
        <f t="shared" si="94"/>
        <v>1</v>
      </c>
      <c r="DN10" s="46">
        <f t="shared" si="95"/>
        <v>1</v>
      </c>
      <c r="DO10" s="46">
        <f t="shared" si="96"/>
        <v>1</v>
      </c>
      <c r="DP10" s="46">
        <f t="shared" si="97"/>
        <v>1</v>
      </c>
      <c r="DQ10" s="45">
        <f>ROUND((VLOOKUP(A10,'Cumulative pupils per year'!$A$3:$S$88,15,FALSE)),0)</f>
        <v>7</v>
      </c>
    </row>
    <row r="11" spans="1:121">
      <c r="A11" s="4" t="s">
        <v>17</v>
      </c>
      <c r="B11" s="46">
        <v>1</v>
      </c>
      <c r="C11" s="46">
        <v>1</v>
      </c>
      <c r="D11" s="46">
        <v>1</v>
      </c>
      <c r="E11" s="46">
        <v>1</v>
      </c>
      <c r="F11" s="46">
        <v>0</v>
      </c>
      <c r="G11" s="46">
        <v>0</v>
      </c>
      <c r="H11" s="46">
        <v>0</v>
      </c>
      <c r="I11" s="45">
        <v>4</v>
      </c>
      <c r="J11" s="44">
        <f t="shared" si="98"/>
        <v>0</v>
      </c>
      <c r="K11" s="44">
        <f t="shared" si="99"/>
        <v>0</v>
      </c>
      <c r="L11" s="44">
        <f t="shared" si="100"/>
        <v>0</v>
      </c>
      <c r="M11" s="44">
        <f t="shared" si="101"/>
        <v>0</v>
      </c>
      <c r="N11" s="44">
        <f t="shared" si="102"/>
        <v>0</v>
      </c>
      <c r="O11" s="44">
        <f t="shared" si="103"/>
        <v>0</v>
      </c>
      <c r="P11" s="44">
        <f t="shared" si="104"/>
        <v>0</v>
      </c>
      <c r="Q11" s="43">
        <f>ROUND((VLOOKUP(A11,'Cumulative pupils per year'!$A$3:$S$88,2,FALSE)),0)</f>
        <v>0</v>
      </c>
      <c r="R11" s="46">
        <f t="shared" si="7"/>
        <v>0</v>
      </c>
      <c r="S11" s="46">
        <f t="shared" si="8"/>
        <v>0</v>
      </c>
      <c r="T11" s="46">
        <f t="shared" si="9"/>
        <v>0</v>
      </c>
      <c r="U11" s="46">
        <f t="shared" si="10"/>
        <v>0</v>
      </c>
      <c r="V11" s="46">
        <f t="shared" si="11"/>
        <v>0</v>
      </c>
      <c r="W11" s="46">
        <f t="shared" si="12"/>
        <v>0</v>
      </c>
      <c r="X11" s="46">
        <f t="shared" si="13"/>
        <v>0</v>
      </c>
      <c r="Y11" s="45">
        <f>ROUND((VLOOKUP(A11,'Cumulative pupils per year'!$A$3:$S$88,3,FALSE)),0)</f>
        <v>0</v>
      </c>
      <c r="Z11" s="274">
        <f t="shared" si="14"/>
        <v>0</v>
      </c>
      <c r="AA11" s="274">
        <f t="shared" si="15"/>
        <v>0</v>
      </c>
      <c r="AB11" s="274">
        <f t="shared" si="16"/>
        <v>0</v>
      </c>
      <c r="AC11" s="274">
        <f t="shared" si="17"/>
        <v>0</v>
      </c>
      <c r="AD11" s="274">
        <f t="shared" si="18"/>
        <v>0</v>
      </c>
      <c r="AE11" s="274">
        <f t="shared" si="19"/>
        <v>0</v>
      </c>
      <c r="AF11" s="274">
        <f t="shared" si="20"/>
        <v>0</v>
      </c>
      <c r="AG11" s="43">
        <f>ROUND((VLOOKUP(A11,'Cumulative pupils per year'!$A$3:$S$88,4,FALSE)),0)</f>
        <v>0</v>
      </c>
      <c r="AH11" s="46">
        <f t="shared" si="21"/>
        <v>0</v>
      </c>
      <c r="AI11" s="46">
        <f t="shared" si="22"/>
        <v>0</v>
      </c>
      <c r="AJ11" s="46">
        <f t="shared" si="23"/>
        <v>0</v>
      </c>
      <c r="AK11" s="46">
        <f t="shared" si="24"/>
        <v>0</v>
      </c>
      <c r="AL11" s="46">
        <f t="shared" si="25"/>
        <v>0</v>
      </c>
      <c r="AM11" s="46">
        <f t="shared" si="26"/>
        <v>0</v>
      </c>
      <c r="AN11" s="46">
        <f t="shared" si="27"/>
        <v>0</v>
      </c>
      <c r="AO11" s="45">
        <f>ROUND((VLOOKUP(A11,'Cumulative pupils per year'!$A$3:$S$88,5,FALSE)),0)</f>
        <v>0</v>
      </c>
      <c r="AP11" s="274">
        <f t="shared" si="28"/>
        <v>0</v>
      </c>
      <c r="AQ11" s="274">
        <f t="shared" si="29"/>
        <v>0</v>
      </c>
      <c r="AR11" s="274">
        <f t="shared" si="30"/>
        <v>0</v>
      </c>
      <c r="AS11" s="274">
        <f t="shared" si="31"/>
        <v>0</v>
      </c>
      <c r="AT11" s="274">
        <f t="shared" si="32"/>
        <v>0</v>
      </c>
      <c r="AU11" s="274">
        <f t="shared" si="33"/>
        <v>0</v>
      </c>
      <c r="AV11" s="274">
        <f t="shared" si="34"/>
        <v>0</v>
      </c>
      <c r="AW11" s="43">
        <f>ROUND((VLOOKUP(A11,'Cumulative pupils per year'!$A$3:$S$88,6,FALSE)),0)</f>
        <v>0</v>
      </c>
      <c r="AX11" s="46">
        <f t="shared" si="35"/>
        <v>0</v>
      </c>
      <c r="AY11" s="46">
        <f t="shared" si="36"/>
        <v>0</v>
      </c>
      <c r="AZ11" s="46">
        <f t="shared" si="37"/>
        <v>0</v>
      </c>
      <c r="BA11" s="46">
        <f t="shared" si="38"/>
        <v>0</v>
      </c>
      <c r="BB11" s="46">
        <f t="shared" si="39"/>
        <v>0</v>
      </c>
      <c r="BC11" s="46">
        <f t="shared" si="40"/>
        <v>0</v>
      </c>
      <c r="BD11" s="46">
        <f t="shared" si="41"/>
        <v>0</v>
      </c>
      <c r="BE11" s="45">
        <f>ROUND((VLOOKUP(A11,'Cumulative pupils per year'!$A$3:$S$88,7,FALSE)),0)</f>
        <v>0</v>
      </c>
      <c r="BF11" s="274">
        <f t="shared" si="42"/>
        <v>0</v>
      </c>
      <c r="BG11" s="274">
        <f t="shared" si="43"/>
        <v>0</v>
      </c>
      <c r="BH11" s="274">
        <f t="shared" si="44"/>
        <v>0</v>
      </c>
      <c r="BI11" s="274">
        <f t="shared" si="45"/>
        <v>0</v>
      </c>
      <c r="BJ11" s="274">
        <f t="shared" si="46"/>
        <v>0</v>
      </c>
      <c r="BK11" s="274">
        <f t="shared" si="47"/>
        <v>0</v>
      </c>
      <c r="BL11" s="274">
        <f t="shared" si="48"/>
        <v>0</v>
      </c>
      <c r="BM11" s="43">
        <f>ROUND((VLOOKUP(A11,'Cumulative pupils per year'!$A$3:$S$88,8,FALSE)),0)</f>
        <v>0</v>
      </c>
      <c r="BN11" s="46">
        <f t="shared" si="49"/>
        <v>0</v>
      </c>
      <c r="BO11" s="46">
        <f t="shared" si="50"/>
        <v>0</v>
      </c>
      <c r="BP11" s="46">
        <f t="shared" si="51"/>
        <v>0</v>
      </c>
      <c r="BQ11" s="46">
        <f t="shared" si="52"/>
        <v>0</v>
      </c>
      <c r="BR11" s="46">
        <f t="shared" si="53"/>
        <v>0</v>
      </c>
      <c r="BS11" s="46">
        <f t="shared" si="54"/>
        <v>0</v>
      </c>
      <c r="BT11" s="46">
        <f t="shared" si="55"/>
        <v>0</v>
      </c>
      <c r="BU11" s="45">
        <f>ROUND((VLOOKUP(A11,'Cumulative pupils per year'!$A$3:$S$88,9,FALSE)),0)</f>
        <v>0</v>
      </c>
      <c r="BV11" s="274">
        <f t="shared" si="56"/>
        <v>0</v>
      </c>
      <c r="BW11" s="274">
        <f t="shared" si="57"/>
        <v>0</v>
      </c>
      <c r="BX11" s="274">
        <f t="shared" si="58"/>
        <v>0</v>
      </c>
      <c r="BY11" s="274">
        <f t="shared" si="59"/>
        <v>0</v>
      </c>
      <c r="BZ11" s="274">
        <f t="shared" si="60"/>
        <v>0</v>
      </c>
      <c r="CA11" s="274">
        <f t="shared" si="61"/>
        <v>0</v>
      </c>
      <c r="CB11" s="274">
        <f t="shared" si="62"/>
        <v>0</v>
      </c>
      <c r="CC11" s="43">
        <f>ROUND((VLOOKUP(A11,'Cumulative pupils per year'!$A$3:$S$88,10,FALSE)),0)</f>
        <v>0</v>
      </c>
      <c r="CD11" s="46">
        <f t="shared" si="63"/>
        <v>0</v>
      </c>
      <c r="CE11" s="46">
        <f t="shared" si="64"/>
        <v>0</v>
      </c>
      <c r="CF11" s="46">
        <f t="shared" si="65"/>
        <v>0</v>
      </c>
      <c r="CG11" s="46">
        <f t="shared" si="66"/>
        <v>0</v>
      </c>
      <c r="CH11" s="46">
        <f t="shared" si="67"/>
        <v>0</v>
      </c>
      <c r="CI11" s="46">
        <f t="shared" si="68"/>
        <v>0</v>
      </c>
      <c r="CJ11" s="46">
        <f t="shared" si="69"/>
        <v>0</v>
      </c>
      <c r="CK11" s="45">
        <f>ROUND((VLOOKUP(A11,'Cumulative pupils per year'!$A$3:$S$88,11,FALSE)),0)</f>
        <v>0</v>
      </c>
      <c r="CL11" s="274">
        <f t="shared" si="70"/>
        <v>0</v>
      </c>
      <c r="CM11" s="274">
        <f t="shared" si="71"/>
        <v>0</v>
      </c>
      <c r="CN11" s="274">
        <f t="shared" si="72"/>
        <v>0</v>
      </c>
      <c r="CO11" s="274">
        <f t="shared" si="73"/>
        <v>0</v>
      </c>
      <c r="CP11" s="274">
        <f t="shared" si="74"/>
        <v>0</v>
      </c>
      <c r="CQ11" s="274">
        <f t="shared" si="75"/>
        <v>0</v>
      </c>
      <c r="CR11" s="274">
        <f t="shared" si="76"/>
        <v>0</v>
      </c>
      <c r="CS11" s="291">
        <f>ROUND((VLOOKUP(A11,'Cumulative pupils per year'!$A$3:$S$88,12,FALSE)),0)</f>
        <v>0</v>
      </c>
      <c r="CT11" s="46">
        <f t="shared" si="77"/>
        <v>0</v>
      </c>
      <c r="CU11" s="46">
        <f t="shared" si="78"/>
        <v>0</v>
      </c>
      <c r="CV11" s="46">
        <f t="shared" si="79"/>
        <v>0</v>
      </c>
      <c r="CW11" s="46">
        <f t="shared" si="80"/>
        <v>0</v>
      </c>
      <c r="CX11" s="46">
        <f t="shared" si="81"/>
        <v>0</v>
      </c>
      <c r="CY11" s="46">
        <f t="shared" si="82"/>
        <v>0</v>
      </c>
      <c r="CZ11" s="46">
        <f t="shared" si="83"/>
        <v>0</v>
      </c>
      <c r="DA11" s="45">
        <f>ROUND((VLOOKUP(A11,'Cumulative pupils per year'!$A$3:$S$88,13,FALSE)),0)</f>
        <v>0</v>
      </c>
      <c r="DB11" s="274">
        <f t="shared" si="84"/>
        <v>0</v>
      </c>
      <c r="DC11" s="274">
        <f t="shared" si="85"/>
        <v>0</v>
      </c>
      <c r="DD11" s="274">
        <f t="shared" si="86"/>
        <v>0</v>
      </c>
      <c r="DE11" s="274">
        <f t="shared" si="87"/>
        <v>0</v>
      </c>
      <c r="DF11" s="274">
        <f t="shared" si="88"/>
        <v>0</v>
      </c>
      <c r="DG11" s="274">
        <f t="shared" si="89"/>
        <v>0</v>
      </c>
      <c r="DH11" s="274">
        <f t="shared" si="90"/>
        <v>0</v>
      </c>
      <c r="DI11" s="291">
        <f>ROUND((VLOOKUP(A11,'Cumulative pupils per year'!$A$3:$S$88,14,FALSE)),0)</f>
        <v>0</v>
      </c>
      <c r="DJ11" s="46">
        <f t="shared" si="91"/>
        <v>0</v>
      </c>
      <c r="DK11" s="46">
        <f t="shared" si="92"/>
        <v>0</v>
      </c>
      <c r="DL11" s="46">
        <f t="shared" si="93"/>
        <v>0</v>
      </c>
      <c r="DM11" s="46">
        <f t="shared" si="94"/>
        <v>0</v>
      </c>
      <c r="DN11" s="46">
        <f t="shared" si="95"/>
        <v>0</v>
      </c>
      <c r="DO11" s="46">
        <f t="shared" si="96"/>
        <v>0</v>
      </c>
      <c r="DP11" s="46">
        <f t="shared" si="97"/>
        <v>0</v>
      </c>
      <c r="DQ11" s="45">
        <f>ROUND((VLOOKUP(A11,'Cumulative pupils per year'!$A$3:$S$88,15,FALSE)),0)</f>
        <v>0</v>
      </c>
    </row>
    <row r="12" spans="1:121">
      <c r="A12" s="4" t="s">
        <v>74</v>
      </c>
      <c r="B12" s="46">
        <v>0</v>
      </c>
      <c r="C12" s="46">
        <v>0</v>
      </c>
      <c r="D12" s="46">
        <v>0</v>
      </c>
      <c r="E12" s="46">
        <v>0</v>
      </c>
      <c r="F12" s="46">
        <v>0</v>
      </c>
      <c r="G12" s="46">
        <v>0</v>
      </c>
      <c r="H12" s="46">
        <v>0</v>
      </c>
      <c r="I12" s="45">
        <v>0</v>
      </c>
      <c r="J12" s="44">
        <f t="shared" ref="J12:J15" si="105">ROUNDUP(Q12/7,0)</f>
        <v>1</v>
      </c>
      <c r="K12" s="44">
        <f t="shared" ref="K12:K15" si="106">IF((Q12-J12)&gt;0,(ROUNDUP(((Q12-J12)/6),0)),0)</f>
        <v>1</v>
      </c>
      <c r="L12" s="44">
        <f t="shared" ref="L12:L15" si="107">IF((Q12-J12-K12)&gt;0,(ROUNDUP(((Q12-J12-K12)/5),0)),0)</f>
        <v>0</v>
      </c>
      <c r="M12" s="44">
        <f t="shared" ref="M12:M15" si="108">IF((Q12-J12-K12-L12)&gt;0,(ROUNDUP(((Q12-J12-K12-L12)/4),0)),0)</f>
        <v>0</v>
      </c>
      <c r="N12" s="44">
        <f t="shared" ref="N12:N15" si="109">IF((Q12-J12-K12-L12-M12)&gt;0,(ROUNDUP(((Q12-J12-K12-L12-M12)/3),0)),0)</f>
        <v>0</v>
      </c>
      <c r="O12" s="44">
        <f t="shared" ref="O12:O15" si="110">IF((Q12-J12-K12-L12-M12-N12)&gt;0,(ROUNDUP(((Q12-J12-K12-L12-M12-N12)/2),0)),0)</f>
        <v>0</v>
      </c>
      <c r="P12" s="44">
        <f t="shared" ref="P12:P15" si="111">IF((Q12-J12-K12-L12-M12-N12-O12)&gt;0,(ROUNDUP(((Q12-J12-K12-L12-M12-N12-O12)/1),0)),0)</f>
        <v>0</v>
      </c>
      <c r="Q12" s="43">
        <f>ROUND((VLOOKUP(A12,'Cumulative pupils per year'!$A$3:$S$88,2,FALSE)),0)</f>
        <v>2</v>
      </c>
      <c r="R12" s="46">
        <f t="shared" si="7"/>
        <v>1</v>
      </c>
      <c r="S12" s="46">
        <f t="shared" si="8"/>
        <v>1</v>
      </c>
      <c r="T12" s="46">
        <f t="shared" si="9"/>
        <v>1</v>
      </c>
      <c r="U12" s="46">
        <f t="shared" si="10"/>
        <v>1</v>
      </c>
      <c r="V12" s="46">
        <f t="shared" si="11"/>
        <v>1</v>
      </c>
      <c r="W12" s="46">
        <f t="shared" si="12"/>
        <v>1</v>
      </c>
      <c r="X12" s="46">
        <f t="shared" si="13"/>
        <v>0</v>
      </c>
      <c r="Y12" s="45">
        <f>ROUND((VLOOKUP(A12,'Cumulative pupils per year'!$A$3:$S$88,3,FALSE)),0)</f>
        <v>6</v>
      </c>
      <c r="Z12" s="274">
        <f t="shared" si="14"/>
        <v>1</v>
      </c>
      <c r="AA12" s="274">
        <f t="shared" si="15"/>
        <v>1</v>
      </c>
      <c r="AB12" s="274">
        <f t="shared" si="16"/>
        <v>1</v>
      </c>
      <c r="AC12" s="274">
        <f t="shared" si="17"/>
        <v>1</v>
      </c>
      <c r="AD12" s="274">
        <f t="shared" si="18"/>
        <v>1</v>
      </c>
      <c r="AE12" s="274">
        <f t="shared" si="19"/>
        <v>1</v>
      </c>
      <c r="AF12" s="274">
        <f t="shared" si="20"/>
        <v>1</v>
      </c>
      <c r="AG12" s="43">
        <f>ROUND((VLOOKUP(A12,'Cumulative pupils per year'!$A$3:$S$88,4,FALSE)),0)</f>
        <v>7</v>
      </c>
      <c r="AH12" s="46">
        <f t="shared" si="21"/>
        <v>1</v>
      </c>
      <c r="AI12" s="46">
        <f t="shared" si="22"/>
        <v>1</v>
      </c>
      <c r="AJ12" s="46">
        <f t="shared" si="23"/>
        <v>1</v>
      </c>
      <c r="AK12" s="46">
        <f t="shared" si="24"/>
        <v>1</v>
      </c>
      <c r="AL12" s="46">
        <f t="shared" si="25"/>
        <v>1</v>
      </c>
      <c r="AM12" s="46">
        <f t="shared" si="26"/>
        <v>1</v>
      </c>
      <c r="AN12" s="46">
        <f t="shared" si="27"/>
        <v>1</v>
      </c>
      <c r="AO12" s="45">
        <f>ROUND((VLOOKUP(A12,'Cumulative pupils per year'!$A$3:$S$88,5,FALSE)),0)</f>
        <v>7</v>
      </c>
      <c r="AP12" s="274">
        <f t="shared" si="28"/>
        <v>1</v>
      </c>
      <c r="AQ12" s="274">
        <f t="shared" si="29"/>
        <v>1</v>
      </c>
      <c r="AR12" s="274">
        <f t="shared" si="30"/>
        <v>1</v>
      </c>
      <c r="AS12" s="274">
        <f t="shared" si="31"/>
        <v>1</v>
      </c>
      <c r="AT12" s="274">
        <f t="shared" si="32"/>
        <v>1</v>
      </c>
      <c r="AU12" s="274">
        <f t="shared" si="33"/>
        <v>1</v>
      </c>
      <c r="AV12" s="274">
        <f t="shared" si="34"/>
        <v>1</v>
      </c>
      <c r="AW12" s="43">
        <f>ROUND((VLOOKUP(A12,'Cumulative pupils per year'!$A$3:$S$88,6,FALSE)),0)</f>
        <v>7</v>
      </c>
      <c r="AX12" s="46">
        <f t="shared" si="35"/>
        <v>1</v>
      </c>
      <c r="AY12" s="46">
        <f t="shared" si="36"/>
        <v>1</v>
      </c>
      <c r="AZ12" s="46">
        <f t="shared" si="37"/>
        <v>1</v>
      </c>
      <c r="BA12" s="46">
        <f t="shared" si="38"/>
        <v>1</v>
      </c>
      <c r="BB12" s="46">
        <f t="shared" si="39"/>
        <v>1</v>
      </c>
      <c r="BC12" s="46">
        <f t="shared" si="40"/>
        <v>1</v>
      </c>
      <c r="BD12" s="46">
        <f t="shared" si="41"/>
        <v>1</v>
      </c>
      <c r="BE12" s="45">
        <f>ROUND((VLOOKUP(A12,'Cumulative pupils per year'!$A$3:$S$88,7,FALSE)),0)</f>
        <v>7</v>
      </c>
      <c r="BF12" s="274">
        <f t="shared" si="42"/>
        <v>1</v>
      </c>
      <c r="BG12" s="274">
        <f t="shared" si="43"/>
        <v>1</v>
      </c>
      <c r="BH12" s="274">
        <f t="shared" si="44"/>
        <v>1</v>
      </c>
      <c r="BI12" s="274">
        <f t="shared" si="45"/>
        <v>1</v>
      </c>
      <c r="BJ12" s="274">
        <f t="shared" si="46"/>
        <v>1</v>
      </c>
      <c r="BK12" s="274">
        <f t="shared" si="47"/>
        <v>1</v>
      </c>
      <c r="BL12" s="274">
        <f t="shared" si="48"/>
        <v>1</v>
      </c>
      <c r="BM12" s="43">
        <f>ROUND((VLOOKUP(A12,'Cumulative pupils per year'!$A$3:$S$88,8,FALSE)),0)</f>
        <v>7</v>
      </c>
      <c r="BN12" s="46">
        <f t="shared" si="49"/>
        <v>1</v>
      </c>
      <c r="BO12" s="46">
        <f t="shared" si="50"/>
        <v>1</v>
      </c>
      <c r="BP12" s="46">
        <f t="shared" si="51"/>
        <v>1</v>
      </c>
      <c r="BQ12" s="46">
        <f t="shared" si="52"/>
        <v>1</v>
      </c>
      <c r="BR12" s="46">
        <f t="shared" si="53"/>
        <v>1</v>
      </c>
      <c r="BS12" s="46">
        <f t="shared" si="54"/>
        <v>1</v>
      </c>
      <c r="BT12" s="46">
        <f t="shared" si="55"/>
        <v>1</v>
      </c>
      <c r="BU12" s="45">
        <f>ROUND((VLOOKUP(A12,'Cumulative pupils per year'!$A$3:$S$88,9,FALSE)),0)</f>
        <v>7</v>
      </c>
      <c r="BV12" s="274">
        <f t="shared" si="56"/>
        <v>1</v>
      </c>
      <c r="BW12" s="274">
        <f t="shared" si="57"/>
        <v>1</v>
      </c>
      <c r="BX12" s="274">
        <f t="shared" si="58"/>
        <v>1</v>
      </c>
      <c r="BY12" s="274">
        <f t="shared" si="59"/>
        <v>1</v>
      </c>
      <c r="BZ12" s="274">
        <f t="shared" si="60"/>
        <v>1</v>
      </c>
      <c r="CA12" s="274">
        <f t="shared" si="61"/>
        <v>1</v>
      </c>
      <c r="CB12" s="274">
        <f t="shared" si="62"/>
        <v>1</v>
      </c>
      <c r="CC12" s="43">
        <f>ROUND((VLOOKUP(A12,'Cumulative pupils per year'!$A$3:$S$88,10,FALSE)),0)</f>
        <v>7</v>
      </c>
      <c r="CD12" s="46">
        <f t="shared" si="63"/>
        <v>1</v>
      </c>
      <c r="CE12" s="46">
        <f t="shared" si="64"/>
        <v>1</v>
      </c>
      <c r="CF12" s="46">
        <f t="shared" si="65"/>
        <v>1</v>
      </c>
      <c r="CG12" s="46">
        <f t="shared" si="66"/>
        <v>1</v>
      </c>
      <c r="CH12" s="46">
        <f t="shared" si="67"/>
        <v>1</v>
      </c>
      <c r="CI12" s="46">
        <f t="shared" si="68"/>
        <v>1</v>
      </c>
      <c r="CJ12" s="46">
        <f t="shared" si="69"/>
        <v>1</v>
      </c>
      <c r="CK12" s="45">
        <f>ROUND((VLOOKUP(A12,'Cumulative pupils per year'!$A$3:$S$88,11,FALSE)),0)</f>
        <v>7</v>
      </c>
      <c r="CL12" s="274">
        <f t="shared" si="70"/>
        <v>1</v>
      </c>
      <c r="CM12" s="274">
        <f t="shared" si="71"/>
        <v>1</v>
      </c>
      <c r="CN12" s="274">
        <f t="shared" si="72"/>
        <v>1</v>
      </c>
      <c r="CO12" s="274">
        <f t="shared" si="73"/>
        <v>1</v>
      </c>
      <c r="CP12" s="274">
        <f t="shared" si="74"/>
        <v>1</v>
      </c>
      <c r="CQ12" s="274">
        <f t="shared" si="75"/>
        <v>1</v>
      </c>
      <c r="CR12" s="274">
        <f t="shared" si="76"/>
        <v>1</v>
      </c>
      <c r="CS12" s="291">
        <f>ROUND((VLOOKUP(A12,'Cumulative pupils per year'!$A$3:$S$88,12,FALSE)),0)</f>
        <v>7</v>
      </c>
      <c r="CT12" s="46">
        <f t="shared" si="77"/>
        <v>1</v>
      </c>
      <c r="CU12" s="46">
        <f t="shared" si="78"/>
        <v>1</v>
      </c>
      <c r="CV12" s="46">
        <f t="shared" si="79"/>
        <v>1</v>
      </c>
      <c r="CW12" s="46">
        <f t="shared" si="80"/>
        <v>1</v>
      </c>
      <c r="CX12" s="46">
        <f t="shared" si="81"/>
        <v>1</v>
      </c>
      <c r="CY12" s="46">
        <f t="shared" si="82"/>
        <v>1</v>
      </c>
      <c r="CZ12" s="46">
        <f t="shared" si="83"/>
        <v>1</v>
      </c>
      <c r="DA12" s="45">
        <f>ROUND((VLOOKUP(A12,'Cumulative pupils per year'!$A$3:$S$88,13,FALSE)),0)</f>
        <v>7</v>
      </c>
      <c r="DB12" s="274">
        <f t="shared" si="84"/>
        <v>1</v>
      </c>
      <c r="DC12" s="274">
        <f t="shared" si="85"/>
        <v>1</v>
      </c>
      <c r="DD12" s="274">
        <f t="shared" si="86"/>
        <v>1</v>
      </c>
      <c r="DE12" s="274">
        <f t="shared" si="87"/>
        <v>1</v>
      </c>
      <c r="DF12" s="274">
        <f t="shared" si="88"/>
        <v>1</v>
      </c>
      <c r="DG12" s="274">
        <f t="shared" si="89"/>
        <v>1</v>
      </c>
      <c r="DH12" s="274">
        <f t="shared" si="90"/>
        <v>1</v>
      </c>
      <c r="DI12" s="291">
        <f>ROUND((VLOOKUP(A12,'Cumulative pupils per year'!$A$3:$S$88,14,FALSE)),0)</f>
        <v>7</v>
      </c>
      <c r="DJ12" s="46">
        <f t="shared" si="91"/>
        <v>1</v>
      </c>
      <c r="DK12" s="46">
        <f t="shared" si="92"/>
        <v>1</v>
      </c>
      <c r="DL12" s="46">
        <f t="shared" si="93"/>
        <v>1</v>
      </c>
      <c r="DM12" s="46">
        <f t="shared" si="94"/>
        <v>1</v>
      </c>
      <c r="DN12" s="46">
        <f t="shared" si="95"/>
        <v>1</v>
      </c>
      <c r="DO12" s="46">
        <f t="shared" si="96"/>
        <v>1</v>
      </c>
      <c r="DP12" s="46">
        <f t="shared" si="97"/>
        <v>1</v>
      </c>
      <c r="DQ12" s="45">
        <f>ROUND((VLOOKUP(A12,'Cumulative pupils per year'!$A$3:$S$88,15,FALSE)),0)</f>
        <v>7</v>
      </c>
    </row>
    <row r="13" spans="1:121">
      <c r="A13" s="4" t="s">
        <v>18</v>
      </c>
      <c r="B13" s="46">
        <v>1</v>
      </c>
      <c r="C13" s="46">
        <v>1</v>
      </c>
      <c r="D13" s="46">
        <v>0</v>
      </c>
      <c r="E13" s="46">
        <v>0</v>
      </c>
      <c r="F13" s="46">
        <v>0</v>
      </c>
      <c r="G13" s="46">
        <v>0</v>
      </c>
      <c r="H13" s="46">
        <v>0</v>
      </c>
      <c r="I13" s="45">
        <v>2</v>
      </c>
      <c r="J13" s="44">
        <f t="shared" si="105"/>
        <v>0</v>
      </c>
      <c r="K13" s="44">
        <f t="shared" si="106"/>
        <v>0</v>
      </c>
      <c r="L13" s="44">
        <f t="shared" si="107"/>
        <v>0</v>
      </c>
      <c r="M13" s="44">
        <f t="shared" si="108"/>
        <v>0</v>
      </c>
      <c r="N13" s="44">
        <f t="shared" si="109"/>
        <v>0</v>
      </c>
      <c r="O13" s="44">
        <f t="shared" si="110"/>
        <v>0</v>
      </c>
      <c r="P13" s="44">
        <f t="shared" si="111"/>
        <v>0</v>
      </c>
      <c r="Q13" s="43">
        <f>ROUND((VLOOKUP(A13,'Cumulative pupils per year'!$A$3:$S$88,2,FALSE)),0)</f>
        <v>0</v>
      </c>
      <c r="R13" s="46">
        <f t="shared" si="7"/>
        <v>0</v>
      </c>
      <c r="S13" s="46">
        <f t="shared" si="8"/>
        <v>0</v>
      </c>
      <c r="T13" s="46">
        <f t="shared" si="9"/>
        <v>0</v>
      </c>
      <c r="U13" s="46">
        <f t="shared" si="10"/>
        <v>0</v>
      </c>
      <c r="V13" s="46">
        <f t="shared" si="11"/>
        <v>0</v>
      </c>
      <c r="W13" s="46">
        <f t="shared" si="12"/>
        <v>0</v>
      </c>
      <c r="X13" s="46">
        <f t="shared" si="13"/>
        <v>0</v>
      </c>
      <c r="Y13" s="45">
        <f>ROUND((VLOOKUP(A13,'Cumulative pupils per year'!$A$3:$S$88,3,FALSE)),0)</f>
        <v>0</v>
      </c>
      <c r="Z13" s="274">
        <f t="shared" si="14"/>
        <v>0</v>
      </c>
      <c r="AA13" s="274">
        <f t="shared" si="15"/>
        <v>0</v>
      </c>
      <c r="AB13" s="274">
        <f t="shared" si="16"/>
        <v>0</v>
      </c>
      <c r="AC13" s="274">
        <f t="shared" si="17"/>
        <v>0</v>
      </c>
      <c r="AD13" s="274">
        <f t="shared" si="18"/>
        <v>0</v>
      </c>
      <c r="AE13" s="274">
        <f t="shared" si="19"/>
        <v>0</v>
      </c>
      <c r="AF13" s="274">
        <f t="shared" si="20"/>
        <v>0</v>
      </c>
      <c r="AG13" s="43">
        <f>ROUND((VLOOKUP(A13,'Cumulative pupils per year'!$A$3:$S$88,4,FALSE)),0)</f>
        <v>0</v>
      </c>
      <c r="AH13" s="46">
        <f t="shared" si="21"/>
        <v>0</v>
      </c>
      <c r="AI13" s="46">
        <f t="shared" si="22"/>
        <v>0</v>
      </c>
      <c r="AJ13" s="46">
        <f t="shared" si="23"/>
        <v>0</v>
      </c>
      <c r="AK13" s="46">
        <f t="shared" si="24"/>
        <v>0</v>
      </c>
      <c r="AL13" s="46">
        <f t="shared" si="25"/>
        <v>0</v>
      </c>
      <c r="AM13" s="46">
        <f t="shared" si="26"/>
        <v>0</v>
      </c>
      <c r="AN13" s="46">
        <f t="shared" si="27"/>
        <v>0</v>
      </c>
      <c r="AO13" s="45">
        <f>ROUND((VLOOKUP(A13,'Cumulative pupils per year'!$A$3:$S$88,5,FALSE)),0)</f>
        <v>0</v>
      </c>
      <c r="AP13" s="274">
        <f t="shared" si="28"/>
        <v>0</v>
      </c>
      <c r="AQ13" s="274">
        <f t="shared" si="29"/>
        <v>0</v>
      </c>
      <c r="AR13" s="274">
        <f t="shared" si="30"/>
        <v>0</v>
      </c>
      <c r="AS13" s="274">
        <f t="shared" si="31"/>
        <v>0</v>
      </c>
      <c r="AT13" s="274">
        <f t="shared" si="32"/>
        <v>0</v>
      </c>
      <c r="AU13" s="274">
        <f t="shared" si="33"/>
        <v>0</v>
      </c>
      <c r="AV13" s="274">
        <f t="shared" si="34"/>
        <v>0</v>
      </c>
      <c r="AW13" s="43">
        <f>ROUND((VLOOKUP(A13,'Cumulative pupils per year'!$A$3:$S$88,6,FALSE)),0)</f>
        <v>0</v>
      </c>
      <c r="AX13" s="46">
        <f t="shared" si="35"/>
        <v>0</v>
      </c>
      <c r="AY13" s="46">
        <f t="shared" si="36"/>
        <v>0</v>
      </c>
      <c r="AZ13" s="46">
        <f t="shared" si="37"/>
        <v>0</v>
      </c>
      <c r="BA13" s="46">
        <f t="shared" si="38"/>
        <v>0</v>
      </c>
      <c r="BB13" s="46">
        <f t="shared" si="39"/>
        <v>0</v>
      </c>
      <c r="BC13" s="46">
        <f t="shared" si="40"/>
        <v>0</v>
      </c>
      <c r="BD13" s="46">
        <f t="shared" si="41"/>
        <v>0</v>
      </c>
      <c r="BE13" s="45">
        <f>ROUND((VLOOKUP(A13,'Cumulative pupils per year'!$A$3:$S$88,7,FALSE)),0)</f>
        <v>0</v>
      </c>
      <c r="BF13" s="274">
        <f t="shared" si="42"/>
        <v>0</v>
      </c>
      <c r="BG13" s="274">
        <f t="shared" si="43"/>
        <v>0</v>
      </c>
      <c r="BH13" s="274">
        <f t="shared" si="44"/>
        <v>0</v>
      </c>
      <c r="BI13" s="274">
        <f t="shared" si="45"/>
        <v>0</v>
      </c>
      <c r="BJ13" s="274">
        <f t="shared" si="46"/>
        <v>0</v>
      </c>
      <c r="BK13" s="274">
        <f t="shared" si="47"/>
        <v>0</v>
      </c>
      <c r="BL13" s="274">
        <f t="shared" si="48"/>
        <v>0</v>
      </c>
      <c r="BM13" s="43">
        <f>ROUND((VLOOKUP(A13,'Cumulative pupils per year'!$A$3:$S$88,8,FALSE)),0)</f>
        <v>0</v>
      </c>
      <c r="BN13" s="46">
        <f t="shared" si="49"/>
        <v>0</v>
      </c>
      <c r="BO13" s="46">
        <f t="shared" si="50"/>
        <v>0</v>
      </c>
      <c r="BP13" s="46">
        <f t="shared" si="51"/>
        <v>0</v>
      </c>
      <c r="BQ13" s="46">
        <f t="shared" si="52"/>
        <v>0</v>
      </c>
      <c r="BR13" s="46">
        <f t="shared" si="53"/>
        <v>0</v>
      </c>
      <c r="BS13" s="46">
        <f t="shared" si="54"/>
        <v>0</v>
      </c>
      <c r="BT13" s="46">
        <f t="shared" si="55"/>
        <v>0</v>
      </c>
      <c r="BU13" s="45">
        <f>ROUND((VLOOKUP(A13,'Cumulative pupils per year'!$A$3:$S$88,9,FALSE)),0)</f>
        <v>0</v>
      </c>
      <c r="BV13" s="274">
        <f t="shared" si="56"/>
        <v>0</v>
      </c>
      <c r="BW13" s="274">
        <f t="shared" si="57"/>
        <v>0</v>
      </c>
      <c r="BX13" s="274">
        <f t="shared" si="58"/>
        <v>0</v>
      </c>
      <c r="BY13" s="274">
        <f t="shared" si="59"/>
        <v>0</v>
      </c>
      <c r="BZ13" s="274">
        <f t="shared" si="60"/>
        <v>0</v>
      </c>
      <c r="CA13" s="274">
        <f t="shared" si="61"/>
        <v>0</v>
      </c>
      <c r="CB13" s="274">
        <f t="shared" si="62"/>
        <v>0</v>
      </c>
      <c r="CC13" s="43">
        <f>ROUND((VLOOKUP(A13,'Cumulative pupils per year'!$A$3:$S$88,10,FALSE)),0)</f>
        <v>0</v>
      </c>
      <c r="CD13" s="46">
        <f t="shared" si="63"/>
        <v>0</v>
      </c>
      <c r="CE13" s="46">
        <f t="shared" si="64"/>
        <v>0</v>
      </c>
      <c r="CF13" s="46">
        <f t="shared" si="65"/>
        <v>0</v>
      </c>
      <c r="CG13" s="46">
        <f t="shared" si="66"/>
        <v>0</v>
      </c>
      <c r="CH13" s="46">
        <f t="shared" si="67"/>
        <v>0</v>
      </c>
      <c r="CI13" s="46">
        <f t="shared" si="68"/>
        <v>0</v>
      </c>
      <c r="CJ13" s="46">
        <f t="shared" si="69"/>
        <v>0</v>
      </c>
      <c r="CK13" s="45">
        <f>ROUND((VLOOKUP(A13,'Cumulative pupils per year'!$A$3:$S$88,11,FALSE)),0)</f>
        <v>0</v>
      </c>
      <c r="CL13" s="274">
        <f t="shared" si="70"/>
        <v>0</v>
      </c>
      <c r="CM13" s="274">
        <f t="shared" si="71"/>
        <v>0</v>
      </c>
      <c r="CN13" s="274">
        <f t="shared" si="72"/>
        <v>0</v>
      </c>
      <c r="CO13" s="274">
        <f t="shared" si="73"/>
        <v>0</v>
      </c>
      <c r="CP13" s="274">
        <f t="shared" si="74"/>
        <v>0</v>
      </c>
      <c r="CQ13" s="274">
        <f t="shared" si="75"/>
        <v>0</v>
      </c>
      <c r="CR13" s="274">
        <f t="shared" si="76"/>
        <v>0</v>
      </c>
      <c r="CS13" s="291">
        <f>ROUND((VLOOKUP(A13,'Cumulative pupils per year'!$A$3:$S$88,12,FALSE)),0)</f>
        <v>0</v>
      </c>
      <c r="CT13" s="46">
        <f t="shared" si="77"/>
        <v>0</v>
      </c>
      <c r="CU13" s="46">
        <f t="shared" si="78"/>
        <v>0</v>
      </c>
      <c r="CV13" s="46">
        <f t="shared" si="79"/>
        <v>0</v>
      </c>
      <c r="CW13" s="46">
        <f t="shared" si="80"/>
        <v>0</v>
      </c>
      <c r="CX13" s="46">
        <f t="shared" si="81"/>
        <v>0</v>
      </c>
      <c r="CY13" s="46">
        <f t="shared" si="82"/>
        <v>0</v>
      </c>
      <c r="CZ13" s="46">
        <f t="shared" si="83"/>
        <v>0</v>
      </c>
      <c r="DA13" s="45">
        <f>ROUND((VLOOKUP(A13,'Cumulative pupils per year'!$A$3:$S$88,13,FALSE)),0)</f>
        <v>0</v>
      </c>
      <c r="DB13" s="274">
        <f t="shared" si="84"/>
        <v>0</v>
      </c>
      <c r="DC13" s="274">
        <f t="shared" si="85"/>
        <v>0</v>
      </c>
      <c r="DD13" s="274">
        <f t="shared" si="86"/>
        <v>0</v>
      </c>
      <c r="DE13" s="274">
        <f t="shared" si="87"/>
        <v>0</v>
      </c>
      <c r="DF13" s="274">
        <f t="shared" si="88"/>
        <v>0</v>
      </c>
      <c r="DG13" s="274">
        <f t="shared" si="89"/>
        <v>0</v>
      </c>
      <c r="DH13" s="274">
        <f t="shared" si="90"/>
        <v>0</v>
      </c>
      <c r="DI13" s="291">
        <f>ROUND((VLOOKUP(A13,'Cumulative pupils per year'!$A$3:$S$88,14,FALSE)),0)</f>
        <v>0</v>
      </c>
      <c r="DJ13" s="46">
        <f t="shared" si="91"/>
        <v>0</v>
      </c>
      <c r="DK13" s="46">
        <f t="shared" si="92"/>
        <v>0</v>
      </c>
      <c r="DL13" s="46">
        <f t="shared" si="93"/>
        <v>0</v>
      </c>
      <c r="DM13" s="46">
        <f t="shared" si="94"/>
        <v>0</v>
      </c>
      <c r="DN13" s="46">
        <f t="shared" si="95"/>
        <v>0</v>
      </c>
      <c r="DO13" s="46">
        <f t="shared" si="96"/>
        <v>0</v>
      </c>
      <c r="DP13" s="46">
        <f t="shared" si="97"/>
        <v>0</v>
      </c>
      <c r="DQ13" s="45">
        <f>ROUND((VLOOKUP(A13,'Cumulative pupils per year'!$A$3:$S$88,15,FALSE)),0)</f>
        <v>0</v>
      </c>
    </row>
    <row r="14" spans="1:121">
      <c r="A14" s="4" t="s">
        <v>75</v>
      </c>
      <c r="B14" s="46">
        <v>4</v>
      </c>
      <c r="C14" s="46">
        <v>4</v>
      </c>
      <c r="D14" s="46">
        <v>4</v>
      </c>
      <c r="E14" s="46">
        <v>4</v>
      </c>
      <c r="F14" s="46">
        <v>4</v>
      </c>
      <c r="G14" s="46">
        <v>4</v>
      </c>
      <c r="H14" s="46">
        <v>4</v>
      </c>
      <c r="I14" s="45">
        <v>28</v>
      </c>
      <c r="J14" s="44">
        <f t="shared" si="105"/>
        <v>8</v>
      </c>
      <c r="K14" s="44">
        <f t="shared" si="106"/>
        <v>8</v>
      </c>
      <c r="L14" s="44">
        <f t="shared" si="107"/>
        <v>8</v>
      </c>
      <c r="M14" s="44">
        <f t="shared" si="108"/>
        <v>8</v>
      </c>
      <c r="N14" s="44">
        <f t="shared" si="109"/>
        <v>8</v>
      </c>
      <c r="O14" s="44">
        <f t="shared" si="110"/>
        <v>7</v>
      </c>
      <c r="P14" s="44">
        <f t="shared" si="111"/>
        <v>7</v>
      </c>
      <c r="Q14" s="43">
        <f>ROUND((VLOOKUP(A14,'Cumulative pupils per year'!$A$3:$S$88,2,FALSE)),0)</f>
        <v>54</v>
      </c>
      <c r="R14" s="46">
        <f t="shared" si="7"/>
        <v>13</v>
      </c>
      <c r="S14" s="46">
        <f t="shared" si="8"/>
        <v>13</v>
      </c>
      <c r="T14" s="46">
        <f t="shared" si="9"/>
        <v>13</v>
      </c>
      <c r="U14" s="46">
        <f t="shared" si="10"/>
        <v>13</v>
      </c>
      <c r="V14" s="46">
        <f t="shared" si="11"/>
        <v>13</v>
      </c>
      <c r="W14" s="46">
        <f t="shared" si="12"/>
        <v>13</v>
      </c>
      <c r="X14" s="46">
        <f t="shared" si="13"/>
        <v>12</v>
      </c>
      <c r="Y14" s="45">
        <f>ROUND((VLOOKUP(A14,'Cumulative pupils per year'!$A$3:$S$88,3,FALSE)),0)</f>
        <v>90</v>
      </c>
      <c r="Z14" s="274">
        <f t="shared" si="14"/>
        <v>19</v>
      </c>
      <c r="AA14" s="274">
        <f t="shared" si="15"/>
        <v>19</v>
      </c>
      <c r="AB14" s="274">
        <f t="shared" si="16"/>
        <v>18</v>
      </c>
      <c r="AC14" s="274">
        <f t="shared" si="17"/>
        <v>18</v>
      </c>
      <c r="AD14" s="274">
        <f t="shared" si="18"/>
        <v>18</v>
      </c>
      <c r="AE14" s="274">
        <f t="shared" si="19"/>
        <v>18</v>
      </c>
      <c r="AF14" s="274">
        <f t="shared" si="20"/>
        <v>18</v>
      </c>
      <c r="AG14" s="43">
        <f>ROUND((VLOOKUP(A14,'Cumulative pupils per year'!$A$3:$S$88,4,FALSE)),0)</f>
        <v>128</v>
      </c>
      <c r="AH14" s="46">
        <f t="shared" si="21"/>
        <v>23</v>
      </c>
      <c r="AI14" s="46">
        <f t="shared" si="22"/>
        <v>23</v>
      </c>
      <c r="AJ14" s="46">
        <f t="shared" si="23"/>
        <v>23</v>
      </c>
      <c r="AK14" s="46">
        <f t="shared" si="24"/>
        <v>23</v>
      </c>
      <c r="AL14" s="46">
        <f t="shared" si="25"/>
        <v>23</v>
      </c>
      <c r="AM14" s="46">
        <f t="shared" si="26"/>
        <v>23</v>
      </c>
      <c r="AN14" s="46">
        <f t="shared" si="27"/>
        <v>22</v>
      </c>
      <c r="AO14" s="45">
        <f>ROUND((VLOOKUP(A14,'Cumulative pupils per year'!$A$3:$S$88,5,FALSE)),0)</f>
        <v>160</v>
      </c>
      <c r="AP14" s="274">
        <f t="shared" si="28"/>
        <v>28</v>
      </c>
      <c r="AQ14" s="274">
        <f t="shared" si="29"/>
        <v>28</v>
      </c>
      <c r="AR14" s="274">
        <f t="shared" si="30"/>
        <v>28</v>
      </c>
      <c r="AS14" s="274">
        <f t="shared" si="31"/>
        <v>28</v>
      </c>
      <c r="AT14" s="274">
        <f t="shared" si="32"/>
        <v>28</v>
      </c>
      <c r="AU14" s="274">
        <f t="shared" si="33"/>
        <v>28</v>
      </c>
      <c r="AV14" s="274">
        <f t="shared" si="34"/>
        <v>28</v>
      </c>
      <c r="AW14" s="43">
        <f>ROUND((VLOOKUP(A14,'Cumulative pupils per year'!$A$3:$S$88,6,FALSE)),0)</f>
        <v>196</v>
      </c>
      <c r="AX14" s="46">
        <f t="shared" si="35"/>
        <v>31</v>
      </c>
      <c r="AY14" s="46">
        <f t="shared" si="36"/>
        <v>31</v>
      </c>
      <c r="AZ14" s="46">
        <f t="shared" si="37"/>
        <v>31</v>
      </c>
      <c r="BA14" s="46">
        <f t="shared" si="38"/>
        <v>31</v>
      </c>
      <c r="BB14" s="46">
        <f t="shared" si="39"/>
        <v>30</v>
      </c>
      <c r="BC14" s="46">
        <f t="shared" si="40"/>
        <v>30</v>
      </c>
      <c r="BD14" s="46">
        <f t="shared" si="41"/>
        <v>30</v>
      </c>
      <c r="BE14" s="45">
        <f>ROUND((VLOOKUP(A14,'Cumulative pupils per year'!$A$3:$S$88,7,FALSE)),0)</f>
        <v>214</v>
      </c>
      <c r="BF14" s="274">
        <f t="shared" si="42"/>
        <v>34</v>
      </c>
      <c r="BG14" s="274">
        <f t="shared" si="43"/>
        <v>33</v>
      </c>
      <c r="BH14" s="274">
        <f t="shared" si="44"/>
        <v>33</v>
      </c>
      <c r="BI14" s="274">
        <f t="shared" si="45"/>
        <v>33</v>
      </c>
      <c r="BJ14" s="274">
        <f t="shared" si="46"/>
        <v>33</v>
      </c>
      <c r="BK14" s="274">
        <f t="shared" si="47"/>
        <v>33</v>
      </c>
      <c r="BL14" s="274">
        <f t="shared" si="48"/>
        <v>33</v>
      </c>
      <c r="BM14" s="43">
        <f>ROUND((VLOOKUP(A14,'Cumulative pupils per year'!$A$3:$S$88,8,FALSE)),0)</f>
        <v>232</v>
      </c>
      <c r="BN14" s="46">
        <f t="shared" si="49"/>
        <v>37</v>
      </c>
      <c r="BO14" s="46">
        <f t="shared" si="50"/>
        <v>37</v>
      </c>
      <c r="BP14" s="46">
        <f t="shared" si="51"/>
        <v>37</v>
      </c>
      <c r="BQ14" s="46">
        <f t="shared" si="52"/>
        <v>37</v>
      </c>
      <c r="BR14" s="46">
        <f t="shared" si="53"/>
        <v>37</v>
      </c>
      <c r="BS14" s="46">
        <f t="shared" si="54"/>
        <v>36</v>
      </c>
      <c r="BT14" s="46">
        <f t="shared" si="55"/>
        <v>36</v>
      </c>
      <c r="BU14" s="45">
        <f>ROUND((VLOOKUP(A14,'Cumulative pupils per year'!$A$3:$S$88,9,FALSE)),0)</f>
        <v>257</v>
      </c>
      <c r="BV14" s="274">
        <f t="shared" si="56"/>
        <v>41</v>
      </c>
      <c r="BW14" s="274">
        <f t="shared" si="57"/>
        <v>41</v>
      </c>
      <c r="BX14" s="274">
        <f t="shared" si="58"/>
        <v>40</v>
      </c>
      <c r="BY14" s="274">
        <f t="shared" si="59"/>
        <v>40</v>
      </c>
      <c r="BZ14" s="274">
        <f t="shared" si="60"/>
        <v>40</v>
      </c>
      <c r="CA14" s="274">
        <f t="shared" si="61"/>
        <v>40</v>
      </c>
      <c r="CB14" s="274">
        <f t="shared" si="62"/>
        <v>40</v>
      </c>
      <c r="CC14" s="43">
        <f>ROUND((VLOOKUP(A14,'Cumulative pupils per year'!$A$3:$S$88,10,FALSE)),0)</f>
        <v>282</v>
      </c>
      <c r="CD14" s="46">
        <f t="shared" si="63"/>
        <v>45</v>
      </c>
      <c r="CE14" s="46">
        <f t="shared" si="64"/>
        <v>44</v>
      </c>
      <c r="CF14" s="46">
        <f t="shared" si="65"/>
        <v>44</v>
      </c>
      <c r="CG14" s="46">
        <f t="shared" si="66"/>
        <v>44</v>
      </c>
      <c r="CH14" s="46">
        <f t="shared" si="67"/>
        <v>44</v>
      </c>
      <c r="CI14" s="46">
        <f t="shared" si="68"/>
        <v>44</v>
      </c>
      <c r="CJ14" s="46">
        <f t="shared" si="69"/>
        <v>44</v>
      </c>
      <c r="CK14" s="45">
        <f>ROUND((VLOOKUP(A14,'Cumulative pupils per year'!$A$3:$S$88,11,FALSE)),0)</f>
        <v>309</v>
      </c>
      <c r="CL14" s="274">
        <f t="shared" si="70"/>
        <v>45</v>
      </c>
      <c r="CM14" s="274">
        <f t="shared" si="71"/>
        <v>45</v>
      </c>
      <c r="CN14" s="274">
        <f t="shared" si="72"/>
        <v>45</v>
      </c>
      <c r="CO14" s="274">
        <f t="shared" si="73"/>
        <v>45</v>
      </c>
      <c r="CP14" s="274">
        <f t="shared" si="74"/>
        <v>45</v>
      </c>
      <c r="CQ14" s="274">
        <f t="shared" si="75"/>
        <v>45</v>
      </c>
      <c r="CR14" s="274">
        <f t="shared" si="76"/>
        <v>44</v>
      </c>
      <c r="CS14" s="291">
        <f>ROUND((VLOOKUP(A14,'Cumulative pupils per year'!$A$3:$S$88,12,FALSE)),0)</f>
        <v>314</v>
      </c>
      <c r="CT14" s="46">
        <f t="shared" si="77"/>
        <v>46</v>
      </c>
      <c r="CU14" s="46">
        <f t="shared" si="78"/>
        <v>46</v>
      </c>
      <c r="CV14" s="46">
        <f t="shared" si="79"/>
        <v>46</v>
      </c>
      <c r="CW14" s="46">
        <f t="shared" si="80"/>
        <v>46</v>
      </c>
      <c r="CX14" s="46">
        <f t="shared" si="81"/>
        <v>45</v>
      </c>
      <c r="CY14" s="46">
        <f t="shared" si="82"/>
        <v>45</v>
      </c>
      <c r="CZ14" s="46">
        <f t="shared" si="83"/>
        <v>45</v>
      </c>
      <c r="DA14" s="45">
        <f>ROUND((VLOOKUP(A14,'Cumulative pupils per year'!$A$3:$S$88,13,FALSE)),0)</f>
        <v>319</v>
      </c>
      <c r="DB14" s="274">
        <f t="shared" si="84"/>
        <v>47</v>
      </c>
      <c r="DC14" s="274">
        <f t="shared" si="85"/>
        <v>47</v>
      </c>
      <c r="DD14" s="274">
        <f t="shared" si="86"/>
        <v>46</v>
      </c>
      <c r="DE14" s="274">
        <f t="shared" si="87"/>
        <v>46</v>
      </c>
      <c r="DF14" s="274">
        <f t="shared" si="88"/>
        <v>46</v>
      </c>
      <c r="DG14" s="274">
        <f t="shared" si="89"/>
        <v>46</v>
      </c>
      <c r="DH14" s="274">
        <f t="shared" si="90"/>
        <v>46</v>
      </c>
      <c r="DI14" s="291">
        <f>ROUND((VLOOKUP(A14,'Cumulative pupils per year'!$A$3:$S$88,14,FALSE)),0)</f>
        <v>324</v>
      </c>
      <c r="DJ14" s="46">
        <f t="shared" si="91"/>
        <v>47</v>
      </c>
      <c r="DK14" s="46">
        <f t="shared" si="92"/>
        <v>47</v>
      </c>
      <c r="DL14" s="46">
        <f t="shared" si="93"/>
        <v>47</v>
      </c>
      <c r="DM14" s="46">
        <f t="shared" si="94"/>
        <v>47</v>
      </c>
      <c r="DN14" s="46">
        <f t="shared" si="95"/>
        <v>47</v>
      </c>
      <c r="DO14" s="46">
        <f t="shared" si="96"/>
        <v>47</v>
      </c>
      <c r="DP14" s="46">
        <f t="shared" si="97"/>
        <v>47</v>
      </c>
      <c r="DQ14" s="45">
        <f>ROUND((VLOOKUP(A14,'Cumulative pupils per year'!$A$3:$S$88,15,FALSE)),0)</f>
        <v>329</v>
      </c>
    </row>
    <row r="15" spans="1:121">
      <c r="A15" s="4" t="s">
        <v>19</v>
      </c>
      <c r="B15" s="46">
        <v>0</v>
      </c>
      <c r="C15" s="46">
        <v>0</v>
      </c>
      <c r="D15" s="46">
        <v>0</v>
      </c>
      <c r="E15" s="46">
        <v>0</v>
      </c>
      <c r="F15" s="46">
        <v>0</v>
      </c>
      <c r="G15" s="46">
        <v>0</v>
      </c>
      <c r="H15" s="46">
        <v>0</v>
      </c>
      <c r="I15" s="45">
        <v>0</v>
      </c>
      <c r="J15" s="44">
        <f t="shared" si="105"/>
        <v>1</v>
      </c>
      <c r="K15" s="44">
        <f t="shared" si="106"/>
        <v>1</v>
      </c>
      <c r="L15" s="44">
        <f t="shared" si="107"/>
        <v>1</v>
      </c>
      <c r="M15" s="44">
        <f t="shared" si="108"/>
        <v>0</v>
      </c>
      <c r="N15" s="44">
        <f t="shared" si="109"/>
        <v>0</v>
      </c>
      <c r="O15" s="44">
        <f t="shared" si="110"/>
        <v>0</v>
      </c>
      <c r="P15" s="44">
        <f t="shared" si="111"/>
        <v>0</v>
      </c>
      <c r="Q15" s="43">
        <f>ROUND((VLOOKUP(A15,'Cumulative pupils per year'!$A$3:$S$88,2,FALSE)),0)</f>
        <v>3</v>
      </c>
      <c r="R15" s="46">
        <f t="shared" si="7"/>
        <v>1</v>
      </c>
      <c r="S15" s="46">
        <f t="shared" si="8"/>
        <v>1</v>
      </c>
      <c r="T15" s="46">
        <f t="shared" si="9"/>
        <v>1</v>
      </c>
      <c r="U15" s="46">
        <f t="shared" si="10"/>
        <v>0</v>
      </c>
      <c r="V15" s="46">
        <f t="shared" si="11"/>
        <v>0</v>
      </c>
      <c r="W15" s="46">
        <f t="shared" si="12"/>
        <v>0</v>
      </c>
      <c r="X15" s="46">
        <f t="shared" si="13"/>
        <v>0</v>
      </c>
      <c r="Y15" s="45">
        <f>ROUND((VLOOKUP(A15,'Cumulative pupils per year'!$A$3:$S$88,3,FALSE)),0)</f>
        <v>3</v>
      </c>
      <c r="Z15" s="274">
        <f t="shared" si="14"/>
        <v>1</v>
      </c>
      <c r="AA15" s="274">
        <f t="shared" si="15"/>
        <v>1</v>
      </c>
      <c r="AB15" s="274">
        <f t="shared" si="16"/>
        <v>1</v>
      </c>
      <c r="AC15" s="274">
        <f t="shared" si="17"/>
        <v>0</v>
      </c>
      <c r="AD15" s="274">
        <f t="shared" si="18"/>
        <v>0</v>
      </c>
      <c r="AE15" s="274">
        <f t="shared" si="19"/>
        <v>0</v>
      </c>
      <c r="AF15" s="274">
        <f t="shared" si="20"/>
        <v>0</v>
      </c>
      <c r="AG15" s="43">
        <f>ROUND((VLOOKUP(A15,'Cumulative pupils per year'!$A$3:$S$88,4,FALSE)),0)</f>
        <v>3</v>
      </c>
      <c r="AH15" s="46">
        <f t="shared" si="21"/>
        <v>1</v>
      </c>
      <c r="AI15" s="46">
        <f t="shared" si="22"/>
        <v>1</v>
      </c>
      <c r="AJ15" s="46">
        <f t="shared" si="23"/>
        <v>1</v>
      </c>
      <c r="AK15" s="46">
        <f t="shared" si="24"/>
        <v>0</v>
      </c>
      <c r="AL15" s="46">
        <f t="shared" si="25"/>
        <v>0</v>
      </c>
      <c r="AM15" s="46">
        <f t="shared" si="26"/>
        <v>0</v>
      </c>
      <c r="AN15" s="46">
        <f t="shared" si="27"/>
        <v>0</v>
      </c>
      <c r="AO15" s="45">
        <f>ROUND((VLOOKUP(A15,'Cumulative pupils per year'!$A$3:$S$88,5,FALSE)),0)</f>
        <v>3</v>
      </c>
      <c r="AP15" s="274">
        <f t="shared" si="28"/>
        <v>1</v>
      </c>
      <c r="AQ15" s="274">
        <f t="shared" si="29"/>
        <v>1</v>
      </c>
      <c r="AR15" s="274">
        <f t="shared" si="30"/>
        <v>1</v>
      </c>
      <c r="AS15" s="274">
        <f t="shared" si="31"/>
        <v>0</v>
      </c>
      <c r="AT15" s="274">
        <f t="shared" si="32"/>
        <v>0</v>
      </c>
      <c r="AU15" s="274">
        <f t="shared" si="33"/>
        <v>0</v>
      </c>
      <c r="AV15" s="274">
        <f t="shared" si="34"/>
        <v>0</v>
      </c>
      <c r="AW15" s="43">
        <f>ROUND((VLOOKUP(A15,'Cumulative pupils per year'!$A$3:$S$88,6,FALSE)),0)</f>
        <v>3</v>
      </c>
      <c r="AX15" s="46">
        <f t="shared" si="35"/>
        <v>1</v>
      </c>
      <c r="AY15" s="46">
        <f t="shared" si="36"/>
        <v>1</v>
      </c>
      <c r="AZ15" s="46">
        <f t="shared" si="37"/>
        <v>1</v>
      </c>
      <c r="BA15" s="46">
        <f t="shared" si="38"/>
        <v>0</v>
      </c>
      <c r="BB15" s="46">
        <f t="shared" si="39"/>
        <v>0</v>
      </c>
      <c r="BC15" s="46">
        <f t="shared" si="40"/>
        <v>0</v>
      </c>
      <c r="BD15" s="46">
        <f t="shared" si="41"/>
        <v>0</v>
      </c>
      <c r="BE15" s="45">
        <f>ROUND((VLOOKUP(A15,'Cumulative pupils per year'!$A$3:$S$88,7,FALSE)),0)</f>
        <v>3</v>
      </c>
      <c r="BF15" s="274">
        <f t="shared" si="42"/>
        <v>1</v>
      </c>
      <c r="BG15" s="274">
        <f t="shared" si="43"/>
        <v>1</v>
      </c>
      <c r="BH15" s="274">
        <f t="shared" si="44"/>
        <v>1</v>
      </c>
      <c r="BI15" s="274">
        <f t="shared" si="45"/>
        <v>0</v>
      </c>
      <c r="BJ15" s="274">
        <f t="shared" si="46"/>
        <v>0</v>
      </c>
      <c r="BK15" s="274">
        <f t="shared" si="47"/>
        <v>0</v>
      </c>
      <c r="BL15" s="274">
        <f t="shared" si="48"/>
        <v>0</v>
      </c>
      <c r="BM15" s="43">
        <f>ROUND((VLOOKUP(A15,'Cumulative pupils per year'!$A$3:$S$88,8,FALSE)),0)</f>
        <v>3</v>
      </c>
      <c r="BN15" s="46">
        <f t="shared" si="49"/>
        <v>1</v>
      </c>
      <c r="BO15" s="46">
        <f t="shared" si="50"/>
        <v>1</v>
      </c>
      <c r="BP15" s="46">
        <f t="shared" si="51"/>
        <v>1</v>
      </c>
      <c r="BQ15" s="46">
        <f t="shared" si="52"/>
        <v>0</v>
      </c>
      <c r="BR15" s="46">
        <f t="shared" si="53"/>
        <v>0</v>
      </c>
      <c r="BS15" s="46">
        <f t="shared" si="54"/>
        <v>0</v>
      </c>
      <c r="BT15" s="46">
        <f t="shared" si="55"/>
        <v>0</v>
      </c>
      <c r="BU15" s="45">
        <f>ROUND((VLOOKUP(A15,'Cumulative pupils per year'!$A$3:$S$88,9,FALSE)),0)</f>
        <v>3</v>
      </c>
      <c r="BV15" s="274">
        <f t="shared" si="56"/>
        <v>1</v>
      </c>
      <c r="BW15" s="274">
        <f t="shared" si="57"/>
        <v>1</v>
      </c>
      <c r="BX15" s="274">
        <f t="shared" si="58"/>
        <v>1</v>
      </c>
      <c r="BY15" s="274">
        <f t="shared" si="59"/>
        <v>0</v>
      </c>
      <c r="BZ15" s="274">
        <f t="shared" si="60"/>
        <v>0</v>
      </c>
      <c r="CA15" s="274">
        <f t="shared" si="61"/>
        <v>0</v>
      </c>
      <c r="CB15" s="274">
        <f t="shared" si="62"/>
        <v>0</v>
      </c>
      <c r="CC15" s="43">
        <f>ROUND((VLOOKUP(A15,'Cumulative pupils per year'!$A$3:$S$88,10,FALSE)),0)</f>
        <v>3</v>
      </c>
      <c r="CD15" s="46">
        <f t="shared" si="63"/>
        <v>1</v>
      </c>
      <c r="CE15" s="46">
        <f t="shared" si="64"/>
        <v>1</v>
      </c>
      <c r="CF15" s="46">
        <f t="shared" si="65"/>
        <v>1</v>
      </c>
      <c r="CG15" s="46">
        <f t="shared" si="66"/>
        <v>0</v>
      </c>
      <c r="CH15" s="46">
        <f t="shared" si="67"/>
        <v>0</v>
      </c>
      <c r="CI15" s="46">
        <f t="shared" si="68"/>
        <v>0</v>
      </c>
      <c r="CJ15" s="46">
        <f t="shared" si="69"/>
        <v>0</v>
      </c>
      <c r="CK15" s="45">
        <f>ROUND((VLOOKUP(A15,'Cumulative pupils per year'!$A$3:$S$88,11,FALSE)),0)</f>
        <v>3</v>
      </c>
      <c r="CL15" s="274">
        <f t="shared" si="70"/>
        <v>1</v>
      </c>
      <c r="CM15" s="274">
        <f t="shared" si="71"/>
        <v>1</v>
      </c>
      <c r="CN15" s="274">
        <f t="shared" si="72"/>
        <v>1</v>
      </c>
      <c r="CO15" s="274">
        <f t="shared" si="73"/>
        <v>0</v>
      </c>
      <c r="CP15" s="274">
        <f t="shared" si="74"/>
        <v>0</v>
      </c>
      <c r="CQ15" s="274">
        <f t="shared" si="75"/>
        <v>0</v>
      </c>
      <c r="CR15" s="274">
        <f t="shared" si="76"/>
        <v>0</v>
      </c>
      <c r="CS15" s="291">
        <f>ROUND((VLOOKUP(A15,'Cumulative pupils per year'!$A$3:$S$88,12,FALSE)),0)</f>
        <v>3</v>
      </c>
      <c r="CT15" s="46">
        <f t="shared" si="77"/>
        <v>0</v>
      </c>
      <c r="CU15" s="46">
        <f t="shared" si="78"/>
        <v>0</v>
      </c>
      <c r="CV15" s="46">
        <f t="shared" si="79"/>
        <v>0</v>
      </c>
      <c r="CW15" s="46">
        <f t="shared" si="80"/>
        <v>0</v>
      </c>
      <c r="CX15" s="46">
        <f t="shared" si="81"/>
        <v>0</v>
      </c>
      <c r="CY15" s="46">
        <f t="shared" si="82"/>
        <v>0</v>
      </c>
      <c r="CZ15" s="46">
        <f t="shared" si="83"/>
        <v>0</v>
      </c>
      <c r="DA15" s="45">
        <f>ROUND((VLOOKUP(A15,'Cumulative pupils per year'!$A$3:$S$88,13,FALSE)),0)</f>
        <v>0</v>
      </c>
      <c r="DB15" s="274">
        <f t="shared" si="84"/>
        <v>0</v>
      </c>
      <c r="DC15" s="274">
        <f t="shared" si="85"/>
        <v>0</v>
      </c>
      <c r="DD15" s="274">
        <f t="shared" si="86"/>
        <v>0</v>
      </c>
      <c r="DE15" s="274">
        <f t="shared" si="87"/>
        <v>0</v>
      </c>
      <c r="DF15" s="274">
        <f t="shared" si="88"/>
        <v>0</v>
      </c>
      <c r="DG15" s="274">
        <f t="shared" si="89"/>
        <v>0</v>
      </c>
      <c r="DH15" s="274">
        <f t="shared" si="90"/>
        <v>0</v>
      </c>
      <c r="DI15" s="291">
        <f>ROUND((VLOOKUP(A15,'Cumulative pupils per year'!$A$3:$S$88,14,FALSE)),0)</f>
        <v>0</v>
      </c>
      <c r="DJ15" s="46">
        <f t="shared" si="91"/>
        <v>0</v>
      </c>
      <c r="DK15" s="46">
        <f t="shared" si="92"/>
        <v>0</v>
      </c>
      <c r="DL15" s="46">
        <f t="shared" si="93"/>
        <v>0</v>
      </c>
      <c r="DM15" s="46">
        <f t="shared" si="94"/>
        <v>0</v>
      </c>
      <c r="DN15" s="46">
        <f t="shared" si="95"/>
        <v>0</v>
      </c>
      <c r="DO15" s="46">
        <f t="shared" si="96"/>
        <v>0</v>
      </c>
      <c r="DP15" s="46">
        <f t="shared" si="97"/>
        <v>0</v>
      </c>
      <c r="DQ15" s="45">
        <f>ROUND((VLOOKUP(A15,'Cumulative pupils per year'!$A$3:$S$88,15,FALSE)),0)</f>
        <v>0</v>
      </c>
    </row>
    <row r="16" spans="1:121">
      <c r="A16" s="4" t="s">
        <v>20</v>
      </c>
      <c r="B16" s="46">
        <v>0</v>
      </c>
      <c r="C16" s="46">
        <v>0</v>
      </c>
      <c r="D16" s="46">
        <v>0</v>
      </c>
      <c r="E16" s="46">
        <v>0</v>
      </c>
      <c r="F16" s="46">
        <v>0</v>
      </c>
      <c r="G16" s="46">
        <v>0</v>
      </c>
      <c r="H16" s="46">
        <v>0</v>
      </c>
      <c r="I16" s="45">
        <v>0</v>
      </c>
      <c r="J16" s="44">
        <f t="shared" ref="J16:J23" si="112">ROUNDUP(Q16/7,0)</f>
        <v>0</v>
      </c>
      <c r="K16" s="44">
        <f t="shared" ref="K16:K23" si="113">IF((Q16-J16)&gt;0,(ROUNDUP(((Q16-J16)/6),0)),0)</f>
        <v>0</v>
      </c>
      <c r="L16" s="44">
        <f t="shared" ref="L16:L23" si="114">IF((Q16-J16-K16)&gt;0,(ROUNDUP(((Q16-J16-K16)/5),0)),0)</f>
        <v>0</v>
      </c>
      <c r="M16" s="44">
        <f t="shared" ref="M16:M23" si="115">IF((Q16-J16-K16-L16)&gt;0,(ROUNDUP(((Q16-J16-K16-L16)/4),0)),0)</f>
        <v>0</v>
      </c>
      <c r="N16" s="44">
        <f t="shared" ref="N16:N23" si="116">IF((Q16-J16-K16-L16-M16)&gt;0,(ROUNDUP(((Q16-J16-K16-L16-M16)/3),0)),0)</f>
        <v>0</v>
      </c>
      <c r="O16" s="44">
        <f t="shared" ref="O16:O23" si="117">IF((Q16-J16-K16-L16-M16-N16)&gt;0,(ROUNDUP(((Q16-J16-K16-L16-M16-N16)/2),0)),0)</f>
        <v>0</v>
      </c>
      <c r="P16" s="44">
        <f t="shared" ref="P16:P23" si="118">IF((Q16-J16-K16-L16-M16-N16-O16)&gt;0,(ROUNDUP(((Q16-J16-K16-L16-M16-N16-O16)/1),0)),0)</f>
        <v>0</v>
      </c>
      <c r="Q16" s="43">
        <f>ROUND((VLOOKUP(A16,'Cumulative pupils per year'!$A$3:$S$88,2,FALSE)),0)</f>
        <v>0</v>
      </c>
      <c r="R16" s="46">
        <f t="shared" si="7"/>
        <v>0</v>
      </c>
      <c r="S16" s="46">
        <f t="shared" si="8"/>
        <v>0</v>
      </c>
      <c r="T16" s="46">
        <f t="shared" si="9"/>
        <v>0</v>
      </c>
      <c r="U16" s="46">
        <f t="shared" si="10"/>
        <v>0</v>
      </c>
      <c r="V16" s="46">
        <f t="shared" si="11"/>
        <v>0</v>
      </c>
      <c r="W16" s="46">
        <f t="shared" si="12"/>
        <v>0</v>
      </c>
      <c r="X16" s="46">
        <f t="shared" si="13"/>
        <v>0</v>
      </c>
      <c r="Y16" s="45">
        <f>ROUND((VLOOKUP(A16,'Cumulative pupils per year'!$A$3:$S$88,3,FALSE)),0)</f>
        <v>0</v>
      </c>
      <c r="Z16" s="274">
        <f t="shared" si="14"/>
        <v>0</v>
      </c>
      <c r="AA16" s="274">
        <f t="shared" si="15"/>
        <v>0</v>
      </c>
      <c r="AB16" s="274">
        <f t="shared" si="16"/>
        <v>0</v>
      </c>
      <c r="AC16" s="274">
        <f t="shared" si="17"/>
        <v>0</v>
      </c>
      <c r="AD16" s="274">
        <f t="shared" si="18"/>
        <v>0</v>
      </c>
      <c r="AE16" s="274">
        <f t="shared" si="19"/>
        <v>0</v>
      </c>
      <c r="AF16" s="274">
        <f t="shared" si="20"/>
        <v>0</v>
      </c>
      <c r="AG16" s="43">
        <f>ROUND((VLOOKUP(A16,'Cumulative pupils per year'!$A$3:$S$88,4,FALSE)),0)</f>
        <v>0</v>
      </c>
      <c r="AH16" s="46">
        <f t="shared" si="21"/>
        <v>0</v>
      </c>
      <c r="AI16" s="46">
        <f t="shared" si="22"/>
        <v>0</v>
      </c>
      <c r="AJ16" s="46">
        <f t="shared" si="23"/>
        <v>0</v>
      </c>
      <c r="AK16" s="46">
        <f t="shared" si="24"/>
        <v>0</v>
      </c>
      <c r="AL16" s="46">
        <f t="shared" si="25"/>
        <v>0</v>
      </c>
      <c r="AM16" s="46">
        <f t="shared" si="26"/>
        <v>0</v>
      </c>
      <c r="AN16" s="46">
        <f t="shared" si="27"/>
        <v>0</v>
      </c>
      <c r="AO16" s="45">
        <f>ROUND((VLOOKUP(A16,'Cumulative pupils per year'!$A$3:$S$88,5,FALSE)),0)</f>
        <v>0</v>
      </c>
      <c r="AP16" s="274">
        <f t="shared" si="28"/>
        <v>0</v>
      </c>
      <c r="AQ16" s="274">
        <f t="shared" si="29"/>
        <v>0</v>
      </c>
      <c r="AR16" s="274">
        <f t="shared" si="30"/>
        <v>0</v>
      </c>
      <c r="AS16" s="274">
        <f t="shared" si="31"/>
        <v>0</v>
      </c>
      <c r="AT16" s="274">
        <f t="shared" si="32"/>
        <v>0</v>
      </c>
      <c r="AU16" s="274">
        <f t="shared" si="33"/>
        <v>0</v>
      </c>
      <c r="AV16" s="274">
        <f t="shared" si="34"/>
        <v>0</v>
      </c>
      <c r="AW16" s="43">
        <f>ROUND((VLOOKUP(A16,'Cumulative pupils per year'!$A$3:$S$88,6,FALSE)),0)</f>
        <v>0</v>
      </c>
      <c r="AX16" s="46">
        <f t="shared" si="35"/>
        <v>0</v>
      </c>
      <c r="AY16" s="46">
        <f t="shared" si="36"/>
        <v>0</v>
      </c>
      <c r="AZ16" s="46">
        <f t="shared" si="37"/>
        <v>0</v>
      </c>
      <c r="BA16" s="46">
        <f t="shared" si="38"/>
        <v>0</v>
      </c>
      <c r="BB16" s="46">
        <f t="shared" si="39"/>
        <v>0</v>
      </c>
      <c r="BC16" s="46">
        <f t="shared" si="40"/>
        <v>0</v>
      </c>
      <c r="BD16" s="46">
        <f t="shared" si="41"/>
        <v>0</v>
      </c>
      <c r="BE16" s="45">
        <f>ROUND((VLOOKUP(A16,'Cumulative pupils per year'!$A$3:$S$88,7,FALSE)),0)</f>
        <v>0</v>
      </c>
      <c r="BF16" s="274">
        <f t="shared" si="42"/>
        <v>0</v>
      </c>
      <c r="BG16" s="274">
        <f t="shared" si="43"/>
        <v>0</v>
      </c>
      <c r="BH16" s="274">
        <f t="shared" si="44"/>
        <v>0</v>
      </c>
      <c r="BI16" s="274">
        <f t="shared" si="45"/>
        <v>0</v>
      </c>
      <c r="BJ16" s="274">
        <f t="shared" si="46"/>
        <v>0</v>
      </c>
      <c r="BK16" s="274">
        <f t="shared" si="47"/>
        <v>0</v>
      </c>
      <c r="BL16" s="274">
        <f t="shared" si="48"/>
        <v>0</v>
      </c>
      <c r="BM16" s="43">
        <f>ROUND((VLOOKUP(A16,'Cumulative pupils per year'!$A$3:$S$88,8,FALSE)),0)</f>
        <v>0</v>
      </c>
      <c r="BN16" s="46">
        <f t="shared" si="49"/>
        <v>0</v>
      </c>
      <c r="BO16" s="46">
        <f t="shared" si="50"/>
        <v>0</v>
      </c>
      <c r="BP16" s="46">
        <f t="shared" si="51"/>
        <v>0</v>
      </c>
      <c r="BQ16" s="46">
        <f t="shared" si="52"/>
        <v>0</v>
      </c>
      <c r="BR16" s="46">
        <f t="shared" si="53"/>
        <v>0</v>
      </c>
      <c r="BS16" s="46">
        <f t="shared" si="54"/>
        <v>0</v>
      </c>
      <c r="BT16" s="46">
        <f t="shared" si="55"/>
        <v>0</v>
      </c>
      <c r="BU16" s="45">
        <f>ROUND((VLOOKUP(A16,'Cumulative pupils per year'!$A$3:$S$88,9,FALSE)),0)</f>
        <v>0</v>
      </c>
      <c r="BV16" s="274">
        <f t="shared" si="56"/>
        <v>0</v>
      </c>
      <c r="BW16" s="274">
        <f t="shared" si="57"/>
        <v>0</v>
      </c>
      <c r="BX16" s="274">
        <f t="shared" si="58"/>
        <v>0</v>
      </c>
      <c r="BY16" s="274">
        <f t="shared" si="59"/>
        <v>0</v>
      </c>
      <c r="BZ16" s="274">
        <f t="shared" si="60"/>
        <v>0</v>
      </c>
      <c r="CA16" s="274">
        <f t="shared" si="61"/>
        <v>0</v>
      </c>
      <c r="CB16" s="274">
        <f t="shared" si="62"/>
        <v>0</v>
      </c>
      <c r="CC16" s="43">
        <f>ROUND((VLOOKUP(A16,'Cumulative pupils per year'!$A$3:$S$88,10,FALSE)),0)</f>
        <v>0</v>
      </c>
      <c r="CD16" s="46">
        <f t="shared" si="63"/>
        <v>0</v>
      </c>
      <c r="CE16" s="46">
        <f t="shared" si="64"/>
        <v>0</v>
      </c>
      <c r="CF16" s="46">
        <f t="shared" si="65"/>
        <v>0</v>
      </c>
      <c r="CG16" s="46">
        <f t="shared" si="66"/>
        <v>0</v>
      </c>
      <c r="CH16" s="46">
        <f t="shared" si="67"/>
        <v>0</v>
      </c>
      <c r="CI16" s="46">
        <f t="shared" si="68"/>
        <v>0</v>
      </c>
      <c r="CJ16" s="46">
        <f t="shared" si="69"/>
        <v>0</v>
      </c>
      <c r="CK16" s="45">
        <f>ROUND((VLOOKUP(A16,'Cumulative pupils per year'!$A$3:$S$88,11,FALSE)),0)</f>
        <v>0</v>
      </c>
      <c r="CL16" s="274">
        <f t="shared" si="70"/>
        <v>0</v>
      </c>
      <c r="CM16" s="274">
        <f t="shared" si="71"/>
        <v>0</v>
      </c>
      <c r="CN16" s="274">
        <f t="shared" si="72"/>
        <v>0</v>
      </c>
      <c r="CO16" s="274">
        <f t="shared" si="73"/>
        <v>0</v>
      </c>
      <c r="CP16" s="274">
        <f t="shared" si="74"/>
        <v>0</v>
      </c>
      <c r="CQ16" s="274">
        <f t="shared" si="75"/>
        <v>0</v>
      </c>
      <c r="CR16" s="274">
        <f t="shared" si="76"/>
        <v>0</v>
      </c>
      <c r="CS16" s="291">
        <f>ROUND((VLOOKUP(A16,'Cumulative pupils per year'!$A$3:$S$88,12,FALSE)),0)</f>
        <v>0</v>
      </c>
      <c r="CT16" s="46">
        <f t="shared" si="77"/>
        <v>0</v>
      </c>
      <c r="CU16" s="46">
        <f t="shared" si="78"/>
        <v>0</v>
      </c>
      <c r="CV16" s="46">
        <f t="shared" si="79"/>
        <v>0</v>
      </c>
      <c r="CW16" s="46">
        <f t="shared" si="80"/>
        <v>0</v>
      </c>
      <c r="CX16" s="46">
        <f t="shared" si="81"/>
        <v>0</v>
      </c>
      <c r="CY16" s="46">
        <f t="shared" si="82"/>
        <v>0</v>
      </c>
      <c r="CZ16" s="46">
        <f t="shared" si="83"/>
        <v>0</v>
      </c>
      <c r="DA16" s="45">
        <f>ROUND((VLOOKUP(A16,'Cumulative pupils per year'!$A$3:$S$88,13,FALSE)),0)</f>
        <v>0</v>
      </c>
      <c r="DB16" s="274">
        <f t="shared" si="84"/>
        <v>0</v>
      </c>
      <c r="DC16" s="274">
        <f t="shared" si="85"/>
        <v>0</v>
      </c>
      <c r="DD16" s="274">
        <f t="shared" si="86"/>
        <v>0</v>
      </c>
      <c r="DE16" s="274">
        <f t="shared" si="87"/>
        <v>0</v>
      </c>
      <c r="DF16" s="274">
        <f t="shared" si="88"/>
        <v>0</v>
      </c>
      <c r="DG16" s="274">
        <f t="shared" si="89"/>
        <v>0</v>
      </c>
      <c r="DH16" s="274">
        <f t="shared" si="90"/>
        <v>0</v>
      </c>
      <c r="DI16" s="291">
        <f>ROUND((VLOOKUP(A16,'Cumulative pupils per year'!$A$3:$S$88,14,FALSE)),0)</f>
        <v>0</v>
      </c>
      <c r="DJ16" s="46">
        <f t="shared" si="91"/>
        <v>0</v>
      </c>
      <c r="DK16" s="46">
        <f t="shared" si="92"/>
        <v>0</v>
      </c>
      <c r="DL16" s="46">
        <f t="shared" si="93"/>
        <v>0</v>
      </c>
      <c r="DM16" s="46">
        <f t="shared" si="94"/>
        <v>0</v>
      </c>
      <c r="DN16" s="46">
        <f t="shared" si="95"/>
        <v>0</v>
      </c>
      <c r="DO16" s="46">
        <f t="shared" si="96"/>
        <v>0</v>
      </c>
      <c r="DP16" s="46">
        <f t="shared" si="97"/>
        <v>0</v>
      </c>
      <c r="DQ16" s="45">
        <f>ROUND((VLOOKUP(A16,'Cumulative pupils per year'!$A$3:$S$88,15,FALSE)),0)</f>
        <v>0</v>
      </c>
    </row>
    <row r="17" spans="1:121">
      <c r="A17" s="4" t="s">
        <v>21</v>
      </c>
      <c r="B17" s="46">
        <v>0</v>
      </c>
      <c r="C17" s="46">
        <v>0</v>
      </c>
      <c r="D17" s="46">
        <v>0</v>
      </c>
      <c r="E17" s="46">
        <v>0</v>
      </c>
      <c r="F17" s="46">
        <v>0</v>
      </c>
      <c r="G17" s="46">
        <v>0</v>
      </c>
      <c r="H17" s="46">
        <v>0</v>
      </c>
      <c r="I17" s="45">
        <v>0</v>
      </c>
      <c r="J17" s="44">
        <f t="shared" si="112"/>
        <v>0</v>
      </c>
      <c r="K17" s="44">
        <f t="shared" si="113"/>
        <v>0</v>
      </c>
      <c r="L17" s="44">
        <f t="shared" si="114"/>
        <v>0</v>
      </c>
      <c r="M17" s="44">
        <f t="shared" si="115"/>
        <v>0</v>
      </c>
      <c r="N17" s="44">
        <f t="shared" si="116"/>
        <v>0</v>
      </c>
      <c r="O17" s="44">
        <f t="shared" si="117"/>
        <v>0</v>
      </c>
      <c r="P17" s="44">
        <f t="shared" si="118"/>
        <v>0</v>
      </c>
      <c r="Q17" s="43">
        <f>ROUND((VLOOKUP(A17,'Cumulative pupils per year'!$A$3:$S$88,2,FALSE)),0)</f>
        <v>0</v>
      </c>
      <c r="R17" s="46">
        <f t="shared" si="7"/>
        <v>0</v>
      </c>
      <c r="S17" s="46">
        <f t="shared" si="8"/>
        <v>0</v>
      </c>
      <c r="T17" s="46">
        <f t="shared" si="9"/>
        <v>0</v>
      </c>
      <c r="U17" s="46">
        <f t="shared" si="10"/>
        <v>0</v>
      </c>
      <c r="V17" s="46">
        <f t="shared" si="11"/>
        <v>0</v>
      </c>
      <c r="W17" s="46">
        <f t="shared" si="12"/>
        <v>0</v>
      </c>
      <c r="X17" s="46">
        <f t="shared" si="13"/>
        <v>0</v>
      </c>
      <c r="Y17" s="45">
        <f>ROUND((VLOOKUP(A17,'Cumulative pupils per year'!$A$3:$S$88,3,FALSE)),0)</f>
        <v>0</v>
      </c>
      <c r="Z17" s="274">
        <f t="shared" si="14"/>
        <v>0</v>
      </c>
      <c r="AA17" s="274">
        <f t="shared" si="15"/>
        <v>0</v>
      </c>
      <c r="AB17" s="274">
        <f t="shared" si="16"/>
        <v>0</v>
      </c>
      <c r="AC17" s="274">
        <f t="shared" si="17"/>
        <v>0</v>
      </c>
      <c r="AD17" s="274">
        <f t="shared" si="18"/>
        <v>0</v>
      </c>
      <c r="AE17" s="274">
        <f t="shared" si="19"/>
        <v>0</v>
      </c>
      <c r="AF17" s="274">
        <f t="shared" si="20"/>
        <v>0</v>
      </c>
      <c r="AG17" s="43">
        <f>ROUND((VLOOKUP(A17,'Cumulative pupils per year'!$A$3:$S$88,4,FALSE)),0)</f>
        <v>0</v>
      </c>
      <c r="AH17" s="46">
        <f t="shared" si="21"/>
        <v>0</v>
      </c>
      <c r="AI17" s="46">
        <f t="shared" si="22"/>
        <v>0</v>
      </c>
      <c r="AJ17" s="46">
        <f t="shared" si="23"/>
        <v>0</v>
      </c>
      <c r="AK17" s="46">
        <f t="shared" si="24"/>
        <v>0</v>
      </c>
      <c r="AL17" s="46">
        <f t="shared" si="25"/>
        <v>0</v>
      </c>
      <c r="AM17" s="46">
        <f t="shared" si="26"/>
        <v>0</v>
      </c>
      <c r="AN17" s="46">
        <f t="shared" si="27"/>
        <v>0</v>
      </c>
      <c r="AO17" s="45">
        <f>ROUND((VLOOKUP(A17,'Cumulative pupils per year'!$A$3:$S$88,5,FALSE)),0)</f>
        <v>0</v>
      </c>
      <c r="AP17" s="274">
        <f t="shared" si="28"/>
        <v>0</v>
      </c>
      <c r="AQ17" s="274">
        <f t="shared" si="29"/>
        <v>0</v>
      </c>
      <c r="AR17" s="274">
        <f t="shared" si="30"/>
        <v>0</v>
      </c>
      <c r="AS17" s="274">
        <f t="shared" si="31"/>
        <v>0</v>
      </c>
      <c r="AT17" s="274">
        <f t="shared" si="32"/>
        <v>0</v>
      </c>
      <c r="AU17" s="274">
        <f t="shared" si="33"/>
        <v>0</v>
      </c>
      <c r="AV17" s="274">
        <f t="shared" si="34"/>
        <v>0</v>
      </c>
      <c r="AW17" s="43">
        <f>ROUND((VLOOKUP(A17,'Cumulative pupils per year'!$A$3:$S$88,6,FALSE)),0)</f>
        <v>0</v>
      </c>
      <c r="AX17" s="46">
        <f t="shared" si="35"/>
        <v>0</v>
      </c>
      <c r="AY17" s="46">
        <f t="shared" si="36"/>
        <v>0</v>
      </c>
      <c r="AZ17" s="46">
        <f t="shared" si="37"/>
        <v>0</v>
      </c>
      <c r="BA17" s="46">
        <f t="shared" si="38"/>
        <v>0</v>
      </c>
      <c r="BB17" s="46">
        <f t="shared" si="39"/>
        <v>0</v>
      </c>
      <c r="BC17" s="46">
        <f t="shared" si="40"/>
        <v>0</v>
      </c>
      <c r="BD17" s="46">
        <f t="shared" si="41"/>
        <v>0</v>
      </c>
      <c r="BE17" s="45">
        <f>ROUND((VLOOKUP(A17,'Cumulative pupils per year'!$A$3:$S$88,7,FALSE)),0)</f>
        <v>0</v>
      </c>
      <c r="BF17" s="274">
        <f t="shared" si="42"/>
        <v>0</v>
      </c>
      <c r="BG17" s="274">
        <f t="shared" si="43"/>
        <v>0</v>
      </c>
      <c r="BH17" s="274">
        <f t="shared" si="44"/>
        <v>0</v>
      </c>
      <c r="BI17" s="274">
        <f t="shared" si="45"/>
        <v>0</v>
      </c>
      <c r="BJ17" s="274">
        <f t="shared" si="46"/>
        <v>0</v>
      </c>
      <c r="BK17" s="274">
        <f t="shared" si="47"/>
        <v>0</v>
      </c>
      <c r="BL17" s="274">
        <f t="shared" si="48"/>
        <v>0</v>
      </c>
      <c r="BM17" s="43">
        <f>ROUND((VLOOKUP(A17,'Cumulative pupils per year'!$A$3:$S$88,8,FALSE)),0)</f>
        <v>0</v>
      </c>
      <c r="BN17" s="46">
        <f t="shared" si="49"/>
        <v>0</v>
      </c>
      <c r="BO17" s="46">
        <f t="shared" si="50"/>
        <v>0</v>
      </c>
      <c r="BP17" s="46">
        <f t="shared" si="51"/>
        <v>0</v>
      </c>
      <c r="BQ17" s="46">
        <f t="shared" si="52"/>
        <v>0</v>
      </c>
      <c r="BR17" s="46">
        <f t="shared" si="53"/>
        <v>0</v>
      </c>
      <c r="BS17" s="46">
        <f t="shared" si="54"/>
        <v>0</v>
      </c>
      <c r="BT17" s="46">
        <f t="shared" si="55"/>
        <v>0</v>
      </c>
      <c r="BU17" s="45">
        <f>ROUND((VLOOKUP(A17,'Cumulative pupils per year'!$A$3:$S$88,9,FALSE)),0)</f>
        <v>0</v>
      </c>
      <c r="BV17" s="274">
        <f t="shared" si="56"/>
        <v>0</v>
      </c>
      <c r="BW17" s="274">
        <f t="shared" si="57"/>
        <v>0</v>
      </c>
      <c r="BX17" s="274">
        <f t="shared" si="58"/>
        <v>0</v>
      </c>
      <c r="BY17" s="274">
        <f t="shared" si="59"/>
        <v>0</v>
      </c>
      <c r="BZ17" s="274">
        <f t="shared" si="60"/>
        <v>0</v>
      </c>
      <c r="CA17" s="274">
        <f t="shared" si="61"/>
        <v>0</v>
      </c>
      <c r="CB17" s="274">
        <f t="shared" si="62"/>
        <v>0</v>
      </c>
      <c r="CC17" s="43">
        <f>ROUND((VLOOKUP(A17,'Cumulative pupils per year'!$A$3:$S$88,10,FALSE)),0)</f>
        <v>0</v>
      </c>
      <c r="CD17" s="46">
        <f t="shared" si="63"/>
        <v>0</v>
      </c>
      <c r="CE17" s="46">
        <f t="shared" si="64"/>
        <v>0</v>
      </c>
      <c r="CF17" s="46">
        <f t="shared" si="65"/>
        <v>0</v>
      </c>
      <c r="CG17" s="46">
        <f t="shared" si="66"/>
        <v>0</v>
      </c>
      <c r="CH17" s="46">
        <f t="shared" si="67"/>
        <v>0</v>
      </c>
      <c r="CI17" s="46">
        <f t="shared" si="68"/>
        <v>0</v>
      </c>
      <c r="CJ17" s="46">
        <f t="shared" si="69"/>
        <v>0</v>
      </c>
      <c r="CK17" s="45">
        <f>ROUND((VLOOKUP(A17,'Cumulative pupils per year'!$A$3:$S$88,11,FALSE)),0)</f>
        <v>0</v>
      </c>
      <c r="CL17" s="274">
        <f t="shared" si="70"/>
        <v>0</v>
      </c>
      <c r="CM17" s="274">
        <f t="shared" si="71"/>
        <v>0</v>
      </c>
      <c r="CN17" s="274">
        <f t="shared" si="72"/>
        <v>0</v>
      </c>
      <c r="CO17" s="274">
        <f t="shared" si="73"/>
        <v>0</v>
      </c>
      <c r="CP17" s="274">
        <f t="shared" si="74"/>
        <v>0</v>
      </c>
      <c r="CQ17" s="274">
        <f t="shared" si="75"/>
        <v>0</v>
      </c>
      <c r="CR17" s="274">
        <f t="shared" si="76"/>
        <v>0</v>
      </c>
      <c r="CS17" s="291">
        <f>ROUND((VLOOKUP(A17,'Cumulative pupils per year'!$A$3:$S$88,12,FALSE)),0)</f>
        <v>0</v>
      </c>
      <c r="CT17" s="46">
        <f t="shared" si="77"/>
        <v>0</v>
      </c>
      <c r="CU17" s="46">
        <f t="shared" si="78"/>
        <v>0</v>
      </c>
      <c r="CV17" s="46">
        <f t="shared" si="79"/>
        <v>0</v>
      </c>
      <c r="CW17" s="46">
        <f t="shared" si="80"/>
        <v>0</v>
      </c>
      <c r="CX17" s="46">
        <f t="shared" si="81"/>
        <v>0</v>
      </c>
      <c r="CY17" s="46">
        <f t="shared" si="82"/>
        <v>0</v>
      </c>
      <c r="CZ17" s="46">
        <f t="shared" si="83"/>
        <v>0</v>
      </c>
      <c r="DA17" s="45">
        <f>ROUND((VLOOKUP(A17,'Cumulative pupils per year'!$A$3:$S$88,13,FALSE)),0)</f>
        <v>0</v>
      </c>
      <c r="DB17" s="274">
        <f t="shared" si="84"/>
        <v>0</v>
      </c>
      <c r="DC17" s="274">
        <f t="shared" si="85"/>
        <v>0</v>
      </c>
      <c r="DD17" s="274">
        <f t="shared" si="86"/>
        <v>0</v>
      </c>
      <c r="DE17" s="274">
        <f t="shared" si="87"/>
        <v>0</v>
      </c>
      <c r="DF17" s="274">
        <f t="shared" si="88"/>
        <v>0</v>
      </c>
      <c r="DG17" s="274">
        <f t="shared" si="89"/>
        <v>0</v>
      </c>
      <c r="DH17" s="274">
        <f t="shared" si="90"/>
        <v>0</v>
      </c>
      <c r="DI17" s="291">
        <f>ROUND((VLOOKUP(A17,'Cumulative pupils per year'!$A$3:$S$88,14,FALSE)),0)</f>
        <v>0</v>
      </c>
      <c r="DJ17" s="46">
        <f t="shared" si="91"/>
        <v>0</v>
      </c>
      <c r="DK17" s="46">
        <f t="shared" si="92"/>
        <v>0</v>
      </c>
      <c r="DL17" s="46">
        <f t="shared" si="93"/>
        <v>0</v>
      </c>
      <c r="DM17" s="46">
        <f t="shared" si="94"/>
        <v>0</v>
      </c>
      <c r="DN17" s="46">
        <f t="shared" si="95"/>
        <v>0</v>
      </c>
      <c r="DO17" s="46">
        <f t="shared" si="96"/>
        <v>0</v>
      </c>
      <c r="DP17" s="46">
        <f t="shared" si="97"/>
        <v>0</v>
      </c>
      <c r="DQ17" s="45">
        <f>ROUND((VLOOKUP(A17,'Cumulative pupils per year'!$A$3:$S$88,15,FALSE)),0)</f>
        <v>0</v>
      </c>
    </row>
    <row r="18" spans="1:121">
      <c r="A18" s="4" t="s">
        <v>22</v>
      </c>
      <c r="B18" s="46">
        <v>0</v>
      </c>
      <c r="C18" s="46">
        <v>0</v>
      </c>
      <c r="D18" s="46">
        <v>0</v>
      </c>
      <c r="E18" s="46">
        <v>0</v>
      </c>
      <c r="F18" s="46">
        <v>0</v>
      </c>
      <c r="G18" s="46">
        <v>0</v>
      </c>
      <c r="H18" s="46">
        <v>0</v>
      </c>
      <c r="I18" s="45">
        <v>0</v>
      </c>
      <c r="J18" s="44">
        <f t="shared" si="112"/>
        <v>1</v>
      </c>
      <c r="K18" s="44">
        <f t="shared" si="113"/>
        <v>0</v>
      </c>
      <c r="L18" s="44">
        <f t="shared" si="114"/>
        <v>0</v>
      </c>
      <c r="M18" s="44">
        <f t="shared" si="115"/>
        <v>0</v>
      </c>
      <c r="N18" s="44">
        <f t="shared" si="116"/>
        <v>0</v>
      </c>
      <c r="O18" s="44">
        <f t="shared" si="117"/>
        <v>0</v>
      </c>
      <c r="P18" s="44">
        <f t="shared" si="118"/>
        <v>0</v>
      </c>
      <c r="Q18" s="43">
        <f>ROUND((VLOOKUP(A18,'Cumulative pupils per year'!$A$3:$S$88,2,FALSE)),0)</f>
        <v>1</v>
      </c>
      <c r="R18" s="46">
        <f t="shared" si="7"/>
        <v>1</v>
      </c>
      <c r="S18" s="46">
        <f t="shared" si="8"/>
        <v>0</v>
      </c>
      <c r="T18" s="46">
        <f t="shared" si="9"/>
        <v>0</v>
      </c>
      <c r="U18" s="46">
        <f t="shared" si="10"/>
        <v>0</v>
      </c>
      <c r="V18" s="46">
        <f t="shared" si="11"/>
        <v>0</v>
      </c>
      <c r="W18" s="46">
        <f t="shared" si="12"/>
        <v>0</v>
      </c>
      <c r="X18" s="46">
        <f t="shared" si="13"/>
        <v>0</v>
      </c>
      <c r="Y18" s="45">
        <f>ROUND((VLOOKUP(A18,'Cumulative pupils per year'!$A$3:$S$88,3,FALSE)),0)</f>
        <v>1</v>
      </c>
      <c r="Z18" s="274">
        <f t="shared" si="14"/>
        <v>4</v>
      </c>
      <c r="AA18" s="274">
        <f t="shared" si="15"/>
        <v>4</v>
      </c>
      <c r="AB18" s="274">
        <f t="shared" si="16"/>
        <v>4</v>
      </c>
      <c r="AC18" s="274">
        <f t="shared" si="17"/>
        <v>3</v>
      </c>
      <c r="AD18" s="274">
        <f t="shared" si="18"/>
        <v>3</v>
      </c>
      <c r="AE18" s="274">
        <f t="shared" si="19"/>
        <v>3</v>
      </c>
      <c r="AF18" s="274">
        <f t="shared" si="20"/>
        <v>3</v>
      </c>
      <c r="AG18" s="43">
        <f>ROUND((VLOOKUP(A18,'Cumulative pupils per year'!$A$3:$S$88,4,FALSE)),0)</f>
        <v>24</v>
      </c>
      <c r="AH18" s="46">
        <f t="shared" si="21"/>
        <v>11</v>
      </c>
      <c r="AI18" s="46">
        <f t="shared" si="22"/>
        <v>11</v>
      </c>
      <c r="AJ18" s="46">
        <f t="shared" si="23"/>
        <v>11</v>
      </c>
      <c r="AK18" s="46">
        <f t="shared" si="24"/>
        <v>11</v>
      </c>
      <c r="AL18" s="46">
        <f t="shared" si="25"/>
        <v>11</v>
      </c>
      <c r="AM18" s="46">
        <f t="shared" si="26"/>
        <v>11</v>
      </c>
      <c r="AN18" s="46">
        <f t="shared" si="27"/>
        <v>11</v>
      </c>
      <c r="AO18" s="45">
        <f>ROUND((VLOOKUP(A18,'Cumulative pupils per year'!$A$3:$S$88,5,FALSE)),0)</f>
        <v>77</v>
      </c>
      <c r="AP18" s="274">
        <f t="shared" si="28"/>
        <v>22</v>
      </c>
      <c r="AQ18" s="274">
        <f t="shared" si="29"/>
        <v>22</v>
      </c>
      <c r="AR18" s="274">
        <f t="shared" si="30"/>
        <v>22</v>
      </c>
      <c r="AS18" s="274">
        <f t="shared" si="31"/>
        <v>21</v>
      </c>
      <c r="AT18" s="274">
        <f t="shared" si="32"/>
        <v>21</v>
      </c>
      <c r="AU18" s="274">
        <f t="shared" si="33"/>
        <v>21</v>
      </c>
      <c r="AV18" s="274">
        <f t="shared" si="34"/>
        <v>21</v>
      </c>
      <c r="AW18" s="43">
        <f>ROUND((VLOOKUP(A18,'Cumulative pupils per year'!$A$3:$S$88,6,FALSE)),0)</f>
        <v>150</v>
      </c>
      <c r="AX18" s="46">
        <f t="shared" si="35"/>
        <v>31</v>
      </c>
      <c r="AY18" s="46">
        <f t="shared" si="36"/>
        <v>31</v>
      </c>
      <c r="AZ18" s="46">
        <f t="shared" si="37"/>
        <v>31</v>
      </c>
      <c r="BA18" s="46">
        <f t="shared" si="38"/>
        <v>30</v>
      </c>
      <c r="BB18" s="46">
        <f t="shared" si="39"/>
        <v>30</v>
      </c>
      <c r="BC18" s="46">
        <f t="shared" si="40"/>
        <v>30</v>
      </c>
      <c r="BD18" s="46">
        <f t="shared" si="41"/>
        <v>30</v>
      </c>
      <c r="BE18" s="45">
        <f>ROUND((VLOOKUP(A18,'Cumulative pupils per year'!$A$3:$S$88,7,FALSE)),0)</f>
        <v>213</v>
      </c>
      <c r="BF18" s="274">
        <f t="shared" si="42"/>
        <v>38</v>
      </c>
      <c r="BG18" s="274">
        <f t="shared" si="43"/>
        <v>37</v>
      </c>
      <c r="BH18" s="274">
        <f t="shared" si="44"/>
        <v>37</v>
      </c>
      <c r="BI18" s="274">
        <f t="shared" si="45"/>
        <v>37</v>
      </c>
      <c r="BJ18" s="274">
        <f t="shared" si="46"/>
        <v>37</v>
      </c>
      <c r="BK18" s="274">
        <f t="shared" si="47"/>
        <v>37</v>
      </c>
      <c r="BL18" s="274">
        <f t="shared" si="48"/>
        <v>37</v>
      </c>
      <c r="BM18" s="43">
        <f>ROUND((VLOOKUP(A18,'Cumulative pupils per year'!$A$3:$S$88,8,FALSE)),0)</f>
        <v>260</v>
      </c>
      <c r="BN18" s="46">
        <f t="shared" si="49"/>
        <v>44</v>
      </c>
      <c r="BO18" s="46">
        <f t="shared" si="50"/>
        <v>44</v>
      </c>
      <c r="BP18" s="46">
        <f t="shared" si="51"/>
        <v>43</v>
      </c>
      <c r="BQ18" s="46">
        <f t="shared" si="52"/>
        <v>43</v>
      </c>
      <c r="BR18" s="46">
        <f t="shared" si="53"/>
        <v>43</v>
      </c>
      <c r="BS18" s="46">
        <f t="shared" si="54"/>
        <v>43</v>
      </c>
      <c r="BT18" s="46">
        <f t="shared" si="55"/>
        <v>43</v>
      </c>
      <c r="BU18" s="45">
        <f>ROUND((VLOOKUP(A18,'Cumulative pupils per year'!$A$3:$S$88,9,FALSE)),0)</f>
        <v>303</v>
      </c>
      <c r="BV18" s="274">
        <f t="shared" si="56"/>
        <v>49</v>
      </c>
      <c r="BW18" s="274">
        <f t="shared" si="57"/>
        <v>49</v>
      </c>
      <c r="BX18" s="274">
        <f t="shared" si="58"/>
        <v>49</v>
      </c>
      <c r="BY18" s="274">
        <f t="shared" si="59"/>
        <v>49</v>
      </c>
      <c r="BZ18" s="274">
        <f t="shared" si="60"/>
        <v>49</v>
      </c>
      <c r="CA18" s="274">
        <f t="shared" si="61"/>
        <v>49</v>
      </c>
      <c r="CB18" s="274">
        <f t="shared" si="62"/>
        <v>49</v>
      </c>
      <c r="CC18" s="43">
        <f>ROUND((VLOOKUP(A18,'Cumulative pupils per year'!$A$3:$S$88,10,FALSE)),0)</f>
        <v>343</v>
      </c>
      <c r="CD18" s="46">
        <f t="shared" si="63"/>
        <v>55</v>
      </c>
      <c r="CE18" s="46">
        <f t="shared" si="64"/>
        <v>55</v>
      </c>
      <c r="CF18" s="46">
        <f t="shared" si="65"/>
        <v>55</v>
      </c>
      <c r="CG18" s="46">
        <f t="shared" si="66"/>
        <v>55</v>
      </c>
      <c r="CH18" s="46">
        <f t="shared" si="67"/>
        <v>55</v>
      </c>
      <c r="CI18" s="46">
        <f t="shared" si="68"/>
        <v>54</v>
      </c>
      <c r="CJ18" s="46">
        <f t="shared" si="69"/>
        <v>54</v>
      </c>
      <c r="CK18" s="45">
        <f>ROUND((VLOOKUP(A18,'Cumulative pupils per year'!$A$3:$S$88,11,FALSE)),0)</f>
        <v>383</v>
      </c>
      <c r="CL18" s="274">
        <f t="shared" si="70"/>
        <v>58</v>
      </c>
      <c r="CM18" s="274">
        <f t="shared" si="71"/>
        <v>58</v>
      </c>
      <c r="CN18" s="274">
        <f t="shared" si="72"/>
        <v>58</v>
      </c>
      <c r="CO18" s="274">
        <f t="shared" si="73"/>
        <v>58</v>
      </c>
      <c r="CP18" s="274">
        <f t="shared" si="74"/>
        <v>57</v>
      </c>
      <c r="CQ18" s="274">
        <f t="shared" si="75"/>
        <v>57</v>
      </c>
      <c r="CR18" s="274">
        <f t="shared" si="76"/>
        <v>57</v>
      </c>
      <c r="CS18" s="291">
        <f>ROUND((VLOOKUP(A18,'Cumulative pupils per year'!$A$3:$S$88,12,FALSE)),0)</f>
        <v>403</v>
      </c>
      <c r="CT18" s="46">
        <f t="shared" si="77"/>
        <v>61</v>
      </c>
      <c r="CU18" s="46">
        <f t="shared" si="78"/>
        <v>61</v>
      </c>
      <c r="CV18" s="46">
        <f t="shared" si="79"/>
        <v>61</v>
      </c>
      <c r="CW18" s="46">
        <f t="shared" si="80"/>
        <v>60</v>
      </c>
      <c r="CX18" s="46">
        <f t="shared" si="81"/>
        <v>60</v>
      </c>
      <c r="CY18" s="46">
        <f t="shared" si="82"/>
        <v>60</v>
      </c>
      <c r="CZ18" s="46">
        <f t="shared" si="83"/>
        <v>60</v>
      </c>
      <c r="DA18" s="45">
        <f>ROUND((VLOOKUP(A18,'Cumulative pupils per year'!$A$3:$S$88,13,FALSE)),0)</f>
        <v>423</v>
      </c>
      <c r="DB18" s="274">
        <f t="shared" si="84"/>
        <v>64</v>
      </c>
      <c r="DC18" s="274">
        <f t="shared" si="85"/>
        <v>64</v>
      </c>
      <c r="DD18" s="274">
        <f t="shared" si="86"/>
        <v>63</v>
      </c>
      <c r="DE18" s="274">
        <f t="shared" si="87"/>
        <v>63</v>
      </c>
      <c r="DF18" s="274">
        <f t="shared" si="88"/>
        <v>63</v>
      </c>
      <c r="DG18" s="274">
        <f t="shared" si="89"/>
        <v>63</v>
      </c>
      <c r="DH18" s="274">
        <f t="shared" si="90"/>
        <v>63</v>
      </c>
      <c r="DI18" s="291">
        <f>ROUND((VLOOKUP(A18,'Cumulative pupils per year'!$A$3:$S$88,14,FALSE)),0)</f>
        <v>443</v>
      </c>
      <c r="DJ18" s="46">
        <f t="shared" si="91"/>
        <v>67</v>
      </c>
      <c r="DK18" s="46">
        <f t="shared" si="92"/>
        <v>66</v>
      </c>
      <c r="DL18" s="46">
        <f t="shared" si="93"/>
        <v>66</v>
      </c>
      <c r="DM18" s="46">
        <f t="shared" si="94"/>
        <v>66</v>
      </c>
      <c r="DN18" s="46">
        <f t="shared" si="95"/>
        <v>66</v>
      </c>
      <c r="DO18" s="46">
        <f t="shared" si="96"/>
        <v>66</v>
      </c>
      <c r="DP18" s="46">
        <f t="shared" si="97"/>
        <v>66</v>
      </c>
      <c r="DQ18" s="45">
        <f>ROUND((VLOOKUP(A18,'Cumulative pupils per year'!$A$3:$S$88,15,FALSE)),0)</f>
        <v>463</v>
      </c>
    </row>
    <row r="19" spans="1:121">
      <c r="A19" s="4" t="s">
        <v>23</v>
      </c>
      <c r="B19" s="46">
        <v>0</v>
      </c>
      <c r="C19" s="46">
        <v>0</v>
      </c>
      <c r="D19" s="46">
        <v>0</v>
      </c>
      <c r="E19" s="46">
        <v>0</v>
      </c>
      <c r="F19" s="46">
        <v>0</v>
      </c>
      <c r="G19" s="46">
        <v>0</v>
      </c>
      <c r="H19" s="46">
        <v>0</v>
      </c>
      <c r="I19" s="45">
        <v>0</v>
      </c>
      <c r="J19" s="44">
        <f t="shared" si="112"/>
        <v>1</v>
      </c>
      <c r="K19" s="44">
        <f t="shared" si="113"/>
        <v>1</v>
      </c>
      <c r="L19" s="44">
        <f t="shared" si="114"/>
        <v>0</v>
      </c>
      <c r="M19" s="44">
        <f t="shared" si="115"/>
        <v>0</v>
      </c>
      <c r="N19" s="44">
        <f t="shared" si="116"/>
        <v>0</v>
      </c>
      <c r="O19" s="44">
        <f t="shared" si="117"/>
        <v>0</v>
      </c>
      <c r="P19" s="44">
        <f t="shared" si="118"/>
        <v>0</v>
      </c>
      <c r="Q19" s="43">
        <f>ROUND((VLOOKUP(A19,'Cumulative pupils per year'!$A$3:$S$88,2,FALSE)),0)</f>
        <v>2</v>
      </c>
      <c r="R19" s="46">
        <f t="shared" si="7"/>
        <v>1</v>
      </c>
      <c r="S19" s="46">
        <f t="shared" si="8"/>
        <v>1</v>
      </c>
      <c r="T19" s="46">
        <f t="shared" si="9"/>
        <v>1</v>
      </c>
      <c r="U19" s="46">
        <f t="shared" si="10"/>
        <v>1</v>
      </c>
      <c r="V19" s="46">
        <f t="shared" si="11"/>
        <v>0</v>
      </c>
      <c r="W19" s="46">
        <f t="shared" si="12"/>
        <v>0</v>
      </c>
      <c r="X19" s="46">
        <f t="shared" si="13"/>
        <v>0</v>
      </c>
      <c r="Y19" s="45">
        <f>ROUND((VLOOKUP(A19,'Cumulative pupils per year'!$A$3:$S$88,3,FALSE)),0)</f>
        <v>4</v>
      </c>
      <c r="Z19" s="274">
        <f t="shared" si="14"/>
        <v>1</v>
      </c>
      <c r="AA19" s="274">
        <f t="shared" si="15"/>
        <v>1</v>
      </c>
      <c r="AB19" s="274">
        <f t="shared" si="16"/>
        <v>1</v>
      </c>
      <c r="AC19" s="274">
        <f t="shared" si="17"/>
        <v>1</v>
      </c>
      <c r="AD19" s="274">
        <f t="shared" si="18"/>
        <v>0</v>
      </c>
      <c r="AE19" s="274">
        <f t="shared" si="19"/>
        <v>0</v>
      </c>
      <c r="AF19" s="274">
        <f t="shared" si="20"/>
        <v>0</v>
      </c>
      <c r="AG19" s="43">
        <f>ROUND((VLOOKUP(A19,'Cumulative pupils per year'!$A$3:$S$88,4,FALSE)),0)</f>
        <v>4</v>
      </c>
      <c r="AH19" s="46">
        <f t="shared" si="21"/>
        <v>1</v>
      </c>
      <c r="AI19" s="46">
        <f t="shared" si="22"/>
        <v>1</v>
      </c>
      <c r="AJ19" s="46">
        <f t="shared" si="23"/>
        <v>1</v>
      </c>
      <c r="AK19" s="46">
        <f t="shared" si="24"/>
        <v>1</v>
      </c>
      <c r="AL19" s="46">
        <f t="shared" si="25"/>
        <v>1</v>
      </c>
      <c r="AM19" s="46">
        <f t="shared" si="26"/>
        <v>1</v>
      </c>
      <c r="AN19" s="46">
        <f t="shared" si="27"/>
        <v>0</v>
      </c>
      <c r="AO19" s="45">
        <f>ROUND((VLOOKUP(A19,'Cumulative pupils per year'!$A$3:$S$88,5,FALSE)),0)</f>
        <v>6</v>
      </c>
      <c r="AP19" s="274">
        <f t="shared" si="28"/>
        <v>2</v>
      </c>
      <c r="AQ19" s="274">
        <f t="shared" si="29"/>
        <v>1</v>
      </c>
      <c r="AR19" s="274">
        <f t="shared" si="30"/>
        <v>1</v>
      </c>
      <c r="AS19" s="274">
        <f t="shared" si="31"/>
        <v>1</v>
      </c>
      <c r="AT19" s="274">
        <f t="shared" si="32"/>
        <v>1</v>
      </c>
      <c r="AU19" s="274">
        <f t="shared" si="33"/>
        <v>1</v>
      </c>
      <c r="AV19" s="274">
        <f t="shared" si="34"/>
        <v>1</v>
      </c>
      <c r="AW19" s="43">
        <f>ROUND((VLOOKUP(A19,'Cumulative pupils per year'!$A$3:$S$88,6,FALSE)),0)</f>
        <v>8</v>
      </c>
      <c r="AX19" s="46">
        <f t="shared" si="35"/>
        <v>2</v>
      </c>
      <c r="AY19" s="46">
        <f t="shared" si="36"/>
        <v>2</v>
      </c>
      <c r="AZ19" s="46">
        <f t="shared" si="37"/>
        <v>1</v>
      </c>
      <c r="BA19" s="46">
        <f t="shared" si="38"/>
        <v>1</v>
      </c>
      <c r="BB19" s="46">
        <f t="shared" si="39"/>
        <v>1</v>
      </c>
      <c r="BC19" s="46">
        <f t="shared" si="40"/>
        <v>1</v>
      </c>
      <c r="BD19" s="46">
        <f t="shared" si="41"/>
        <v>1</v>
      </c>
      <c r="BE19" s="45">
        <f>ROUND((VLOOKUP(A19,'Cumulative pupils per year'!$A$3:$S$88,7,FALSE)),0)</f>
        <v>9</v>
      </c>
      <c r="BF19" s="274">
        <f t="shared" si="42"/>
        <v>2</v>
      </c>
      <c r="BG19" s="274">
        <f t="shared" si="43"/>
        <v>2</v>
      </c>
      <c r="BH19" s="274">
        <f t="shared" si="44"/>
        <v>2</v>
      </c>
      <c r="BI19" s="274">
        <f t="shared" si="45"/>
        <v>2</v>
      </c>
      <c r="BJ19" s="274">
        <f t="shared" si="46"/>
        <v>1</v>
      </c>
      <c r="BK19" s="274">
        <f t="shared" si="47"/>
        <v>1</v>
      </c>
      <c r="BL19" s="274">
        <f t="shared" si="48"/>
        <v>1</v>
      </c>
      <c r="BM19" s="43">
        <f>ROUND((VLOOKUP(A19,'Cumulative pupils per year'!$A$3:$S$88,8,FALSE)),0)</f>
        <v>11</v>
      </c>
      <c r="BN19" s="46">
        <f t="shared" si="49"/>
        <v>2</v>
      </c>
      <c r="BO19" s="46">
        <f t="shared" si="50"/>
        <v>2</v>
      </c>
      <c r="BP19" s="46">
        <f t="shared" si="51"/>
        <v>2</v>
      </c>
      <c r="BQ19" s="46">
        <f t="shared" si="52"/>
        <v>2</v>
      </c>
      <c r="BR19" s="46">
        <f t="shared" si="53"/>
        <v>2</v>
      </c>
      <c r="BS19" s="46">
        <f t="shared" si="54"/>
        <v>2</v>
      </c>
      <c r="BT19" s="46">
        <f t="shared" si="55"/>
        <v>1</v>
      </c>
      <c r="BU19" s="45">
        <f>ROUND((VLOOKUP(A19,'Cumulative pupils per year'!$A$3:$S$88,9,FALSE)),0)</f>
        <v>13</v>
      </c>
      <c r="BV19" s="274">
        <f t="shared" si="56"/>
        <v>3</v>
      </c>
      <c r="BW19" s="274">
        <f t="shared" si="57"/>
        <v>2</v>
      </c>
      <c r="BX19" s="274">
        <f t="shared" si="58"/>
        <v>2</v>
      </c>
      <c r="BY19" s="274">
        <f t="shared" si="59"/>
        <v>2</v>
      </c>
      <c r="BZ19" s="274">
        <f t="shared" si="60"/>
        <v>2</v>
      </c>
      <c r="CA19" s="274">
        <f t="shared" si="61"/>
        <v>2</v>
      </c>
      <c r="CB19" s="274">
        <f t="shared" si="62"/>
        <v>2</v>
      </c>
      <c r="CC19" s="43">
        <f>ROUND((VLOOKUP(A19,'Cumulative pupils per year'!$A$3:$S$88,10,FALSE)),0)</f>
        <v>15</v>
      </c>
      <c r="CD19" s="46">
        <f t="shared" si="63"/>
        <v>3</v>
      </c>
      <c r="CE19" s="46">
        <f t="shared" si="64"/>
        <v>2</v>
      </c>
      <c r="CF19" s="46">
        <f t="shared" si="65"/>
        <v>2</v>
      </c>
      <c r="CG19" s="46">
        <f t="shared" si="66"/>
        <v>2</v>
      </c>
      <c r="CH19" s="46">
        <f t="shared" si="67"/>
        <v>2</v>
      </c>
      <c r="CI19" s="46">
        <f t="shared" si="68"/>
        <v>2</v>
      </c>
      <c r="CJ19" s="46">
        <f t="shared" si="69"/>
        <v>2</v>
      </c>
      <c r="CK19" s="45">
        <f>ROUND((VLOOKUP(A19,'Cumulative pupils per year'!$A$3:$S$88,11,FALSE)),0)</f>
        <v>15</v>
      </c>
      <c r="CL19" s="274">
        <f t="shared" si="70"/>
        <v>3</v>
      </c>
      <c r="CM19" s="274">
        <f t="shared" si="71"/>
        <v>2</v>
      </c>
      <c r="CN19" s="274">
        <f t="shared" si="72"/>
        <v>2</v>
      </c>
      <c r="CO19" s="274">
        <f t="shared" si="73"/>
        <v>2</v>
      </c>
      <c r="CP19" s="274">
        <f t="shared" si="74"/>
        <v>2</v>
      </c>
      <c r="CQ19" s="274">
        <f t="shared" si="75"/>
        <v>2</v>
      </c>
      <c r="CR19" s="274">
        <f t="shared" si="76"/>
        <v>2</v>
      </c>
      <c r="CS19" s="291">
        <f>ROUND((VLOOKUP(A19,'Cumulative pupils per year'!$A$3:$S$88,12,FALSE)),0)</f>
        <v>15</v>
      </c>
      <c r="CT19" s="46">
        <f t="shared" si="77"/>
        <v>3</v>
      </c>
      <c r="CU19" s="46">
        <f t="shared" si="78"/>
        <v>2</v>
      </c>
      <c r="CV19" s="46">
        <f t="shared" si="79"/>
        <v>2</v>
      </c>
      <c r="CW19" s="46">
        <f t="shared" si="80"/>
        <v>2</v>
      </c>
      <c r="CX19" s="46">
        <f t="shared" si="81"/>
        <v>2</v>
      </c>
      <c r="CY19" s="46">
        <f t="shared" si="82"/>
        <v>2</v>
      </c>
      <c r="CZ19" s="46">
        <f t="shared" si="83"/>
        <v>2</v>
      </c>
      <c r="DA19" s="45">
        <f>ROUND((VLOOKUP(A19,'Cumulative pupils per year'!$A$3:$S$88,13,FALSE)),0)</f>
        <v>15</v>
      </c>
      <c r="DB19" s="274">
        <f t="shared" si="84"/>
        <v>3</v>
      </c>
      <c r="DC19" s="274">
        <f t="shared" si="85"/>
        <v>2</v>
      </c>
      <c r="DD19" s="274">
        <f t="shared" si="86"/>
        <v>2</v>
      </c>
      <c r="DE19" s="274">
        <f t="shared" si="87"/>
        <v>2</v>
      </c>
      <c r="DF19" s="274">
        <f t="shared" si="88"/>
        <v>2</v>
      </c>
      <c r="DG19" s="274">
        <f t="shared" si="89"/>
        <v>2</v>
      </c>
      <c r="DH19" s="274">
        <f t="shared" si="90"/>
        <v>2</v>
      </c>
      <c r="DI19" s="291">
        <f>ROUND((VLOOKUP(A19,'Cumulative pupils per year'!$A$3:$S$88,14,FALSE)),0)</f>
        <v>15</v>
      </c>
      <c r="DJ19" s="46">
        <f t="shared" si="91"/>
        <v>3</v>
      </c>
      <c r="DK19" s="46">
        <f t="shared" si="92"/>
        <v>2</v>
      </c>
      <c r="DL19" s="46">
        <f t="shared" si="93"/>
        <v>2</v>
      </c>
      <c r="DM19" s="46">
        <f t="shared" si="94"/>
        <v>2</v>
      </c>
      <c r="DN19" s="46">
        <f t="shared" si="95"/>
        <v>2</v>
      </c>
      <c r="DO19" s="46">
        <f t="shared" si="96"/>
        <v>2</v>
      </c>
      <c r="DP19" s="46">
        <f t="shared" si="97"/>
        <v>2</v>
      </c>
      <c r="DQ19" s="45">
        <f>ROUND((VLOOKUP(A19,'Cumulative pupils per year'!$A$3:$S$88,15,FALSE)),0)</f>
        <v>15</v>
      </c>
    </row>
    <row r="20" spans="1:121">
      <c r="A20" s="4" t="s">
        <v>24</v>
      </c>
      <c r="B20" s="46">
        <v>0</v>
      </c>
      <c r="C20" s="46">
        <v>0</v>
      </c>
      <c r="D20" s="46">
        <v>0</v>
      </c>
      <c r="E20" s="46">
        <v>0</v>
      </c>
      <c r="F20" s="46">
        <v>0</v>
      </c>
      <c r="G20" s="46">
        <v>0</v>
      </c>
      <c r="H20" s="46">
        <v>0</v>
      </c>
      <c r="I20" s="45">
        <v>0</v>
      </c>
      <c r="J20" s="44">
        <f t="shared" si="112"/>
        <v>0</v>
      </c>
      <c r="K20" s="44">
        <f t="shared" si="113"/>
        <v>0</v>
      </c>
      <c r="L20" s="44">
        <f t="shared" si="114"/>
        <v>0</v>
      </c>
      <c r="M20" s="44">
        <f t="shared" si="115"/>
        <v>0</v>
      </c>
      <c r="N20" s="44">
        <f t="shared" si="116"/>
        <v>0</v>
      </c>
      <c r="O20" s="44">
        <f t="shared" si="117"/>
        <v>0</v>
      </c>
      <c r="P20" s="44">
        <f t="shared" si="118"/>
        <v>0</v>
      </c>
      <c r="Q20" s="43">
        <f>ROUND((VLOOKUP(A20,'Cumulative pupils per year'!$A$3:$S$88,2,FALSE)),0)</f>
        <v>0</v>
      </c>
      <c r="R20" s="46">
        <f t="shared" si="7"/>
        <v>0</v>
      </c>
      <c r="S20" s="46">
        <f t="shared" si="8"/>
        <v>0</v>
      </c>
      <c r="T20" s="46">
        <f t="shared" si="9"/>
        <v>0</v>
      </c>
      <c r="U20" s="46">
        <f t="shared" si="10"/>
        <v>0</v>
      </c>
      <c r="V20" s="46">
        <f t="shared" si="11"/>
        <v>0</v>
      </c>
      <c r="W20" s="46">
        <f t="shared" si="12"/>
        <v>0</v>
      </c>
      <c r="X20" s="46">
        <f t="shared" si="13"/>
        <v>0</v>
      </c>
      <c r="Y20" s="45">
        <f>ROUND((VLOOKUP(A20,'Cumulative pupils per year'!$A$3:$S$88,3,FALSE)),0)</f>
        <v>0</v>
      </c>
      <c r="Z20" s="274">
        <f t="shared" si="14"/>
        <v>0</v>
      </c>
      <c r="AA20" s="274">
        <f t="shared" si="15"/>
        <v>0</v>
      </c>
      <c r="AB20" s="274">
        <f t="shared" si="16"/>
        <v>0</v>
      </c>
      <c r="AC20" s="274">
        <f t="shared" si="17"/>
        <v>0</v>
      </c>
      <c r="AD20" s="274">
        <f t="shared" si="18"/>
        <v>0</v>
      </c>
      <c r="AE20" s="274">
        <f t="shared" si="19"/>
        <v>0</v>
      </c>
      <c r="AF20" s="274">
        <f t="shared" si="20"/>
        <v>0</v>
      </c>
      <c r="AG20" s="43">
        <f>ROUND((VLOOKUP(A20,'Cumulative pupils per year'!$A$3:$S$88,4,FALSE)),0)</f>
        <v>0</v>
      </c>
      <c r="AH20" s="46">
        <f t="shared" si="21"/>
        <v>0</v>
      </c>
      <c r="AI20" s="46">
        <f t="shared" si="22"/>
        <v>0</v>
      </c>
      <c r="AJ20" s="46">
        <f t="shared" si="23"/>
        <v>0</v>
      </c>
      <c r="AK20" s="46">
        <f t="shared" si="24"/>
        <v>0</v>
      </c>
      <c r="AL20" s="46">
        <f t="shared" si="25"/>
        <v>0</v>
      </c>
      <c r="AM20" s="46">
        <f t="shared" si="26"/>
        <v>0</v>
      </c>
      <c r="AN20" s="46">
        <f t="shared" si="27"/>
        <v>0</v>
      </c>
      <c r="AO20" s="45">
        <f>ROUND((VLOOKUP(A20,'Cumulative pupils per year'!$A$3:$S$88,5,FALSE)),0)</f>
        <v>0</v>
      </c>
      <c r="AP20" s="274">
        <f t="shared" si="28"/>
        <v>0</v>
      </c>
      <c r="AQ20" s="274">
        <f t="shared" si="29"/>
        <v>0</v>
      </c>
      <c r="AR20" s="274">
        <f t="shared" si="30"/>
        <v>0</v>
      </c>
      <c r="AS20" s="274">
        <f t="shared" si="31"/>
        <v>0</v>
      </c>
      <c r="AT20" s="274">
        <f t="shared" si="32"/>
        <v>0</v>
      </c>
      <c r="AU20" s="274">
        <f t="shared" si="33"/>
        <v>0</v>
      </c>
      <c r="AV20" s="274">
        <f t="shared" si="34"/>
        <v>0</v>
      </c>
      <c r="AW20" s="43">
        <f>ROUND((VLOOKUP(A20,'Cumulative pupils per year'!$A$3:$S$88,6,FALSE)),0)</f>
        <v>0</v>
      </c>
      <c r="AX20" s="46">
        <f t="shared" si="35"/>
        <v>0</v>
      </c>
      <c r="AY20" s="46">
        <f t="shared" si="36"/>
        <v>0</v>
      </c>
      <c r="AZ20" s="46">
        <f t="shared" si="37"/>
        <v>0</v>
      </c>
      <c r="BA20" s="46">
        <f t="shared" si="38"/>
        <v>0</v>
      </c>
      <c r="BB20" s="46">
        <f t="shared" si="39"/>
        <v>0</v>
      </c>
      <c r="BC20" s="46">
        <f t="shared" si="40"/>
        <v>0</v>
      </c>
      <c r="BD20" s="46">
        <f t="shared" si="41"/>
        <v>0</v>
      </c>
      <c r="BE20" s="45">
        <f>ROUND((VLOOKUP(A20,'Cumulative pupils per year'!$A$3:$S$88,7,FALSE)),0)</f>
        <v>0</v>
      </c>
      <c r="BF20" s="274">
        <f t="shared" si="42"/>
        <v>0</v>
      </c>
      <c r="BG20" s="274">
        <f t="shared" si="43"/>
        <v>0</v>
      </c>
      <c r="BH20" s="274">
        <f t="shared" si="44"/>
        <v>0</v>
      </c>
      <c r="BI20" s="274">
        <f t="shared" si="45"/>
        <v>0</v>
      </c>
      <c r="BJ20" s="274">
        <f t="shared" si="46"/>
        <v>0</v>
      </c>
      <c r="BK20" s="274">
        <f t="shared" si="47"/>
        <v>0</v>
      </c>
      <c r="BL20" s="274">
        <f t="shared" si="48"/>
        <v>0</v>
      </c>
      <c r="BM20" s="43">
        <f>ROUND((VLOOKUP(A20,'Cumulative pupils per year'!$A$3:$S$88,8,FALSE)),0)</f>
        <v>0</v>
      </c>
      <c r="BN20" s="46">
        <f t="shared" si="49"/>
        <v>0</v>
      </c>
      <c r="BO20" s="46">
        <f t="shared" si="50"/>
        <v>0</v>
      </c>
      <c r="BP20" s="46">
        <f t="shared" si="51"/>
        <v>0</v>
      </c>
      <c r="BQ20" s="46">
        <f t="shared" si="52"/>
        <v>0</v>
      </c>
      <c r="BR20" s="46">
        <f t="shared" si="53"/>
        <v>0</v>
      </c>
      <c r="BS20" s="46">
        <f t="shared" si="54"/>
        <v>0</v>
      </c>
      <c r="BT20" s="46">
        <f t="shared" si="55"/>
        <v>0</v>
      </c>
      <c r="BU20" s="45">
        <f>ROUND((VLOOKUP(A20,'Cumulative pupils per year'!$A$3:$S$88,9,FALSE)),0)</f>
        <v>0</v>
      </c>
      <c r="BV20" s="274">
        <f t="shared" si="56"/>
        <v>0</v>
      </c>
      <c r="BW20" s="274">
        <f t="shared" si="57"/>
        <v>0</v>
      </c>
      <c r="BX20" s="274">
        <f t="shared" si="58"/>
        <v>0</v>
      </c>
      <c r="BY20" s="274">
        <f t="shared" si="59"/>
        <v>0</v>
      </c>
      <c r="BZ20" s="274">
        <f t="shared" si="60"/>
        <v>0</v>
      </c>
      <c r="CA20" s="274">
        <f t="shared" si="61"/>
        <v>0</v>
      </c>
      <c r="CB20" s="274">
        <f t="shared" si="62"/>
        <v>0</v>
      </c>
      <c r="CC20" s="43">
        <f>ROUND((VLOOKUP(A20,'Cumulative pupils per year'!$A$3:$S$88,10,FALSE)),0)</f>
        <v>0</v>
      </c>
      <c r="CD20" s="46">
        <f t="shared" si="63"/>
        <v>0</v>
      </c>
      <c r="CE20" s="46">
        <f t="shared" si="64"/>
        <v>0</v>
      </c>
      <c r="CF20" s="46">
        <f t="shared" si="65"/>
        <v>0</v>
      </c>
      <c r="CG20" s="46">
        <f t="shared" si="66"/>
        <v>0</v>
      </c>
      <c r="CH20" s="46">
        <f t="shared" si="67"/>
        <v>0</v>
      </c>
      <c r="CI20" s="46">
        <f t="shared" si="68"/>
        <v>0</v>
      </c>
      <c r="CJ20" s="46">
        <f t="shared" si="69"/>
        <v>0</v>
      </c>
      <c r="CK20" s="45">
        <f>ROUND((VLOOKUP(A20,'Cumulative pupils per year'!$A$3:$S$88,11,FALSE)),0)</f>
        <v>0</v>
      </c>
      <c r="CL20" s="274">
        <f t="shared" si="70"/>
        <v>0</v>
      </c>
      <c r="CM20" s="274">
        <f t="shared" si="71"/>
        <v>0</v>
      </c>
      <c r="CN20" s="274">
        <f t="shared" si="72"/>
        <v>0</v>
      </c>
      <c r="CO20" s="274">
        <f t="shared" si="73"/>
        <v>0</v>
      </c>
      <c r="CP20" s="274">
        <f t="shared" si="74"/>
        <v>0</v>
      </c>
      <c r="CQ20" s="274">
        <f t="shared" si="75"/>
        <v>0</v>
      </c>
      <c r="CR20" s="274">
        <f t="shared" si="76"/>
        <v>0</v>
      </c>
      <c r="CS20" s="291">
        <f>ROUND((VLOOKUP(A20,'Cumulative pupils per year'!$A$3:$S$88,12,FALSE)),0)</f>
        <v>0</v>
      </c>
      <c r="CT20" s="46">
        <f t="shared" si="77"/>
        <v>0</v>
      </c>
      <c r="CU20" s="46">
        <f t="shared" si="78"/>
        <v>0</v>
      </c>
      <c r="CV20" s="46">
        <f t="shared" si="79"/>
        <v>0</v>
      </c>
      <c r="CW20" s="46">
        <f t="shared" si="80"/>
        <v>0</v>
      </c>
      <c r="CX20" s="46">
        <f t="shared" si="81"/>
        <v>0</v>
      </c>
      <c r="CY20" s="46">
        <f t="shared" si="82"/>
        <v>0</v>
      </c>
      <c r="CZ20" s="46">
        <f t="shared" si="83"/>
        <v>0</v>
      </c>
      <c r="DA20" s="45">
        <f>ROUND((VLOOKUP(A20,'Cumulative pupils per year'!$A$3:$S$88,13,FALSE)),0)</f>
        <v>0</v>
      </c>
      <c r="DB20" s="274">
        <f t="shared" si="84"/>
        <v>0</v>
      </c>
      <c r="DC20" s="274">
        <f t="shared" si="85"/>
        <v>0</v>
      </c>
      <c r="DD20" s="274">
        <f t="shared" si="86"/>
        <v>0</v>
      </c>
      <c r="DE20" s="274">
        <f t="shared" si="87"/>
        <v>0</v>
      </c>
      <c r="DF20" s="274">
        <f t="shared" si="88"/>
        <v>0</v>
      </c>
      <c r="DG20" s="274">
        <f t="shared" si="89"/>
        <v>0</v>
      </c>
      <c r="DH20" s="274">
        <f t="shared" si="90"/>
        <v>0</v>
      </c>
      <c r="DI20" s="291">
        <f>ROUND((VLOOKUP(A20,'Cumulative pupils per year'!$A$3:$S$88,14,FALSE)),0)</f>
        <v>0</v>
      </c>
      <c r="DJ20" s="46">
        <f t="shared" si="91"/>
        <v>0</v>
      </c>
      <c r="DK20" s="46">
        <f t="shared" si="92"/>
        <v>0</v>
      </c>
      <c r="DL20" s="46">
        <f t="shared" si="93"/>
        <v>0</v>
      </c>
      <c r="DM20" s="46">
        <f t="shared" si="94"/>
        <v>0</v>
      </c>
      <c r="DN20" s="46">
        <f t="shared" si="95"/>
        <v>0</v>
      </c>
      <c r="DO20" s="46">
        <f t="shared" si="96"/>
        <v>0</v>
      </c>
      <c r="DP20" s="46">
        <f t="shared" si="97"/>
        <v>0</v>
      </c>
      <c r="DQ20" s="45">
        <f>ROUND((VLOOKUP(A20,'Cumulative pupils per year'!$A$3:$S$88,15,FALSE)),0)</f>
        <v>0</v>
      </c>
    </row>
    <row r="21" spans="1:121">
      <c r="A21" s="4" t="s">
        <v>82</v>
      </c>
      <c r="B21" s="46">
        <v>0</v>
      </c>
      <c r="C21" s="46">
        <v>0</v>
      </c>
      <c r="D21" s="46">
        <v>0</v>
      </c>
      <c r="E21" s="46">
        <v>0</v>
      </c>
      <c r="F21" s="46">
        <v>0</v>
      </c>
      <c r="G21" s="46">
        <v>0</v>
      </c>
      <c r="H21" s="46">
        <v>0</v>
      </c>
      <c r="I21" s="45">
        <v>0</v>
      </c>
      <c r="J21" s="44">
        <f t="shared" si="112"/>
        <v>0</v>
      </c>
      <c r="K21" s="44">
        <f t="shared" si="113"/>
        <v>0</v>
      </c>
      <c r="L21" s="44">
        <f t="shared" si="114"/>
        <v>0</v>
      </c>
      <c r="M21" s="44">
        <f t="shared" si="115"/>
        <v>0</v>
      </c>
      <c r="N21" s="44">
        <f t="shared" si="116"/>
        <v>0</v>
      </c>
      <c r="O21" s="44">
        <f t="shared" si="117"/>
        <v>0</v>
      </c>
      <c r="P21" s="44">
        <f t="shared" si="118"/>
        <v>0</v>
      </c>
      <c r="Q21" s="43">
        <f>ROUND((VLOOKUP(A21,'Cumulative pupils per year'!$A$3:$S$88,2,FALSE)),0)</f>
        <v>0</v>
      </c>
      <c r="R21" s="46">
        <f t="shared" si="7"/>
        <v>1</v>
      </c>
      <c r="S21" s="46">
        <f t="shared" si="8"/>
        <v>1</v>
      </c>
      <c r="T21" s="46">
        <f t="shared" si="9"/>
        <v>1</v>
      </c>
      <c r="U21" s="46">
        <f t="shared" si="10"/>
        <v>1</v>
      </c>
      <c r="V21" s="46">
        <f t="shared" si="11"/>
        <v>1</v>
      </c>
      <c r="W21" s="46">
        <f t="shared" si="12"/>
        <v>1</v>
      </c>
      <c r="X21" s="46">
        <f t="shared" si="13"/>
        <v>0</v>
      </c>
      <c r="Y21" s="45">
        <f>ROUND((VLOOKUP(A21,'Cumulative pupils per year'!$A$3:$S$88,3,FALSE)),0)</f>
        <v>6</v>
      </c>
      <c r="Z21" s="274">
        <f t="shared" si="14"/>
        <v>4</v>
      </c>
      <c r="AA21" s="274">
        <f t="shared" si="15"/>
        <v>4</v>
      </c>
      <c r="AB21" s="274">
        <f t="shared" si="16"/>
        <v>4</v>
      </c>
      <c r="AC21" s="274">
        <f t="shared" si="17"/>
        <v>4</v>
      </c>
      <c r="AD21" s="274">
        <f t="shared" si="18"/>
        <v>4</v>
      </c>
      <c r="AE21" s="274">
        <f t="shared" si="19"/>
        <v>4</v>
      </c>
      <c r="AF21" s="274">
        <f t="shared" si="20"/>
        <v>3</v>
      </c>
      <c r="AG21" s="43">
        <f>ROUND((VLOOKUP(A21,'Cumulative pupils per year'!$A$3:$S$88,4,FALSE)),0)</f>
        <v>27</v>
      </c>
      <c r="AH21" s="46">
        <f t="shared" si="21"/>
        <v>8</v>
      </c>
      <c r="AI21" s="46">
        <f t="shared" si="22"/>
        <v>8</v>
      </c>
      <c r="AJ21" s="46">
        <f t="shared" si="23"/>
        <v>8</v>
      </c>
      <c r="AK21" s="46">
        <f t="shared" si="24"/>
        <v>7</v>
      </c>
      <c r="AL21" s="46">
        <f t="shared" si="25"/>
        <v>7</v>
      </c>
      <c r="AM21" s="46">
        <f t="shared" si="26"/>
        <v>7</v>
      </c>
      <c r="AN21" s="46">
        <f t="shared" si="27"/>
        <v>7</v>
      </c>
      <c r="AO21" s="45">
        <f>ROUND((VLOOKUP(A21,'Cumulative pupils per year'!$A$3:$S$88,5,FALSE)),0)</f>
        <v>52</v>
      </c>
      <c r="AP21" s="274">
        <f t="shared" si="28"/>
        <v>10</v>
      </c>
      <c r="AQ21" s="274">
        <f t="shared" si="29"/>
        <v>10</v>
      </c>
      <c r="AR21" s="274">
        <f t="shared" si="30"/>
        <v>10</v>
      </c>
      <c r="AS21" s="274">
        <f t="shared" si="31"/>
        <v>10</v>
      </c>
      <c r="AT21" s="274">
        <f t="shared" si="32"/>
        <v>10</v>
      </c>
      <c r="AU21" s="274">
        <f t="shared" si="33"/>
        <v>9</v>
      </c>
      <c r="AV21" s="274">
        <f t="shared" si="34"/>
        <v>9</v>
      </c>
      <c r="AW21" s="43">
        <f>ROUND((VLOOKUP(A21,'Cumulative pupils per year'!$A$3:$S$88,6,FALSE)),0)</f>
        <v>68</v>
      </c>
      <c r="AX21" s="46">
        <f t="shared" si="35"/>
        <v>13</v>
      </c>
      <c r="AY21" s="46">
        <f t="shared" si="36"/>
        <v>13</v>
      </c>
      <c r="AZ21" s="46">
        <f t="shared" si="37"/>
        <v>13</v>
      </c>
      <c r="BA21" s="46">
        <f t="shared" si="38"/>
        <v>13</v>
      </c>
      <c r="BB21" s="46">
        <f t="shared" si="39"/>
        <v>12</v>
      </c>
      <c r="BC21" s="46">
        <f t="shared" si="40"/>
        <v>12</v>
      </c>
      <c r="BD21" s="46">
        <f t="shared" si="41"/>
        <v>12</v>
      </c>
      <c r="BE21" s="45">
        <f>ROUND((VLOOKUP(A21,'Cumulative pupils per year'!$A$3:$S$88,7,FALSE)),0)</f>
        <v>88</v>
      </c>
      <c r="BF21" s="274">
        <f t="shared" si="42"/>
        <v>16</v>
      </c>
      <c r="BG21" s="274">
        <f t="shared" si="43"/>
        <v>16</v>
      </c>
      <c r="BH21" s="274">
        <f t="shared" si="44"/>
        <v>16</v>
      </c>
      <c r="BI21" s="274">
        <f t="shared" si="45"/>
        <v>16</v>
      </c>
      <c r="BJ21" s="274">
        <f t="shared" si="46"/>
        <v>16</v>
      </c>
      <c r="BK21" s="274">
        <f t="shared" si="47"/>
        <v>16</v>
      </c>
      <c r="BL21" s="274">
        <f t="shared" si="48"/>
        <v>15</v>
      </c>
      <c r="BM21" s="43">
        <f>ROUND((VLOOKUP(A21,'Cumulative pupils per year'!$A$3:$S$88,8,FALSE)),0)</f>
        <v>111</v>
      </c>
      <c r="BN21" s="46">
        <f t="shared" si="49"/>
        <v>20</v>
      </c>
      <c r="BO21" s="46">
        <f t="shared" si="50"/>
        <v>19</v>
      </c>
      <c r="BP21" s="46">
        <f t="shared" si="51"/>
        <v>19</v>
      </c>
      <c r="BQ21" s="46">
        <f t="shared" si="52"/>
        <v>19</v>
      </c>
      <c r="BR21" s="46">
        <f t="shared" si="53"/>
        <v>19</v>
      </c>
      <c r="BS21" s="46">
        <f t="shared" si="54"/>
        <v>19</v>
      </c>
      <c r="BT21" s="46">
        <f t="shared" si="55"/>
        <v>19</v>
      </c>
      <c r="BU21" s="45">
        <f>ROUND((VLOOKUP(A21,'Cumulative pupils per year'!$A$3:$S$88,9,FALSE)),0)</f>
        <v>134</v>
      </c>
      <c r="BV21" s="274">
        <f t="shared" si="56"/>
        <v>22</v>
      </c>
      <c r="BW21" s="274">
        <f t="shared" si="57"/>
        <v>22</v>
      </c>
      <c r="BX21" s="274">
        <f t="shared" si="58"/>
        <v>22</v>
      </c>
      <c r="BY21" s="274">
        <f t="shared" si="59"/>
        <v>22</v>
      </c>
      <c r="BZ21" s="274">
        <f t="shared" si="60"/>
        <v>22</v>
      </c>
      <c r="CA21" s="274">
        <f t="shared" si="61"/>
        <v>22</v>
      </c>
      <c r="CB21" s="274">
        <f t="shared" si="62"/>
        <v>21</v>
      </c>
      <c r="CC21" s="43">
        <f>ROUND((VLOOKUP(A21,'Cumulative pupils per year'!$A$3:$S$88,10,FALSE)),0)</f>
        <v>153</v>
      </c>
      <c r="CD21" s="46">
        <f t="shared" si="63"/>
        <v>22</v>
      </c>
      <c r="CE21" s="46">
        <f t="shared" si="64"/>
        <v>22</v>
      </c>
      <c r="CF21" s="46">
        <f t="shared" si="65"/>
        <v>22</v>
      </c>
      <c r="CG21" s="46">
        <f t="shared" si="66"/>
        <v>22</v>
      </c>
      <c r="CH21" s="46">
        <f t="shared" si="67"/>
        <v>22</v>
      </c>
      <c r="CI21" s="46">
        <f t="shared" si="68"/>
        <v>22</v>
      </c>
      <c r="CJ21" s="46">
        <f t="shared" si="69"/>
        <v>21</v>
      </c>
      <c r="CK21" s="45">
        <f>ROUND((VLOOKUP(A21,'Cumulative pupils per year'!$A$3:$S$88,11,FALSE)),0)</f>
        <v>153</v>
      </c>
      <c r="CL21" s="274">
        <f t="shared" si="70"/>
        <v>22</v>
      </c>
      <c r="CM21" s="274">
        <f t="shared" si="71"/>
        <v>22</v>
      </c>
      <c r="CN21" s="274">
        <f t="shared" si="72"/>
        <v>22</v>
      </c>
      <c r="CO21" s="274">
        <f t="shared" si="73"/>
        <v>22</v>
      </c>
      <c r="CP21" s="274">
        <f t="shared" si="74"/>
        <v>22</v>
      </c>
      <c r="CQ21" s="274">
        <f t="shared" si="75"/>
        <v>22</v>
      </c>
      <c r="CR21" s="274">
        <f t="shared" si="76"/>
        <v>21</v>
      </c>
      <c r="CS21" s="291">
        <f>ROUND((VLOOKUP(A21,'Cumulative pupils per year'!$A$3:$S$88,12,FALSE)),0)</f>
        <v>153</v>
      </c>
      <c r="CT21" s="46">
        <f t="shared" si="77"/>
        <v>22</v>
      </c>
      <c r="CU21" s="46">
        <f t="shared" si="78"/>
        <v>22</v>
      </c>
      <c r="CV21" s="46">
        <f t="shared" si="79"/>
        <v>22</v>
      </c>
      <c r="CW21" s="46">
        <f t="shared" si="80"/>
        <v>22</v>
      </c>
      <c r="CX21" s="46">
        <f t="shared" si="81"/>
        <v>22</v>
      </c>
      <c r="CY21" s="46">
        <f t="shared" si="82"/>
        <v>22</v>
      </c>
      <c r="CZ21" s="46">
        <f t="shared" si="83"/>
        <v>21</v>
      </c>
      <c r="DA21" s="45">
        <f>ROUND((VLOOKUP(A21,'Cumulative pupils per year'!$A$3:$S$88,13,FALSE)),0)</f>
        <v>153</v>
      </c>
      <c r="DB21" s="274">
        <f t="shared" si="84"/>
        <v>22</v>
      </c>
      <c r="DC21" s="274">
        <f t="shared" si="85"/>
        <v>22</v>
      </c>
      <c r="DD21" s="274">
        <f t="shared" si="86"/>
        <v>22</v>
      </c>
      <c r="DE21" s="274">
        <f t="shared" si="87"/>
        <v>22</v>
      </c>
      <c r="DF21" s="274">
        <f t="shared" si="88"/>
        <v>22</v>
      </c>
      <c r="DG21" s="274">
        <f t="shared" si="89"/>
        <v>22</v>
      </c>
      <c r="DH21" s="274">
        <f t="shared" si="90"/>
        <v>21</v>
      </c>
      <c r="DI21" s="291">
        <f>ROUND((VLOOKUP(A21,'Cumulative pupils per year'!$A$3:$S$88,14,FALSE)),0)</f>
        <v>153</v>
      </c>
      <c r="DJ21" s="46">
        <f t="shared" si="91"/>
        <v>22</v>
      </c>
      <c r="DK21" s="46">
        <f t="shared" si="92"/>
        <v>22</v>
      </c>
      <c r="DL21" s="46">
        <f t="shared" si="93"/>
        <v>22</v>
      </c>
      <c r="DM21" s="46">
        <f t="shared" si="94"/>
        <v>22</v>
      </c>
      <c r="DN21" s="46">
        <f t="shared" si="95"/>
        <v>22</v>
      </c>
      <c r="DO21" s="46">
        <f t="shared" si="96"/>
        <v>22</v>
      </c>
      <c r="DP21" s="46">
        <f t="shared" si="97"/>
        <v>21</v>
      </c>
      <c r="DQ21" s="45">
        <f>ROUND((VLOOKUP(A21,'Cumulative pupils per year'!$A$3:$S$88,15,FALSE)),0)</f>
        <v>153</v>
      </c>
    </row>
    <row r="22" spans="1:121">
      <c r="A22" s="4" t="s">
        <v>76</v>
      </c>
      <c r="B22" s="46">
        <v>2</v>
      </c>
      <c r="C22" s="46">
        <v>2</v>
      </c>
      <c r="D22" s="46">
        <v>2</v>
      </c>
      <c r="E22" s="46">
        <v>2</v>
      </c>
      <c r="F22" s="46">
        <v>2</v>
      </c>
      <c r="G22" s="46">
        <v>1</v>
      </c>
      <c r="H22" s="46">
        <v>1</v>
      </c>
      <c r="I22" s="45">
        <v>12</v>
      </c>
      <c r="J22" s="44">
        <f t="shared" si="112"/>
        <v>3</v>
      </c>
      <c r="K22" s="44">
        <f t="shared" si="113"/>
        <v>3</v>
      </c>
      <c r="L22" s="44">
        <f t="shared" si="114"/>
        <v>2</v>
      </c>
      <c r="M22" s="44">
        <f t="shared" si="115"/>
        <v>2</v>
      </c>
      <c r="N22" s="44">
        <f t="shared" si="116"/>
        <v>2</v>
      </c>
      <c r="O22" s="44">
        <f t="shared" si="117"/>
        <v>2</v>
      </c>
      <c r="P22" s="44">
        <f t="shared" si="118"/>
        <v>2</v>
      </c>
      <c r="Q22" s="43">
        <f>ROUND((VLOOKUP(A22,'Cumulative pupils per year'!$A$3:$S$88,2,FALSE)),0)</f>
        <v>16</v>
      </c>
      <c r="R22" s="46">
        <f t="shared" si="7"/>
        <v>3</v>
      </c>
      <c r="S22" s="46">
        <f t="shared" si="8"/>
        <v>3</v>
      </c>
      <c r="T22" s="46">
        <f t="shared" si="9"/>
        <v>2</v>
      </c>
      <c r="U22" s="46">
        <f t="shared" si="10"/>
        <v>2</v>
      </c>
      <c r="V22" s="46">
        <f t="shared" si="11"/>
        <v>2</v>
      </c>
      <c r="W22" s="46">
        <f t="shared" si="12"/>
        <v>2</v>
      </c>
      <c r="X22" s="46">
        <f t="shared" si="13"/>
        <v>2</v>
      </c>
      <c r="Y22" s="45">
        <f>ROUND((VLOOKUP(A22,'Cumulative pupils per year'!$A$3:$S$88,3,FALSE)),0)</f>
        <v>16</v>
      </c>
      <c r="Z22" s="274">
        <f t="shared" si="14"/>
        <v>4</v>
      </c>
      <c r="AA22" s="274">
        <f t="shared" si="15"/>
        <v>4</v>
      </c>
      <c r="AB22" s="274">
        <f t="shared" si="16"/>
        <v>4</v>
      </c>
      <c r="AC22" s="274">
        <f t="shared" si="17"/>
        <v>3</v>
      </c>
      <c r="AD22" s="274">
        <f t="shared" si="18"/>
        <v>3</v>
      </c>
      <c r="AE22" s="274">
        <f t="shared" si="19"/>
        <v>3</v>
      </c>
      <c r="AF22" s="274">
        <f t="shared" si="20"/>
        <v>3</v>
      </c>
      <c r="AG22" s="43">
        <f>ROUND((VLOOKUP(A22,'Cumulative pupils per year'!$A$3:$S$88,4,FALSE)),0)</f>
        <v>24</v>
      </c>
      <c r="AH22" s="46">
        <f t="shared" si="21"/>
        <v>6</v>
      </c>
      <c r="AI22" s="46">
        <f t="shared" si="22"/>
        <v>6</v>
      </c>
      <c r="AJ22" s="46">
        <f t="shared" si="23"/>
        <v>5</v>
      </c>
      <c r="AK22" s="46">
        <f t="shared" si="24"/>
        <v>5</v>
      </c>
      <c r="AL22" s="46">
        <f t="shared" si="25"/>
        <v>5</v>
      </c>
      <c r="AM22" s="46">
        <f t="shared" si="26"/>
        <v>5</v>
      </c>
      <c r="AN22" s="46">
        <f t="shared" si="27"/>
        <v>5</v>
      </c>
      <c r="AO22" s="45">
        <f>ROUND((VLOOKUP(A22,'Cumulative pupils per year'!$A$3:$S$88,5,FALSE)),0)</f>
        <v>37</v>
      </c>
      <c r="AP22" s="274">
        <f t="shared" si="28"/>
        <v>7</v>
      </c>
      <c r="AQ22" s="274">
        <f t="shared" si="29"/>
        <v>7</v>
      </c>
      <c r="AR22" s="274">
        <f t="shared" si="30"/>
        <v>7</v>
      </c>
      <c r="AS22" s="274">
        <f t="shared" si="31"/>
        <v>7</v>
      </c>
      <c r="AT22" s="274">
        <f t="shared" si="32"/>
        <v>7</v>
      </c>
      <c r="AU22" s="274">
        <f t="shared" si="33"/>
        <v>6</v>
      </c>
      <c r="AV22" s="274">
        <f t="shared" si="34"/>
        <v>6</v>
      </c>
      <c r="AW22" s="43">
        <f>ROUND((VLOOKUP(A22,'Cumulative pupils per year'!$A$3:$S$88,6,FALSE)),0)</f>
        <v>47</v>
      </c>
      <c r="AX22" s="46">
        <f t="shared" si="35"/>
        <v>8</v>
      </c>
      <c r="AY22" s="46">
        <f t="shared" si="36"/>
        <v>8</v>
      </c>
      <c r="AZ22" s="46">
        <f t="shared" si="37"/>
        <v>8</v>
      </c>
      <c r="BA22" s="46">
        <f t="shared" si="38"/>
        <v>8</v>
      </c>
      <c r="BB22" s="46">
        <f t="shared" si="39"/>
        <v>8</v>
      </c>
      <c r="BC22" s="46">
        <f t="shared" si="40"/>
        <v>7</v>
      </c>
      <c r="BD22" s="46">
        <f t="shared" si="41"/>
        <v>7</v>
      </c>
      <c r="BE22" s="45">
        <f>ROUND((VLOOKUP(A22,'Cumulative pupils per year'!$A$3:$S$88,7,FALSE)),0)</f>
        <v>54</v>
      </c>
      <c r="BF22" s="274">
        <f t="shared" si="42"/>
        <v>9</v>
      </c>
      <c r="BG22" s="274">
        <f t="shared" si="43"/>
        <v>9</v>
      </c>
      <c r="BH22" s="274">
        <f t="shared" si="44"/>
        <v>9</v>
      </c>
      <c r="BI22" s="274">
        <f t="shared" si="45"/>
        <v>9</v>
      </c>
      <c r="BJ22" s="274">
        <f t="shared" si="46"/>
        <v>9</v>
      </c>
      <c r="BK22" s="274">
        <f t="shared" si="47"/>
        <v>8</v>
      </c>
      <c r="BL22" s="274">
        <f t="shared" si="48"/>
        <v>8</v>
      </c>
      <c r="BM22" s="43">
        <f>ROUND((VLOOKUP(A22,'Cumulative pupils per year'!$A$3:$S$88,8,FALSE)),0)</f>
        <v>61</v>
      </c>
      <c r="BN22" s="46">
        <f t="shared" si="49"/>
        <v>10</v>
      </c>
      <c r="BO22" s="46">
        <f t="shared" si="50"/>
        <v>10</v>
      </c>
      <c r="BP22" s="46">
        <f t="shared" si="51"/>
        <v>10</v>
      </c>
      <c r="BQ22" s="46">
        <f t="shared" si="52"/>
        <v>10</v>
      </c>
      <c r="BR22" s="46">
        <f t="shared" si="53"/>
        <v>10</v>
      </c>
      <c r="BS22" s="46">
        <f t="shared" si="54"/>
        <v>9</v>
      </c>
      <c r="BT22" s="46">
        <f t="shared" si="55"/>
        <v>9</v>
      </c>
      <c r="BU22" s="45">
        <f>ROUND((VLOOKUP(A22,'Cumulative pupils per year'!$A$3:$S$88,9,FALSE)),0)</f>
        <v>68</v>
      </c>
      <c r="BV22" s="274">
        <f t="shared" si="56"/>
        <v>11</v>
      </c>
      <c r="BW22" s="274">
        <f t="shared" si="57"/>
        <v>11</v>
      </c>
      <c r="BX22" s="274">
        <f t="shared" si="58"/>
        <v>11</v>
      </c>
      <c r="BY22" s="274">
        <f t="shared" si="59"/>
        <v>11</v>
      </c>
      <c r="BZ22" s="274">
        <f t="shared" si="60"/>
        <v>10</v>
      </c>
      <c r="CA22" s="274">
        <f t="shared" si="61"/>
        <v>10</v>
      </c>
      <c r="CB22" s="274">
        <f t="shared" si="62"/>
        <v>10</v>
      </c>
      <c r="CC22" s="43">
        <f>ROUND((VLOOKUP(A22,'Cumulative pupils per year'!$A$3:$S$88,10,FALSE)),0)</f>
        <v>74</v>
      </c>
      <c r="CD22" s="46">
        <f t="shared" si="63"/>
        <v>11</v>
      </c>
      <c r="CE22" s="46">
        <f t="shared" si="64"/>
        <v>11</v>
      </c>
      <c r="CF22" s="46">
        <f t="shared" si="65"/>
        <v>11</v>
      </c>
      <c r="CG22" s="46">
        <f t="shared" si="66"/>
        <v>11</v>
      </c>
      <c r="CH22" s="46">
        <f t="shared" si="67"/>
        <v>10</v>
      </c>
      <c r="CI22" s="46">
        <f t="shared" si="68"/>
        <v>10</v>
      </c>
      <c r="CJ22" s="46">
        <f t="shared" si="69"/>
        <v>10</v>
      </c>
      <c r="CK22" s="45">
        <f>ROUND((VLOOKUP(A22,'Cumulative pupils per year'!$A$3:$S$88,11,FALSE)),0)</f>
        <v>74</v>
      </c>
      <c r="CL22" s="274">
        <f t="shared" si="70"/>
        <v>11</v>
      </c>
      <c r="CM22" s="274">
        <f t="shared" si="71"/>
        <v>11</v>
      </c>
      <c r="CN22" s="274">
        <f t="shared" si="72"/>
        <v>11</v>
      </c>
      <c r="CO22" s="274">
        <f t="shared" si="73"/>
        <v>11</v>
      </c>
      <c r="CP22" s="274">
        <f t="shared" si="74"/>
        <v>10</v>
      </c>
      <c r="CQ22" s="274">
        <f t="shared" si="75"/>
        <v>10</v>
      </c>
      <c r="CR22" s="274">
        <f t="shared" si="76"/>
        <v>10</v>
      </c>
      <c r="CS22" s="291">
        <f>ROUND((VLOOKUP(A22,'Cumulative pupils per year'!$A$3:$S$88,12,FALSE)),0)</f>
        <v>74</v>
      </c>
      <c r="CT22" s="46">
        <f t="shared" si="77"/>
        <v>11</v>
      </c>
      <c r="CU22" s="46">
        <f t="shared" si="78"/>
        <v>11</v>
      </c>
      <c r="CV22" s="46">
        <f t="shared" si="79"/>
        <v>11</v>
      </c>
      <c r="CW22" s="46">
        <f t="shared" si="80"/>
        <v>11</v>
      </c>
      <c r="CX22" s="46">
        <f t="shared" si="81"/>
        <v>10</v>
      </c>
      <c r="CY22" s="46">
        <f t="shared" si="82"/>
        <v>10</v>
      </c>
      <c r="CZ22" s="46">
        <f t="shared" si="83"/>
        <v>10</v>
      </c>
      <c r="DA22" s="45">
        <f>ROUND((VLOOKUP(A22,'Cumulative pupils per year'!$A$3:$S$88,13,FALSE)),0)</f>
        <v>74</v>
      </c>
      <c r="DB22" s="274">
        <f t="shared" si="84"/>
        <v>11</v>
      </c>
      <c r="DC22" s="274">
        <f t="shared" si="85"/>
        <v>11</v>
      </c>
      <c r="DD22" s="274">
        <f t="shared" si="86"/>
        <v>11</v>
      </c>
      <c r="DE22" s="274">
        <f t="shared" si="87"/>
        <v>11</v>
      </c>
      <c r="DF22" s="274">
        <f t="shared" si="88"/>
        <v>10</v>
      </c>
      <c r="DG22" s="274">
        <f t="shared" si="89"/>
        <v>10</v>
      </c>
      <c r="DH22" s="274">
        <f t="shared" si="90"/>
        <v>10</v>
      </c>
      <c r="DI22" s="291">
        <f>ROUND((VLOOKUP(A22,'Cumulative pupils per year'!$A$3:$S$88,14,FALSE)),0)</f>
        <v>74</v>
      </c>
      <c r="DJ22" s="46">
        <f t="shared" si="91"/>
        <v>11</v>
      </c>
      <c r="DK22" s="46">
        <f t="shared" si="92"/>
        <v>11</v>
      </c>
      <c r="DL22" s="46">
        <f t="shared" si="93"/>
        <v>11</v>
      </c>
      <c r="DM22" s="46">
        <f t="shared" si="94"/>
        <v>11</v>
      </c>
      <c r="DN22" s="46">
        <f t="shared" si="95"/>
        <v>10</v>
      </c>
      <c r="DO22" s="46">
        <f t="shared" si="96"/>
        <v>10</v>
      </c>
      <c r="DP22" s="46">
        <f t="shared" si="97"/>
        <v>10</v>
      </c>
      <c r="DQ22" s="45">
        <f>ROUND((VLOOKUP(A22,'Cumulative pupils per year'!$A$3:$S$88,15,FALSE)),0)</f>
        <v>74</v>
      </c>
    </row>
    <row r="23" spans="1:121">
      <c r="A23" s="4" t="s">
        <v>25</v>
      </c>
      <c r="B23" s="46">
        <v>1</v>
      </c>
      <c r="C23" s="46">
        <v>1</v>
      </c>
      <c r="D23" s="46">
        <v>1</v>
      </c>
      <c r="E23" s="46">
        <v>0</v>
      </c>
      <c r="F23" s="46">
        <v>0</v>
      </c>
      <c r="G23" s="46">
        <v>0</v>
      </c>
      <c r="H23" s="46">
        <v>0</v>
      </c>
      <c r="I23" s="45">
        <v>3</v>
      </c>
      <c r="J23" s="44">
        <f t="shared" si="112"/>
        <v>0</v>
      </c>
      <c r="K23" s="44">
        <f t="shared" si="113"/>
        <v>0</v>
      </c>
      <c r="L23" s="44">
        <f t="shared" si="114"/>
        <v>0</v>
      </c>
      <c r="M23" s="44">
        <f t="shared" si="115"/>
        <v>0</v>
      </c>
      <c r="N23" s="44">
        <f t="shared" si="116"/>
        <v>0</v>
      </c>
      <c r="O23" s="44">
        <f t="shared" si="117"/>
        <v>0</v>
      </c>
      <c r="P23" s="44">
        <f t="shared" si="118"/>
        <v>0</v>
      </c>
      <c r="Q23" s="43">
        <f>ROUND((VLOOKUP(A23,'Cumulative pupils per year'!$A$3:$S$88,2,FALSE)),0)</f>
        <v>0</v>
      </c>
      <c r="R23" s="46">
        <f t="shared" si="7"/>
        <v>0</v>
      </c>
      <c r="S23" s="46">
        <f t="shared" si="8"/>
        <v>0</v>
      </c>
      <c r="T23" s="46">
        <f t="shared" si="9"/>
        <v>0</v>
      </c>
      <c r="U23" s="46">
        <f t="shared" si="10"/>
        <v>0</v>
      </c>
      <c r="V23" s="46">
        <f t="shared" si="11"/>
        <v>0</v>
      </c>
      <c r="W23" s="46">
        <f t="shared" si="12"/>
        <v>0</v>
      </c>
      <c r="X23" s="46">
        <f t="shared" si="13"/>
        <v>0</v>
      </c>
      <c r="Y23" s="45">
        <f>ROUND((VLOOKUP(A23,'Cumulative pupils per year'!$A$3:$S$88,3,FALSE)),0)</f>
        <v>0</v>
      </c>
      <c r="Z23" s="274">
        <f t="shared" si="14"/>
        <v>1</v>
      </c>
      <c r="AA23" s="274">
        <f t="shared" si="15"/>
        <v>1</v>
      </c>
      <c r="AB23" s="274">
        <f t="shared" si="16"/>
        <v>1</v>
      </c>
      <c r="AC23" s="274">
        <f t="shared" si="17"/>
        <v>1</v>
      </c>
      <c r="AD23" s="274">
        <f t="shared" si="18"/>
        <v>0</v>
      </c>
      <c r="AE23" s="274">
        <f t="shared" si="19"/>
        <v>0</v>
      </c>
      <c r="AF23" s="274">
        <f t="shared" si="20"/>
        <v>0</v>
      </c>
      <c r="AG23" s="43">
        <f>ROUND((VLOOKUP(A23,'Cumulative pupils per year'!$A$3:$S$88,4,FALSE)),0)</f>
        <v>4</v>
      </c>
      <c r="AH23" s="46">
        <f t="shared" si="21"/>
        <v>2</v>
      </c>
      <c r="AI23" s="46">
        <f t="shared" si="22"/>
        <v>2</v>
      </c>
      <c r="AJ23" s="46">
        <f t="shared" si="23"/>
        <v>2</v>
      </c>
      <c r="AK23" s="46">
        <f t="shared" si="24"/>
        <v>2</v>
      </c>
      <c r="AL23" s="46">
        <f t="shared" si="25"/>
        <v>1</v>
      </c>
      <c r="AM23" s="46">
        <f t="shared" si="26"/>
        <v>1</v>
      </c>
      <c r="AN23" s="46">
        <f t="shared" si="27"/>
        <v>1</v>
      </c>
      <c r="AO23" s="45">
        <f>ROUND((VLOOKUP(A23,'Cumulative pupils per year'!$A$3:$S$88,5,FALSE)),0)</f>
        <v>11</v>
      </c>
      <c r="AP23" s="274">
        <f t="shared" si="28"/>
        <v>4</v>
      </c>
      <c r="AQ23" s="274">
        <f t="shared" si="29"/>
        <v>4</v>
      </c>
      <c r="AR23" s="274">
        <f t="shared" si="30"/>
        <v>4</v>
      </c>
      <c r="AS23" s="274">
        <f t="shared" si="31"/>
        <v>4</v>
      </c>
      <c r="AT23" s="274">
        <f t="shared" si="32"/>
        <v>3</v>
      </c>
      <c r="AU23" s="274">
        <f t="shared" si="33"/>
        <v>3</v>
      </c>
      <c r="AV23" s="274">
        <f t="shared" si="34"/>
        <v>3</v>
      </c>
      <c r="AW23" s="43">
        <f>ROUND((VLOOKUP(A23,'Cumulative pupils per year'!$A$3:$S$88,6,FALSE)),0)</f>
        <v>25</v>
      </c>
      <c r="AX23" s="46">
        <f t="shared" si="35"/>
        <v>6</v>
      </c>
      <c r="AY23" s="46">
        <f t="shared" si="36"/>
        <v>6</v>
      </c>
      <c r="AZ23" s="46">
        <f t="shared" si="37"/>
        <v>6</v>
      </c>
      <c r="BA23" s="46">
        <f t="shared" si="38"/>
        <v>6</v>
      </c>
      <c r="BB23" s="46">
        <f t="shared" si="39"/>
        <v>5</v>
      </c>
      <c r="BC23" s="46">
        <f t="shared" si="40"/>
        <v>5</v>
      </c>
      <c r="BD23" s="46">
        <f t="shared" si="41"/>
        <v>5</v>
      </c>
      <c r="BE23" s="45">
        <f>ROUND((VLOOKUP(A23,'Cumulative pupils per year'!$A$3:$S$88,7,FALSE)),0)</f>
        <v>39</v>
      </c>
      <c r="BF23" s="274">
        <f t="shared" si="42"/>
        <v>8</v>
      </c>
      <c r="BG23" s="274">
        <f t="shared" si="43"/>
        <v>8</v>
      </c>
      <c r="BH23" s="274">
        <f t="shared" si="44"/>
        <v>8</v>
      </c>
      <c r="BI23" s="274">
        <f t="shared" si="45"/>
        <v>8</v>
      </c>
      <c r="BJ23" s="274">
        <f t="shared" si="46"/>
        <v>7</v>
      </c>
      <c r="BK23" s="274">
        <f t="shared" si="47"/>
        <v>7</v>
      </c>
      <c r="BL23" s="274">
        <f t="shared" si="48"/>
        <v>7</v>
      </c>
      <c r="BM23" s="43">
        <f>ROUND((VLOOKUP(A23,'Cumulative pupils per year'!$A$3:$S$88,8,FALSE)),0)</f>
        <v>53</v>
      </c>
      <c r="BN23" s="46">
        <f t="shared" si="49"/>
        <v>10</v>
      </c>
      <c r="BO23" s="46">
        <f t="shared" si="50"/>
        <v>10</v>
      </c>
      <c r="BP23" s="46">
        <f t="shared" si="51"/>
        <v>10</v>
      </c>
      <c r="BQ23" s="46">
        <f t="shared" si="52"/>
        <v>10</v>
      </c>
      <c r="BR23" s="46">
        <f t="shared" si="53"/>
        <v>9</v>
      </c>
      <c r="BS23" s="46">
        <f t="shared" si="54"/>
        <v>9</v>
      </c>
      <c r="BT23" s="46">
        <f t="shared" si="55"/>
        <v>9</v>
      </c>
      <c r="BU23" s="45">
        <f>ROUND((VLOOKUP(A23,'Cumulative pupils per year'!$A$3:$S$88,9,FALSE)),0)</f>
        <v>67</v>
      </c>
      <c r="BV23" s="274">
        <f t="shared" si="56"/>
        <v>12</v>
      </c>
      <c r="BW23" s="274">
        <f t="shared" si="57"/>
        <v>12</v>
      </c>
      <c r="BX23" s="274">
        <f t="shared" si="58"/>
        <v>12</v>
      </c>
      <c r="BY23" s="274">
        <f t="shared" si="59"/>
        <v>12</v>
      </c>
      <c r="BZ23" s="274">
        <f t="shared" si="60"/>
        <v>11</v>
      </c>
      <c r="CA23" s="274">
        <f t="shared" si="61"/>
        <v>11</v>
      </c>
      <c r="CB23" s="274">
        <f t="shared" si="62"/>
        <v>11</v>
      </c>
      <c r="CC23" s="43">
        <f>ROUND((VLOOKUP(A23,'Cumulative pupils per year'!$A$3:$S$88,10,FALSE)),0)</f>
        <v>81</v>
      </c>
      <c r="CD23" s="46">
        <f t="shared" si="63"/>
        <v>14</v>
      </c>
      <c r="CE23" s="46">
        <f t="shared" si="64"/>
        <v>13</v>
      </c>
      <c r="CF23" s="46">
        <f t="shared" si="65"/>
        <v>13</v>
      </c>
      <c r="CG23" s="46">
        <f t="shared" si="66"/>
        <v>13</v>
      </c>
      <c r="CH23" s="46">
        <f t="shared" si="67"/>
        <v>13</v>
      </c>
      <c r="CI23" s="46">
        <f t="shared" si="68"/>
        <v>13</v>
      </c>
      <c r="CJ23" s="46">
        <f t="shared" si="69"/>
        <v>13</v>
      </c>
      <c r="CK23" s="45">
        <f>ROUND((VLOOKUP(A23,'Cumulative pupils per year'!$A$3:$S$88,11,FALSE)),0)</f>
        <v>92</v>
      </c>
      <c r="CL23" s="274">
        <f t="shared" si="70"/>
        <v>14</v>
      </c>
      <c r="CM23" s="274">
        <f t="shared" si="71"/>
        <v>13</v>
      </c>
      <c r="CN23" s="274">
        <f t="shared" si="72"/>
        <v>13</v>
      </c>
      <c r="CO23" s="274">
        <f t="shared" si="73"/>
        <v>13</v>
      </c>
      <c r="CP23" s="274">
        <f t="shared" si="74"/>
        <v>13</v>
      </c>
      <c r="CQ23" s="274">
        <f t="shared" si="75"/>
        <v>13</v>
      </c>
      <c r="CR23" s="274">
        <f t="shared" si="76"/>
        <v>13</v>
      </c>
      <c r="CS23" s="291">
        <f>ROUND((VLOOKUP(A23,'Cumulative pupils per year'!$A$3:$S$88,12,FALSE)),0)</f>
        <v>92</v>
      </c>
      <c r="CT23" s="46">
        <f t="shared" si="77"/>
        <v>14</v>
      </c>
      <c r="CU23" s="46">
        <f t="shared" si="78"/>
        <v>13</v>
      </c>
      <c r="CV23" s="46">
        <f t="shared" si="79"/>
        <v>13</v>
      </c>
      <c r="CW23" s="46">
        <f t="shared" si="80"/>
        <v>13</v>
      </c>
      <c r="CX23" s="46">
        <f t="shared" si="81"/>
        <v>13</v>
      </c>
      <c r="CY23" s="46">
        <f t="shared" si="82"/>
        <v>13</v>
      </c>
      <c r="CZ23" s="46">
        <f t="shared" si="83"/>
        <v>13</v>
      </c>
      <c r="DA23" s="45">
        <f>ROUND((VLOOKUP(A23,'Cumulative pupils per year'!$A$3:$S$88,13,FALSE)),0)</f>
        <v>92</v>
      </c>
      <c r="DB23" s="274">
        <f t="shared" si="84"/>
        <v>14</v>
      </c>
      <c r="DC23" s="274">
        <f t="shared" si="85"/>
        <v>13</v>
      </c>
      <c r="DD23" s="274">
        <f t="shared" si="86"/>
        <v>13</v>
      </c>
      <c r="DE23" s="274">
        <f t="shared" si="87"/>
        <v>13</v>
      </c>
      <c r="DF23" s="274">
        <f t="shared" si="88"/>
        <v>13</v>
      </c>
      <c r="DG23" s="274">
        <f t="shared" si="89"/>
        <v>13</v>
      </c>
      <c r="DH23" s="274">
        <f t="shared" si="90"/>
        <v>13</v>
      </c>
      <c r="DI23" s="291">
        <f>ROUND((VLOOKUP(A23,'Cumulative pupils per year'!$A$3:$S$88,14,FALSE)),0)</f>
        <v>92</v>
      </c>
      <c r="DJ23" s="46">
        <f t="shared" si="91"/>
        <v>14</v>
      </c>
      <c r="DK23" s="46">
        <f t="shared" si="92"/>
        <v>13</v>
      </c>
      <c r="DL23" s="46">
        <f t="shared" si="93"/>
        <v>13</v>
      </c>
      <c r="DM23" s="46">
        <f t="shared" si="94"/>
        <v>13</v>
      </c>
      <c r="DN23" s="46">
        <f t="shared" si="95"/>
        <v>13</v>
      </c>
      <c r="DO23" s="46">
        <f t="shared" si="96"/>
        <v>13</v>
      </c>
      <c r="DP23" s="46">
        <f t="shared" si="97"/>
        <v>13</v>
      </c>
      <c r="DQ23" s="45">
        <f>ROUND((VLOOKUP(A23,'Cumulative pupils per year'!$A$3:$S$88,15,FALSE)),0)</f>
        <v>92</v>
      </c>
    </row>
    <row r="24" spans="1:121">
      <c r="A24" s="4" t="s">
        <v>77</v>
      </c>
      <c r="B24" s="46">
        <v>2</v>
      </c>
      <c r="C24" s="46">
        <v>2</v>
      </c>
      <c r="D24" s="46">
        <v>2</v>
      </c>
      <c r="E24" s="46">
        <v>2</v>
      </c>
      <c r="F24" s="46">
        <v>2</v>
      </c>
      <c r="G24" s="46">
        <v>1</v>
      </c>
      <c r="H24" s="46">
        <v>1</v>
      </c>
      <c r="I24" s="45">
        <v>12</v>
      </c>
      <c r="J24" s="44">
        <f t="shared" ref="J24:J40" si="119">ROUNDUP(Q24/7,0)</f>
        <v>3</v>
      </c>
      <c r="K24" s="44">
        <f t="shared" ref="K24:K40" si="120">IF((Q24-J24)&gt;0,(ROUNDUP(((Q24-J24)/6),0)),0)</f>
        <v>3</v>
      </c>
      <c r="L24" s="44">
        <f t="shared" ref="L24:L40" si="121">IF((Q24-J24-K24)&gt;0,(ROUNDUP(((Q24-J24-K24)/5),0)),0)</f>
        <v>2</v>
      </c>
      <c r="M24" s="44">
        <f t="shared" ref="M24:M40" si="122">IF((Q24-J24-K24-L24)&gt;0,(ROUNDUP(((Q24-J24-K24-L24)/4),0)),0)</f>
        <v>2</v>
      </c>
      <c r="N24" s="44">
        <f t="shared" ref="N24:N40" si="123">IF((Q24-J24-K24-L24-M24)&gt;0,(ROUNDUP(((Q24-J24-K24-L24-M24)/3),0)),0)</f>
        <v>2</v>
      </c>
      <c r="O24" s="44">
        <f t="shared" ref="O24:O40" si="124">IF((Q24-J24-K24-L24-M24-N24)&gt;0,(ROUNDUP(((Q24-J24-K24-L24-M24-N24)/2),0)),0)</f>
        <v>2</v>
      </c>
      <c r="P24" s="44">
        <f t="shared" ref="P24:P40" si="125">IF((Q24-J24-K24-L24-M24-N24-O24)&gt;0,(ROUNDUP(((Q24-J24-K24-L24-M24-N24-O24)/1),0)),0)</f>
        <v>2</v>
      </c>
      <c r="Q24" s="43">
        <f>ROUND((VLOOKUP(A24,'Cumulative pupils per year'!$A$3:$S$88,2,FALSE)),0)</f>
        <v>16</v>
      </c>
      <c r="R24" s="46">
        <f t="shared" si="7"/>
        <v>4</v>
      </c>
      <c r="S24" s="46">
        <f t="shared" si="8"/>
        <v>4</v>
      </c>
      <c r="T24" s="46">
        <f t="shared" si="9"/>
        <v>4</v>
      </c>
      <c r="U24" s="46">
        <f t="shared" si="10"/>
        <v>4</v>
      </c>
      <c r="V24" s="46">
        <f t="shared" si="11"/>
        <v>4</v>
      </c>
      <c r="W24" s="46">
        <f t="shared" si="12"/>
        <v>4</v>
      </c>
      <c r="X24" s="46">
        <f t="shared" si="13"/>
        <v>3</v>
      </c>
      <c r="Y24" s="45">
        <f>ROUND((VLOOKUP(A24,'Cumulative pupils per year'!$A$3:$S$88,3,FALSE)),0)</f>
        <v>27</v>
      </c>
      <c r="Z24" s="274">
        <f t="shared" si="14"/>
        <v>6</v>
      </c>
      <c r="AA24" s="274">
        <f t="shared" si="15"/>
        <v>6</v>
      </c>
      <c r="AB24" s="274">
        <f t="shared" si="16"/>
        <v>5</v>
      </c>
      <c r="AC24" s="274">
        <f t="shared" si="17"/>
        <v>5</v>
      </c>
      <c r="AD24" s="274">
        <f t="shared" si="18"/>
        <v>5</v>
      </c>
      <c r="AE24" s="274">
        <f t="shared" si="19"/>
        <v>5</v>
      </c>
      <c r="AF24" s="274">
        <f t="shared" si="20"/>
        <v>5</v>
      </c>
      <c r="AG24" s="43">
        <f>ROUND((VLOOKUP(A24,'Cumulative pupils per year'!$A$3:$S$88,4,FALSE)),0)</f>
        <v>37</v>
      </c>
      <c r="AH24" s="46">
        <f t="shared" si="21"/>
        <v>7</v>
      </c>
      <c r="AI24" s="46">
        <f t="shared" si="22"/>
        <v>6</v>
      </c>
      <c r="AJ24" s="46">
        <f t="shared" si="23"/>
        <v>6</v>
      </c>
      <c r="AK24" s="46">
        <f t="shared" si="24"/>
        <v>6</v>
      </c>
      <c r="AL24" s="46">
        <f t="shared" si="25"/>
        <v>6</v>
      </c>
      <c r="AM24" s="46">
        <f t="shared" si="26"/>
        <v>6</v>
      </c>
      <c r="AN24" s="46">
        <f t="shared" si="27"/>
        <v>6</v>
      </c>
      <c r="AO24" s="45">
        <f>ROUND((VLOOKUP(A24,'Cumulative pupils per year'!$A$3:$S$88,5,FALSE)),0)</f>
        <v>43</v>
      </c>
      <c r="AP24" s="274">
        <f t="shared" si="28"/>
        <v>7</v>
      </c>
      <c r="AQ24" s="274">
        <f t="shared" si="29"/>
        <v>7</v>
      </c>
      <c r="AR24" s="274">
        <f t="shared" si="30"/>
        <v>7</v>
      </c>
      <c r="AS24" s="274">
        <f t="shared" si="31"/>
        <v>7</v>
      </c>
      <c r="AT24" s="274">
        <f t="shared" si="32"/>
        <v>7</v>
      </c>
      <c r="AU24" s="274">
        <f t="shared" si="33"/>
        <v>7</v>
      </c>
      <c r="AV24" s="274">
        <f t="shared" si="34"/>
        <v>7</v>
      </c>
      <c r="AW24" s="43">
        <f>ROUND((VLOOKUP(A24,'Cumulative pupils per year'!$A$3:$S$88,6,FALSE)),0)</f>
        <v>49</v>
      </c>
      <c r="AX24" s="46">
        <f t="shared" si="35"/>
        <v>7</v>
      </c>
      <c r="AY24" s="46">
        <f t="shared" si="36"/>
        <v>7</v>
      </c>
      <c r="AZ24" s="46">
        <f t="shared" si="37"/>
        <v>7</v>
      </c>
      <c r="BA24" s="46">
        <f t="shared" si="38"/>
        <v>7</v>
      </c>
      <c r="BB24" s="46">
        <f t="shared" si="39"/>
        <v>7</v>
      </c>
      <c r="BC24" s="46">
        <f t="shared" si="40"/>
        <v>7</v>
      </c>
      <c r="BD24" s="46">
        <f t="shared" si="41"/>
        <v>7</v>
      </c>
      <c r="BE24" s="45">
        <f>ROUND((VLOOKUP(A24,'Cumulative pupils per year'!$A$3:$S$88,7,FALSE)),0)</f>
        <v>49</v>
      </c>
      <c r="BF24" s="274">
        <f t="shared" si="42"/>
        <v>7</v>
      </c>
      <c r="BG24" s="274">
        <f t="shared" si="43"/>
        <v>7</v>
      </c>
      <c r="BH24" s="274">
        <f t="shared" si="44"/>
        <v>7</v>
      </c>
      <c r="BI24" s="274">
        <f t="shared" si="45"/>
        <v>7</v>
      </c>
      <c r="BJ24" s="274">
        <f t="shared" si="46"/>
        <v>7</v>
      </c>
      <c r="BK24" s="274">
        <f t="shared" si="47"/>
        <v>7</v>
      </c>
      <c r="BL24" s="274">
        <f t="shared" si="48"/>
        <v>7</v>
      </c>
      <c r="BM24" s="43">
        <f>ROUND((VLOOKUP(A24,'Cumulative pupils per year'!$A$3:$S$88,8,FALSE)),0)</f>
        <v>49</v>
      </c>
      <c r="BN24" s="46">
        <f t="shared" si="49"/>
        <v>7</v>
      </c>
      <c r="BO24" s="46">
        <f t="shared" si="50"/>
        <v>7</v>
      </c>
      <c r="BP24" s="46">
        <f t="shared" si="51"/>
        <v>7</v>
      </c>
      <c r="BQ24" s="46">
        <f t="shared" si="52"/>
        <v>7</v>
      </c>
      <c r="BR24" s="46">
        <f t="shared" si="53"/>
        <v>7</v>
      </c>
      <c r="BS24" s="46">
        <f t="shared" si="54"/>
        <v>7</v>
      </c>
      <c r="BT24" s="46">
        <f t="shared" si="55"/>
        <v>7</v>
      </c>
      <c r="BU24" s="45">
        <f>ROUND((VLOOKUP(A24,'Cumulative pupils per year'!$A$3:$S$88,9,FALSE)),0)</f>
        <v>49</v>
      </c>
      <c r="BV24" s="274">
        <f t="shared" si="56"/>
        <v>7</v>
      </c>
      <c r="BW24" s="274">
        <f t="shared" si="57"/>
        <v>7</v>
      </c>
      <c r="BX24" s="274">
        <f t="shared" si="58"/>
        <v>7</v>
      </c>
      <c r="BY24" s="274">
        <f t="shared" si="59"/>
        <v>7</v>
      </c>
      <c r="BZ24" s="274">
        <f t="shared" si="60"/>
        <v>7</v>
      </c>
      <c r="CA24" s="274">
        <f t="shared" si="61"/>
        <v>7</v>
      </c>
      <c r="CB24" s="274">
        <f t="shared" si="62"/>
        <v>7</v>
      </c>
      <c r="CC24" s="43">
        <f>ROUND((VLOOKUP(A24,'Cumulative pupils per year'!$A$3:$S$88,10,FALSE)),0)</f>
        <v>49</v>
      </c>
      <c r="CD24" s="46">
        <f t="shared" si="63"/>
        <v>7</v>
      </c>
      <c r="CE24" s="46">
        <f t="shared" si="64"/>
        <v>7</v>
      </c>
      <c r="CF24" s="46">
        <f t="shared" si="65"/>
        <v>7</v>
      </c>
      <c r="CG24" s="46">
        <f t="shared" si="66"/>
        <v>7</v>
      </c>
      <c r="CH24" s="46">
        <f t="shared" si="67"/>
        <v>7</v>
      </c>
      <c r="CI24" s="46">
        <f t="shared" si="68"/>
        <v>7</v>
      </c>
      <c r="CJ24" s="46">
        <f t="shared" si="69"/>
        <v>7</v>
      </c>
      <c r="CK24" s="45">
        <f>ROUND((VLOOKUP(A24,'Cumulative pupils per year'!$A$3:$S$88,11,FALSE)),0)</f>
        <v>49</v>
      </c>
      <c r="CL24" s="274">
        <f t="shared" si="70"/>
        <v>7</v>
      </c>
      <c r="CM24" s="274">
        <f t="shared" si="71"/>
        <v>7</v>
      </c>
      <c r="CN24" s="274">
        <f t="shared" si="72"/>
        <v>7</v>
      </c>
      <c r="CO24" s="274">
        <f t="shared" si="73"/>
        <v>7</v>
      </c>
      <c r="CP24" s="274">
        <f t="shared" si="74"/>
        <v>7</v>
      </c>
      <c r="CQ24" s="274">
        <f t="shared" si="75"/>
        <v>7</v>
      </c>
      <c r="CR24" s="274">
        <f t="shared" si="76"/>
        <v>7</v>
      </c>
      <c r="CS24" s="291">
        <f>ROUND((VLOOKUP(A24,'Cumulative pupils per year'!$A$3:$S$88,12,FALSE)),0)</f>
        <v>49</v>
      </c>
      <c r="CT24" s="46">
        <f t="shared" si="77"/>
        <v>7</v>
      </c>
      <c r="CU24" s="46">
        <f t="shared" si="78"/>
        <v>7</v>
      </c>
      <c r="CV24" s="46">
        <f t="shared" si="79"/>
        <v>7</v>
      </c>
      <c r="CW24" s="46">
        <f t="shared" si="80"/>
        <v>7</v>
      </c>
      <c r="CX24" s="46">
        <f t="shared" si="81"/>
        <v>7</v>
      </c>
      <c r="CY24" s="46">
        <f t="shared" si="82"/>
        <v>7</v>
      </c>
      <c r="CZ24" s="46">
        <f t="shared" si="83"/>
        <v>7</v>
      </c>
      <c r="DA24" s="45">
        <f>ROUND((VLOOKUP(A24,'Cumulative pupils per year'!$A$3:$S$88,13,FALSE)),0)</f>
        <v>49</v>
      </c>
      <c r="DB24" s="274">
        <f t="shared" si="84"/>
        <v>7</v>
      </c>
      <c r="DC24" s="274">
        <f t="shared" si="85"/>
        <v>7</v>
      </c>
      <c r="DD24" s="274">
        <f t="shared" si="86"/>
        <v>7</v>
      </c>
      <c r="DE24" s="274">
        <f t="shared" si="87"/>
        <v>7</v>
      </c>
      <c r="DF24" s="274">
        <f t="shared" si="88"/>
        <v>7</v>
      </c>
      <c r="DG24" s="274">
        <f t="shared" si="89"/>
        <v>7</v>
      </c>
      <c r="DH24" s="274">
        <f t="shared" si="90"/>
        <v>7</v>
      </c>
      <c r="DI24" s="291">
        <f>ROUND((VLOOKUP(A24,'Cumulative pupils per year'!$A$3:$S$88,14,FALSE)),0)</f>
        <v>49</v>
      </c>
      <c r="DJ24" s="46">
        <f t="shared" si="91"/>
        <v>7</v>
      </c>
      <c r="DK24" s="46">
        <f t="shared" si="92"/>
        <v>7</v>
      </c>
      <c r="DL24" s="46">
        <f t="shared" si="93"/>
        <v>7</v>
      </c>
      <c r="DM24" s="46">
        <f t="shared" si="94"/>
        <v>7</v>
      </c>
      <c r="DN24" s="46">
        <f t="shared" si="95"/>
        <v>7</v>
      </c>
      <c r="DO24" s="46">
        <f t="shared" si="96"/>
        <v>7</v>
      </c>
      <c r="DP24" s="46">
        <f t="shared" si="97"/>
        <v>7</v>
      </c>
      <c r="DQ24" s="45">
        <f>ROUND((VLOOKUP(A24,'Cumulative pupils per year'!$A$3:$S$88,15,FALSE)),0)</f>
        <v>49</v>
      </c>
    </row>
    <row r="25" spans="1:121">
      <c r="A25" s="4" t="s">
        <v>26</v>
      </c>
      <c r="B25" s="46">
        <v>0</v>
      </c>
      <c r="C25" s="46">
        <v>0</v>
      </c>
      <c r="D25" s="46">
        <v>0</v>
      </c>
      <c r="E25" s="46">
        <v>0</v>
      </c>
      <c r="F25" s="46">
        <v>0</v>
      </c>
      <c r="G25" s="46">
        <v>0</v>
      </c>
      <c r="H25" s="46">
        <v>0</v>
      </c>
      <c r="I25" s="45">
        <v>0</v>
      </c>
      <c r="J25" s="44">
        <f t="shared" si="119"/>
        <v>1</v>
      </c>
      <c r="K25" s="44">
        <f t="shared" si="120"/>
        <v>1</v>
      </c>
      <c r="L25" s="44">
        <f t="shared" si="121"/>
        <v>1</v>
      </c>
      <c r="M25" s="44">
        <f t="shared" si="122"/>
        <v>1</v>
      </c>
      <c r="N25" s="44">
        <f t="shared" si="123"/>
        <v>0</v>
      </c>
      <c r="O25" s="44">
        <f t="shared" si="124"/>
        <v>0</v>
      </c>
      <c r="P25" s="44">
        <f t="shared" si="125"/>
        <v>0</v>
      </c>
      <c r="Q25" s="43">
        <f>ROUND((VLOOKUP(A25,'Cumulative pupils per year'!$A$3:$S$88,2,FALSE)),0)</f>
        <v>4</v>
      </c>
      <c r="R25" s="46">
        <f t="shared" si="7"/>
        <v>1</v>
      </c>
      <c r="S25" s="46">
        <f t="shared" si="8"/>
        <v>1</v>
      </c>
      <c r="T25" s="46">
        <f t="shared" si="9"/>
        <v>1</v>
      </c>
      <c r="U25" s="46">
        <f t="shared" si="10"/>
        <v>1</v>
      </c>
      <c r="V25" s="46">
        <f t="shared" si="11"/>
        <v>0</v>
      </c>
      <c r="W25" s="46">
        <f t="shared" si="12"/>
        <v>0</v>
      </c>
      <c r="X25" s="46">
        <f t="shared" si="13"/>
        <v>0</v>
      </c>
      <c r="Y25" s="45">
        <f>ROUND((VLOOKUP(A25,'Cumulative pupils per year'!$A$3:$S$88,3,FALSE)),0)</f>
        <v>4</v>
      </c>
      <c r="Z25" s="274">
        <f t="shared" si="14"/>
        <v>1</v>
      </c>
      <c r="AA25" s="274">
        <f t="shared" si="15"/>
        <v>1</v>
      </c>
      <c r="AB25" s="274">
        <f t="shared" si="16"/>
        <v>1</v>
      </c>
      <c r="AC25" s="274">
        <f t="shared" si="17"/>
        <v>1</v>
      </c>
      <c r="AD25" s="274">
        <f t="shared" si="18"/>
        <v>0</v>
      </c>
      <c r="AE25" s="274">
        <f t="shared" si="19"/>
        <v>0</v>
      </c>
      <c r="AF25" s="274">
        <f t="shared" si="20"/>
        <v>0</v>
      </c>
      <c r="AG25" s="43">
        <f>ROUND((VLOOKUP(A25,'Cumulative pupils per year'!$A$3:$S$88,4,FALSE)),0)</f>
        <v>4</v>
      </c>
      <c r="AH25" s="46">
        <f t="shared" si="21"/>
        <v>1</v>
      </c>
      <c r="AI25" s="46">
        <f t="shared" si="22"/>
        <v>1</v>
      </c>
      <c r="AJ25" s="46">
        <f t="shared" si="23"/>
        <v>1</v>
      </c>
      <c r="AK25" s="46">
        <f t="shared" si="24"/>
        <v>1</v>
      </c>
      <c r="AL25" s="46">
        <f t="shared" si="25"/>
        <v>0</v>
      </c>
      <c r="AM25" s="46">
        <f t="shared" si="26"/>
        <v>0</v>
      </c>
      <c r="AN25" s="46">
        <f t="shared" si="27"/>
        <v>0</v>
      </c>
      <c r="AO25" s="45">
        <f>ROUND((VLOOKUP(A25,'Cumulative pupils per year'!$A$3:$S$88,5,FALSE)),0)</f>
        <v>4</v>
      </c>
      <c r="AP25" s="274">
        <f t="shared" si="28"/>
        <v>1</v>
      </c>
      <c r="AQ25" s="274">
        <f t="shared" si="29"/>
        <v>1</v>
      </c>
      <c r="AR25" s="274">
        <f t="shared" si="30"/>
        <v>1</v>
      </c>
      <c r="AS25" s="274">
        <f t="shared" si="31"/>
        <v>1</v>
      </c>
      <c r="AT25" s="274">
        <f t="shared" si="32"/>
        <v>0</v>
      </c>
      <c r="AU25" s="274">
        <f t="shared" si="33"/>
        <v>0</v>
      </c>
      <c r="AV25" s="274">
        <f t="shared" si="34"/>
        <v>0</v>
      </c>
      <c r="AW25" s="43">
        <f>ROUND((VLOOKUP(A25,'Cumulative pupils per year'!$A$3:$S$88,6,FALSE)),0)</f>
        <v>4</v>
      </c>
      <c r="AX25" s="46">
        <f t="shared" si="35"/>
        <v>1</v>
      </c>
      <c r="AY25" s="46">
        <f t="shared" si="36"/>
        <v>1</v>
      </c>
      <c r="AZ25" s="46">
        <f t="shared" si="37"/>
        <v>1</v>
      </c>
      <c r="BA25" s="46">
        <f t="shared" si="38"/>
        <v>1</v>
      </c>
      <c r="BB25" s="46">
        <f t="shared" si="39"/>
        <v>0</v>
      </c>
      <c r="BC25" s="46">
        <f t="shared" si="40"/>
        <v>0</v>
      </c>
      <c r="BD25" s="46">
        <f t="shared" si="41"/>
        <v>0</v>
      </c>
      <c r="BE25" s="45">
        <f>ROUND((VLOOKUP(A25,'Cumulative pupils per year'!$A$3:$S$88,7,FALSE)),0)</f>
        <v>4</v>
      </c>
      <c r="BF25" s="274">
        <f t="shared" si="42"/>
        <v>1</v>
      </c>
      <c r="BG25" s="274">
        <f t="shared" si="43"/>
        <v>1</v>
      </c>
      <c r="BH25" s="274">
        <f t="shared" si="44"/>
        <v>1</v>
      </c>
      <c r="BI25" s="274">
        <f t="shared" si="45"/>
        <v>1</v>
      </c>
      <c r="BJ25" s="274">
        <f t="shared" si="46"/>
        <v>0</v>
      </c>
      <c r="BK25" s="274">
        <f t="shared" si="47"/>
        <v>0</v>
      </c>
      <c r="BL25" s="274">
        <f t="shared" si="48"/>
        <v>0</v>
      </c>
      <c r="BM25" s="43">
        <f>ROUND((VLOOKUP(A25,'Cumulative pupils per year'!$A$3:$S$88,8,FALSE)),0)</f>
        <v>4</v>
      </c>
      <c r="BN25" s="46">
        <f t="shared" si="49"/>
        <v>1</v>
      </c>
      <c r="BO25" s="46">
        <f t="shared" si="50"/>
        <v>1</v>
      </c>
      <c r="BP25" s="46">
        <f t="shared" si="51"/>
        <v>1</v>
      </c>
      <c r="BQ25" s="46">
        <f t="shared" si="52"/>
        <v>1</v>
      </c>
      <c r="BR25" s="46">
        <f t="shared" si="53"/>
        <v>0</v>
      </c>
      <c r="BS25" s="46">
        <f t="shared" si="54"/>
        <v>0</v>
      </c>
      <c r="BT25" s="46">
        <f t="shared" si="55"/>
        <v>0</v>
      </c>
      <c r="BU25" s="45">
        <f>ROUND((VLOOKUP(A25,'Cumulative pupils per year'!$A$3:$S$88,9,FALSE)),0)</f>
        <v>4</v>
      </c>
      <c r="BV25" s="274">
        <f t="shared" si="56"/>
        <v>1</v>
      </c>
      <c r="BW25" s="274">
        <f t="shared" si="57"/>
        <v>1</v>
      </c>
      <c r="BX25" s="274">
        <f t="shared" si="58"/>
        <v>1</v>
      </c>
      <c r="BY25" s="274">
        <f t="shared" si="59"/>
        <v>1</v>
      </c>
      <c r="BZ25" s="274">
        <f t="shared" si="60"/>
        <v>0</v>
      </c>
      <c r="CA25" s="274">
        <f t="shared" si="61"/>
        <v>0</v>
      </c>
      <c r="CB25" s="274">
        <f t="shared" si="62"/>
        <v>0</v>
      </c>
      <c r="CC25" s="43">
        <f>ROUND((VLOOKUP(A25,'Cumulative pupils per year'!$A$3:$S$88,10,FALSE)),0)</f>
        <v>4</v>
      </c>
      <c r="CD25" s="46">
        <f t="shared" si="63"/>
        <v>1</v>
      </c>
      <c r="CE25" s="46">
        <f t="shared" si="64"/>
        <v>1</v>
      </c>
      <c r="CF25" s="46">
        <f t="shared" si="65"/>
        <v>1</v>
      </c>
      <c r="CG25" s="46">
        <f t="shared" si="66"/>
        <v>1</v>
      </c>
      <c r="CH25" s="46">
        <f t="shared" si="67"/>
        <v>0</v>
      </c>
      <c r="CI25" s="46">
        <f t="shared" si="68"/>
        <v>0</v>
      </c>
      <c r="CJ25" s="46">
        <f t="shared" si="69"/>
        <v>0</v>
      </c>
      <c r="CK25" s="45">
        <f>ROUND((VLOOKUP(A25,'Cumulative pupils per year'!$A$3:$S$88,11,FALSE)),0)</f>
        <v>4</v>
      </c>
      <c r="CL25" s="274">
        <f t="shared" si="70"/>
        <v>1</v>
      </c>
      <c r="CM25" s="274">
        <f t="shared" si="71"/>
        <v>1</v>
      </c>
      <c r="CN25" s="274">
        <f t="shared" si="72"/>
        <v>1</v>
      </c>
      <c r="CO25" s="274">
        <f t="shared" si="73"/>
        <v>1</v>
      </c>
      <c r="CP25" s="274">
        <f t="shared" si="74"/>
        <v>0</v>
      </c>
      <c r="CQ25" s="274">
        <f t="shared" si="75"/>
        <v>0</v>
      </c>
      <c r="CR25" s="274">
        <f t="shared" si="76"/>
        <v>0</v>
      </c>
      <c r="CS25" s="291">
        <f>ROUND((VLOOKUP(A25,'Cumulative pupils per year'!$A$3:$S$88,12,FALSE)),0)</f>
        <v>4</v>
      </c>
      <c r="CT25" s="46">
        <f t="shared" si="77"/>
        <v>1</v>
      </c>
      <c r="CU25" s="46">
        <f t="shared" si="78"/>
        <v>1</v>
      </c>
      <c r="CV25" s="46">
        <f t="shared" si="79"/>
        <v>1</v>
      </c>
      <c r="CW25" s="46">
        <f t="shared" si="80"/>
        <v>1</v>
      </c>
      <c r="CX25" s="46">
        <f t="shared" si="81"/>
        <v>0</v>
      </c>
      <c r="CY25" s="46">
        <f t="shared" si="82"/>
        <v>0</v>
      </c>
      <c r="CZ25" s="46">
        <f t="shared" si="83"/>
        <v>0</v>
      </c>
      <c r="DA25" s="45">
        <f>ROUND((VLOOKUP(A25,'Cumulative pupils per year'!$A$3:$S$88,13,FALSE)),0)</f>
        <v>4</v>
      </c>
      <c r="DB25" s="274">
        <f t="shared" si="84"/>
        <v>1</v>
      </c>
      <c r="DC25" s="274">
        <f t="shared" si="85"/>
        <v>1</v>
      </c>
      <c r="DD25" s="274">
        <f t="shared" si="86"/>
        <v>1</v>
      </c>
      <c r="DE25" s="274">
        <f t="shared" si="87"/>
        <v>1</v>
      </c>
      <c r="DF25" s="274">
        <f t="shared" si="88"/>
        <v>0</v>
      </c>
      <c r="DG25" s="274">
        <f t="shared" si="89"/>
        <v>0</v>
      </c>
      <c r="DH25" s="274">
        <f t="shared" si="90"/>
        <v>0</v>
      </c>
      <c r="DI25" s="291">
        <f>ROUND((VLOOKUP(A25,'Cumulative pupils per year'!$A$3:$S$88,14,FALSE)),0)</f>
        <v>4</v>
      </c>
      <c r="DJ25" s="46">
        <f t="shared" si="91"/>
        <v>1</v>
      </c>
      <c r="DK25" s="46">
        <f t="shared" si="92"/>
        <v>1</v>
      </c>
      <c r="DL25" s="46">
        <f t="shared" si="93"/>
        <v>1</v>
      </c>
      <c r="DM25" s="46">
        <f t="shared" si="94"/>
        <v>1</v>
      </c>
      <c r="DN25" s="46">
        <f t="shared" si="95"/>
        <v>0</v>
      </c>
      <c r="DO25" s="46">
        <f t="shared" si="96"/>
        <v>0</v>
      </c>
      <c r="DP25" s="46">
        <f t="shared" si="97"/>
        <v>0</v>
      </c>
      <c r="DQ25" s="45">
        <f>ROUND((VLOOKUP(A25,'Cumulative pupils per year'!$A$3:$S$88,15,FALSE)),0)</f>
        <v>4</v>
      </c>
    </row>
    <row r="26" spans="1:121">
      <c r="A26" s="4" t="s">
        <v>27</v>
      </c>
      <c r="B26" s="46">
        <v>0</v>
      </c>
      <c r="C26" s="46">
        <v>0</v>
      </c>
      <c r="D26" s="46">
        <v>0</v>
      </c>
      <c r="E26" s="46">
        <v>0</v>
      </c>
      <c r="F26" s="46">
        <v>0</v>
      </c>
      <c r="G26" s="46">
        <v>0</v>
      </c>
      <c r="H26" s="46">
        <v>0</v>
      </c>
      <c r="I26" s="45">
        <v>0</v>
      </c>
      <c r="J26" s="44">
        <f t="shared" si="119"/>
        <v>0</v>
      </c>
      <c r="K26" s="44">
        <f t="shared" si="120"/>
        <v>0</v>
      </c>
      <c r="L26" s="44">
        <f t="shared" si="121"/>
        <v>0</v>
      </c>
      <c r="M26" s="44">
        <f t="shared" si="122"/>
        <v>0</v>
      </c>
      <c r="N26" s="44">
        <f t="shared" si="123"/>
        <v>0</v>
      </c>
      <c r="O26" s="44">
        <f t="shared" si="124"/>
        <v>0</v>
      </c>
      <c r="P26" s="44">
        <f t="shared" si="125"/>
        <v>0</v>
      </c>
      <c r="Q26" s="43">
        <f>ROUND((VLOOKUP(A26,'Cumulative pupils per year'!$A$3:$S$88,2,FALSE)),0)</f>
        <v>0</v>
      </c>
      <c r="R26" s="46">
        <f t="shared" si="7"/>
        <v>1</v>
      </c>
      <c r="S26" s="46">
        <f t="shared" si="8"/>
        <v>0</v>
      </c>
      <c r="T26" s="46">
        <f t="shared" si="9"/>
        <v>0</v>
      </c>
      <c r="U26" s="46">
        <f t="shared" si="10"/>
        <v>0</v>
      </c>
      <c r="V26" s="46">
        <f t="shared" si="11"/>
        <v>0</v>
      </c>
      <c r="W26" s="46">
        <f t="shared" si="12"/>
        <v>0</v>
      </c>
      <c r="X26" s="46">
        <f t="shared" si="13"/>
        <v>0</v>
      </c>
      <c r="Y26" s="45">
        <f>ROUND((VLOOKUP(A26,'Cumulative pupils per year'!$A$3:$S$88,3,FALSE)),0)</f>
        <v>1</v>
      </c>
      <c r="Z26" s="274">
        <f t="shared" si="14"/>
        <v>1</v>
      </c>
      <c r="AA26" s="274">
        <f t="shared" si="15"/>
        <v>1</v>
      </c>
      <c r="AB26" s="274">
        <f t="shared" si="16"/>
        <v>0</v>
      </c>
      <c r="AC26" s="274">
        <f t="shared" si="17"/>
        <v>0</v>
      </c>
      <c r="AD26" s="274">
        <f t="shared" si="18"/>
        <v>0</v>
      </c>
      <c r="AE26" s="274">
        <f t="shared" si="19"/>
        <v>0</v>
      </c>
      <c r="AF26" s="274">
        <f t="shared" si="20"/>
        <v>0</v>
      </c>
      <c r="AG26" s="43">
        <f>ROUND((VLOOKUP(A26,'Cumulative pupils per year'!$A$3:$S$88,4,FALSE)),0)</f>
        <v>2</v>
      </c>
      <c r="AH26" s="46">
        <f t="shared" si="21"/>
        <v>2</v>
      </c>
      <c r="AI26" s="46">
        <f t="shared" si="22"/>
        <v>2</v>
      </c>
      <c r="AJ26" s="46">
        <f t="shared" si="23"/>
        <v>2</v>
      </c>
      <c r="AK26" s="46">
        <f t="shared" si="24"/>
        <v>1</v>
      </c>
      <c r="AL26" s="46">
        <f t="shared" si="25"/>
        <v>1</v>
      </c>
      <c r="AM26" s="46">
        <f t="shared" si="26"/>
        <v>1</v>
      </c>
      <c r="AN26" s="46">
        <f t="shared" si="27"/>
        <v>1</v>
      </c>
      <c r="AO26" s="45">
        <f>ROUND((VLOOKUP(A26,'Cumulative pupils per year'!$A$3:$S$88,5,FALSE)),0)</f>
        <v>10</v>
      </c>
      <c r="AP26" s="274">
        <f t="shared" si="28"/>
        <v>2</v>
      </c>
      <c r="AQ26" s="274">
        <f t="shared" si="29"/>
        <v>2</v>
      </c>
      <c r="AR26" s="274">
        <f t="shared" si="30"/>
        <v>2</v>
      </c>
      <c r="AS26" s="274">
        <f t="shared" si="31"/>
        <v>2</v>
      </c>
      <c r="AT26" s="274">
        <f t="shared" si="32"/>
        <v>2</v>
      </c>
      <c r="AU26" s="274">
        <f t="shared" si="33"/>
        <v>2</v>
      </c>
      <c r="AV26" s="274">
        <f t="shared" si="34"/>
        <v>1</v>
      </c>
      <c r="AW26" s="43">
        <f>ROUND((VLOOKUP(A26,'Cumulative pupils per year'!$A$3:$S$88,6,FALSE)),0)</f>
        <v>13</v>
      </c>
      <c r="AX26" s="46">
        <f t="shared" si="35"/>
        <v>3</v>
      </c>
      <c r="AY26" s="46">
        <f t="shared" si="36"/>
        <v>3</v>
      </c>
      <c r="AZ26" s="46">
        <f t="shared" si="37"/>
        <v>3</v>
      </c>
      <c r="BA26" s="46">
        <f t="shared" si="38"/>
        <v>3</v>
      </c>
      <c r="BB26" s="46">
        <f t="shared" si="39"/>
        <v>3</v>
      </c>
      <c r="BC26" s="46">
        <f t="shared" si="40"/>
        <v>2</v>
      </c>
      <c r="BD26" s="46">
        <f t="shared" si="41"/>
        <v>2</v>
      </c>
      <c r="BE26" s="45">
        <f>ROUND((VLOOKUP(A26,'Cumulative pupils per year'!$A$3:$S$88,7,FALSE)),0)</f>
        <v>19</v>
      </c>
      <c r="BF26" s="274">
        <f t="shared" si="42"/>
        <v>4</v>
      </c>
      <c r="BG26" s="274">
        <f t="shared" si="43"/>
        <v>3</v>
      </c>
      <c r="BH26" s="274">
        <f t="shared" si="44"/>
        <v>3</v>
      </c>
      <c r="BI26" s="274">
        <f t="shared" si="45"/>
        <v>3</v>
      </c>
      <c r="BJ26" s="274">
        <f t="shared" si="46"/>
        <v>3</v>
      </c>
      <c r="BK26" s="274">
        <f t="shared" si="47"/>
        <v>3</v>
      </c>
      <c r="BL26" s="274">
        <f t="shared" si="48"/>
        <v>3</v>
      </c>
      <c r="BM26" s="43">
        <f>ROUND((VLOOKUP(A26,'Cumulative pupils per year'!$A$3:$S$88,8,FALSE)),0)</f>
        <v>22</v>
      </c>
      <c r="BN26" s="46">
        <f t="shared" si="49"/>
        <v>4</v>
      </c>
      <c r="BO26" s="46">
        <f t="shared" si="50"/>
        <v>4</v>
      </c>
      <c r="BP26" s="46">
        <f t="shared" si="51"/>
        <v>4</v>
      </c>
      <c r="BQ26" s="46">
        <f t="shared" si="52"/>
        <v>4</v>
      </c>
      <c r="BR26" s="46">
        <f t="shared" si="53"/>
        <v>3</v>
      </c>
      <c r="BS26" s="46">
        <f t="shared" si="54"/>
        <v>3</v>
      </c>
      <c r="BT26" s="46">
        <f t="shared" si="55"/>
        <v>3</v>
      </c>
      <c r="BU26" s="45">
        <f>ROUND((VLOOKUP(A26,'Cumulative pupils per year'!$A$3:$S$88,9,FALSE)),0)</f>
        <v>25</v>
      </c>
      <c r="BV26" s="274">
        <f t="shared" si="56"/>
        <v>4</v>
      </c>
      <c r="BW26" s="274">
        <f t="shared" si="57"/>
        <v>4</v>
      </c>
      <c r="BX26" s="274">
        <f t="shared" si="58"/>
        <v>4</v>
      </c>
      <c r="BY26" s="274">
        <f t="shared" si="59"/>
        <v>4</v>
      </c>
      <c r="BZ26" s="274">
        <f t="shared" si="60"/>
        <v>4</v>
      </c>
      <c r="CA26" s="274">
        <f t="shared" si="61"/>
        <v>4</v>
      </c>
      <c r="CB26" s="274">
        <f t="shared" si="62"/>
        <v>4</v>
      </c>
      <c r="CC26" s="43">
        <f>ROUND((VLOOKUP(A26,'Cumulative pupils per year'!$A$3:$S$88,10,FALSE)),0)</f>
        <v>28</v>
      </c>
      <c r="CD26" s="46">
        <f t="shared" si="63"/>
        <v>4</v>
      </c>
      <c r="CE26" s="46">
        <f t="shared" si="64"/>
        <v>4</v>
      </c>
      <c r="CF26" s="46">
        <f t="shared" si="65"/>
        <v>4</v>
      </c>
      <c r="CG26" s="46">
        <f t="shared" si="66"/>
        <v>4</v>
      </c>
      <c r="CH26" s="46">
        <f t="shared" si="67"/>
        <v>4</v>
      </c>
      <c r="CI26" s="46">
        <f t="shared" si="68"/>
        <v>4</v>
      </c>
      <c r="CJ26" s="46">
        <f t="shared" si="69"/>
        <v>4</v>
      </c>
      <c r="CK26" s="45">
        <f>ROUND((VLOOKUP(A26,'Cumulative pupils per year'!$A$3:$S$88,11,FALSE)),0)</f>
        <v>28</v>
      </c>
      <c r="CL26" s="274">
        <f t="shared" si="70"/>
        <v>4</v>
      </c>
      <c r="CM26" s="274">
        <f t="shared" si="71"/>
        <v>4</v>
      </c>
      <c r="CN26" s="274">
        <f t="shared" si="72"/>
        <v>4</v>
      </c>
      <c r="CO26" s="274">
        <f t="shared" si="73"/>
        <v>4</v>
      </c>
      <c r="CP26" s="274">
        <f t="shared" si="74"/>
        <v>4</v>
      </c>
      <c r="CQ26" s="274">
        <f t="shared" si="75"/>
        <v>4</v>
      </c>
      <c r="CR26" s="274">
        <f t="shared" si="76"/>
        <v>4</v>
      </c>
      <c r="CS26" s="291">
        <f>ROUND((VLOOKUP(A26,'Cumulative pupils per year'!$A$3:$S$88,12,FALSE)),0)</f>
        <v>28</v>
      </c>
      <c r="CT26" s="46">
        <f t="shared" si="77"/>
        <v>4</v>
      </c>
      <c r="CU26" s="46">
        <f t="shared" si="78"/>
        <v>4</v>
      </c>
      <c r="CV26" s="46">
        <f t="shared" si="79"/>
        <v>4</v>
      </c>
      <c r="CW26" s="46">
        <f t="shared" si="80"/>
        <v>4</v>
      </c>
      <c r="CX26" s="46">
        <f t="shared" si="81"/>
        <v>4</v>
      </c>
      <c r="CY26" s="46">
        <f t="shared" si="82"/>
        <v>4</v>
      </c>
      <c r="CZ26" s="46">
        <f t="shared" si="83"/>
        <v>4</v>
      </c>
      <c r="DA26" s="45">
        <f>ROUND((VLOOKUP(A26,'Cumulative pupils per year'!$A$3:$S$88,13,FALSE)),0)</f>
        <v>28</v>
      </c>
      <c r="DB26" s="274">
        <f t="shared" si="84"/>
        <v>4</v>
      </c>
      <c r="DC26" s="274">
        <f t="shared" si="85"/>
        <v>4</v>
      </c>
      <c r="DD26" s="274">
        <f t="shared" si="86"/>
        <v>4</v>
      </c>
      <c r="DE26" s="274">
        <f t="shared" si="87"/>
        <v>4</v>
      </c>
      <c r="DF26" s="274">
        <f t="shared" si="88"/>
        <v>4</v>
      </c>
      <c r="DG26" s="274">
        <f t="shared" si="89"/>
        <v>4</v>
      </c>
      <c r="DH26" s="274">
        <f t="shared" si="90"/>
        <v>4</v>
      </c>
      <c r="DI26" s="291">
        <f>ROUND((VLOOKUP(A26,'Cumulative pupils per year'!$A$3:$S$88,14,FALSE)),0)</f>
        <v>28</v>
      </c>
      <c r="DJ26" s="46">
        <f t="shared" si="91"/>
        <v>4</v>
      </c>
      <c r="DK26" s="46">
        <f t="shared" si="92"/>
        <v>4</v>
      </c>
      <c r="DL26" s="46">
        <f t="shared" si="93"/>
        <v>4</v>
      </c>
      <c r="DM26" s="46">
        <f t="shared" si="94"/>
        <v>4</v>
      </c>
      <c r="DN26" s="46">
        <f t="shared" si="95"/>
        <v>4</v>
      </c>
      <c r="DO26" s="46">
        <f t="shared" si="96"/>
        <v>4</v>
      </c>
      <c r="DP26" s="46">
        <f t="shared" si="97"/>
        <v>4</v>
      </c>
      <c r="DQ26" s="45">
        <f>ROUND((VLOOKUP(A26,'Cumulative pupils per year'!$A$3:$S$88,15,FALSE)),0)</f>
        <v>28</v>
      </c>
    </row>
    <row r="27" spans="1:121">
      <c r="A27" s="4" t="s">
        <v>28</v>
      </c>
      <c r="B27" s="46">
        <v>0</v>
      </c>
      <c r="C27" s="46">
        <v>0</v>
      </c>
      <c r="D27" s="46">
        <v>0</v>
      </c>
      <c r="E27" s="46">
        <v>0</v>
      </c>
      <c r="F27" s="46">
        <v>0</v>
      </c>
      <c r="G27" s="46">
        <v>0</v>
      </c>
      <c r="H27" s="46">
        <v>0</v>
      </c>
      <c r="I27" s="45">
        <v>0</v>
      </c>
      <c r="J27" s="44">
        <f t="shared" si="119"/>
        <v>0</v>
      </c>
      <c r="K27" s="44">
        <f t="shared" si="120"/>
        <v>0</v>
      </c>
      <c r="L27" s="44">
        <f t="shared" si="121"/>
        <v>0</v>
      </c>
      <c r="M27" s="44">
        <f t="shared" si="122"/>
        <v>0</v>
      </c>
      <c r="N27" s="44">
        <f t="shared" si="123"/>
        <v>0</v>
      </c>
      <c r="O27" s="44">
        <f t="shared" si="124"/>
        <v>0</v>
      </c>
      <c r="P27" s="44">
        <f t="shared" si="125"/>
        <v>0</v>
      </c>
      <c r="Q27" s="43">
        <f>ROUND((VLOOKUP(A27,'Cumulative pupils per year'!$A$3:$S$88,2,FALSE)),0)</f>
        <v>0</v>
      </c>
      <c r="R27" s="46">
        <f t="shared" si="7"/>
        <v>0</v>
      </c>
      <c r="S27" s="46">
        <f t="shared" si="8"/>
        <v>0</v>
      </c>
      <c r="T27" s="46">
        <f t="shared" si="9"/>
        <v>0</v>
      </c>
      <c r="U27" s="46">
        <f t="shared" si="10"/>
        <v>0</v>
      </c>
      <c r="V27" s="46">
        <f t="shared" si="11"/>
        <v>0</v>
      </c>
      <c r="W27" s="46">
        <f t="shared" si="12"/>
        <v>0</v>
      </c>
      <c r="X27" s="46">
        <f t="shared" si="13"/>
        <v>0</v>
      </c>
      <c r="Y27" s="45">
        <f>ROUND((VLOOKUP(A27,'Cumulative pupils per year'!$A$3:$S$88,3,FALSE)),0)</f>
        <v>0</v>
      </c>
      <c r="Z27" s="274">
        <f t="shared" si="14"/>
        <v>0</v>
      </c>
      <c r="AA27" s="274">
        <f t="shared" si="15"/>
        <v>0</v>
      </c>
      <c r="AB27" s="274">
        <f t="shared" si="16"/>
        <v>0</v>
      </c>
      <c r="AC27" s="274">
        <f t="shared" si="17"/>
        <v>0</v>
      </c>
      <c r="AD27" s="274">
        <f t="shared" si="18"/>
        <v>0</v>
      </c>
      <c r="AE27" s="274">
        <f t="shared" si="19"/>
        <v>0</v>
      </c>
      <c r="AF27" s="274">
        <f t="shared" si="20"/>
        <v>0</v>
      </c>
      <c r="AG27" s="43">
        <f>ROUND((VLOOKUP(A27,'Cumulative pupils per year'!$A$3:$S$88,4,FALSE)),0)</f>
        <v>0</v>
      </c>
      <c r="AH27" s="46">
        <f t="shared" si="21"/>
        <v>0</v>
      </c>
      <c r="AI27" s="46">
        <f t="shared" si="22"/>
        <v>0</v>
      </c>
      <c r="AJ27" s="46">
        <f t="shared" si="23"/>
        <v>0</v>
      </c>
      <c r="AK27" s="46">
        <f t="shared" si="24"/>
        <v>0</v>
      </c>
      <c r="AL27" s="46">
        <f t="shared" si="25"/>
        <v>0</v>
      </c>
      <c r="AM27" s="46">
        <f t="shared" si="26"/>
        <v>0</v>
      </c>
      <c r="AN27" s="46">
        <f t="shared" si="27"/>
        <v>0</v>
      </c>
      <c r="AO27" s="45">
        <f>ROUND((VLOOKUP(A27,'Cumulative pupils per year'!$A$3:$S$88,5,FALSE)),0)</f>
        <v>0</v>
      </c>
      <c r="AP27" s="274">
        <f t="shared" si="28"/>
        <v>0</v>
      </c>
      <c r="AQ27" s="274">
        <f t="shared" si="29"/>
        <v>0</v>
      </c>
      <c r="AR27" s="274">
        <f t="shared" si="30"/>
        <v>0</v>
      </c>
      <c r="AS27" s="274">
        <f t="shared" si="31"/>
        <v>0</v>
      </c>
      <c r="AT27" s="274">
        <f t="shared" si="32"/>
        <v>0</v>
      </c>
      <c r="AU27" s="274">
        <f t="shared" si="33"/>
        <v>0</v>
      </c>
      <c r="AV27" s="274">
        <f t="shared" si="34"/>
        <v>0</v>
      </c>
      <c r="AW27" s="43">
        <f>ROUND((VLOOKUP(A27,'Cumulative pupils per year'!$A$3:$S$88,6,FALSE)),0)</f>
        <v>0</v>
      </c>
      <c r="AX27" s="46">
        <f t="shared" si="35"/>
        <v>0</v>
      </c>
      <c r="AY27" s="46">
        <f t="shared" si="36"/>
        <v>0</v>
      </c>
      <c r="AZ27" s="46">
        <f t="shared" si="37"/>
        <v>0</v>
      </c>
      <c r="BA27" s="46">
        <f t="shared" si="38"/>
        <v>0</v>
      </c>
      <c r="BB27" s="46">
        <f t="shared" si="39"/>
        <v>0</v>
      </c>
      <c r="BC27" s="46">
        <f t="shared" si="40"/>
        <v>0</v>
      </c>
      <c r="BD27" s="46">
        <f t="shared" si="41"/>
        <v>0</v>
      </c>
      <c r="BE27" s="45">
        <f>ROUND((VLOOKUP(A27,'Cumulative pupils per year'!$A$3:$S$88,7,FALSE)),0)</f>
        <v>0</v>
      </c>
      <c r="BF27" s="274">
        <f t="shared" si="42"/>
        <v>0</v>
      </c>
      <c r="BG27" s="274">
        <f t="shared" si="43"/>
        <v>0</v>
      </c>
      <c r="BH27" s="274">
        <f t="shared" si="44"/>
        <v>0</v>
      </c>
      <c r="BI27" s="274">
        <f t="shared" si="45"/>
        <v>0</v>
      </c>
      <c r="BJ27" s="274">
        <f t="shared" si="46"/>
        <v>0</v>
      </c>
      <c r="BK27" s="274">
        <f t="shared" si="47"/>
        <v>0</v>
      </c>
      <c r="BL27" s="274">
        <f t="shared" si="48"/>
        <v>0</v>
      </c>
      <c r="BM27" s="43">
        <f>ROUND((VLOOKUP(A27,'Cumulative pupils per year'!$A$3:$S$88,8,FALSE)),0)</f>
        <v>0</v>
      </c>
      <c r="BN27" s="46">
        <f t="shared" si="49"/>
        <v>0</v>
      </c>
      <c r="BO27" s="46">
        <f t="shared" si="50"/>
        <v>0</v>
      </c>
      <c r="BP27" s="46">
        <f t="shared" si="51"/>
        <v>0</v>
      </c>
      <c r="BQ27" s="46">
        <f t="shared" si="52"/>
        <v>0</v>
      </c>
      <c r="BR27" s="46">
        <f t="shared" si="53"/>
        <v>0</v>
      </c>
      <c r="BS27" s="46">
        <f t="shared" si="54"/>
        <v>0</v>
      </c>
      <c r="BT27" s="46">
        <f t="shared" si="55"/>
        <v>0</v>
      </c>
      <c r="BU27" s="45">
        <f>ROUND((VLOOKUP(A27,'Cumulative pupils per year'!$A$3:$S$88,9,FALSE)),0)</f>
        <v>0</v>
      </c>
      <c r="BV27" s="274">
        <f t="shared" si="56"/>
        <v>0</v>
      </c>
      <c r="BW27" s="274">
        <f t="shared" si="57"/>
        <v>0</v>
      </c>
      <c r="BX27" s="274">
        <f t="shared" si="58"/>
        <v>0</v>
      </c>
      <c r="BY27" s="274">
        <f t="shared" si="59"/>
        <v>0</v>
      </c>
      <c r="BZ27" s="274">
        <f t="shared" si="60"/>
        <v>0</v>
      </c>
      <c r="CA27" s="274">
        <f t="shared" si="61"/>
        <v>0</v>
      </c>
      <c r="CB27" s="274">
        <f t="shared" si="62"/>
        <v>0</v>
      </c>
      <c r="CC27" s="43">
        <f>ROUND((VLOOKUP(A27,'Cumulative pupils per year'!$A$3:$S$88,10,FALSE)),0)</f>
        <v>0</v>
      </c>
      <c r="CD27" s="46">
        <f t="shared" si="63"/>
        <v>0</v>
      </c>
      <c r="CE27" s="46">
        <f t="shared" si="64"/>
        <v>0</v>
      </c>
      <c r="CF27" s="46">
        <f t="shared" si="65"/>
        <v>0</v>
      </c>
      <c r="CG27" s="46">
        <f t="shared" si="66"/>
        <v>0</v>
      </c>
      <c r="CH27" s="46">
        <f t="shared" si="67"/>
        <v>0</v>
      </c>
      <c r="CI27" s="46">
        <f t="shared" si="68"/>
        <v>0</v>
      </c>
      <c r="CJ27" s="46">
        <f t="shared" si="69"/>
        <v>0</v>
      </c>
      <c r="CK27" s="45">
        <f>ROUND((VLOOKUP(A27,'Cumulative pupils per year'!$A$3:$S$88,11,FALSE)),0)</f>
        <v>0</v>
      </c>
      <c r="CL27" s="274">
        <f t="shared" si="70"/>
        <v>0</v>
      </c>
      <c r="CM27" s="274">
        <f t="shared" si="71"/>
        <v>0</v>
      </c>
      <c r="CN27" s="274">
        <f t="shared" si="72"/>
        <v>0</v>
      </c>
      <c r="CO27" s="274">
        <f t="shared" si="73"/>
        <v>0</v>
      </c>
      <c r="CP27" s="274">
        <f t="shared" si="74"/>
        <v>0</v>
      </c>
      <c r="CQ27" s="274">
        <f t="shared" si="75"/>
        <v>0</v>
      </c>
      <c r="CR27" s="274">
        <f t="shared" si="76"/>
        <v>0</v>
      </c>
      <c r="CS27" s="291">
        <f>ROUND((VLOOKUP(A27,'Cumulative pupils per year'!$A$3:$S$88,12,FALSE)),0)</f>
        <v>0</v>
      </c>
      <c r="CT27" s="46">
        <f t="shared" si="77"/>
        <v>0</v>
      </c>
      <c r="CU27" s="46">
        <f t="shared" si="78"/>
        <v>0</v>
      </c>
      <c r="CV27" s="46">
        <f t="shared" si="79"/>
        <v>0</v>
      </c>
      <c r="CW27" s="46">
        <f t="shared" si="80"/>
        <v>0</v>
      </c>
      <c r="CX27" s="46">
        <f t="shared" si="81"/>
        <v>0</v>
      </c>
      <c r="CY27" s="46">
        <f t="shared" si="82"/>
        <v>0</v>
      </c>
      <c r="CZ27" s="46">
        <f t="shared" si="83"/>
        <v>0</v>
      </c>
      <c r="DA27" s="45">
        <f>ROUND((VLOOKUP(A27,'Cumulative pupils per year'!$A$3:$S$88,13,FALSE)),0)</f>
        <v>0</v>
      </c>
      <c r="DB27" s="274">
        <f t="shared" si="84"/>
        <v>0</v>
      </c>
      <c r="DC27" s="274">
        <f t="shared" si="85"/>
        <v>0</v>
      </c>
      <c r="DD27" s="274">
        <f t="shared" si="86"/>
        <v>0</v>
      </c>
      <c r="DE27" s="274">
        <f t="shared" si="87"/>
        <v>0</v>
      </c>
      <c r="DF27" s="274">
        <f t="shared" si="88"/>
        <v>0</v>
      </c>
      <c r="DG27" s="274">
        <f t="shared" si="89"/>
        <v>0</v>
      </c>
      <c r="DH27" s="274">
        <f t="shared" si="90"/>
        <v>0</v>
      </c>
      <c r="DI27" s="291">
        <f>ROUND((VLOOKUP(A27,'Cumulative pupils per year'!$A$3:$S$88,14,FALSE)),0)</f>
        <v>0</v>
      </c>
      <c r="DJ27" s="46">
        <f t="shared" si="91"/>
        <v>0</v>
      </c>
      <c r="DK27" s="46">
        <f t="shared" si="92"/>
        <v>0</v>
      </c>
      <c r="DL27" s="46">
        <f t="shared" si="93"/>
        <v>0</v>
      </c>
      <c r="DM27" s="46">
        <f t="shared" si="94"/>
        <v>0</v>
      </c>
      <c r="DN27" s="46">
        <f t="shared" si="95"/>
        <v>0</v>
      </c>
      <c r="DO27" s="46">
        <f t="shared" si="96"/>
        <v>0</v>
      </c>
      <c r="DP27" s="46">
        <f t="shared" si="97"/>
        <v>0</v>
      </c>
      <c r="DQ27" s="45">
        <f>ROUND((VLOOKUP(A27,'Cumulative pupils per year'!$A$3:$S$88,15,FALSE)),0)</f>
        <v>0</v>
      </c>
    </row>
    <row r="28" spans="1:121">
      <c r="A28" s="4" t="s">
        <v>29</v>
      </c>
      <c r="B28" s="46">
        <v>0</v>
      </c>
      <c r="C28" s="46">
        <v>0</v>
      </c>
      <c r="D28" s="46">
        <v>0</v>
      </c>
      <c r="E28" s="46">
        <v>0</v>
      </c>
      <c r="F28" s="46">
        <v>0</v>
      </c>
      <c r="G28" s="46">
        <v>0</v>
      </c>
      <c r="H28" s="46">
        <v>0</v>
      </c>
      <c r="I28" s="45">
        <v>0</v>
      </c>
      <c r="J28" s="44">
        <f t="shared" si="119"/>
        <v>2</v>
      </c>
      <c r="K28" s="44">
        <f t="shared" si="120"/>
        <v>1</v>
      </c>
      <c r="L28" s="44">
        <f t="shared" si="121"/>
        <v>1</v>
      </c>
      <c r="M28" s="44">
        <f t="shared" si="122"/>
        <v>1</v>
      </c>
      <c r="N28" s="44">
        <f t="shared" si="123"/>
        <v>1</v>
      </c>
      <c r="O28" s="44">
        <f t="shared" si="124"/>
        <v>1</v>
      </c>
      <c r="P28" s="44">
        <f t="shared" si="125"/>
        <v>1</v>
      </c>
      <c r="Q28" s="43">
        <f>ROUND((VLOOKUP(A28,'Cumulative pupils per year'!$A$3:$S$88,2,FALSE)),0)</f>
        <v>8</v>
      </c>
      <c r="R28" s="46">
        <f t="shared" si="7"/>
        <v>3</v>
      </c>
      <c r="S28" s="46">
        <f t="shared" si="8"/>
        <v>3</v>
      </c>
      <c r="T28" s="46">
        <f t="shared" si="9"/>
        <v>2</v>
      </c>
      <c r="U28" s="46">
        <f t="shared" si="10"/>
        <v>2</v>
      </c>
      <c r="V28" s="46">
        <f t="shared" si="11"/>
        <v>2</v>
      </c>
      <c r="W28" s="46">
        <f t="shared" si="12"/>
        <v>2</v>
      </c>
      <c r="X28" s="46">
        <f t="shared" si="13"/>
        <v>2</v>
      </c>
      <c r="Y28" s="45">
        <f>ROUND((VLOOKUP(A28,'Cumulative pupils per year'!$A$3:$S$88,3,FALSE)),0)</f>
        <v>16</v>
      </c>
      <c r="Z28" s="274">
        <f t="shared" si="14"/>
        <v>4</v>
      </c>
      <c r="AA28" s="274">
        <f t="shared" si="15"/>
        <v>4</v>
      </c>
      <c r="AB28" s="274">
        <f t="shared" si="16"/>
        <v>4</v>
      </c>
      <c r="AC28" s="274">
        <f t="shared" si="17"/>
        <v>3</v>
      </c>
      <c r="AD28" s="274">
        <f t="shared" si="18"/>
        <v>3</v>
      </c>
      <c r="AE28" s="274">
        <f t="shared" si="19"/>
        <v>3</v>
      </c>
      <c r="AF28" s="274">
        <f t="shared" si="20"/>
        <v>3</v>
      </c>
      <c r="AG28" s="43">
        <f>ROUND((VLOOKUP(A28,'Cumulative pupils per year'!$A$3:$S$88,4,FALSE)),0)</f>
        <v>24</v>
      </c>
      <c r="AH28" s="46">
        <f t="shared" si="21"/>
        <v>5</v>
      </c>
      <c r="AI28" s="46">
        <f t="shared" si="22"/>
        <v>5</v>
      </c>
      <c r="AJ28" s="46">
        <f t="shared" si="23"/>
        <v>5</v>
      </c>
      <c r="AK28" s="46">
        <f t="shared" si="24"/>
        <v>5</v>
      </c>
      <c r="AL28" s="46">
        <f t="shared" si="25"/>
        <v>5</v>
      </c>
      <c r="AM28" s="46">
        <f t="shared" si="26"/>
        <v>4</v>
      </c>
      <c r="AN28" s="46">
        <f t="shared" si="27"/>
        <v>4</v>
      </c>
      <c r="AO28" s="45">
        <f>ROUND((VLOOKUP(A28,'Cumulative pupils per year'!$A$3:$S$88,5,FALSE)),0)</f>
        <v>33</v>
      </c>
      <c r="AP28" s="274">
        <f t="shared" si="28"/>
        <v>5</v>
      </c>
      <c r="AQ28" s="274">
        <f t="shared" si="29"/>
        <v>5</v>
      </c>
      <c r="AR28" s="274">
        <f t="shared" si="30"/>
        <v>5</v>
      </c>
      <c r="AS28" s="274">
        <f t="shared" si="31"/>
        <v>5</v>
      </c>
      <c r="AT28" s="274">
        <f t="shared" si="32"/>
        <v>5</v>
      </c>
      <c r="AU28" s="274">
        <f t="shared" si="33"/>
        <v>4</v>
      </c>
      <c r="AV28" s="274">
        <f t="shared" si="34"/>
        <v>4</v>
      </c>
      <c r="AW28" s="43">
        <f>ROUND((VLOOKUP(A28,'Cumulative pupils per year'!$A$3:$S$88,6,FALSE)),0)</f>
        <v>33</v>
      </c>
      <c r="AX28" s="46">
        <f t="shared" si="35"/>
        <v>5</v>
      </c>
      <c r="AY28" s="46">
        <f t="shared" si="36"/>
        <v>5</v>
      </c>
      <c r="AZ28" s="46">
        <f t="shared" si="37"/>
        <v>5</v>
      </c>
      <c r="BA28" s="46">
        <f t="shared" si="38"/>
        <v>5</v>
      </c>
      <c r="BB28" s="46">
        <f t="shared" si="39"/>
        <v>5</v>
      </c>
      <c r="BC28" s="46">
        <f t="shared" si="40"/>
        <v>4</v>
      </c>
      <c r="BD28" s="46">
        <f t="shared" si="41"/>
        <v>4</v>
      </c>
      <c r="BE28" s="45">
        <f>ROUND((VLOOKUP(A28,'Cumulative pupils per year'!$A$3:$S$88,7,FALSE)),0)</f>
        <v>33</v>
      </c>
      <c r="BF28" s="274">
        <f t="shared" si="42"/>
        <v>5</v>
      </c>
      <c r="BG28" s="274">
        <f t="shared" si="43"/>
        <v>5</v>
      </c>
      <c r="BH28" s="274">
        <f t="shared" si="44"/>
        <v>5</v>
      </c>
      <c r="BI28" s="274">
        <f t="shared" si="45"/>
        <v>5</v>
      </c>
      <c r="BJ28" s="274">
        <f t="shared" si="46"/>
        <v>5</v>
      </c>
      <c r="BK28" s="274">
        <f t="shared" si="47"/>
        <v>4</v>
      </c>
      <c r="BL28" s="274">
        <f t="shared" si="48"/>
        <v>4</v>
      </c>
      <c r="BM28" s="43">
        <f>ROUND((VLOOKUP(A28,'Cumulative pupils per year'!$A$3:$S$88,8,FALSE)),0)</f>
        <v>33</v>
      </c>
      <c r="BN28" s="46">
        <f t="shared" si="49"/>
        <v>5</v>
      </c>
      <c r="BO28" s="46">
        <f t="shared" si="50"/>
        <v>5</v>
      </c>
      <c r="BP28" s="46">
        <f t="shared" si="51"/>
        <v>5</v>
      </c>
      <c r="BQ28" s="46">
        <f t="shared" si="52"/>
        <v>5</v>
      </c>
      <c r="BR28" s="46">
        <f t="shared" si="53"/>
        <v>5</v>
      </c>
      <c r="BS28" s="46">
        <f t="shared" si="54"/>
        <v>4</v>
      </c>
      <c r="BT28" s="46">
        <f t="shared" si="55"/>
        <v>4</v>
      </c>
      <c r="BU28" s="45">
        <f>ROUND((VLOOKUP(A28,'Cumulative pupils per year'!$A$3:$S$88,9,FALSE)),0)</f>
        <v>33</v>
      </c>
      <c r="BV28" s="274">
        <f t="shared" si="56"/>
        <v>5</v>
      </c>
      <c r="BW28" s="274">
        <f t="shared" si="57"/>
        <v>5</v>
      </c>
      <c r="BX28" s="274">
        <f t="shared" si="58"/>
        <v>5</v>
      </c>
      <c r="BY28" s="274">
        <f t="shared" si="59"/>
        <v>5</v>
      </c>
      <c r="BZ28" s="274">
        <f t="shared" si="60"/>
        <v>5</v>
      </c>
      <c r="CA28" s="274">
        <f t="shared" si="61"/>
        <v>4</v>
      </c>
      <c r="CB28" s="274">
        <f t="shared" si="62"/>
        <v>4</v>
      </c>
      <c r="CC28" s="43">
        <f>ROUND((VLOOKUP(A28,'Cumulative pupils per year'!$A$3:$S$88,10,FALSE)),0)</f>
        <v>33</v>
      </c>
      <c r="CD28" s="46">
        <f t="shared" si="63"/>
        <v>5</v>
      </c>
      <c r="CE28" s="46">
        <f t="shared" si="64"/>
        <v>5</v>
      </c>
      <c r="CF28" s="46">
        <f t="shared" si="65"/>
        <v>5</v>
      </c>
      <c r="CG28" s="46">
        <f t="shared" si="66"/>
        <v>5</v>
      </c>
      <c r="CH28" s="46">
        <f t="shared" si="67"/>
        <v>5</v>
      </c>
      <c r="CI28" s="46">
        <f t="shared" si="68"/>
        <v>4</v>
      </c>
      <c r="CJ28" s="46">
        <f t="shared" si="69"/>
        <v>4</v>
      </c>
      <c r="CK28" s="45">
        <f>ROUND((VLOOKUP(A28,'Cumulative pupils per year'!$A$3:$S$88,11,FALSE)),0)</f>
        <v>33</v>
      </c>
      <c r="CL28" s="274">
        <f t="shared" si="70"/>
        <v>5</v>
      </c>
      <c r="CM28" s="274">
        <f t="shared" si="71"/>
        <v>5</v>
      </c>
      <c r="CN28" s="274">
        <f t="shared" si="72"/>
        <v>5</v>
      </c>
      <c r="CO28" s="274">
        <f t="shared" si="73"/>
        <v>5</v>
      </c>
      <c r="CP28" s="274">
        <f t="shared" si="74"/>
        <v>5</v>
      </c>
      <c r="CQ28" s="274">
        <f t="shared" si="75"/>
        <v>4</v>
      </c>
      <c r="CR28" s="274">
        <f t="shared" si="76"/>
        <v>4</v>
      </c>
      <c r="CS28" s="291">
        <f>ROUND((VLOOKUP(A28,'Cumulative pupils per year'!$A$3:$S$88,12,FALSE)),0)</f>
        <v>33</v>
      </c>
      <c r="CT28" s="46">
        <f t="shared" si="77"/>
        <v>5</v>
      </c>
      <c r="CU28" s="46">
        <f t="shared" si="78"/>
        <v>5</v>
      </c>
      <c r="CV28" s="46">
        <f t="shared" si="79"/>
        <v>5</v>
      </c>
      <c r="CW28" s="46">
        <f t="shared" si="80"/>
        <v>5</v>
      </c>
      <c r="CX28" s="46">
        <f t="shared" si="81"/>
        <v>5</v>
      </c>
      <c r="CY28" s="46">
        <f t="shared" si="82"/>
        <v>4</v>
      </c>
      <c r="CZ28" s="46">
        <f t="shared" si="83"/>
        <v>4</v>
      </c>
      <c r="DA28" s="45">
        <f>ROUND((VLOOKUP(A28,'Cumulative pupils per year'!$A$3:$S$88,13,FALSE)),0)</f>
        <v>33</v>
      </c>
      <c r="DB28" s="274">
        <f t="shared" si="84"/>
        <v>5</v>
      </c>
      <c r="DC28" s="274">
        <f t="shared" si="85"/>
        <v>5</v>
      </c>
      <c r="DD28" s="274">
        <f t="shared" si="86"/>
        <v>5</v>
      </c>
      <c r="DE28" s="274">
        <f t="shared" si="87"/>
        <v>5</v>
      </c>
      <c r="DF28" s="274">
        <f t="shared" si="88"/>
        <v>5</v>
      </c>
      <c r="DG28" s="274">
        <f t="shared" si="89"/>
        <v>4</v>
      </c>
      <c r="DH28" s="274">
        <f t="shared" si="90"/>
        <v>4</v>
      </c>
      <c r="DI28" s="291">
        <f>ROUND((VLOOKUP(A28,'Cumulative pupils per year'!$A$3:$S$88,14,FALSE)),0)</f>
        <v>33</v>
      </c>
      <c r="DJ28" s="46">
        <f t="shared" si="91"/>
        <v>5</v>
      </c>
      <c r="DK28" s="46">
        <f t="shared" si="92"/>
        <v>5</v>
      </c>
      <c r="DL28" s="46">
        <f t="shared" si="93"/>
        <v>5</v>
      </c>
      <c r="DM28" s="46">
        <f t="shared" si="94"/>
        <v>5</v>
      </c>
      <c r="DN28" s="46">
        <f t="shared" si="95"/>
        <v>5</v>
      </c>
      <c r="DO28" s="46">
        <f t="shared" si="96"/>
        <v>4</v>
      </c>
      <c r="DP28" s="46">
        <f t="shared" si="97"/>
        <v>4</v>
      </c>
      <c r="DQ28" s="45">
        <f>ROUND((VLOOKUP(A28,'Cumulative pupils per year'!$A$3:$S$88,15,FALSE)),0)</f>
        <v>33</v>
      </c>
    </row>
    <row r="29" spans="1:121">
      <c r="A29" s="4" t="s">
        <v>30</v>
      </c>
      <c r="B29" s="46">
        <v>0</v>
      </c>
      <c r="C29" s="46">
        <v>0</v>
      </c>
      <c r="D29" s="46">
        <v>0</v>
      </c>
      <c r="E29" s="46">
        <v>0</v>
      </c>
      <c r="F29" s="46">
        <v>0</v>
      </c>
      <c r="G29" s="46">
        <v>0</v>
      </c>
      <c r="H29" s="46">
        <v>0</v>
      </c>
      <c r="I29" s="45">
        <v>0</v>
      </c>
      <c r="J29" s="44">
        <f t="shared" si="119"/>
        <v>0</v>
      </c>
      <c r="K29" s="44">
        <f t="shared" si="120"/>
        <v>0</v>
      </c>
      <c r="L29" s="44">
        <f t="shared" si="121"/>
        <v>0</v>
      </c>
      <c r="M29" s="44">
        <f t="shared" si="122"/>
        <v>0</v>
      </c>
      <c r="N29" s="44">
        <f t="shared" si="123"/>
        <v>0</v>
      </c>
      <c r="O29" s="44">
        <f t="shared" si="124"/>
        <v>0</v>
      </c>
      <c r="P29" s="44">
        <f t="shared" si="125"/>
        <v>0</v>
      </c>
      <c r="Q29" s="43">
        <f>ROUND((VLOOKUP(A29,'Cumulative pupils per year'!$A$3:$S$88,2,FALSE)),0)</f>
        <v>0</v>
      </c>
      <c r="R29" s="46">
        <f t="shared" si="7"/>
        <v>0</v>
      </c>
      <c r="S29" s="46">
        <f t="shared" si="8"/>
        <v>0</v>
      </c>
      <c r="T29" s="46">
        <f t="shared" si="9"/>
        <v>0</v>
      </c>
      <c r="U29" s="46">
        <f t="shared" si="10"/>
        <v>0</v>
      </c>
      <c r="V29" s="46">
        <f t="shared" si="11"/>
        <v>0</v>
      </c>
      <c r="W29" s="46">
        <f t="shared" si="12"/>
        <v>0</v>
      </c>
      <c r="X29" s="46">
        <f t="shared" si="13"/>
        <v>0</v>
      </c>
      <c r="Y29" s="45">
        <f>ROUND((VLOOKUP(A29,'Cumulative pupils per year'!$A$3:$S$88,3,FALSE)),0)</f>
        <v>0</v>
      </c>
      <c r="Z29" s="274">
        <f t="shared" si="14"/>
        <v>0</v>
      </c>
      <c r="AA29" s="274">
        <f t="shared" si="15"/>
        <v>0</v>
      </c>
      <c r="AB29" s="274">
        <f t="shared" si="16"/>
        <v>0</v>
      </c>
      <c r="AC29" s="274">
        <f t="shared" si="17"/>
        <v>0</v>
      </c>
      <c r="AD29" s="274">
        <f t="shared" si="18"/>
        <v>0</v>
      </c>
      <c r="AE29" s="274">
        <f t="shared" si="19"/>
        <v>0</v>
      </c>
      <c r="AF29" s="274">
        <f t="shared" si="20"/>
        <v>0</v>
      </c>
      <c r="AG29" s="43">
        <f>ROUND((VLOOKUP(A29,'Cumulative pupils per year'!$A$3:$S$88,4,FALSE)),0)</f>
        <v>0</v>
      </c>
      <c r="AH29" s="46">
        <f t="shared" si="21"/>
        <v>0</v>
      </c>
      <c r="AI29" s="46">
        <f t="shared" si="22"/>
        <v>0</v>
      </c>
      <c r="AJ29" s="46">
        <f t="shared" si="23"/>
        <v>0</v>
      </c>
      <c r="AK29" s="46">
        <f t="shared" si="24"/>
        <v>0</v>
      </c>
      <c r="AL29" s="46">
        <f t="shared" si="25"/>
        <v>0</v>
      </c>
      <c r="AM29" s="46">
        <f t="shared" si="26"/>
        <v>0</v>
      </c>
      <c r="AN29" s="46">
        <f t="shared" si="27"/>
        <v>0</v>
      </c>
      <c r="AO29" s="45">
        <f>ROUND((VLOOKUP(A29,'Cumulative pupils per year'!$A$3:$S$88,5,FALSE)),0)</f>
        <v>0</v>
      </c>
      <c r="AP29" s="274">
        <f t="shared" si="28"/>
        <v>0</v>
      </c>
      <c r="AQ29" s="274">
        <f t="shared" si="29"/>
        <v>0</v>
      </c>
      <c r="AR29" s="274">
        <f t="shared" si="30"/>
        <v>0</v>
      </c>
      <c r="AS29" s="274">
        <f t="shared" si="31"/>
        <v>0</v>
      </c>
      <c r="AT29" s="274">
        <f t="shared" si="32"/>
        <v>0</v>
      </c>
      <c r="AU29" s="274">
        <f t="shared" si="33"/>
        <v>0</v>
      </c>
      <c r="AV29" s="274">
        <f t="shared" si="34"/>
        <v>0</v>
      </c>
      <c r="AW29" s="43">
        <f>ROUND((VLOOKUP(A29,'Cumulative pupils per year'!$A$3:$S$88,6,FALSE)),0)</f>
        <v>0</v>
      </c>
      <c r="AX29" s="46">
        <f t="shared" si="35"/>
        <v>0</v>
      </c>
      <c r="AY29" s="46">
        <f t="shared" si="36"/>
        <v>0</v>
      </c>
      <c r="AZ29" s="46">
        <f t="shared" si="37"/>
        <v>0</v>
      </c>
      <c r="BA29" s="46">
        <f t="shared" si="38"/>
        <v>0</v>
      </c>
      <c r="BB29" s="46">
        <f t="shared" si="39"/>
        <v>0</v>
      </c>
      <c r="BC29" s="46">
        <f t="shared" si="40"/>
        <v>0</v>
      </c>
      <c r="BD29" s="46">
        <f t="shared" si="41"/>
        <v>0</v>
      </c>
      <c r="BE29" s="45">
        <f>ROUND((VLOOKUP(A29,'Cumulative pupils per year'!$A$3:$S$88,7,FALSE)),0)</f>
        <v>0</v>
      </c>
      <c r="BF29" s="274">
        <f t="shared" si="42"/>
        <v>0</v>
      </c>
      <c r="BG29" s="274">
        <f t="shared" si="43"/>
        <v>0</v>
      </c>
      <c r="BH29" s="274">
        <f t="shared" si="44"/>
        <v>0</v>
      </c>
      <c r="BI29" s="274">
        <f t="shared" si="45"/>
        <v>0</v>
      </c>
      <c r="BJ29" s="274">
        <f t="shared" si="46"/>
        <v>0</v>
      </c>
      <c r="BK29" s="274">
        <f t="shared" si="47"/>
        <v>0</v>
      </c>
      <c r="BL29" s="274">
        <f t="shared" si="48"/>
        <v>0</v>
      </c>
      <c r="BM29" s="43">
        <f>ROUND((VLOOKUP(A29,'Cumulative pupils per year'!$A$3:$S$88,8,FALSE)),0)</f>
        <v>0</v>
      </c>
      <c r="BN29" s="46">
        <f t="shared" si="49"/>
        <v>0</v>
      </c>
      <c r="BO29" s="46">
        <f t="shared" si="50"/>
        <v>0</v>
      </c>
      <c r="BP29" s="46">
        <f t="shared" si="51"/>
        <v>0</v>
      </c>
      <c r="BQ29" s="46">
        <f t="shared" si="52"/>
        <v>0</v>
      </c>
      <c r="BR29" s="46">
        <f t="shared" si="53"/>
        <v>0</v>
      </c>
      <c r="BS29" s="46">
        <f t="shared" si="54"/>
        <v>0</v>
      </c>
      <c r="BT29" s="46">
        <f t="shared" si="55"/>
        <v>0</v>
      </c>
      <c r="BU29" s="45">
        <f>ROUND((VLOOKUP(A29,'Cumulative pupils per year'!$A$3:$S$88,9,FALSE)),0)</f>
        <v>0</v>
      </c>
      <c r="BV29" s="274">
        <f t="shared" si="56"/>
        <v>0</v>
      </c>
      <c r="BW29" s="274">
        <f t="shared" si="57"/>
        <v>0</v>
      </c>
      <c r="BX29" s="274">
        <f t="shared" si="58"/>
        <v>0</v>
      </c>
      <c r="BY29" s="274">
        <f t="shared" si="59"/>
        <v>0</v>
      </c>
      <c r="BZ29" s="274">
        <f t="shared" si="60"/>
        <v>0</v>
      </c>
      <c r="CA29" s="274">
        <f t="shared" si="61"/>
        <v>0</v>
      </c>
      <c r="CB29" s="274">
        <f t="shared" si="62"/>
        <v>0</v>
      </c>
      <c r="CC29" s="43">
        <f>ROUND((VLOOKUP(A29,'Cumulative pupils per year'!$A$3:$S$88,10,FALSE)),0)</f>
        <v>0</v>
      </c>
      <c r="CD29" s="46">
        <f t="shared" si="63"/>
        <v>0</v>
      </c>
      <c r="CE29" s="46">
        <f t="shared" si="64"/>
        <v>0</v>
      </c>
      <c r="CF29" s="46">
        <f t="shared" si="65"/>
        <v>0</v>
      </c>
      <c r="CG29" s="46">
        <f t="shared" si="66"/>
        <v>0</v>
      </c>
      <c r="CH29" s="46">
        <f t="shared" si="67"/>
        <v>0</v>
      </c>
      <c r="CI29" s="46">
        <f t="shared" si="68"/>
        <v>0</v>
      </c>
      <c r="CJ29" s="46">
        <f t="shared" si="69"/>
        <v>0</v>
      </c>
      <c r="CK29" s="45">
        <f>ROUND((VLOOKUP(A29,'Cumulative pupils per year'!$A$3:$S$88,11,FALSE)),0)</f>
        <v>0</v>
      </c>
      <c r="CL29" s="274">
        <f t="shared" si="70"/>
        <v>0</v>
      </c>
      <c r="CM29" s="274">
        <f t="shared" si="71"/>
        <v>0</v>
      </c>
      <c r="CN29" s="274">
        <f t="shared" si="72"/>
        <v>0</v>
      </c>
      <c r="CO29" s="274">
        <f t="shared" si="73"/>
        <v>0</v>
      </c>
      <c r="CP29" s="274">
        <f t="shared" si="74"/>
        <v>0</v>
      </c>
      <c r="CQ29" s="274">
        <f t="shared" si="75"/>
        <v>0</v>
      </c>
      <c r="CR29" s="274">
        <f t="shared" si="76"/>
        <v>0</v>
      </c>
      <c r="CS29" s="291">
        <f>ROUND((VLOOKUP(A29,'Cumulative pupils per year'!$A$3:$S$88,12,FALSE)),0)</f>
        <v>0</v>
      </c>
      <c r="CT29" s="46">
        <f t="shared" si="77"/>
        <v>0</v>
      </c>
      <c r="CU29" s="46">
        <f t="shared" si="78"/>
        <v>0</v>
      </c>
      <c r="CV29" s="46">
        <f t="shared" si="79"/>
        <v>0</v>
      </c>
      <c r="CW29" s="46">
        <f t="shared" si="80"/>
        <v>0</v>
      </c>
      <c r="CX29" s="46">
        <f t="shared" si="81"/>
        <v>0</v>
      </c>
      <c r="CY29" s="46">
        <f t="shared" si="82"/>
        <v>0</v>
      </c>
      <c r="CZ29" s="46">
        <f t="shared" si="83"/>
        <v>0</v>
      </c>
      <c r="DA29" s="45">
        <f>ROUND((VLOOKUP(A29,'Cumulative pupils per year'!$A$3:$S$88,13,FALSE)),0)</f>
        <v>0</v>
      </c>
      <c r="DB29" s="274">
        <f t="shared" si="84"/>
        <v>0</v>
      </c>
      <c r="DC29" s="274">
        <f t="shared" si="85"/>
        <v>0</v>
      </c>
      <c r="DD29" s="274">
        <f t="shared" si="86"/>
        <v>0</v>
      </c>
      <c r="DE29" s="274">
        <f t="shared" si="87"/>
        <v>0</v>
      </c>
      <c r="DF29" s="274">
        <f t="shared" si="88"/>
        <v>0</v>
      </c>
      <c r="DG29" s="274">
        <f t="shared" si="89"/>
        <v>0</v>
      </c>
      <c r="DH29" s="274">
        <f t="shared" si="90"/>
        <v>0</v>
      </c>
      <c r="DI29" s="291">
        <f>ROUND((VLOOKUP(A29,'Cumulative pupils per year'!$A$3:$S$88,14,FALSE)),0)</f>
        <v>0</v>
      </c>
      <c r="DJ29" s="46">
        <f t="shared" si="91"/>
        <v>0</v>
      </c>
      <c r="DK29" s="46">
        <f t="shared" si="92"/>
        <v>0</v>
      </c>
      <c r="DL29" s="46">
        <f t="shared" si="93"/>
        <v>0</v>
      </c>
      <c r="DM29" s="46">
        <f t="shared" si="94"/>
        <v>0</v>
      </c>
      <c r="DN29" s="46">
        <f t="shared" si="95"/>
        <v>0</v>
      </c>
      <c r="DO29" s="46">
        <f t="shared" si="96"/>
        <v>0</v>
      </c>
      <c r="DP29" s="46">
        <f t="shared" si="97"/>
        <v>0</v>
      </c>
      <c r="DQ29" s="45">
        <f>ROUND((VLOOKUP(A29,'Cumulative pupils per year'!$A$3:$S$88,15,FALSE)),0)</f>
        <v>0</v>
      </c>
    </row>
    <row r="30" spans="1:121">
      <c r="A30" s="4" t="s">
        <v>31</v>
      </c>
      <c r="B30" s="46">
        <v>0</v>
      </c>
      <c r="C30" s="46">
        <v>0</v>
      </c>
      <c r="D30" s="46">
        <v>0</v>
      </c>
      <c r="E30" s="46">
        <v>0</v>
      </c>
      <c r="F30" s="46">
        <v>0</v>
      </c>
      <c r="G30" s="46">
        <v>0</v>
      </c>
      <c r="H30" s="46">
        <v>0</v>
      </c>
      <c r="I30" s="45">
        <v>0</v>
      </c>
      <c r="J30" s="44">
        <f t="shared" si="119"/>
        <v>0</v>
      </c>
      <c r="K30" s="44">
        <f t="shared" si="120"/>
        <v>0</v>
      </c>
      <c r="L30" s="44">
        <f t="shared" si="121"/>
        <v>0</v>
      </c>
      <c r="M30" s="44">
        <f t="shared" si="122"/>
        <v>0</v>
      </c>
      <c r="N30" s="44">
        <f t="shared" si="123"/>
        <v>0</v>
      </c>
      <c r="O30" s="44">
        <f t="shared" si="124"/>
        <v>0</v>
      </c>
      <c r="P30" s="44">
        <f t="shared" si="125"/>
        <v>0</v>
      </c>
      <c r="Q30" s="43">
        <f>ROUND((VLOOKUP(A30,'Cumulative pupils per year'!$A$3:$S$88,2,FALSE)),0)</f>
        <v>0</v>
      </c>
      <c r="R30" s="46">
        <f t="shared" si="7"/>
        <v>0</v>
      </c>
      <c r="S30" s="46">
        <f t="shared" si="8"/>
        <v>0</v>
      </c>
      <c r="T30" s="46">
        <f t="shared" si="9"/>
        <v>0</v>
      </c>
      <c r="U30" s="46">
        <f t="shared" si="10"/>
        <v>0</v>
      </c>
      <c r="V30" s="46">
        <f t="shared" si="11"/>
        <v>0</v>
      </c>
      <c r="W30" s="46">
        <f t="shared" si="12"/>
        <v>0</v>
      </c>
      <c r="X30" s="46">
        <f t="shared" si="13"/>
        <v>0</v>
      </c>
      <c r="Y30" s="45">
        <f>ROUND((VLOOKUP(A30,'Cumulative pupils per year'!$A$3:$S$88,3,FALSE)),0)</f>
        <v>0</v>
      </c>
      <c r="Z30" s="274">
        <f t="shared" si="14"/>
        <v>0</v>
      </c>
      <c r="AA30" s="274">
        <f t="shared" si="15"/>
        <v>0</v>
      </c>
      <c r="AB30" s="274">
        <f t="shared" si="16"/>
        <v>0</v>
      </c>
      <c r="AC30" s="274">
        <f t="shared" si="17"/>
        <v>0</v>
      </c>
      <c r="AD30" s="274">
        <f t="shared" si="18"/>
        <v>0</v>
      </c>
      <c r="AE30" s="274">
        <f t="shared" si="19"/>
        <v>0</v>
      </c>
      <c r="AF30" s="274">
        <f t="shared" si="20"/>
        <v>0</v>
      </c>
      <c r="AG30" s="43">
        <f>ROUND((VLOOKUP(A30,'Cumulative pupils per year'!$A$3:$S$88,4,FALSE)),0)</f>
        <v>0</v>
      </c>
      <c r="AH30" s="46">
        <f t="shared" si="21"/>
        <v>0</v>
      </c>
      <c r="AI30" s="46">
        <f t="shared" si="22"/>
        <v>0</v>
      </c>
      <c r="AJ30" s="46">
        <f t="shared" si="23"/>
        <v>0</v>
      </c>
      <c r="AK30" s="46">
        <f t="shared" si="24"/>
        <v>0</v>
      </c>
      <c r="AL30" s="46">
        <f t="shared" si="25"/>
        <v>0</v>
      </c>
      <c r="AM30" s="46">
        <f t="shared" si="26"/>
        <v>0</v>
      </c>
      <c r="AN30" s="46">
        <f t="shared" si="27"/>
        <v>0</v>
      </c>
      <c r="AO30" s="45">
        <f>ROUND((VLOOKUP(A30,'Cumulative pupils per year'!$A$3:$S$88,5,FALSE)),0)</f>
        <v>0</v>
      </c>
      <c r="AP30" s="274">
        <f t="shared" si="28"/>
        <v>0</v>
      </c>
      <c r="AQ30" s="274">
        <f t="shared" si="29"/>
        <v>0</v>
      </c>
      <c r="AR30" s="274">
        <f t="shared" si="30"/>
        <v>0</v>
      </c>
      <c r="AS30" s="274">
        <f t="shared" si="31"/>
        <v>0</v>
      </c>
      <c r="AT30" s="274">
        <f t="shared" si="32"/>
        <v>0</v>
      </c>
      <c r="AU30" s="274">
        <f t="shared" si="33"/>
        <v>0</v>
      </c>
      <c r="AV30" s="274">
        <f t="shared" si="34"/>
        <v>0</v>
      </c>
      <c r="AW30" s="43">
        <f>ROUND((VLOOKUP(A30,'Cumulative pupils per year'!$A$3:$S$88,6,FALSE)),0)</f>
        <v>0</v>
      </c>
      <c r="AX30" s="46">
        <f t="shared" si="35"/>
        <v>0</v>
      </c>
      <c r="AY30" s="46">
        <f t="shared" si="36"/>
        <v>0</v>
      </c>
      <c r="AZ30" s="46">
        <f t="shared" si="37"/>
        <v>0</v>
      </c>
      <c r="BA30" s="46">
        <f t="shared" si="38"/>
        <v>0</v>
      </c>
      <c r="BB30" s="46">
        <f t="shared" si="39"/>
        <v>0</v>
      </c>
      <c r="BC30" s="46">
        <f t="shared" si="40"/>
        <v>0</v>
      </c>
      <c r="BD30" s="46">
        <f t="shared" si="41"/>
        <v>0</v>
      </c>
      <c r="BE30" s="45">
        <f>ROUND((VLOOKUP(A30,'Cumulative pupils per year'!$A$3:$S$88,7,FALSE)),0)</f>
        <v>0</v>
      </c>
      <c r="BF30" s="274">
        <f t="shared" si="42"/>
        <v>0</v>
      </c>
      <c r="BG30" s="274">
        <f t="shared" si="43"/>
        <v>0</v>
      </c>
      <c r="BH30" s="274">
        <f t="shared" si="44"/>
        <v>0</v>
      </c>
      <c r="BI30" s="274">
        <f t="shared" si="45"/>
        <v>0</v>
      </c>
      <c r="BJ30" s="274">
        <f t="shared" si="46"/>
        <v>0</v>
      </c>
      <c r="BK30" s="274">
        <f t="shared" si="47"/>
        <v>0</v>
      </c>
      <c r="BL30" s="274">
        <f t="shared" si="48"/>
        <v>0</v>
      </c>
      <c r="BM30" s="43">
        <f>ROUND((VLOOKUP(A30,'Cumulative pupils per year'!$A$3:$S$88,8,FALSE)),0)</f>
        <v>0</v>
      </c>
      <c r="BN30" s="46">
        <f t="shared" si="49"/>
        <v>0</v>
      </c>
      <c r="BO30" s="46">
        <f t="shared" si="50"/>
        <v>0</v>
      </c>
      <c r="BP30" s="46">
        <f t="shared" si="51"/>
        <v>0</v>
      </c>
      <c r="BQ30" s="46">
        <f t="shared" si="52"/>
        <v>0</v>
      </c>
      <c r="BR30" s="46">
        <f t="shared" si="53"/>
        <v>0</v>
      </c>
      <c r="BS30" s="46">
        <f t="shared" si="54"/>
        <v>0</v>
      </c>
      <c r="BT30" s="46">
        <f t="shared" si="55"/>
        <v>0</v>
      </c>
      <c r="BU30" s="45">
        <f>ROUND((VLOOKUP(A30,'Cumulative pupils per year'!$A$3:$S$88,9,FALSE)),0)</f>
        <v>0</v>
      </c>
      <c r="BV30" s="274">
        <f t="shared" si="56"/>
        <v>0</v>
      </c>
      <c r="BW30" s="274">
        <f t="shared" si="57"/>
        <v>0</v>
      </c>
      <c r="BX30" s="274">
        <f t="shared" si="58"/>
        <v>0</v>
      </c>
      <c r="BY30" s="274">
        <f t="shared" si="59"/>
        <v>0</v>
      </c>
      <c r="BZ30" s="274">
        <f t="shared" si="60"/>
        <v>0</v>
      </c>
      <c r="CA30" s="274">
        <f t="shared" si="61"/>
        <v>0</v>
      </c>
      <c r="CB30" s="274">
        <f t="shared" si="62"/>
        <v>0</v>
      </c>
      <c r="CC30" s="43">
        <f>ROUND((VLOOKUP(A30,'Cumulative pupils per year'!$A$3:$S$88,10,FALSE)),0)</f>
        <v>0</v>
      </c>
      <c r="CD30" s="46">
        <f t="shared" si="63"/>
        <v>0</v>
      </c>
      <c r="CE30" s="46">
        <f t="shared" si="64"/>
        <v>0</v>
      </c>
      <c r="CF30" s="46">
        <f t="shared" si="65"/>
        <v>0</v>
      </c>
      <c r="CG30" s="46">
        <f t="shared" si="66"/>
        <v>0</v>
      </c>
      <c r="CH30" s="46">
        <f t="shared" si="67"/>
        <v>0</v>
      </c>
      <c r="CI30" s="46">
        <f t="shared" si="68"/>
        <v>0</v>
      </c>
      <c r="CJ30" s="46">
        <f t="shared" si="69"/>
        <v>0</v>
      </c>
      <c r="CK30" s="45">
        <f>ROUND((VLOOKUP(A30,'Cumulative pupils per year'!$A$3:$S$88,11,FALSE)),0)</f>
        <v>0</v>
      </c>
      <c r="CL30" s="274">
        <f t="shared" si="70"/>
        <v>0</v>
      </c>
      <c r="CM30" s="274">
        <f t="shared" si="71"/>
        <v>0</v>
      </c>
      <c r="CN30" s="274">
        <f t="shared" si="72"/>
        <v>0</v>
      </c>
      <c r="CO30" s="274">
        <f t="shared" si="73"/>
        <v>0</v>
      </c>
      <c r="CP30" s="274">
        <f t="shared" si="74"/>
        <v>0</v>
      </c>
      <c r="CQ30" s="274">
        <f t="shared" si="75"/>
        <v>0</v>
      </c>
      <c r="CR30" s="274">
        <f t="shared" si="76"/>
        <v>0</v>
      </c>
      <c r="CS30" s="291">
        <f>ROUND((VLOOKUP(A30,'Cumulative pupils per year'!$A$3:$S$88,12,FALSE)),0)</f>
        <v>0</v>
      </c>
      <c r="CT30" s="46">
        <f t="shared" si="77"/>
        <v>0</v>
      </c>
      <c r="CU30" s="46">
        <f t="shared" si="78"/>
        <v>0</v>
      </c>
      <c r="CV30" s="46">
        <f t="shared" si="79"/>
        <v>0</v>
      </c>
      <c r="CW30" s="46">
        <f t="shared" si="80"/>
        <v>0</v>
      </c>
      <c r="CX30" s="46">
        <f t="shared" si="81"/>
        <v>0</v>
      </c>
      <c r="CY30" s="46">
        <f t="shared" si="82"/>
        <v>0</v>
      </c>
      <c r="CZ30" s="46">
        <f t="shared" si="83"/>
        <v>0</v>
      </c>
      <c r="DA30" s="45">
        <f>ROUND((VLOOKUP(A30,'Cumulative pupils per year'!$A$3:$S$88,13,FALSE)),0)</f>
        <v>0</v>
      </c>
      <c r="DB30" s="274">
        <f t="shared" si="84"/>
        <v>0</v>
      </c>
      <c r="DC30" s="274">
        <f t="shared" si="85"/>
        <v>0</v>
      </c>
      <c r="DD30" s="274">
        <f t="shared" si="86"/>
        <v>0</v>
      </c>
      <c r="DE30" s="274">
        <f t="shared" si="87"/>
        <v>0</v>
      </c>
      <c r="DF30" s="274">
        <f t="shared" si="88"/>
        <v>0</v>
      </c>
      <c r="DG30" s="274">
        <f t="shared" si="89"/>
        <v>0</v>
      </c>
      <c r="DH30" s="274">
        <f t="shared" si="90"/>
        <v>0</v>
      </c>
      <c r="DI30" s="291">
        <f>ROUND((VLOOKUP(A30,'Cumulative pupils per year'!$A$3:$S$88,14,FALSE)),0)</f>
        <v>0</v>
      </c>
      <c r="DJ30" s="46">
        <f t="shared" si="91"/>
        <v>0</v>
      </c>
      <c r="DK30" s="46">
        <f t="shared" si="92"/>
        <v>0</v>
      </c>
      <c r="DL30" s="46">
        <f t="shared" si="93"/>
        <v>0</v>
      </c>
      <c r="DM30" s="46">
        <f t="shared" si="94"/>
        <v>0</v>
      </c>
      <c r="DN30" s="46">
        <f t="shared" si="95"/>
        <v>0</v>
      </c>
      <c r="DO30" s="46">
        <f t="shared" si="96"/>
        <v>0</v>
      </c>
      <c r="DP30" s="46">
        <f t="shared" si="97"/>
        <v>0</v>
      </c>
      <c r="DQ30" s="45">
        <f>ROUND((VLOOKUP(A30,'Cumulative pupils per year'!$A$3:$S$88,15,FALSE)),0)</f>
        <v>0</v>
      </c>
    </row>
    <row r="31" spans="1:121">
      <c r="A31" s="4" t="s">
        <v>32</v>
      </c>
      <c r="B31" s="46">
        <v>0</v>
      </c>
      <c r="C31" s="46">
        <v>0</v>
      </c>
      <c r="D31" s="46">
        <v>0</v>
      </c>
      <c r="E31" s="46">
        <v>0</v>
      </c>
      <c r="F31" s="46">
        <v>0</v>
      </c>
      <c r="G31" s="46">
        <v>0</v>
      </c>
      <c r="H31" s="46">
        <v>0</v>
      </c>
      <c r="I31" s="45">
        <v>0</v>
      </c>
      <c r="J31" s="44">
        <f t="shared" si="119"/>
        <v>0</v>
      </c>
      <c r="K31" s="44">
        <f t="shared" si="120"/>
        <v>0</v>
      </c>
      <c r="L31" s="44">
        <f t="shared" si="121"/>
        <v>0</v>
      </c>
      <c r="M31" s="44">
        <f t="shared" si="122"/>
        <v>0</v>
      </c>
      <c r="N31" s="44">
        <f t="shared" si="123"/>
        <v>0</v>
      </c>
      <c r="O31" s="44">
        <f t="shared" si="124"/>
        <v>0</v>
      </c>
      <c r="P31" s="44">
        <f t="shared" si="125"/>
        <v>0</v>
      </c>
      <c r="Q31" s="43">
        <f>ROUND((VLOOKUP(A31,'Cumulative pupils per year'!$A$3:$S$88,2,FALSE)),0)</f>
        <v>0</v>
      </c>
      <c r="R31" s="46">
        <f t="shared" si="7"/>
        <v>0</v>
      </c>
      <c r="S31" s="46">
        <f t="shared" si="8"/>
        <v>0</v>
      </c>
      <c r="T31" s="46">
        <f t="shared" si="9"/>
        <v>0</v>
      </c>
      <c r="U31" s="46">
        <f t="shared" si="10"/>
        <v>0</v>
      </c>
      <c r="V31" s="46">
        <f t="shared" si="11"/>
        <v>0</v>
      </c>
      <c r="W31" s="46">
        <f t="shared" si="12"/>
        <v>0</v>
      </c>
      <c r="X31" s="46">
        <f t="shared" si="13"/>
        <v>0</v>
      </c>
      <c r="Y31" s="45">
        <f>ROUND((VLOOKUP(A31,'Cumulative pupils per year'!$A$3:$S$88,3,FALSE)),0)</f>
        <v>0</v>
      </c>
      <c r="Z31" s="274">
        <f t="shared" si="14"/>
        <v>0</v>
      </c>
      <c r="AA31" s="274">
        <f t="shared" si="15"/>
        <v>0</v>
      </c>
      <c r="AB31" s="274">
        <f t="shared" si="16"/>
        <v>0</v>
      </c>
      <c r="AC31" s="274">
        <f t="shared" si="17"/>
        <v>0</v>
      </c>
      <c r="AD31" s="274">
        <f t="shared" si="18"/>
        <v>0</v>
      </c>
      <c r="AE31" s="274">
        <f t="shared" si="19"/>
        <v>0</v>
      </c>
      <c r="AF31" s="274">
        <f t="shared" si="20"/>
        <v>0</v>
      </c>
      <c r="AG31" s="43">
        <f>ROUND((VLOOKUP(A31,'Cumulative pupils per year'!$A$3:$S$88,4,FALSE)),0)</f>
        <v>0</v>
      </c>
      <c r="AH31" s="46">
        <f t="shared" si="21"/>
        <v>1</v>
      </c>
      <c r="AI31" s="46">
        <f t="shared" si="22"/>
        <v>1</v>
      </c>
      <c r="AJ31" s="46">
        <f t="shared" si="23"/>
        <v>1</v>
      </c>
      <c r="AK31" s="46">
        <f t="shared" si="24"/>
        <v>1</v>
      </c>
      <c r="AL31" s="46">
        <f t="shared" si="25"/>
        <v>1</v>
      </c>
      <c r="AM31" s="46">
        <f t="shared" si="26"/>
        <v>1</v>
      </c>
      <c r="AN31" s="46">
        <f t="shared" si="27"/>
        <v>0</v>
      </c>
      <c r="AO31" s="45">
        <f>ROUND((VLOOKUP(A31,'Cumulative pupils per year'!$A$3:$S$88,5,FALSE)),0)</f>
        <v>6</v>
      </c>
      <c r="AP31" s="274">
        <f t="shared" si="28"/>
        <v>3</v>
      </c>
      <c r="AQ31" s="274">
        <f t="shared" si="29"/>
        <v>3</v>
      </c>
      <c r="AR31" s="274">
        <f t="shared" si="30"/>
        <v>3</v>
      </c>
      <c r="AS31" s="274">
        <f t="shared" si="31"/>
        <v>2</v>
      </c>
      <c r="AT31" s="274">
        <f t="shared" si="32"/>
        <v>2</v>
      </c>
      <c r="AU31" s="274">
        <f t="shared" si="33"/>
        <v>2</v>
      </c>
      <c r="AV31" s="274">
        <f t="shared" si="34"/>
        <v>2</v>
      </c>
      <c r="AW31" s="43">
        <f>ROUND((VLOOKUP(A31,'Cumulative pupils per year'!$A$3:$S$88,6,FALSE)),0)</f>
        <v>17</v>
      </c>
      <c r="AX31" s="46">
        <f t="shared" si="35"/>
        <v>6</v>
      </c>
      <c r="AY31" s="46">
        <f t="shared" si="36"/>
        <v>6</v>
      </c>
      <c r="AZ31" s="46">
        <f t="shared" si="37"/>
        <v>6</v>
      </c>
      <c r="BA31" s="46">
        <f t="shared" si="38"/>
        <v>6</v>
      </c>
      <c r="BB31" s="46">
        <f t="shared" si="39"/>
        <v>5</v>
      </c>
      <c r="BC31" s="46">
        <f t="shared" si="40"/>
        <v>5</v>
      </c>
      <c r="BD31" s="46">
        <f t="shared" si="41"/>
        <v>5</v>
      </c>
      <c r="BE31" s="45">
        <f>ROUND((VLOOKUP(A31,'Cumulative pupils per year'!$A$3:$S$88,7,FALSE)),0)</f>
        <v>39</v>
      </c>
      <c r="BF31" s="274">
        <f t="shared" si="42"/>
        <v>11</v>
      </c>
      <c r="BG31" s="274">
        <f t="shared" si="43"/>
        <v>11</v>
      </c>
      <c r="BH31" s="274">
        <f t="shared" si="44"/>
        <v>10</v>
      </c>
      <c r="BI31" s="274">
        <f t="shared" si="45"/>
        <v>10</v>
      </c>
      <c r="BJ31" s="274">
        <f t="shared" si="46"/>
        <v>10</v>
      </c>
      <c r="BK31" s="274">
        <f t="shared" si="47"/>
        <v>10</v>
      </c>
      <c r="BL31" s="274">
        <f t="shared" si="48"/>
        <v>10</v>
      </c>
      <c r="BM31" s="43">
        <f>ROUND((VLOOKUP(A31,'Cumulative pupils per year'!$A$3:$S$88,8,FALSE)),0)</f>
        <v>72</v>
      </c>
      <c r="BN31" s="46">
        <f t="shared" si="49"/>
        <v>15</v>
      </c>
      <c r="BO31" s="46">
        <f t="shared" si="50"/>
        <v>15</v>
      </c>
      <c r="BP31" s="46">
        <f t="shared" si="51"/>
        <v>15</v>
      </c>
      <c r="BQ31" s="46">
        <f t="shared" si="52"/>
        <v>15</v>
      </c>
      <c r="BR31" s="46">
        <f t="shared" si="53"/>
        <v>15</v>
      </c>
      <c r="BS31" s="46">
        <f t="shared" si="54"/>
        <v>15</v>
      </c>
      <c r="BT31" s="46">
        <f t="shared" si="55"/>
        <v>15</v>
      </c>
      <c r="BU31" s="45">
        <f>ROUND((VLOOKUP(A31,'Cumulative pupils per year'!$A$3:$S$88,9,FALSE)),0)</f>
        <v>105</v>
      </c>
      <c r="BV31" s="274">
        <f t="shared" si="56"/>
        <v>19</v>
      </c>
      <c r="BW31" s="274">
        <f t="shared" si="57"/>
        <v>18</v>
      </c>
      <c r="BX31" s="274">
        <f t="shared" si="58"/>
        <v>18</v>
      </c>
      <c r="BY31" s="274">
        <f t="shared" si="59"/>
        <v>18</v>
      </c>
      <c r="BZ31" s="274">
        <f t="shared" si="60"/>
        <v>18</v>
      </c>
      <c r="CA31" s="274">
        <f t="shared" si="61"/>
        <v>18</v>
      </c>
      <c r="CB31" s="274">
        <f t="shared" si="62"/>
        <v>18</v>
      </c>
      <c r="CC31" s="43">
        <f>ROUND((VLOOKUP(A31,'Cumulative pupils per year'!$A$3:$S$88,10,FALSE)),0)</f>
        <v>127</v>
      </c>
      <c r="CD31" s="46">
        <f t="shared" si="63"/>
        <v>24</v>
      </c>
      <c r="CE31" s="46">
        <f t="shared" si="64"/>
        <v>23</v>
      </c>
      <c r="CF31" s="46">
        <f t="shared" si="65"/>
        <v>23</v>
      </c>
      <c r="CG31" s="46">
        <f t="shared" si="66"/>
        <v>23</v>
      </c>
      <c r="CH31" s="46">
        <f t="shared" si="67"/>
        <v>23</v>
      </c>
      <c r="CI31" s="46">
        <f t="shared" si="68"/>
        <v>23</v>
      </c>
      <c r="CJ31" s="46">
        <f t="shared" si="69"/>
        <v>23</v>
      </c>
      <c r="CK31" s="45">
        <f>ROUND((VLOOKUP(A31,'Cumulative pupils per year'!$A$3:$S$88,11,FALSE)),0)</f>
        <v>162</v>
      </c>
      <c r="CL31" s="274">
        <f t="shared" si="70"/>
        <v>26</v>
      </c>
      <c r="CM31" s="274">
        <f t="shared" si="71"/>
        <v>25</v>
      </c>
      <c r="CN31" s="274">
        <f t="shared" si="72"/>
        <v>25</v>
      </c>
      <c r="CO31" s="274">
        <f t="shared" si="73"/>
        <v>25</v>
      </c>
      <c r="CP31" s="274">
        <f t="shared" si="74"/>
        <v>25</v>
      </c>
      <c r="CQ31" s="274">
        <f t="shared" si="75"/>
        <v>25</v>
      </c>
      <c r="CR31" s="274">
        <f t="shared" si="76"/>
        <v>25</v>
      </c>
      <c r="CS31" s="291">
        <f>ROUND((VLOOKUP(A31,'Cumulative pupils per year'!$A$3:$S$88,12,FALSE)),0)</f>
        <v>176</v>
      </c>
      <c r="CT31" s="46">
        <f t="shared" si="77"/>
        <v>28</v>
      </c>
      <c r="CU31" s="46">
        <f t="shared" si="78"/>
        <v>27</v>
      </c>
      <c r="CV31" s="46">
        <f t="shared" si="79"/>
        <v>27</v>
      </c>
      <c r="CW31" s="46">
        <f t="shared" si="80"/>
        <v>27</v>
      </c>
      <c r="CX31" s="46">
        <f t="shared" si="81"/>
        <v>27</v>
      </c>
      <c r="CY31" s="46">
        <f t="shared" si="82"/>
        <v>27</v>
      </c>
      <c r="CZ31" s="46">
        <f t="shared" si="83"/>
        <v>27</v>
      </c>
      <c r="DA31" s="45">
        <f>ROUND((VLOOKUP(A31,'Cumulative pupils per year'!$A$3:$S$88,13,FALSE)),0)</f>
        <v>190</v>
      </c>
      <c r="DB31" s="274">
        <f t="shared" si="84"/>
        <v>30</v>
      </c>
      <c r="DC31" s="274">
        <f t="shared" si="85"/>
        <v>29</v>
      </c>
      <c r="DD31" s="274">
        <f t="shared" si="86"/>
        <v>29</v>
      </c>
      <c r="DE31" s="274">
        <f t="shared" si="87"/>
        <v>29</v>
      </c>
      <c r="DF31" s="274">
        <f t="shared" si="88"/>
        <v>29</v>
      </c>
      <c r="DG31" s="274">
        <f t="shared" si="89"/>
        <v>29</v>
      </c>
      <c r="DH31" s="274">
        <f t="shared" si="90"/>
        <v>29</v>
      </c>
      <c r="DI31" s="291">
        <f>ROUND((VLOOKUP(A31,'Cumulative pupils per year'!$A$3:$S$88,14,FALSE)),0)</f>
        <v>204</v>
      </c>
      <c r="DJ31" s="46">
        <f t="shared" si="91"/>
        <v>32</v>
      </c>
      <c r="DK31" s="46">
        <f t="shared" si="92"/>
        <v>31</v>
      </c>
      <c r="DL31" s="46">
        <f t="shared" si="93"/>
        <v>31</v>
      </c>
      <c r="DM31" s="46">
        <f t="shared" si="94"/>
        <v>31</v>
      </c>
      <c r="DN31" s="46">
        <f t="shared" si="95"/>
        <v>31</v>
      </c>
      <c r="DO31" s="46">
        <f t="shared" si="96"/>
        <v>31</v>
      </c>
      <c r="DP31" s="46">
        <f t="shared" si="97"/>
        <v>31</v>
      </c>
      <c r="DQ31" s="45">
        <f>ROUND((VLOOKUP(A31,'Cumulative pupils per year'!$A$3:$S$88,15,FALSE)),0)</f>
        <v>218</v>
      </c>
    </row>
    <row r="32" spans="1:121">
      <c r="A32" s="4" t="s">
        <v>33</v>
      </c>
      <c r="B32" s="46">
        <v>0</v>
      </c>
      <c r="C32" s="46">
        <v>0</v>
      </c>
      <c r="D32" s="46">
        <v>0</v>
      </c>
      <c r="E32" s="46">
        <v>0</v>
      </c>
      <c r="F32" s="46">
        <v>0</v>
      </c>
      <c r="G32" s="46">
        <v>0</v>
      </c>
      <c r="H32" s="46">
        <v>0</v>
      </c>
      <c r="I32" s="45">
        <v>0</v>
      </c>
      <c r="J32" s="44">
        <f t="shared" si="119"/>
        <v>0</v>
      </c>
      <c r="K32" s="44">
        <f t="shared" si="120"/>
        <v>0</v>
      </c>
      <c r="L32" s="44">
        <f t="shared" si="121"/>
        <v>0</v>
      </c>
      <c r="M32" s="44">
        <f t="shared" si="122"/>
        <v>0</v>
      </c>
      <c r="N32" s="44">
        <f t="shared" si="123"/>
        <v>0</v>
      </c>
      <c r="O32" s="44">
        <f t="shared" si="124"/>
        <v>0</v>
      </c>
      <c r="P32" s="44">
        <f t="shared" si="125"/>
        <v>0</v>
      </c>
      <c r="Q32" s="43">
        <f>ROUND((VLOOKUP(A32,'Cumulative pupils per year'!$A$3:$S$88,2,FALSE)),0)</f>
        <v>0</v>
      </c>
      <c r="R32" s="46">
        <f t="shared" si="7"/>
        <v>0</v>
      </c>
      <c r="S32" s="46">
        <f t="shared" si="8"/>
        <v>0</v>
      </c>
      <c r="T32" s="46">
        <f t="shared" si="9"/>
        <v>0</v>
      </c>
      <c r="U32" s="46">
        <f t="shared" si="10"/>
        <v>0</v>
      </c>
      <c r="V32" s="46">
        <f t="shared" si="11"/>
        <v>0</v>
      </c>
      <c r="W32" s="46">
        <f t="shared" si="12"/>
        <v>0</v>
      </c>
      <c r="X32" s="46">
        <f t="shared" si="13"/>
        <v>0</v>
      </c>
      <c r="Y32" s="45">
        <f>ROUND((VLOOKUP(A32,'Cumulative pupils per year'!$A$3:$S$88,3,FALSE)),0)</f>
        <v>0</v>
      </c>
      <c r="Z32" s="274">
        <f t="shared" si="14"/>
        <v>0</v>
      </c>
      <c r="AA32" s="274">
        <f t="shared" si="15"/>
        <v>0</v>
      </c>
      <c r="AB32" s="274">
        <f t="shared" si="16"/>
        <v>0</v>
      </c>
      <c r="AC32" s="274">
        <f t="shared" si="17"/>
        <v>0</v>
      </c>
      <c r="AD32" s="274">
        <f t="shared" si="18"/>
        <v>0</v>
      </c>
      <c r="AE32" s="274">
        <f t="shared" si="19"/>
        <v>0</v>
      </c>
      <c r="AF32" s="274">
        <f t="shared" si="20"/>
        <v>0</v>
      </c>
      <c r="AG32" s="43">
        <f>ROUND((VLOOKUP(A32,'Cumulative pupils per year'!$A$3:$S$88,4,FALSE)),0)</f>
        <v>0</v>
      </c>
      <c r="AH32" s="46">
        <f t="shared" si="21"/>
        <v>0</v>
      </c>
      <c r="AI32" s="46">
        <f t="shared" si="22"/>
        <v>0</v>
      </c>
      <c r="AJ32" s="46">
        <f t="shared" si="23"/>
        <v>0</v>
      </c>
      <c r="AK32" s="46">
        <f t="shared" si="24"/>
        <v>0</v>
      </c>
      <c r="AL32" s="46">
        <f t="shared" si="25"/>
        <v>0</v>
      </c>
      <c r="AM32" s="46">
        <f t="shared" si="26"/>
        <v>0</v>
      </c>
      <c r="AN32" s="46">
        <f t="shared" si="27"/>
        <v>0</v>
      </c>
      <c r="AO32" s="45">
        <f>ROUND((VLOOKUP(A32,'Cumulative pupils per year'!$A$3:$S$88,5,FALSE)),0)</f>
        <v>0</v>
      </c>
      <c r="AP32" s="274">
        <f t="shared" si="28"/>
        <v>0</v>
      </c>
      <c r="AQ32" s="274">
        <f t="shared" si="29"/>
        <v>0</v>
      </c>
      <c r="AR32" s="274">
        <f t="shared" si="30"/>
        <v>0</v>
      </c>
      <c r="AS32" s="274">
        <f t="shared" si="31"/>
        <v>0</v>
      </c>
      <c r="AT32" s="274">
        <f t="shared" si="32"/>
        <v>0</v>
      </c>
      <c r="AU32" s="274">
        <f t="shared" si="33"/>
        <v>0</v>
      </c>
      <c r="AV32" s="274">
        <f t="shared" si="34"/>
        <v>0</v>
      </c>
      <c r="AW32" s="43">
        <f>ROUND((VLOOKUP(A32,'Cumulative pupils per year'!$A$3:$S$88,6,FALSE)),0)</f>
        <v>0</v>
      </c>
      <c r="AX32" s="46">
        <f t="shared" si="35"/>
        <v>0</v>
      </c>
      <c r="AY32" s="46">
        <f t="shared" si="36"/>
        <v>0</v>
      </c>
      <c r="AZ32" s="46">
        <f t="shared" si="37"/>
        <v>0</v>
      </c>
      <c r="BA32" s="46">
        <f t="shared" si="38"/>
        <v>0</v>
      </c>
      <c r="BB32" s="46">
        <f t="shared" si="39"/>
        <v>0</v>
      </c>
      <c r="BC32" s="46">
        <f t="shared" si="40"/>
        <v>0</v>
      </c>
      <c r="BD32" s="46">
        <f t="shared" si="41"/>
        <v>0</v>
      </c>
      <c r="BE32" s="45">
        <f>ROUND((VLOOKUP(A32,'Cumulative pupils per year'!$A$3:$S$88,7,FALSE)),0)</f>
        <v>0</v>
      </c>
      <c r="BF32" s="274">
        <f t="shared" si="42"/>
        <v>0</v>
      </c>
      <c r="BG32" s="274">
        <f t="shared" si="43"/>
        <v>0</v>
      </c>
      <c r="BH32" s="274">
        <f t="shared" si="44"/>
        <v>0</v>
      </c>
      <c r="BI32" s="274">
        <f t="shared" si="45"/>
        <v>0</v>
      </c>
      <c r="BJ32" s="274">
        <f t="shared" si="46"/>
        <v>0</v>
      </c>
      <c r="BK32" s="274">
        <f t="shared" si="47"/>
        <v>0</v>
      </c>
      <c r="BL32" s="274">
        <f t="shared" si="48"/>
        <v>0</v>
      </c>
      <c r="BM32" s="43">
        <f>ROUND((VLOOKUP(A32,'Cumulative pupils per year'!$A$3:$S$88,8,FALSE)),0)</f>
        <v>0</v>
      </c>
      <c r="BN32" s="46">
        <f t="shared" si="49"/>
        <v>0</v>
      </c>
      <c r="BO32" s="46">
        <f t="shared" si="50"/>
        <v>0</v>
      </c>
      <c r="BP32" s="46">
        <f t="shared" si="51"/>
        <v>0</v>
      </c>
      <c r="BQ32" s="46">
        <f t="shared" si="52"/>
        <v>0</v>
      </c>
      <c r="BR32" s="46">
        <f t="shared" si="53"/>
        <v>0</v>
      </c>
      <c r="BS32" s="46">
        <f t="shared" si="54"/>
        <v>0</v>
      </c>
      <c r="BT32" s="46">
        <f t="shared" si="55"/>
        <v>0</v>
      </c>
      <c r="BU32" s="45">
        <f>ROUND((VLOOKUP(A32,'Cumulative pupils per year'!$A$3:$S$88,9,FALSE)),0)</f>
        <v>0</v>
      </c>
      <c r="BV32" s="274">
        <f t="shared" si="56"/>
        <v>0</v>
      </c>
      <c r="BW32" s="274">
        <f t="shared" si="57"/>
        <v>0</v>
      </c>
      <c r="BX32" s="274">
        <f t="shared" si="58"/>
        <v>0</v>
      </c>
      <c r="BY32" s="274">
        <f t="shared" si="59"/>
        <v>0</v>
      </c>
      <c r="BZ32" s="274">
        <f t="shared" si="60"/>
        <v>0</v>
      </c>
      <c r="CA32" s="274">
        <f t="shared" si="61"/>
        <v>0</v>
      </c>
      <c r="CB32" s="274">
        <f t="shared" si="62"/>
        <v>0</v>
      </c>
      <c r="CC32" s="43">
        <f>ROUND((VLOOKUP(A32,'Cumulative pupils per year'!$A$3:$S$88,10,FALSE)),0)</f>
        <v>0</v>
      </c>
      <c r="CD32" s="46">
        <f t="shared" si="63"/>
        <v>0</v>
      </c>
      <c r="CE32" s="46">
        <f t="shared" si="64"/>
        <v>0</v>
      </c>
      <c r="CF32" s="46">
        <f t="shared" si="65"/>
        <v>0</v>
      </c>
      <c r="CG32" s="46">
        <f t="shared" si="66"/>
        <v>0</v>
      </c>
      <c r="CH32" s="46">
        <f t="shared" si="67"/>
        <v>0</v>
      </c>
      <c r="CI32" s="46">
        <f t="shared" si="68"/>
        <v>0</v>
      </c>
      <c r="CJ32" s="46">
        <f t="shared" si="69"/>
        <v>0</v>
      </c>
      <c r="CK32" s="45">
        <f>ROUND((VLOOKUP(A32,'Cumulative pupils per year'!$A$3:$S$88,11,FALSE)),0)</f>
        <v>0</v>
      </c>
      <c r="CL32" s="274">
        <f t="shared" si="70"/>
        <v>0</v>
      </c>
      <c r="CM32" s="274">
        <f t="shared" si="71"/>
        <v>0</v>
      </c>
      <c r="CN32" s="274">
        <f t="shared" si="72"/>
        <v>0</v>
      </c>
      <c r="CO32" s="274">
        <f t="shared" si="73"/>
        <v>0</v>
      </c>
      <c r="CP32" s="274">
        <f t="shared" si="74"/>
        <v>0</v>
      </c>
      <c r="CQ32" s="274">
        <f t="shared" si="75"/>
        <v>0</v>
      </c>
      <c r="CR32" s="274">
        <f t="shared" si="76"/>
        <v>0</v>
      </c>
      <c r="CS32" s="291">
        <f>ROUND((VLOOKUP(A32,'Cumulative pupils per year'!$A$3:$S$88,12,FALSE)),0)</f>
        <v>0</v>
      </c>
      <c r="CT32" s="46">
        <f t="shared" si="77"/>
        <v>0</v>
      </c>
      <c r="CU32" s="46">
        <f t="shared" si="78"/>
        <v>0</v>
      </c>
      <c r="CV32" s="46">
        <f t="shared" si="79"/>
        <v>0</v>
      </c>
      <c r="CW32" s="46">
        <f t="shared" si="80"/>
        <v>0</v>
      </c>
      <c r="CX32" s="46">
        <f t="shared" si="81"/>
        <v>0</v>
      </c>
      <c r="CY32" s="46">
        <f t="shared" si="82"/>
        <v>0</v>
      </c>
      <c r="CZ32" s="46">
        <f t="shared" si="83"/>
        <v>0</v>
      </c>
      <c r="DA32" s="45">
        <f>ROUND((VLOOKUP(A32,'Cumulative pupils per year'!$A$3:$S$88,13,FALSE)),0)</f>
        <v>0</v>
      </c>
      <c r="DB32" s="274">
        <f t="shared" si="84"/>
        <v>0</v>
      </c>
      <c r="DC32" s="274">
        <f t="shared" si="85"/>
        <v>0</v>
      </c>
      <c r="DD32" s="274">
        <f t="shared" si="86"/>
        <v>0</v>
      </c>
      <c r="DE32" s="274">
        <f t="shared" si="87"/>
        <v>0</v>
      </c>
      <c r="DF32" s="274">
        <f t="shared" si="88"/>
        <v>0</v>
      </c>
      <c r="DG32" s="274">
        <f t="shared" si="89"/>
        <v>0</v>
      </c>
      <c r="DH32" s="274">
        <f t="shared" si="90"/>
        <v>0</v>
      </c>
      <c r="DI32" s="291">
        <f>ROUND((VLOOKUP(A32,'Cumulative pupils per year'!$A$3:$S$88,14,FALSE)),0)</f>
        <v>0</v>
      </c>
      <c r="DJ32" s="46">
        <f t="shared" si="91"/>
        <v>0</v>
      </c>
      <c r="DK32" s="46">
        <f t="shared" si="92"/>
        <v>0</v>
      </c>
      <c r="DL32" s="46">
        <f t="shared" si="93"/>
        <v>0</v>
      </c>
      <c r="DM32" s="46">
        <f t="shared" si="94"/>
        <v>0</v>
      </c>
      <c r="DN32" s="46">
        <f t="shared" si="95"/>
        <v>0</v>
      </c>
      <c r="DO32" s="46">
        <f t="shared" si="96"/>
        <v>0</v>
      </c>
      <c r="DP32" s="46">
        <f t="shared" si="97"/>
        <v>0</v>
      </c>
      <c r="DQ32" s="45">
        <f>ROUND((VLOOKUP(A32,'Cumulative pupils per year'!$A$3:$S$88,15,FALSE)),0)</f>
        <v>0</v>
      </c>
    </row>
    <row r="33" spans="1:121">
      <c r="A33" s="4" t="s">
        <v>78</v>
      </c>
      <c r="B33" s="46">
        <v>1</v>
      </c>
      <c r="C33" s="46">
        <v>0</v>
      </c>
      <c r="D33" s="46">
        <v>0</v>
      </c>
      <c r="E33" s="46">
        <v>0</v>
      </c>
      <c r="F33" s="46">
        <v>0</v>
      </c>
      <c r="G33" s="46">
        <v>0</v>
      </c>
      <c r="H33" s="46">
        <v>0</v>
      </c>
      <c r="I33" s="45">
        <v>1</v>
      </c>
      <c r="J33" s="44">
        <f t="shared" si="119"/>
        <v>0</v>
      </c>
      <c r="K33" s="44">
        <f t="shared" si="120"/>
        <v>0</v>
      </c>
      <c r="L33" s="44">
        <f t="shared" si="121"/>
        <v>0</v>
      </c>
      <c r="M33" s="44">
        <f t="shared" si="122"/>
        <v>0</v>
      </c>
      <c r="N33" s="44">
        <f t="shared" si="123"/>
        <v>0</v>
      </c>
      <c r="O33" s="44">
        <f t="shared" si="124"/>
        <v>0</v>
      </c>
      <c r="P33" s="44">
        <f t="shared" si="125"/>
        <v>0</v>
      </c>
      <c r="Q33" s="43">
        <f>ROUND((VLOOKUP(A33,'Cumulative pupils per year'!$A$3:$S$88,2,FALSE)),0)</f>
        <v>0</v>
      </c>
      <c r="R33" s="46">
        <f t="shared" si="7"/>
        <v>0</v>
      </c>
      <c r="S33" s="46">
        <f t="shared" si="8"/>
        <v>0</v>
      </c>
      <c r="T33" s="46">
        <f t="shared" si="9"/>
        <v>0</v>
      </c>
      <c r="U33" s="46">
        <f t="shared" si="10"/>
        <v>0</v>
      </c>
      <c r="V33" s="46">
        <f t="shared" si="11"/>
        <v>0</v>
      </c>
      <c r="W33" s="46">
        <f t="shared" si="12"/>
        <v>0</v>
      </c>
      <c r="X33" s="46">
        <f t="shared" si="13"/>
        <v>0</v>
      </c>
      <c r="Y33" s="45">
        <f>ROUND((VLOOKUP(A33,'Cumulative pupils per year'!$A$3:$S$88,3,FALSE)),0)</f>
        <v>0</v>
      </c>
      <c r="Z33" s="274">
        <f t="shared" si="14"/>
        <v>1</v>
      </c>
      <c r="AA33" s="274">
        <f t="shared" si="15"/>
        <v>1</v>
      </c>
      <c r="AB33" s="274">
        <f t="shared" si="16"/>
        <v>1</v>
      </c>
      <c r="AC33" s="274">
        <f t="shared" si="17"/>
        <v>1</v>
      </c>
      <c r="AD33" s="274">
        <f t="shared" si="18"/>
        <v>1</v>
      </c>
      <c r="AE33" s="274">
        <f t="shared" si="19"/>
        <v>0</v>
      </c>
      <c r="AF33" s="274">
        <f t="shared" si="20"/>
        <v>0</v>
      </c>
      <c r="AG33" s="43">
        <f>ROUND((VLOOKUP(A33,'Cumulative pupils per year'!$A$3:$S$88,4,FALSE)),0)</f>
        <v>5</v>
      </c>
      <c r="AH33" s="46">
        <f t="shared" si="21"/>
        <v>1</v>
      </c>
      <c r="AI33" s="46">
        <f t="shared" si="22"/>
        <v>1</v>
      </c>
      <c r="AJ33" s="46">
        <f t="shared" si="23"/>
        <v>1</v>
      </c>
      <c r="AK33" s="46">
        <f t="shared" si="24"/>
        <v>1</v>
      </c>
      <c r="AL33" s="46">
        <f t="shared" si="25"/>
        <v>1</v>
      </c>
      <c r="AM33" s="46">
        <f t="shared" si="26"/>
        <v>1</v>
      </c>
      <c r="AN33" s="46">
        <f t="shared" si="27"/>
        <v>1</v>
      </c>
      <c r="AO33" s="45">
        <f>ROUND((VLOOKUP(A33,'Cumulative pupils per year'!$A$3:$S$88,5,FALSE)),0)</f>
        <v>7</v>
      </c>
      <c r="AP33" s="274">
        <f t="shared" si="28"/>
        <v>1</v>
      </c>
      <c r="AQ33" s="274">
        <f t="shared" si="29"/>
        <v>1</v>
      </c>
      <c r="AR33" s="274">
        <f t="shared" si="30"/>
        <v>1</v>
      </c>
      <c r="AS33" s="274">
        <f t="shared" si="31"/>
        <v>1</v>
      </c>
      <c r="AT33" s="274">
        <f t="shared" si="32"/>
        <v>1</v>
      </c>
      <c r="AU33" s="274">
        <f t="shared" si="33"/>
        <v>1</v>
      </c>
      <c r="AV33" s="274">
        <f t="shared" si="34"/>
        <v>1</v>
      </c>
      <c r="AW33" s="43">
        <f>ROUND((VLOOKUP(A33,'Cumulative pupils per year'!$A$3:$S$88,6,FALSE)),0)</f>
        <v>7</v>
      </c>
      <c r="AX33" s="46">
        <f t="shared" si="35"/>
        <v>1</v>
      </c>
      <c r="AY33" s="46">
        <f t="shared" si="36"/>
        <v>1</v>
      </c>
      <c r="AZ33" s="46">
        <f t="shared" si="37"/>
        <v>1</v>
      </c>
      <c r="BA33" s="46">
        <f t="shared" si="38"/>
        <v>1</v>
      </c>
      <c r="BB33" s="46">
        <f t="shared" si="39"/>
        <v>1</v>
      </c>
      <c r="BC33" s="46">
        <f t="shared" si="40"/>
        <v>1</v>
      </c>
      <c r="BD33" s="46">
        <f t="shared" si="41"/>
        <v>1</v>
      </c>
      <c r="BE33" s="45">
        <f>ROUND((VLOOKUP(A33,'Cumulative pupils per year'!$A$3:$S$88,7,FALSE)),0)</f>
        <v>7</v>
      </c>
      <c r="BF33" s="274">
        <f t="shared" si="42"/>
        <v>2</v>
      </c>
      <c r="BG33" s="274">
        <f t="shared" si="43"/>
        <v>2</v>
      </c>
      <c r="BH33" s="274">
        <f t="shared" si="44"/>
        <v>2</v>
      </c>
      <c r="BI33" s="274">
        <f t="shared" si="45"/>
        <v>1</v>
      </c>
      <c r="BJ33" s="274">
        <f t="shared" si="46"/>
        <v>1</v>
      </c>
      <c r="BK33" s="274">
        <f t="shared" si="47"/>
        <v>1</v>
      </c>
      <c r="BL33" s="274">
        <f t="shared" si="48"/>
        <v>1</v>
      </c>
      <c r="BM33" s="43">
        <f>ROUND((VLOOKUP(A33,'Cumulative pupils per year'!$A$3:$S$88,8,FALSE)),0)</f>
        <v>10</v>
      </c>
      <c r="BN33" s="46">
        <f t="shared" si="49"/>
        <v>2</v>
      </c>
      <c r="BO33" s="46">
        <f t="shared" si="50"/>
        <v>2</v>
      </c>
      <c r="BP33" s="46">
        <f t="shared" si="51"/>
        <v>2</v>
      </c>
      <c r="BQ33" s="46">
        <f t="shared" si="52"/>
        <v>2</v>
      </c>
      <c r="BR33" s="46">
        <f t="shared" si="53"/>
        <v>2</v>
      </c>
      <c r="BS33" s="46">
        <f t="shared" si="54"/>
        <v>2</v>
      </c>
      <c r="BT33" s="46">
        <f t="shared" si="55"/>
        <v>1</v>
      </c>
      <c r="BU33" s="45">
        <f>ROUND((VLOOKUP(A33,'Cumulative pupils per year'!$A$3:$S$88,9,FALSE)),0)</f>
        <v>13</v>
      </c>
      <c r="BV33" s="274">
        <f t="shared" si="56"/>
        <v>3</v>
      </c>
      <c r="BW33" s="274">
        <f t="shared" si="57"/>
        <v>3</v>
      </c>
      <c r="BX33" s="274">
        <f t="shared" si="58"/>
        <v>3</v>
      </c>
      <c r="BY33" s="274">
        <f t="shared" si="59"/>
        <v>3</v>
      </c>
      <c r="BZ33" s="274">
        <f t="shared" si="60"/>
        <v>3</v>
      </c>
      <c r="CA33" s="274">
        <f t="shared" si="61"/>
        <v>2</v>
      </c>
      <c r="CB33" s="274">
        <f t="shared" si="62"/>
        <v>2</v>
      </c>
      <c r="CC33" s="43">
        <f>ROUND((VLOOKUP(A33,'Cumulative pupils per year'!$A$3:$S$88,10,FALSE)),0)</f>
        <v>19</v>
      </c>
      <c r="CD33" s="46">
        <f t="shared" si="63"/>
        <v>4</v>
      </c>
      <c r="CE33" s="46">
        <f t="shared" si="64"/>
        <v>4</v>
      </c>
      <c r="CF33" s="46">
        <f t="shared" si="65"/>
        <v>4</v>
      </c>
      <c r="CG33" s="46">
        <f t="shared" si="66"/>
        <v>4</v>
      </c>
      <c r="CH33" s="46">
        <f t="shared" si="67"/>
        <v>4</v>
      </c>
      <c r="CI33" s="46">
        <f t="shared" si="68"/>
        <v>3</v>
      </c>
      <c r="CJ33" s="46">
        <f t="shared" si="69"/>
        <v>3</v>
      </c>
      <c r="CK33" s="45">
        <f>ROUND((VLOOKUP(A33,'Cumulative pupils per year'!$A$3:$S$88,11,FALSE)),0)</f>
        <v>26</v>
      </c>
      <c r="CL33" s="274">
        <f t="shared" si="70"/>
        <v>4</v>
      </c>
      <c r="CM33" s="274">
        <f t="shared" si="71"/>
        <v>4</v>
      </c>
      <c r="CN33" s="274">
        <f t="shared" si="72"/>
        <v>4</v>
      </c>
      <c r="CO33" s="274">
        <f t="shared" si="73"/>
        <v>4</v>
      </c>
      <c r="CP33" s="274">
        <f t="shared" si="74"/>
        <v>4</v>
      </c>
      <c r="CQ33" s="274">
        <f t="shared" si="75"/>
        <v>3</v>
      </c>
      <c r="CR33" s="274">
        <f t="shared" si="76"/>
        <v>3</v>
      </c>
      <c r="CS33" s="291">
        <f>ROUND((VLOOKUP(A33,'Cumulative pupils per year'!$A$3:$S$88,12,FALSE)),0)</f>
        <v>26</v>
      </c>
      <c r="CT33" s="46">
        <f t="shared" si="77"/>
        <v>4</v>
      </c>
      <c r="CU33" s="46">
        <f t="shared" si="78"/>
        <v>4</v>
      </c>
      <c r="CV33" s="46">
        <f t="shared" si="79"/>
        <v>4</v>
      </c>
      <c r="CW33" s="46">
        <f t="shared" si="80"/>
        <v>4</v>
      </c>
      <c r="CX33" s="46">
        <f t="shared" si="81"/>
        <v>4</v>
      </c>
      <c r="CY33" s="46">
        <f t="shared" si="82"/>
        <v>3</v>
      </c>
      <c r="CZ33" s="46">
        <f t="shared" si="83"/>
        <v>3</v>
      </c>
      <c r="DA33" s="45">
        <f>ROUND((VLOOKUP(A33,'Cumulative pupils per year'!$A$3:$S$88,13,FALSE)),0)</f>
        <v>26</v>
      </c>
      <c r="DB33" s="274">
        <f t="shared" si="84"/>
        <v>4</v>
      </c>
      <c r="DC33" s="274">
        <f t="shared" si="85"/>
        <v>4</v>
      </c>
      <c r="DD33" s="274">
        <f t="shared" si="86"/>
        <v>4</v>
      </c>
      <c r="DE33" s="274">
        <f t="shared" si="87"/>
        <v>4</v>
      </c>
      <c r="DF33" s="274">
        <f t="shared" si="88"/>
        <v>4</v>
      </c>
      <c r="DG33" s="274">
        <f t="shared" si="89"/>
        <v>3</v>
      </c>
      <c r="DH33" s="274">
        <f t="shared" si="90"/>
        <v>3</v>
      </c>
      <c r="DI33" s="291">
        <f>ROUND((VLOOKUP(A33,'Cumulative pupils per year'!$A$3:$S$88,14,FALSE)),0)</f>
        <v>26</v>
      </c>
      <c r="DJ33" s="46">
        <f t="shared" si="91"/>
        <v>4</v>
      </c>
      <c r="DK33" s="46">
        <f t="shared" si="92"/>
        <v>4</v>
      </c>
      <c r="DL33" s="46">
        <f t="shared" si="93"/>
        <v>4</v>
      </c>
      <c r="DM33" s="46">
        <f t="shared" si="94"/>
        <v>4</v>
      </c>
      <c r="DN33" s="46">
        <f t="shared" si="95"/>
        <v>4</v>
      </c>
      <c r="DO33" s="46">
        <f t="shared" si="96"/>
        <v>3</v>
      </c>
      <c r="DP33" s="46">
        <f t="shared" si="97"/>
        <v>3</v>
      </c>
      <c r="DQ33" s="45">
        <f>ROUND((VLOOKUP(A33,'Cumulative pupils per year'!$A$3:$S$88,15,FALSE)),0)</f>
        <v>26</v>
      </c>
    </row>
    <row r="34" spans="1:121">
      <c r="A34" s="4" t="s">
        <v>34</v>
      </c>
      <c r="B34" s="46">
        <v>1</v>
      </c>
      <c r="C34" s="46">
        <v>1</v>
      </c>
      <c r="D34" s="46">
        <v>1</v>
      </c>
      <c r="E34" s="46">
        <v>1</v>
      </c>
      <c r="F34" s="46">
        <v>0</v>
      </c>
      <c r="G34" s="46">
        <v>0</v>
      </c>
      <c r="H34" s="46">
        <v>0</v>
      </c>
      <c r="I34" s="45">
        <v>4</v>
      </c>
      <c r="J34" s="44">
        <f t="shared" si="119"/>
        <v>1</v>
      </c>
      <c r="K34" s="44">
        <f t="shared" si="120"/>
        <v>1</v>
      </c>
      <c r="L34" s="44">
        <f t="shared" si="121"/>
        <v>1</v>
      </c>
      <c r="M34" s="44">
        <f t="shared" si="122"/>
        <v>1</v>
      </c>
      <c r="N34" s="44">
        <f t="shared" si="123"/>
        <v>1</v>
      </c>
      <c r="O34" s="44">
        <f t="shared" si="124"/>
        <v>0</v>
      </c>
      <c r="P34" s="44">
        <f t="shared" si="125"/>
        <v>0</v>
      </c>
      <c r="Q34" s="43">
        <f>ROUND((VLOOKUP(A34,'Cumulative pupils per year'!$A$3:$S$88,2,FALSE)),0)</f>
        <v>5</v>
      </c>
      <c r="R34" s="46">
        <f t="shared" si="7"/>
        <v>1</v>
      </c>
      <c r="S34" s="46">
        <f t="shared" si="8"/>
        <v>1</v>
      </c>
      <c r="T34" s="46">
        <f t="shared" si="9"/>
        <v>1</v>
      </c>
      <c r="U34" s="46">
        <f t="shared" si="10"/>
        <v>1</v>
      </c>
      <c r="V34" s="46">
        <f t="shared" si="11"/>
        <v>1</v>
      </c>
      <c r="W34" s="46">
        <f t="shared" si="12"/>
        <v>0</v>
      </c>
      <c r="X34" s="46">
        <f t="shared" si="13"/>
        <v>0</v>
      </c>
      <c r="Y34" s="45">
        <f>ROUND((VLOOKUP(A34,'Cumulative pupils per year'!$A$3:$S$88,3,FALSE)),0)</f>
        <v>5</v>
      </c>
      <c r="Z34" s="274">
        <f t="shared" si="14"/>
        <v>1</v>
      </c>
      <c r="AA34" s="274">
        <f t="shared" si="15"/>
        <v>1</v>
      </c>
      <c r="AB34" s="274">
        <f t="shared" si="16"/>
        <v>1</v>
      </c>
      <c r="AC34" s="274">
        <f t="shared" si="17"/>
        <v>1</v>
      </c>
      <c r="AD34" s="274">
        <f t="shared" si="18"/>
        <v>1</v>
      </c>
      <c r="AE34" s="274">
        <f t="shared" si="19"/>
        <v>1</v>
      </c>
      <c r="AF34" s="274">
        <f t="shared" si="20"/>
        <v>1</v>
      </c>
      <c r="AG34" s="43">
        <f>ROUND((VLOOKUP(A34,'Cumulative pupils per year'!$A$3:$S$88,4,FALSE)),0)</f>
        <v>7</v>
      </c>
      <c r="AH34" s="46">
        <f t="shared" si="21"/>
        <v>1</v>
      </c>
      <c r="AI34" s="46">
        <f t="shared" si="22"/>
        <v>1</v>
      </c>
      <c r="AJ34" s="46">
        <f t="shared" si="23"/>
        <v>1</v>
      </c>
      <c r="AK34" s="46">
        <f t="shared" si="24"/>
        <v>1</v>
      </c>
      <c r="AL34" s="46">
        <f t="shared" si="25"/>
        <v>1</v>
      </c>
      <c r="AM34" s="46">
        <f t="shared" si="26"/>
        <v>1</v>
      </c>
      <c r="AN34" s="46">
        <f t="shared" si="27"/>
        <v>1</v>
      </c>
      <c r="AO34" s="45">
        <f>ROUND((VLOOKUP(A34,'Cumulative pupils per year'!$A$3:$S$88,5,FALSE)),0)</f>
        <v>7</v>
      </c>
      <c r="AP34" s="274">
        <f t="shared" si="28"/>
        <v>1</v>
      </c>
      <c r="AQ34" s="274">
        <f t="shared" si="29"/>
        <v>1</v>
      </c>
      <c r="AR34" s="274">
        <f t="shared" si="30"/>
        <v>1</v>
      </c>
      <c r="AS34" s="274">
        <f t="shared" si="31"/>
        <v>1</v>
      </c>
      <c r="AT34" s="274">
        <f t="shared" si="32"/>
        <v>1</v>
      </c>
      <c r="AU34" s="274">
        <f t="shared" si="33"/>
        <v>1</v>
      </c>
      <c r="AV34" s="274">
        <f t="shared" si="34"/>
        <v>1</v>
      </c>
      <c r="AW34" s="43">
        <f>ROUND((VLOOKUP(A34,'Cumulative pupils per year'!$A$3:$S$88,6,FALSE)),0)</f>
        <v>7</v>
      </c>
      <c r="AX34" s="46">
        <f t="shared" si="35"/>
        <v>1</v>
      </c>
      <c r="AY34" s="46">
        <f t="shared" si="36"/>
        <v>1</v>
      </c>
      <c r="AZ34" s="46">
        <f t="shared" si="37"/>
        <v>1</v>
      </c>
      <c r="BA34" s="46">
        <f t="shared" si="38"/>
        <v>1</v>
      </c>
      <c r="BB34" s="46">
        <f t="shared" si="39"/>
        <v>1</v>
      </c>
      <c r="BC34" s="46">
        <f t="shared" si="40"/>
        <v>1</v>
      </c>
      <c r="BD34" s="46">
        <f t="shared" si="41"/>
        <v>1</v>
      </c>
      <c r="BE34" s="45">
        <f>ROUND((VLOOKUP(A34,'Cumulative pupils per year'!$A$3:$S$88,7,FALSE)),0)</f>
        <v>7</v>
      </c>
      <c r="BF34" s="274">
        <f t="shared" si="42"/>
        <v>1</v>
      </c>
      <c r="BG34" s="274">
        <f t="shared" si="43"/>
        <v>1</v>
      </c>
      <c r="BH34" s="274">
        <f t="shared" si="44"/>
        <v>1</v>
      </c>
      <c r="BI34" s="274">
        <f t="shared" si="45"/>
        <v>1</v>
      </c>
      <c r="BJ34" s="274">
        <f t="shared" si="46"/>
        <v>1</v>
      </c>
      <c r="BK34" s="274">
        <f t="shared" si="47"/>
        <v>1</v>
      </c>
      <c r="BL34" s="274">
        <f t="shared" si="48"/>
        <v>1</v>
      </c>
      <c r="BM34" s="43">
        <f>ROUND((VLOOKUP(A34,'Cumulative pupils per year'!$A$3:$S$88,8,FALSE)),0)</f>
        <v>7</v>
      </c>
      <c r="BN34" s="46">
        <f t="shared" si="49"/>
        <v>1</v>
      </c>
      <c r="BO34" s="46">
        <f t="shared" si="50"/>
        <v>1</v>
      </c>
      <c r="BP34" s="46">
        <f t="shared" si="51"/>
        <v>1</v>
      </c>
      <c r="BQ34" s="46">
        <f t="shared" si="52"/>
        <v>1</v>
      </c>
      <c r="BR34" s="46">
        <f t="shared" si="53"/>
        <v>1</v>
      </c>
      <c r="BS34" s="46">
        <f t="shared" si="54"/>
        <v>1</v>
      </c>
      <c r="BT34" s="46">
        <f t="shared" si="55"/>
        <v>1</v>
      </c>
      <c r="BU34" s="45">
        <f>ROUND((VLOOKUP(A34,'Cumulative pupils per year'!$A$3:$S$88,9,FALSE)),0)</f>
        <v>7</v>
      </c>
      <c r="BV34" s="274">
        <f t="shared" si="56"/>
        <v>2</v>
      </c>
      <c r="BW34" s="274">
        <f t="shared" si="57"/>
        <v>2</v>
      </c>
      <c r="BX34" s="274">
        <f t="shared" si="58"/>
        <v>1</v>
      </c>
      <c r="BY34" s="274">
        <f t="shared" si="59"/>
        <v>1</v>
      </c>
      <c r="BZ34" s="274">
        <f t="shared" si="60"/>
        <v>1</v>
      </c>
      <c r="CA34" s="274">
        <f t="shared" si="61"/>
        <v>1</v>
      </c>
      <c r="CB34" s="274">
        <f t="shared" si="62"/>
        <v>1</v>
      </c>
      <c r="CC34" s="43">
        <f>ROUND((VLOOKUP(A34,'Cumulative pupils per year'!$A$3:$S$88,10,FALSE)),0)</f>
        <v>9</v>
      </c>
      <c r="CD34" s="46">
        <f t="shared" si="63"/>
        <v>2</v>
      </c>
      <c r="CE34" s="46">
        <f t="shared" si="64"/>
        <v>2</v>
      </c>
      <c r="CF34" s="46">
        <f t="shared" si="65"/>
        <v>2</v>
      </c>
      <c r="CG34" s="46">
        <f t="shared" si="66"/>
        <v>2</v>
      </c>
      <c r="CH34" s="46">
        <f t="shared" si="67"/>
        <v>1</v>
      </c>
      <c r="CI34" s="46">
        <f t="shared" si="68"/>
        <v>1</v>
      </c>
      <c r="CJ34" s="46">
        <f t="shared" si="69"/>
        <v>1</v>
      </c>
      <c r="CK34" s="45">
        <f>ROUND((VLOOKUP(A34,'Cumulative pupils per year'!$A$3:$S$88,11,FALSE)),0)</f>
        <v>11</v>
      </c>
      <c r="CL34" s="274">
        <f t="shared" si="70"/>
        <v>2</v>
      </c>
      <c r="CM34" s="274">
        <f t="shared" si="71"/>
        <v>2</v>
      </c>
      <c r="CN34" s="274">
        <f t="shared" si="72"/>
        <v>2</v>
      </c>
      <c r="CO34" s="274">
        <f t="shared" si="73"/>
        <v>2</v>
      </c>
      <c r="CP34" s="274">
        <f t="shared" si="74"/>
        <v>1</v>
      </c>
      <c r="CQ34" s="274">
        <f t="shared" si="75"/>
        <v>1</v>
      </c>
      <c r="CR34" s="274">
        <f t="shared" si="76"/>
        <v>1</v>
      </c>
      <c r="CS34" s="291">
        <f>ROUND((VLOOKUP(A34,'Cumulative pupils per year'!$A$3:$S$88,12,FALSE)),0)</f>
        <v>11</v>
      </c>
      <c r="CT34" s="46">
        <f t="shared" si="77"/>
        <v>2</v>
      </c>
      <c r="CU34" s="46">
        <f t="shared" si="78"/>
        <v>2</v>
      </c>
      <c r="CV34" s="46">
        <f t="shared" si="79"/>
        <v>2</v>
      </c>
      <c r="CW34" s="46">
        <f t="shared" si="80"/>
        <v>2</v>
      </c>
      <c r="CX34" s="46">
        <f t="shared" si="81"/>
        <v>1</v>
      </c>
      <c r="CY34" s="46">
        <f t="shared" si="82"/>
        <v>1</v>
      </c>
      <c r="CZ34" s="46">
        <f t="shared" si="83"/>
        <v>1</v>
      </c>
      <c r="DA34" s="45">
        <f>ROUND((VLOOKUP(A34,'Cumulative pupils per year'!$A$3:$S$88,13,FALSE)),0)</f>
        <v>11</v>
      </c>
      <c r="DB34" s="274">
        <f t="shared" si="84"/>
        <v>2</v>
      </c>
      <c r="DC34" s="274">
        <f t="shared" si="85"/>
        <v>2</v>
      </c>
      <c r="DD34" s="274">
        <f t="shared" si="86"/>
        <v>2</v>
      </c>
      <c r="DE34" s="274">
        <f t="shared" si="87"/>
        <v>2</v>
      </c>
      <c r="DF34" s="274">
        <f t="shared" si="88"/>
        <v>1</v>
      </c>
      <c r="DG34" s="274">
        <f t="shared" si="89"/>
        <v>1</v>
      </c>
      <c r="DH34" s="274">
        <f t="shared" si="90"/>
        <v>1</v>
      </c>
      <c r="DI34" s="291">
        <f>ROUND((VLOOKUP(A34,'Cumulative pupils per year'!$A$3:$S$88,14,FALSE)),0)</f>
        <v>11</v>
      </c>
      <c r="DJ34" s="46">
        <f t="shared" si="91"/>
        <v>2</v>
      </c>
      <c r="DK34" s="46">
        <f t="shared" si="92"/>
        <v>2</v>
      </c>
      <c r="DL34" s="46">
        <f t="shared" si="93"/>
        <v>2</v>
      </c>
      <c r="DM34" s="46">
        <f t="shared" si="94"/>
        <v>2</v>
      </c>
      <c r="DN34" s="46">
        <f t="shared" si="95"/>
        <v>1</v>
      </c>
      <c r="DO34" s="46">
        <f t="shared" si="96"/>
        <v>1</v>
      </c>
      <c r="DP34" s="46">
        <f t="shared" si="97"/>
        <v>1</v>
      </c>
      <c r="DQ34" s="45">
        <f>ROUND((VLOOKUP(A34,'Cumulative pupils per year'!$A$3:$S$88,15,FALSE)),0)</f>
        <v>11</v>
      </c>
    </row>
    <row r="35" spans="1:121">
      <c r="A35" s="4" t="s">
        <v>83</v>
      </c>
      <c r="B35" s="46">
        <v>0</v>
      </c>
      <c r="C35" s="46">
        <v>0</v>
      </c>
      <c r="D35" s="46">
        <v>0</v>
      </c>
      <c r="E35" s="46">
        <v>0</v>
      </c>
      <c r="F35" s="46">
        <v>0</v>
      </c>
      <c r="G35" s="46">
        <v>0</v>
      </c>
      <c r="H35" s="46">
        <v>0</v>
      </c>
      <c r="I35" s="45">
        <v>0</v>
      </c>
      <c r="J35" s="44">
        <f t="shared" si="119"/>
        <v>0</v>
      </c>
      <c r="K35" s="44">
        <f t="shared" si="120"/>
        <v>0</v>
      </c>
      <c r="L35" s="44">
        <f t="shared" si="121"/>
        <v>0</v>
      </c>
      <c r="M35" s="44">
        <f t="shared" si="122"/>
        <v>0</v>
      </c>
      <c r="N35" s="44">
        <f t="shared" si="123"/>
        <v>0</v>
      </c>
      <c r="O35" s="44">
        <f t="shared" si="124"/>
        <v>0</v>
      </c>
      <c r="P35" s="44">
        <f t="shared" si="125"/>
        <v>0</v>
      </c>
      <c r="Q35" s="43">
        <f>ROUND((VLOOKUP(A35,'Cumulative pupils per year'!$A$3:$S$88,2,FALSE)),0)</f>
        <v>0</v>
      </c>
      <c r="R35" s="46">
        <f t="shared" si="7"/>
        <v>0</v>
      </c>
      <c r="S35" s="46">
        <f t="shared" si="8"/>
        <v>0</v>
      </c>
      <c r="T35" s="46">
        <f t="shared" si="9"/>
        <v>0</v>
      </c>
      <c r="U35" s="46">
        <f t="shared" si="10"/>
        <v>0</v>
      </c>
      <c r="V35" s="46">
        <f t="shared" si="11"/>
        <v>0</v>
      </c>
      <c r="W35" s="46">
        <f t="shared" si="12"/>
        <v>0</v>
      </c>
      <c r="X35" s="46">
        <f t="shared" si="13"/>
        <v>0</v>
      </c>
      <c r="Y35" s="45">
        <f>ROUND((VLOOKUP(A35,'Cumulative pupils per year'!$A$3:$S$88,3,FALSE)),0)</f>
        <v>0</v>
      </c>
      <c r="Z35" s="274">
        <f t="shared" si="14"/>
        <v>0</v>
      </c>
      <c r="AA35" s="274">
        <f t="shared" si="15"/>
        <v>0</v>
      </c>
      <c r="AB35" s="274">
        <f t="shared" si="16"/>
        <v>0</v>
      </c>
      <c r="AC35" s="274">
        <f t="shared" si="17"/>
        <v>0</v>
      </c>
      <c r="AD35" s="274">
        <f t="shared" si="18"/>
        <v>0</v>
      </c>
      <c r="AE35" s="274">
        <f t="shared" si="19"/>
        <v>0</v>
      </c>
      <c r="AF35" s="274">
        <f t="shared" si="20"/>
        <v>0</v>
      </c>
      <c r="AG35" s="43">
        <f>ROUND((VLOOKUP(A35,'Cumulative pupils per year'!$A$3:$S$88,4,FALSE)),0)</f>
        <v>0</v>
      </c>
      <c r="AH35" s="46">
        <f t="shared" si="21"/>
        <v>0</v>
      </c>
      <c r="AI35" s="46">
        <f t="shared" si="22"/>
        <v>0</v>
      </c>
      <c r="AJ35" s="46">
        <f t="shared" si="23"/>
        <v>0</v>
      </c>
      <c r="AK35" s="46">
        <f t="shared" si="24"/>
        <v>0</v>
      </c>
      <c r="AL35" s="46">
        <f t="shared" si="25"/>
        <v>0</v>
      </c>
      <c r="AM35" s="46">
        <f t="shared" si="26"/>
        <v>0</v>
      </c>
      <c r="AN35" s="46">
        <f t="shared" si="27"/>
        <v>0</v>
      </c>
      <c r="AO35" s="45">
        <f>ROUND((VLOOKUP(A35,'Cumulative pupils per year'!$A$3:$S$88,5,FALSE)),0)</f>
        <v>0</v>
      </c>
      <c r="AP35" s="274">
        <f t="shared" si="28"/>
        <v>0</v>
      </c>
      <c r="AQ35" s="274">
        <f t="shared" si="29"/>
        <v>0</v>
      </c>
      <c r="AR35" s="274">
        <f t="shared" si="30"/>
        <v>0</v>
      </c>
      <c r="AS35" s="274">
        <f t="shared" si="31"/>
        <v>0</v>
      </c>
      <c r="AT35" s="274">
        <f t="shared" si="32"/>
        <v>0</v>
      </c>
      <c r="AU35" s="274">
        <f t="shared" si="33"/>
        <v>0</v>
      </c>
      <c r="AV35" s="274">
        <f t="shared" si="34"/>
        <v>0</v>
      </c>
      <c r="AW35" s="43">
        <f>ROUND((VLOOKUP(A35,'Cumulative pupils per year'!$A$3:$S$88,6,FALSE)),0)</f>
        <v>0</v>
      </c>
      <c r="AX35" s="46">
        <f t="shared" si="35"/>
        <v>0</v>
      </c>
      <c r="AY35" s="46">
        <f t="shared" si="36"/>
        <v>0</v>
      </c>
      <c r="AZ35" s="46">
        <f t="shared" si="37"/>
        <v>0</v>
      </c>
      <c r="BA35" s="46">
        <f t="shared" si="38"/>
        <v>0</v>
      </c>
      <c r="BB35" s="46">
        <f t="shared" si="39"/>
        <v>0</v>
      </c>
      <c r="BC35" s="46">
        <f t="shared" si="40"/>
        <v>0</v>
      </c>
      <c r="BD35" s="46">
        <f t="shared" si="41"/>
        <v>0</v>
      </c>
      <c r="BE35" s="45">
        <f>ROUND((VLOOKUP(A35,'Cumulative pupils per year'!$A$3:$S$88,7,FALSE)),0)</f>
        <v>0</v>
      </c>
      <c r="BF35" s="274">
        <f t="shared" si="42"/>
        <v>0</v>
      </c>
      <c r="BG35" s="274">
        <f t="shared" si="43"/>
        <v>0</v>
      </c>
      <c r="BH35" s="274">
        <f t="shared" si="44"/>
        <v>0</v>
      </c>
      <c r="BI35" s="274">
        <f t="shared" si="45"/>
        <v>0</v>
      </c>
      <c r="BJ35" s="274">
        <f t="shared" si="46"/>
        <v>0</v>
      </c>
      <c r="BK35" s="274">
        <f t="shared" si="47"/>
        <v>0</v>
      </c>
      <c r="BL35" s="274">
        <f t="shared" si="48"/>
        <v>0</v>
      </c>
      <c r="BM35" s="43">
        <f>ROUND((VLOOKUP(A35,'Cumulative pupils per year'!$A$3:$S$88,8,FALSE)),0)</f>
        <v>0</v>
      </c>
      <c r="BN35" s="46">
        <f t="shared" si="49"/>
        <v>0</v>
      </c>
      <c r="BO35" s="46">
        <f t="shared" si="50"/>
        <v>0</v>
      </c>
      <c r="BP35" s="46">
        <f t="shared" si="51"/>
        <v>0</v>
      </c>
      <c r="BQ35" s="46">
        <f t="shared" si="52"/>
        <v>0</v>
      </c>
      <c r="BR35" s="46">
        <f t="shared" si="53"/>
        <v>0</v>
      </c>
      <c r="BS35" s="46">
        <f t="shared" si="54"/>
        <v>0</v>
      </c>
      <c r="BT35" s="46">
        <f t="shared" si="55"/>
        <v>0</v>
      </c>
      <c r="BU35" s="45">
        <f>ROUND((VLOOKUP(A35,'Cumulative pupils per year'!$A$3:$S$88,9,FALSE)),0)</f>
        <v>0</v>
      </c>
      <c r="BV35" s="274">
        <f t="shared" si="56"/>
        <v>0</v>
      </c>
      <c r="BW35" s="274">
        <f t="shared" si="57"/>
        <v>0</v>
      </c>
      <c r="BX35" s="274">
        <f t="shared" si="58"/>
        <v>0</v>
      </c>
      <c r="BY35" s="274">
        <f t="shared" si="59"/>
        <v>0</v>
      </c>
      <c r="BZ35" s="274">
        <f t="shared" si="60"/>
        <v>0</v>
      </c>
      <c r="CA35" s="274">
        <f t="shared" si="61"/>
        <v>0</v>
      </c>
      <c r="CB35" s="274">
        <f t="shared" si="62"/>
        <v>0</v>
      </c>
      <c r="CC35" s="43">
        <f>ROUND((VLOOKUP(A35,'Cumulative pupils per year'!$A$3:$S$88,10,FALSE)),0)</f>
        <v>0</v>
      </c>
      <c r="CD35" s="46">
        <f t="shared" si="63"/>
        <v>0</v>
      </c>
      <c r="CE35" s="46">
        <f t="shared" si="64"/>
        <v>0</v>
      </c>
      <c r="CF35" s="46">
        <f t="shared" si="65"/>
        <v>0</v>
      </c>
      <c r="CG35" s="46">
        <f t="shared" si="66"/>
        <v>0</v>
      </c>
      <c r="CH35" s="46">
        <f t="shared" si="67"/>
        <v>0</v>
      </c>
      <c r="CI35" s="46">
        <f t="shared" si="68"/>
        <v>0</v>
      </c>
      <c r="CJ35" s="46">
        <f t="shared" si="69"/>
        <v>0</v>
      </c>
      <c r="CK35" s="45">
        <f>ROUND((VLOOKUP(A35,'Cumulative pupils per year'!$A$3:$S$88,11,FALSE)),0)</f>
        <v>0</v>
      </c>
      <c r="CL35" s="274">
        <f t="shared" si="70"/>
        <v>0</v>
      </c>
      <c r="CM35" s="274">
        <f t="shared" si="71"/>
        <v>0</v>
      </c>
      <c r="CN35" s="274">
        <f t="shared" si="72"/>
        <v>0</v>
      </c>
      <c r="CO35" s="274">
        <f t="shared" si="73"/>
        <v>0</v>
      </c>
      <c r="CP35" s="274">
        <f t="shared" si="74"/>
        <v>0</v>
      </c>
      <c r="CQ35" s="274">
        <f t="shared" si="75"/>
        <v>0</v>
      </c>
      <c r="CR35" s="274">
        <f t="shared" si="76"/>
        <v>0</v>
      </c>
      <c r="CS35" s="291">
        <f>ROUND((VLOOKUP(A35,'Cumulative pupils per year'!$A$3:$S$88,12,FALSE)),0)</f>
        <v>0</v>
      </c>
      <c r="CT35" s="46">
        <f t="shared" si="77"/>
        <v>0</v>
      </c>
      <c r="CU35" s="46">
        <f t="shared" si="78"/>
        <v>0</v>
      </c>
      <c r="CV35" s="46">
        <f t="shared" si="79"/>
        <v>0</v>
      </c>
      <c r="CW35" s="46">
        <f t="shared" si="80"/>
        <v>0</v>
      </c>
      <c r="CX35" s="46">
        <f t="shared" si="81"/>
        <v>0</v>
      </c>
      <c r="CY35" s="46">
        <f t="shared" si="82"/>
        <v>0</v>
      </c>
      <c r="CZ35" s="46">
        <f t="shared" si="83"/>
        <v>0</v>
      </c>
      <c r="DA35" s="45">
        <f>ROUND((VLOOKUP(A35,'Cumulative pupils per year'!$A$3:$S$88,13,FALSE)),0)</f>
        <v>0</v>
      </c>
      <c r="DB35" s="274">
        <f t="shared" si="84"/>
        <v>0</v>
      </c>
      <c r="DC35" s="274">
        <f t="shared" si="85"/>
        <v>0</v>
      </c>
      <c r="DD35" s="274">
        <f t="shared" si="86"/>
        <v>0</v>
      </c>
      <c r="DE35" s="274">
        <f t="shared" si="87"/>
        <v>0</v>
      </c>
      <c r="DF35" s="274">
        <f t="shared" si="88"/>
        <v>0</v>
      </c>
      <c r="DG35" s="274">
        <f t="shared" si="89"/>
        <v>0</v>
      </c>
      <c r="DH35" s="274">
        <f t="shared" si="90"/>
        <v>0</v>
      </c>
      <c r="DI35" s="291">
        <f>ROUND((VLOOKUP(A35,'Cumulative pupils per year'!$A$3:$S$88,14,FALSE)),0)</f>
        <v>0</v>
      </c>
      <c r="DJ35" s="46">
        <f t="shared" si="91"/>
        <v>0</v>
      </c>
      <c r="DK35" s="46">
        <f t="shared" si="92"/>
        <v>0</v>
      </c>
      <c r="DL35" s="46">
        <f t="shared" si="93"/>
        <v>0</v>
      </c>
      <c r="DM35" s="46">
        <f t="shared" si="94"/>
        <v>0</v>
      </c>
      <c r="DN35" s="46">
        <f t="shared" si="95"/>
        <v>0</v>
      </c>
      <c r="DO35" s="46">
        <f t="shared" si="96"/>
        <v>0</v>
      </c>
      <c r="DP35" s="46">
        <f t="shared" si="97"/>
        <v>0</v>
      </c>
      <c r="DQ35" s="45">
        <f>ROUND((VLOOKUP(A35,'Cumulative pupils per year'!$A$3:$S$88,15,FALSE)),0)</f>
        <v>0</v>
      </c>
    </row>
    <row r="36" spans="1:121">
      <c r="A36" s="275" t="s">
        <v>79</v>
      </c>
      <c r="B36" s="276">
        <v>1</v>
      </c>
      <c r="C36" s="276">
        <v>1</v>
      </c>
      <c r="D36" s="276">
        <v>0</v>
      </c>
      <c r="E36" s="276">
        <v>0</v>
      </c>
      <c r="F36" s="276">
        <v>0</v>
      </c>
      <c r="G36" s="276">
        <v>0</v>
      </c>
      <c r="H36" s="276">
        <v>0</v>
      </c>
      <c r="I36" s="277">
        <v>2</v>
      </c>
      <c r="J36" s="44">
        <f t="shared" ref="J36" si="126">ROUNDUP(Q36/7,0)</f>
        <v>1</v>
      </c>
      <c r="K36" s="44">
        <f t="shared" ref="K36" si="127">IF((Q36-J36)&gt;0,(ROUNDUP(((Q36-J36)/6),0)),0)</f>
        <v>1</v>
      </c>
      <c r="L36" s="44">
        <f t="shared" ref="L36" si="128">IF((Q36-J36-K36)&gt;0,(ROUNDUP(((Q36-J36-K36)/5),0)),0)</f>
        <v>0</v>
      </c>
      <c r="M36" s="44">
        <f t="shared" ref="M36" si="129">IF((Q36-J36-K36-L36)&gt;0,(ROUNDUP(((Q36-J36-K36-L36)/4),0)),0)</f>
        <v>0</v>
      </c>
      <c r="N36" s="44">
        <f t="shared" ref="N36" si="130">IF((Q36-J36-K36-L36-M36)&gt;0,(ROUNDUP(((Q36-J36-K36-L36-M36)/3),0)),0)</f>
        <v>0</v>
      </c>
      <c r="O36" s="44">
        <f t="shared" ref="O36" si="131">IF((Q36-J36-K36-L36-M36-N36)&gt;0,(ROUNDUP(((Q36-J36-K36-L36-M36-N36)/2),0)),0)</f>
        <v>0</v>
      </c>
      <c r="P36" s="44">
        <f t="shared" ref="P36" si="132">IF((Q36-J36-K36-L36-M36-N36-O36)&gt;0,(ROUNDUP(((Q36-J36-K36-L36-M36-N36-O36)/1),0)),0)</f>
        <v>0</v>
      </c>
      <c r="Q36" s="43">
        <f>ROUND((VLOOKUP(A36,'Cumulative pupils per year'!$A$3:$S$88,2,FALSE)),0)</f>
        <v>2</v>
      </c>
      <c r="R36" s="46">
        <f t="shared" ref="R36" si="133">ROUNDUP(Y36/7,0)</f>
        <v>1</v>
      </c>
      <c r="S36" s="46">
        <f t="shared" ref="S36" si="134">IF((Y36-R36)&gt;0,(ROUNDUP(((Y36-R36)/6),0)),0)</f>
        <v>1</v>
      </c>
      <c r="T36" s="46">
        <f t="shared" ref="T36" si="135">IF((Y36-R36-S36)&gt;0,(ROUNDUP(((Y36-R36-S36)/5),0)),0)</f>
        <v>1</v>
      </c>
      <c r="U36" s="46">
        <f t="shared" ref="U36" si="136">IF((Y36-R36-S36-T36)&gt;0,(ROUNDUP(((Y36-R36-S36-T36)/4),0)),0)</f>
        <v>0</v>
      </c>
      <c r="V36" s="46">
        <f t="shared" ref="V36" si="137">IF((Y36-R36-S36-T36-U36)&gt;0,(ROUNDUP(((Y36-R36-S36-T36-U36)/3),0)),0)</f>
        <v>0</v>
      </c>
      <c r="W36" s="46">
        <f t="shared" ref="W36" si="138">IF((Y36-R36-S36-T36-U36-V36)&gt;0,(ROUNDUP(((Y36-R36-S36-T36-U36-V36)/2),0)),0)</f>
        <v>0</v>
      </c>
      <c r="X36" s="46">
        <f t="shared" ref="X36" si="139">IF((Y36-R36-S36-T36-U36-V36-W36)&gt;0,(ROUNDUP(((Y36-R36-S36-T36-U36-V36-W36)/1),0)),0)</f>
        <v>0</v>
      </c>
      <c r="Y36" s="45">
        <f>ROUND((VLOOKUP(A36,'Cumulative pupils per year'!$A$3:$S$88,3,FALSE)),0)</f>
        <v>3</v>
      </c>
      <c r="Z36" s="274">
        <f t="shared" ref="Z36" si="140">ROUNDUP(AG36/7,0)</f>
        <v>2</v>
      </c>
      <c r="AA36" s="274">
        <f t="shared" ref="AA36" si="141">IF((AG36-Z36)&gt;0,(ROUNDUP(((AG36-Z36)/6),0)),0)</f>
        <v>2</v>
      </c>
      <c r="AB36" s="274">
        <f t="shared" ref="AB36" si="142">IF((AG36-Z36-AA36)&gt;0,(ROUNDUP(((AG36-Z36-AA36)/5),0)),0)</f>
        <v>1</v>
      </c>
      <c r="AC36" s="274">
        <f t="shared" ref="AC36" si="143">IF((AG36-Z36-AA36-AB36)&gt;0,(ROUNDUP(((AG36-Z36-AA36-AB36)/4),0)),0)</f>
        <v>1</v>
      </c>
      <c r="AD36" s="274">
        <f t="shared" ref="AD36" si="144">IF((AG36-Z36-AA36-AB36-AC36)&gt;0,(ROUNDUP(((AG36-Z36-AA36-AB36-AC36)/3),0)),0)</f>
        <v>1</v>
      </c>
      <c r="AE36" s="274">
        <f t="shared" ref="AE36" si="145">IF((AG36-Z36-AA36-AB36-AC36-AD36)&gt;0,(ROUNDUP(((AG36-Z36-AA36-AB36-AC36-AD36)/2),0)),0)</f>
        <v>1</v>
      </c>
      <c r="AF36" s="274">
        <f t="shared" ref="AF36" si="146">IF((AG36-Z36-AA36-AB36-AC36-AD36-AE36)&gt;0,(ROUNDUP(((AG36-Z36-AA36-AB36-AC36-AD36-AE36)/1),0)),0)</f>
        <v>1</v>
      </c>
      <c r="AG36" s="43">
        <f>ROUND((VLOOKUP(A36,'Cumulative pupils per year'!$A$3:$S$88,4,FALSE)),0)</f>
        <v>9</v>
      </c>
      <c r="AH36" s="46">
        <f t="shared" ref="AH36" si="147">ROUNDUP(AO36/7,0)</f>
        <v>3</v>
      </c>
      <c r="AI36" s="46">
        <f t="shared" ref="AI36" si="148">IF((AO36-AH36)&gt;0,(ROUNDUP(((AO36-AH36)/6),0)),0)</f>
        <v>3</v>
      </c>
      <c r="AJ36" s="46">
        <f t="shared" ref="AJ36" si="149">IF((AO36-AH36-AI36)&gt;0,(ROUNDUP(((AO36-AH36-AI36)/5),0)),0)</f>
        <v>3</v>
      </c>
      <c r="AK36" s="46">
        <f t="shared" ref="AK36" si="150">IF((AO36-AH36-AI36-AJ36)&gt;0,(ROUNDUP(((AO36-AH36-AI36-AJ36)/4),0)),0)</f>
        <v>3</v>
      </c>
      <c r="AL36" s="46">
        <f t="shared" ref="AL36" si="151">IF((AO36-AH36-AI36-AJ36-AK36)&gt;0,(ROUNDUP(((AO36-AH36-AI36-AJ36-AK36)/3),0)),0)</f>
        <v>3</v>
      </c>
      <c r="AM36" s="46">
        <f t="shared" ref="AM36" si="152">IF((AO36-AH36-AI36-AJ36-AK36-AL36)&gt;0,(ROUNDUP(((AO36-AH36-AI36-AJ36-AK36-AL36)/2),0)),0)</f>
        <v>3</v>
      </c>
      <c r="AN36" s="46">
        <f t="shared" ref="AN36" si="153">IF((AO36-AH36-AI36-AJ36-AK36-AL36-AM36)&gt;0,(ROUNDUP(((AO36-AH36-AI36-AJ36-AK36-AL36-AM36)/1),0)),0)</f>
        <v>2</v>
      </c>
      <c r="AO36" s="45">
        <f>ROUND((VLOOKUP(A36,'Cumulative pupils per year'!$A$3:$S$88,5,FALSE)),0)</f>
        <v>20</v>
      </c>
      <c r="AP36" s="274">
        <f t="shared" ref="AP36" si="154">ROUNDUP(AW36/7,0)</f>
        <v>5</v>
      </c>
      <c r="AQ36" s="274">
        <f t="shared" ref="AQ36" si="155">IF((AW36-AP36)&gt;0,(ROUNDUP(((AW36-AP36)/6),0)),0)</f>
        <v>5</v>
      </c>
      <c r="AR36" s="274">
        <f t="shared" ref="AR36" si="156">IF((AW36-AP36-AQ36)&gt;0,(ROUNDUP(((AW36-AP36-AQ36)/5),0)),0)</f>
        <v>5</v>
      </c>
      <c r="AS36" s="274">
        <f t="shared" ref="AS36" si="157">IF((AW36-AP36-AQ36-AR36)&gt;0,(ROUNDUP(((AW36-AP36-AQ36-AR36)/4),0)),0)</f>
        <v>5</v>
      </c>
      <c r="AT36" s="274">
        <f t="shared" ref="AT36" si="158">IF((AW36-AP36-AQ36-AR36-AS36)&gt;0,(ROUNDUP(((AW36-AP36-AQ36-AR36-AS36)/3),0)),0)</f>
        <v>5</v>
      </c>
      <c r="AU36" s="274">
        <f t="shared" ref="AU36" si="159">IF((AW36-AP36-AQ36-AR36-AS36-AT36)&gt;0,(ROUNDUP(((AW36-AP36-AQ36-AR36-AS36-AT36)/2),0)),0)</f>
        <v>5</v>
      </c>
      <c r="AV36" s="274">
        <f t="shared" ref="AV36" si="160">IF((AW36-AP36-AQ36-AR36-AS36-AT36-AU36)&gt;0,(ROUNDUP(((AW36-AP36-AQ36-AR36-AS36-AT36-AU36)/1),0)),0)</f>
        <v>4</v>
      </c>
      <c r="AW36" s="43">
        <f>ROUND((VLOOKUP(A36,'Cumulative pupils per year'!$A$3:$S$88,6,FALSE)),0)</f>
        <v>34</v>
      </c>
      <c r="AX36" s="46">
        <f t="shared" ref="AX36" si="161">ROUNDUP(BE36/7,0)</f>
        <v>7</v>
      </c>
      <c r="AY36" s="46">
        <f t="shared" ref="AY36" si="162">IF((BE36-AX36)&gt;0,(ROUNDUP(((BE36-AX36)/6),0)),0)</f>
        <v>7</v>
      </c>
      <c r="AZ36" s="46">
        <f t="shared" ref="AZ36" si="163">IF((BE36-AX36-AY36)&gt;0,(ROUNDUP(((BE36-AX36-AY36)/5),0)),0)</f>
        <v>7</v>
      </c>
      <c r="BA36" s="46">
        <f t="shared" ref="BA36" si="164">IF((BE36-AX36-AY36-AZ36)&gt;0,(ROUNDUP(((BE36-AX36-AY36-AZ36)/4),0)),0)</f>
        <v>7</v>
      </c>
      <c r="BB36" s="46">
        <f t="shared" ref="BB36" si="165">IF((BE36-AX36-AY36-AZ36-BA36)&gt;0,(ROUNDUP(((BE36-AX36-AY36-AZ36-BA36)/3),0)),0)</f>
        <v>6</v>
      </c>
      <c r="BC36" s="46">
        <f t="shared" ref="BC36" si="166">IF((BE36-AX36-AY36-AZ36-BA36-BB36)&gt;0,(ROUNDUP(((BE36-AX36-AY36-AZ36-BA36-BB36)/2),0)),0)</f>
        <v>6</v>
      </c>
      <c r="BD36" s="46">
        <f t="shared" ref="BD36" si="167">IF((BE36-AX36-AY36-AZ36-BA36-BB36-BC36)&gt;0,(ROUNDUP(((BE36-AX36-AY36-AZ36-BA36-BB36-BC36)/1),0)),0)</f>
        <v>6</v>
      </c>
      <c r="BE36" s="45">
        <f>ROUND((VLOOKUP(A36,'Cumulative pupils per year'!$A$3:$S$88,7,FALSE)),0)</f>
        <v>46</v>
      </c>
      <c r="BF36" s="274">
        <f t="shared" ref="BF36" si="168">ROUNDUP(BM36/7,0)</f>
        <v>8</v>
      </c>
      <c r="BG36" s="274">
        <f t="shared" ref="BG36" si="169">IF((BM36-BF36)&gt;0,(ROUNDUP(((BM36-BF36)/6),0)),0)</f>
        <v>8</v>
      </c>
      <c r="BH36" s="274">
        <f t="shared" ref="BH36" si="170">IF((BM36-BF36-BG36)&gt;0,(ROUNDUP(((BM36-BF36-BG36)/5),0)),0)</f>
        <v>8</v>
      </c>
      <c r="BI36" s="274">
        <f t="shared" ref="BI36" si="171">IF((BM36-BF36-BG36-BH36)&gt;0,(ROUNDUP(((BM36-BF36-BG36-BH36)/4),0)),0)</f>
        <v>8</v>
      </c>
      <c r="BJ36" s="274">
        <f t="shared" ref="BJ36" si="172">IF((BM36-BF36-BG36-BH36-BI36)&gt;0,(ROUNDUP(((BM36-BF36-BG36-BH36-BI36)/3),0)),0)</f>
        <v>8</v>
      </c>
      <c r="BK36" s="274">
        <f t="shared" ref="BK36" si="173">IF((BM36-BF36-BG36-BH36-BI36-BJ36)&gt;0,(ROUNDUP(((BM36-BF36-BG36-BH36-BI36-BJ36)/2),0)),0)</f>
        <v>8</v>
      </c>
      <c r="BL36" s="274">
        <f t="shared" ref="BL36" si="174">IF((BM36-BF36-BG36-BH36-BI36-BJ36-BK36)&gt;0,(ROUNDUP(((BM36-BF36-BG36-BH36-BI36-BJ36-BK36)/1),0)),0)</f>
        <v>8</v>
      </c>
      <c r="BM36" s="43">
        <f>ROUND((VLOOKUP(A36,'Cumulative pupils per year'!$A$3:$S$88,8,FALSE)),0)</f>
        <v>56</v>
      </c>
      <c r="BN36" s="46">
        <f t="shared" ref="BN36" si="175">ROUNDUP(BU36/7,0)</f>
        <v>10</v>
      </c>
      <c r="BO36" s="46">
        <f t="shared" ref="BO36" si="176">IF((BU36-BN36)&gt;0,(ROUNDUP(((BU36-BN36)/6),0)),0)</f>
        <v>10</v>
      </c>
      <c r="BP36" s="46">
        <f t="shared" ref="BP36" si="177">IF((BU36-BN36-BO36)&gt;0,(ROUNDUP(((BU36-BN36-BO36)/5),0)),0)</f>
        <v>9</v>
      </c>
      <c r="BQ36" s="46">
        <f t="shared" ref="BQ36" si="178">IF((BU36-BN36-BO36-BP36)&gt;0,(ROUNDUP(((BU36-BN36-BO36-BP36)/4),0)),0)</f>
        <v>9</v>
      </c>
      <c r="BR36" s="46">
        <f t="shared" ref="BR36" si="179">IF((BU36-BN36-BO36-BP36-BQ36)&gt;0,(ROUNDUP(((BU36-BN36-BO36-BP36-BQ36)/3),0)),0)</f>
        <v>9</v>
      </c>
      <c r="BS36" s="46">
        <f t="shared" ref="BS36" si="180">IF((BU36-BN36-BO36-BP36-BQ36-BR36)&gt;0,(ROUNDUP(((BU36-BN36-BO36-BP36-BQ36-BR36)/2),0)),0)</f>
        <v>9</v>
      </c>
      <c r="BT36" s="46">
        <f t="shared" ref="BT36" si="181">IF((BU36-BN36-BO36-BP36-BQ36-BR36-BS36)&gt;0,(ROUNDUP(((BU36-BN36-BO36-BP36-BQ36-BR36-BS36)/1),0)),0)</f>
        <v>9</v>
      </c>
      <c r="BU36" s="45">
        <f>ROUND((VLOOKUP(A36,'Cumulative pupils per year'!$A$3:$S$88,9,FALSE)),0)</f>
        <v>65</v>
      </c>
      <c r="BV36" s="274">
        <f t="shared" ref="BV36" si="182">ROUNDUP(CC36/7,0)</f>
        <v>11</v>
      </c>
      <c r="BW36" s="274">
        <f t="shared" ref="BW36" si="183">IF((CC36-BV36)&gt;0,(ROUNDUP(((CC36-BV36)/6),0)),0)</f>
        <v>11</v>
      </c>
      <c r="BX36" s="274">
        <f t="shared" ref="BX36" si="184">IF((CC36-BV36-BW36)&gt;0,(ROUNDUP(((CC36-BV36-BW36)/5),0)),0)</f>
        <v>11</v>
      </c>
      <c r="BY36" s="274">
        <f t="shared" ref="BY36" si="185">IF((CC36-BV36-BW36-BX36)&gt;0,(ROUNDUP(((CC36-BV36-BW36-BX36)/4),0)),0)</f>
        <v>10</v>
      </c>
      <c r="BZ36" s="274">
        <f t="shared" ref="BZ36" si="186">IF((CC36-BV36-BW36-BX36-BY36)&gt;0,(ROUNDUP(((CC36-BV36-BW36-BX36-BY36)/3),0)),0)</f>
        <v>10</v>
      </c>
      <c r="CA36" s="274">
        <f t="shared" ref="CA36" si="187">IF((CC36-BV36-BW36-BX36-BY36-BZ36)&gt;0,(ROUNDUP(((CC36-BV36-BW36-BX36-BY36-BZ36)/2),0)),0)</f>
        <v>10</v>
      </c>
      <c r="CB36" s="274">
        <f t="shared" ref="CB36" si="188">IF((CC36-BV36-BW36-BX36-BY36-BZ36-CA36)&gt;0,(ROUNDUP(((CC36-BV36-BW36-BX36-BY36-BZ36-CA36)/1),0)),0)</f>
        <v>10</v>
      </c>
      <c r="CC36" s="43">
        <f>ROUND((VLOOKUP(A36,'Cumulative pupils per year'!$A$3:$S$88,10,FALSE)),0)</f>
        <v>73</v>
      </c>
      <c r="CD36" s="46">
        <f t="shared" ref="CD36" si="189">ROUNDUP(CK36/7,0)</f>
        <v>12</v>
      </c>
      <c r="CE36" s="46">
        <f t="shared" ref="CE36" si="190">IF((CK36-CD36)&gt;0,(ROUNDUP(((CK36-CD36)/6),0)),0)</f>
        <v>12</v>
      </c>
      <c r="CF36" s="46">
        <f t="shared" ref="CF36" si="191">IF((CK36-CD36-CE36)&gt;0,(ROUNDUP(((CK36-CD36-CE36)/5),0)),0)</f>
        <v>12</v>
      </c>
      <c r="CG36" s="46">
        <f t="shared" ref="CG36" si="192">IF((CK36-CD36-CE36-CF36)&gt;0,(ROUNDUP(((CK36-CD36-CE36-CF36)/4),0)),0)</f>
        <v>12</v>
      </c>
      <c r="CH36" s="46">
        <f t="shared" ref="CH36" si="193">IF((CK36-CD36-CE36-CF36-CG36)&gt;0,(ROUNDUP(((CK36-CD36-CE36-CF36-CG36)/3),0)),0)</f>
        <v>11</v>
      </c>
      <c r="CI36" s="46">
        <f t="shared" ref="CI36" si="194">IF((CK36-CD36-CE36-CF36-CG36-CH36)&gt;0,(ROUNDUP(((CK36-CD36-CE36-CF36-CG36-CH36)/2),0)),0)</f>
        <v>11</v>
      </c>
      <c r="CJ36" s="46">
        <f t="shared" ref="CJ36" si="195">IF((CK36-CD36-CE36-CF36-CG36-CH36-CI36)&gt;0,(ROUNDUP(((CK36-CD36-CE36-CF36-CG36-CH36-CI36)/1),0)),0)</f>
        <v>11</v>
      </c>
      <c r="CK36" s="45">
        <f>ROUND((VLOOKUP(A36,'Cumulative pupils per year'!$A$3:$S$88,11,FALSE)),0)</f>
        <v>81</v>
      </c>
      <c r="CL36" s="274">
        <f t="shared" si="70"/>
        <v>12</v>
      </c>
      <c r="CM36" s="274">
        <f t="shared" si="71"/>
        <v>12</v>
      </c>
      <c r="CN36" s="274">
        <f t="shared" si="72"/>
        <v>12</v>
      </c>
      <c r="CO36" s="274">
        <f t="shared" si="73"/>
        <v>12</v>
      </c>
      <c r="CP36" s="274">
        <f t="shared" si="74"/>
        <v>12</v>
      </c>
      <c r="CQ36" s="274">
        <f t="shared" si="75"/>
        <v>12</v>
      </c>
      <c r="CR36" s="274">
        <f t="shared" si="76"/>
        <v>11</v>
      </c>
      <c r="CS36" s="291">
        <f>ROUND((VLOOKUP(A36,'Cumulative pupils per year'!$A$3:$S$88,12,FALSE)),0)</f>
        <v>83</v>
      </c>
      <c r="CT36" s="46">
        <f t="shared" si="77"/>
        <v>13</v>
      </c>
      <c r="CU36" s="46">
        <f t="shared" si="78"/>
        <v>12</v>
      </c>
      <c r="CV36" s="46">
        <f t="shared" si="79"/>
        <v>12</v>
      </c>
      <c r="CW36" s="46">
        <f t="shared" si="80"/>
        <v>12</v>
      </c>
      <c r="CX36" s="46">
        <f t="shared" si="81"/>
        <v>12</v>
      </c>
      <c r="CY36" s="46">
        <f t="shared" si="82"/>
        <v>12</v>
      </c>
      <c r="CZ36" s="46">
        <f t="shared" si="83"/>
        <v>12</v>
      </c>
      <c r="DA36" s="45">
        <f>ROUND((VLOOKUP(A36,'Cumulative pupils per year'!$A$3:$S$88,13,FALSE)),0)</f>
        <v>85</v>
      </c>
      <c r="DB36" s="274">
        <f t="shared" si="84"/>
        <v>13</v>
      </c>
      <c r="DC36" s="274">
        <f t="shared" si="85"/>
        <v>13</v>
      </c>
      <c r="DD36" s="274">
        <f t="shared" si="86"/>
        <v>13</v>
      </c>
      <c r="DE36" s="274">
        <f t="shared" si="87"/>
        <v>13</v>
      </c>
      <c r="DF36" s="274">
        <f t="shared" si="88"/>
        <v>12</v>
      </c>
      <c r="DG36" s="274">
        <f t="shared" si="89"/>
        <v>12</v>
      </c>
      <c r="DH36" s="274">
        <f t="shared" si="90"/>
        <v>12</v>
      </c>
      <c r="DI36" s="291">
        <f>ROUND((VLOOKUP(A36,'Cumulative pupils per year'!$A$3:$S$88,14,FALSE)),0)</f>
        <v>88</v>
      </c>
      <c r="DJ36" s="46">
        <f t="shared" si="91"/>
        <v>13</v>
      </c>
      <c r="DK36" s="46">
        <f t="shared" si="92"/>
        <v>13</v>
      </c>
      <c r="DL36" s="46">
        <f t="shared" si="93"/>
        <v>13</v>
      </c>
      <c r="DM36" s="46">
        <f t="shared" si="94"/>
        <v>13</v>
      </c>
      <c r="DN36" s="46">
        <f t="shared" si="95"/>
        <v>13</v>
      </c>
      <c r="DO36" s="46">
        <f t="shared" si="96"/>
        <v>13</v>
      </c>
      <c r="DP36" s="46">
        <f t="shared" si="97"/>
        <v>13</v>
      </c>
      <c r="DQ36" s="45">
        <f>ROUND((VLOOKUP(A36,'Cumulative pupils per year'!$A$3:$S$88,15,FALSE)),0)</f>
        <v>91</v>
      </c>
    </row>
    <row r="37" spans="1:121">
      <c r="A37" s="4" t="s">
        <v>35</v>
      </c>
      <c r="B37" s="46">
        <v>3</v>
      </c>
      <c r="C37" s="46">
        <v>3</v>
      </c>
      <c r="D37" s="46">
        <v>3</v>
      </c>
      <c r="E37" s="46">
        <v>3</v>
      </c>
      <c r="F37" s="46">
        <v>2</v>
      </c>
      <c r="G37" s="46">
        <v>2</v>
      </c>
      <c r="H37" s="46">
        <v>2</v>
      </c>
      <c r="I37" s="45">
        <v>18</v>
      </c>
      <c r="J37" s="44">
        <f t="shared" si="119"/>
        <v>5</v>
      </c>
      <c r="K37" s="44">
        <f t="shared" si="120"/>
        <v>5</v>
      </c>
      <c r="L37" s="44">
        <f t="shared" si="121"/>
        <v>5</v>
      </c>
      <c r="M37" s="44">
        <f t="shared" si="122"/>
        <v>5</v>
      </c>
      <c r="N37" s="44">
        <f t="shared" si="123"/>
        <v>4</v>
      </c>
      <c r="O37" s="44">
        <f t="shared" si="124"/>
        <v>4</v>
      </c>
      <c r="P37" s="44">
        <f t="shared" si="125"/>
        <v>4</v>
      </c>
      <c r="Q37" s="43">
        <f>ROUND((VLOOKUP(A37,'Cumulative pupils per year'!$A$3:$S$88,2,FALSE)),0)</f>
        <v>32</v>
      </c>
      <c r="R37" s="46">
        <f t="shared" si="7"/>
        <v>14</v>
      </c>
      <c r="S37" s="46">
        <f t="shared" si="8"/>
        <v>14</v>
      </c>
      <c r="T37" s="46">
        <f t="shared" si="9"/>
        <v>14</v>
      </c>
      <c r="U37" s="46">
        <f t="shared" si="10"/>
        <v>14</v>
      </c>
      <c r="V37" s="46">
        <f t="shared" si="11"/>
        <v>14</v>
      </c>
      <c r="W37" s="46">
        <f t="shared" si="12"/>
        <v>13</v>
      </c>
      <c r="X37" s="46">
        <f t="shared" si="13"/>
        <v>13</v>
      </c>
      <c r="Y37" s="45">
        <f>ROUND((VLOOKUP(A37,'Cumulative pupils per year'!$A$3:$S$88,3,FALSE)),0)</f>
        <v>96</v>
      </c>
      <c r="Z37" s="274">
        <f t="shared" si="14"/>
        <v>25</v>
      </c>
      <c r="AA37" s="274">
        <f t="shared" si="15"/>
        <v>25</v>
      </c>
      <c r="AB37" s="274">
        <f t="shared" si="16"/>
        <v>24</v>
      </c>
      <c r="AC37" s="274">
        <f t="shared" si="17"/>
        <v>24</v>
      </c>
      <c r="AD37" s="274">
        <f t="shared" si="18"/>
        <v>24</v>
      </c>
      <c r="AE37" s="274">
        <f t="shared" si="19"/>
        <v>24</v>
      </c>
      <c r="AF37" s="274">
        <f t="shared" si="20"/>
        <v>24</v>
      </c>
      <c r="AG37" s="43">
        <f>ROUND((VLOOKUP(A37,'Cumulative pupils per year'!$A$3:$S$88,4,FALSE)),0)</f>
        <v>170</v>
      </c>
      <c r="AH37" s="46">
        <f t="shared" si="21"/>
        <v>35</v>
      </c>
      <c r="AI37" s="46">
        <f t="shared" si="22"/>
        <v>35</v>
      </c>
      <c r="AJ37" s="46">
        <f t="shared" si="23"/>
        <v>34</v>
      </c>
      <c r="AK37" s="46">
        <f t="shared" si="24"/>
        <v>34</v>
      </c>
      <c r="AL37" s="46">
        <f t="shared" si="25"/>
        <v>34</v>
      </c>
      <c r="AM37" s="46">
        <f t="shared" si="26"/>
        <v>34</v>
      </c>
      <c r="AN37" s="46">
        <f t="shared" si="27"/>
        <v>34</v>
      </c>
      <c r="AO37" s="45">
        <f>ROUND((VLOOKUP(A37,'Cumulative pupils per year'!$A$3:$S$88,5,FALSE)),0)</f>
        <v>240</v>
      </c>
      <c r="AP37" s="274">
        <f t="shared" si="28"/>
        <v>42</v>
      </c>
      <c r="AQ37" s="274">
        <f t="shared" si="29"/>
        <v>42</v>
      </c>
      <c r="AR37" s="274">
        <f t="shared" si="30"/>
        <v>42</v>
      </c>
      <c r="AS37" s="274">
        <f t="shared" si="31"/>
        <v>41</v>
      </c>
      <c r="AT37" s="274">
        <f t="shared" si="32"/>
        <v>41</v>
      </c>
      <c r="AU37" s="274">
        <f t="shared" si="33"/>
        <v>41</v>
      </c>
      <c r="AV37" s="274">
        <f t="shared" si="34"/>
        <v>41</v>
      </c>
      <c r="AW37" s="43">
        <f>ROUND((VLOOKUP(A37,'Cumulative pupils per year'!$A$3:$S$88,6,FALSE)),0)</f>
        <v>290</v>
      </c>
      <c r="AX37" s="46">
        <f t="shared" si="35"/>
        <v>49</v>
      </c>
      <c r="AY37" s="46">
        <f t="shared" si="36"/>
        <v>48</v>
      </c>
      <c r="AZ37" s="46">
        <f t="shared" si="37"/>
        <v>48</v>
      </c>
      <c r="BA37" s="46">
        <f t="shared" si="38"/>
        <v>48</v>
      </c>
      <c r="BB37" s="46">
        <f t="shared" si="39"/>
        <v>48</v>
      </c>
      <c r="BC37" s="46">
        <f t="shared" si="40"/>
        <v>48</v>
      </c>
      <c r="BD37" s="46">
        <f t="shared" si="41"/>
        <v>48</v>
      </c>
      <c r="BE37" s="45">
        <f>ROUND((VLOOKUP(A37,'Cumulative pupils per year'!$A$3:$S$88,7,FALSE)),0)</f>
        <v>337</v>
      </c>
      <c r="BF37" s="274">
        <f t="shared" si="42"/>
        <v>54</v>
      </c>
      <c r="BG37" s="274">
        <f t="shared" si="43"/>
        <v>54</v>
      </c>
      <c r="BH37" s="274">
        <f t="shared" si="44"/>
        <v>53</v>
      </c>
      <c r="BI37" s="274">
        <f t="shared" si="45"/>
        <v>53</v>
      </c>
      <c r="BJ37" s="274">
        <f t="shared" si="46"/>
        <v>53</v>
      </c>
      <c r="BK37" s="274">
        <f t="shared" si="47"/>
        <v>53</v>
      </c>
      <c r="BL37" s="274">
        <f t="shared" si="48"/>
        <v>53</v>
      </c>
      <c r="BM37" s="43">
        <f>ROUND((VLOOKUP(A37,'Cumulative pupils per year'!$A$3:$S$88,8,FALSE)),0)</f>
        <v>373</v>
      </c>
      <c r="BN37" s="46">
        <f t="shared" si="49"/>
        <v>58</v>
      </c>
      <c r="BO37" s="46">
        <f t="shared" si="50"/>
        <v>58</v>
      </c>
      <c r="BP37" s="46">
        <f t="shared" si="51"/>
        <v>58</v>
      </c>
      <c r="BQ37" s="46">
        <f t="shared" si="52"/>
        <v>58</v>
      </c>
      <c r="BR37" s="46">
        <f t="shared" si="53"/>
        <v>58</v>
      </c>
      <c r="BS37" s="46">
        <f t="shared" si="54"/>
        <v>58</v>
      </c>
      <c r="BT37" s="46">
        <f t="shared" si="55"/>
        <v>57</v>
      </c>
      <c r="BU37" s="45">
        <f>ROUND((VLOOKUP(A37,'Cumulative pupils per year'!$A$3:$S$88,9,FALSE)),0)</f>
        <v>405</v>
      </c>
      <c r="BV37" s="274">
        <f t="shared" si="56"/>
        <v>61</v>
      </c>
      <c r="BW37" s="274">
        <f t="shared" si="57"/>
        <v>61</v>
      </c>
      <c r="BX37" s="274">
        <f t="shared" si="58"/>
        <v>60</v>
      </c>
      <c r="BY37" s="274">
        <f t="shared" si="59"/>
        <v>60</v>
      </c>
      <c r="BZ37" s="274">
        <f t="shared" si="60"/>
        <v>60</v>
      </c>
      <c r="CA37" s="274">
        <f t="shared" si="61"/>
        <v>60</v>
      </c>
      <c r="CB37" s="274">
        <f t="shared" si="62"/>
        <v>60</v>
      </c>
      <c r="CC37" s="43">
        <f>ROUND((VLOOKUP(A37,'Cumulative pupils per year'!$A$3:$S$88,10,FALSE)),0)</f>
        <v>422</v>
      </c>
      <c r="CD37" s="46">
        <f t="shared" si="63"/>
        <v>61</v>
      </c>
      <c r="CE37" s="46">
        <f t="shared" si="64"/>
        <v>61</v>
      </c>
      <c r="CF37" s="46">
        <f t="shared" si="65"/>
        <v>60</v>
      </c>
      <c r="CG37" s="46">
        <f t="shared" si="66"/>
        <v>60</v>
      </c>
      <c r="CH37" s="46">
        <f t="shared" si="67"/>
        <v>60</v>
      </c>
      <c r="CI37" s="46">
        <f t="shared" si="68"/>
        <v>60</v>
      </c>
      <c r="CJ37" s="46">
        <f t="shared" si="69"/>
        <v>60</v>
      </c>
      <c r="CK37" s="45">
        <f>ROUND((VLOOKUP(A37,'Cumulative pupils per year'!$A$3:$S$88,11,FALSE)),0)</f>
        <v>422</v>
      </c>
      <c r="CL37" s="274">
        <f t="shared" si="70"/>
        <v>61</v>
      </c>
      <c r="CM37" s="274">
        <f t="shared" si="71"/>
        <v>61</v>
      </c>
      <c r="CN37" s="274">
        <f t="shared" si="72"/>
        <v>60</v>
      </c>
      <c r="CO37" s="274">
        <f t="shared" si="73"/>
        <v>60</v>
      </c>
      <c r="CP37" s="274">
        <f t="shared" si="74"/>
        <v>60</v>
      </c>
      <c r="CQ37" s="274">
        <f t="shared" si="75"/>
        <v>60</v>
      </c>
      <c r="CR37" s="274">
        <f t="shared" si="76"/>
        <v>60</v>
      </c>
      <c r="CS37" s="291">
        <f>ROUND((VLOOKUP(A37,'Cumulative pupils per year'!$A$3:$S$88,12,FALSE)),0)</f>
        <v>422</v>
      </c>
      <c r="CT37" s="46">
        <f t="shared" si="77"/>
        <v>61</v>
      </c>
      <c r="CU37" s="46">
        <f t="shared" si="78"/>
        <v>61</v>
      </c>
      <c r="CV37" s="46">
        <f t="shared" si="79"/>
        <v>60</v>
      </c>
      <c r="CW37" s="46">
        <f t="shared" si="80"/>
        <v>60</v>
      </c>
      <c r="CX37" s="46">
        <f t="shared" si="81"/>
        <v>60</v>
      </c>
      <c r="CY37" s="46">
        <f t="shared" si="82"/>
        <v>60</v>
      </c>
      <c r="CZ37" s="46">
        <f t="shared" si="83"/>
        <v>60</v>
      </c>
      <c r="DA37" s="45">
        <f>ROUND((VLOOKUP(A37,'Cumulative pupils per year'!$A$3:$S$88,13,FALSE)),0)</f>
        <v>422</v>
      </c>
      <c r="DB37" s="274">
        <f t="shared" si="84"/>
        <v>61</v>
      </c>
      <c r="DC37" s="274">
        <f t="shared" si="85"/>
        <v>61</v>
      </c>
      <c r="DD37" s="274">
        <f t="shared" si="86"/>
        <v>60</v>
      </c>
      <c r="DE37" s="274">
        <f t="shared" si="87"/>
        <v>60</v>
      </c>
      <c r="DF37" s="274">
        <f t="shared" si="88"/>
        <v>60</v>
      </c>
      <c r="DG37" s="274">
        <f t="shared" si="89"/>
        <v>60</v>
      </c>
      <c r="DH37" s="274">
        <f t="shared" si="90"/>
        <v>60</v>
      </c>
      <c r="DI37" s="291">
        <f>ROUND((VLOOKUP(A37,'Cumulative pupils per year'!$A$3:$S$88,14,FALSE)),0)</f>
        <v>422</v>
      </c>
      <c r="DJ37" s="46">
        <f t="shared" si="91"/>
        <v>61</v>
      </c>
      <c r="DK37" s="46">
        <f t="shared" si="92"/>
        <v>61</v>
      </c>
      <c r="DL37" s="46">
        <f t="shared" si="93"/>
        <v>60</v>
      </c>
      <c r="DM37" s="46">
        <f t="shared" si="94"/>
        <v>60</v>
      </c>
      <c r="DN37" s="46">
        <f t="shared" si="95"/>
        <v>60</v>
      </c>
      <c r="DO37" s="46">
        <f t="shared" si="96"/>
        <v>60</v>
      </c>
      <c r="DP37" s="46">
        <f t="shared" si="97"/>
        <v>60</v>
      </c>
      <c r="DQ37" s="45">
        <f>ROUND((VLOOKUP(A37,'Cumulative pupils per year'!$A$3:$S$88,15,FALSE)),0)</f>
        <v>422</v>
      </c>
    </row>
    <row r="38" spans="1:121">
      <c r="A38" s="4" t="s">
        <v>36</v>
      </c>
      <c r="B38" s="46">
        <v>2</v>
      </c>
      <c r="C38" s="46">
        <v>2</v>
      </c>
      <c r="D38" s="46">
        <v>2</v>
      </c>
      <c r="E38" s="46">
        <v>2</v>
      </c>
      <c r="F38" s="46">
        <v>2</v>
      </c>
      <c r="G38" s="46">
        <v>2</v>
      </c>
      <c r="H38" s="46">
        <v>1</v>
      </c>
      <c r="I38" s="45">
        <v>13</v>
      </c>
      <c r="J38" s="44">
        <f t="shared" si="119"/>
        <v>5</v>
      </c>
      <c r="K38" s="44">
        <f t="shared" si="120"/>
        <v>5</v>
      </c>
      <c r="L38" s="44">
        <f t="shared" si="121"/>
        <v>5</v>
      </c>
      <c r="M38" s="44">
        <f t="shared" si="122"/>
        <v>5</v>
      </c>
      <c r="N38" s="44">
        <f t="shared" si="123"/>
        <v>5</v>
      </c>
      <c r="O38" s="44">
        <f t="shared" si="124"/>
        <v>4</v>
      </c>
      <c r="P38" s="44">
        <f t="shared" si="125"/>
        <v>4</v>
      </c>
      <c r="Q38" s="43">
        <f>ROUND((VLOOKUP(A38,'Cumulative pupils per year'!$A$3:$S$88,2,FALSE)),0)</f>
        <v>33</v>
      </c>
      <c r="R38" s="46">
        <f t="shared" si="7"/>
        <v>7</v>
      </c>
      <c r="S38" s="46">
        <f t="shared" si="8"/>
        <v>7</v>
      </c>
      <c r="T38" s="46">
        <f t="shared" si="9"/>
        <v>6</v>
      </c>
      <c r="U38" s="46">
        <f t="shared" si="10"/>
        <v>6</v>
      </c>
      <c r="V38" s="46">
        <f t="shared" si="11"/>
        <v>6</v>
      </c>
      <c r="W38" s="46">
        <f t="shared" si="12"/>
        <v>6</v>
      </c>
      <c r="X38" s="46">
        <f t="shared" si="13"/>
        <v>6</v>
      </c>
      <c r="Y38" s="45">
        <f>ROUND((VLOOKUP(A38,'Cumulative pupils per year'!$A$3:$S$88,3,FALSE)),0)</f>
        <v>44</v>
      </c>
      <c r="Z38" s="274">
        <f t="shared" si="14"/>
        <v>8</v>
      </c>
      <c r="AA38" s="274">
        <f t="shared" si="15"/>
        <v>8</v>
      </c>
      <c r="AB38" s="274">
        <f t="shared" si="16"/>
        <v>8</v>
      </c>
      <c r="AC38" s="274">
        <f t="shared" si="17"/>
        <v>8</v>
      </c>
      <c r="AD38" s="274">
        <f t="shared" si="18"/>
        <v>8</v>
      </c>
      <c r="AE38" s="274">
        <f t="shared" si="19"/>
        <v>8</v>
      </c>
      <c r="AF38" s="274">
        <f t="shared" si="20"/>
        <v>7</v>
      </c>
      <c r="AG38" s="43">
        <f>ROUND((VLOOKUP(A38,'Cumulative pupils per year'!$A$3:$S$88,4,FALSE)),0)</f>
        <v>55</v>
      </c>
      <c r="AH38" s="46">
        <f t="shared" si="21"/>
        <v>10</v>
      </c>
      <c r="AI38" s="46">
        <f t="shared" si="22"/>
        <v>10</v>
      </c>
      <c r="AJ38" s="46">
        <f t="shared" si="23"/>
        <v>10</v>
      </c>
      <c r="AK38" s="46">
        <f t="shared" si="24"/>
        <v>9</v>
      </c>
      <c r="AL38" s="46">
        <f t="shared" si="25"/>
        <v>9</v>
      </c>
      <c r="AM38" s="46">
        <f t="shared" si="26"/>
        <v>9</v>
      </c>
      <c r="AN38" s="46">
        <f t="shared" si="27"/>
        <v>9</v>
      </c>
      <c r="AO38" s="45">
        <f>ROUND((VLOOKUP(A38,'Cumulative pupils per year'!$A$3:$S$88,5,FALSE)),0)</f>
        <v>66</v>
      </c>
      <c r="AP38" s="274">
        <f t="shared" si="28"/>
        <v>11</v>
      </c>
      <c r="AQ38" s="274">
        <f t="shared" si="29"/>
        <v>11</v>
      </c>
      <c r="AR38" s="274">
        <f t="shared" si="30"/>
        <v>11</v>
      </c>
      <c r="AS38" s="274">
        <f t="shared" si="31"/>
        <v>11</v>
      </c>
      <c r="AT38" s="274">
        <f t="shared" si="32"/>
        <v>11</v>
      </c>
      <c r="AU38" s="274">
        <f t="shared" si="33"/>
        <v>11</v>
      </c>
      <c r="AV38" s="274">
        <f t="shared" si="34"/>
        <v>11</v>
      </c>
      <c r="AW38" s="43">
        <f>ROUND((VLOOKUP(A38,'Cumulative pupils per year'!$A$3:$S$88,6,FALSE)),0)</f>
        <v>77</v>
      </c>
      <c r="AX38" s="46">
        <f t="shared" si="35"/>
        <v>15</v>
      </c>
      <c r="AY38" s="46">
        <f t="shared" si="36"/>
        <v>15</v>
      </c>
      <c r="AZ38" s="46">
        <f t="shared" si="37"/>
        <v>15</v>
      </c>
      <c r="BA38" s="46">
        <f t="shared" si="38"/>
        <v>15</v>
      </c>
      <c r="BB38" s="46">
        <f t="shared" si="39"/>
        <v>15</v>
      </c>
      <c r="BC38" s="46">
        <f t="shared" si="40"/>
        <v>15</v>
      </c>
      <c r="BD38" s="46">
        <f t="shared" si="41"/>
        <v>15</v>
      </c>
      <c r="BE38" s="45">
        <f>ROUND((VLOOKUP(A38,'Cumulative pupils per year'!$A$3:$S$88,7,FALSE)),0)</f>
        <v>105</v>
      </c>
      <c r="BF38" s="274">
        <f t="shared" si="42"/>
        <v>20</v>
      </c>
      <c r="BG38" s="274">
        <f t="shared" si="43"/>
        <v>19</v>
      </c>
      <c r="BH38" s="274">
        <f t="shared" si="44"/>
        <v>19</v>
      </c>
      <c r="BI38" s="274">
        <f t="shared" si="45"/>
        <v>19</v>
      </c>
      <c r="BJ38" s="274">
        <f t="shared" si="46"/>
        <v>19</v>
      </c>
      <c r="BK38" s="274">
        <f t="shared" si="47"/>
        <v>19</v>
      </c>
      <c r="BL38" s="274">
        <f t="shared" si="48"/>
        <v>19</v>
      </c>
      <c r="BM38" s="43">
        <f>ROUND((VLOOKUP(A38,'Cumulative pupils per year'!$A$3:$S$88,8,FALSE)),0)</f>
        <v>134</v>
      </c>
      <c r="BN38" s="46">
        <f t="shared" si="49"/>
        <v>24</v>
      </c>
      <c r="BO38" s="46">
        <f t="shared" si="50"/>
        <v>24</v>
      </c>
      <c r="BP38" s="46">
        <f t="shared" si="51"/>
        <v>23</v>
      </c>
      <c r="BQ38" s="46">
        <f t="shared" si="52"/>
        <v>23</v>
      </c>
      <c r="BR38" s="46">
        <f t="shared" si="53"/>
        <v>23</v>
      </c>
      <c r="BS38" s="46">
        <f t="shared" si="54"/>
        <v>23</v>
      </c>
      <c r="BT38" s="46">
        <f t="shared" si="55"/>
        <v>23</v>
      </c>
      <c r="BU38" s="45">
        <f>ROUND((VLOOKUP(A38,'Cumulative pupils per year'!$A$3:$S$88,9,FALSE)),0)</f>
        <v>163</v>
      </c>
      <c r="BV38" s="274">
        <f t="shared" si="56"/>
        <v>28</v>
      </c>
      <c r="BW38" s="274">
        <f t="shared" si="57"/>
        <v>28</v>
      </c>
      <c r="BX38" s="274">
        <f t="shared" si="58"/>
        <v>28</v>
      </c>
      <c r="BY38" s="274">
        <f t="shared" si="59"/>
        <v>27</v>
      </c>
      <c r="BZ38" s="274">
        <f t="shared" si="60"/>
        <v>27</v>
      </c>
      <c r="CA38" s="274">
        <f t="shared" si="61"/>
        <v>27</v>
      </c>
      <c r="CB38" s="274">
        <f t="shared" si="62"/>
        <v>27</v>
      </c>
      <c r="CC38" s="43">
        <f>ROUND((VLOOKUP(A38,'Cumulative pupils per year'!$A$3:$S$88,10,FALSE)),0)</f>
        <v>192</v>
      </c>
      <c r="CD38" s="46">
        <f t="shared" si="63"/>
        <v>30</v>
      </c>
      <c r="CE38" s="46">
        <f t="shared" si="64"/>
        <v>30</v>
      </c>
      <c r="CF38" s="46">
        <f t="shared" si="65"/>
        <v>30</v>
      </c>
      <c r="CG38" s="46">
        <f t="shared" si="66"/>
        <v>30</v>
      </c>
      <c r="CH38" s="46">
        <f t="shared" si="67"/>
        <v>30</v>
      </c>
      <c r="CI38" s="46">
        <f t="shared" si="68"/>
        <v>30</v>
      </c>
      <c r="CJ38" s="46">
        <f t="shared" si="69"/>
        <v>30</v>
      </c>
      <c r="CK38" s="45">
        <f>ROUND((VLOOKUP(A38,'Cumulative pupils per year'!$A$3:$S$88,11,FALSE)),0)</f>
        <v>210</v>
      </c>
      <c r="CL38" s="274">
        <f t="shared" si="70"/>
        <v>31</v>
      </c>
      <c r="CM38" s="274">
        <f t="shared" si="71"/>
        <v>31</v>
      </c>
      <c r="CN38" s="274">
        <f t="shared" si="72"/>
        <v>31</v>
      </c>
      <c r="CO38" s="274">
        <f t="shared" si="73"/>
        <v>31</v>
      </c>
      <c r="CP38" s="274">
        <f t="shared" si="74"/>
        <v>31</v>
      </c>
      <c r="CQ38" s="274">
        <f t="shared" si="75"/>
        <v>31</v>
      </c>
      <c r="CR38" s="274">
        <f t="shared" si="76"/>
        <v>30</v>
      </c>
      <c r="CS38" s="291">
        <f>ROUND((VLOOKUP(A38,'Cumulative pupils per year'!$A$3:$S$88,12,FALSE)),0)</f>
        <v>216</v>
      </c>
      <c r="CT38" s="46">
        <f t="shared" si="77"/>
        <v>32</v>
      </c>
      <c r="CU38" s="46">
        <f t="shared" si="78"/>
        <v>32</v>
      </c>
      <c r="CV38" s="46">
        <f t="shared" si="79"/>
        <v>32</v>
      </c>
      <c r="CW38" s="46">
        <f t="shared" si="80"/>
        <v>32</v>
      </c>
      <c r="CX38" s="46">
        <f t="shared" si="81"/>
        <v>32</v>
      </c>
      <c r="CY38" s="46">
        <f t="shared" si="82"/>
        <v>31</v>
      </c>
      <c r="CZ38" s="46">
        <f t="shared" si="83"/>
        <v>31</v>
      </c>
      <c r="DA38" s="45">
        <f>ROUND((VLOOKUP(A38,'Cumulative pupils per year'!$A$3:$S$88,13,FALSE)),0)</f>
        <v>222</v>
      </c>
      <c r="DB38" s="274">
        <f t="shared" si="84"/>
        <v>33</v>
      </c>
      <c r="DC38" s="274">
        <f t="shared" si="85"/>
        <v>33</v>
      </c>
      <c r="DD38" s="274">
        <f t="shared" si="86"/>
        <v>33</v>
      </c>
      <c r="DE38" s="274">
        <f t="shared" si="87"/>
        <v>33</v>
      </c>
      <c r="DF38" s="274">
        <f t="shared" si="88"/>
        <v>32</v>
      </c>
      <c r="DG38" s="274">
        <f t="shared" si="89"/>
        <v>32</v>
      </c>
      <c r="DH38" s="274">
        <f t="shared" si="90"/>
        <v>32</v>
      </c>
      <c r="DI38" s="291">
        <f>ROUND((VLOOKUP(A38,'Cumulative pupils per year'!$A$3:$S$88,14,FALSE)),0)</f>
        <v>228</v>
      </c>
      <c r="DJ38" s="46">
        <f t="shared" si="91"/>
        <v>34</v>
      </c>
      <c r="DK38" s="46">
        <f t="shared" si="92"/>
        <v>34</v>
      </c>
      <c r="DL38" s="46">
        <f t="shared" si="93"/>
        <v>34</v>
      </c>
      <c r="DM38" s="46">
        <f t="shared" si="94"/>
        <v>33</v>
      </c>
      <c r="DN38" s="46">
        <f t="shared" si="95"/>
        <v>33</v>
      </c>
      <c r="DO38" s="46">
        <f t="shared" si="96"/>
        <v>33</v>
      </c>
      <c r="DP38" s="46">
        <f t="shared" si="97"/>
        <v>33</v>
      </c>
      <c r="DQ38" s="45">
        <f>ROUND((VLOOKUP(A38,'Cumulative pupils per year'!$A$3:$S$88,15,FALSE)),0)</f>
        <v>234</v>
      </c>
    </row>
    <row r="39" spans="1:121">
      <c r="A39" s="4" t="s">
        <v>37</v>
      </c>
      <c r="B39" s="46">
        <v>1</v>
      </c>
      <c r="C39" s="46">
        <v>1</v>
      </c>
      <c r="D39" s="46">
        <v>1</v>
      </c>
      <c r="E39" s="46">
        <v>0</v>
      </c>
      <c r="F39" s="46">
        <v>0</v>
      </c>
      <c r="G39" s="46">
        <v>0</v>
      </c>
      <c r="H39" s="46">
        <v>0</v>
      </c>
      <c r="I39" s="45">
        <v>3</v>
      </c>
      <c r="J39" s="44">
        <f t="shared" si="119"/>
        <v>0</v>
      </c>
      <c r="K39" s="44">
        <f t="shared" si="120"/>
        <v>0</v>
      </c>
      <c r="L39" s="44">
        <f t="shared" si="121"/>
        <v>0</v>
      </c>
      <c r="M39" s="44">
        <f t="shared" si="122"/>
        <v>0</v>
      </c>
      <c r="N39" s="44">
        <f t="shared" si="123"/>
        <v>0</v>
      </c>
      <c r="O39" s="44">
        <f t="shared" si="124"/>
        <v>0</v>
      </c>
      <c r="P39" s="44">
        <f t="shared" si="125"/>
        <v>0</v>
      </c>
      <c r="Q39" s="43">
        <f>ROUND((VLOOKUP(A39,'Cumulative pupils per year'!$A$3:$S$88,2,FALSE)),0)</f>
        <v>0</v>
      </c>
      <c r="R39" s="46">
        <f t="shared" si="7"/>
        <v>3</v>
      </c>
      <c r="S39" s="46">
        <f t="shared" si="8"/>
        <v>3</v>
      </c>
      <c r="T39" s="46">
        <f t="shared" si="9"/>
        <v>3</v>
      </c>
      <c r="U39" s="46">
        <f t="shared" si="10"/>
        <v>2</v>
      </c>
      <c r="V39" s="46">
        <f t="shared" si="11"/>
        <v>2</v>
      </c>
      <c r="W39" s="46">
        <f t="shared" si="12"/>
        <v>2</v>
      </c>
      <c r="X39" s="46">
        <f t="shared" si="13"/>
        <v>2</v>
      </c>
      <c r="Y39" s="45">
        <f>ROUND((VLOOKUP(A39,'Cumulative pupils per year'!$A$3:$S$88,3,FALSE)),0)</f>
        <v>17</v>
      </c>
      <c r="Z39" s="274">
        <f t="shared" si="14"/>
        <v>5</v>
      </c>
      <c r="AA39" s="274">
        <f t="shared" si="15"/>
        <v>5</v>
      </c>
      <c r="AB39" s="274">
        <f t="shared" si="16"/>
        <v>5</v>
      </c>
      <c r="AC39" s="274">
        <f t="shared" si="17"/>
        <v>5</v>
      </c>
      <c r="AD39" s="274">
        <f t="shared" si="18"/>
        <v>5</v>
      </c>
      <c r="AE39" s="274">
        <f t="shared" si="19"/>
        <v>5</v>
      </c>
      <c r="AF39" s="274">
        <f t="shared" si="20"/>
        <v>4</v>
      </c>
      <c r="AG39" s="43">
        <f>ROUND((VLOOKUP(A39,'Cumulative pupils per year'!$A$3:$S$88,4,FALSE)),0)</f>
        <v>34</v>
      </c>
      <c r="AH39" s="46">
        <f t="shared" si="21"/>
        <v>7</v>
      </c>
      <c r="AI39" s="46">
        <f t="shared" si="22"/>
        <v>7</v>
      </c>
      <c r="AJ39" s="46">
        <f t="shared" si="23"/>
        <v>7</v>
      </c>
      <c r="AK39" s="46">
        <f t="shared" si="24"/>
        <v>7</v>
      </c>
      <c r="AL39" s="46">
        <f t="shared" si="25"/>
        <v>7</v>
      </c>
      <c r="AM39" s="46">
        <f t="shared" si="26"/>
        <v>6</v>
      </c>
      <c r="AN39" s="46">
        <f t="shared" si="27"/>
        <v>6</v>
      </c>
      <c r="AO39" s="45">
        <f>ROUND((VLOOKUP(A39,'Cumulative pupils per year'!$A$3:$S$88,5,FALSE)),0)</f>
        <v>47</v>
      </c>
      <c r="AP39" s="274">
        <f t="shared" si="28"/>
        <v>8</v>
      </c>
      <c r="AQ39" s="274">
        <f t="shared" si="29"/>
        <v>7</v>
      </c>
      <c r="AR39" s="274">
        <f t="shared" si="30"/>
        <v>7</v>
      </c>
      <c r="AS39" s="274">
        <f t="shared" si="31"/>
        <v>7</v>
      </c>
      <c r="AT39" s="274">
        <f t="shared" si="32"/>
        <v>7</v>
      </c>
      <c r="AU39" s="274">
        <f t="shared" si="33"/>
        <v>7</v>
      </c>
      <c r="AV39" s="274">
        <f t="shared" si="34"/>
        <v>7</v>
      </c>
      <c r="AW39" s="43">
        <f>ROUND((VLOOKUP(A39,'Cumulative pupils per year'!$A$3:$S$88,6,FALSE)),0)</f>
        <v>50</v>
      </c>
      <c r="AX39" s="46">
        <f t="shared" si="35"/>
        <v>11</v>
      </c>
      <c r="AY39" s="46">
        <f t="shared" si="36"/>
        <v>10</v>
      </c>
      <c r="AZ39" s="46">
        <f t="shared" si="37"/>
        <v>10</v>
      </c>
      <c r="BA39" s="46">
        <f t="shared" si="38"/>
        <v>10</v>
      </c>
      <c r="BB39" s="46">
        <f t="shared" si="39"/>
        <v>10</v>
      </c>
      <c r="BC39" s="46">
        <f t="shared" si="40"/>
        <v>10</v>
      </c>
      <c r="BD39" s="46">
        <f t="shared" si="41"/>
        <v>10</v>
      </c>
      <c r="BE39" s="45">
        <f>ROUND((VLOOKUP(A39,'Cumulative pupils per year'!$A$3:$S$88,7,FALSE)),0)</f>
        <v>71</v>
      </c>
      <c r="BF39" s="274">
        <f t="shared" si="42"/>
        <v>15</v>
      </c>
      <c r="BG39" s="274">
        <f t="shared" si="43"/>
        <v>14</v>
      </c>
      <c r="BH39" s="274">
        <f t="shared" si="44"/>
        <v>14</v>
      </c>
      <c r="BI39" s="274">
        <f t="shared" si="45"/>
        <v>14</v>
      </c>
      <c r="BJ39" s="274">
        <f t="shared" si="46"/>
        <v>14</v>
      </c>
      <c r="BK39" s="274">
        <f t="shared" si="47"/>
        <v>14</v>
      </c>
      <c r="BL39" s="274">
        <f t="shared" si="48"/>
        <v>14</v>
      </c>
      <c r="BM39" s="43">
        <f>ROUND((VLOOKUP(A39,'Cumulative pupils per year'!$A$3:$S$88,8,FALSE)),0)</f>
        <v>99</v>
      </c>
      <c r="BN39" s="46">
        <f t="shared" si="49"/>
        <v>18</v>
      </c>
      <c r="BO39" s="46">
        <f t="shared" si="50"/>
        <v>18</v>
      </c>
      <c r="BP39" s="46">
        <f t="shared" si="51"/>
        <v>18</v>
      </c>
      <c r="BQ39" s="46">
        <f t="shared" si="52"/>
        <v>18</v>
      </c>
      <c r="BR39" s="46">
        <f t="shared" si="53"/>
        <v>18</v>
      </c>
      <c r="BS39" s="46">
        <f t="shared" si="54"/>
        <v>18</v>
      </c>
      <c r="BT39" s="46">
        <f t="shared" si="55"/>
        <v>17</v>
      </c>
      <c r="BU39" s="45">
        <f>ROUND((VLOOKUP(A39,'Cumulative pupils per year'!$A$3:$S$88,9,FALSE)),0)</f>
        <v>125</v>
      </c>
      <c r="BV39" s="274">
        <f t="shared" si="56"/>
        <v>21</v>
      </c>
      <c r="BW39" s="274">
        <f t="shared" si="57"/>
        <v>21</v>
      </c>
      <c r="BX39" s="274">
        <f t="shared" si="58"/>
        <v>21</v>
      </c>
      <c r="BY39" s="274">
        <f t="shared" si="59"/>
        <v>21</v>
      </c>
      <c r="BZ39" s="274">
        <f t="shared" si="60"/>
        <v>21</v>
      </c>
      <c r="CA39" s="274">
        <f t="shared" si="61"/>
        <v>21</v>
      </c>
      <c r="CB39" s="274">
        <f t="shared" si="62"/>
        <v>20</v>
      </c>
      <c r="CC39" s="43">
        <f>ROUND((VLOOKUP(A39,'Cumulative pupils per year'!$A$3:$S$88,10,FALSE)),0)</f>
        <v>146</v>
      </c>
      <c r="CD39" s="46">
        <f t="shared" si="63"/>
        <v>26</v>
      </c>
      <c r="CE39" s="46">
        <f t="shared" si="64"/>
        <v>26</v>
      </c>
      <c r="CF39" s="46">
        <f t="shared" si="65"/>
        <v>26</v>
      </c>
      <c r="CG39" s="46">
        <f t="shared" si="66"/>
        <v>26</v>
      </c>
      <c r="CH39" s="46">
        <f t="shared" si="67"/>
        <v>26</v>
      </c>
      <c r="CI39" s="46">
        <f t="shared" si="68"/>
        <v>26</v>
      </c>
      <c r="CJ39" s="46">
        <f t="shared" si="69"/>
        <v>25</v>
      </c>
      <c r="CK39" s="45">
        <f>ROUND((VLOOKUP(A39,'Cumulative pupils per year'!$A$3:$S$88,11,FALSE)),0)</f>
        <v>181</v>
      </c>
      <c r="CL39" s="274">
        <f t="shared" si="70"/>
        <v>28</v>
      </c>
      <c r="CM39" s="274">
        <f t="shared" si="71"/>
        <v>28</v>
      </c>
      <c r="CN39" s="274">
        <f t="shared" si="72"/>
        <v>28</v>
      </c>
      <c r="CO39" s="274">
        <f t="shared" si="73"/>
        <v>28</v>
      </c>
      <c r="CP39" s="274">
        <f t="shared" si="74"/>
        <v>28</v>
      </c>
      <c r="CQ39" s="274">
        <f t="shared" si="75"/>
        <v>28</v>
      </c>
      <c r="CR39" s="274">
        <f t="shared" si="76"/>
        <v>27</v>
      </c>
      <c r="CS39" s="291">
        <f>ROUND((VLOOKUP(A39,'Cumulative pupils per year'!$A$3:$S$88,12,FALSE)),0)</f>
        <v>195</v>
      </c>
      <c r="CT39" s="46">
        <f t="shared" si="77"/>
        <v>30</v>
      </c>
      <c r="CU39" s="46">
        <f t="shared" si="78"/>
        <v>30</v>
      </c>
      <c r="CV39" s="46">
        <f t="shared" si="79"/>
        <v>30</v>
      </c>
      <c r="CW39" s="46">
        <f t="shared" si="80"/>
        <v>30</v>
      </c>
      <c r="CX39" s="46">
        <f t="shared" si="81"/>
        <v>30</v>
      </c>
      <c r="CY39" s="46">
        <f t="shared" si="82"/>
        <v>30</v>
      </c>
      <c r="CZ39" s="46">
        <f t="shared" si="83"/>
        <v>29</v>
      </c>
      <c r="DA39" s="45">
        <f>ROUND((VLOOKUP(A39,'Cumulative pupils per year'!$A$3:$S$88,13,FALSE)),0)</f>
        <v>209</v>
      </c>
      <c r="DB39" s="274">
        <f t="shared" si="84"/>
        <v>32</v>
      </c>
      <c r="DC39" s="274">
        <f t="shared" si="85"/>
        <v>32</v>
      </c>
      <c r="DD39" s="274">
        <f t="shared" si="86"/>
        <v>32</v>
      </c>
      <c r="DE39" s="274">
        <f t="shared" si="87"/>
        <v>32</v>
      </c>
      <c r="DF39" s="274">
        <f t="shared" si="88"/>
        <v>32</v>
      </c>
      <c r="DG39" s="274">
        <f t="shared" si="89"/>
        <v>32</v>
      </c>
      <c r="DH39" s="274">
        <f t="shared" si="90"/>
        <v>31</v>
      </c>
      <c r="DI39" s="291">
        <f>ROUND((VLOOKUP(A39,'Cumulative pupils per year'!$A$3:$S$88,14,FALSE)),0)</f>
        <v>223</v>
      </c>
      <c r="DJ39" s="46">
        <f t="shared" si="91"/>
        <v>34</v>
      </c>
      <c r="DK39" s="46">
        <f t="shared" si="92"/>
        <v>34</v>
      </c>
      <c r="DL39" s="46">
        <f t="shared" si="93"/>
        <v>34</v>
      </c>
      <c r="DM39" s="46">
        <f t="shared" si="94"/>
        <v>34</v>
      </c>
      <c r="DN39" s="46">
        <f t="shared" si="95"/>
        <v>34</v>
      </c>
      <c r="DO39" s="46">
        <f t="shared" si="96"/>
        <v>34</v>
      </c>
      <c r="DP39" s="46">
        <f t="shared" si="97"/>
        <v>33</v>
      </c>
      <c r="DQ39" s="45">
        <f>ROUND((VLOOKUP(A39,'Cumulative pupils per year'!$A$3:$S$88,15,FALSE)),0)</f>
        <v>237</v>
      </c>
    </row>
    <row r="40" spans="1:121">
      <c r="A40" s="4" t="s">
        <v>38</v>
      </c>
      <c r="B40" s="46">
        <v>4</v>
      </c>
      <c r="C40" s="46">
        <v>4</v>
      </c>
      <c r="D40" s="46">
        <v>3</v>
      </c>
      <c r="E40" s="46">
        <v>3</v>
      </c>
      <c r="F40" s="46">
        <v>3</v>
      </c>
      <c r="G40" s="46">
        <v>3</v>
      </c>
      <c r="H40" s="46">
        <v>3</v>
      </c>
      <c r="I40" s="45">
        <v>23</v>
      </c>
      <c r="J40" s="44">
        <f t="shared" si="119"/>
        <v>2</v>
      </c>
      <c r="K40" s="44">
        <f t="shared" si="120"/>
        <v>2</v>
      </c>
      <c r="L40" s="44">
        <f t="shared" si="121"/>
        <v>2</v>
      </c>
      <c r="M40" s="44">
        <f t="shared" si="122"/>
        <v>2</v>
      </c>
      <c r="N40" s="44">
        <f t="shared" si="123"/>
        <v>2</v>
      </c>
      <c r="O40" s="44">
        <f t="shared" si="124"/>
        <v>2</v>
      </c>
      <c r="P40" s="44">
        <f t="shared" si="125"/>
        <v>1</v>
      </c>
      <c r="Q40" s="43">
        <f>ROUND((VLOOKUP(A40,'Cumulative pupils per year'!$A$3:$S$88,2,FALSE)),0)</f>
        <v>13</v>
      </c>
      <c r="R40" s="46">
        <f t="shared" si="7"/>
        <v>2</v>
      </c>
      <c r="S40" s="46">
        <f t="shared" si="8"/>
        <v>2</v>
      </c>
      <c r="T40" s="46">
        <f t="shared" si="9"/>
        <v>2</v>
      </c>
      <c r="U40" s="46">
        <f t="shared" si="10"/>
        <v>2</v>
      </c>
      <c r="V40" s="46">
        <f t="shared" si="11"/>
        <v>2</v>
      </c>
      <c r="W40" s="46">
        <f t="shared" si="12"/>
        <v>2</v>
      </c>
      <c r="X40" s="46">
        <f t="shared" si="13"/>
        <v>1</v>
      </c>
      <c r="Y40" s="45">
        <f>ROUND((VLOOKUP(A40,'Cumulative pupils per year'!$A$3:$S$88,3,FALSE)),0)</f>
        <v>13</v>
      </c>
      <c r="Z40" s="274">
        <f t="shared" si="14"/>
        <v>2</v>
      </c>
      <c r="AA40" s="274">
        <f t="shared" si="15"/>
        <v>2</v>
      </c>
      <c r="AB40" s="274">
        <f t="shared" si="16"/>
        <v>2</v>
      </c>
      <c r="AC40" s="274">
        <f t="shared" si="17"/>
        <v>2</v>
      </c>
      <c r="AD40" s="274">
        <f t="shared" si="18"/>
        <v>2</v>
      </c>
      <c r="AE40" s="274">
        <f t="shared" si="19"/>
        <v>2</v>
      </c>
      <c r="AF40" s="274">
        <f t="shared" si="20"/>
        <v>1</v>
      </c>
      <c r="AG40" s="43">
        <f>ROUND((VLOOKUP(A40,'Cumulative pupils per year'!$A$3:$S$88,4,FALSE)),0)</f>
        <v>13</v>
      </c>
      <c r="AH40" s="46">
        <f t="shared" si="21"/>
        <v>2</v>
      </c>
      <c r="AI40" s="46">
        <f t="shared" si="22"/>
        <v>2</v>
      </c>
      <c r="AJ40" s="46">
        <f t="shared" si="23"/>
        <v>2</v>
      </c>
      <c r="AK40" s="46">
        <f t="shared" si="24"/>
        <v>2</v>
      </c>
      <c r="AL40" s="46">
        <f t="shared" si="25"/>
        <v>2</v>
      </c>
      <c r="AM40" s="46">
        <f t="shared" si="26"/>
        <v>2</v>
      </c>
      <c r="AN40" s="46">
        <f t="shared" si="27"/>
        <v>1</v>
      </c>
      <c r="AO40" s="45">
        <f>ROUND((VLOOKUP(A40,'Cumulative pupils per year'!$A$3:$S$88,5,FALSE)),0)</f>
        <v>13</v>
      </c>
      <c r="AP40" s="274">
        <f t="shared" si="28"/>
        <v>2</v>
      </c>
      <c r="AQ40" s="274">
        <f t="shared" si="29"/>
        <v>2</v>
      </c>
      <c r="AR40" s="274">
        <f t="shared" si="30"/>
        <v>2</v>
      </c>
      <c r="AS40" s="274">
        <f t="shared" si="31"/>
        <v>2</v>
      </c>
      <c r="AT40" s="274">
        <f t="shared" si="32"/>
        <v>2</v>
      </c>
      <c r="AU40" s="274">
        <f t="shared" si="33"/>
        <v>2</v>
      </c>
      <c r="AV40" s="274">
        <f t="shared" si="34"/>
        <v>1</v>
      </c>
      <c r="AW40" s="43">
        <f>ROUND((VLOOKUP(A40,'Cumulative pupils per year'!$A$3:$S$88,6,FALSE)),0)</f>
        <v>13</v>
      </c>
      <c r="AX40" s="46">
        <f t="shared" si="35"/>
        <v>3</v>
      </c>
      <c r="AY40" s="46">
        <f t="shared" si="36"/>
        <v>3</v>
      </c>
      <c r="AZ40" s="46">
        <f t="shared" si="37"/>
        <v>3</v>
      </c>
      <c r="BA40" s="46">
        <f t="shared" si="38"/>
        <v>3</v>
      </c>
      <c r="BB40" s="46">
        <f t="shared" si="39"/>
        <v>2</v>
      </c>
      <c r="BC40" s="46">
        <f t="shared" si="40"/>
        <v>2</v>
      </c>
      <c r="BD40" s="46">
        <f t="shared" si="41"/>
        <v>2</v>
      </c>
      <c r="BE40" s="45">
        <f>ROUND((VLOOKUP(A40,'Cumulative pupils per year'!$A$3:$S$88,7,FALSE)),0)</f>
        <v>18</v>
      </c>
      <c r="BF40" s="274">
        <f t="shared" si="42"/>
        <v>4</v>
      </c>
      <c r="BG40" s="274">
        <f t="shared" si="43"/>
        <v>4</v>
      </c>
      <c r="BH40" s="274">
        <f t="shared" si="44"/>
        <v>3</v>
      </c>
      <c r="BI40" s="274">
        <f t="shared" si="45"/>
        <v>3</v>
      </c>
      <c r="BJ40" s="274">
        <f t="shared" si="46"/>
        <v>3</v>
      </c>
      <c r="BK40" s="274">
        <f t="shared" si="47"/>
        <v>3</v>
      </c>
      <c r="BL40" s="274">
        <f t="shared" si="48"/>
        <v>3</v>
      </c>
      <c r="BM40" s="43">
        <f>ROUND((VLOOKUP(A40,'Cumulative pupils per year'!$A$3:$S$88,8,FALSE)),0)</f>
        <v>23</v>
      </c>
      <c r="BN40" s="46">
        <f t="shared" si="49"/>
        <v>4</v>
      </c>
      <c r="BO40" s="46">
        <f t="shared" si="50"/>
        <v>4</v>
      </c>
      <c r="BP40" s="46">
        <f t="shared" si="51"/>
        <v>4</v>
      </c>
      <c r="BQ40" s="46">
        <f t="shared" si="52"/>
        <v>4</v>
      </c>
      <c r="BR40" s="46">
        <f t="shared" si="53"/>
        <v>4</v>
      </c>
      <c r="BS40" s="46">
        <f t="shared" si="54"/>
        <v>4</v>
      </c>
      <c r="BT40" s="46">
        <f t="shared" si="55"/>
        <v>4</v>
      </c>
      <c r="BU40" s="45">
        <f>ROUND((VLOOKUP(A40,'Cumulative pupils per year'!$A$3:$S$88,9,FALSE)),0)</f>
        <v>28</v>
      </c>
      <c r="BV40" s="274">
        <f t="shared" si="56"/>
        <v>5</v>
      </c>
      <c r="BW40" s="274">
        <f t="shared" si="57"/>
        <v>5</v>
      </c>
      <c r="BX40" s="274">
        <f t="shared" si="58"/>
        <v>5</v>
      </c>
      <c r="BY40" s="274">
        <f t="shared" si="59"/>
        <v>5</v>
      </c>
      <c r="BZ40" s="274">
        <f t="shared" si="60"/>
        <v>5</v>
      </c>
      <c r="CA40" s="274">
        <f t="shared" si="61"/>
        <v>4</v>
      </c>
      <c r="CB40" s="274">
        <f t="shared" si="62"/>
        <v>4</v>
      </c>
      <c r="CC40" s="43">
        <f>ROUND((VLOOKUP(A40,'Cumulative pupils per year'!$A$3:$S$88,10,FALSE)),0)</f>
        <v>33</v>
      </c>
      <c r="CD40" s="46">
        <f t="shared" si="63"/>
        <v>6</v>
      </c>
      <c r="CE40" s="46">
        <f t="shared" si="64"/>
        <v>6</v>
      </c>
      <c r="CF40" s="46">
        <f t="shared" si="65"/>
        <v>6</v>
      </c>
      <c r="CG40" s="46">
        <f t="shared" si="66"/>
        <v>5</v>
      </c>
      <c r="CH40" s="46">
        <f t="shared" si="67"/>
        <v>5</v>
      </c>
      <c r="CI40" s="46">
        <f t="shared" si="68"/>
        <v>5</v>
      </c>
      <c r="CJ40" s="46">
        <f t="shared" si="69"/>
        <v>5</v>
      </c>
      <c r="CK40" s="45">
        <f>ROUND((VLOOKUP(A40,'Cumulative pupils per year'!$A$3:$S$88,11,FALSE)),0)</f>
        <v>38</v>
      </c>
      <c r="CL40" s="274">
        <f t="shared" si="70"/>
        <v>6</v>
      </c>
      <c r="CM40" s="274">
        <f t="shared" si="71"/>
        <v>6</v>
      </c>
      <c r="CN40" s="274">
        <f t="shared" si="72"/>
        <v>6</v>
      </c>
      <c r="CO40" s="274">
        <f t="shared" si="73"/>
        <v>6</v>
      </c>
      <c r="CP40" s="274">
        <f t="shared" si="74"/>
        <v>6</v>
      </c>
      <c r="CQ40" s="274">
        <f t="shared" si="75"/>
        <v>6</v>
      </c>
      <c r="CR40" s="274">
        <f t="shared" si="76"/>
        <v>5</v>
      </c>
      <c r="CS40" s="291">
        <f>ROUND((VLOOKUP(A40,'Cumulative pupils per year'!$A$3:$S$88,12,FALSE)),0)</f>
        <v>41</v>
      </c>
      <c r="CT40" s="46">
        <f t="shared" si="77"/>
        <v>7</v>
      </c>
      <c r="CU40" s="46">
        <f t="shared" si="78"/>
        <v>6</v>
      </c>
      <c r="CV40" s="46">
        <f t="shared" si="79"/>
        <v>6</v>
      </c>
      <c r="CW40" s="46">
        <f t="shared" si="80"/>
        <v>6</v>
      </c>
      <c r="CX40" s="46">
        <f t="shared" si="81"/>
        <v>6</v>
      </c>
      <c r="CY40" s="46">
        <f t="shared" si="82"/>
        <v>6</v>
      </c>
      <c r="CZ40" s="46">
        <f t="shared" si="83"/>
        <v>6</v>
      </c>
      <c r="DA40" s="45">
        <f>ROUND((VLOOKUP(A40,'Cumulative pupils per year'!$A$3:$S$88,13,FALSE)),0)</f>
        <v>43</v>
      </c>
      <c r="DB40" s="274">
        <f t="shared" si="84"/>
        <v>7</v>
      </c>
      <c r="DC40" s="274">
        <f t="shared" si="85"/>
        <v>7</v>
      </c>
      <c r="DD40" s="274">
        <f t="shared" si="86"/>
        <v>7</v>
      </c>
      <c r="DE40" s="274">
        <f t="shared" si="87"/>
        <v>7</v>
      </c>
      <c r="DF40" s="274">
        <f t="shared" si="88"/>
        <v>6</v>
      </c>
      <c r="DG40" s="274">
        <f t="shared" si="89"/>
        <v>6</v>
      </c>
      <c r="DH40" s="274">
        <f t="shared" si="90"/>
        <v>6</v>
      </c>
      <c r="DI40" s="291">
        <f>ROUND((VLOOKUP(A40,'Cumulative pupils per year'!$A$3:$S$88,14,FALSE)),0)</f>
        <v>46</v>
      </c>
      <c r="DJ40" s="46">
        <f t="shared" si="91"/>
        <v>7</v>
      </c>
      <c r="DK40" s="46">
        <f t="shared" si="92"/>
        <v>7</v>
      </c>
      <c r="DL40" s="46">
        <f t="shared" si="93"/>
        <v>7</v>
      </c>
      <c r="DM40" s="46">
        <f t="shared" si="94"/>
        <v>7</v>
      </c>
      <c r="DN40" s="46">
        <f t="shared" si="95"/>
        <v>7</v>
      </c>
      <c r="DO40" s="46">
        <f t="shared" si="96"/>
        <v>7</v>
      </c>
      <c r="DP40" s="46">
        <f t="shared" si="97"/>
        <v>6</v>
      </c>
      <c r="DQ40" s="45">
        <f>ROUND((VLOOKUP(A40,'Cumulative pupils per year'!$A$3:$S$88,15,FALSE)),0)</f>
        <v>48</v>
      </c>
    </row>
    <row r="41" spans="1:121">
      <c r="A41" s="4" t="s">
        <v>39</v>
      </c>
      <c r="B41" s="46">
        <v>0</v>
      </c>
      <c r="C41" s="46">
        <v>0</v>
      </c>
      <c r="D41" s="46">
        <v>0</v>
      </c>
      <c r="E41" s="46">
        <v>0</v>
      </c>
      <c r="F41" s="46">
        <v>0</v>
      </c>
      <c r="G41" s="46">
        <v>0</v>
      </c>
      <c r="H41" s="46">
        <v>0</v>
      </c>
      <c r="I41" s="45">
        <v>0</v>
      </c>
      <c r="J41" s="44">
        <f t="shared" ref="J41:J47" si="196">ROUNDUP(Q41/7,0)</f>
        <v>0</v>
      </c>
      <c r="K41" s="44">
        <f t="shared" ref="K41:K47" si="197">IF((Q41-J41)&gt;0,(ROUNDUP(((Q41-J41)/6),0)),0)</f>
        <v>0</v>
      </c>
      <c r="L41" s="44">
        <f t="shared" ref="L41:L47" si="198">IF((Q41-J41-K41)&gt;0,(ROUNDUP(((Q41-J41-K41)/5),0)),0)</f>
        <v>0</v>
      </c>
      <c r="M41" s="44">
        <f t="shared" ref="M41:M47" si="199">IF((Q41-J41-K41-L41)&gt;0,(ROUNDUP(((Q41-J41-K41-L41)/4),0)),0)</f>
        <v>0</v>
      </c>
      <c r="N41" s="44">
        <f t="shared" ref="N41:N47" si="200">IF((Q41-J41-K41-L41-M41)&gt;0,(ROUNDUP(((Q41-J41-K41-L41-M41)/3),0)),0)</f>
        <v>0</v>
      </c>
      <c r="O41" s="44">
        <f t="shared" ref="O41:O47" si="201">IF((Q41-J41-K41-L41-M41-N41)&gt;0,(ROUNDUP(((Q41-J41-K41-L41-M41-N41)/2),0)),0)</f>
        <v>0</v>
      </c>
      <c r="P41" s="44">
        <f t="shared" ref="P41:P47" si="202">IF((Q41-J41-K41-L41-M41-N41-O41)&gt;0,(ROUNDUP(((Q41-J41-K41-L41-M41-N41-O41)/1),0)),0)</f>
        <v>0</v>
      </c>
      <c r="Q41" s="43">
        <f>ROUND((VLOOKUP(A41,'Cumulative pupils per year'!$A$3:$S$88,2,FALSE)),0)</f>
        <v>0</v>
      </c>
      <c r="R41" s="46">
        <f t="shared" si="7"/>
        <v>0</v>
      </c>
      <c r="S41" s="46">
        <f t="shared" si="8"/>
        <v>0</v>
      </c>
      <c r="T41" s="46">
        <f t="shared" si="9"/>
        <v>0</v>
      </c>
      <c r="U41" s="46">
        <f t="shared" si="10"/>
        <v>0</v>
      </c>
      <c r="V41" s="46">
        <f t="shared" si="11"/>
        <v>0</v>
      </c>
      <c r="W41" s="46">
        <f t="shared" si="12"/>
        <v>0</v>
      </c>
      <c r="X41" s="46">
        <f t="shared" si="13"/>
        <v>0</v>
      </c>
      <c r="Y41" s="45">
        <f>ROUND((VLOOKUP(A41,'Cumulative pupils per year'!$A$3:$S$88,3,FALSE)),0)</f>
        <v>0</v>
      </c>
      <c r="Z41" s="274">
        <f t="shared" si="14"/>
        <v>1</v>
      </c>
      <c r="AA41" s="274">
        <f t="shared" si="15"/>
        <v>0</v>
      </c>
      <c r="AB41" s="274">
        <f t="shared" si="16"/>
        <v>0</v>
      </c>
      <c r="AC41" s="274">
        <f t="shared" si="17"/>
        <v>0</v>
      </c>
      <c r="AD41" s="274">
        <f t="shared" si="18"/>
        <v>0</v>
      </c>
      <c r="AE41" s="274">
        <f t="shared" si="19"/>
        <v>0</v>
      </c>
      <c r="AF41" s="274">
        <f t="shared" si="20"/>
        <v>0</v>
      </c>
      <c r="AG41" s="43">
        <f>ROUND((VLOOKUP(A41,'Cumulative pupils per year'!$A$3:$S$88,4,FALSE)),0)</f>
        <v>1</v>
      </c>
      <c r="AH41" s="46">
        <f t="shared" si="21"/>
        <v>1</v>
      </c>
      <c r="AI41" s="46">
        <f t="shared" si="22"/>
        <v>1</v>
      </c>
      <c r="AJ41" s="46">
        <f t="shared" si="23"/>
        <v>0</v>
      </c>
      <c r="AK41" s="46">
        <f t="shared" si="24"/>
        <v>0</v>
      </c>
      <c r="AL41" s="46">
        <f t="shared" si="25"/>
        <v>0</v>
      </c>
      <c r="AM41" s="46">
        <f t="shared" si="26"/>
        <v>0</v>
      </c>
      <c r="AN41" s="46">
        <f t="shared" si="27"/>
        <v>0</v>
      </c>
      <c r="AO41" s="45">
        <f>ROUND((VLOOKUP(A41,'Cumulative pupils per year'!$A$3:$S$88,5,FALSE)),0)</f>
        <v>2</v>
      </c>
      <c r="AP41" s="274">
        <f t="shared" si="28"/>
        <v>1</v>
      </c>
      <c r="AQ41" s="274">
        <f t="shared" si="29"/>
        <v>1</v>
      </c>
      <c r="AR41" s="274">
        <f t="shared" si="30"/>
        <v>0</v>
      </c>
      <c r="AS41" s="274">
        <f t="shared" si="31"/>
        <v>0</v>
      </c>
      <c r="AT41" s="274">
        <f t="shared" si="32"/>
        <v>0</v>
      </c>
      <c r="AU41" s="274">
        <f t="shared" si="33"/>
        <v>0</v>
      </c>
      <c r="AV41" s="274">
        <f t="shared" si="34"/>
        <v>0</v>
      </c>
      <c r="AW41" s="43">
        <f>ROUND((VLOOKUP(A41,'Cumulative pupils per year'!$A$3:$S$88,6,FALSE)),0)</f>
        <v>2</v>
      </c>
      <c r="AX41" s="46">
        <f t="shared" si="35"/>
        <v>1</v>
      </c>
      <c r="AY41" s="46">
        <f t="shared" si="36"/>
        <v>1</v>
      </c>
      <c r="AZ41" s="46">
        <f t="shared" si="37"/>
        <v>0</v>
      </c>
      <c r="BA41" s="46">
        <f t="shared" si="38"/>
        <v>0</v>
      </c>
      <c r="BB41" s="46">
        <f t="shared" si="39"/>
        <v>0</v>
      </c>
      <c r="BC41" s="46">
        <f t="shared" si="40"/>
        <v>0</v>
      </c>
      <c r="BD41" s="46">
        <f t="shared" si="41"/>
        <v>0</v>
      </c>
      <c r="BE41" s="45">
        <f>ROUND((VLOOKUP(A41,'Cumulative pupils per year'!$A$3:$S$88,7,FALSE)),0)</f>
        <v>2</v>
      </c>
      <c r="BF41" s="274">
        <f t="shared" si="42"/>
        <v>1</v>
      </c>
      <c r="BG41" s="274">
        <f t="shared" si="43"/>
        <v>1</v>
      </c>
      <c r="BH41" s="274">
        <f t="shared" si="44"/>
        <v>0</v>
      </c>
      <c r="BI41" s="274">
        <f t="shared" si="45"/>
        <v>0</v>
      </c>
      <c r="BJ41" s="274">
        <f t="shared" si="46"/>
        <v>0</v>
      </c>
      <c r="BK41" s="274">
        <f t="shared" si="47"/>
        <v>0</v>
      </c>
      <c r="BL41" s="274">
        <f t="shared" si="48"/>
        <v>0</v>
      </c>
      <c r="BM41" s="43">
        <f>ROUND((VLOOKUP(A41,'Cumulative pupils per year'!$A$3:$S$88,8,FALSE)),0)</f>
        <v>2</v>
      </c>
      <c r="BN41" s="46">
        <f t="shared" si="49"/>
        <v>1</v>
      </c>
      <c r="BO41" s="46">
        <f t="shared" si="50"/>
        <v>1</v>
      </c>
      <c r="BP41" s="46">
        <f t="shared" si="51"/>
        <v>0</v>
      </c>
      <c r="BQ41" s="46">
        <f t="shared" si="52"/>
        <v>0</v>
      </c>
      <c r="BR41" s="46">
        <f t="shared" si="53"/>
        <v>0</v>
      </c>
      <c r="BS41" s="46">
        <f t="shared" si="54"/>
        <v>0</v>
      </c>
      <c r="BT41" s="46">
        <f t="shared" si="55"/>
        <v>0</v>
      </c>
      <c r="BU41" s="45">
        <f>ROUND((VLOOKUP(A41,'Cumulative pupils per year'!$A$3:$S$88,9,FALSE)),0)</f>
        <v>2</v>
      </c>
      <c r="BV41" s="274">
        <f t="shared" si="56"/>
        <v>1</v>
      </c>
      <c r="BW41" s="274">
        <f t="shared" si="57"/>
        <v>1</v>
      </c>
      <c r="BX41" s="274">
        <f t="shared" si="58"/>
        <v>0</v>
      </c>
      <c r="BY41" s="274">
        <f t="shared" si="59"/>
        <v>0</v>
      </c>
      <c r="BZ41" s="274">
        <f t="shared" si="60"/>
        <v>0</v>
      </c>
      <c r="CA41" s="274">
        <f t="shared" si="61"/>
        <v>0</v>
      </c>
      <c r="CB41" s="274">
        <f t="shared" si="62"/>
        <v>0</v>
      </c>
      <c r="CC41" s="43">
        <f>ROUND((VLOOKUP(A41,'Cumulative pupils per year'!$A$3:$S$88,10,FALSE)),0)</f>
        <v>2</v>
      </c>
      <c r="CD41" s="46">
        <f t="shared" si="63"/>
        <v>1</v>
      </c>
      <c r="CE41" s="46">
        <f t="shared" si="64"/>
        <v>1</v>
      </c>
      <c r="CF41" s="46">
        <f t="shared" si="65"/>
        <v>0</v>
      </c>
      <c r="CG41" s="46">
        <f t="shared" si="66"/>
        <v>0</v>
      </c>
      <c r="CH41" s="46">
        <f t="shared" si="67"/>
        <v>0</v>
      </c>
      <c r="CI41" s="46">
        <f t="shared" si="68"/>
        <v>0</v>
      </c>
      <c r="CJ41" s="46">
        <f t="shared" si="69"/>
        <v>0</v>
      </c>
      <c r="CK41" s="45">
        <f>ROUND((VLOOKUP(A41,'Cumulative pupils per year'!$A$3:$S$88,11,FALSE)),0)</f>
        <v>2</v>
      </c>
      <c r="CL41" s="274">
        <f t="shared" si="70"/>
        <v>1</v>
      </c>
      <c r="CM41" s="274">
        <f t="shared" si="71"/>
        <v>1</v>
      </c>
      <c r="CN41" s="274">
        <f t="shared" si="72"/>
        <v>0</v>
      </c>
      <c r="CO41" s="274">
        <f t="shared" si="73"/>
        <v>0</v>
      </c>
      <c r="CP41" s="274">
        <f t="shared" si="74"/>
        <v>0</v>
      </c>
      <c r="CQ41" s="274">
        <f t="shared" si="75"/>
        <v>0</v>
      </c>
      <c r="CR41" s="274">
        <f t="shared" si="76"/>
        <v>0</v>
      </c>
      <c r="CS41" s="291">
        <f>ROUND((VLOOKUP(A41,'Cumulative pupils per year'!$A$3:$S$88,12,FALSE)),0)</f>
        <v>2</v>
      </c>
      <c r="CT41" s="46">
        <f t="shared" si="77"/>
        <v>0</v>
      </c>
      <c r="CU41" s="46">
        <f t="shared" si="78"/>
        <v>0</v>
      </c>
      <c r="CV41" s="46">
        <f t="shared" si="79"/>
        <v>0</v>
      </c>
      <c r="CW41" s="46">
        <f t="shared" si="80"/>
        <v>0</v>
      </c>
      <c r="CX41" s="46">
        <f t="shared" si="81"/>
        <v>0</v>
      </c>
      <c r="CY41" s="46">
        <f t="shared" si="82"/>
        <v>0</v>
      </c>
      <c r="CZ41" s="46">
        <f t="shared" si="83"/>
        <v>0</v>
      </c>
      <c r="DA41" s="45">
        <f>ROUND((VLOOKUP(A41,'Cumulative pupils per year'!$A$3:$S$88,13,FALSE)),0)</f>
        <v>0</v>
      </c>
      <c r="DB41" s="274">
        <f t="shared" si="84"/>
        <v>0</v>
      </c>
      <c r="DC41" s="274">
        <f t="shared" si="85"/>
        <v>0</v>
      </c>
      <c r="DD41" s="274">
        <f t="shared" si="86"/>
        <v>0</v>
      </c>
      <c r="DE41" s="274">
        <f t="shared" si="87"/>
        <v>0</v>
      </c>
      <c r="DF41" s="274">
        <f t="shared" si="88"/>
        <v>0</v>
      </c>
      <c r="DG41" s="274">
        <f t="shared" si="89"/>
        <v>0</v>
      </c>
      <c r="DH41" s="274">
        <f t="shared" si="90"/>
        <v>0</v>
      </c>
      <c r="DI41" s="291">
        <f>ROUND((VLOOKUP(A41,'Cumulative pupils per year'!$A$3:$S$88,14,FALSE)),0)</f>
        <v>0</v>
      </c>
      <c r="DJ41" s="46">
        <f t="shared" si="91"/>
        <v>0</v>
      </c>
      <c r="DK41" s="46">
        <f t="shared" si="92"/>
        <v>0</v>
      </c>
      <c r="DL41" s="46">
        <f t="shared" si="93"/>
        <v>0</v>
      </c>
      <c r="DM41" s="46">
        <f t="shared" si="94"/>
        <v>0</v>
      </c>
      <c r="DN41" s="46">
        <f t="shared" si="95"/>
        <v>0</v>
      </c>
      <c r="DO41" s="46">
        <f t="shared" si="96"/>
        <v>0</v>
      </c>
      <c r="DP41" s="46">
        <f t="shared" si="97"/>
        <v>0</v>
      </c>
      <c r="DQ41" s="45">
        <f>ROUND((VLOOKUP(A41,'Cumulative pupils per year'!$A$3:$S$88,15,FALSE)),0)</f>
        <v>0</v>
      </c>
    </row>
    <row r="42" spans="1:121">
      <c r="A42" s="4" t="s">
        <v>40</v>
      </c>
      <c r="B42" s="46">
        <v>0</v>
      </c>
      <c r="C42" s="46">
        <v>0</v>
      </c>
      <c r="D42" s="46">
        <v>0</v>
      </c>
      <c r="E42" s="46">
        <v>0</v>
      </c>
      <c r="F42" s="46">
        <v>0</v>
      </c>
      <c r="G42" s="46">
        <v>0</v>
      </c>
      <c r="H42" s="46">
        <v>0</v>
      </c>
      <c r="I42" s="45">
        <v>0</v>
      </c>
      <c r="J42" s="44">
        <f t="shared" si="196"/>
        <v>0</v>
      </c>
      <c r="K42" s="44">
        <f t="shared" si="197"/>
        <v>0</v>
      </c>
      <c r="L42" s="44">
        <f t="shared" si="198"/>
        <v>0</v>
      </c>
      <c r="M42" s="44">
        <f t="shared" si="199"/>
        <v>0</v>
      </c>
      <c r="N42" s="44">
        <f t="shared" si="200"/>
        <v>0</v>
      </c>
      <c r="O42" s="44">
        <f t="shared" si="201"/>
        <v>0</v>
      </c>
      <c r="P42" s="44">
        <f t="shared" si="202"/>
        <v>0</v>
      </c>
      <c r="Q42" s="43">
        <f>ROUND((VLOOKUP(A42,'Cumulative pupils per year'!$A$3:$S$88,2,FALSE)),0)</f>
        <v>0</v>
      </c>
      <c r="R42" s="46">
        <f t="shared" si="7"/>
        <v>1</v>
      </c>
      <c r="S42" s="46">
        <f t="shared" si="8"/>
        <v>1</v>
      </c>
      <c r="T42" s="46">
        <f t="shared" si="9"/>
        <v>1</v>
      </c>
      <c r="U42" s="46">
        <f t="shared" si="10"/>
        <v>1</v>
      </c>
      <c r="V42" s="46">
        <f t="shared" si="11"/>
        <v>1</v>
      </c>
      <c r="W42" s="46">
        <f t="shared" si="12"/>
        <v>0</v>
      </c>
      <c r="X42" s="46">
        <f t="shared" si="13"/>
        <v>0</v>
      </c>
      <c r="Y42" s="45">
        <f>ROUND((VLOOKUP(A42,'Cumulative pupils per year'!$A$3:$S$88,3,FALSE)),0)</f>
        <v>5</v>
      </c>
      <c r="Z42" s="274">
        <f t="shared" si="14"/>
        <v>2</v>
      </c>
      <c r="AA42" s="274">
        <f t="shared" si="15"/>
        <v>2</v>
      </c>
      <c r="AB42" s="274">
        <f t="shared" si="16"/>
        <v>2</v>
      </c>
      <c r="AC42" s="274">
        <f t="shared" si="17"/>
        <v>2</v>
      </c>
      <c r="AD42" s="274">
        <f t="shared" si="18"/>
        <v>2</v>
      </c>
      <c r="AE42" s="274">
        <f t="shared" si="19"/>
        <v>2</v>
      </c>
      <c r="AF42" s="274">
        <f t="shared" si="20"/>
        <v>2</v>
      </c>
      <c r="AG42" s="43">
        <f>ROUND((VLOOKUP(A42,'Cumulative pupils per year'!$A$3:$S$88,4,FALSE)),0)</f>
        <v>14</v>
      </c>
      <c r="AH42" s="46">
        <f t="shared" si="21"/>
        <v>4</v>
      </c>
      <c r="AI42" s="46">
        <f t="shared" si="22"/>
        <v>4</v>
      </c>
      <c r="AJ42" s="46">
        <f t="shared" si="23"/>
        <v>3</v>
      </c>
      <c r="AK42" s="46">
        <f t="shared" si="24"/>
        <v>3</v>
      </c>
      <c r="AL42" s="46">
        <f t="shared" si="25"/>
        <v>3</v>
      </c>
      <c r="AM42" s="46">
        <f t="shared" si="26"/>
        <v>3</v>
      </c>
      <c r="AN42" s="46">
        <f t="shared" si="27"/>
        <v>3</v>
      </c>
      <c r="AO42" s="45">
        <f>ROUND((VLOOKUP(A42,'Cumulative pupils per year'!$A$3:$S$88,5,FALSE)),0)</f>
        <v>23</v>
      </c>
      <c r="AP42" s="274">
        <f t="shared" si="28"/>
        <v>5</v>
      </c>
      <c r="AQ42" s="274">
        <f t="shared" si="29"/>
        <v>5</v>
      </c>
      <c r="AR42" s="274">
        <f t="shared" si="30"/>
        <v>4</v>
      </c>
      <c r="AS42" s="274">
        <f t="shared" si="31"/>
        <v>4</v>
      </c>
      <c r="AT42" s="274">
        <f t="shared" si="32"/>
        <v>4</v>
      </c>
      <c r="AU42" s="274">
        <f t="shared" si="33"/>
        <v>4</v>
      </c>
      <c r="AV42" s="274">
        <f t="shared" si="34"/>
        <v>4</v>
      </c>
      <c r="AW42" s="43">
        <f>ROUND((VLOOKUP(A42,'Cumulative pupils per year'!$A$3:$S$88,6,FALSE)),0)</f>
        <v>30</v>
      </c>
      <c r="AX42" s="46">
        <f t="shared" si="35"/>
        <v>5</v>
      </c>
      <c r="AY42" s="46">
        <f t="shared" si="36"/>
        <v>5</v>
      </c>
      <c r="AZ42" s="46">
        <f t="shared" si="37"/>
        <v>4</v>
      </c>
      <c r="BA42" s="46">
        <f t="shared" si="38"/>
        <v>4</v>
      </c>
      <c r="BB42" s="46">
        <f t="shared" si="39"/>
        <v>4</v>
      </c>
      <c r="BC42" s="46">
        <f t="shared" si="40"/>
        <v>4</v>
      </c>
      <c r="BD42" s="46">
        <f t="shared" si="41"/>
        <v>4</v>
      </c>
      <c r="BE42" s="45">
        <f>ROUND((VLOOKUP(A42,'Cumulative pupils per year'!$A$3:$S$88,7,FALSE)),0)</f>
        <v>30</v>
      </c>
      <c r="BF42" s="274">
        <f t="shared" si="42"/>
        <v>5</v>
      </c>
      <c r="BG42" s="274">
        <f t="shared" si="43"/>
        <v>5</v>
      </c>
      <c r="BH42" s="274">
        <f t="shared" si="44"/>
        <v>4</v>
      </c>
      <c r="BI42" s="274">
        <f t="shared" si="45"/>
        <v>4</v>
      </c>
      <c r="BJ42" s="274">
        <f t="shared" si="46"/>
        <v>4</v>
      </c>
      <c r="BK42" s="274">
        <f t="shared" si="47"/>
        <v>4</v>
      </c>
      <c r="BL42" s="274">
        <f t="shared" si="48"/>
        <v>4</v>
      </c>
      <c r="BM42" s="43">
        <f>ROUND((VLOOKUP(A42,'Cumulative pupils per year'!$A$3:$S$88,8,FALSE)),0)</f>
        <v>30</v>
      </c>
      <c r="BN42" s="46">
        <f t="shared" si="49"/>
        <v>5</v>
      </c>
      <c r="BO42" s="46">
        <f t="shared" si="50"/>
        <v>5</v>
      </c>
      <c r="BP42" s="46">
        <f t="shared" si="51"/>
        <v>4</v>
      </c>
      <c r="BQ42" s="46">
        <f t="shared" si="52"/>
        <v>4</v>
      </c>
      <c r="BR42" s="46">
        <f t="shared" si="53"/>
        <v>4</v>
      </c>
      <c r="BS42" s="46">
        <f t="shared" si="54"/>
        <v>4</v>
      </c>
      <c r="BT42" s="46">
        <f t="shared" si="55"/>
        <v>4</v>
      </c>
      <c r="BU42" s="45">
        <f>ROUND((VLOOKUP(A42,'Cumulative pupils per year'!$A$3:$S$88,9,FALSE)),0)</f>
        <v>30</v>
      </c>
      <c r="BV42" s="274">
        <f t="shared" si="56"/>
        <v>5</v>
      </c>
      <c r="BW42" s="274">
        <f t="shared" si="57"/>
        <v>5</v>
      </c>
      <c r="BX42" s="274">
        <f t="shared" si="58"/>
        <v>4</v>
      </c>
      <c r="BY42" s="274">
        <f t="shared" si="59"/>
        <v>4</v>
      </c>
      <c r="BZ42" s="274">
        <f t="shared" si="60"/>
        <v>4</v>
      </c>
      <c r="CA42" s="274">
        <f t="shared" si="61"/>
        <v>4</v>
      </c>
      <c r="CB42" s="274">
        <f t="shared" si="62"/>
        <v>4</v>
      </c>
      <c r="CC42" s="43">
        <f>ROUND((VLOOKUP(A42,'Cumulative pupils per year'!$A$3:$S$88,10,FALSE)),0)</f>
        <v>30</v>
      </c>
      <c r="CD42" s="46">
        <f t="shared" si="63"/>
        <v>5</v>
      </c>
      <c r="CE42" s="46">
        <f t="shared" si="64"/>
        <v>5</v>
      </c>
      <c r="CF42" s="46">
        <f t="shared" si="65"/>
        <v>4</v>
      </c>
      <c r="CG42" s="46">
        <f t="shared" si="66"/>
        <v>4</v>
      </c>
      <c r="CH42" s="46">
        <f t="shared" si="67"/>
        <v>4</v>
      </c>
      <c r="CI42" s="46">
        <f t="shared" si="68"/>
        <v>4</v>
      </c>
      <c r="CJ42" s="46">
        <f t="shared" si="69"/>
        <v>4</v>
      </c>
      <c r="CK42" s="45">
        <f>ROUND((VLOOKUP(A42,'Cumulative pupils per year'!$A$3:$S$88,11,FALSE)),0)</f>
        <v>30</v>
      </c>
      <c r="CL42" s="274">
        <f t="shared" si="70"/>
        <v>6</v>
      </c>
      <c r="CM42" s="274">
        <f t="shared" si="71"/>
        <v>6</v>
      </c>
      <c r="CN42" s="274">
        <f t="shared" si="72"/>
        <v>6</v>
      </c>
      <c r="CO42" s="274">
        <f t="shared" si="73"/>
        <v>6</v>
      </c>
      <c r="CP42" s="274">
        <f t="shared" si="74"/>
        <v>6</v>
      </c>
      <c r="CQ42" s="274">
        <f t="shared" si="75"/>
        <v>5</v>
      </c>
      <c r="CR42" s="274">
        <f t="shared" si="76"/>
        <v>5</v>
      </c>
      <c r="CS42" s="291">
        <f>ROUND((VLOOKUP(A42,'Cumulative pupils per year'!$A$3:$S$88,12,FALSE)),0)</f>
        <v>40</v>
      </c>
      <c r="CT42" s="46">
        <f t="shared" si="77"/>
        <v>8</v>
      </c>
      <c r="CU42" s="46">
        <f t="shared" si="78"/>
        <v>8</v>
      </c>
      <c r="CV42" s="46">
        <f t="shared" si="79"/>
        <v>8</v>
      </c>
      <c r="CW42" s="46">
        <f t="shared" si="80"/>
        <v>8</v>
      </c>
      <c r="CX42" s="46">
        <f t="shared" si="81"/>
        <v>8</v>
      </c>
      <c r="CY42" s="46">
        <f t="shared" si="82"/>
        <v>8</v>
      </c>
      <c r="CZ42" s="46">
        <f t="shared" si="83"/>
        <v>7</v>
      </c>
      <c r="DA42" s="45">
        <f>ROUND((VLOOKUP(A42,'Cumulative pupils per year'!$A$3:$S$88,13,FALSE)),0)</f>
        <v>55</v>
      </c>
      <c r="DB42" s="274">
        <f t="shared" si="84"/>
        <v>10</v>
      </c>
      <c r="DC42" s="274">
        <f t="shared" si="85"/>
        <v>10</v>
      </c>
      <c r="DD42" s="274">
        <f t="shared" si="86"/>
        <v>10</v>
      </c>
      <c r="DE42" s="274">
        <f t="shared" si="87"/>
        <v>10</v>
      </c>
      <c r="DF42" s="274">
        <f t="shared" si="88"/>
        <v>10</v>
      </c>
      <c r="DG42" s="274">
        <f t="shared" si="89"/>
        <v>10</v>
      </c>
      <c r="DH42" s="274">
        <f t="shared" si="90"/>
        <v>10</v>
      </c>
      <c r="DI42" s="291">
        <f>ROUND((VLOOKUP(A42,'Cumulative pupils per year'!$A$3:$S$88,14,FALSE)),0)</f>
        <v>70</v>
      </c>
      <c r="DJ42" s="46">
        <f t="shared" si="91"/>
        <v>13</v>
      </c>
      <c r="DK42" s="46">
        <f t="shared" si="92"/>
        <v>12</v>
      </c>
      <c r="DL42" s="46">
        <f t="shared" si="93"/>
        <v>12</v>
      </c>
      <c r="DM42" s="46">
        <f t="shared" si="94"/>
        <v>12</v>
      </c>
      <c r="DN42" s="46">
        <f t="shared" si="95"/>
        <v>12</v>
      </c>
      <c r="DO42" s="46">
        <f t="shared" si="96"/>
        <v>12</v>
      </c>
      <c r="DP42" s="46">
        <f t="shared" si="97"/>
        <v>12</v>
      </c>
      <c r="DQ42" s="45">
        <f>ROUND((VLOOKUP(A42,'Cumulative pupils per year'!$A$3:$S$88,15,FALSE)),0)</f>
        <v>85</v>
      </c>
    </row>
    <row r="43" spans="1:121">
      <c r="A43" s="275" t="s">
        <v>84</v>
      </c>
      <c r="B43" s="276">
        <v>1</v>
      </c>
      <c r="C43" s="276">
        <v>0</v>
      </c>
      <c r="D43" s="276">
        <v>0</v>
      </c>
      <c r="E43" s="276">
        <v>0</v>
      </c>
      <c r="F43" s="276">
        <v>0</v>
      </c>
      <c r="G43" s="276">
        <v>0</v>
      </c>
      <c r="H43" s="276">
        <v>0</v>
      </c>
      <c r="I43" s="277">
        <v>1</v>
      </c>
      <c r="J43" s="44">
        <f t="shared" ref="J43" si="203">ROUNDUP(Q43/7,0)</f>
        <v>1</v>
      </c>
      <c r="K43" s="44">
        <f t="shared" ref="K43" si="204">IF((Q43-J43)&gt;0,(ROUNDUP(((Q43-J43)/6),0)),0)</f>
        <v>0</v>
      </c>
      <c r="L43" s="44">
        <f t="shared" ref="L43" si="205">IF((Q43-J43-K43)&gt;0,(ROUNDUP(((Q43-J43-K43)/5),0)),0)</f>
        <v>0</v>
      </c>
      <c r="M43" s="44">
        <f t="shared" ref="M43" si="206">IF((Q43-J43-K43-L43)&gt;0,(ROUNDUP(((Q43-J43-K43-L43)/4),0)),0)</f>
        <v>0</v>
      </c>
      <c r="N43" s="44">
        <f t="shared" ref="N43" si="207">IF((Q43-J43-K43-L43-M43)&gt;0,(ROUNDUP(((Q43-J43-K43-L43-M43)/3),0)),0)</f>
        <v>0</v>
      </c>
      <c r="O43" s="44">
        <f t="shared" ref="O43" si="208">IF((Q43-J43-K43-L43-M43-N43)&gt;0,(ROUNDUP(((Q43-J43-K43-L43-M43-N43)/2),0)),0)</f>
        <v>0</v>
      </c>
      <c r="P43" s="44">
        <f t="shared" ref="P43" si="209">IF((Q43-J43-K43-L43-M43-N43-O43)&gt;0,(ROUNDUP(((Q43-J43-K43-L43-M43-N43-O43)/1),0)),0)</f>
        <v>0</v>
      </c>
      <c r="Q43" s="43">
        <f>ROUND((VLOOKUP(A43,'Cumulative pupils per year'!$A$3:$S$88,2,FALSE)),0)</f>
        <v>1</v>
      </c>
      <c r="R43" s="46">
        <f t="shared" ref="R43" si="210">ROUNDUP(Y43/7,0)</f>
        <v>1</v>
      </c>
      <c r="S43" s="46">
        <f t="shared" ref="S43" si="211">IF((Y43-R43)&gt;0,(ROUNDUP(((Y43-R43)/6),0)),0)</f>
        <v>1</v>
      </c>
      <c r="T43" s="46">
        <f t="shared" ref="T43" si="212">IF((Y43-R43-S43)&gt;0,(ROUNDUP(((Y43-R43-S43)/5),0)),0)</f>
        <v>1</v>
      </c>
      <c r="U43" s="46">
        <f t="shared" ref="U43" si="213">IF((Y43-R43-S43-T43)&gt;0,(ROUNDUP(((Y43-R43-S43-T43)/4),0)),0)</f>
        <v>1</v>
      </c>
      <c r="V43" s="46">
        <f t="shared" ref="V43" si="214">IF((Y43-R43-S43-T43-U43)&gt;0,(ROUNDUP(((Y43-R43-S43-T43-U43)/3),0)),0)</f>
        <v>0</v>
      </c>
      <c r="W43" s="46">
        <f t="shared" ref="W43" si="215">IF((Y43-R43-S43-T43-U43-V43)&gt;0,(ROUNDUP(((Y43-R43-S43-T43-U43-V43)/2),0)),0)</f>
        <v>0</v>
      </c>
      <c r="X43" s="46">
        <f t="shared" ref="X43" si="216">IF((Y43-R43-S43-T43-U43-V43-W43)&gt;0,(ROUNDUP(((Y43-R43-S43-T43-U43-V43-W43)/1),0)),0)</f>
        <v>0</v>
      </c>
      <c r="Y43" s="45">
        <f>ROUND((VLOOKUP(A43,'Cumulative pupils per year'!$A$3:$S$88,3,FALSE)),0)</f>
        <v>4</v>
      </c>
      <c r="Z43" s="274">
        <f t="shared" ref="Z43" si="217">ROUNDUP(AG43/7,0)</f>
        <v>1</v>
      </c>
      <c r="AA43" s="274">
        <f t="shared" ref="AA43" si="218">IF((AG43-Z43)&gt;0,(ROUNDUP(((AG43-Z43)/6),0)),0)</f>
        <v>1</v>
      </c>
      <c r="AB43" s="274">
        <f t="shared" ref="AB43" si="219">IF((AG43-Z43-AA43)&gt;0,(ROUNDUP(((AG43-Z43-AA43)/5),0)),0)</f>
        <v>1</v>
      </c>
      <c r="AC43" s="274">
        <f t="shared" ref="AC43" si="220">IF((AG43-Z43-AA43-AB43)&gt;0,(ROUNDUP(((AG43-Z43-AA43-AB43)/4),0)),0)</f>
        <v>1</v>
      </c>
      <c r="AD43" s="274">
        <f t="shared" ref="AD43" si="221">IF((AG43-Z43-AA43-AB43-AC43)&gt;0,(ROUNDUP(((AG43-Z43-AA43-AB43-AC43)/3),0)),0)</f>
        <v>1</v>
      </c>
      <c r="AE43" s="274">
        <f t="shared" ref="AE43" si="222">IF((AG43-Z43-AA43-AB43-AC43-AD43)&gt;0,(ROUNDUP(((AG43-Z43-AA43-AB43-AC43-AD43)/2),0)),0)</f>
        <v>1</v>
      </c>
      <c r="AF43" s="274">
        <f t="shared" ref="AF43" si="223">IF((AG43-Z43-AA43-AB43-AC43-AD43-AE43)&gt;0,(ROUNDUP(((AG43-Z43-AA43-AB43-AC43-AD43-AE43)/1),0)),0)</f>
        <v>1</v>
      </c>
      <c r="AG43" s="43">
        <f>ROUND((VLOOKUP(A43,'Cumulative pupils per year'!$A$3:$S$88,4,FALSE)),0)</f>
        <v>7</v>
      </c>
      <c r="AH43" s="46">
        <f t="shared" ref="AH43" si="224">ROUNDUP(AO43/7,0)</f>
        <v>2</v>
      </c>
      <c r="AI43" s="46">
        <f t="shared" ref="AI43" si="225">IF((AO43-AH43)&gt;0,(ROUNDUP(((AO43-AH43)/6),0)),0)</f>
        <v>2</v>
      </c>
      <c r="AJ43" s="46">
        <f t="shared" ref="AJ43" si="226">IF((AO43-AH43-AI43)&gt;0,(ROUNDUP(((AO43-AH43-AI43)/5),0)),0)</f>
        <v>1</v>
      </c>
      <c r="AK43" s="46">
        <f t="shared" ref="AK43" si="227">IF((AO43-AH43-AI43-AJ43)&gt;0,(ROUNDUP(((AO43-AH43-AI43-AJ43)/4),0)),0)</f>
        <v>1</v>
      </c>
      <c r="AL43" s="46">
        <f t="shared" ref="AL43" si="228">IF((AO43-AH43-AI43-AJ43-AK43)&gt;0,(ROUNDUP(((AO43-AH43-AI43-AJ43-AK43)/3),0)),0)</f>
        <v>1</v>
      </c>
      <c r="AM43" s="46">
        <f t="shared" ref="AM43" si="229">IF((AO43-AH43-AI43-AJ43-AK43-AL43)&gt;0,(ROUNDUP(((AO43-AH43-AI43-AJ43-AK43-AL43)/2),0)),0)</f>
        <v>1</v>
      </c>
      <c r="AN43" s="46">
        <f t="shared" ref="AN43" si="230">IF((AO43-AH43-AI43-AJ43-AK43-AL43-AM43)&gt;0,(ROUNDUP(((AO43-AH43-AI43-AJ43-AK43-AL43-AM43)/1),0)),0)</f>
        <v>1</v>
      </c>
      <c r="AO43" s="45">
        <f>ROUND((VLOOKUP(A43,'Cumulative pupils per year'!$A$3:$S$88,5,FALSE)),0)</f>
        <v>9</v>
      </c>
      <c r="AP43" s="274">
        <f t="shared" ref="AP43" si="231">ROUNDUP(AW43/7,0)</f>
        <v>2</v>
      </c>
      <c r="AQ43" s="274">
        <f t="shared" ref="AQ43" si="232">IF((AW43-AP43)&gt;0,(ROUNDUP(((AW43-AP43)/6),0)),0)</f>
        <v>2</v>
      </c>
      <c r="AR43" s="274">
        <f t="shared" ref="AR43" si="233">IF((AW43-AP43-AQ43)&gt;0,(ROUNDUP(((AW43-AP43-AQ43)/5),0)),0)</f>
        <v>2</v>
      </c>
      <c r="AS43" s="274">
        <f t="shared" ref="AS43" si="234">IF((AW43-AP43-AQ43-AR43)&gt;0,(ROUNDUP(((AW43-AP43-AQ43-AR43)/4),0)),0)</f>
        <v>2</v>
      </c>
      <c r="AT43" s="274">
        <f t="shared" ref="AT43" si="235">IF((AW43-AP43-AQ43-AR43-AS43)&gt;0,(ROUNDUP(((AW43-AP43-AQ43-AR43-AS43)/3),0)),0)</f>
        <v>1</v>
      </c>
      <c r="AU43" s="274">
        <f t="shared" ref="AU43" si="236">IF((AW43-AP43-AQ43-AR43-AS43-AT43)&gt;0,(ROUNDUP(((AW43-AP43-AQ43-AR43-AS43-AT43)/2),0)),0)</f>
        <v>1</v>
      </c>
      <c r="AV43" s="274">
        <f t="shared" ref="AV43" si="237">IF((AW43-AP43-AQ43-AR43-AS43-AT43-AU43)&gt;0,(ROUNDUP(((AW43-AP43-AQ43-AR43-AS43-AT43-AU43)/1),0)),0)</f>
        <v>1</v>
      </c>
      <c r="AW43" s="43">
        <f>ROUND((VLOOKUP(A43,'Cumulative pupils per year'!$A$3:$S$88,6,FALSE)),0)</f>
        <v>11</v>
      </c>
      <c r="AX43" s="46">
        <f t="shared" ref="AX43" si="238">ROUNDUP(BE43/7,0)</f>
        <v>3</v>
      </c>
      <c r="AY43" s="46">
        <f t="shared" ref="AY43" si="239">IF((BE43-AX43)&gt;0,(ROUNDUP(((BE43-AX43)/6),0)),0)</f>
        <v>3</v>
      </c>
      <c r="AZ43" s="46">
        <f t="shared" ref="AZ43" si="240">IF((BE43-AX43-AY43)&gt;0,(ROUNDUP(((BE43-AX43-AY43)/5),0)),0)</f>
        <v>2</v>
      </c>
      <c r="BA43" s="46">
        <f t="shared" ref="BA43" si="241">IF((BE43-AX43-AY43-AZ43)&gt;0,(ROUNDUP(((BE43-AX43-AY43-AZ43)/4),0)),0)</f>
        <v>2</v>
      </c>
      <c r="BB43" s="46">
        <f t="shared" ref="BB43" si="242">IF((BE43-AX43-AY43-AZ43-BA43)&gt;0,(ROUNDUP(((BE43-AX43-AY43-AZ43-BA43)/3),0)),0)</f>
        <v>2</v>
      </c>
      <c r="BC43" s="46">
        <f t="shared" ref="BC43" si="243">IF((BE43-AX43-AY43-AZ43-BA43-BB43)&gt;0,(ROUNDUP(((BE43-AX43-AY43-AZ43-BA43-BB43)/2),0)),0)</f>
        <v>2</v>
      </c>
      <c r="BD43" s="46">
        <f t="shared" ref="BD43" si="244">IF((BE43-AX43-AY43-AZ43-BA43-BB43-BC43)&gt;0,(ROUNDUP(((BE43-AX43-AY43-AZ43-BA43-BB43-BC43)/1),0)),0)</f>
        <v>2</v>
      </c>
      <c r="BE43" s="45">
        <f>ROUND((VLOOKUP(A43,'Cumulative pupils per year'!$A$3:$S$88,7,FALSE)),0)</f>
        <v>16</v>
      </c>
      <c r="BF43" s="274">
        <f t="shared" ref="BF43" si="245">ROUNDUP(BM43/7,0)</f>
        <v>4</v>
      </c>
      <c r="BG43" s="274">
        <f t="shared" ref="BG43" si="246">IF((BM43-BF43)&gt;0,(ROUNDUP(((BM43-BF43)/6),0)),0)</f>
        <v>3</v>
      </c>
      <c r="BH43" s="274">
        <f t="shared" ref="BH43" si="247">IF((BM43-BF43-BG43)&gt;0,(ROUNDUP(((BM43-BF43-BG43)/5),0)),0)</f>
        <v>3</v>
      </c>
      <c r="BI43" s="274">
        <f t="shared" ref="BI43" si="248">IF((BM43-BF43-BG43-BH43)&gt;0,(ROUNDUP(((BM43-BF43-BG43-BH43)/4),0)),0)</f>
        <v>3</v>
      </c>
      <c r="BJ43" s="274">
        <f t="shared" ref="BJ43" si="249">IF((BM43-BF43-BG43-BH43-BI43)&gt;0,(ROUNDUP(((BM43-BF43-BG43-BH43-BI43)/3),0)),0)</f>
        <v>3</v>
      </c>
      <c r="BK43" s="274">
        <f t="shared" ref="BK43" si="250">IF((BM43-BF43-BG43-BH43-BI43-BJ43)&gt;0,(ROUNDUP(((BM43-BF43-BG43-BH43-BI43-BJ43)/2),0)),0)</f>
        <v>3</v>
      </c>
      <c r="BL43" s="274">
        <f t="shared" ref="BL43" si="251">IF((BM43-BF43-BG43-BH43-BI43-BJ43-BK43)&gt;0,(ROUNDUP(((BM43-BF43-BG43-BH43-BI43-BJ43-BK43)/1),0)),0)</f>
        <v>3</v>
      </c>
      <c r="BM43" s="43">
        <f>ROUND((VLOOKUP(A43,'Cumulative pupils per year'!$A$3:$S$88,8,FALSE)),0)</f>
        <v>22</v>
      </c>
      <c r="BN43" s="46">
        <f t="shared" ref="BN43" si="252">ROUNDUP(BU43/7,0)</f>
        <v>4</v>
      </c>
      <c r="BO43" s="46">
        <f t="shared" ref="BO43" si="253">IF((BU43-BN43)&gt;0,(ROUNDUP(((BU43-BN43)/6),0)),0)</f>
        <v>4</v>
      </c>
      <c r="BP43" s="46">
        <f t="shared" ref="BP43" si="254">IF((BU43-BN43-BO43)&gt;0,(ROUNDUP(((BU43-BN43-BO43)/5),0)),0)</f>
        <v>4</v>
      </c>
      <c r="BQ43" s="46">
        <f t="shared" ref="BQ43" si="255">IF((BU43-BN43-BO43-BP43)&gt;0,(ROUNDUP(((BU43-BN43-BO43-BP43)/4),0)),0)</f>
        <v>4</v>
      </c>
      <c r="BR43" s="46">
        <f t="shared" ref="BR43" si="256">IF((BU43-BN43-BO43-BP43-BQ43)&gt;0,(ROUNDUP(((BU43-BN43-BO43-BP43-BQ43)/3),0)),0)</f>
        <v>4</v>
      </c>
      <c r="BS43" s="46">
        <f t="shared" ref="BS43" si="257">IF((BU43-BN43-BO43-BP43-BQ43-BR43)&gt;0,(ROUNDUP(((BU43-BN43-BO43-BP43-BQ43-BR43)/2),0)),0)</f>
        <v>4</v>
      </c>
      <c r="BT43" s="46">
        <f t="shared" ref="BT43" si="258">IF((BU43-BN43-BO43-BP43-BQ43-BR43-BS43)&gt;0,(ROUNDUP(((BU43-BN43-BO43-BP43-BQ43-BR43-BS43)/1),0)),0)</f>
        <v>4</v>
      </c>
      <c r="BU43" s="45">
        <f>ROUND((VLOOKUP(A43,'Cumulative pupils per year'!$A$3:$S$88,9,FALSE)),0)</f>
        <v>28</v>
      </c>
      <c r="BV43" s="274">
        <f t="shared" ref="BV43" si="259">ROUNDUP(CC43/7,0)</f>
        <v>5</v>
      </c>
      <c r="BW43" s="274">
        <f t="shared" ref="BW43" si="260">IF((CC43-BV43)&gt;0,(ROUNDUP(((CC43-BV43)/6),0)),0)</f>
        <v>5</v>
      </c>
      <c r="BX43" s="274">
        <f t="shared" ref="BX43" si="261">IF((CC43-BV43-BW43)&gt;0,(ROUNDUP(((CC43-BV43-BW43)/5),0)),0)</f>
        <v>5</v>
      </c>
      <c r="BY43" s="274">
        <f t="shared" ref="BY43" si="262">IF((CC43-BV43-BW43-BX43)&gt;0,(ROUNDUP(((CC43-BV43-BW43-BX43)/4),0)),0)</f>
        <v>5</v>
      </c>
      <c r="BZ43" s="274">
        <f t="shared" ref="BZ43" si="263">IF((CC43-BV43-BW43-BX43-BY43)&gt;0,(ROUNDUP(((CC43-BV43-BW43-BX43-BY43)/3),0)),0)</f>
        <v>5</v>
      </c>
      <c r="CA43" s="274">
        <f t="shared" ref="CA43" si="264">IF((CC43-BV43-BW43-BX43-BY43-BZ43)&gt;0,(ROUNDUP(((CC43-BV43-BW43-BX43-BY43-BZ43)/2),0)),0)</f>
        <v>4</v>
      </c>
      <c r="CB43" s="274">
        <f t="shared" ref="CB43" si="265">IF((CC43-BV43-BW43-BX43-BY43-BZ43-CA43)&gt;0,(ROUNDUP(((CC43-BV43-BW43-BX43-BY43-BZ43-CA43)/1),0)),0)</f>
        <v>4</v>
      </c>
      <c r="CC43" s="43">
        <f>ROUND((VLOOKUP(A43,'Cumulative pupils per year'!$A$3:$S$88,10,FALSE)),0)</f>
        <v>33</v>
      </c>
      <c r="CD43" s="46">
        <f t="shared" ref="CD43" si="266">ROUNDUP(CK43/7,0)</f>
        <v>6</v>
      </c>
      <c r="CE43" s="46">
        <f t="shared" ref="CE43" si="267">IF((CK43-CD43)&gt;0,(ROUNDUP(((CK43-CD43)/6),0)),0)</f>
        <v>6</v>
      </c>
      <c r="CF43" s="46">
        <f t="shared" ref="CF43" si="268">IF((CK43-CD43-CE43)&gt;0,(ROUNDUP(((CK43-CD43-CE43)/5),0)),0)</f>
        <v>6</v>
      </c>
      <c r="CG43" s="46">
        <f t="shared" ref="CG43" si="269">IF((CK43-CD43-CE43-CF43)&gt;0,(ROUNDUP(((CK43-CD43-CE43-CF43)/4),0)),0)</f>
        <v>6</v>
      </c>
      <c r="CH43" s="46">
        <f t="shared" ref="CH43" si="270">IF((CK43-CD43-CE43-CF43-CG43)&gt;0,(ROUNDUP(((CK43-CD43-CE43-CF43-CG43)/3),0)),0)</f>
        <v>6</v>
      </c>
      <c r="CI43" s="46">
        <f t="shared" ref="CI43" si="271">IF((CK43-CD43-CE43-CF43-CG43-CH43)&gt;0,(ROUNDUP(((CK43-CD43-CE43-CF43-CG43-CH43)/2),0)),0)</f>
        <v>5</v>
      </c>
      <c r="CJ43" s="46">
        <f t="shared" ref="CJ43" si="272">IF((CK43-CD43-CE43-CF43-CG43-CH43-CI43)&gt;0,(ROUNDUP(((CK43-CD43-CE43-CF43-CG43-CH43-CI43)/1),0)),0)</f>
        <v>5</v>
      </c>
      <c r="CK43" s="45">
        <f>ROUND((VLOOKUP(A43,'Cumulative pupils per year'!$A$3:$S$88,11,FALSE)),0)</f>
        <v>40</v>
      </c>
      <c r="CL43" s="274">
        <f t="shared" si="70"/>
        <v>6</v>
      </c>
      <c r="CM43" s="274">
        <f t="shared" si="71"/>
        <v>6</v>
      </c>
      <c r="CN43" s="274">
        <f t="shared" si="72"/>
        <v>6</v>
      </c>
      <c r="CO43" s="274">
        <f t="shared" si="73"/>
        <v>6</v>
      </c>
      <c r="CP43" s="274">
        <f t="shared" si="74"/>
        <v>6</v>
      </c>
      <c r="CQ43" s="274">
        <f t="shared" si="75"/>
        <v>6</v>
      </c>
      <c r="CR43" s="274">
        <f t="shared" si="76"/>
        <v>6</v>
      </c>
      <c r="CS43" s="291">
        <f>ROUND((VLOOKUP(A43,'Cumulative pupils per year'!$A$3:$S$88,12,FALSE)),0)</f>
        <v>42</v>
      </c>
      <c r="CT43" s="46">
        <f t="shared" si="77"/>
        <v>7</v>
      </c>
      <c r="CU43" s="46">
        <f t="shared" si="78"/>
        <v>7</v>
      </c>
      <c r="CV43" s="46">
        <f t="shared" si="79"/>
        <v>6</v>
      </c>
      <c r="CW43" s="46">
        <f t="shared" si="80"/>
        <v>6</v>
      </c>
      <c r="CX43" s="46">
        <f t="shared" si="81"/>
        <v>6</v>
      </c>
      <c r="CY43" s="46">
        <f t="shared" si="82"/>
        <v>6</v>
      </c>
      <c r="CZ43" s="46">
        <f t="shared" si="83"/>
        <v>6</v>
      </c>
      <c r="DA43" s="45">
        <f>ROUND((VLOOKUP(A43,'Cumulative pupils per year'!$A$3:$S$88,13,FALSE)),0)</f>
        <v>44</v>
      </c>
      <c r="DB43" s="274">
        <f t="shared" si="84"/>
        <v>7</v>
      </c>
      <c r="DC43" s="274">
        <f t="shared" si="85"/>
        <v>7</v>
      </c>
      <c r="DD43" s="274">
        <f t="shared" si="86"/>
        <v>7</v>
      </c>
      <c r="DE43" s="274">
        <f t="shared" si="87"/>
        <v>7</v>
      </c>
      <c r="DF43" s="274">
        <f t="shared" si="88"/>
        <v>6</v>
      </c>
      <c r="DG43" s="274">
        <f t="shared" si="89"/>
        <v>6</v>
      </c>
      <c r="DH43" s="274">
        <f t="shared" si="90"/>
        <v>6</v>
      </c>
      <c r="DI43" s="291">
        <f>ROUND((VLOOKUP(A43,'Cumulative pupils per year'!$A$3:$S$88,14,FALSE)),0)</f>
        <v>46</v>
      </c>
      <c r="DJ43" s="46">
        <f t="shared" si="91"/>
        <v>7</v>
      </c>
      <c r="DK43" s="46">
        <f t="shared" si="92"/>
        <v>7</v>
      </c>
      <c r="DL43" s="46">
        <f t="shared" si="93"/>
        <v>7</v>
      </c>
      <c r="DM43" s="46">
        <f t="shared" si="94"/>
        <v>7</v>
      </c>
      <c r="DN43" s="46">
        <f t="shared" si="95"/>
        <v>7</v>
      </c>
      <c r="DO43" s="46">
        <f t="shared" si="96"/>
        <v>7</v>
      </c>
      <c r="DP43" s="46">
        <f t="shared" si="97"/>
        <v>6</v>
      </c>
      <c r="DQ43" s="45">
        <f>ROUND((VLOOKUP(A43,'Cumulative pupils per year'!$A$3:$S$88,15,FALSE)),0)</f>
        <v>48</v>
      </c>
    </row>
    <row r="44" spans="1:121">
      <c r="A44" s="4" t="s">
        <v>41</v>
      </c>
      <c r="B44" s="46">
        <v>0</v>
      </c>
      <c r="C44" s="46">
        <v>0</v>
      </c>
      <c r="D44" s="46">
        <v>0</v>
      </c>
      <c r="E44" s="46">
        <v>0</v>
      </c>
      <c r="F44" s="46">
        <v>0</v>
      </c>
      <c r="G44" s="46">
        <v>0</v>
      </c>
      <c r="H44" s="46">
        <v>0</v>
      </c>
      <c r="I44" s="45">
        <v>0</v>
      </c>
      <c r="J44" s="44">
        <f t="shared" si="196"/>
        <v>0</v>
      </c>
      <c r="K44" s="44">
        <f t="shared" si="197"/>
        <v>0</v>
      </c>
      <c r="L44" s="44">
        <f t="shared" si="198"/>
        <v>0</v>
      </c>
      <c r="M44" s="44">
        <f t="shared" si="199"/>
        <v>0</v>
      </c>
      <c r="N44" s="44">
        <f t="shared" si="200"/>
        <v>0</v>
      </c>
      <c r="O44" s="44">
        <f t="shared" si="201"/>
        <v>0</v>
      </c>
      <c r="P44" s="44">
        <f t="shared" si="202"/>
        <v>0</v>
      </c>
      <c r="Q44" s="43">
        <f>ROUND((VLOOKUP(A44,'Cumulative pupils per year'!$A$3:$S$88,2,FALSE)),0)</f>
        <v>0</v>
      </c>
      <c r="R44" s="46">
        <f t="shared" si="7"/>
        <v>0</v>
      </c>
      <c r="S44" s="46">
        <f t="shared" si="8"/>
        <v>0</v>
      </c>
      <c r="T44" s="46">
        <f t="shared" si="9"/>
        <v>0</v>
      </c>
      <c r="U44" s="46">
        <f t="shared" si="10"/>
        <v>0</v>
      </c>
      <c r="V44" s="46">
        <f t="shared" si="11"/>
        <v>0</v>
      </c>
      <c r="W44" s="46">
        <f t="shared" si="12"/>
        <v>0</v>
      </c>
      <c r="X44" s="46">
        <f t="shared" si="13"/>
        <v>0</v>
      </c>
      <c r="Y44" s="45">
        <f>ROUND((VLOOKUP(A44,'Cumulative pupils per year'!$A$3:$S$88,3,FALSE)),0)</f>
        <v>0</v>
      </c>
      <c r="Z44" s="274">
        <f t="shared" si="14"/>
        <v>0</v>
      </c>
      <c r="AA44" s="274">
        <f t="shared" si="15"/>
        <v>0</v>
      </c>
      <c r="AB44" s="274">
        <f t="shared" si="16"/>
        <v>0</v>
      </c>
      <c r="AC44" s="274">
        <f t="shared" si="17"/>
        <v>0</v>
      </c>
      <c r="AD44" s="274">
        <f t="shared" si="18"/>
        <v>0</v>
      </c>
      <c r="AE44" s="274">
        <f t="shared" si="19"/>
        <v>0</v>
      </c>
      <c r="AF44" s="274">
        <f t="shared" si="20"/>
        <v>0</v>
      </c>
      <c r="AG44" s="43">
        <f>ROUND((VLOOKUP(A44,'Cumulative pupils per year'!$A$3:$S$88,4,FALSE)),0)</f>
        <v>0</v>
      </c>
      <c r="AH44" s="46">
        <f t="shared" si="21"/>
        <v>0</v>
      </c>
      <c r="AI44" s="46">
        <f t="shared" si="22"/>
        <v>0</v>
      </c>
      <c r="AJ44" s="46">
        <f t="shared" si="23"/>
        <v>0</v>
      </c>
      <c r="AK44" s="46">
        <f t="shared" si="24"/>
        <v>0</v>
      </c>
      <c r="AL44" s="46">
        <f t="shared" si="25"/>
        <v>0</v>
      </c>
      <c r="AM44" s="46">
        <f t="shared" si="26"/>
        <v>0</v>
      </c>
      <c r="AN44" s="46">
        <f t="shared" si="27"/>
        <v>0</v>
      </c>
      <c r="AO44" s="45">
        <f>ROUND((VLOOKUP(A44,'Cumulative pupils per year'!$A$3:$S$88,5,FALSE)),0)</f>
        <v>0</v>
      </c>
      <c r="AP44" s="274">
        <f t="shared" si="28"/>
        <v>0</v>
      </c>
      <c r="AQ44" s="274">
        <f t="shared" si="29"/>
        <v>0</v>
      </c>
      <c r="AR44" s="274">
        <f t="shared" si="30"/>
        <v>0</v>
      </c>
      <c r="AS44" s="274">
        <f t="shared" si="31"/>
        <v>0</v>
      </c>
      <c r="AT44" s="274">
        <f t="shared" si="32"/>
        <v>0</v>
      </c>
      <c r="AU44" s="274">
        <f t="shared" si="33"/>
        <v>0</v>
      </c>
      <c r="AV44" s="274">
        <f t="shared" si="34"/>
        <v>0</v>
      </c>
      <c r="AW44" s="43">
        <f>ROUND((VLOOKUP(A44,'Cumulative pupils per year'!$A$3:$S$88,6,FALSE)),0)</f>
        <v>0</v>
      </c>
      <c r="AX44" s="46">
        <f t="shared" si="35"/>
        <v>2</v>
      </c>
      <c r="AY44" s="46">
        <f t="shared" si="36"/>
        <v>2</v>
      </c>
      <c r="AZ44" s="46">
        <f t="shared" si="37"/>
        <v>2</v>
      </c>
      <c r="BA44" s="46">
        <f t="shared" si="38"/>
        <v>2</v>
      </c>
      <c r="BB44" s="46">
        <f t="shared" si="39"/>
        <v>2</v>
      </c>
      <c r="BC44" s="46">
        <f t="shared" si="40"/>
        <v>2</v>
      </c>
      <c r="BD44" s="46">
        <f t="shared" si="41"/>
        <v>2</v>
      </c>
      <c r="BE44" s="45">
        <f>ROUND((VLOOKUP(A44,'Cumulative pupils per year'!$A$3:$S$88,7,FALSE)),0)</f>
        <v>14</v>
      </c>
      <c r="BF44" s="274">
        <f t="shared" si="42"/>
        <v>4</v>
      </c>
      <c r="BG44" s="274">
        <f t="shared" si="43"/>
        <v>4</v>
      </c>
      <c r="BH44" s="274">
        <f t="shared" si="44"/>
        <v>4</v>
      </c>
      <c r="BI44" s="274">
        <f t="shared" si="45"/>
        <v>3</v>
      </c>
      <c r="BJ44" s="274">
        <f t="shared" si="46"/>
        <v>3</v>
      </c>
      <c r="BK44" s="274">
        <f t="shared" si="47"/>
        <v>3</v>
      </c>
      <c r="BL44" s="274">
        <f t="shared" si="48"/>
        <v>3</v>
      </c>
      <c r="BM44" s="43">
        <f>ROUND((VLOOKUP(A44,'Cumulative pupils per year'!$A$3:$S$88,8,FALSE)),0)</f>
        <v>24</v>
      </c>
      <c r="BN44" s="46">
        <f t="shared" si="49"/>
        <v>5</v>
      </c>
      <c r="BO44" s="46">
        <f t="shared" si="50"/>
        <v>5</v>
      </c>
      <c r="BP44" s="46">
        <f t="shared" si="51"/>
        <v>5</v>
      </c>
      <c r="BQ44" s="46">
        <f t="shared" si="52"/>
        <v>5</v>
      </c>
      <c r="BR44" s="46">
        <f t="shared" si="53"/>
        <v>5</v>
      </c>
      <c r="BS44" s="46">
        <f t="shared" si="54"/>
        <v>5</v>
      </c>
      <c r="BT44" s="46">
        <f t="shared" si="55"/>
        <v>4</v>
      </c>
      <c r="BU44" s="45">
        <f>ROUND((VLOOKUP(A44,'Cumulative pupils per year'!$A$3:$S$88,9,FALSE)),0)</f>
        <v>34</v>
      </c>
      <c r="BV44" s="274">
        <f t="shared" si="56"/>
        <v>7</v>
      </c>
      <c r="BW44" s="274">
        <f t="shared" si="57"/>
        <v>7</v>
      </c>
      <c r="BX44" s="274">
        <f t="shared" si="58"/>
        <v>6</v>
      </c>
      <c r="BY44" s="274">
        <f t="shared" si="59"/>
        <v>6</v>
      </c>
      <c r="BZ44" s="274">
        <f t="shared" si="60"/>
        <v>6</v>
      </c>
      <c r="CA44" s="274">
        <f t="shared" si="61"/>
        <v>6</v>
      </c>
      <c r="CB44" s="274">
        <f t="shared" si="62"/>
        <v>6</v>
      </c>
      <c r="CC44" s="43">
        <f>ROUND((VLOOKUP(A44,'Cumulative pupils per year'!$A$3:$S$88,10,FALSE)),0)</f>
        <v>44</v>
      </c>
      <c r="CD44" s="46">
        <f t="shared" si="63"/>
        <v>8</v>
      </c>
      <c r="CE44" s="46">
        <f t="shared" si="64"/>
        <v>8</v>
      </c>
      <c r="CF44" s="46">
        <f t="shared" si="65"/>
        <v>8</v>
      </c>
      <c r="CG44" s="46">
        <f t="shared" si="66"/>
        <v>8</v>
      </c>
      <c r="CH44" s="46">
        <f t="shared" si="67"/>
        <v>8</v>
      </c>
      <c r="CI44" s="46">
        <f t="shared" si="68"/>
        <v>7</v>
      </c>
      <c r="CJ44" s="46">
        <f t="shared" si="69"/>
        <v>7</v>
      </c>
      <c r="CK44" s="45">
        <f>ROUND((VLOOKUP(A44,'Cumulative pupils per year'!$A$3:$S$88,11,FALSE)),0)</f>
        <v>54</v>
      </c>
      <c r="CL44" s="274">
        <f t="shared" si="70"/>
        <v>8</v>
      </c>
      <c r="CM44" s="274">
        <f t="shared" si="71"/>
        <v>8</v>
      </c>
      <c r="CN44" s="274">
        <f t="shared" si="72"/>
        <v>8</v>
      </c>
      <c r="CO44" s="274">
        <f t="shared" si="73"/>
        <v>8</v>
      </c>
      <c r="CP44" s="274">
        <f t="shared" si="74"/>
        <v>8</v>
      </c>
      <c r="CQ44" s="274">
        <f t="shared" si="75"/>
        <v>8</v>
      </c>
      <c r="CR44" s="274">
        <f t="shared" si="76"/>
        <v>8</v>
      </c>
      <c r="CS44" s="291">
        <f>ROUND((VLOOKUP(A44,'Cumulative pupils per year'!$A$3:$S$88,12,FALSE)),0)</f>
        <v>56</v>
      </c>
      <c r="CT44" s="46">
        <f t="shared" si="77"/>
        <v>9</v>
      </c>
      <c r="CU44" s="46">
        <f t="shared" si="78"/>
        <v>9</v>
      </c>
      <c r="CV44" s="46">
        <f t="shared" si="79"/>
        <v>8</v>
      </c>
      <c r="CW44" s="46">
        <f t="shared" si="80"/>
        <v>8</v>
      </c>
      <c r="CX44" s="46">
        <f t="shared" si="81"/>
        <v>8</v>
      </c>
      <c r="CY44" s="46">
        <f t="shared" si="82"/>
        <v>8</v>
      </c>
      <c r="CZ44" s="46">
        <f t="shared" si="83"/>
        <v>8</v>
      </c>
      <c r="DA44" s="45">
        <f>ROUND((VLOOKUP(A44,'Cumulative pupils per year'!$A$3:$S$88,13,FALSE)),0)</f>
        <v>58</v>
      </c>
      <c r="DB44" s="274">
        <f t="shared" si="84"/>
        <v>9</v>
      </c>
      <c r="DC44" s="274">
        <f t="shared" si="85"/>
        <v>9</v>
      </c>
      <c r="DD44" s="274">
        <f t="shared" si="86"/>
        <v>9</v>
      </c>
      <c r="DE44" s="274">
        <f t="shared" si="87"/>
        <v>9</v>
      </c>
      <c r="DF44" s="274">
        <f t="shared" si="88"/>
        <v>8</v>
      </c>
      <c r="DG44" s="274">
        <f t="shared" si="89"/>
        <v>8</v>
      </c>
      <c r="DH44" s="274">
        <f t="shared" si="90"/>
        <v>8</v>
      </c>
      <c r="DI44" s="291">
        <f>ROUND((VLOOKUP(A44,'Cumulative pupils per year'!$A$3:$S$88,14,FALSE)),0)</f>
        <v>60</v>
      </c>
      <c r="DJ44" s="46">
        <f t="shared" si="91"/>
        <v>9</v>
      </c>
      <c r="DK44" s="46">
        <f t="shared" si="92"/>
        <v>9</v>
      </c>
      <c r="DL44" s="46">
        <f t="shared" si="93"/>
        <v>9</v>
      </c>
      <c r="DM44" s="46">
        <f t="shared" si="94"/>
        <v>9</v>
      </c>
      <c r="DN44" s="46">
        <f t="shared" si="95"/>
        <v>9</v>
      </c>
      <c r="DO44" s="46">
        <f t="shared" si="96"/>
        <v>9</v>
      </c>
      <c r="DP44" s="46">
        <f t="shared" si="97"/>
        <v>8</v>
      </c>
      <c r="DQ44" s="45">
        <f>ROUND((VLOOKUP(A44,'Cumulative pupils per year'!$A$3:$S$88,15,FALSE)),0)</f>
        <v>62</v>
      </c>
    </row>
    <row r="45" spans="1:121">
      <c r="A45" s="4" t="s">
        <v>42</v>
      </c>
      <c r="B45" s="46">
        <v>1</v>
      </c>
      <c r="C45" s="46">
        <v>0</v>
      </c>
      <c r="D45" s="46">
        <v>0</v>
      </c>
      <c r="E45" s="46">
        <v>0</v>
      </c>
      <c r="F45" s="46">
        <v>0</v>
      </c>
      <c r="G45" s="46">
        <v>0</v>
      </c>
      <c r="H45" s="46">
        <v>0</v>
      </c>
      <c r="I45" s="45">
        <v>1</v>
      </c>
      <c r="J45" s="44">
        <f t="shared" si="196"/>
        <v>0</v>
      </c>
      <c r="K45" s="44">
        <f t="shared" si="197"/>
        <v>0</v>
      </c>
      <c r="L45" s="44">
        <f t="shared" si="198"/>
        <v>0</v>
      </c>
      <c r="M45" s="44">
        <f t="shared" si="199"/>
        <v>0</v>
      </c>
      <c r="N45" s="44">
        <f t="shared" si="200"/>
        <v>0</v>
      </c>
      <c r="O45" s="44">
        <f t="shared" si="201"/>
        <v>0</v>
      </c>
      <c r="P45" s="44">
        <f t="shared" si="202"/>
        <v>0</v>
      </c>
      <c r="Q45" s="43">
        <f>ROUND((VLOOKUP(A45,'Cumulative pupils per year'!$A$3:$S$88,2,FALSE)),0)</f>
        <v>0</v>
      </c>
      <c r="R45" s="46">
        <f t="shared" si="7"/>
        <v>0</v>
      </c>
      <c r="S45" s="46">
        <f t="shared" si="8"/>
        <v>0</v>
      </c>
      <c r="T45" s="46">
        <f t="shared" si="9"/>
        <v>0</v>
      </c>
      <c r="U45" s="46">
        <f t="shared" si="10"/>
        <v>0</v>
      </c>
      <c r="V45" s="46">
        <f t="shared" si="11"/>
        <v>0</v>
      </c>
      <c r="W45" s="46">
        <f t="shared" si="12"/>
        <v>0</v>
      </c>
      <c r="X45" s="46">
        <f t="shared" si="13"/>
        <v>0</v>
      </c>
      <c r="Y45" s="45">
        <f>ROUND((VLOOKUP(A45,'Cumulative pupils per year'!$A$3:$S$88,3,FALSE)),0)</f>
        <v>0</v>
      </c>
      <c r="Z45" s="274">
        <f t="shared" si="14"/>
        <v>0</v>
      </c>
      <c r="AA45" s="274">
        <f t="shared" si="15"/>
        <v>0</v>
      </c>
      <c r="AB45" s="274">
        <f t="shared" si="16"/>
        <v>0</v>
      </c>
      <c r="AC45" s="274">
        <f t="shared" si="17"/>
        <v>0</v>
      </c>
      <c r="AD45" s="274">
        <f t="shared" si="18"/>
        <v>0</v>
      </c>
      <c r="AE45" s="274">
        <f t="shared" si="19"/>
        <v>0</v>
      </c>
      <c r="AF45" s="274">
        <f t="shared" si="20"/>
        <v>0</v>
      </c>
      <c r="AG45" s="43">
        <f>ROUND((VLOOKUP(A45,'Cumulative pupils per year'!$A$3:$S$88,4,FALSE)),0)</f>
        <v>0</v>
      </c>
      <c r="AH45" s="46">
        <f t="shared" si="21"/>
        <v>1</v>
      </c>
      <c r="AI45" s="46">
        <f t="shared" si="22"/>
        <v>1</v>
      </c>
      <c r="AJ45" s="46">
        <f t="shared" si="23"/>
        <v>1</v>
      </c>
      <c r="AK45" s="46">
        <f t="shared" si="24"/>
        <v>1</v>
      </c>
      <c r="AL45" s="46">
        <f t="shared" si="25"/>
        <v>1</v>
      </c>
      <c r="AM45" s="46">
        <f t="shared" si="26"/>
        <v>0</v>
      </c>
      <c r="AN45" s="46">
        <f t="shared" si="27"/>
        <v>0</v>
      </c>
      <c r="AO45" s="45">
        <f>ROUND((VLOOKUP(A45,'Cumulative pupils per year'!$A$3:$S$88,5,FALSE)),0)</f>
        <v>5</v>
      </c>
      <c r="AP45" s="274">
        <f t="shared" si="28"/>
        <v>3</v>
      </c>
      <c r="AQ45" s="274">
        <f t="shared" si="29"/>
        <v>3</v>
      </c>
      <c r="AR45" s="274">
        <f t="shared" si="30"/>
        <v>2</v>
      </c>
      <c r="AS45" s="274">
        <f t="shared" si="31"/>
        <v>2</v>
      </c>
      <c r="AT45" s="274">
        <f t="shared" si="32"/>
        <v>2</v>
      </c>
      <c r="AU45" s="274">
        <f t="shared" si="33"/>
        <v>2</v>
      </c>
      <c r="AV45" s="274">
        <f t="shared" si="34"/>
        <v>2</v>
      </c>
      <c r="AW45" s="43">
        <f>ROUND((VLOOKUP(A45,'Cumulative pupils per year'!$A$3:$S$88,6,FALSE)),0)</f>
        <v>16</v>
      </c>
      <c r="AX45" s="46">
        <f t="shared" si="35"/>
        <v>4</v>
      </c>
      <c r="AY45" s="46">
        <f t="shared" si="36"/>
        <v>4</v>
      </c>
      <c r="AZ45" s="46">
        <f t="shared" si="37"/>
        <v>4</v>
      </c>
      <c r="BA45" s="46">
        <f t="shared" si="38"/>
        <v>4</v>
      </c>
      <c r="BB45" s="46">
        <f t="shared" si="39"/>
        <v>4</v>
      </c>
      <c r="BC45" s="46">
        <f t="shared" si="40"/>
        <v>4</v>
      </c>
      <c r="BD45" s="46">
        <f t="shared" si="41"/>
        <v>3</v>
      </c>
      <c r="BE45" s="45">
        <f>ROUND((VLOOKUP(A45,'Cumulative pupils per year'!$A$3:$S$88,7,FALSE)),0)</f>
        <v>27</v>
      </c>
      <c r="BF45" s="274">
        <f t="shared" si="42"/>
        <v>6</v>
      </c>
      <c r="BG45" s="274">
        <f t="shared" si="43"/>
        <v>6</v>
      </c>
      <c r="BH45" s="274">
        <f t="shared" si="44"/>
        <v>6</v>
      </c>
      <c r="BI45" s="274">
        <f t="shared" si="45"/>
        <v>5</v>
      </c>
      <c r="BJ45" s="274">
        <f t="shared" si="46"/>
        <v>5</v>
      </c>
      <c r="BK45" s="274">
        <f t="shared" si="47"/>
        <v>5</v>
      </c>
      <c r="BL45" s="274">
        <f t="shared" si="48"/>
        <v>5</v>
      </c>
      <c r="BM45" s="43">
        <f>ROUND((VLOOKUP(A45,'Cumulative pupils per year'!$A$3:$S$88,8,FALSE)),0)</f>
        <v>38</v>
      </c>
      <c r="BN45" s="46">
        <f t="shared" si="49"/>
        <v>6</v>
      </c>
      <c r="BO45" s="46">
        <f t="shared" si="50"/>
        <v>6</v>
      </c>
      <c r="BP45" s="46">
        <f t="shared" si="51"/>
        <v>6</v>
      </c>
      <c r="BQ45" s="46">
        <f t="shared" si="52"/>
        <v>6</v>
      </c>
      <c r="BR45" s="46">
        <f t="shared" si="53"/>
        <v>6</v>
      </c>
      <c r="BS45" s="46">
        <f t="shared" si="54"/>
        <v>6</v>
      </c>
      <c r="BT45" s="46">
        <f t="shared" si="55"/>
        <v>5</v>
      </c>
      <c r="BU45" s="45">
        <f>ROUND((VLOOKUP(A45,'Cumulative pupils per year'!$A$3:$S$88,9,FALSE)),0)</f>
        <v>41</v>
      </c>
      <c r="BV45" s="274">
        <f t="shared" si="56"/>
        <v>6</v>
      </c>
      <c r="BW45" s="274">
        <f t="shared" si="57"/>
        <v>6</v>
      </c>
      <c r="BX45" s="274">
        <f t="shared" si="58"/>
        <v>6</v>
      </c>
      <c r="BY45" s="274">
        <f t="shared" si="59"/>
        <v>6</v>
      </c>
      <c r="BZ45" s="274">
        <f t="shared" si="60"/>
        <v>6</v>
      </c>
      <c r="CA45" s="274">
        <f t="shared" si="61"/>
        <v>6</v>
      </c>
      <c r="CB45" s="274">
        <f t="shared" si="62"/>
        <v>5</v>
      </c>
      <c r="CC45" s="43">
        <f>ROUND((VLOOKUP(A45,'Cumulative pupils per year'!$A$3:$S$88,10,FALSE)),0)</f>
        <v>41</v>
      </c>
      <c r="CD45" s="46">
        <f t="shared" si="63"/>
        <v>6</v>
      </c>
      <c r="CE45" s="46">
        <f t="shared" si="64"/>
        <v>6</v>
      </c>
      <c r="CF45" s="46">
        <f t="shared" si="65"/>
        <v>6</v>
      </c>
      <c r="CG45" s="46">
        <f t="shared" si="66"/>
        <v>6</v>
      </c>
      <c r="CH45" s="46">
        <f t="shared" si="67"/>
        <v>6</v>
      </c>
      <c r="CI45" s="46">
        <f t="shared" si="68"/>
        <v>6</v>
      </c>
      <c r="CJ45" s="46">
        <f t="shared" si="69"/>
        <v>5</v>
      </c>
      <c r="CK45" s="45">
        <f>ROUND((VLOOKUP(A45,'Cumulative pupils per year'!$A$3:$S$88,11,FALSE)),0)</f>
        <v>41</v>
      </c>
      <c r="CL45" s="274">
        <f t="shared" si="70"/>
        <v>6</v>
      </c>
      <c r="CM45" s="274">
        <f t="shared" si="71"/>
        <v>6</v>
      </c>
      <c r="CN45" s="274">
        <f t="shared" si="72"/>
        <v>6</v>
      </c>
      <c r="CO45" s="274">
        <f t="shared" si="73"/>
        <v>6</v>
      </c>
      <c r="CP45" s="274">
        <f t="shared" si="74"/>
        <v>6</v>
      </c>
      <c r="CQ45" s="274">
        <f t="shared" si="75"/>
        <v>6</v>
      </c>
      <c r="CR45" s="274">
        <f t="shared" si="76"/>
        <v>5</v>
      </c>
      <c r="CS45" s="291">
        <f>ROUND((VLOOKUP(A45,'Cumulative pupils per year'!$A$3:$S$88,12,FALSE)),0)</f>
        <v>41</v>
      </c>
      <c r="CT45" s="46">
        <f t="shared" si="77"/>
        <v>6</v>
      </c>
      <c r="CU45" s="46">
        <f t="shared" si="78"/>
        <v>6</v>
      </c>
      <c r="CV45" s="46">
        <f t="shared" si="79"/>
        <v>6</v>
      </c>
      <c r="CW45" s="46">
        <f t="shared" si="80"/>
        <v>6</v>
      </c>
      <c r="CX45" s="46">
        <f t="shared" si="81"/>
        <v>6</v>
      </c>
      <c r="CY45" s="46">
        <f t="shared" si="82"/>
        <v>6</v>
      </c>
      <c r="CZ45" s="46">
        <f t="shared" si="83"/>
        <v>5</v>
      </c>
      <c r="DA45" s="45">
        <f>ROUND((VLOOKUP(A45,'Cumulative pupils per year'!$A$3:$S$88,13,FALSE)),0)</f>
        <v>41</v>
      </c>
      <c r="DB45" s="274">
        <f t="shared" si="84"/>
        <v>6</v>
      </c>
      <c r="DC45" s="274">
        <f t="shared" si="85"/>
        <v>6</v>
      </c>
      <c r="DD45" s="274">
        <f t="shared" si="86"/>
        <v>6</v>
      </c>
      <c r="DE45" s="274">
        <f t="shared" si="87"/>
        <v>6</v>
      </c>
      <c r="DF45" s="274">
        <f t="shared" si="88"/>
        <v>6</v>
      </c>
      <c r="DG45" s="274">
        <f t="shared" si="89"/>
        <v>6</v>
      </c>
      <c r="DH45" s="274">
        <f t="shared" si="90"/>
        <v>5</v>
      </c>
      <c r="DI45" s="291">
        <f>ROUND((VLOOKUP(A45,'Cumulative pupils per year'!$A$3:$S$88,14,FALSE)),0)</f>
        <v>41</v>
      </c>
      <c r="DJ45" s="46">
        <f t="shared" si="91"/>
        <v>6</v>
      </c>
      <c r="DK45" s="46">
        <f t="shared" si="92"/>
        <v>6</v>
      </c>
      <c r="DL45" s="46">
        <f t="shared" si="93"/>
        <v>6</v>
      </c>
      <c r="DM45" s="46">
        <f t="shared" si="94"/>
        <v>6</v>
      </c>
      <c r="DN45" s="46">
        <f t="shared" si="95"/>
        <v>6</v>
      </c>
      <c r="DO45" s="46">
        <f t="shared" si="96"/>
        <v>6</v>
      </c>
      <c r="DP45" s="46">
        <f t="shared" si="97"/>
        <v>5</v>
      </c>
      <c r="DQ45" s="45">
        <f>ROUND((VLOOKUP(A45,'Cumulative pupils per year'!$A$3:$S$88,15,FALSE)),0)</f>
        <v>41</v>
      </c>
    </row>
    <row r="46" spans="1:121">
      <c r="A46" s="4" t="s">
        <v>43</v>
      </c>
      <c r="B46" s="46">
        <v>3</v>
      </c>
      <c r="C46" s="46">
        <v>3</v>
      </c>
      <c r="D46" s="46">
        <v>3</v>
      </c>
      <c r="E46" s="46">
        <v>3</v>
      </c>
      <c r="F46" s="46">
        <v>3</v>
      </c>
      <c r="G46" s="46">
        <v>3</v>
      </c>
      <c r="H46" s="46">
        <v>3</v>
      </c>
      <c r="I46" s="45">
        <v>21</v>
      </c>
      <c r="J46" s="44">
        <f t="shared" si="196"/>
        <v>2</v>
      </c>
      <c r="K46" s="44">
        <f t="shared" si="197"/>
        <v>1</v>
      </c>
      <c r="L46" s="44">
        <f t="shared" si="198"/>
        <v>1</v>
      </c>
      <c r="M46" s="44">
        <f t="shared" si="199"/>
        <v>1</v>
      </c>
      <c r="N46" s="44">
        <f t="shared" si="200"/>
        <v>1</v>
      </c>
      <c r="O46" s="44">
        <f t="shared" si="201"/>
        <v>1</v>
      </c>
      <c r="P46" s="44">
        <f t="shared" si="202"/>
        <v>1</v>
      </c>
      <c r="Q46" s="43">
        <f>ROUND((VLOOKUP(A46,'Cumulative pupils per year'!$A$3:$S$88,2,FALSE)),0)</f>
        <v>8</v>
      </c>
      <c r="R46" s="46">
        <f t="shared" si="7"/>
        <v>2</v>
      </c>
      <c r="S46" s="46">
        <f t="shared" si="8"/>
        <v>1</v>
      </c>
      <c r="T46" s="46">
        <f t="shared" si="9"/>
        <v>1</v>
      </c>
      <c r="U46" s="46">
        <f t="shared" si="10"/>
        <v>1</v>
      </c>
      <c r="V46" s="46">
        <f t="shared" si="11"/>
        <v>1</v>
      </c>
      <c r="W46" s="46">
        <f t="shared" si="12"/>
        <v>1</v>
      </c>
      <c r="X46" s="46">
        <f t="shared" si="13"/>
        <v>1</v>
      </c>
      <c r="Y46" s="45">
        <f>ROUND((VLOOKUP(A46,'Cumulative pupils per year'!$A$3:$S$88,3,FALSE)),0)</f>
        <v>8</v>
      </c>
      <c r="Z46" s="274">
        <f t="shared" si="14"/>
        <v>2</v>
      </c>
      <c r="AA46" s="274">
        <f t="shared" si="15"/>
        <v>1</v>
      </c>
      <c r="AB46" s="274">
        <f t="shared" si="16"/>
        <v>1</v>
      </c>
      <c r="AC46" s="274">
        <f t="shared" si="17"/>
        <v>1</v>
      </c>
      <c r="AD46" s="274">
        <f t="shared" si="18"/>
        <v>1</v>
      </c>
      <c r="AE46" s="274">
        <f t="shared" si="19"/>
        <v>1</v>
      </c>
      <c r="AF46" s="274">
        <f t="shared" si="20"/>
        <v>1</v>
      </c>
      <c r="AG46" s="43">
        <f>ROUND((VLOOKUP(A46,'Cumulative pupils per year'!$A$3:$S$88,4,FALSE)),0)</f>
        <v>8</v>
      </c>
      <c r="AH46" s="46">
        <f t="shared" si="21"/>
        <v>2</v>
      </c>
      <c r="AI46" s="46">
        <f t="shared" si="22"/>
        <v>1</v>
      </c>
      <c r="AJ46" s="46">
        <f t="shared" si="23"/>
        <v>1</v>
      </c>
      <c r="AK46" s="46">
        <f t="shared" si="24"/>
        <v>1</v>
      </c>
      <c r="AL46" s="46">
        <f t="shared" si="25"/>
        <v>1</v>
      </c>
      <c r="AM46" s="46">
        <f t="shared" si="26"/>
        <v>1</v>
      </c>
      <c r="AN46" s="46">
        <f t="shared" si="27"/>
        <v>1</v>
      </c>
      <c r="AO46" s="45">
        <f>ROUND((VLOOKUP(A46,'Cumulative pupils per year'!$A$3:$S$88,5,FALSE)),0)</f>
        <v>8</v>
      </c>
      <c r="AP46" s="274">
        <f t="shared" si="28"/>
        <v>2</v>
      </c>
      <c r="AQ46" s="274">
        <f t="shared" si="29"/>
        <v>1</v>
      </c>
      <c r="AR46" s="274">
        <f t="shared" si="30"/>
        <v>1</v>
      </c>
      <c r="AS46" s="274">
        <f t="shared" si="31"/>
        <v>1</v>
      </c>
      <c r="AT46" s="274">
        <f t="shared" si="32"/>
        <v>1</v>
      </c>
      <c r="AU46" s="274">
        <f t="shared" si="33"/>
        <v>1</v>
      </c>
      <c r="AV46" s="274">
        <f t="shared" si="34"/>
        <v>1</v>
      </c>
      <c r="AW46" s="43">
        <f>ROUND((VLOOKUP(A46,'Cumulative pupils per year'!$A$3:$S$88,6,FALSE)),0)</f>
        <v>8</v>
      </c>
      <c r="AX46" s="46">
        <f t="shared" si="35"/>
        <v>2</v>
      </c>
      <c r="AY46" s="46">
        <f t="shared" si="36"/>
        <v>1</v>
      </c>
      <c r="AZ46" s="46">
        <f t="shared" si="37"/>
        <v>1</v>
      </c>
      <c r="BA46" s="46">
        <f t="shared" si="38"/>
        <v>1</v>
      </c>
      <c r="BB46" s="46">
        <f t="shared" si="39"/>
        <v>1</v>
      </c>
      <c r="BC46" s="46">
        <f t="shared" si="40"/>
        <v>1</v>
      </c>
      <c r="BD46" s="46">
        <f t="shared" si="41"/>
        <v>1</v>
      </c>
      <c r="BE46" s="45">
        <f>ROUND((VLOOKUP(A46,'Cumulative pupils per year'!$A$3:$S$88,7,FALSE)),0)</f>
        <v>8</v>
      </c>
      <c r="BF46" s="274">
        <f t="shared" si="42"/>
        <v>3</v>
      </c>
      <c r="BG46" s="274">
        <f t="shared" si="43"/>
        <v>2</v>
      </c>
      <c r="BH46" s="274">
        <f t="shared" si="44"/>
        <v>2</v>
      </c>
      <c r="BI46" s="274">
        <f t="shared" si="45"/>
        <v>2</v>
      </c>
      <c r="BJ46" s="274">
        <f t="shared" si="46"/>
        <v>2</v>
      </c>
      <c r="BK46" s="274">
        <f t="shared" si="47"/>
        <v>2</v>
      </c>
      <c r="BL46" s="274">
        <f t="shared" si="48"/>
        <v>2</v>
      </c>
      <c r="BM46" s="43">
        <f>ROUND((VLOOKUP(A46,'Cumulative pupils per year'!$A$3:$S$88,8,FALSE)),0)</f>
        <v>15</v>
      </c>
      <c r="BN46" s="46">
        <f t="shared" si="49"/>
        <v>4</v>
      </c>
      <c r="BO46" s="46">
        <f t="shared" si="50"/>
        <v>3</v>
      </c>
      <c r="BP46" s="46">
        <f t="shared" si="51"/>
        <v>3</v>
      </c>
      <c r="BQ46" s="46">
        <f t="shared" si="52"/>
        <v>3</v>
      </c>
      <c r="BR46" s="46">
        <f t="shared" si="53"/>
        <v>3</v>
      </c>
      <c r="BS46" s="46">
        <f t="shared" si="54"/>
        <v>3</v>
      </c>
      <c r="BT46" s="46">
        <f t="shared" si="55"/>
        <v>3</v>
      </c>
      <c r="BU46" s="45">
        <f>ROUND((VLOOKUP(A46,'Cumulative pupils per year'!$A$3:$S$88,9,FALSE)),0)</f>
        <v>22</v>
      </c>
      <c r="BV46" s="274">
        <f t="shared" si="56"/>
        <v>5</v>
      </c>
      <c r="BW46" s="274">
        <f t="shared" si="57"/>
        <v>5</v>
      </c>
      <c r="BX46" s="274">
        <f t="shared" si="58"/>
        <v>5</v>
      </c>
      <c r="BY46" s="274">
        <f t="shared" si="59"/>
        <v>4</v>
      </c>
      <c r="BZ46" s="274">
        <f t="shared" si="60"/>
        <v>4</v>
      </c>
      <c r="CA46" s="274">
        <f t="shared" si="61"/>
        <v>4</v>
      </c>
      <c r="CB46" s="274">
        <f t="shared" si="62"/>
        <v>4</v>
      </c>
      <c r="CC46" s="43">
        <f>ROUND((VLOOKUP(A46,'Cumulative pupils per year'!$A$3:$S$88,10,FALSE)),0)</f>
        <v>31</v>
      </c>
      <c r="CD46" s="46">
        <f t="shared" si="63"/>
        <v>5</v>
      </c>
      <c r="CE46" s="46">
        <f t="shared" si="64"/>
        <v>5</v>
      </c>
      <c r="CF46" s="46">
        <f t="shared" si="65"/>
        <v>5</v>
      </c>
      <c r="CG46" s="46">
        <f t="shared" si="66"/>
        <v>4</v>
      </c>
      <c r="CH46" s="46">
        <f t="shared" si="67"/>
        <v>4</v>
      </c>
      <c r="CI46" s="46">
        <f t="shared" si="68"/>
        <v>4</v>
      </c>
      <c r="CJ46" s="46">
        <f t="shared" si="69"/>
        <v>4</v>
      </c>
      <c r="CK46" s="45">
        <f>ROUND((VLOOKUP(A46,'Cumulative pupils per year'!$A$3:$S$88,11,FALSE)),0)</f>
        <v>31</v>
      </c>
      <c r="CL46" s="274">
        <f t="shared" si="70"/>
        <v>5</v>
      </c>
      <c r="CM46" s="274">
        <f t="shared" si="71"/>
        <v>5</v>
      </c>
      <c r="CN46" s="274">
        <f t="shared" si="72"/>
        <v>5</v>
      </c>
      <c r="CO46" s="274">
        <f t="shared" si="73"/>
        <v>4</v>
      </c>
      <c r="CP46" s="274">
        <f t="shared" si="74"/>
        <v>4</v>
      </c>
      <c r="CQ46" s="274">
        <f t="shared" si="75"/>
        <v>4</v>
      </c>
      <c r="CR46" s="274">
        <f t="shared" si="76"/>
        <v>4</v>
      </c>
      <c r="CS46" s="291">
        <f>ROUND((VLOOKUP(A46,'Cumulative pupils per year'!$A$3:$S$88,12,FALSE)),0)</f>
        <v>31</v>
      </c>
      <c r="CT46" s="46">
        <f t="shared" si="77"/>
        <v>5</v>
      </c>
      <c r="CU46" s="46">
        <f t="shared" si="78"/>
        <v>5</v>
      </c>
      <c r="CV46" s="46">
        <f t="shared" si="79"/>
        <v>5</v>
      </c>
      <c r="CW46" s="46">
        <f t="shared" si="80"/>
        <v>4</v>
      </c>
      <c r="CX46" s="46">
        <f t="shared" si="81"/>
        <v>4</v>
      </c>
      <c r="CY46" s="46">
        <f t="shared" si="82"/>
        <v>4</v>
      </c>
      <c r="CZ46" s="46">
        <f t="shared" si="83"/>
        <v>4</v>
      </c>
      <c r="DA46" s="45">
        <f>ROUND((VLOOKUP(A46,'Cumulative pupils per year'!$A$3:$S$88,13,FALSE)),0)</f>
        <v>31</v>
      </c>
      <c r="DB46" s="274">
        <f t="shared" si="84"/>
        <v>5</v>
      </c>
      <c r="DC46" s="274">
        <f t="shared" si="85"/>
        <v>5</v>
      </c>
      <c r="DD46" s="274">
        <f t="shared" si="86"/>
        <v>5</v>
      </c>
      <c r="DE46" s="274">
        <f t="shared" si="87"/>
        <v>4</v>
      </c>
      <c r="DF46" s="274">
        <f t="shared" si="88"/>
        <v>4</v>
      </c>
      <c r="DG46" s="274">
        <f t="shared" si="89"/>
        <v>4</v>
      </c>
      <c r="DH46" s="274">
        <f t="shared" si="90"/>
        <v>4</v>
      </c>
      <c r="DI46" s="291">
        <f>ROUND((VLOOKUP(A46,'Cumulative pupils per year'!$A$3:$S$88,14,FALSE)),0)</f>
        <v>31</v>
      </c>
      <c r="DJ46" s="46">
        <f t="shared" si="91"/>
        <v>5</v>
      </c>
      <c r="DK46" s="46">
        <f t="shared" si="92"/>
        <v>5</v>
      </c>
      <c r="DL46" s="46">
        <f t="shared" si="93"/>
        <v>5</v>
      </c>
      <c r="DM46" s="46">
        <f t="shared" si="94"/>
        <v>4</v>
      </c>
      <c r="DN46" s="46">
        <f t="shared" si="95"/>
        <v>4</v>
      </c>
      <c r="DO46" s="46">
        <f t="shared" si="96"/>
        <v>4</v>
      </c>
      <c r="DP46" s="46">
        <f t="shared" si="97"/>
        <v>4</v>
      </c>
      <c r="DQ46" s="45">
        <f>ROUND((VLOOKUP(A46,'Cumulative pupils per year'!$A$3:$S$88,15,FALSE)),0)</f>
        <v>31</v>
      </c>
    </row>
    <row r="47" spans="1:121">
      <c r="A47" s="4" t="s">
        <v>44</v>
      </c>
      <c r="B47" s="46">
        <v>1</v>
      </c>
      <c r="C47" s="46">
        <v>1</v>
      </c>
      <c r="D47" s="46">
        <v>0</v>
      </c>
      <c r="E47" s="46">
        <v>0</v>
      </c>
      <c r="F47" s="46">
        <v>0</v>
      </c>
      <c r="G47" s="46">
        <v>0</v>
      </c>
      <c r="H47" s="46">
        <v>0</v>
      </c>
      <c r="I47" s="45">
        <v>2</v>
      </c>
      <c r="J47" s="44">
        <f t="shared" si="196"/>
        <v>1</v>
      </c>
      <c r="K47" s="44">
        <f t="shared" si="197"/>
        <v>1</v>
      </c>
      <c r="L47" s="44">
        <f t="shared" si="198"/>
        <v>1</v>
      </c>
      <c r="M47" s="44">
        <f t="shared" si="199"/>
        <v>1</v>
      </c>
      <c r="N47" s="44">
        <f t="shared" si="200"/>
        <v>0</v>
      </c>
      <c r="O47" s="44">
        <f t="shared" si="201"/>
        <v>0</v>
      </c>
      <c r="P47" s="44">
        <f t="shared" si="202"/>
        <v>0</v>
      </c>
      <c r="Q47" s="43">
        <f>ROUND((VLOOKUP(A47,'Cumulative pupils per year'!$A$3:$S$88,2,FALSE)),0)</f>
        <v>4</v>
      </c>
      <c r="R47" s="46">
        <f t="shared" si="7"/>
        <v>2</v>
      </c>
      <c r="S47" s="46">
        <f t="shared" si="8"/>
        <v>2</v>
      </c>
      <c r="T47" s="46">
        <f t="shared" si="9"/>
        <v>2</v>
      </c>
      <c r="U47" s="46">
        <f t="shared" si="10"/>
        <v>1</v>
      </c>
      <c r="V47" s="46">
        <f t="shared" si="11"/>
        <v>1</v>
      </c>
      <c r="W47" s="46">
        <f t="shared" si="12"/>
        <v>1</v>
      </c>
      <c r="X47" s="46">
        <f t="shared" si="13"/>
        <v>1</v>
      </c>
      <c r="Y47" s="45">
        <f>ROUND((VLOOKUP(A47,'Cumulative pupils per year'!$A$3:$S$88,3,FALSE)),0)</f>
        <v>10</v>
      </c>
      <c r="Z47" s="274">
        <f t="shared" si="14"/>
        <v>3</v>
      </c>
      <c r="AA47" s="274">
        <f t="shared" si="15"/>
        <v>3</v>
      </c>
      <c r="AB47" s="274">
        <f t="shared" si="16"/>
        <v>3</v>
      </c>
      <c r="AC47" s="274">
        <f t="shared" si="17"/>
        <v>3</v>
      </c>
      <c r="AD47" s="274">
        <f t="shared" si="18"/>
        <v>3</v>
      </c>
      <c r="AE47" s="274">
        <f t="shared" si="19"/>
        <v>3</v>
      </c>
      <c r="AF47" s="274">
        <f t="shared" si="20"/>
        <v>3</v>
      </c>
      <c r="AG47" s="43">
        <f>ROUND((VLOOKUP(A47,'Cumulative pupils per year'!$A$3:$S$88,4,FALSE)),0)</f>
        <v>21</v>
      </c>
      <c r="AH47" s="46">
        <f t="shared" si="21"/>
        <v>5</v>
      </c>
      <c r="AI47" s="46">
        <f t="shared" si="22"/>
        <v>4</v>
      </c>
      <c r="AJ47" s="46">
        <f t="shared" si="23"/>
        <v>4</v>
      </c>
      <c r="AK47" s="46">
        <f t="shared" si="24"/>
        <v>4</v>
      </c>
      <c r="AL47" s="46">
        <f t="shared" si="25"/>
        <v>4</v>
      </c>
      <c r="AM47" s="46">
        <f t="shared" si="26"/>
        <v>4</v>
      </c>
      <c r="AN47" s="46">
        <f t="shared" si="27"/>
        <v>4</v>
      </c>
      <c r="AO47" s="45">
        <f>ROUND((VLOOKUP(A47,'Cumulative pupils per year'!$A$3:$S$88,5,FALSE)),0)</f>
        <v>29</v>
      </c>
      <c r="AP47" s="274">
        <f t="shared" si="28"/>
        <v>6</v>
      </c>
      <c r="AQ47" s="274">
        <f t="shared" si="29"/>
        <v>6</v>
      </c>
      <c r="AR47" s="274">
        <f t="shared" si="30"/>
        <v>6</v>
      </c>
      <c r="AS47" s="274">
        <f t="shared" si="31"/>
        <v>5</v>
      </c>
      <c r="AT47" s="274">
        <f t="shared" si="32"/>
        <v>5</v>
      </c>
      <c r="AU47" s="274">
        <f t="shared" si="33"/>
        <v>5</v>
      </c>
      <c r="AV47" s="274">
        <f t="shared" si="34"/>
        <v>5</v>
      </c>
      <c r="AW47" s="43">
        <f>ROUND((VLOOKUP(A47,'Cumulative pupils per year'!$A$3:$S$88,6,FALSE)),0)</f>
        <v>38</v>
      </c>
      <c r="AX47" s="46">
        <f t="shared" si="35"/>
        <v>8</v>
      </c>
      <c r="AY47" s="46">
        <f t="shared" si="36"/>
        <v>8</v>
      </c>
      <c r="AZ47" s="46">
        <f t="shared" si="37"/>
        <v>8</v>
      </c>
      <c r="BA47" s="46">
        <f t="shared" si="38"/>
        <v>8</v>
      </c>
      <c r="BB47" s="46">
        <f t="shared" si="39"/>
        <v>8</v>
      </c>
      <c r="BC47" s="46">
        <f t="shared" si="40"/>
        <v>8</v>
      </c>
      <c r="BD47" s="46">
        <f t="shared" si="41"/>
        <v>7</v>
      </c>
      <c r="BE47" s="45">
        <f>ROUND((VLOOKUP(A47,'Cumulative pupils per year'!$A$3:$S$88,7,FALSE)),0)</f>
        <v>55</v>
      </c>
      <c r="BF47" s="274">
        <f t="shared" si="42"/>
        <v>11</v>
      </c>
      <c r="BG47" s="274">
        <f t="shared" si="43"/>
        <v>11</v>
      </c>
      <c r="BH47" s="274">
        <f t="shared" si="44"/>
        <v>10</v>
      </c>
      <c r="BI47" s="274">
        <f t="shared" si="45"/>
        <v>10</v>
      </c>
      <c r="BJ47" s="274">
        <f t="shared" si="46"/>
        <v>10</v>
      </c>
      <c r="BK47" s="274">
        <f t="shared" si="47"/>
        <v>10</v>
      </c>
      <c r="BL47" s="274">
        <f t="shared" si="48"/>
        <v>10</v>
      </c>
      <c r="BM47" s="43">
        <f>ROUND((VLOOKUP(A47,'Cumulative pupils per year'!$A$3:$S$88,8,FALSE)),0)</f>
        <v>72</v>
      </c>
      <c r="BN47" s="46">
        <f t="shared" si="49"/>
        <v>13</v>
      </c>
      <c r="BO47" s="46">
        <f t="shared" si="50"/>
        <v>13</v>
      </c>
      <c r="BP47" s="46">
        <f t="shared" si="51"/>
        <v>13</v>
      </c>
      <c r="BQ47" s="46">
        <f t="shared" si="52"/>
        <v>13</v>
      </c>
      <c r="BR47" s="46">
        <f t="shared" si="53"/>
        <v>13</v>
      </c>
      <c r="BS47" s="46">
        <f t="shared" si="54"/>
        <v>12</v>
      </c>
      <c r="BT47" s="46">
        <f t="shared" si="55"/>
        <v>12</v>
      </c>
      <c r="BU47" s="45">
        <f>ROUND((VLOOKUP(A47,'Cumulative pupils per year'!$A$3:$S$88,9,FALSE)),0)</f>
        <v>89</v>
      </c>
      <c r="BV47" s="274">
        <f t="shared" si="56"/>
        <v>16</v>
      </c>
      <c r="BW47" s="274">
        <f t="shared" si="57"/>
        <v>16</v>
      </c>
      <c r="BX47" s="274">
        <f t="shared" si="58"/>
        <v>15</v>
      </c>
      <c r="BY47" s="274">
        <f t="shared" si="59"/>
        <v>15</v>
      </c>
      <c r="BZ47" s="274">
        <f t="shared" si="60"/>
        <v>15</v>
      </c>
      <c r="CA47" s="274">
        <f t="shared" si="61"/>
        <v>15</v>
      </c>
      <c r="CB47" s="274">
        <f t="shared" si="62"/>
        <v>15</v>
      </c>
      <c r="CC47" s="43">
        <f>ROUND((VLOOKUP(A47,'Cumulative pupils per year'!$A$3:$S$88,10,FALSE)),0)</f>
        <v>107</v>
      </c>
      <c r="CD47" s="46">
        <f t="shared" si="63"/>
        <v>18</v>
      </c>
      <c r="CE47" s="46">
        <f t="shared" si="64"/>
        <v>18</v>
      </c>
      <c r="CF47" s="46">
        <f t="shared" si="65"/>
        <v>18</v>
      </c>
      <c r="CG47" s="46">
        <f t="shared" si="66"/>
        <v>17</v>
      </c>
      <c r="CH47" s="46">
        <f t="shared" si="67"/>
        <v>17</v>
      </c>
      <c r="CI47" s="46">
        <f t="shared" si="68"/>
        <v>17</v>
      </c>
      <c r="CJ47" s="46">
        <f t="shared" si="69"/>
        <v>17</v>
      </c>
      <c r="CK47" s="45">
        <f>ROUND((VLOOKUP(A47,'Cumulative pupils per year'!$A$3:$S$88,11,FALSE)),0)</f>
        <v>122</v>
      </c>
      <c r="CL47" s="274">
        <f t="shared" si="70"/>
        <v>20</v>
      </c>
      <c r="CM47" s="274">
        <f t="shared" si="71"/>
        <v>19</v>
      </c>
      <c r="CN47" s="274">
        <f t="shared" si="72"/>
        <v>19</v>
      </c>
      <c r="CO47" s="274">
        <f t="shared" si="73"/>
        <v>19</v>
      </c>
      <c r="CP47" s="274">
        <f t="shared" si="74"/>
        <v>19</v>
      </c>
      <c r="CQ47" s="274">
        <f t="shared" si="75"/>
        <v>19</v>
      </c>
      <c r="CR47" s="274">
        <f t="shared" si="76"/>
        <v>19</v>
      </c>
      <c r="CS47" s="291">
        <f>ROUND((VLOOKUP(A47,'Cumulative pupils per year'!$A$3:$S$88,12,FALSE)),0)</f>
        <v>134</v>
      </c>
      <c r="CT47" s="46">
        <f t="shared" si="77"/>
        <v>21</v>
      </c>
      <c r="CU47" s="46">
        <f t="shared" si="78"/>
        <v>21</v>
      </c>
      <c r="CV47" s="46">
        <f t="shared" si="79"/>
        <v>21</v>
      </c>
      <c r="CW47" s="46">
        <f t="shared" si="80"/>
        <v>21</v>
      </c>
      <c r="CX47" s="46">
        <f t="shared" si="81"/>
        <v>21</v>
      </c>
      <c r="CY47" s="46">
        <f t="shared" si="82"/>
        <v>21</v>
      </c>
      <c r="CZ47" s="46">
        <f t="shared" si="83"/>
        <v>20</v>
      </c>
      <c r="DA47" s="45">
        <f>ROUND((VLOOKUP(A47,'Cumulative pupils per year'!$A$3:$S$88,13,FALSE)),0)</f>
        <v>146</v>
      </c>
      <c r="DB47" s="274">
        <f t="shared" si="84"/>
        <v>23</v>
      </c>
      <c r="DC47" s="274">
        <f t="shared" si="85"/>
        <v>23</v>
      </c>
      <c r="DD47" s="274">
        <f t="shared" si="86"/>
        <v>23</v>
      </c>
      <c r="DE47" s="274">
        <f t="shared" si="87"/>
        <v>23</v>
      </c>
      <c r="DF47" s="274">
        <f t="shared" si="88"/>
        <v>22</v>
      </c>
      <c r="DG47" s="274">
        <f t="shared" si="89"/>
        <v>22</v>
      </c>
      <c r="DH47" s="274">
        <f t="shared" si="90"/>
        <v>22</v>
      </c>
      <c r="DI47" s="291">
        <f>ROUND((VLOOKUP(A47,'Cumulative pupils per year'!$A$3:$S$88,14,FALSE)),0)</f>
        <v>158</v>
      </c>
      <c r="DJ47" s="46">
        <f t="shared" si="91"/>
        <v>25</v>
      </c>
      <c r="DK47" s="46">
        <f t="shared" si="92"/>
        <v>25</v>
      </c>
      <c r="DL47" s="46">
        <f t="shared" si="93"/>
        <v>24</v>
      </c>
      <c r="DM47" s="46">
        <f t="shared" si="94"/>
        <v>24</v>
      </c>
      <c r="DN47" s="46">
        <f t="shared" si="95"/>
        <v>24</v>
      </c>
      <c r="DO47" s="46">
        <f t="shared" si="96"/>
        <v>24</v>
      </c>
      <c r="DP47" s="46">
        <f t="shared" si="97"/>
        <v>24</v>
      </c>
      <c r="DQ47" s="45">
        <f>ROUND((VLOOKUP(A47,'Cumulative pupils per year'!$A$3:$S$88,15,FALSE)),0)</f>
        <v>170</v>
      </c>
    </row>
    <row r="48" spans="1:121">
      <c r="A48" s="4" t="s">
        <v>45</v>
      </c>
      <c r="B48" s="46">
        <v>1</v>
      </c>
      <c r="C48" s="46">
        <v>1</v>
      </c>
      <c r="D48" s="46">
        <v>1</v>
      </c>
      <c r="E48" s="46">
        <v>1</v>
      </c>
      <c r="F48" s="46">
        <v>1</v>
      </c>
      <c r="G48" s="46">
        <v>1</v>
      </c>
      <c r="H48" s="46">
        <v>0</v>
      </c>
      <c r="I48" s="45">
        <v>6</v>
      </c>
      <c r="J48" s="44">
        <f t="shared" ref="J48:J89" si="273">ROUNDUP(Q48/7,0)</f>
        <v>1</v>
      </c>
      <c r="K48" s="44">
        <f t="shared" ref="K48:K89" si="274">IF((Q48-J48)&gt;0,(ROUNDUP(((Q48-J48)/6),0)),0)</f>
        <v>1</v>
      </c>
      <c r="L48" s="44">
        <f t="shared" ref="L48:L89" si="275">IF((Q48-J48-K48)&gt;0,(ROUNDUP(((Q48-J48-K48)/5),0)),0)</f>
        <v>1</v>
      </c>
      <c r="M48" s="44">
        <f t="shared" ref="M48:M89" si="276">IF((Q48-J48-K48-L48)&gt;0,(ROUNDUP(((Q48-J48-K48-L48)/4),0)),0)</f>
        <v>0</v>
      </c>
      <c r="N48" s="44">
        <f t="shared" ref="N48:N89" si="277">IF((Q48-J48-K48-L48-M48)&gt;0,(ROUNDUP(((Q48-J48-K48-L48-M48)/3),0)),0)</f>
        <v>0</v>
      </c>
      <c r="O48" s="44">
        <f t="shared" ref="O48:O89" si="278">IF((Q48-J48-K48-L48-M48-N48)&gt;0,(ROUNDUP(((Q48-J48-K48-L48-M48-N48)/2),0)),0)</f>
        <v>0</v>
      </c>
      <c r="P48" s="44">
        <f t="shared" ref="P48:P89" si="279">IF((Q48-J48-K48-L48-M48-N48-O48)&gt;0,(ROUNDUP(((Q48-J48-K48-L48-M48-N48-O48)/1),0)),0)</f>
        <v>0</v>
      </c>
      <c r="Q48" s="43">
        <f>ROUND((VLOOKUP(A48,'Cumulative pupils per year'!$A$3:$S$88,2,FALSE)),0)</f>
        <v>3</v>
      </c>
      <c r="R48" s="46">
        <f t="shared" si="7"/>
        <v>1</v>
      </c>
      <c r="S48" s="46">
        <f t="shared" si="8"/>
        <v>1</v>
      </c>
      <c r="T48" s="46">
        <f t="shared" si="9"/>
        <v>1</v>
      </c>
      <c r="U48" s="46">
        <f t="shared" si="10"/>
        <v>0</v>
      </c>
      <c r="V48" s="46">
        <f t="shared" si="11"/>
        <v>0</v>
      </c>
      <c r="W48" s="46">
        <f t="shared" si="12"/>
        <v>0</v>
      </c>
      <c r="X48" s="46">
        <f t="shared" si="13"/>
        <v>0</v>
      </c>
      <c r="Y48" s="45">
        <f>ROUND((VLOOKUP(A48,'Cumulative pupils per year'!$A$3:$S$88,3,FALSE)),0)</f>
        <v>3</v>
      </c>
      <c r="Z48" s="274">
        <f t="shared" si="14"/>
        <v>1</v>
      </c>
      <c r="AA48" s="274">
        <f t="shared" si="15"/>
        <v>1</v>
      </c>
      <c r="AB48" s="274">
        <f t="shared" si="16"/>
        <v>1</v>
      </c>
      <c r="AC48" s="274">
        <f t="shared" si="17"/>
        <v>0</v>
      </c>
      <c r="AD48" s="274">
        <f t="shared" si="18"/>
        <v>0</v>
      </c>
      <c r="AE48" s="274">
        <f t="shared" si="19"/>
        <v>0</v>
      </c>
      <c r="AF48" s="274">
        <f t="shared" si="20"/>
        <v>0</v>
      </c>
      <c r="AG48" s="43">
        <f>ROUND((VLOOKUP(A48,'Cumulative pupils per year'!$A$3:$S$88,4,FALSE)),0)</f>
        <v>3</v>
      </c>
      <c r="AH48" s="46">
        <f t="shared" si="21"/>
        <v>1</v>
      </c>
      <c r="AI48" s="46">
        <f t="shared" si="22"/>
        <v>1</v>
      </c>
      <c r="AJ48" s="46">
        <f t="shared" si="23"/>
        <v>1</v>
      </c>
      <c r="AK48" s="46">
        <f t="shared" si="24"/>
        <v>0</v>
      </c>
      <c r="AL48" s="46">
        <f t="shared" si="25"/>
        <v>0</v>
      </c>
      <c r="AM48" s="46">
        <f t="shared" si="26"/>
        <v>0</v>
      </c>
      <c r="AN48" s="46">
        <f t="shared" si="27"/>
        <v>0</v>
      </c>
      <c r="AO48" s="45">
        <f>ROUND((VLOOKUP(A48,'Cumulative pupils per year'!$A$3:$S$88,5,FALSE)),0)</f>
        <v>3</v>
      </c>
      <c r="AP48" s="274">
        <f t="shared" si="28"/>
        <v>1</v>
      </c>
      <c r="AQ48" s="274">
        <f t="shared" si="29"/>
        <v>1</v>
      </c>
      <c r="AR48" s="274">
        <f t="shared" si="30"/>
        <v>1</v>
      </c>
      <c r="AS48" s="274">
        <f t="shared" si="31"/>
        <v>0</v>
      </c>
      <c r="AT48" s="274">
        <f t="shared" si="32"/>
        <v>0</v>
      </c>
      <c r="AU48" s="274">
        <f t="shared" si="33"/>
        <v>0</v>
      </c>
      <c r="AV48" s="274">
        <f t="shared" si="34"/>
        <v>0</v>
      </c>
      <c r="AW48" s="43">
        <f>ROUND((VLOOKUP(A48,'Cumulative pupils per year'!$A$3:$S$88,6,FALSE)),0)</f>
        <v>3</v>
      </c>
      <c r="AX48" s="46">
        <f t="shared" si="35"/>
        <v>1</v>
      </c>
      <c r="AY48" s="46">
        <f t="shared" si="36"/>
        <v>1</v>
      </c>
      <c r="AZ48" s="46">
        <f t="shared" si="37"/>
        <v>1</v>
      </c>
      <c r="BA48" s="46">
        <f t="shared" si="38"/>
        <v>1</v>
      </c>
      <c r="BB48" s="46">
        <f t="shared" si="39"/>
        <v>0</v>
      </c>
      <c r="BC48" s="46">
        <f t="shared" si="40"/>
        <v>0</v>
      </c>
      <c r="BD48" s="46">
        <f t="shared" si="41"/>
        <v>0</v>
      </c>
      <c r="BE48" s="45">
        <f>ROUND((VLOOKUP(A48,'Cumulative pupils per year'!$A$3:$S$88,7,FALSE)),0)</f>
        <v>4</v>
      </c>
      <c r="BF48" s="274">
        <f t="shared" si="42"/>
        <v>1</v>
      </c>
      <c r="BG48" s="274">
        <f t="shared" si="43"/>
        <v>1</v>
      </c>
      <c r="BH48" s="274">
        <f t="shared" si="44"/>
        <v>1</v>
      </c>
      <c r="BI48" s="274">
        <f t="shared" si="45"/>
        <v>1</v>
      </c>
      <c r="BJ48" s="274">
        <f t="shared" si="46"/>
        <v>1</v>
      </c>
      <c r="BK48" s="274">
        <f t="shared" si="47"/>
        <v>1</v>
      </c>
      <c r="BL48" s="274">
        <f t="shared" si="48"/>
        <v>0</v>
      </c>
      <c r="BM48" s="43">
        <f>ROUND((VLOOKUP(A48,'Cumulative pupils per year'!$A$3:$S$88,8,FALSE)),0)</f>
        <v>6</v>
      </c>
      <c r="BN48" s="46">
        <f t="shared" si="49"/>
        <v>1</v>
      </c>
      <c r="BO48" s="46">
        <f t="shared" si="50"/>
        <v>1</v>
      </c>
      <c r="BP48" s="46">
        <f t="shared" si="51"/>
        <v>1</v>
      </c>
      <c r="BQ48" s="46">
        <f t="shared" si="52"/>
        <v>1</v>
      </c>
      <c r="BR48" s="46">
        <f t="shared" si="53"/>
        <v>1</v>
      </c>
      <c r="BS48" s="46">
        <f t="shared" si="54"/>
        <v>1</v>
      </c>
      <c r="BT48" s="46">
        <f t="shared" si="55"/>
        <v>0</v>
      </c>
      <c r="BU48" s="45">
        <f>ROUND((VLOOKUP(A48,'Cumulative pupils per year'!$A$3:$S$88,9,FALSE)),0)</f>
        <v>6</v>
      </c>
      <c r="BV48" s="274">
        <f t="shared" si="56"/>
        <v>1</v>
      </c>
      <c r="BW48" s="274">
        <f t="shared" si="57"/>
        <v>1</v>
      </c>
      <c r="BX48" s="274">
        <f t="shared" si="58"/>
        <v>1</v>
      </c>
      <c r="BY48" s="274">
        <f t="shared" si="59"/>
        <v>1</v>
      </c>
      <c r="BZ48" s="274">
        <f t="shared" si="60"/>
        <v>1</v>
      </c>
      <c r="CA48" s="274">
        <f t="shared" si="61"/>
        <v>1</v>
      </c>
      <c r="CB48" s="274">
        <f t="shared" si="62"/>
        <v>0</v>
      </c>
      <c r="CC48" s="43">
        <f>ROUND((VLOOKUP(A48,'Cumulative pupils per year'!$A$3:$S$88,10,FALSE)),0)</f>
        <v>6</v>
      </c>
      <c r="CD48" s="46">
        <f t="shared" si="63"/>
        <v>1</v>
      </c>
      <c r="CE48" s="46">
        <f t="shared" si="64"/>
        <v>1</v>
      </c>
      <c r="CF48" s="46">
        <f t="shared" si="65"/>
        <v>1</v>
      </c>
      <c r="CG48" s="46">
        <f t="shared" si="66"/>
        <v>1</v>
      </c>
      <c r="CH48" s="46">
        <f t="shared" si="67"/>
        <v>1</v>
      </c>
      <c r="CI48" s="46">
        <f t="shared" si="68"/>
        <v>1</v>
      </c>
      <c r="CJ48" s="46">
        <f t="shared" si="69"/>
        <v>0</v>
      </c>
      <c r="CK48" s="45">
        <f>ROUND((VLOOKUP(A48,'Cumulative pupils per year'!$A$3:$S$88,11,FALSE)),0)</f>
        <v>6</v>
      </c>
      <c r="CL48" s="274">
        <f t="shared" si="70"/>
        <v>1</v>
      </c>
      <c r="CM48" s="274">
        <f t="shared" si="71"/>
        <v>1</v>
      </c>
      <c r="CN48" s="274">
        <f t="shared" si="72"/>
        <v>1</v>
      </c>
      <c r="CO48" s="274">
        <f t="shared" si="73"/>
        <v>1</v>
      </c>
      <c r="CP48" s="274">
        <f t="shared" si="74"/>
        <v>1</v>
      </c>
      <c r="CQ48" s="274">
        <f t="shared" si="75"/>
        <v>1</v>
      </c>
      <c r="CR48" s="274">
        <f t="shared" si="76"/>
        <v>0</v>
      </c>
      <c r="CS48" s="291">
        <f>ROUND((VLOOKUP(A48,'Cumulative pupils per year'!$A$3:$S$88,12,FALSE)),0)</f>
        <v>6</v>
      </c>
      <c r="CT48" s="46">
        <f t="shared" si="77"/>
        <v>1</v>
      </c>
      <c r="CU48" s="46">
        <f t="shared" si="78"/>
        <v>1</v>
      </c>
      <c r="CV48" s="46">
        <f t="shared" si="79"/>
        <v>1</v>
      </c>
      <c r="CW48" s="46">
        <f t="shared" si="80"/>
        <v>1</v>
      </c>
      <c r="CX48" s="46">
        <f t="shared" si="81"/>
        <v>1</v>
      </c>
      <c r="CY48" s="46">
        <f t="shared" si="82"/>
        <v>1</v>
      </c>
      <c r="CZ48" s="46">
        <f t="shared" si="83"/>
        <v>0</v>
      </c>
      <c r="DA48" s="45">
        <f>ROUND((VLOOKUP(A48,'Cumulative pupils per year'!$A$3:$S$88,13,FALSE)),0)</f>
        <v>6</v>
      </c>
      <c r="DB48" s="274">
        <f t="shared" si="84"/>
        <v>1</v>
      </c>
      <c r="DC48" s="274">
        <f t="shared" si="85"/>
        <v>1</v>
      </c>
      <c r="DD48" s="274">
        <f t="shared" si="86"/>
        <v>1</v>
      </c>
      <c r="DE48" s="274">
        <f t="shared" si="87"/>
        <v>1</v>
      </c>
      <c r="DF48" s="274">
        <f t="shared" si="88"/>
        <v>1</v>
      </c>
      <c r="DG48" s="274">
        <f t="shared" si="89"/>
        <v>1</v>
      </c>
      <c r="DH48" s="274">
        <f t="shared" si="90"/>
        <v>0</v>
      </c>
      <c r="DI48" s="291">
        <f>ROUND((VLOOKUP(A48,'Cumulative pupils per year'!$A$3:$S$88,14,FALSE)),0)</f>
        <v>6</v>
      </c>
      <c r="DJ48" s="46">
        <f t="shared" si="91"/>
        <v>1</v>
      </c>
      <c r="DK48" s="46">
        <f t="shared" si="92"/>
        <v>1</v>
      </c>
      <c r="DL48" s="46">
        <f t="shared" si="93"/>
        <v>1</v>
      </c>
      <c r="DM48" s="46">
        <f t="shared" si="94"/>
        <v>1</v>
      </c>
      <c r="DN48" s="46">
        <f t="shared" si="95"/>
        <v>1</v>
      </c>
      <c r="DO48" s="46">
        <f t="shared" si="96"/>
        <v>1</v>
      </c>
      <c r="DP48" s="46">
        <f t="shared" si="97"/>
        <v>0</v>
      </c>
      <c r="DQ48" s="45">
        <f>ROUND((VLOOKUP(A48,'Cumulative pupils per year'!$A$3:$S$88,15,FALSE)),0)</f>
        <v>6</v>
      </c>
    </row>
    <row r="49" spans="1:121">
      <c r="A49" s="4" t="s">
        <v>46</v>
      </c>
      <c r="B49" s="46">
        <v>0</v>
      </c>
      <c r="C49" s="46">
        <v>0</v>
      </c>
      <c r="D49" s="46">
        <v>0</v>
      </c>
      <c r="E49" s="46">
        <v>0</v>
      </c>
      <c r="F49" s="46">
        <v>0</v>
      </c>
      <c r="G49" s="46">
        <v>0</v>
      </c>
      <c r="H49" s="46">
        <v>0</v>
      </c>
      <c r="I49" s="45">
        <v>0</v>
      </c>
      <c r="J49" s="44">
        <f t="shared" si="273"/>
        <v>0</v>
      </c>
      <c r="K49" s="44">
        <f t="shared" si="274"/>
        <v>0</v>
      </c>
      <c r="L49" s="44">
        <f t="shared" si="275"/>
        <v>0</v>
      </c>
      <c r="M49" s="44">
        <f t="shared" si="276"/>
        <v>0</v>
      </c>
      <c r="N49" s="44">
        <f t="shared" si="277"/>
        <v>0</v>
      </c>
      <c r="O49" s="44">
        <f t="shared" si="278"/>
        <v>0</v>
      </c>
      <c r="P49" s="44">
        <f t="shared" si="279"/>
        <v>0</v>
      </c>
      <c r="Q49" s="43">
        <f>ROUND((VLOOKUP(A49,'Cumulative pupils per year'!$A$3:$S$88,2,FALSE)),0)</f>
        <v>0</v>
      </c>
      <c r="R49" s="46">
        <f t="shared" si="7"/>
        <v>1</v>
      </c>
      <c r="S49" s="46">
        <f t="shared" si="8"/>
        <v>0</v>
      </c>
      <c r="T49" s="46">
        <f t="shared" si="9"/>
        <v>0</v>
      </c>
      <c r="U49" s="46">
        <f t="shared" si="10"/>
        <v>0</v>
      </c>
      <c r="V49" s="46">
        <f t="shared" si="11"/>
        <v>0</v>
      </c>
      <c r="W49" s="46">
        <f t="shared" si="12"/>
        <v>0</v>
      </c>
      <c r="X49" s="46">
        <f t="shared" si="13"/>
        <v>0</v>
      </c>
      <c r="Y49" s="45">
        <f>ROUND((VLOOKUP(A49,'Cumulative pupils per year'!$A$3:$S$88,3,FALSE)),0)</f>
        <v>1</v>
      </c>
      <c r="Z49" s="274">
        <f t="shared" si="14"/>
        <v>1</v>
      </c>
      <c r="AA49" s="274">
        <f t="shared" si="15"/>
        <v>1</v>
      </c>
      <c r="AB49" s="274">
        <f t="shared" si="16"/>
        <v>1</v>
      </c>
      <c r="AC49" s="274">
        <f t="shared" si="17"/>
        <v>0</v>
      </c>
      <c r="AD49" s="274">
        <f t="shared" si="18"/>
        <v>0</v>
      </c>
      <c r="AE49" s="274">
        <f t="shared" si="19"/>
        <v>0</v>
      </c>
      <c r="AF49" s="274">
        <f t="shared" si="20"/>
        <v>0</v>
      </c>
      <c r="AG49" s="43">
        <f>ROUND((VLOOKUP(A49,'Cumulative pupils per year'!$A$3:$S$88,4,FALSE)),0)</f>
        <v>3</v>
      </c>
      <c r="AH49" s="46">
        <f t="shared" si="21"/>
        <v>1</v>
      </c>
      <c r="AI49" s="46">
        <f t="shared" si="22"/>
        <v>1</v>
      </c>
      <c r="AJ49" s="46">
        <f t="shared" si="23"/>
        <v>1</v>
      </c>
      <c r="AK49" s="46">
        <f t="shared" si="24"/>
        <v>0</v>
      </c>
      <c r="AL49" s="46">
        <f t="shared" si="25"/>
        <v>0</v>
      </c>
      <c r="AM49" s="46">
        <f t="shared" si="26"/>
        <v>0</v>
      </c>
      <c r="AN49" s="46">
        <f t="shared" si="27"/>
        <v>0</v>
      </c>
      <c r="AO49" s="45">
        <f>ROUND((VLOOKUP(A49,'Cumulative pupils per year'!$A$3:$S$88,5,FALSE)),0)</f>
        <v>3</v>
      </c>
      <c r="AP49" s="274">
        <f t="shared" si="28"/>
        <v>1</v>
      </c>
      <c r="AQ49" s="274">
        <f t="shared" si="29"/>
        <v>1</v>
      </c>
      <c r="AR49" s="274">
        <f t="shared" si="30"/>
        <v>1</v>
      </c>
      <c r="AS49" s="274">
        <f t="shared" si="31"/>
        <v>0</v>
      </c>
      <c r="AT49" s="274">
        <f t="shared" si="32"/>
        <v>0</v>
      </c>
      <c r="AU49" s="274">
        <f t="shared" si="33"/>
        <v>0</v>
      </c>
      <c r="AV49" s="274">
        <f t="shared" si="34"/>
        <v>0</v>
      </c>
      <c r="AW49" s="43">
        <f>ROUND((VLOOKUP(A49,'Cumulative pupils per year'!$A$3:$S$88,6,FALSE)),0)</f>
        <v>3</v>
      </c>
      <c r="AX49" s="46">
        <f t="shared" si="35"/>
        <v>1</v>
      </c>
      <c r="AY49" s="46">
        <f t="shared" si="36"/>
        <v>1</v>
      </c>
      <c r="AZ49" s="46">
        <f t="shared" si="37"/>
        <v>1</v>
      </c>
      <c r="BA49" s="46">
        <f t="shared" si="38"/>
        <v>0</v>
      </c>
      <c r="BB49" s="46">
        <f t="shared" si="39"/>
        <v>0</v>
      </c>
      <c r="BC49" s="46">
        <f t="shared" si="40"/>
        <v>0</v>
      </c>
      <c r="BD49" s="46">
        <f t="shared" si="41"/>
        <v>0</v>
      </c>
      <c r="BE49" s="45">
        <f>ROUND((VLOOKUP(A49,'Cumulative pupils per year'!$A$3:$S$88,7,FALSE)),0)</f>
        <v>3</v>
      </c>
      <c r="BF49" s="274">
        <f t="shared" si="42"/>
        <v>1</v>
      </c>
      <c r="BG49" s="274">
        <f t="shared" si="43"/>
        <v>1</v>
      </c>
      <c r="BH49" s="274">
        <f t="shared" si="44"/>
        <v>1</v>
      </c>
      <c r="BI49" s="274">
        <f t="shared" si="45"/>
        <v>0</v>
      </c>
      <c r="BJ49" s="274">
        <f t="shared" si="46"/>
        <v>0</v>
      </c>
      <c r="BK49" s="274">
        <f t="shared" si="47"/>
        <v>0</v>
      </c>
      <c r="BL49" s="274">
        <f t="shared" si="48"/>
        <v>0</v>
      </c>
      <c r="BM49" s="43">
        <f>ROUND((VLOOKUP(A49,'Cumulative pupils per year'!$A$3:$S$88,8,FALSE)),0)</f>
        <v>3</v>
      </c>
      <c r="BN49" s="46">
        <f t="shared" si="49"/>
        <v>1</v>
      </c>
      <c r="BO49" s="46">
        <f t="shared" si="50"/>
        <v>1</v>
      </c>
      <c r="BP49" s="46">
        <f t="shared" si="51"/>
        <v>1</v>
      </c>
      <c r="BQ49" s="46">
        <f t="shared" si="52"/>
        <v>0</v>
      </c>
      <c r="BR49" s="46">
        <f t="shared" si="53"/>
        <v>0</v>
      </c>
      <c r="BS49" s="46">
        <f t="shared" si="54"/>
        <v>0</v>
      </c>
      <c r="BT49" s="46">
        <f t="shared" si="55"/>
        <v>0</v>
      </c>
      <c r="BU49" s="45">
        <f>ROUND((VLOOKUP(A49,'Cumulative pupils per year'!$A$3:$S$88,9,FALSE)),0)</f>
        <v>3</v>
      </c>
      <c r="BV49" s="274">
        <f t="shared" si="56"/>
        <v>1</v>
      </c>
      <c r="BW49" s="274">
        <f t="shared" si="57"/>
        <v>1</v>
      </c>
      <c r="BX49" s="274">
        <f t="shared" si="58"/>
        <v>1</v>
      </c>
      <c r="BY49" s="274">
        <f t="shared" si="59"/>
        <v>0</v>
      </c>
      <c r="BZ49" s="274">
        <f t="shared" si="60"/>
        <v>0</v>
      </c>
      <c r="CA49" s="274">
        <f t="shared" si="61"/>
        <v>0</v>
      </c>
      <c r="CB49" s="274">
        <f t="shared" si="62"/>
        <v>0</v>
      </c>
      <c r="CC49" s="43">
        <f>ROUND((VLOOKUP(A49,'Cumulative pupils per year'!$A$3:$S$88,10,FALSE)),0)</f>
        <v>3</v>
      </c>
      <c r="CD49" s="46">
        <f t="shared" si="63"/>
        <v>1</v>
      </c>
      <c r="CE49" s="46">
        <f t="shared" si="64"/>
        <v>1</v>
      </c>
      <c r="CF49" s="46">
        <f t="shared" si="65"/>
        <v>1</v>
      </c>
      <c r="CG49" s="46">
        <f t="shared" si="66"/>
        <v>0</v>
      </c>
      <c r="CH49" s="46">
        <f t="shared" si="67"/>
        <v>0</v>
      </c>
      <c r="CI49" s="46">
        <f t="shared" si="68"/>
        <v>0</v>
      </c>
      <c r="CJ49" s="46">
        <f t="shared" si="69"/>
        <v>0</v>
      </c>
      <c r="CK49" s="45">
        <f>ROUND((VLOOKUP(A49,'Cumulative pupils per year'!$A$3:$S$88,11,FALSE)),0)</f>
        <v>3</v>
      </c>
      <c r="CL49" s="274">
        <f t="shared" si="70"/>
        <v>1</v>
      </c>
      <c r="CM49" s="274">
        <f t="shared" si="71"/>
        <v>1</v>
      </c>
      <c r="CN49" s="274">
        <f t="shared" si="72"/>
        <v>1</v>
      </c>
      <c r="CO49" s="274">
        <f t="shared" si="73"/>
        <v>0</v>
      </c>
      <c r="CP49" s="274">
        <f t="shared" si="74"/>
        <v>0</v>
      </c>
      <c r="CQ49" s="274">
        <f t="shared" si="75"/>
        <v>0</v>
      </c>
      <c r="CR49" s="274">
        <f t="shared" si="76"/>
        <v>0</v>
      </c>
      <c r="CS49" s="291">
        <f>ROUND((VLOOKUP(A49,'Cumulative pupils per year'!$A$3:$S$88,12,FALSE)),0)</f>
        <v>3</v>
      </c>
      <c r="CT49" s="46">
        <f t="shared" si="77"/>
        <v>1</v>
      </c>
      <c r="CU49" s="46">
        <f t="shared" si="78"/>
        <v>1</v>
      </c>
      <c r="CV49" s="46">
        <f t="shared" si="79"/>
        <v>1</v>
      </c>
      <c r="CW49" s="46">
        <f t="shared" si="80"/>
        <v>0</v>
      </c>
      <c r="CX49" s="46">
        <f t="shared" si="81"/>
        <v>0</v>
      </c>
      <c r="CY49" s="46">
        <f t="shared" si="82"/>
        <v>0</v>
      </c>
      <c r="CZ49" s="46">
        <f t="shared" si="83"/>
        <v>0</v>
      </c>
      <c r="DA49" s="45">
        <f>ROUND((VLOOKUP(A49,'Cumulative pupils per year'!$A$3:$S$88,13,FALSE)),0)</f>
        <v>3</v>
      </c>
      <c r="DB49" s="274">
        <f t="shared" si="84"/>
        <v>1</v>
      </c>
      <c r="DC49" s="274">
        <f t="shared" si="85"/>
        <v>1</v>
      </c>
      <c r="DD49" s="274">
        <f t="shared" si="86"/>
        <v>1</v>
      </c>
      <c r="DE49" s="274">
        <f t="shared" si="87"/>
        <v>0</v>
      </c>
      <c r="DF49" s="274">
        <f t="shared" si="88"/>
        <v>0</v>
      </c>
      <c r="DG49" s="274">
        <f t="shared" si="89"/>
        <v>0</v>
      </c>
      <c r="DH49" s="274">
        <f t="shared" si="90"/>
        <v>0</v>
      </c>
      <c r="DI49" s="291">
        <f>ROUND((VLOOKUP(A49,'Cumulative pupils per year'!$A$3:$S$88,14,FALSE)),0)</f>
        <v>3</v>
      </c>
      <c r="DJ49" s="46">
        <f t="shared" si="91"/>
        <v>1</v>
      </c>
      <c r="DK49" s="46">
        <f t="shared" si="92"/>
        <v>1</v>
      </c>
      <c r="DL49" s="46">
        <f t="shared" si="93"/>
        <v>1</v>
      </c>
      <c r="DM49" s="46">
        <f t="shared" si="94"/>
        <v>0</v>
      </c>
      <c r="DN49" s="46">
        <f t="shared" si="95"/>
        <v>0</v>
      </c>
      <c r="DO49" s="46">
        <f t="shared" si="96"/>
        <v>0</v>
      </c>
      <c r="DP49" s="46">
        <f t="shared" si="97"/>
        <v>0</v>
      </c>
      <c r="DQ49" s="45">
        <f>ROUND((VLOOKUP(A49,'Cumulative pupils per year'!$A$3:$S$88,15,FALSE)),0)</f>
        <v>3</v>
      </c>
    </row>
    <row r="50" spans="1:121">
      <c r="A50" s="4" t="s">
        <v>47</v>
      </c>
      <c r="B50" s="46">
        <v>1</v>
      </c>
      <c r="C50" s="46">
        <v>1</v>
      </c>
      <c r="D50" s="46">
        <v>0</v>
      </c>
      <c r="E50" s="46">
        <v>0</v>
      </c>
      <c r="F50" s="46">
        <v>0</v>
      </c>
      <c r="G50" s="46">
        <v>0</v>
      </c>
      <c r="H50" s="46">
        <v>0</v>
      </c>
      <c r="I50" s="45">
        <v>2</v>
      </c>
      <c r="J50" s="44">
        <f t="shared" si="273"/>
        <v>0</v>
      </c>
      <c r="K50" s="44">
        <f t="shared" si="274"/>
        <v>0</v>
      </c>
      <c r="L50" s="44">
        <f t="shared" si="275"/>
        <v>0</v>
      </c>
      <c r="M50" s="44">
        <f t="shared" si="276"/>
        <v>0</v>
      </c>
      <c r="N50" s="44">
        <f t="shared" si="277"/>
        <v>0</v>
      </c>
      <c r="O50" s="44">
        <f t="shared" si="278"/>
        <v>0</v>
      </c>
      <c r="P50" s="44">
        <f t="shared" si="279"/>
        <v>0</v>
      </c>
      <c r="Q50" s="43">
        <f>ROUND((VLOOKUP(A50,'Cumulative pupils per year'!$A$3:$S$88,2,FALSE)),0)</f>
        <v>0</v>
      </c>
      <c r="R50" s="46">
        <f t="shared" si="7"/>
        <v>0</v>
      </c>
      <c r="S50" s="46">
        <f t="shared" si="8"/>
        <v>0</v>
      </c>
      <c r="T50" s="46">
        <f t="shared" si="9"/>
        <v>0</v>
      </c>
      <c r="U50" s="46">
        <f t="shared" si="10"/>
        <v>0</v>
      </c>
      <c r="V50" s="46">
        <f t="shared" si="11"/>
        <v>0</v>
      </c>
      <c r="W50" s="46">
        <f t="shared" si="12"/>
        <v>0</v>
      </c>
      <c r="X50" s="46">
        <f t="shared" si="13"/>
        <v>0</v>
      </c>
      <c r="Y50" s="45">
        <f>ROUND((VLOOKUP(A50,'Cumulative pupils per year'!$A$3:$S$88,3,FALSE)),0)</f>
        <v>0</v>
      </c>
      <c r="Z50" s="274">
        <f t="shared" si="14"/>
        <v>0</v>
      </c>
      <c r="AA50" s="274">
        <f t="shared" si="15"/>
        <v>0</v>
      </c>
      <c r="AB50" s="274">
        <f t="shared" si="16"/>
        <v>0</v>
      </c>
      <c r="AC50" s="274">
        <f t="shared" si="17"/>
        <v>0</v>
      </c>
      <c r="AD50" s="274">
        <f t="shared" si="18"/>
        <v>0</v>
      </c>
      <c r="AE50" s="274">
        <f t="shared" si="19"/>
        <v>0</v>
      </c>
      <c r="AF50" s="274">
        <f t="shared" si="20"/>
        <v>0</v>
      </c>
      <c r="AG50" s="43">
        <f>ROUND((VLOOKUP(A50,'Cumulative pupils per year'!$A$3:$S$88,4,FALSE)),0)</f>
        <v>0</v>
      </c>
      <c r="AH50" s="46">
        <f t="shared" si="21"/>
        <v>0</v>
      </c>
      <c r="AI50" s="46">
        <f t="shared" si="22"/>
        <v>0</v>
      </c>
      <c r="AJ50" s="46">
        <f t="shared" si="23"/>
        <v>0</v>
      </c>
      <c r="AK50" s="46">
        <f t="shared" si="24"/>
        <v>0</v>
      </c>
      <c r="AL50" s="46">
        <f t="shared" si="25"/>
        <v>0</v>
      </c>
      <c r="AM50" s="46">
        <f t="shared" si="26"/>
        <v>0</v>
      </c>
      <c r="AN50" s="46">
        <f t="shared" si="27"/>
        <v>0</v>
      </c>
      <c r="AO50" s="45">
        <f>ROUND((VLOOKUP(A50,'Cumulative pupils per year'!$A$3:$S$88,5,FALSE)),0)</f>
        <v>0</v>
      </c>
      <c r="AP50" s="274">
        <f t="shared" si="28"/>
        <v>0</v>
      </c>
      <c r="AQ50" s="274">
        <f t="shared" si="29"/>
        <v>0</v>
      </c>
      <c r="AR50" s="274">
        <f t="shared" si="30"/>
        <v>0</v>
      </c>
      <c r="AS50" s="274">
        <f t="shared" si="31"/>
        <v>0</v>
      </c>
      <c r="AT50" s="274">
        <f t="shared" si="32"/>
        <v>0</v>
      </c>
      <c r="AU50" s="274">
        <f t="shared" si="33"/>
        <v>0</v>
      </c>
      <c r="AV50" s="274">
        <f t="shared" si="34"/>
        <v>0</v>
      </c>
      <c r="AW50" s="43">
        <f>ROUND((VLOOKUP(A50,'Cumulative pupils per year'!$A$3:$S$88,6,FALSE)),0)</f>
        <v>0</v>
      </c>
      <c r="AX50" s="46">
        <f t="shared" si="35"/>
        <v>0</v>
      </c>
      <c r="AY50" s="46">
        <f t="shared" si="36"/>
        <v>0</v>
      </c>
      <c r="AZ50" s="46">
        <f t="shared" si="37"/>
        <v>0</v>
      </c>
      <c r="BA50" s="46">
        <f t="shared" si="38"/>
        <v>0</v>
      </c>
      <c r="BB50" s="46">
        <f t="shared" si="39"/>
        <v>0</v>
      </c>
      <c r="BC50" s="46">
        <f t="shared" si="40"/>
        <v>0</v>
      </c>
      <c r="BD50" s="46">
        <f t="shared" si="41"/>
        <v>0</v>
      </c>
      <c r="BE50" s="45">
        <f>ROUND((VLOOKUP(A50,'Cumulative pupils per year'!$A$3:$S$88,7,FALSE)),0)</f>
        <v>0</v>
      </c>
      <c r="BF50" s="274">
        <f t="shared" si="42"/>
        <v>0</v>
      </c>
      <c r="BG50" s="274">
        <f t="shared" si="43"/>
        <v>0</v>
      </c>
      <c r="BH50" s="274">
        <f t="shared" si="44"/>
        <v>0</v>
      </c>
      <c r="BI50" s="274">
        <f t="shared" si="45"/>
        <v>0</v>
      </c>
      <c r="BJ50" s="274">
        <f t="shared" si="46"/>
        <v>0</v>
      </c>
      <c r="BK50" s="274">
        <f t="shared" si="47"/>
        <v>0</v>
      </c>
      <c r="BL50" s="274">
        <f t="shared" si="48"/>
        <v>0</v>
      </c>
      <c r="BM50" s="43">
        <f>ROUND((VLOOKUP(A50,'Cumulative pupils per year'!$A$3:$S$88,8,FALSE)),0)</f>
        <v>0</v>
      </c>
      <c r="BN50" s="46">
        <f t="shared" si="49"/>
        <v>0</v>
      </c>
      <c r="BO50" s="46">
        <f t="shared" si="50"/>
        <v>0</v>
      </c>
      <c r="BP50" s="46">
        <f t="shared" si="51"/>
        <v>0</v>
      </c>
      <c r="BQ50" s="46">
        <f t="shared" si="52"/>
        <v>0</v>
      </c>
      <c r="BR50" s="46">
        <f t="shared" si="53"/>
        <v>0</v>
      </c>
      <c r="BS50" s="46">
        <f t="shared" si="54"/>
        <v>0</v>
      </c>
      <c r="BT50" s="46">
        <f t="shared" si="55"/>
        <v>0</v>
      </c>
      <c r="BU50" s="45">
        <f>ROUND((VLOOKUP(A50,'Cumulative pupils per year'!$A$3:$S$88,9,FALSE)),0)</f>
        <v>0</v>
      </c>
      <c r="BV50" s="274">
        <f t="shared" si="56"/>
        <v>0</v>
      </c>
      <c r="BW50" s="274">
        <f t="shared" si="57"/>
        <v>0</v>
      </c>
      <c r="BX50" s="274">
        <f t="shared" si="58"/>
        <v>0</v>
      </c>
      <c r="BY50" s="274">
        <f t="shared" si="59"/>
        <v>0</v>
      </c>
      <c r="BZ50" s="274">
        <f t="shared" si="60"/>
        <v>0</v>
      </c>
      <c r="CA50" s="274">
        <f t="shared" si="61"/>
        <v>0</v>
      </c>
      <c r="CB50" s="274">
        <f t="shared" si="62"/>
        <v>0</v>
      </c>
      <c r="CC50" s="43">
        <f>ROUND((VLOOKUP(A50,'Cumulative pupils per year'!$A$3:$S$88,10,FALSE)),0)</f>
        <v>0</v>
      </c>
      <c r="CD50" s="46">
        <f t="shared" si="63"/>
        <v>0</v>
      </c>
      <c r="CE50" s="46">
        <f t="shared" si="64"/>
        <v>0</v>
      </c>
      <c r="CF50" s="46">
        <f t="shared" si="65"/>
        <v>0</v>
      </c>
      <c r="CG50" s="46">
        <f t="shared" si="66"/>
        <v>0</v>
      </c>
      <c r="CH50" s="46">
        <f t="shared" si="67"/>
        <v>0</v>
      </c>
      <c r="CI50" s="46">
        <f t="shared" si="68"/>
        <v>0</v>
      </c>
      <c r="CJ50" s="46">
        <f t="shared" si="69"/>
        <v>0</v>
      </c>
      <c r="CK50" s="45">
        <f>ROUND((VLOOKUP(A50,'Cumulative pupils per year'!$A$3:$S$88,11,FALSE)),0)</f>
        <v>0</v>
      </c>
      <c r="CL50" s="274">
        <f t="shared" si="70"/>
        <v>0</v>
      </c>
      <c r="CM50" s="274">
        <f t="shared" si="71"/>
        <v>0</v>
      </c>
      <c r="CN50" s="274">
        <f t="shared" si="72"/>
        <v>0</v>
      </c>
      <c r="CO50" s="274">
        <f t="shared" si="73"/>
        <v>0</v>
      </c>
      <c r="CP50" s="274">
        <f t="shared" si="74"/>
        <v>0</v>
      </c>
      <c r="CQ50" s="274">
        <f t="shared" si="75"/>
        <v>0</v>
      </c>
      <c r="CR50" s="274">
        <f t="shared" si="76"/>
        <v>0</v>
      </c>
      <c r="CS50" s="291">
        <f>ROUND((VLOOKUP(A50,'Cumulative pupils per year'!$A$3:$S$88,12,FALSE)),0)</f>
        <v>0</v>
      </c>
      <c r="CT50" s="46">
        <f t="shared" si="77"/>
        <v>0</v>
      </c>
      <c r="CU50" s="46">
        <f t="shared" si="78"/>
        <v>0</v>
      </c>
      <c r="CV50" s="46">
        <f t="shared" si="79"/>
        <v>0</v>
      </c>
      <c r="CW50" s="46">
        <f t="shared" si="80"/>
        <v>0</v>
      </c>
      <c r="CX50" s="46">
        <f t="shared" si="81"/>
        <v>0</v>
      </c>
      <c r="CY50" s="46">
        <f t="shared" si="82"/>
        <v>0</v>
      </c>
      <c r="CZ50" s="46">
        <f t="shared" si="83"/>
        <v>0</v>
      </c>
      <c r="DA50" s="45">
        <f>ROUND((VLOOKUP(A50,'Cumulative pupils per year'!$A$3:$S$88,13,FALSE)),0)</f>
        <v>0</v>
      </c>
      <c r="DB50" s="274">
        <f t="shared" si="84"/>
        <v>0</v>
      </c>
      <c r="DC50" s="274">
        <f t="shared" si="85"/>
        <v>0</v>
      </c>
      <c r="DD50" s="274">
        <f t="shared" si="86"/>
        <v>0</v>
      </c>
      <c r="DE50" s="274">
        <f t="shared" si="87"/>
        <v>0</v>
      </c>
      <c r="DF50" s="274">
        <f t="shared" si="88"/>
        <v>0</v>
      </c>
      <c r="DG50" s="274">
        <f t="shared" si="89"/>
        <v>0</v>
      </c>
      <c r="DH50" s="274">
        <f t="shared" si="90"/>
        <v>0</v>
      </c>
      <c r="DI50" s="291">
        <f>ROUND((VLOOKUP(A50,'Cumulative pupils per year'!$A$3:$S$88,14,FALSE)),0)</f>
        <v>0</v>
      </c>
      <c r="DJ50" s="46">
        <f t="shared" si="91"/>
        <v>0</v>
      </c>
      <c r="DK50" s="46">
        <f t="shared" si="92"/>
        <v>0</v>
      </c>
      <c r="DL50" s="46">
        <f t="shared" si="93"/>
        <v>0</v>
      </c>
      <c r="DM50" s="46">
        <f t="shared" si="94"/>
        <v>0</v>
      </c>
      <c r="DN50" s="46">
        <f t="shared" si="95"/>
        <v>0</v>
      </c>
      <c r="DO50" s="46">
        <f t="shared" si="96"/>
        <v>0</v>
      </c>
      <c r="DP50" s="46">
        <f t="shared" si="97"/>
        <v>0</v>
      </c>
      <c r="DQ50" s="45">
        <f>ROUND((VLOOKUP(A50,'Cumulative pupils per year'!$A$3:$S$88,15,FALSE)),0)</f>
        <v>0</v>
      </c>
    </row>
    <row r="51" spans="1:121">
      <c r="A51" s="4" t="s">
        <v>48</v>
      </c>
      <c r="B51" s="46">
        <v>0</v>
      </c>
      <c r="C51" s="46">
        <v>0</v>
      </c>
      <c r="D51" s="46">
        <v>0</v>
      </c>
      <c r="E51" s="46">
        <v>0</v>
      </c>
      <c r="F51" s="46">
        <v>0</v>
      </c>
      <c r="G51" s="46">
        <v>0</v>
      </c>
      <c r="H51" s="46">
        <v>0</v>
      </c>
      <c r="I51" s="45">
        <v>0</v>
      </c>
      <c r="J51" s="44">
        <f t="shared" si="273"/>
        <v>0</v>
      </c>
      <c r="K51" s="44">
        <f t="shared" si="274"/>
        <v>0</v>
      </c>
      <c r="L51" s="44">
        <f t="shared" si="275"/>
        <v>0</v>
      </c>
      <c r="M51" s="44">
        <f t="shared" si="276"/>
        <v>0</v>
      </c>
      <c r="N51" s="44">
        <f t="shared" si="277"/>
        <v>0</v>
      </c>
      <c r="O51" s="44">
        <f t="shared" si="278"/>
        <v>0</v>
      </c>
      <c r="P51" s="44">
        <f t="shared" si="279"/>
        <v>0</v>
      </c>
      <c r="Q51" s="43">
        <f>ROUND((VLOOKUP(A51,'Cumulative pupils per year'!$A$3:$S$88,2,FALSE)),0)</f>
        <v>0</v>
      </c>
      <c r="R51" s="46">
        <f t="shared" si="7"/>
        <v>0</v>
      </c>
      <c r="S51" s="46">
        <f t="shared" si="8"/>
        <v>0</v>
      </c>
      <c r="T51" s="46">
        <f t="shared" si="9"/>
        <v>0</v>
      </c>
      <c r="U51" s="46">
        <f t="shared" si="10"/>
        <v>0</v>
      </c>
      <c r="V51" s="46">
        <f t="shared" si="11"/>
        <v>0</v>
      </c>
      <c r="W51" s="46">
        <f t="shared" si="12"/>
        <v>0</v>
      </c>
      <c r="X51" s="46">
        <f t="shared" si="13"/>
        <v>0</v>
      </c>
      <c r="Y51" s="45">
        <f>ROUND((VLOOKUP(A51,'Cumulative pupils per year'!$A$3:$S$88,3,FALSE)),0)</f>
        <v>0</v>
      </c>
      <c r="Z51" s="274">
        <f t="shared" si="14"/>
        <v>0</v>
      </c>
      <c r="AA51" s="274">
        <f t="shared" si="15"/>
        <v>0</v>
      </c>
      <c r="AB51" s="274">
        <f t="shared" si="16"/>
        <v>0</v>
      </c>
      <c r="AC51" s="274">
        <f t="shared" si="17"/>
        <v>0</v>
      </c>
      <c r="AD51" s="274">
        <f t="shared" si="18"/>
        <v>0</v>
      </c>
      <c r="AE51" s="274">
        <f t="shared" si="19"/>
        <v>0</v>
      </c>
      <c r="AF51" s="274">
        <f t="shared" si="20"/>
        <v>0</v>
      </c>
      <c r="AG51" s="43">
        <f>ROUND((VLOOKUP(A51,'Cumulative pupils per year'!$A$3:$S$88,4,FALSE)),0)</f>
        <v>0</v>
      </c>
      <c r="AH51" s="46">
        <f t="shared" si="21"/>
        <v>0</v>
      </c>
      <c r="AI51" s="46">
        <f t="shared" si="22"/>
        <v>0</v>
      </c>
      <c r="AJ51" s="46">
        <f t="shared" si="23"/>
        <v>0</v>
      </c>
      <c r="AK51" s="46">
        <f t="shared" si="24"/>
        <v>0</v>
      </c>
      <c r="AL51" s="46">
        <f t="shared" si="25"/>
        <v>0</v>
      </c>
      <c r="AM51" s="46">
        <f t="shared" si="26"/>
        <v>0</v>
      </c>
      <c r="AN51" s="46">
        <f t="shared" si="27"/>
        <v>0</v>
      </c>
      <c r="AO51" s="45">
        <f>ROUND((VLOOKUP(A51,'Cumulative pupils per year'!$A$3:$S$88,5,FALSE)),0)</f>
        <v>0</v>
      </c>
      <c r="AP51" s="274">
        <f t="shared" si="28"/>
        <v>0</v>
      </c>
      <c r="AQ51" s="274">
        <f t="shared" si="29"/>
        <v>0</v>
      </c>
      <c r="AR51" s="274">
        <f t="shared" si="30"/>
        <v>0</v>
      </c>
      <c r="AS51" s="274">
        <f t="shared" si="31"/>
        <v>0</v>
      </c>
      <c r="AT51" s="274">
        <f t="shared" si="32"/>
        <v>0</v>
      </c>
      <c r="AU51" s="274">
        <f t="shared" si="33"/>
        <v>0</v>
      </c>
      <c r="AV51" s="274">
        <f t="shared" si="34"/>
        <v>0</v>
      </c>
      <c r="AW51" s="43">
        <f>ROUND((VLOOKUP(A51,'Cumulative pupils per year'!$A$3:$S$88,6,FALSE)),0)</f>
        <v>0</v>
      </c>
      <c r="AX51" s="46">
        <f t="shared" si="35"/>
        <v>0</v>
      </c>
      <c r="AY51" s="46">
        <f t="shared" si="36"/>
        <v>0</v>
      </c>
      <c r="AZ51" s="46">
        <f t="shared" si="37"/>
        <v>0</v>
      </c>
      <c r="BA51" s="46">
        <f t="shared" si="38"/>
        <v>0</v>
      </c>
      <c r="BB51" s="46">
        <f t="shared" si="39"/>
        <v>0</v>
      </c>
      <c r="BC51" s="46">
        <f t="shared" si="40"/>
        <v>0</v>
      </c>
      <c r="BD51" s="46">
        <f t="shared" si="41"/>
        <v>0</v>
      </c>
      <c r="BE51" s="45">
        <f>ROUND((VLOOKUP(A51,'Cumulative pupils per year'!$A$3:$S$88,7,FALSE)),0)</f>
        <v>0</v>
      </c>
      <c r="BF51" s="274">
        <f t="shared" si="42"/>
        <v>0</v>
      </c>
      <c r="BG51" s="274">
        <f t="shared" si="43"/>
        <v>0</v>
      </c>
      <c r="BH51" s="274">
        <f t="shared" si="44"/>
        <v>0</v>
      </c>
      <c r="BI51" s="274">
        <f t="shared" si="45"/>
        <v>0</v>
      </c>
      <c r="BJ51" s="274">
        <f t="shared" si="46"/>
        <v>0</v>
      </c>
      <c r="BK51" s="274">
        <f t="shared" si="47"/>
        <v>0</v>
      </c>
      <c r="BL51" s="274">
        <f t="shared" si="48"/>
        <v>0</v>
      </c>
      <c r="BM51" s="43">
        <f>ROUND((VLOOKUP(A51,'Cumulative pupils per year'!$A$3:$S$88,8,FALSE)),0)</f>
        <v>0</v>
      </c>
      <c r="BN51" s="46">
        <f t="shared" si="49"/>
        <v>0</v>
      </c>
      <c r="BO51" s="46">
        <f t="shared" si="50"/>
        <v>0</v>
      </c>
      <c r="BP51" s="46">
        <f t="shared" si="51"/>
        <v>0</v>
      </c>
      <c r="BQ51" s="46">
        <f t="shared" si="52"/>
        <v>0</v>
      </c>
      <c r="BR51" s="46">
        <f t="shared" si="53"/>
        <v>0</v>
      </c>
      <c r="BS51" s="46">
        <f t="shared" si="54"/>
        <v>0</v>
      </c>
      <c r="BT51" s="46">
        <f t="shared" si="55"/>
        <v>0</v>
      </c>
      <c r="BU51" s="45">
        <f>ROUND((VLOOKUP(A51,'Cumulative pupils per year'!$A$3:$S$88,9,FALSE)),0)</f>
        <v>0</v>
      </c>
      <c r="BV51" s="274">
        <f t="shared" si="56"/>
        <v>0</v>
      </c>
      <c r="BW51" s="274">
        <f t="shared" si="57"/>
        <v>0</v>
      </c>
      <c r="BX51" s="274">
        <f t="shared" si="58"/>
        <v>0</v>
      </c>
      <c r="BY51" s="274">
        <f t="shared" si="59"/>
        <v>0</v>
      </c>
      <c r="BZ51" s="274">
        <f t="shared" si="60"/>
        <v>0</v>
      </c>
      <c r="CA51" s="274">
        <f t="shared" si="61"/>
        <v>0</v>
      </c>
      <c r="CB51" s="274">
        <f t="shared" si="62"/>
        <v>0</v>
      </c>
      <c r="CC51" s="43">
        <f>ROUND((VLOOKUP(A51,'Cumulative pupils per year'!$A$3:$S$88,10,FALSE)),0)</f>
        <v>0</v>
      </c>
      <c r="CD51" s="46">
        <f t="shared" si="63"/>
        <v>0</v>
      </c>
      <c r="CE51" s="46">
        <f t="shared" si="64"/>
        <v>0</v>
      </c>
      <c r="CF51" s="46">
        <f t="shared" si="65"/>
        <v>0</v>
      </c>
      <c r="CG51" s="46">
        <f t="shared" si="66"/>
        <v>0</v>
      </c>
      <c r="CH51" s="46">
        <f t="shared" si="67"/>
        <v>0</v>
      </c>
      <c r="CI51" s="46">
        <f t="shared" si="68"/>
        <v>0</v>
      </c>
      <c r="CJ51" s="46">
        <f t="shared" si="69"/>
        <v>0</v>
      </c>
      <c r="CK51" s="45">
        <f>ROUND((VLOOKUP(A51,'Cumulative pupils per year'!$A$3:$S$88,11,FALSE)),0)</f>
        <v>0</v>
      </c>
      <c r="CL51" s="274">
        <f t="shared" si="70"/>
        <v>0</v>
      </c>
      <c r="CM51" s="274">
        <f t="shared" si="71"/>
        <v>0</v>
      </c>
      <c r="CN51" s="274">
        <f t="shared" si="72"/>
        <v>0</v>
      </c>
      <c r="CO51" s="274">
        <f t="shared" si="73"/>
        <v>0</v>
      </c>
      <c r="CP51" s="274">
        <f t="shared" si="74"/>
        <v>0</v>
      </c>
      <c r="CQ51" s="274">
        <f t="shared" si="75"/>
        <v>0</v>
      </c>
      <c r="CR51" s="274">
        <f t="shared" si="76"/>
        <v>0</v>
      </c>
      <c r="CS51" s="291">
        <f>ROUND((VLOOKUP(A51,'Cumulative pupils per year'!$A$3:$S$88,12,FALSE)),0)</f>
        <v>0</v>
      </c>
      <c r="CT51" s="46">
        <f t="shared" si="77"/>
        <v>0</v>
      </c>
      <c r="CU51" s="46">
        <f t="shared" si="78"/>
        <v>0</v>
      </c>
      <c r="CV51" s="46">
        <f t="shared" si="79"/>
        <v>0</v>
      </c>
      <c r="CW51" s="46">
        <f t="shared" si="80"/>
        <v>0</v>
      </c>
      <c r="CX51" s="46">
        <f t="shared" si="81"/>
        <v>0</v>
      </c>
      <c r="CY51" s="46">
        <f t="shared" si="82"/>
        <v>0</v>
      </c>
      <c r="CZ51" s="46">
        <f t="shared" si="83"/>
        <v>0</v>
      </c>
      <c r="DA51" s="45">
        <f>ROUND((VLOOKUP(A51,'Cumulative pupils per year'!$A$3:$S$88,13,FALSE)),0)</f>
        <v>0</v>
      </c>
      <c r="DB51" s="274">
        <f t="shared" si="84"/>
        <v>0</v>
      </c>
      <c r="DC51" s="274">
        <f t="shared" si="85"/>
        <v>0</v>
      </c>
      <c r="DD51" s="274">
        <f t="shared" si="86"/>
        <v>0</v>
      </c>
      <c r="DE51" s="274">
        <f t="shared" si="87"/>
        <v>0</v>
      </c>
      <c r="DF51" s="274">
        <f t="shared" si="88"/>
        <v>0</v>
      </c>
      <c r="DG51" s="274">
        <f t="shared" si="89"/>
        <v>0</v>
      </c>
      <c r="DH51" s="274">
        <f t="shared" si="90"/>
        <v>0</v>
      </c>
      <c r="DI51" s="291">
        <f>ROUND((VLOOKUP(A51,'Cumulative pupils per year'!$A$3:$S$88,14,FALSE)),0)</f>
        <v>0</v>
      </c>
      <c r="DJ51" s="46">
        <f t="shared" si="91"/>
        <v>0</v>
      </c>
      <c r="DK51" s="46">
        <f t="shared" si="92"/>
        <v>0</v>
      </c>
      <c r="DL51" s="46">
        <f t="shared" si="93"/>
        <v>0</v>
      </c>
      <c r="DM51" s="46">
        <f t="shared" si="94"/>
        <v>0</v>
      </c>
      <c r="DN51" s="46">
        <f t="shared" si="95"/>
        <v>0</v>
      </c>
      <c r="DO51" s="46">
        <f t="shared" si="96"/>
        <v>0</v>
      </c>
      <c r="DP51" s="46">
        <f t="shared" si="97"/>
        <v>0</v>
      </c>
      <c r="DQ51" s="45">
        <f>ROUND((VLOOKUP(A51,'Cumulative pupils per year'!$A$3:$S$88,15,FALSE)),0)</f>
        <v>0</v>
      </c>
    </row>
    <row r="52" spans="1:121">
      <c r="A52" s="4" t="s">
        <v>49</v>
      </c>
      <c r="B52" s="46">
        <v>0</v>
      </c>
      <c r="C52" s="46">
        <v>0</v>
      </c>
      <c r="D52" s="46">
        <v>0</v>
      </c>
      <c r="E52" s="46">
        <v>0</v>
      </c>
      <c r="F52" s="46">
        <v>0</v>
      </c>
      <c r="G52" s="46">
        <v>0</v>
      </c>
      <c r="H52" s="46">
        <v>0</v>
      </c>
      <c r="I52" s="45">
        <v>0</v>
      </c>
      <c r="J52" s="44">
        <f t="shared" si="273"/>
        <v>0</v>
      </c>
      <c r="K52" s="44">
        <f t="shared" si="274"/>
        <v>0</v>
      </c>
      <c r="L52" s="44">
        <f t="shared" si="275"/>
        <v>0</v>
      </c>
      <c r="M52" s="44">
        <f t="shared" si="276"/>
        <v>0</v>
      </c>
      <c r="N52" s="44">
        <f t="shared" si="277"/>
        <v>0</v>
      </c>
      <c r="O52" s="44">
        <f t="shared" si="278"/>
        <v>0</v>
      </c>
      <c r="P52" s="44">
        <f t="shared" si="279"/>
        <v>0</v>
      </c>
      <c r="Q52" s="43">
        <f>ROUND((VLOOKUP(A52,'Cumulative pupils per year'!$A$3:$S$88,2,FALSE)),0)</f>
        <v>0</v>
      </c>
      <c r="R52" s="46">
        <f t="shared" si="7"/>
        <v>0</v>
      </c>
      <c r="S52" s="46">
        <f t="shared" si="8"/>
        <v>0</v>
      </c>
      <c r="T52" s="46">
        <f t="shared" si="9"/>
        <v>0</v>
      </c>
      <c r="U52" s="46">
        <f t="shared" si="10"/>
        <v>0</v>
      </c>
      <c r="V52" s="46">
        <f t="shared" si="11"/>
        <v>0</v>
      </c>
      <c r="W52" s="46">
        <f t="shared" si="12"/>
        <v>0</v>
      </c>
      <c r="X52" s="46">
        <f t="shared" si="13"/>
        <v>0</v>
      </c>
      <c r="Y52" s="45">
        <f>ROUND((VLOOKUP(A52,'Cumulative pupils per year'!$A$3:$S$88,3,FALSE)),0)</f>
        <v>0</v>
      </c>
      <c r="Z52" s="274">
        <f t="shared" si="14"/>
        <v>0</v>
      </c>
      <c r="AA52" s="274">
        <f t="shared" si="15"/>
        <v>0</v>
      </c>
      <c r="AB52" s="274">
        <f t="shared" si="16"/>
        <v>0</v>
      </c>
      <c r="AC52" s="274">
        <f t="shared" si="17"/>
        <v>0</v>
      </c>
      <c r="AD52" s="274">
        <f t="shared" si="18"/>
        <v>0</v>
      </c>
      <c r="AE52" s="274">
        <f t="shared" si="19"/>
        <v>0</v>
      </c>
      <c r="AF52" s="274">
        <f t="shared" si="20"/>
        <v>0</v>
      </c>
      <c r="AG52" s="43">
        <f>ROUND((VLOOKUP(A52,'Cumulative pupils per year'!$A$3:$S$88,4,FALSE)),0)</f>
        <v>0</v>
      </c>
      <c r="AH52" s="46">
        <f t="shared" si="21"/>
        <v>0</v>
      </c>
      <c r="AI52" s="46">
        <f t="shared" si="22"/>
        <v>0</v>
      </c>
      <c r="AJ52" s="46">
        <f t="shared" si="23"/>
        <v>0</v>
      </c>
      <c r="AK52" s="46">
        <f t="shared" si="24"/>
        <v>0</v>
      </c>
      <c r="AL52" s="46">
        <f t="shared" si="25"/>
        <v>0</v>
      </c>
      <c r="AM52" s="46">
        <f t="shared" si="26"/>
        <v>0</v>
      </c>
      <c r="AN52" s="46">
        <f t="shared" si="27"/>
        <v>0</v>
      </c>
      <c r="AO52" s="45">
        <f>ROUND((VLOOKUP(A52,'Cumulative pupils per year'!$A$3:$S$88,5,FALSE)),0)</f>
        <v>0</v>
      </c>
      <c r="AP52" s="274">
        <f t="shared" si="28"/>
        <v>0</v>
      </c>
      <c r="AQ52" s="274">
        <f t="shared" si="29"/>
        <v>0</v>
      </c>
      <c r="AR52" s="274">
        <f t="shared" si="30"/>
        <v>0</v>
      </c>
      <c r="AS52" s="274">
        <f t="shared" si="31"/>
        <v>0</v>
      </c>
      <c r="AT52" s="274">
        <f t="shared" si="32"/>
        <v>0</v>
      </c>
      <c r="AU52" s="274">
        <f t="shared" si="33"/>
        <v>0</v>
      </c>
      <c r="AV52" s="274">
        <f t="shared" si="34"/>
        <v>0</v>
      </c>
      <c r="AW52" s="43">
        <f>ROUND((VLOOKUP(A52,'Cumulative pupils per year'!$A$3:$S$88,6,FALSE)),0)</f>
        <v>0</v>
      </c>
      <c r="AX52" s="46">
        <f t="shared" si="35"/>
        <v>0</v>
      </c>
      <c r="AY52" s="46">
        <f t="shared" si="36"/>
        <v>0</v>
      </c>
      <c r="AZ52" s="46">
        <f t="shared" si="37"/>
        <v>0</v>
      </c>
      <c r="BA52" s="46">
        <f t="shared" si="38"/>
        <v>0</v>
      </c>
      <c r="BB52" s="46">
        <f t="shared" si="39"/>
        <v>0</v>
      </c>
      <c r="BC52" s="46">
        <f t="shared" si="40"/>
        <v>0</v>
      </c>
      <c r="BD52" s="46">
        <f t="shared" si="41"/>
        <v>0</v>
      </c>
      <c r="BE52" s="45">
        <f>ROUND((VLOOKUP(A52,'Cumulative pupils per year'!$A$3:$S$88,7,FALSE)),0)</f>
        <v>0</v>
      </c>
      <c r="BF52" s="274">
        <f t="shared" si="42"/>
        <v>0</v>
      </c>
      <c r="BG52" s="274">
        <f t="shared" si="43"/>
        <v>0</v>
      </c>
      <c r="BH52" s="274">
        <f t="shared" si="44"/>
        <v>0</v>
      </c>
      <c r="BI52" s="274">
        <f t="shared" si="45"/>
        <v>0</v>
      </c>
      <c r="BJ52" s="274">
        <f t="shared" si="46"/>
        <v>0</v>
      </c>
      <c r="BK52" s="274">
        <f t="shared" si="47"/>
        <v>0</v>
      </c>
      <c r="BL52" s="274">
        <f t="shared" si="48"/>
        <v>0</v>
      </c>
      <c r="BM52" s="43">
        <f>ROUND((VLOOKUP(A52,'Cumulative pupils per year'!$A$3:$S$88,8,FALSE)),0)</f>
        <v>0</v>
      </c>
      <c r="BN52" s="46">
        <f t="shared" si="49"/>
        <v>0</v>
      </c>
      <c r="BO52" s="46">
        <f t="shared" si="50"/>
        <v>0</v>
      </c>
      <c r="BP52" s="46">
        <f t="shared" si="51"/>
        <v>0</v>
      </c>
      <c r="BQ52" s="46">
        <f t="shared" si="52"/>
        <v>0</v>
      </c>
      <c r="BR52" s="46">
        <f t="shared" si="53"/>
        <v>0</v>
      </c>
      <c r="BS52" s="46">
        <f t="shared" si="54"/>
        <v>0</v>
      </c>
      <c r="BT52" s="46">
        <f t="shared" si="55"/>
        <v>0</v>
      </c>
      <c r="BU52" s="45">
        <f>ROUND((VLOOKUP(A52,'Cumulative pupils per year'!$A$3:$S$88,9,FALSE)),0)</f>
        <v>0</v>
      </c>
      <c r="BV52" s="274">
        <f t="shared" si="56"/>
        <v>0</v>
      </c>
      <c r="BW52" s="274">
        <f t="shared" si="57"/>
        <v>0</v>
      </c>
      <c r="BX52" s="274">
        <f t="shared" si="58"/>
        <v>0</v>
      </c>
      <c r="BY52" s="274">
        <f t="shared" si="59"/>
        <v>0</v>
      </c>
      <c r="BZ52" s="274">
        <f t="shared" si="60"/>
        <v>0</v>
      </c>
      <c r="CA52" s="274">
        <f t="shared" si="61"/>
        <v>0</v>
      </c>
      <c r="CB52" s="274">
        <f t="shared" si="62"/>
        <v>0</v>
      </c>
      <c r="CC52" s="43">
        <f>ROUND((VLOOKUP(A52,'Cumulative pupils per year'!$A$3:$S$88,10,FALSE)),0)</f>
        <v>0</v>
      </c>
      <c r="CD52" s="46">
        <f t="shared" si="63"/>
        <v>0</v>
      </c>
      <c r="CE52" s="46">
        <f t="shared" si="64"/>
        <v>0</v>
      </c>
      <c r="CF52" s="46">
        <f t="shared" si="65"/>
        <v>0</v>
      </c>
      <c r="CG52" s="46">
        <f t="shared" si="66"/>
        <v>0</v>
      </c>
      <c r="CH52" s="46">
        <f t="shared" si="67"/>
        <v>0</v>
      </c>
      <c r="CI52" s="46">
        <f t="shared" si="68"/>
        <v>0</v>
      </c>
      <c r="CJ52" s="46">
        <f t="shared" si="69"/>
        <v>0</v>
      </c>
      <c r="CK52" s="45">
        <f>ROUND((VLOOKUP(A52,'Cumulative pupils per year'!$A$3:$S$88,11,FALSE)),0)</f>
        <v>0</v>
      </c>
      <c r="CL52" s="274">
        <f t="shared" si="70"/>
        <v>0</v>
      </c>
      <c r="CM52" s="274">
        <f t="shared" si="71"/>
        <v>0</v>
      </c>
      <c r="CN52" s="274">
        <f t="shared" si="72"/>
        <v>0</v>
      </c>
      <c r="CO52" s="274">
        <f t="shared" si="73"/>
        <v>0</v>
      </c>
      <c r="CP52" s="274">
        <f t="shared" si="74"/>
        <v>0</v>
      </c>
      <c r="CQ52" s="274">
        <f t="shared" si="75"/>
        <v>0</v>
      </c>
      <c r="CR52" s="274">
        <f t="shared" si="76"/>
        <v>0</v>
      </c>
      <c r="CS52" s="291">
        <f>ROUND((VLOOKUP(A52,'Cumulative pupils per year'!$A$3:$S$88,12,FALSE)),0)</f>
        <v>0</v>
      </c>
      <c r="CT52" s="46">
        <f t="shared" si="77"/>
        <v>0</v>
      </c>
      <c r="CU52" s="46">
        <f t="shared" si="78"/>
        <v>0</v>
      </c>
      <c r="CV52" s="46">
        <f t="shared" si="79"/>
        <v>0</v>
      </c>
      <c r="CW52" s="46">
        <f t="shared" si="80"/>
        <v>0</v>
      </c>
      <c r="CX52" s="46">
        <f t="shared" si="81"/>
        <v>0</v>
      </c>
      <c r="CY52" s="46">
        <f t="shared" si="82"/>
        <v>0</v>
      </c>
      <c r="CZ52" s="46">
        <f t="shared" si="83"/>
        <v>0</v>
      </c>
      <c r="DA52" s="45">
        <f>ROUND((VLOOKUP(A52,'Cumulative pupils per year'!$A$3:$S$88,13,FALSE)),0)</f>
        <v>0</v>
      </c>
      <c r="DB52" s="274">
        <f t="shared" si="84"/>
        <v>0</v>
      </c>
      <c r="DC52" s="274">
        <f t="shared" si="85"/>
        <v>0</v>
      </c>
      <c r="DD52" s="274">
        <f t="shared" si="86"/>
        <v>0</v>
      </c>
      <c r="DE52" s="274">
        <f t="shared" si="87"/>
        <v>0</v>
      </c>
      <c r="DF52" s="274">
        <f t="shared" si="88"/>
        <v>0</v>
      </c>
      <c r="DG52" s="274">
        <f t="shared" si="89"/>
        <v>0</v>
      </c>
      <c r="DH52" s="274">
        <f t="shared" si="90"/>
        <v>0</v>
      </c>
      <c r="DI52" s="291">
        <f>ROUND((VLOOKUP(A52,'Cumulative pupils per year'!$A$3:$S$88,14,FALSE)),0)</f>
        <v>0</v>
      </c>
      <c r="DJ52" s="46">
        <f t="shared" si="91"/>
        <v>0</v>
      </c>
      <c r="DK52" s="46">
        <f t="shared" si="92"/>
        <v>0</v>
      </c>
      <c r="DL52" s="46">
        <f t="shared" si="93"/>
        <v>0</v>
      </c>
      <c r="DM52" s="46">
        <f t="shared" si="94"/>
        <v>0</v>
      </c>
      <c r="DN52" s="46">
        <f t="shared" si="95"/>
        <v>0</v>
      </c>
      <c r="DO52" s="46">
        <f t="shared" si="96"/>
        <v>0</v>
      </c>
      <c r="DP52" s="46">
        <f t="shared" si="97"/>
        <v>0</v>
      </c>
      <c r="DQ52" s="45">
        <f>ROUND((VLOOKUP(A52,'Cumulative pupils per year'!$A$3:$S$88,15,FALSE)),0)</f>
        <v>0</v>
      </c>
    </row>
    <row r="53" spans="1:121">
      <c r="A53" s="4" t="s">
        <v>50</v>
      </c>
      <c r="B53" s="46">
        <v>0</v>
      </c>
      <c r="C53" s="46">
        <v>0</v>
      </c>
      <c r="D53" s="46">
        <v>0</v>
      </c>
      <c r="E53" s="46">
        <v>0</v>
      </c>
      <c r="F53" s="46">
        <v>0</v>
      </c>
      <c r="G53" s="46">
        <v>0</v>
      </c>
      <c r="H53" s="46">
        <v>0</v>
      </c>
      <c r="I53" s="45">
        <v>0</v>
      </c>
      <c r="J53" s="44">
        <f t="shared" si="273"/>
        <v>0</v>
      </c>
      <c r="K53" s="44">
        <f t="shared" si="274"/>
        <v>0</v>
      </c>
      <c r="L53" s="44">
        <f t="shared" si="275"/>
        <v>0</v>
      </c>
      <c r="M53" s="44">
        <f t="shared" si="276"/>
        <v>0</v>
      </c>
      <c r="N53" s="44">
        <f t="shared" si="277"/>
        <v>0</v>
      </c>
      <c r="O53" s="44">
        <f t="shared" si="278"/>
        <v>0</v>
      </c>
      <c r="P53" s="44">
        <f t="shared" si="279"/>
        <v>0</v>
      </c>
      <c r="Q53" s="43">
        <f>ROUND((VLOOKUP(A53,'Cumulative pupils per year'!$A$3:$S$88,2,FALSE)),0)</f>
        <v>0</v>
      </c>
      <c r="R53" s="46">
        <f t="shared" si="7"/>
        <v>0</v>
      </c>
      <c r="S53" s="46">
        <f t="shared" si="8"/>
        <v>0</v>
      </c>
      <c r="T53" s="46">
        <f t="shared" si="9"/>
        <v>0</v>
      </c>
      <c r="U53" s="46">
        <f t="shared" si="10"/>
        <v>0</v>
      </c>
      <c r="V53" s="46">
        <f t="shared" si="11"/>
        <v>0</v>
      </c>
      <c r="W53" s="46">
        <f t="shared" si="12"/>
        <v>0</v>
      </c>
      <c r="X53" s="46">
        <f t="shared" si="13"/>
        <v>0</v>
      </c>
      <c r="Y53" s="45">
        <f>ROUND((VLOOKUP(A53,'Cumulative pupils per year'!$A$3:$S$88,3,FALSE)),0)</f>
        <v>0</v>
      </c>
      <c r="Z53" s="274">
        <f t="shared" si="14"/>
        <v>0</v>
      </c>
      <c r="AA53" s="274">
        <f t="shared" si="15"/>
        <v>0</v>
      </c>
      <c r="AB53" s="274">
        <f t="shared" si="16"/>
        <v>0</v>
      </c>
      <c r="AC53" s="274">
        <f t="shared" si="17"/>
        <v>0</v>
      </c>
      <c r="AD53" s="274">
        <f t="shared" si="18"/>
        <v>0</v>
      </c>
      <c r="AE53" s="274">
        <f t="shared" si="19"/>
        <v>0</v>
      </c>
      <c r="AF53" s="274">
        <f t="shared" si="20"/>
        <v>0</v>
      </c>
      <c r="AG53" s="43">
        <f>ROUND((VLOOKUP(A53,'Cumulative pupils per year'!$A$3:$S$88,4,FALSE)),0)</f>
        <v>0</v>
      </c>
      <c r="AH53" s="46">
        <f t="shared" si="21"/>
        <v>0</v>
      </c>
      <c r="AI53" s="46">
        <f t="shared" si="22"/>
        <v>0</v>
      </c>
      <c r="AJ53" s="46">
        <f t="shared" si="23"/>
        <v>0</v>
      </c>
      <c r="AK53" s="46">
        <f t="shared" si="24"/>
        <v>0</v>
      </c>
      <c r="AL53" s="46">
        <f t="shared" si="25"/>
        <v>0</v>
      </c>
      <c r="AM53" s="46">
        <f t="shared" si="26"/>
        <v>0</v>
      </c>
      <c r="AN53" s="46">
        <f t="shared" si="27"/>
        <v>0</v>
      </c>
      <c r="AO53" s="45">
        <f>ROUND((VLOOKUP(A53,'Cumulative pupils per year'!$A$3:$S$88,5,FALSE)),0)</f>
        <v>0</v>
      </c>
      <c r="AP53" s="274">
        <f t="shared" si="28"/>
        <v>0</v>
      </c>
      <c r="AQ53" s="274">
        <f t="shared" si="29"/>
        <v>0</v>
      </c>
      <c r="AR53" s="274">
        <f t="shared" si="30"/>
        <v>0</v>
      </c>
      <c r="AS53" s="274">
        <f t="shared" si="31"/>
        <v>0</v>
      </c>
      <c r="AT53" s="274">
        <f t="shared" si="32"/>
        <v>0</v>
      </c>
      <c r="AU53" s="274">
        <f t="shared" si="33"/>
        <v>0</v>
      </c>
      <c r="AV53" s="274">
        <f t="shared" si="34"/>
        <v>0</v>
      </c>
      <c r="AW53" s="43">
        <f>ROUND((VLOOKUP(A53,'Cumulative pupils per year'!$A$3:$S$88,6,FALSE)),0)</f>
        <v>0</v>
      </c>
      <c r="AX53" s="46">
        <f t="shared" si="35"/>
        <v>0</v>
      </c>
      <c r="AY53" s="46">
        <f t="shared" si="36"/>
        <v>0</v>
      </c>
      <c r="AZ53" s="46">
        <f t="shared" si="37"/>
        <v>0</v>
      </c>
      <c r="BA53" s="46">
        <f t="shared" si="38"/>
        <v>0</v>
      </c>
      <c r="BB53" s="46">
        <f t="shared" si="39"/>
        <v>0</v>
      </c>
      <c r="BC53" s="46">
        <f t="shared" si="40"/>
        <v>0</v>
      </c>
      <c r="BD53" s="46">
        <f t="shared" si="41"/>
        <v>0</v>
      </c>
      <c r="BE53" s="45">
        <f>ROUND((VLOOKUP(A53,'Cumulative pupils per year'!$A$3:$S$88,7,FALSE)),0)</f>
        <v>0</v>
      </c>
      <c r="BF53" s="274">
        <f t="shared" si="42"/>
        <v>0</v>
      </c>
      <c r="BG53" s="274">
        <f t="shared" si="43"/>
        <v>0</v>
      </c>
      <c r="BH53" s="274">
        <f t="shared" si="44"/>
        <v>0</v>
      </c>
      <c r="BI53" s="274">
        <f t="shared" si="45"/>
        <v>0</v>
      </c>
      <c r="BJ53" s="274">
        <f t="shared" si="46"/>
        <v>0</v>
      </c>
      <c r="BK53" s="274">
        <f t="shared" si="47"/>
        <v>0</v>
      </c>
      <c r="BL53" s="274">
        <f t="shared" si="48"/>
        <v>0</v>
      </c>
      <c r="BM53" s="43">
        <f>ROUND((VLOOKUP(A53,'Cumulative pupils per year'!$A$3:$S$88,8,FALSE)),0)</f>
        <v>0</v>
      </c>
      <c r="BN53" s="46">
        <f t="shared" si="49"/>
        <v>0</v>
      </c>
      <c r="BO53" s="46">
        <f t="shared" si="50"/>
        <v>0</v>
      </c>
      <c r="BP53" s="46">
        <f t="shared" si="51"/>
        <v>0</v>
      </c>
      <c r="BQ53" s="46">
        <f t="shared" si="52"/>
        <v>0</v>
      </c>
      <c r="BR53" s="46">
        <f t="shared" si="53"/>
        <v>0</v>
      </c>
      <c r="BS53" s="46">
        <f t="shared" si="54"/>
        <v>0</v>
      </c>
      <c r="BT53" s="46">
        <f t="shared" si="55"/>
        <v>0</v>
      </c>
      <c r="BU53" s="45">
        <f>ROUND((VLOOKUP(A53,'Cumulative pupils per year'!$A$3:$S$88,9,FALSE)),0)</f>
        <v>0</v>
      </c>
      <c r="BV53" s="274">
        <f t="shared" si="56"/>
        <v>0</v>
      </c>
      <c r="BW53" s="274">
        <f t="shared" si="57"/>
        <v>0</v>
      </c>
      <c r="BX53" s="274">
        <f t="shared" si="58"/>
        <v>0</v>
      </c>
      <c r="BY53" s="274">
        <f t="shared" si="59"/>
        <v>0</v>
      </c>
      <c r="BZ53" s="274">
        <f t="shared" si="60"/>
        <v>0</v>
      </c>
      <c r="CA53" s="274">
        <f t="shared" si="61"/>
        <v>0</v>
      </c>
      <c r="CB53" s="274">
        <f t="shared" si="62"/>
        <v>0</v>
      </c>
      <c r="CC53" s="43">
        <f>ROUND((VLOOKUP(A53,'Cumulative pupils per year'!$A$3:$S$88,10,FALSE)),0)</f>
        <v>0</v>
      </c>
      <c r="CD53" s="46">
        <f t="shared" si="63"/>
        <v>0</v>
      </c>
      <c r="CE53" s="46">
        <f t="shared" si="64"/>
        <v>0</v>
      </c>
      <c r="CF53" s="46">
        <f t="shared" si="65"/>
        <v>0</v>
      </c>
      <c r="CG53" s="46">
        <f t="shared" si="66"/>
        <v>0</v>
      </c>
      <c r="CH53" s="46">
        <f t="shared" si="67"/>
        <v>0</v>
      </c>
      <c r="CI53" s="46">
        <f t="shared" si="68"/>
        <v>0</v>
      </c>
      <c r="CJ53" s="46">
        <f t="shared" si="69"/>
        <v>0</v>
      </c>
      <c r="CK53" s="45">
        <f>ROUND((VLOOKUP(A53,'Cumulative pupils per year'!$A$3:$S$88,11,FALSE)),0)</f>
        <v>0</v>
      </c>
      <c r="CL53" s="274">
        <f t="shared" si="70"/>
        <v>0</v>
      </c>
      <c r="CM53" s="274">
        <f t="shared" si="71"/>
        <v>0</v>
      </c>
      <c r="CN53" s="274">
        <f t="shared" si="72"/>
        <v>0</v>
      </c>
      <c r="CO53" s="274">
        <f t="shared" si="73"/>
        <v>0</v>
      </c>
      <c r="CP53" s="274">
        <f t="shared" si="74"/>
        <v>0</v>
      </c>
      <c r="CQ53" s="274">
        <f t="shared" si="75"/>
        <v>0</v>
      </c>
      <c r="CR53" s="274">
        <f t="shared" si="76"/>
        <v>0</v>
      </c>
      <c r="CS53" s="291">
        <f>ROUND((VLOOKUP(A53,'Cumulative pupils per year'!$A$3:$S$88,12,FALSE)),0)</f>
        <v>0</v>
      </c>
      <c r="CT53" s="46">
        <f t="shared" si="77"/>
        <v>0</v>
      </c>
      <c r="CU53" s="46">
        <f t="shared" si="78"/>
        <v>0</v>
      </c>
      <c r="CV53" s="46">
        <f t="shared" si="79"/>
        <v>0</v>
      </c>
      <c r="CW53" s="46">
        <f t="shared" si="80"/>
        <v>0</v>
      </c>
      <c r="CX53" s="46">
        <f t="shared" si="81"/>
        <v>0</v>
      </c>
      <c r="CY53" s="46">
        <f t="shared" si="82"/>
        <v>0</v>
      </c>
      <c r="CZ53" s="46">
        <f t="shared" si="83"/>
        <v>0</v>
      </c>
      <c r="DA53" s="45">
        <f>ROUND((VLOOKUP(A53,'Cumulative pupils per year'!$A$3:$S$88,13,FALSE)),0)</f>
        <v>0</v>
      </c>
      <c r="DB53" s="274">
        <f t="shared" si="84"/>
        <v>0</v>
      </c>
      <c r="DC53" s="274">
        <f t="shared" si="85"/>
        <v>0</v>
      </c>
      <c r="DD53" s="274">
        <f t="shared" si="86"/>
        <v>0</v>
      </c>
      <c r="DE53" s="274">
        <f t="shared" si="87"/>
        <v>0</v>
      </c>
      <c r="DF53" s="274">
        <f t="shared" si="88"/>
        <v>0</v>
      </c>
      <c r="DG53" s="274">
        <f t="shared" si="89"/>
        <v>0</v>
      </c>
      <c r="DH53" s="274">
        <f t="shared" si="90"/>
        <v>0</v>
      </c>
      <c r="DI53" s="291">
        <f>ROUND((VLOOKUP(A53,'Cumulative pupils per year'!$A$3:$S$88,14,FALSE)),0)</f>
        <v>0</v>
      </c>
      <c r="DJ53" s="46">
        <f t="shared" si="91"/>
        <v>0</v>
      </c>
      <c r="DK53" s="46">
        <f t="shared" si="92"/>
        <v>0</v>
      </c>
      <c r="DL53" s="46">
        <f t="shared" si="93"/>
        <v>0</v>
      </c>
      <c r="DM53" s="46">
        <f t="shared" si="94"/>
        <v>0</v>
      </c>
      <c r="DN53" s="46">
        <f t="shared" si="95"/>
        <v>0</v>
      </c>
      <c r="DO53" s="46">
        <f t="shared" si="96"/>
        <v>0</v>
      </c>
      <c r="DP53" s="46">
        <f t="shared" si="97"/>
        <v>0</v>
      </c>
      <c r="DQ53" s="45">
        <f>ROUND((VLOOKUP(A53,'Cumulative pupils per year'!$A$3:$S$88,15,FALSE)),0)</f>
        <v>0</v>
      </c>
    </row>
    <row r="54" spans="1:121">
      <c r="A54" s="4" t="s">
        <v>51</v>
      </c>
      <c r="B54" s="46">
        <v>2</v>
      </c>
      <c r="C54" s="46">
        <v>2</v>
      </c>
      <c r="D54" s="46">
        <v>2</v>
      </c>
      <c r="E54" s="46">
        <v>2</v>
      </c>
      <c r="F54" s="46">
        <v>2</v>
      </c>
      <c r="G54" s="46">
        <v>2</v>
      </c>
      <c r="H54" s="46">
        <v>2</v>
      </c>
      <c r="I54" s="45">
        <v>14</v>
      </c>
      <c r="J54" s="44">
        <f t="shared" si="273"/>
        <v>4</v>
      </c>
      <c r="K54" s="44">
        <f t="shared" si="274"/>
        <v>3</v>
      </c>
      <c r="L54" s="44">
        <f t="shared" si="275"/>
        <v>3</v>
      </c>
      <c r="M54" s="44">
        <f t="shared" si="276"/>
        <v>3</v>
      </c>
      <c r="N54" s="44">
        <f t="shared" si="277"/>
        <v>3</v>
      </c>
      <c r="O54" s="44">
        <f t="shared" si="278"/>
        <v>3</v>
      </c>
      <c r="P54" s="44">
        <f t="shared" si="279"/>
        <v>3</v>
      </c>
      <c r="Q54" s="43">
        <f>ROUND((VLOOKUP(A54,'Cumulative pupils per year'!$A$3:$S$88,2,FALSE)),0)</f>
        <v>22</v>
      </c>
      <c r="R54" s="46">
        <f t="shared" si="7"/>
        <v>7</v>
      </c>
      <c r="S54" s="46">
        <f t="shared" si="8"/>
        <v>6</v>
      </c>
      <c r="T54" s="46">
        <f t="shared" si="9"/>
        <v>6</v>
      </c>
      <c r="U54" s="46">
        <f t="shared" si="10"/>
        <v>6</v>
      </c>
      <c r="V54" s="46">
        <f t="shared" si="11"/>
        <v>6</v>
      </c>
      <c r="W54" s="46">
        <f t="shared" si="12"/>
        <v>6</v>
      </c>
      <c r="X54" s="46">
        <f t="shared" si="13"/>
        <v>6</v>
      </c>
      <c r="Y54" s="45">
        <f>ROUND((VLOOKUP(A54,'Cumulative pupils per year'!$A$3:$S$88,3,FALSE)),0)</f>
        <v>43</v>
      </c>
      <c r="Z54" s="274">
        <f t="shared" si="14"/>
        <v>9</v>
      </c>
      <c r="AA54" s="274">
        <f t="shared" si="15"/>
        <v>9</v>
      </c>
      <c r="AB54" s="274">
        <f t="shared" si="16"/>
        <v>8</v>
      </c>
      <c r="AC54" s="274">
        <f t="shared" si="17"/>
        <v>8</v>
      </c>
      <c r="AD54" s="274">
        <f t="shared" si="18"/>
        <v>8</v>
      </c>
      <c r="AE54" s="274">
        <f t="shared" si="19"/>
        <v>8</v>
      </c>
      <c r="AF54" s="274">
        <f t="shared" si="20"/>
        <v>8</v>
      </c>
      <c r="AG54" s="43">
        <f>ROUND((VLOOKUP(A54,'Cumulative pupils per year'!$A$3:$S$88,4,FALSE)),0)</f>
        <v>58</v>
      </c>
      <c r="AH54" s="46">
        <f t="shared" si="21"/>
        <v>11</v>
      </c>
      <c r="AI54" s="46">
        <f t="shared" si="22"/>
        <v>11</v>
      </c>
      <c r="AJ54" s="46">
        <f t="shared" si="23"/>
        <v>11</v>
      </c>
      <c r="AK54" s="46">
        <f t="shared" si="24"/>
        <v>11</v>
      </c>
      <c r="AL54" s="46">
        <f t="shared" si="25"/>
        <v>11</v>
      </c>
      <c r="AM54" s="46">
        <f t="shared" si="26"/>
        <v>10</v>
      </c>
      <c r="AN54" s="46">
        <f t="shared" si="27"/>
        <v>10</v>
      </c>
      <c r="AO54" s="45">
        <f>ROUND((VLOOKUP(A54,'Cumulative pupils per year'!$A$3:$S$88,5,FALSE)),0)</f>
        <v>75</v>
      </c>
      <c r="AP54" s="274">
        <f t="shared" si="28"/>
        <v>16</v>
      </c>
      <c r="AQ54" s="274">
        <f t="shared" si="29"/>
        <v>16</v>
      </c>
      <c r="AR54" s="274">
        <f t="shared" si="30"/>
        <v>16</v>
      </c>
      <c r="AS54" s="274">
        <f t="shared" si="31"/>
        <v>16</v>
      </c>
      <c r="AT54" s="274">
        <f t="shared" si="32"/>
        <v>15</v>
      </c>
      <c r="AU54" s="274">
        <f t="shared" si="33"/>
        <v>15</v>
      </c>
      <c r="AV54" s="274">
        <f t="shared" si="34"/>
        <v>15</v>
      </c>
      <c r="AW54" s="43">
        <f>ROUND((VLOOKUP(A54,'Cumulative pupils per year'!$A$3:$S$88,6,FALSE)),0)</f>
        <v>109</v>
      </c>
      <c r="AX54" s="46">
        <f t="shared" si="35"/>
        <v>21</v>
      </c>
      <c r="AY54" s="46">
        <f t="shared" si="36"/>
        <v>21</v>
      </c>
      <c r="AZ54" s="46">
        <f t="shared" si="37"/>
        <v>21</v>
      </c>
      <c r="BA54" s="46">
        <f t="shared" si="38"/>
        <v>20</v>
      </c>
      <c r="BB54" s="46">
        <f t="shared" si="39"/>
        <v>20</v>
      </c>
      <c r="BC54" s="46">
        <f t="shared" si="40"/>
        <v>20</v>
      </c>
      <c r="BD54" s="46">
        <f t="shared" si="41"/>
        <v>20</v>
      </c>
      <c r="BE54" s="45">
        <f>ROUND((VLOOKUP(A54,'Cumulative pupils per year'!$A$3:$S$88,7,FALSE)),0)</f>
        <v>143</v>
      </c>
      <c r="BF54" s="274">
        <f t="shared" si="42"/>
        <v>25</v>
      </c>
      <c r="BG54" s="274">
        <f t="shared" si="43"/>
        <v>25</v>
      </c>
      <c r="BH54" s="274">
        <f t="shared" si="44"/>
        <v>25</v>
      </c>
      <c r="BI54" s="274">
        <f t="shared" si="45"/>
        <v>25</v>
      </c>
      <c r="BJ54" s="274">
        <f t="shared" si="46"/>
        <v>24</v>
      </c>
      <c r="BK54" s="274">
        <f t="shared" si="47"/>
        <v>24</v>
      </c>
      <c r="BL54" s="274">
        <f t="shared" si="48"/>
        <v>24</v>
      </c>
      <c r="BM54" s="43">
        <f>ROUND((VLOOKUP(A54,'Cumulative pupils per year'!$A$3:$S$88,8,FALSE)),0)</f>
        <v>172</v>
      </c>
      <c r="BN54" s="46">
        <f t="shared" si="49"/>
        <v>30</v>
      </c>
      <c r="BO54" s="46">
        <f t="shared" si="50"/>
        <v>30</v>
      </c>
      <c r="BP54" s="46">
        <f t="shared" si="51"/>
        <v>29</v>
      </c>
      <c r="BQ54" s="46">
        <f t="shared" si="52"/>
        <v>29</v>
      </c>
      <c r="BR54" s="46">
        <f t="shared" si="53"/>
        <v>29</v>
      </c>
      <c r="BS54" s="46">
        <f t="shared" si="54"/>
        <v>29</v>
      </c>
      <c r="BT54" s="46">
        <f t="shared" si="55"/>
        <v>29</v>
      </c>
      <c r="BU54" s="45">
        <f>ROUND((VLOOKUP(A54,'Cumulative pupils per year'!$A$3:$S$88,9,FALSE)),0)</f>
        <v>205</v>
      </c>
      <c r="BV54" s="274">
        <f t="shared" si="56"/>
        <v>34</v>
      </c>
      <c r="BW54" s="274">
        <f t="shared" si="57"/>
        <v>34</v>
      </c>
      <c r="BX54" s="274">
        <f t="shared" si="58"/>
        <v>34</v>
      </c>
      <c r="BY54" s="274">
        <f t="shared" si="59"/>
        <v>34</v>
      </c>
      <c r="BZ54" s="274">
        <f t="shared" si="60"/>
        <v>34</v>
      </c>
      <c r="CA54" s="274">
        <f t="shared" si="61"/>
        <v>34</v>
      </c>
      <c r="CB54" s="274">
        <f t="shared" si="62"/>
        <v>34</v>
      </c>
      <c r="CC54" s="43">
        <f>ROUND((VLOOKUP(A54,'Cumulative pupils per year'!$A$3:$S$88,10,FALSE)),0)</f>
        <v>238</v>
      </c>
      <c r="CD54" s="46">
        <f t="shared" si="63"/>
        <v>39</v>
      </c>
      <c r="CE54" s="46">
        <f t="shared" si="64"/>
        <v>39</v>
      </c>
      <c r="CF54" s="46">
        <f t="shared" si="65"/>
        <v>39</v>
      </c>
      <c r="CG54" s="46">
        <f t="shared" si="66"/>
        <v>39</v>
      </c>
      <c r="CH54" s="46">
        <f t="shared" si="67"/>
        <v>39</v>
      </c>
      <c r="CI54" s="46">
        <f t="shared" si="68"/>
        <v>38</v>
      </c>
      <c r="CJ54" s="46">
        <f t="shared" si="69"/>
        <v>38</v>
      </c>
      <c r="CK54" s="45">
        <f>ROUND((VLOOKUP(A54,'Cumulative pupils per year'!$A$3:$S$88,11,FALSE)),0)</f>
        <v>271</v>
      </c>
      <c r="CL54" s="274">
        <f t="shared" si="70"/>
        <v>42</v>
      </c>
      <c r="CM54" s="274">
        <f t="shared" si="71"/>
        <v>42</v>
      </c>
      <c r="CN54" s="274">
        <f t="shared" si="72"/>
        <v>42</v>
      </c>
      <c r="CO54" s="274">
        <f t="shared" si="73"/>
        <v>42</v>
      </c>
      <c r="CP54" s="274">
        <f t="shared" si="74"/>
        <v>42</v>
      </c>
      <c r="CQ54" s="274">
        <f t="shared" si="75"/>
        <v>42</v>
      </c>
      <c r="CR54" s="274">
        <f t="shared" si="76"/>
        <v>41</v>
      </c>
      <c r="CS54" s="291">
        <f>ROUND((VLOOKUP(A54,'Cumulative pupils per year'!$A$3:$S$88,12,FALSE)),0)</f>
        <v>293</v>
      </c>
      <c r="CT54" s="46">
        <f t="shared" si="77"/>
        <v>45</v>
      </c>
      <c r="CU54" s="46">
        <f t="shared" si="78"/>
        <v>45</v>
      </c>
      <c r="CV54" s="46">
        <f t="shared" si="79"/>
        <v>45</v>
      </c>
      <c r="CW54" s="46">
        <f t="shared" si="80"/>
        <v>45</v>
      </c>
      <c r="CX54" s="46">
        <f t="shared" si="81"/>
        <v>45</v>
      </c>
      <c r="CY54" s="46">
        <f t="shared" si="82"/>
        <v>45</v>
      </c>
      <c r="CZ54" s="46">
        <f t="shared" si="83"/>
        <v>45</v>
      </c>
      <c r="DA54" s="45">
        <f>ROUND((VLOOKUP(A54,'Cumulative pupils per year'!$A$3:$S$88,13,FALSE)),0)</f>
        <v>315</v>
      </c>
      <c r="DB54" s="274">
        <f t="shared" si="84"/>
        <v>49</v>
      </c>
      <c r="DC54" s="274">
        <f t="shared" si="85"/>
        <v>48</v>
      </c>
      <c r="DD54" s="274">
        <f t="shared" si="86"/>
        <v>48</v>
      </c>
      <c r="DE54" s="274">
        <f t="shared" si="87"/>
        <v>48</v>
      </c>
      <c r="DF54" s="274">
        <f t="shared" si="88"/>
        <v>48</v>
      </c>
      <c r="DG54" s="274">
        <f t="shared" si="89"/>
        <v>48</v>
      </c>
      <c r="DH54" s="274">
        <f t="shared" si="90"/>
        <v>48</v>
      </c>
      <c r="DI54" s="291">
        <f>ROUND((VLOOKUP(A54,'Cumulative pupils per year'!$A$3:$S$88,14,FALSE)),0)</f>
        <v>337</v>
      </c>
      <c r="DJ54" s="46">
        <f t="shared" si="91"/>
        <v>52</v>
      </c>
      <c r="DK54" s="46">
        <f t="shared" si="92"/>
        <v>52</v>
      </c>
      <c r="DL54" s="46">
        <f t="shared" si="93"/>
        <v>51</v>
      </c>
      <c r="DM54" s="46">
        <f t="shared" si="94"/>
        <v>51</v>
      </c>
      <c r="DN54" s="46">
        <f t="shared" si="95"/>
        <v>51</v>
      </c>
      <c r="DO54" s="46">
        <f t="shared" si="96"/>
        <v>51</v>
      </c>
      <c r="DP54" s="46">
        <f t="shared" si="97"/>
        <v>51</v>
      </c>
      <c r="DQ54" s="45">
        <f>ROUND((VLOOKUP(A54,'Cumulative pupils per year'!$A$3:$S$88,15,FALSE)),0)</f>
        <v>359</v>
      </c>
    </row>
    <row r="55" spans="1:121">
      <c r="A55" s="4" t="s">
        <v>52</v>
      </c>
      <c r="B55" s="46">
        <v>2</v>
      </c>
      <c r="C55" s="46">
        <v>2</v>
      </c>
      <c r="D55" s="46">
        <v>2</v>
      </c>
      <c r="E55" s="46">
        <v>1</v>
      </c>
      <c r="F55" s="46">
        <v>1</v>
      </c>
      <c r="G55" s="46">
        <v>1</v>
      </c>
      <c r="H55" s="46">
        <v>1</v>
      </c>
      <c r="I55" s="45">
        <v>10</v>
      </c>
      <c r="J55" s="44">
        <f t="shared" si="273"/>
        <v>4</v>
      </c>
      <c r="K55" s="44">
        <f t="shared" si="274"/>
        <v>3</v>
      </c>
      <c r="L55" s="44">
        <f t="shared" si="275"/>
        <v>3</v>
      </c>
      <c r="M55" s="44">
        <f t="shared" si="276"/>
        <v>3</v>
      </c>
      <c r="N55" s="44">
        <f t="shared" si="277"/>
        <v>3</v>
      </c>
      <c r="O55" s="44">
        <f t="shared" si="278"/>
        <v>3</v>
      </c>
      <c r="P55" s="44">
        <f t="shared" si="279"/>
        <v>3</v>
      </c>
      <c r="Q55" s="43">
        <f>ROUND((VLOOKUP(A55,'Cumulative pupils per year'!$A$3:$S$88,2,FALSE)),0)</f>
        <v>22</v>
      </c>
      <c r="R55" s="46">
        <f t="shared" si="7"/>
        <v>7</v>
      </c>
      <c r="S55" s="46">
        <f t="shared" si="8"/>
        <v>7</v>
      </c>
      <c r="T55" s="46">
        <f t="shared" si="9"/>
        <v>7</v>
      </c>
      <c r="U55" s="46">
        <f t="shared" si="10"/>
        <v>6</v>
      </c>
      <c r="V55" s="46">
        <f t="shared" si="11"/>
        <v>6</v>
      </c>
      <c r="W55" s="46">
        <f t="shared" si="12"/>
        <v>6</v>
      </c>
      <c r="X55" s="46">
        <f t="shared" si="13"/>
        <v>6</v>
      </c>
      <c r="Y55" s="45">
        <f>ROUND((VLOOKUP(A55,'Cumulative pupils per year'!$A$3:$S$88,3,FALSE)),0)</f>
        <v>45</v>
      </c>
      <c r="Z55" s="274">
        <f t="shared" si="14"/>
        <v>8</v>
      </c>
      <c r="AA55" s="274">
        <f t="shared" si="15"/>
        <v>8</v>
      </c>
      <c r="AB55" s="274">
        <f t="shared" si="16"/>
        <v>8</v>
      </c>
      <c r="AC55" s="274">
        <f t="shared" si="17"/>
        <v>8</v>
      </c>
      <c r="AD55" s="274">
        <f t="shared" si="18"/>
        <v>7</v>
      </c>
      <c r="AE55" s="274">
        <f t="shared" si="19"/>
        <v>7</v>
      </c>
      <c r="AF55" s="274">
        <f t="shared" si="20"/>
        <v>7</v>
      </c>
      <c r="AG55" s="43">
        <f>ROUND((VLOOKUP(A55,'Cumulative pupils per year'!$A$3:$S$88,4,FALSE)),0)</f>
        <v>53</v>
      </c>
      <c r="AH55" s="46">
        <f t="shared" si="21"/>
        <v>9</v>
      </c>
      <c r="AI55" s="46">
        <f t="shared" si="22"/>
        <v>8</v>
      </c>
      <c r="AJ55" s="46">
        <f t="shared" si="23"/>
        <v>8</v>
      </c>
      <c r="AK55" s="46">
        <f t="shared" si="24"/>
        <v>8</v>
      </c>
      <c r="AL55" s="46">
        <f t="shared" si="25"/>
        <v>8</v>
      </c>
      <c r="AM55" s="46">
        <f t="shared" si="26"/>
        <v>8</v>
      </c>
      <c r="AN55" s="46">
        <f t="shared" si="27"/>
        <v>8</v>
      </c>
      <c r="AO55" s="45">
        <f>ROUND((VLOOKUP(A55,'Cumulative pupils per year'!$A$3:$S$88,5,FALSE)),0)</f>
        <v>57</v>
      </c>
      <c r="AP55" s="274">
        <f t="shared" si="28"/>
        <v>9</v>
      </c>
      <c r="AQ55" s="274">
        <f t="shared" si="29"/>
        <v>8</v>
      </c>
      <c r="AR55" s="274">
        <f t="shared" si="30"/>
        <v>8</v>
      </c>
      <c r="AS55" s="274">
        <f t="shared" si="31"/>
        <v>8</v>
      </c>
      <c r="AT55" s="274">
        <f t="shared" si="32"/>
        <v>8</v>
      </c>
      <c r="AU55" s="274">
        <f t="shared" si="33"/>
        <v>8</v>
      </c>
      <c r="AV55" s="274">
        <f t="shared" si="34"/>
        <v>8</v>
      </c>
      <c r="AW55" s="43">
        <f>ROUND((VLOOKUP(A55,'Cumulative pupils per year'!$A$3:$S$88,6,FALSE)),0)</f>
        <v>57</v>
      </c>
      <c r="AX55" s="46">
        <f t="shared" si="35"/>
        <v>9</v>
      </c>
      <c r="AY55" s="46">
        <f t="shared" si="36"/>
        <v>8</v>
      </c>
      <c r="AZ55" s="46">
        <f t="shared" si="37"/>
        <v>8</v>
      </c>
      <c r="BA55" s="46">
        <f t="shared" si="38"/>
        <v>8</v>
      </c>
      <c r="BB55" s="46">
        <f t="shared" si="39"/>
        <v>8</v>
      </c>
      <c r="BC55" s="46">
        <f t="shared" si="40"/>
        <v>8</v>
      </c>
      <c r="BD55" s="46">
        <f t="shared" si="41"/>
        <v>8</v>
      </c>
      <c r="BE55" s="45">
        <f>ROUND((VLOOKUP(A55,'Cumulative pupils per year'!$A$3:$S$88,7,FALSE)),0)</f>
        <v>57</v>
      </c>
      <c r="BF55" s="274">
        <f t="shared" si="42"/>
        <v>9</v>
      </c>
      <c r="BG55" s="274">
        <f t="shared" si="43"/>
        <v>8</v>
      </c>
      <c r="BH55" s="274">
        <f t="shared" si="44"/>
        <v>8</v>
      </c>
      <c r="BI55" s="274">
        <f t="shared" si="45"/>
        <v>8</v>
      </c>
      <c r="BJ55" s="274">
        <f t="shared" si="46"/>
        <v>8</v>
      </c>
      <c r="BK55" s="274">
        <f t="shared" si="47"/>
        <v>8</v>
      </c>
      <c r="BL55" s="274">
        <f t="shared" si="48"/>
        <v>8</v>
      </c>
      <c r="BM55" s="43">
        <f>ROUND((VLOOKUP(A55,'Cumulative pupils per year'!$A$3:$S$88,8,FALSE)),0)</f>
        <v>57</v>
      </c>
      <c r="BN55" s="46">
        <f t="shared" si="49"/>
        <v>9</v>
      </c>
      <c r="BO55" s="46">
        <f t="shared" si="50"/>
        <v>8</v>
      </c>
      <c r="BP55" s="46">
        <f t="shared" si="51"/>
        <v>8</v>
      </c>
      <c r="BQ55" s="46">
        <f t="shared" si="52"/>
        <v>8</v>
      </c>
      <c r="BR55" s="46">
        <f t="shared" si="53"/>
        <v>8</v>
      </c>
      <c r="BS55" s="46">
        <f t="shared" si="54"/>
        <v>8</v>
      </c>
      <c r="BT55" s="46">
        <f t="shared" si="55"/>
        <v>8</v>
      </c>
      <c r="BU55" s="45">
        <f>ROUND((VLOOKUP(A55,'Cumulative pupils per year'!$A$3:$S$88,9,FALSE)),0)</f>
        <v>57</v>
      </c>
      <c r="BV55" s="274">
        <f t="shared" si="56"/>
        <v>9</v>
      </c>
      <c r="BW55" s="274">
        <f t="shared" si="57"/>
        <v>8</v>
      </c>
      <c r="BX55" s="274">
        <f t="shared" si="58"/>
        <v>8</v>
      </c>
      <c r="BY55" s="274">
        <f t="shared" si="59"/>
        <v>8</v>
      </c>
      <c r="BZ55" s="274">
        <f t="shared" si="60"/>
        <v>8</v>
      </c>
      <c r="CA55" s="274">
        <f t="shared" si="61"/>
        <v>8</v>
      </c>
      <c r="CB55" s="274">
        <f t="shared" si="62"/>
        <v>8</v>
      </c>
      <c r="CC55" s="43">
        <f>ROUND((VLOOKUP(A55,'Cumulative pupils per year'!$A$3:$S$88,10,FALSE)),0)</f>
        <v>57</v>
      </c>
      <c r="CD55" s="46">
        <f t="shared" si="63"/>
        <v>9</v>
      </c>
      <c r="CE55" s="46">
        <f t="shared" si="64"/>
        <v>8</v>
      </c>
      <c r="CF55" s="46">
        <f t="shared" si="65"/>
        <v>8</v>
      </c>
      <c r="CG55" s="46">
        <f t="shared" si="66"/>
        <v>8</v>
      </c>
      <c r="CH55" s="46">
        <f t="shared" si="67"/>
        <v>8</v>
      </c>
      <c r="CI55" s="46">
        <f t="shared" si="68"/>
        <v>8</v>
      </c>
      <c r="CJ55" s="46">
        <f t="shared" si="69"/>
        <v>8</v>
      </c>
      <c r="CK55" s="45">
        <f>ROUND((VLOOKUP(A55,'Cumulative pupils per year'!$A$3:$S$88,11,FALSE)),0)</f>
        <v>57</v>
      </c>
      <c r="CL55" s="274">
        <f t="shared" si="70"/>
        <v>9</v>
      </c>
      <c r="CM55" s="274">
        <f t="shared" si="71"/>
        <v>8</v>
      </c>
      <c r="CN55" s="274">
        <f t="shared" si="72"/>
        <v>8</v>
      </c>
      <c r="CO55" s="274">
        <f t="shared" si="73"/>
        <v>8</v>
      </c>
      <c r="CP55" s="274">
        <f t="shared" si="74"/>
        <v>8</v>
      </c>
      <c r="CQ55" s="274">
        <f t="shared" si="75"/>
        <v>8</v>
      </c>
      <c r="CR55" s="274">
        <f t="shared" si="76"/>
        <v>8</v>
      </c>
      <c r="CS55" s="291">
        <f>ROUND((VLOOKUP(A55,'Cumulative pupils per year'!$A$3:$S$88,12,FALSE)),0)</f>
        <v>57</v>
      </c>
      <c r="CT55" s="46">
        <f t="shared" si="77"/>
        <v>9</v>
      </c>
      <c r="CU55" s="46">
        <f t="shared" si="78"/>
        <v>8</v>
      </c>
      <c r="CV55" s="46">
        <f t="shared" si="79"/>
        <v>8</v>
      </c>
      <c r="CW55" s="46">
        <f t="shared" si="80"/>
        <v>8</v>
      </c>
      <c r="CX55" s="46">
        <f t="shared" si="81"/>
        <v>8</v>
      </c>
      <c r="CY55" s="46">
        <f t="shared" si="82"/>
        <v>8</v>
      </c>
      <c r="CZ55" s="46">
        <f t="shared" si="83"/>
        <v>8</v>
      </c>
      <c r="DA55" s="45">
        <f>ROUND((VLOOKUP(A55,'Cumulative pupils per year'!$A$3:$S$88,13,FALSE)),0)</f>
        <v>57</v>
      </c>
      <c r="DB55" s="274">
        <f t="shared" si="84"/>
        <v>9</v>
      </c>
      <c r="DC55" s="274">
        <f t="shared" si="85"/>
        <v>8</v>
      </c>
      <c r="DD55" s="274">
        <f t="shared" si="86"/>
        <v>8</v>
      </c>
      <c r="DE55" s="274">
        <f t="shared" si="87"/>
        <v>8</v>
      </c>
      <c r="DF55" s="274">
        <f t="shared" si="88"/>
        <v>8</v>
      </c>
      <c r="DG55" s="274">
        <f t="shared" si="89"/>
        <v>8</v>
      </c>
      <c r="DH55" s="274">
        <f t="shared" si="90"/>
        <v>8</v>
      </c>
      <c r="DI55" s="291">
        <f>ROUND((VLOOKUP(A55,'Cumulative pupils per year'!$A$3:$S$88,14,FALSE)),0)</f>
        <v>57</v>
      </c>
      <c r="DJ55" s="46">
        <f t="shared" si="91"/>
        <v>9</v>
      </c>
      <c r="DK55" s="46">
        <f t="shared" si="92"/>
        <v>8</v>
      </c>
      <c r="DL55" s="46">
        <f t="shared" si="93"/>
        <v>8</v>
      </c>
      <c r="DM55" s="46">
        <f t="shared" si="94"/>
        <v>8</v>
      </c>
      <c r="DN55" s="46">
        <f t="shared" si="95"/>
        <v>8</v>
      </c>
      <c r="DO55" s="46">
        <f t="shared" si="96"/>
        <v>8</v>
      </c>
      <c r="DP55" s="46">
        <f t="shared" si="97"/>
        <v>8</v>
      </c>
      <c r="DQ55" s="45">
        <f>ROUND((VLOOKUP(A55,'Cumulative pupils per year'!$A$3:$S$88,15,FALSE)),0)</f>
        <v>57</v>
      </c>
    </row>
    <row r="56" spans="1:121">
      <c r="A56" s="4" t="s">
        <v>53</v>
      </c>
      <c r="B56" s="46">
        <v>0</v>
      </c>
      <c r="C56" s="46">
        <v>0</v>
      </c>
      <c r="D56" s="46">
        <v>0</v>
      </c>
      <c r="E56" s="46">
        <v>0</v>
      </c>
      <c r="F56" s="46">
        <v>0</v>
      </c>
      <c r="G56" s="46">
        <v>0</v>
      </c>
      <c r="H56" s="46">
        <v>0</v>
      </c>
      <c r="I56" s="45">
        <v>0</v>
      </c>
      <c r="J56" s="44">
        <f t="shared" si="273"/>
        <v>0</v>
      </c>
      <c r="K56" s="44">
        <f t="shared" si="274"/>
        <v>0</v>
      </c>
      <c r="L56" s="44">
        <f t="shared" si="275"/>
        <v>0</v>
      </c>
      <c r="M56" s="44">
        <f t="shared" si="276"/>
        <v>0</v>
      </c>
      <c r="N56" s="44">
        <f t="shared" si="277"/>
        <v>0</v>
      </c>
      <c r="O56" s="44">
        <f t="shared" si="278"/>
        <v>0</v>
      </c>
      <c r="P56" s="44">
        <f t="shared" si="279"/>
        <v>0</v>
      </c>
      <c r="Q56" s="43">
        <f>ROUND((VLOOKUP(A56,'Cumulative pupils per year'!$A$3:$S$88,2,FALSE)),0)</f>
        <v>0</v>
      </c>
      <c r="R56" s="46">
        <f t="shared" si="7"/>
        <v>1</v>
      </c>
      <c r="S56" s="46">
        <f t="shared" si="8"/>
        <v>1</v>
      </c>
      <c r="T56" s="46">
        <f t="shared" si="9"/>
        <v>0</v>
      </c>
      <c r="U56" s="46">
        <f t="shared" si="10"/>
        <v>0</v>
      </c>
      <c r="V56" s="46">
        <f t="shared" si="11"/>
        <v>0</v>
      </c>
      <c r="W56" s="46">
        <f t="shared" si="12"/>
        <v>0</v>
      </c>
      <c r="X56" s="46">
        <f t="shared" si="13"/>
        <v>0</v>
      </c>
      <c r="Y56" s="45">
        <f>ROUND((VLOOKUP(A56,'Cumulative pupils per year'!$A$3:$S$88,3,FALSE)),0)</f>
        <v>2</v>
      </c>
      <c r="Z56" s="274">
        <f t="shared" si="14"/>
        <v>1</v>
      </c>
      <c r="AA56" s="274">
        <f t="shared" si="15"/>
        <v>1</v>
      </c>
      <c r="AB56" s="274">
        <f t="shared" si="16"/>
        <v>0</v>
      </c>
      <c r="AC56" s="274">
        <f t="shared" si="17"/>
        <v>0</v>
      </c>
      <c r="AD56" s="274">
        <f t="shared" si="18"/>
        <v>0</v>
      </c>
      <c r="AE56" s="274">
        <f t="shared" si="19"/>
        <v>0</v>
      </c>
      <c r="AF56" s="274">
        <f t="shared" si="20"/>
        <v>0</v>
      </c>
      <c r="AG56" s="43">
        <f>ROUND((VLOOKUP(A56,'Cumulative pupils per year'!$A$3:$S$88,4,FALSE)),0)</f>
        <v>2</v>
      </c>
      <c r="AH56" s="46">
        <f t="shared" si="21"/>
        <v>1</v>
      </c>
      <c r="AI56" s="46">
        <f t="shared" si="22"/>
        <v>1</v>
      </c>
      <c r="AJ56" s="46">
        <f t="shared" si="23"/>
        <v>0</v>
      </c>
      <c r="AK56" s="46">
        <f t="shared" si="24"/>
        <v>0</v>
      </c>
      <c r="AL56" s="46">
        <f t="shared" si="25"/>
        <v>0</v>
      </c>
      <c r="AM56" s="46">
        <f t="shared" si="26"/>
        <v>0</v>
      </c>
      <c r="AN56" s="46">
        <f t="shared" si="27"/>
        <v>0</v>
      </c>
      <c r="AO56" s="45">
        <f>ROUND((VLOOKUP(A56,'Cumulative pupils per year'!$A$3:$S$88,5,FALSE)),0)</f>
        <v>2</v>
      </c>
      <c r="AP56" s="274">
        <f t="shared" si="28"/>
        <v>1</v>
      </c>
      <c r="AQ56" s="274">
        <f t="shared" si="29"/>
        <v>1</v>
      </c>
      <c r="AR56" s="274">
        <f t="shared" si="30"/>
        <v>0</v>
      </c>
      <c r="AS56" s="274">
        <f t="shared" si="31"/>
        <v>0</v>
      </c>
      <c r="AT56" s="274">
        <f t="shared" si="32"/>
        <v>0</v>
      </c>
      <c r="AU56" s="274">
        <f t="shared" si="33"/>
        <v>0</v>
      </c>
      <c r="AV56" s="274">
        <f t="shared" si="34"/>
        <v>0</v>
      </c>
      <c r="AW56" s="43">
        <f>ROUND((VLOOKUP(A56,'Cumulative pupils per year'!$A$3:$S$88,6,FALSE)),0)</f>
        <v>2</v>
      </c>
      <c r="AX56" s="46">
        <f t="shared" si="35"/>
        <v>1</v>
      </c>
      <c r="AY56" s="46">
        <f t="shared" si="36"/>
        <v>1</v>
      </c>
      <c r="AZ56" s="46">
        <f t="shared" si="37"/>
        <v>0</v>
      </c>
      <c r="BA56" s="46">
        <f t="shared" si="38"/>
        <v>0</v>
      </c>
      <c r="BB56" s="46">
        <f t="shared" si="39"/>
        <v>0</v>
      </c>
      <c r="BC56" s="46">
        <f t="shared" si="40"/>
        <v>0</v>
      </c>
      <c r="BD56" s="46">
        <f t="shared" si="41"/>
        <v>0</v>
      </c>
      <c r="BE56" s="45">
        <f>ROUND((VLOOKUP(A56,'Cumulative pupils per year'!$A$3:$S$88,7,FALSE)),0)</f>
        <v>2</v>
      </c>
      <c r="BF56" s="274">
        <f t="shared" si="42"/>
        <v>1</v>
      </c>
      <c r="BG56" s="274">
        <f t="shared" si="43"/>
        <v>1</v>
      </c>
      <c r="BH56" s="274">
        <f t="shared" si="44"/>
        <v>0</v>
      </c>
      <c r="BI56" s="274">
        <f t="shared" si="45"/>
        <v>0</v>
      </c>
      <c r="BJ56" s="274">
        <f t="shared" si="46"/>
        <v>0</v>
      </c>
      <c r="BK56" s="274">
        <f t="shared" si="47"/>
        <v>0</v>
      </c>
      <c r="BL56" s="274">
        <f t="shared" si="48"/>
        <v>0</v>
      </c>
      <c r="BM56" s="43">
        <f>ROUND((VLOOKUP(A56,'Cumulative pupils per year'!$A$3:$S$88,8,FALSE)),0)</f>
        <v>2</v>
      </c>
      <c r="BN56" s="46">
        <f t="shared" si="49"/>
        <v>1</v>
      </c>
      <c r="BO56" s="46">
        <f t="shared" si="50"/>
        <v>1</v>
      </c>
      <c r="BP56" s="46">
        <f t="shared" si="51"/>
        <v>0</v>
      </c>
      <c r="BQ56" s="46">
        <f t="shared" si="52"/>
        <v>0</v>
      </c>
      <c r="BR56" s="46">
        <f t="shared" si="53"/>
        <v>0</v>
      </c>
      <c r="BS56" s="46">
        <f t="shared" si="54"/>
        <v>0</v>
      </c>
      <c r="BT56" s="46">
        <f t="shared" si="55"/>
        <v>0</v>
      </c>
      <c r="BU56" s="45">
        <f>ROUND((VLOOKUP(A56,'Cumulative pupils per year'!$A$3:$S$88,9,FALSE)),0)</f>
        <v>2</v>
      </c>
      <c r="BV56" s="274">
        <f t="shared" si="56"/>
        <v>1</v>
      </c>
      <c r="BW56" s="274">
        <f t="shared" si="57"/>
        <v>1</v>
      </c>
      <c r="BX56" s="274">
        <f t="shared" si="58"/>
        <v>1</v>
      </c>
      <c r="BY56" s="274">
        <f t="shared" si="59"/>
        <v>0</v>
      </c>
      <c r="BZ56" s="274">
        <f t="shared" si="60"/>
        <v>0</v>
      </c>
      <c r="CA56" s="274">
        <f t="shared" si="61"/>
        <v>0</v>
      </c>
      <c r="CB56" s="274">
        <f t="shared" si="62"/>
        <v>0</v>
      </c>
      <c r="CC56" s="43">
        <f>ROUND((VLOOKUP(A56,'Cumulative pupils per year'!$A$3:$S$88,10,FALSE)),0)</f>
        <v>3</v>
      </c>
      <c r="CD56" s="46">
        <f t="shared" si="63"/>
        <v>1</v>
      </c>
      <c r="CE56" s="46">
        <f t="shared" si="64"/>
        <v>1</v>
      </c>
      <c r="CF56" s="46">
        <f t="shared" si="65"/>
        <v>1</v>
      </c>
      <c r="CG56" s="46">
        <f t="shared" si="66"/>
        <v>0</v>
      </c>
      <c r="CH56" s="46">
        <f t="shared" si="67"/>
        <v>0</v>
      </c>
      <c r="CI56" s="46">
        <f t="shared" si="68"/>
        <v>0</v>
      </c>
      <c r="CJ56" s="46">
        <f t="shared" si="69"/>
        <v>0</v>
      </c>
      <c r="CK56" s="45">
        <f>ROUND((VLOOKUP(A56,'Cumulative pupils per year'!$A$3:$S$88,11,FALSE)),0)</f>
        <v>3</v>
      </c>
      <c r="CL56" s="274">
        <f t="shared" si="70"/>
        <v>1</v>
      </c>
      <c r="CM56" s="274">
        <f t="shared" si="71"/>
        <v>1</v>
      </c>
      <c r="CN56" s="274">
        <f t="shared" si="72"/>
        <v>1</v>
      </c>
      <c r="CO56" s="274">
        <f t="shared" si="73"/>
        <v>0</v>
      </c>
      <c r="CP56" s="274">
        <f t="shared" si="74"/>
        <v>0</v>
      </c>
      <c r="CQ56" s="274">
        <f t="shared" si="75"/>
        <v>0</v>
      </c>
      <c r="CR56" s="274">
        <f t="shared" si="76"/>
        <v>0</v>
      </c>
      <c r="CS56" s="291">
        <f>ROUND((VLOOKUP(A56,'Cumulative pupils per year'!$A$3:$S$88,12,FALSE)),0)</f>
        <v>3</v>
      </c>
      <c r="CT56" s="46">
        <f t="shared" si="77"/>
        <v>1</v>
      </c>
      <c r="CU56" s="46">
        <f t="shared" si="78"/>
        <v>1</v>
      </c>
      <c r="CV56" s="46">
        <f t="shared" si="79"/>
        <v>1</v>
      </c>
      <c r="CW56" s="46">
        <f t="shared" si="80"/>
        <v>0</v>
      </c>
      <c r="CX56" s="46">
        <f t="shared" si="81"/>
        <v>0</v>
      </c>
      <c r="CY56" s="46">
        <f t="shared" si="82"/>
        <v>0</v>
      </c>
      <c r="CZ56" s="46">
        <f t="shared" si="83"/>
        <v>0</v>
      </c>
      <c r="DA56" s="45">
        <f>ROUND((VLOOKUP(A56,'Cumulative pupils per year'!$A$3:$S$88,13,FALSE)),0)</f>
        <v>3</v>
      </c>
      <c r="DB56" s="274">
        <f t="shared" si="84"/>
        <v>1</v>
      </c>
      <c r="DC56" s="274">
        <f t="shared" si="85"/>
        <v>1</v>
      </c>
      <c r="DD56" s="274">
        <f t="shared" si="86"/>
        <v>1</v>
      </c>
      <c r="DE56" s="274">
        <f t="shared" si="87"/>
        <v>0</v>
      </c>
      <c r="DF56" s="274">
        <f t="shared" si="88"/>
        <v>0</v>
      </c>
      <c r="DG56" s="274">
        <f t="shared" si="89"/>
        <v>0</v>
      </c>
      <c r="DH56" s="274">
        <f t="shared" si="90"/>
        <v>0</v>
      </c>
      <c r="DI56" s="291">
        <f>ROUND((VLOOKUP(A56,'Cumulative pupils per year'!$A$3:$S$88,14,FALSE)),0)</f>
        <v>3</v>
      </c>
      <c r="DJ56" s="46">
        <f t="shared" si="91"/>
        <v>1</v>
      </c>
      <c r="DK56" s="46">
        <f t="shared" si="92"/>
        <v>1</v>
      </c>
      <c r="DL56" s="46">
        <f t="shared" si="93"/>
        <v>1</v>
      </c>
      <c r="DM56" s="46">
        <f t="shared" si="94"/>
        <v>0</v>
      </c>
      <c r="DN56" s="46">
        <f t="shared" si="95"/>
        <v>0</v>
      </c>
      <c r="DO56" s="46">
        <f t="shared" si="96"/>
        <v>0</v>
      </c>
      <c r="DP56" s="46">
        <f t="shared" si="97"/>
        <v>0</v>
      </c>
      <c r="DQ56" s="45">
        <f>ROUND((VLOOKUP(A56,'Cumulative pupils per year'!$A$3:$S$88,15,FALSE)),0)</f>
        <v>3</v>
      </c>
    </row>
    <row r="57" spans="1:121">
      <c r="A57" s="4" t="s">
        <v>54</v>
      </c>
      <c r="B57" s="46">
        <v>0</v>
      </c>
      <c r="C57" s="46">
        <v>0</v>
      </c>
      <c r="D57" s="46">
        <v>0</v>
      </c>
      <c r="E57" s="46">
        <v>0</v>
      </c>
      <c r="F57" s="46">
        <v>0</v>
      </c>
      <c r="G57" s="46">
        <v>0</v>
      </c>
      <c r="H57" s="46">
        <v>0</v>
      </c>
      <c r="I57" s="45">
        <v>0</v>
      </c>
      <c r="J57" s="44">
        <f t="shared" si="273"/>
        <v>0</v>
      </c>
      <c r="K57" s="44">
        <f t="shared" si="274"/>
        <v>0</v>
      </c>
      <c r="L57" s="44">
        <f t="shared" si="275"/>
        <v>0</v>
      </c>
      <c r="M57" s="44">
        <f t="shared" si="276"/>
        <v>0</v>
      </c>
      <c r="N57" s="44">
        <f t="shared" si="277"/>
        <v>0</v>
      </c>
      <c r="O57" s="44">
        <f t="shared" si="278"/>
        <v>0</v>
      </c>
      <c r="P57" s="44">
        <f t="shared" si="279"/>
        <v>0</v>
      </c>
      <c r="Q57" s="43">
        <f>ROUND((VLOOKUP(A57,'Cumulative pupils per year'!$A$3:$S$88,2,FALSE)),0)</f>
        <v>0</v>
      </c>
      <c r="R57" s="46">
        <f t="shared" si="7"/>
        <v>0</v>
      </c>
      <c r="S57" s="46">
        <f t="shared" si="8"/>
        <v>0</v>
      </c>
      <c r="T57" s="46">
        <f t="shared" si="9"/>
        <v>0</v>
      </c>
      <c r="U57" s="46">
        <f t="shared" si="10"/>
        <v>0</v>
      </c>
      <c r="V57" s="46">
        <f t="shared" si="11"/>
        <v>0</v>
      </c>
      <c r="W57" s="46">
        <f t="shared" si="12"/>
        <v>0</v>
      </c>
      <c r="X57" s="46">
        <f t="shared" si="13"/>
        <v>0</v>
      </c>
      <c r="Y57" s="45">
        <f>ROUND((VLOOKUP(A57,'Cumulative pupils per year'!$A$3:$S$88,3,FALSE)),0)</f>
        <v>0</v>
      </c>
      <c r="Z57" s="274">
        <f t="shared" si="14"/>
        <v>0</v>
      </c>
      <c r="AA57" s="274">
        <f t="shared" si="15"/>
        <v>0</v>
      </c>
      <c r="AB57" s="274">
        <f t="shared" si="16"/>
        <v>0</v>
      </c>
      <c r="AC57" s="274">
        <f t="shared" si="17"/>
        <v>0</v>
      </c>
      <c r="AD57" s="274">
        <f t="shared" si="18"/>
        <v>0</v>
      </c>
      <c r="AE57" s="274">
        <f t="shared" si="19"/>
        <v>0</v>
      </c>
      <c r="AF57" s="274">
        <f t="shared" si="20"/>
        <v>0</v>
      </c>
      <c r="AG57" s="43">
        <f>ROUND((VLOOKUP(A57,'Cumulative pupils per year'!$A$3:$S$88,4,FALSE)),0)</f>
        <v>0</v>
      </c>
      <c r="AH57" s="46">
        <f t="shared" si="21"/>
        <v>0</v>
      </c>
      <c r="AI57" s="46">
        <f t="shared" si="22"/>
        <v>0</v>
      </c>
      <c r="AJ57" s="46">
        <f t="shared" si="23"/>
        <v>0</v>
      </c>
      <c r="AK57" s="46">
        <f t="shared" si="24"/>
        <v>0</v>
      </c>
      <c r="AL57" s="46">
        <f t="shared" si="25"/>
        <v>0</v>
      </c>
      <c r="AM57" s="46">
        <f t="shared" si="26"/>
        <v>0</v>
      </c>
      <c r="AN57" s="46">
        <f t="shared" si="27"/>
        <v>0</v>
      </c>
      <c r="AO57" s="45">
        <f>ROUND((VLOOKUP(A57,'Cumulative pupils per year'!$A$3:$S$88,5,FALSE)),0)</f>
        <v>0</v>
      </c>
      <c r="AP57" s="274">
        <f t="shared" si="28"/>
        <v>0</v>
      </c>
      <c r="AQ57" s="274">
        <f t="shared" si="29"/>
        <v>0</v>
      </c>
      <c r="AR57" s="274">
        <f t="shared" si="30"/>
        <v>0</v>
      </c>
      <c r="AS57" s="274">
        <f t="shared" si="31"/>
        <v>0</v>
      </c>
      <c r="AT57" s="274">
        <f t="shared" si="32"/>
        <v>0</v>
      </c>
      <c r="AU57" s="274">
        <f t="shared" si="33"/>
        <v>0</v>
      </c>
      <c r="AV57" s="274">
        <f t="shared" si="34"/>
        <v>0</v>
      </c>
      <c r="AW57" s="43">
        <f>ROUND((VLOOKUP(A57,'Cumulative pupils per year'!$A$3:$S$88,6,FALSE)),0)</f>
        <v>0</v>
      </c>
      <c r="AX57" s="46">
        <f t="shared" si="35"/>
        <v>0</v>
      </c>
      <c r="AY57" s="46">
        <f t="shared" si="36"/>
        <v>0</v>
      </c>
      <c r="AZ57" s="46">
        <f t="shared" si="37"/>
        <v>0</v>
      </c>
      <c r="BA57" s="46">
        <f t="shared" si="38"/>
        <v>0</v>
      </c>
      <c r="BB57" s="46">
        <f t="shared" si="39"/>
        <v>0</v>
      </c>
      <c r="BC57" s="46">
        <f t="shared" si="40"/>
        <v>0</v>
      </c>
      <c r="BD57" s="46">
        <f t="shared" si="41"/>
        <v>0</v>
      </c>
      <c r="BE57" s="45">
        <f>ROUND((VLOOKUP(A57,'Cumulative pupils per year'!$A$3:$S$88,7,FALSE)),0)</f>
        <v>0</v>
      </c>
      <c r="BF57" s="274">
        <f t="shared" si="42"/>
        <v>0</v>
      </c>
      <c r="BG57" s="274">
        <f t="shared" si="43"/>
        <v>0</v>
      </c>
      <c r="BH57" s="274">
        <f t="shared" si="44"/>
        <v>0</v>
      </c>
      <c r="BI57" s="274">
        <f t="shared" si="45"/>
        <v>0</v>
      </c>
      <c r="BJ57" s="274">
        <f t="shared" si="46"/>
        <v>0</v>
      </c>
      <c r="BK57" s="274">
        <f t="shared" si="47"/>
        <v>0</v>
      </c>
      <c r="BL57" s="274">
        <f t="shared" si="48"/>
        <v>0</v>
      </c>
      <c r="BM57" s="43">
        <f>ROUND((VLOOKUP(A57,'Cumulative pupils per year'!$A$3:$S$88,8,FALSE)),0)</f>
        <v>0</v>
      </c>
      <c r="BN57" s="46">
        <f t="shared" si="49"/>
        <v>0</v>
      </c>
      <c r="BO57" s="46">
        <f t="shared" si="50"/>
        <v>0</v>
      </c>
      <c r="BP57" s="46">
        <f t="shared" si="51"/>
        <v>0</v>
      </c>
      <c r="BQ57" s="46">
        <f t="shared" si="52"/>
        <v>0</v>
      </c>
      <c r="BR57" s="46">
        <f t="shared" si="53"/>
        <v>0</v>
      </c>
      <c r="BS57" s="46">
        <f t="shared" si="54"/>
        <v>0</v>
      </c>
      <c r="BT57" s="46">
        <f t="shared" si="55"/>
        <v>0</v>
      </c>
      <c r="BU57" s="45">
        <f>ROUND((VLOOKUP(A57,'Cumulative pupils per year'!$A$3:$S$88,9,FALSE)),0)</f>
        <v>0</v>
      </c>
      <c r="BV57" s="274">
        <f t="shared" si="56"/>
        <v>0</v>
      </c>
      <c r="BW57" s="274">
        <f t="shared" si="57"/>
        <v>0</v>
      </c>
      <c r="BX57" s="274">
        <f t="shared" si="58"/>
        <v>0</v>
      </c>
      <c r="BY57" s="274">
        <f t="shared" si="59"/>
        <v>0</v>
      </c>
      <c r="BZ57" s="274">
        <f t="shared" si="60"/>
        <v>0</v>
      </c>
      <c r="CA57" s="274">
        <f t="shared" si="61"/>
        <v>0</v>
      </c>
      <c r="CB57" s="274">
        <f t="shared" si="62"/>
        <v>0</v>
      </c>
      <c r="CC57" s="43">
        <f>ROUND((VLOOKUP(A57,'Cumulative pupils per year'!$A$3:$S$88,10,FALSE)),0)</f>
        <v>0</v>
      </c>
      <c r="CD57" s="46">
        <f t="shared" si="63"/>
        <v>0</v>
      </c>
      <c r="CE57" s="46">
        <f t="shared" si="64"/>
        <v>0</v>
      </c>
      <c r="CF57" s="46">
        <f t="shared" si="65"/>
        <v>0</v>
      </c>
      <c r="CG57" s="46">
        <f t="shared" si="66"/>
        <v>0</v>
      </c>
      <c r="CH57" s="46">
        <f t="shared" si="67"/>
        <v>0</v>
      </c>
      <c r="CI57" s="46">
        <f t="shared" si="68"/>
        <v>0</v>
      </c>
      <c r="CJ57" s="46">
        <f t="shared" si="69"/>
        <v>0</v>
      </c>
      <c r="CK57" s="45">
        <f>ROUND((VLOOKUP(A57,'Cumulative pupils per year'!$A$3:$S$88,11,FALSE)),0)</f>
        <v>0</v>
      </c>
      <c r="CL57" s="274">
        <f t="shared" si="70"/>
        <v>0</v>
      </c>
      <c r="CM57" s="274">
        <f t="shared" si="71"/>
        <v>0</v>
      </c>
      <c r="CN57" s="274">
        <f t="shared" si="72"/>
        <v>0</v>
      </c>
      <c r="CO57" s="274">
        <f t="shared" si="73"/>
        <v>0</v>
      </c>
      <c r="CP57" s="274">
        <f t="shared" si="74"/>
        <v>0</v>
      </c>
      <c r="CQ57" s="274">
        <f t="shared" si="75"/>
        <v>0</v>
      </c>
      <c r="CR57" s="274">
        <f t="shared" si="76"/>
        <v>0</v>
      </c>
      <c r="CS57" s="291">
        <f>ROUND((VLOOKUP(A57,'Cumulative pupils per year'!$A$3:$S$88,12,FALSE)),0)</f>
        <v>0</v>
      </c>
      <c r="CT57" s="46">
        <f t="shared" si="77"/>
        <v>0</v>
      </c>
      <c r="CU57" s="46">
        <f t="shared" si="78"/>
        <v>0</v>
      </c>
      <c r="CV57" s="46">
        <f t="shared" si="79"/>
        <v>0</v>
      </c>
      <c r="CW57" s="46">
        <f t="shared" si="80"/>
        <v>0</v>
      </c>
      <c r="CX57" s="46">
        <f t="shared" si="81"/>
        <v>0</v>
      </c>
      <c r="CY57" s="46">
        <f t="shared" si="82"/>
        <v>0</v>
      </c>
      <c r="CZ57" s="46">
        <f t="shared" si="83"/>
        <v>0</v>
      </c>
      <c r="DA57" s="45">
        <f>ROUND((VLOOKUP(A57,'Cumulative pupils per year'!$A$3:$S$88,13,FALSE)),0)</f>
        <v>0</v>
      </c>
      <c r="DB57" s="274">
        <f t="shared" si="84"/>
        <v>0</v>
      </c>
      <c r="DC57" s="274">
        <f t="shared" si="85"/>
        <v>0</v>
      </c>
      <c r="DD57" s="274">
        <f t="shared" si="86"/>
        <v>0</v>
      </c>
      <c r="DE57" s="274">
        <f t="shared" si="87"/>
        <v>0</v>
      </c>
      <c r="DF57" s="274">
        <f t="shared" si="88"/>
        <v>0</v>
      </c>
      <c r="DG57" s="274">
        <f t="shared" si="89"/>
        <v>0</v>
      </c>
      <c r="DH57" s="274">
        <f t="shared" si="90"/>
        <v>0</v>
      </c>
      <c r="DI57" s="291">
        <f>ROUND((VLOOKUP(A57,'Cumulative pupils per year'!$A$3:$S$88,14,FALSE)),0)</f>
        <v>0</v>
      </c>
      <c r="DJ57" s="46">
        <f t="shared" si="91"/>
        <v>0</v>
      </c>
      <c r="DK57" s="46">
        <f t="shared" si="92"/>
        <v>0</v>
      </c>
      <c r="DL57" s="46">
        <f t="shared" si="93"/>
        <v>0</v>
      </c>
      <c r="DM57" s="46">
        <f t="shared" si="94"/>
        <v>0</v>
      </c>
      <c r="DN57" s="46">
        <f t="shared" si="95"/>
        <v>0</v>
      </c>
      <c r="DO57" s="46">
        <f t="shared" si="96"/>
        <v>0</v>
      </c>
      <c r="DP57" s="46">
        <f t="shared" si="97"/>
        <v>0</v>
      </c>
      <c r="DQ57" s="45">
        <f>ROUND((VLOOKUP(A57,'Cumulative pupils per year'!$A$3:$S$88,15,FALSE)),0)</f>
        <v>0</v>
      </c>
    </row>
    <row r="58" spans="1:121">
      <c r="A58" s="4" t="s">
        <v>80</v>
      </c>
      <c r="B58" s="46">
        <v>0</v>
      </c>
      <c r="C58" s="46">
        <v>0</v>
      </c>
      <c r="D58" s="46">
        <v>0</v>
      </c>
      <c r="E58" s="46">
        <v>0</v>
      </c>
      <c r="F58" s="46">
        <v>0</v>
      </c>
      <c r="G58" s="46">
        <v>0</v>
      </c>
      <c r="H58" s="46">
        <v>0</v>
      </c>
      <c r="I58" s="45">
        <v>0</v>
      </c>
      <c r="J58" s="44">
        <f t="shared" si="273"/>
        <v>0</v>
      </c>
      <c r="K58" s="44">
        <f t="shared" si="274"/>
        <v>0</v>
      </c>
      <c r="L58" s="44">
        <f t="shared" si="275"/>
        <v>0</v>
      </c>
      <c r="M58" s="44">
        <f t="shared" si="276"/>
        <v>0</v>
      </c>
      <c r="N58" s="44">
        <f t="shared" si="277"/>
        <v>0</v>
      </c>
      <c r="O58" s="44">
        <f t="shared" si="278"/>
        <v>0</v>
      </c>
      <c r="P58" s="44">
        <f t="shared" si="279"/>
        <v>0</v>
      </c>
      <c r="Q58" s="43">
        <f>ROUND((VLOOKUP(A58,'Cumulative pupils per year'!$A$3:$S$88,2,FALSE)),0)</f>
        <v>0</v>
      </c>
      <c r="R58" s="46">
        <f t="shared" si="7"/>
        <v>0</v>
      </c>
      <c r="S58" s="46">
        <f t="shared" si="8"/>
        <v>0</v>
      </c>
      <c r="T58" s="46">
        <f t="shared" si="9"/>
        <v>0</v>
      </c>
      <c r="U58" s="46">
        <f t="shared" si="10"/>
        <v>0</v>
      </c>
      <c r="V58" s="46">
        <f t="shared" si="11"/>
        <v>0</v>
      </c>
      <c r="W58" s="46">
        <f t="shared" si="12"/>
        <v>0</v>
      </c>
      <c r="X58" s="46">
        <f t="shared" si="13"/>
        <v>0</v>
      </c>
      <c r="Y58" s="45">
        <f>ROUND((VLOOKUP(A58,'Cumulative pupils per year'!$A$3:$S$88,3,FALSE)),0)</f>
        <v>0</v>
      </c>
      <c r="Z58" s="274">
        <f t="shared" si="14"/>
        <v>0</v>
      </c>
      <c r="AA58" s="274">
        <f t="shared" si="15"/>
        <v>0</v>
      </c>
      <c r="AB58" s="274">
        <f t="shared" si="16"/>
        <v>0</v>
      </c>
      <c r="AC58" s="274">
        <f t="shared" si="17"/>
        <v>0</v>
      </c>
      <c r="AD58" s="274">
        <f t="shared" si="18"/>
        <v>0</v>
      </c>
      <c r="AE58" s="274">
        <f t="shared" si="19"/>
        <v>0</v>
      </c>
      <c r="AF58" s="274">
        <f t="shared" si="20"/>
        <v>0</v>
      </c>
      <c r="AG58" s="43">
        <f>ROUND((VLOOKUP(A58,'Cumulative pupils per year'!$A$3:$S$88,4,FALSE)),0)</f>
        <v>0</v>
      </c>
      <c r="AH58" s="46">
        <f t="shared" si="21"/>
        <v>0</v>
      </c>
      <c r="AI58" s="46">
        <f t="shared" si="22"/>
        <v>0</v>
      </c>
      <c r="AJ58" s="46">
        <f t="shared" si="23"/>
        <v>0</v>
      </c>
      <c r="AK58" s="46">
        <f t="shared" si="24"/>
        <v>0</v>
      </c>
      <c r="AL58" s="46">
        <f t="shared" si="25"/>
        <v>0</v>
      </c>
      <c r="AM58" s="46">
        <f t="shared" si="26"/>
        <v>0</v>
      </c>
      <c r="AN58" s="46">
        <f t="shared" si="27"/>
        <v>0</v>
      </c>
      <c r="AO58" s="45">
        <f>ROUND((VLOOKUP(A58,'Cumulative pupils per year'!$A$3:$S$88,5,FALSE)),0)</f>
        <v>0</v>
      </c>
      <c r="AP58" s="274">
        <f t="shared" si="28"/>
        <v>0</v>
      </c>
      <c r="AQ58" s="274">
        <f t="shared" si="29"/>
        <v>0</v>
      </c>
      <c r="AR58" s="274">
        <f t="shared" si="30"/>
        <v>0</v>
      </c>
      <c r="AS58" s="274">
        <f t="shared" si="31"/>
        <v>0</v>
      </c>
      <c r="AT58" s="274">
        <f t="shared" si="32"/>
        <v>0</v>
      </c>
      <c r="AU58" s="274">
        <f t="shared" si="33"/>
        <v>0</v>
      </c>
      <c r="AV58" s="274">
        <f t="shared" si="34"/>
        <v>0</v>
      </c>
      <c r="AW58" s="43">
        <f>ROUND((VLOOKUP(A58,'Cumulative pupils per year'!$A$3:$S$88,6,FALSE)),0)</f>
        <v>0</v>
      </c>
      <c r="AX58" s="46">
        <f t="shared" si="35"/>
        <v>1</v>
      </c>
      <c r="AY58" s="46">
        <f t="shared" si="36"/>
        <v>1</v>
      </c>
      <c r="AZ58" s="46">
        <f t="shared" si="37"/>
        <v>1</v>
      </c>
      <c r="BA58" s="46">
        <f t="shared" si="38"/>
        <v>0</v>
      </c>
      <c r="BB58" s="46">
        <f t="shared" si="39"/>
        <v>0</v>
      </c>
      <c r="BC58" s="46">
        <f t="shared" si="40"/>
        <v>0</v>
      </c>
      <c r="BD58" s="46">
        <f t="shared" si="41"/>
        <v>0</v>
      </c>
      <c r="BE58" s="45">
        <f>ROUND((VLOOKUP(A58,'Cumulative pupils per year'!$A$3:$S$88,7,FALSE)),0)</f>
        <v>3</v>
      </c>
      <c r="BF58" s="274">
        <f t="shared" si="42"/>
        <v>1</v>
      </c>
      <c r="BG58" s="274">
        <f t="shared" si="43"/>
        <v>1</v>
      </c>
      <c r="BH58" s="274">
        <f t="shared" si="44"/>
        <v>1</v>
      </c>
      <c r="BI58" s="274">
        <f t="shared" si="45"/>
        <v>1</v>
      </c>
      <c r="BJ58" s="274">
        <f t="shared" si="46"/>
        <v>1</v>
      </c>
      <c r="BK58" s="274">
        <f t="shared" si="47"/>
        <v>1</v>
      </c>
      <c r="BL58" s="274">
        <f t="shared" si="48"/>
        <v>0</v>
      </c>
      <c r="BM58" s="43">
        <f>ROUND((VLOOKUP(A58,'Cumulative pupils per year'!$A$3:$S$88,8,FALSE)),0)</f>
        <v>6</v>
      </c>
      <c r="BN58" s="46">
        <f t="shared" si="49"/>
        <v>1</v>
      </c>
      <c r="BO58" s="46">
        <f t="shared" si="50"/>
        <v>1</v>
      </c>
      <c r="BP58" s="46">
        <f t="shared" si="51"/>
        <v>1</v>
      </c>
      <c r="BQ58" s="46">
        <f t="shared" si="52"/>
        <v>1</v>
      </c>
      <c r="BR58" s="46">
        <f t="shared" si="53"/>
        <v>1</v>
      </c>
      <c r="BS58" s="46">
        <f t="shared" si="54"/>
        <v>1</v>
      </c>
      <c r="BT58" s="46">
        <f t="shared" si="55"/>
        <v>0</v>
      </c>
      <c r="BU58" s="45">
        <f>ROUND((VLOOKUP(A58,'Cumulative pupils per year'!$A$3:$S$88,9,FALSE)),0)</f>
        <v>6</v>
      </c>
      <c r="BV58" s="274">
        <f t="shared" si="56"/>
        <v>1</v>
      </c>
      <c r="BW58" s="274">
        <f t="shared" si="57"/>
        <v>1</v>
      </c>
      <c r="BX58" s="274">
        <f t="shared" si="58"/>
        <v>1</v>
      </c>
      <c r="BY58" s="274">
        <f t="shared" si="59"/>
        <v>1</v>
      </c>
      <c r="BZ58" s="274">
        <f t="shared" si="60"/>
        <v>1</v>
      </c>
      <c r="CA58" s="274">
        <f t="shared" si="61"/>
        <v>1</v>
      </c>
      <c r="CB58" s="274">
        <f t="shared" si="62"/>
        <v>0</v>
      </c>
      <c r="CC58" s="43">
        <f>ROUND((VLOOKUP(A58,'Cumulative pupils per year'!$A$3:$S$88,10,FALSE)),0)</f>
        <v>6</v>
      </c>
      <c r="CD58" s="46">
        <f t="shared" si="63"/>
        <v>1</v>
      </c>
      <c r="CE58" s="46">
        <f t="shared" si="64"/>
        <v>1</v>
      </c>
      <c r="CF58" s="46">
        <f t="shared" si="65"/>
        <v>1</v>
      </c>
      <c r="CG58" s="46">
        <f t="shared" si="66"/>
        <v>1</v>
      </c>
      <c r="CH58" s="46">
        <f t="shared" si="67"/>
        <v>1</v>
      </c>
      <c r="CI58" s="46">
        <f t="shared" si="68"/>
        <v>1</v>
      </c>
      <c r="CJ58" s="46">
        <f t="shared" si="69"/>
        <v>0</v>
      </c>
      <c r="CK58" s="45">
        <f>ROUND((VLOOKUP(A58,'Cumulative pupils per year'!$A$3:$S$88,11,FALSE)),0)</f>
        <v>6</v>
      </c>
      <c r="CL58" s="274">
        <f t="shared" si="70"/>
        <v>1</v>
      </c>
      <c r="CM58" s="274">
        <f t="shared" si="71"/>
        <v>1</v>
      </c>
      <c r="CN58" s="274">
        <f t="shared" si="72"/>
        <v>1</v>
      </c>
      <c r="CO58" s="274">
        <f t="shared" si="73"/>
        <v>1</v>
      </c>
      <c r="CP58" s="274">
        <f t="shared" si="74"/>
        <v>1</v>
      </c>
      <c r="CQ58" s="274">
        <f t="shared" si="75"/>
        <v>1</v>
      </c>
      <c r="CR58" s="274">
        <f t="shared" si="76"/>
        <v>0</v>
      </c>
      <c r="CS58" s="291">
        <f>ROUND((VLOOKUP(A58,'Cumulative pupils per year'!$A$3:$S$88,12,FALSE)),0)</f>
        <v>6</v>
      </c>
      <c r="CT58" s="46">
        <f t="shared" si="77"/>
        <v>1</v>
      </c>
      <c r="CU58" s="46">
        <f t="shared" si="78"/>
        <v>1</v>
      </c>
      <c r="CV58" s="46">
        <f t="shared" si="79"/>
        <v>1</v>
      </c>
      <c r="CW58" s="46">
        <f t="shared" si="80"/>
        <v>1</v>
      </c>
      <c r="CX58" s="46">
        <f t="shared" si="81"/>
        <v>1</v>
      </c>
      <c r="CY58" s="46">
        <f t="shared" si="82"/>
        <v>1</v>
      </c>
      <c r="CZ58" s="46">
        <f t="shared" si="83"/>
        <v>0</v>
      </c>
      <c r="DA58" s="45">
        <f>ROUND((VLOOKUP(A58,'Cumulative pupils per year'!$A$3:$S$88,13,FALSE)),0)</f>
        <v>6</v>
      </c>
      <c r="DB58" s="274">
        <f t="shared" si="84"/>
        <v>1</v>
      </c>
      <c r="DC58" s="274">
        <f t="shared" si="85"/>
        <v>1</v>
      </c>
      <c r="DD58" s="274">
        <f t="shared" si="86"/>
        <v>1</v>
      </c>
      <c r="DE58" s="274">
        <f t="shared" si="87"/>
        <v>1</v>
      </c>
      <c r="DF58" s="274">
        <f t="shared" si="88"/>
        <v>1</v>
      </c>
      <c r="DG58" s="274">
        <f t="shared" si="89"/>
        <v>1</v>
      </c>
      <c r="DH58" s="274">
        <f t="shared" si="90"/>
        <v>0</v>
      </c>
      <c r="DI58" s="291">
        <f>ROUND((VLOOKUP(A58,'Cumulative pupils per year'!$A$3:$S$88,14,FALSE)),0)</f>
        <v>6</v>
      </c>
      <c r="DJ58" s="46">
        <f t="shared" si="91"/>
        <v>1</v>
      </c>
      <c r="DK58" s="46">
        <f t="shared" si="92"/>
        <v>1</v>
      </c>
      <c r="DL58" s="46">
        <f t="shared" si="93"/>
        <v>1</v>
      </c>
      <c r="DM58" s="46">
        <f t="shared" si="94"/>
        <v>1</v>
      </c>
      <c r="DN58" s="46">
        <f t="shared" si="95"/>
        <v>1</v>
      </c>
      <c r="DO58" s="46">
        <f t="shared" si="96"/>
        <v>1</v>
      </c>
      <c r="DP58" s="46">
        <f t="shared" si="97"/>
        <v>0</v>
      </c>
      <c r="DQ58" s="45">
        <f>ROUND((VLOOKUP(A58,'Cumulative pupils per year'!$A$3:$S$88,15,FALSE)),0)</f>
        <v>6</v>
      </c>
    </row>
    <row r="59" spans="1:121">
      <c r="A59" s="4" t="s">
        <v>55</v>
      </c>
      <c r="B59" s="46">
        <v>0</v>
      </c>
      <c r="C59" s="46">
        <v>0</v>
      </c>
      <c r="D59" s="46">
        <v>0</v>
      </c>
      <c r="E59" s="46">
        <v>0</v>
      </c>
      <c r="F59" s="46">
        <v>0</v>
      </c>
      <c r="G59" s="46">
        <v>0</v>
      </c>
      <c r="H59" s="46">
        <v>0</v>
      </c>
      <c r="I59" s="45">
        <v>0</v>
      </c>
      <c r="J59" s="44">
        <f t="shared" si="273"/>
        <v>0</v>
      </c>
      <c r="K59" s="44">
        <f t="shared" si="274"/>
        <v>0</v>
      </c>
      <c r="L59" s="44">
        <f t="shared" si="275"/>
        <v>0</v>
      </c>
      <c r="M59" s="44">
        <f t="shared" si="276"/>
        <v>0</v>
      </c>
      <c r="N59" s="44">
        <f t="shared" si="277"/>
        <v>0</v>
      </c>
      <c r="O59" s="44">
        <f t="shared" si="278"/>
        <v>0</v>
      </c>
      <c r="P59" s="44">
        <f t="shared" si="279"/>
        <v>0</v>
      </c>
      <c r="Q59" s="43">
        <f>ROUND((VLOOKUP(A59,'Cumulative pupils per year'!$A$3:$S$88,2,FALSE)),0)</f>
        <v>0</v>
      </c>
      <c r="R59" s="46">
        <f t="shared" si="7"/>
        <v>0</v>
      </c>
      <c r="S59" s="46">
        <f t="shared" si="8"/>
        <v>0</v>
      </c>
      <c r="T59" s="46">
        <f t="shared" si="9"/>
        <v>0</v>
      </c>
      <c r="U59" s="46">
        <f t="shared" si="10"/>
        <v>0</v>
      </c>
      <c r="V59" s="46">
        <f t="shared" si="11"/>
        <v>0</v>
      </c>
      <c r="W59" s="46">
        <f t="shared" si="12"/>
        <v>0</v>
      </c>
      <c r="X59" s="46">
        <f t="shared" si="13"/>
        <v>0</v>
      </c>
      <c r="Y59" s="45">
        <f>ROUND((VLOOKUP(A59,'Cumulative pupils per year'!$A$3:$S$88,3,FALSE)),0)</f>
        <v>0</v>
      </c>
      <c r="Z59" s="274">
        <f t="shared" si="14"/>
        <v>0</v>
      </c>
      <c r="AA59" s="274">
        <f t="shared" si="15"/>
        <v>0</v>
      </c>
      <c r="AB59" s="274">
        <f t="shared" si="16"/>
        <v>0</v>
      </c>
      <c r="AC59" s="274">
        <f t="shared" si="17"/>
        <v>0</v>
      </c>
      <c r="AD59" s="274">
        <f t="shared" si="18"/>
        <v>0</v>
      </c>
      <c r="AE59" s="274">
        <f t="shared" si="19"/>
        <v>0</v>
      </c>
      <c r="AF59" s="274">
        <f t="shared" si="20"/>
        <v>0</v>
      </c>
      <c r="AG59" s="43">
        <f>ROUND((VLOOKUP(A59,'Cumulative pupils per year'!$A$3:$S$88,4,FALSE)),0)</f>
        <v>0</v>
      </c>
      <c r="AH59" s="46">
        <f t="shared" si="21"/>
        <v>1</v>
      </c>
      <c r="AI59" s="46">
        <f t="shared" si="22"/>
        <v>1</v>
      </c>
      <c r="AJ59" s="46">
        <f t="shared" si="23"/>
        <v>1</v>
      </c>
      <c r="AK59" s="46">
        <f t="shared" si="24"/>
        <v>1</v>
      </c>
      <c r="AL59" s="46">
        <f t="shared" si="25"/>
        <v>1</v>
      </c>
      <c r="AM59" s="46">
        <f t="shared" si="26"/>
        <v>0</v>
      </c>
      <c r="AN59" s="46">
        <f t="shared" si="27"/>
        <v>0</v>
      </c>
      <c r="AO59" s="45">
        <f>ROUND((VLOOKUP(A59,'Cumulative pupils per year'!$A$3:$S$88,5,FALSE)),0)</f>
        <v>5</v>
      </c>
      <c r="AP59" s="274">
        <f t="shared" si="28"/>
        <v>2</v>
      </c>
      <c r="AQ59" s="274">
        <f t="shared" si="29"/>
        <v>2</v>
      </c>
      <c r="AR59" s="274">
        <f t="shared" si="30"/>
        <v>2</v>
      </c>
      <c r="AS59" s="274">
        <f t="shared" si="31"/>
        <v>1</v>
      </c>
      <c r="AT59" s="274">
        <f t="shared" si="32"/>
        <v>1</v>
      </c>
      <c r="AU59" s="274">
        <f t="shared" si="33"/>
        <v>1</v>
      </c>
      <c r="AV59" s="274">
        <f t="shared" si="34"/>
        <v>1</v>
      </c>
      <c r="AW59" s="43">
        <f>ROUND((VLOOKUP(A59,'Cumulative pupils per year'!$A$3:$S$88,6,FALSE)),0)</f>
        <v>10</v>
      </c>
      <c r="AX59" s="46">
        <f t="shared" si="35"/>
        <v>5</v>
      </c>
      <c r="AY59" s="46">
        <f t="shared" si="36"/>
        <v>5</v>
      </c>
      <c r="AZ59" s="46">
        <f t="shared" si="37"/>
        <v>5</v>
      </c>
      <c r="BA59" s="46">
        <f t="shared" si="38"/>
        <v>5</v>
      </c>
      <c r="BB59" s="46">
        <f t="shared" si="39"/>
        <v>5</v>
      </c>
      <c r="BC59" s="46">
        <f t="shared" si="40"/>
        <v>4</v>
      </c>
      <c r="BD59" s="46">
        <f t="shared" si="41"/>
        <v>4</v>
      </c>
      <c r="BE59" s="45">
        <f>ROUND((VLOOKUP(A59,'Cumulative pupils per year'!$A$3:$S$88,7,FALSE)),0)</f>
        <v>33</v>
      </c>
      <c r="BF59" s="274">
        <f t="shared" si="42"/>
        <v>9</v>
      </c>
      <c r="BG59" s="274">
        <f t="shared" si="43"/>
        <v>8</v>
      </c>
      <c r="BH59" s="274">
        <f t="shared" si="44"/>
        <v>8</v>
      </c>
      <c r="BI59" s="274">
        <f t="shared" si="45"/>
        <v>8</v>
      </c>
      <c r="BJ59" s="274">
        <f t="shared" si="46"/>
        <v>8</v>
      </c>
      <c r="BK59" s="274">
        <f t="shared" si="47"/>
        <v>8</v>
      </c>
      <c r="BL59" s="274">
        <f t="shared" si="48"/>
        <v>8</v>
      </c>
      <c r="BM59" s="43">
        <f>ROUND((VLOOKUP(A59,'Cumulative pupils per year'!$A$3:$S$88,8,FALSE)),0)</f>
        <v>57</v>
      </c>
      <c r="BN59" s="46">
        <f t="shared" si="49"/>
        <v>12</v>
      </c>
      <c r="BO59" s="46">
        <f t="shared" si="50"/>
        <v>11</v>
      </c>
      <c r="BP59" s="46">
        <f t="shared" si="51"/>
        <v>11</v>
      </c>
      <c r="BQ59" s="46">
        <f t="shared" si="52"/>
        <v>11</v>
      </c>
      <c r="BR59" s="46">
        <f t="shared" si="53"/>
        <v>11</v>
      </c>
      <c r="BS59" s="46">
        <f t="shared" si="54"/>
        <v>11</v>
      </c>
      <c r="BT59" s="46">
        <f t="shared" si="55"/>
        <v>11</v>
      </c>
      <c r="BU59" s="45">
        <f>ROUND((VLOOKUP(A59,'Cumulative pupils per year'!$A$3:$S$88,9,FALSE)),0)</f>
        <v>78</v>
      </c>
      <c r="BV59" s="274">
        <f t="shared" si="56"/>
        <v>15</v>
      </c>
      <c r="BW59" s="274">
        <f t="shared" si="57"/>
        <v>14</v>
      </c>
      <c r="BX59" s="274">
        <f t="shared" si="58"/>
        <v>14</v>
      </c>
      <c r="BY59" s="274">
        <f t="shared" si="59"/>
        <v>14</v>
      </c>
      <c r="BZ59" s="274">
        <f t="shared" si="60"/>
        <v>14</v>
      </c>
      <c r="CA59" s="274">
        <f t="shared" si="61"/>
        <v>14</v>
      </c>
      <c r="CB59" s="274">
        <f t="shared" si="62"/>
        <v>14</v>
      </c>
      <c r="CC59" s="43">
        <f>ROUND((VLOOKUP(A59,'Cumulative pupils per year'!$A$3:$S$88,10,FALSE)),0)</f>
        <v>99</v>
      </c>
      <c r="CD59" s="46">
        <f t="shared" si="63"/>
        <v>18</v>
      </c>
      <c r="CE59" s="46">
        <f t="shared" si="64"/>
        <v>17</v>
      </c>
      <c r="CF59" s="46">
        <f t="shared" si="65"/>
        <v>17</v>
      </c>
      <c r="CG59" s="46">
        <f t="shared" si="66"/>
        <v>17</v>
      </c>
      <c r="CH59" s="46">
        <f t="shared" si="67"/>
        <v>17</v>
      </c>
      <c r="CI59" s="46">
        <f t="shared" si="68"/>
        <v>17</v>
      </c>
      <c r="CJ59" s="46">
        <f t="shared" si="69"/>
        <v>17</v>
      </c>
      <c r="CK59" s="45">
        <f>ROUND((VLOOKUP(A59,'Cumulative pupils per year'!$A$3:$S$88,11,FALSE)),0)</f>
        <v>120</v>
      </c>
      <c r="CL59" s="274">
        <f t="shared" si="70"/>
        <v>19</v>
      </c>
      <c r="CM59" s="274">
        <f t="shared" si="71"/>
        <v>19</v>
      </c>
      <c r="CN59" s="274">
        <f t="shared" si="72"/>
        <v>18</v>
      </c>
      <c r="CO59" s="274">
        <f t="shared" si="73"/>
        <v>18</v>
      </c>
      <c r="CP59" s="274">
        <f t="shared" si="74"/>
        <v>18</v>
      </c>
      <c r="CQ59" s="274">
        <f t="shared" si="75"/>
        <v>18</v>
      </c>
      <c r="CR59" s="274">
        <f t="shared" si="76"/>
        <v>18</v>
      </c>
      <c r="CS59" s="291">
        <f>ROUND((VLOOKUP(A59,'Cumulative pupils per year'!$A$3:$S$88,12,FALSE)),0)</f>
        <v>128</v>
      </c>
      <c r="CT59" s="46">
        <f t="shared" si="77"/>
        <v>20</v>
      </c>
      <c r="CU59" s="46">
        <f t="shared" si="78"/>
        <v>20</v>
      </c>
      <c r="CV59" s="46">
        <f t="shared" si="79"/>
        <v>20</v>
      </c>
      <c r="CW59" s="46">
        <f t="shared" si="80"/>
        <v>19</v>
      </c>
      <c r="CX59" s="46">
        <f t="shared" si="81"/>
        <v>19</v>
      </c>
      <c r="CY59" s="46">
        <f t="shared" si="82"/>
        <v>19</v>
      </c>
      <c r="CZ59" s="46">
        <f t="shared" si="83"/>
        <v>19</v>
      </c>
      <c r="DA59" s="45">
        <f>ROUND((VLOOKUP(A59,'Cumulative pupils per year'!$A$3:$S$88,13,FALSE)),0)</f>
        <v>136</v>
      </c>
      <c r="DB59" s="274">
        <f t="shared" si="84"/>
        <v>21</v>
      </c>
      <c r="DC59" s="274">
        <f t="shared" si="85"/>
        <v>21</v>
      </c>
      <c r="DD59" s="274">
        <f t="shared" si="86"/>
        <v>21</v>
      </c>
      <c r="DE59" s="274">
        <f t="shared" si="87"/>
        <v>21</v>
      </c>
      <c r="DF59" s="274">
        <f t="shared" si="88"/>
        <v>20</v>
      </c>
      <c r="DG59" s="274">
        <f t="shared" si="89"/>
        <v>20</v>
      </c>
      <c r="DH59" s="274">
        <f t="shared" si="90"/>
        <v>20</v>
      </c>
      <c r="DI59" s="291">
        <f>ROUND((VLOOKUP(A59,'Cumulative pupils per year'!$A$3:$S$88,14,FALSE)),0)</f>
        <v>144</v>
      </c>
      <c r="DJ59" s="46">
        <f t="shared" si="91"/>
        <v>22</v>
      </c>
      <c r="DK59" s="46">
        <f t="shared" si="92"/>
        <v>22</v>
      </c>
      <c r="DL59" s="46">
        <f t="shared" si="93"/>
        <v>22</v>
      </c>
      <c r="DM59" s="46">
        <f t="shared" si="94"/>
        <v>22</v>
      </c>
      <c r="DN59" s="46">
        <f t="shared" si="95"/>
        <v>22</v>
      </c>
      <c r="DO59" s="46">
        <f t="shared" si="96"/>
        <v>21</v>
      </c>
      <c r="DP59" s="46">
        <f t="shared" si="97"/>
        <v>21</v>
      </c>
      <c r="DQ59" s="45">
        <f>ROUND((VLOOKUP(A59,'Cumulative pupils per year'!$A$3:$S$88,15,FALSE)),0)</f>
        <v>152</v>
      </c>
    </row>
    <row r="60" spans="1:121">
      <c r="A60" s="4" t="s">
        <v>56</v>
      </c>
      <c r="B60" s="46">
        <v>0</v>
      </c>
      <c r="C60" s="46">
        <v>0</v>
      </c>
      <c r="D60" s="46">
        <v>0</v>
      </c>
      <c r="E60" s="46">
        <v>0</v>
      </c>
      <c r="F60" s="46">
        <v>0</v>
      </c>
      <c r="G60" s="46">
        <v>0</v>
      </c>
      <c r="H60" s="46">
        <v>0</v>
      </c>
      <c r="I60" s="45">
        <v>0</v>
      </c>
      <c r="J60" s="44">
        <f>ROUNDUP(Q60/7,0)</f>
        <v>1</v>
      </c>
      <c r="K60" s="44">
        <f>IF((Q60-J60)&gt;0,(ROUNDUP(((Q60-J60)/6),0)),0)</f>
        <v>0</v>
      </c>
      <c r="L60" s="44">
        <f>IF((Q60-J60-K60)&gt;0,(ROUNDUP(((Q60-J60-K60)/5),0)),0)</f>
        <v>0</v>
      </c>
      <c r="M60" s="44">
        <f>IF((Q60-J60-K60-L60)&gt;0,(ROUNDUP(((Q60-J60-K60-L60)/4),0)),0)</f>
        <v>0</v>
      </c>
      <c r="N60" s="44">
        <f>IF((Q60-J60-K60-L60-M60)&gt;0,(ROUNDUP(((Q60-J60-K60-L60-M60)/3),0)),0)</f>
        <v>0</v>
      </c>
      <c r="O60" s="44">
        <f>IF((Q60-J60-K60-L60-M60-N60)&gt;0,(ROUNDUP(((Q60-J60-K60-L60-M60-N60)/2),0)),0)</f>
        <v>0</v>
      </c>
      <c r="P60" s="44">
        <f>IF((Q60-J60-K60-L60-M60-N60-O60)&gt;0,(ROUNDUP(((Q60-J60-K60-L60-M60-N60-O60)/1),0)),0)</f>
        <v>0</v>
      </c>
      <c r="Q60" s="43">
        <f>ROUND((VLOOKUP(A60,'Cumulative pupils per year'!$A$3:$S$88,2,FALSE)),0)</f>
        <v>1</v>
      </c>
      <c r="R60" s="46">
        <f>ROUNDUP(Y60/7,0)</f>
        <v>1</v>
      </c>
      <c r="S60" s="46">
        <f>IF((Y60-R60)&gt;0,(ROUNDUP(((Y60-R60)/6),0)),0)</f>
        <v>0</v>
      </c>
      <c r="T60" s="46">
        <f>IF((Y60-R60-S60)&gt;0,(ROUNDUP(((Y60-R60-S60)/5),0)),0)</f>
        <v>0</v>
      </c>
      <c r="U60" s="46">
        <f>IF((Y60-R60-S60-T60)&gt;0,(ROUNDUP(((Y60-R60-S60-T60)/4),0)),0)</f>
        <v>0</v>
      </c>
      <c r="V60" s="46">
        <f>IF((Y60-R60-S60-T60-U60)&gt;0,(ROUNDUP(((Y60-R60-S60-T60-U60)/3),0)),0)</f>
        <v>0</v>
      </c>
      <c r="W60" s="46">
        <f>IF((Y60-R60-S60-T60-U60-V60)&gt;0,(ROUNDUP(((Y60-R60-S60-T60-U60-V60)/2),0)),0)</f>
        <v>0</v>
      </c>
      <c r="X60" s="46">
        <f>IF((Y60-R60-S60-T60-U60-V60-W60)&gt;0,(ROUNDUP(((Y60-R60-S60-T60-U60-V60-W60)/1),0)),0)</f>
        <v>0</v>
      </c>
      <c r="Y60" s="45">
        <f>ROUND((VLOOKUP(A60,'Cumulative pupils per year'!$A$3:$S$88,3,FALSE)),0)</f>
        <v>1</v>
      </c>
      <c r="Z60" s="274">
        <f>ROUNDUP(AG60/7,0)</f>
        <v>1</v>
      </c>
      <c r="AA60" s="274">
        <f>IF((AG60-Z60)&gt;0,(ROUNDUP(((AG60-Z60)/6),0)),0)</f>
        <v>0</v>
      </c>
      <c r="AB60" s="274">
        <f>IF((AG60-Z60-AA60)&gt;0,(ROUNDUP(((AG60-Z60-AA60)/5),0)),0)</f>
        <v>0</v>
      </c>
      <c r="AC60" s="274">
        <f>IF((AG60-Z60-AA60-AB60)&gt;0,(ROUNDUP(((AG60-Z60-AA60-AB60)/4),0)),0)</f>
        <v>0</v>
      </c>
      <c r="AD60" s="274">
        <f>IF((AG60-Z60-AA60-AB60-AC60)&gt;0,(ROUNDUP(((AG60-Z60-AA60-AB60-AC60)/3),0)),0)</f>
        <v>0</v>
      </c>
      <c r="AE60" s="274">
        <f>IF((AG60-Z60-AA60-AB60-AC60-AD60)&gt;0,(ROUNDUP(((AG60-Z60-AA60-AB60-AC60-AD60)/2),0)),0)</f>
        <v>0</v>
      </c>
      <c r="AF60" s="274">
        <f>IF((AG60-Z60-AA60-AB60-AC60-AD60-AE60)&gt;0,(ROUNDUP(((AG60-Z60-AA60-AB60-AC60-AD60-AE60)/1),0)),0)</f>
        <v>0</v>
      </c>
      <c r="AG60" s="43">
        <f>ROUND((VLOOKUP(A60,'Cumulative pupils per year'!$A$3:$S$88,4,FALSE)),0)</f>
        <v>1</v>
      </c>
      <c r="AH60" s="46">
        <f>ROUNDUP(AO60/7,0)</f>
        <v>1</v>
      </c>
      <c r="AI60" s="46">
        <f>IF((AO60-AH60)&gt;0,(ROUNDUP(((AO60-AH60)/6),0)),0)</f>
        <v>0</v>
      </c>
      <c r="AJ60" s="46">
        <f>IF((AO60-AH60-AI60)&gt;0,(ROUNDUP(((AO60-AH60-AI60)/5),0)),0)</f>
        <v>0</v>
      </c>
      <c r="AK60" s="46">
        <f>IF((AO60-AH60-AI60-AJ60)&gt;0,(ROUNDUP(((AO60-AH60-AI60-AJ60)/4),0)),0)</f>
        <v>0</v>
      </c>
      <c r="AL60" s="46">
        <f>IF((AO60-AH60-AI60-AJ60-AK60)&gt;0,(ROUNDUP(((AO60-AH60-AI60-AJ60-AK60)/3),0)),0)</f>
        <v>0</v>
      </c>
      <c r="AM60" s="46">
        <f>IF((AO60-AH60-AI60-AJ60-AK60-AL60)&gt;0,(ROUNDUP(((AO60-AH60-AI60-AJ60-AK60-AL60)/2),0)),0)</f>
        <v>0</v>
      </c>
      <c r="AN60" s="46">
        <f>IF((AO60-AH60-AI60-AJ60-AK60-AL60-AM60)&gt;0,(ROUNDUP(((AO60-AH60-AI60-AJ60-AK60-AL60-AM60)/1),0)),0)</f>
        <v>0</v>
      </c>
      <c r="AO60" s="45">
        <f>ROUND((VLOOKUP(A60,'Cumulative pupils per year'!$A$3:$S$88,5,FALSE)),0)</f>
        <v>1</v>
      </c>
      <c r="AP60" s="274">
        <f>ROUNDUP(AW60/7,0)</f>
        <v>1</v>
      </c>
      <c r="AQ60" s="274">
        <f>IF((AW60-AP60)&gt;0,(ROUNDUP(((AW60-AP60)/6),0)),0)</f>
        <v>0</v>
      </c>
      <c r="AR60" s="274">
        <f>IF((AW60-AP60-AQ60)&gt;0,(ROUNDUP(((AW60-AP60-AQ60)/5),0)),0)</f>
        <v>0</v>
      </c>
      <c r="AS60" s="274">
        <f>IF((AW60-AP60-AQ60-AR60)&gt;0,(ROUNDUP(((AW60-AP60-AQ60-AR60)/4),0)),0)</f>
        <v>0</v>
      </c>
      <c r="AT60" s="274">
        <f>IF((AW60-AP60-AQ60-AR60-AS60)&gt;0,(ROUNDUP(((AW60-AP60-AQ60-AR60-AS60)/3),0)),0)</f>
        <v>0</v>
      </c>
      <c r="AU60" s="274">
        <f>IF((AW60-AP60-AQ60-AR60-AS60-AT60)&gt;0,(ROUNDUP(((AW60-AP60-AQ60-AR60-AS60-AT60)/2),0)),0)</f>
        <v>0</v>
      </c>
      <c r="AV60" s="274">
        <f>IF((AW60-AP60-AQ60-AR60-AS60-AT60-AU60)&gt;0,(ROUNDUP(((AW60-AP60-AQ60-AR60-AS60-AT60-AU60)/1),0)),0)</f>
        <v>0</v>
      </c>
      <c r="AW60" s="43">
        <f>ROUND((VLOOKUP(A60,'Cumulative pupils per year'!$A$3:$S$88,6,FALSE)),0)</f>
        <v>1</v>
      </c>
      <c r="AX60" s="46">
        <f>ROUNDUP(BE60/7,0)</f>
        <v>1</v>
      </c>
      <c r="AY60" s="46">
        <f>IF((BE60-AX60)&gt;0,(ROUNDUP(((BE60-AX60)/6),0)),0)</f>
        <v>0</v>
      </c>
      <c r="AZ60" s="46">
        <f>IF((BE60-AX60-AY60)&gt;0,(ROUNDUP(((BE60-AX60-AY60)/5),0)),0)</f>
        <v>0</v>
      </c>
      <c r="BA60" s="46">
        <f>IF((BE60-AX60-AY60-AZ60)&gt;0,(ROUNDUP(((BE60-AX60-AY60-AZ60)/4),0)),0)</f>
        <v>0</v>
      </c>
      <c r="BB60" s="46">
        <f>IF((BE60-AX60-AY60-AZ60-BA60)&gt;0,(ROUNDUP(((BE60-AX60-AY60-AZ60-BA60)/3),0)),0)</f>
        <v>0</v>
      </c>
      <c r="BC60" s="46">
        <f>IF((BE60-AX60-AY60-AZ60-BA60-BB60)&gt;0,(ROUNDUP(((BE60-AX60-AY60-AZ60-BA60-BB60)/2),0)),0)</f>
        <v>0</v>
      </c>
      <c r="BD60" s="46">
        <f>IF((BE60-AX60-AY60-AZ60-BA60-BB60-BC60)&gt;0,(ROUNDUP(((BE60-AX60-AY60-AZ60-BA60-BB60-BC60)/1),0)),0)</f>
        <v>0</v>
      </c>
      <c r="BE60" s="45">
        <f>ROUND((VLOOKUP(A60,'Cumulative pupils per year'!$A$3:$S$88,7,FALSE)),0)</f>
        <v>1</v>
      </c>
      <c r="BF60" s="274">
        <f>ROUNDUP(BM60/7,0)</f>
        <v>1</v>
      </c>
      <c r="BG60" s="274">
        <f>IF((BM60-BF60)&gt;0,(ROUNDUP(((BM60-BF60)/6),0)),0)</f>
        <v>0</v>
      </c>
      <c r="BH60" s="274">
        <f>IF((BM60-BF60-BG60)&gt;0,(ROUNDUP(((BM60-BF60-BG60)/5),0)),0)</f>
        <v>0</v>
      </c>
      <c r="BI60" s="274">
        <f>IF((BM60-BF60-BG60-BH60)&gt;0,(ROUNDUP(((BM60-BF60-BG60-BH60)/4),0)),0)</f>
        <v>0</v>
      </c>
      <c r="BJ60" s="274">
        <f>IF((BM60-BF60-BG60-BH60-BI60)&gt;0,(ROUNDUP(((BM60-BF60-BG60-BH60-BI60)/3),0)),0)</f>
        <v>0</v>
      </c>
      <c r="BK60" s="274">
        <f>IF((BM60-BF60-BG60-BH60-BI60-BJ60)&gt;0,(ROUNDUP(((BM60-BF60-BG60-BH60-BI60-BJ60)/2),0)),0)</f>
        <v>0</v>
      </c>
      <c r="BL60" s="274">
        <f>IF((BM60-BF60-BG60-BH60-BI60-BJ60-BK60)&gt;0,(ROUNDUP(((BM60-BF60-BG60-BH60-BI60-BJ60-BK60)/1),0)),0)</f>
        <v>0</v>
      </c>
      <c r="BM60" s="43">
        <f>ROUND((VLOOKUP(A60,'Cumulative pupils per year'!$A$3:$S$88,8,FALSE)),0)</f>
        <v>1</v>
      </c>
      <c r="BN60" s="46">
        <f>ROUNDUP(BU60/7,0)</f>
        <v>1</v>
      </c>
      <c r="BO60" s="46">
        <f>IF((BU60-BN60)&gt;0,(ROUNDUP(((BU60-BN60)/6),0)),0)</f>
        <v>0</v>
      </c>
      <c r="BP60" s="46">
        <f>IF((BU60-BN60-BO60)&gt;0,(ROUNDUP(((BU60-BN60-BO60)/5),0)),0)</f>
        <v>0</v>
      </c>
      <c r="BQ60" s="46">
        <f>IF((BU60-BN60-BO60-BP60)&gt;0,(ROUNDUP(((BU60-BN60-BO60-BP60)/4),0)),0)</f>
        <v>0</v>
      </c>
      <c r="BR60" s="46">
        <f>IF((BU60-BN60-BO60-BP60-BQ60)&gt;0,(ROUNDUP(((BU60-BN60-BO60-BP60-BQ60)/3),0)),0)</f>
        <v>0</v>
      </c>
      <c r="BS60" s="46">
        <f>IF((BU60-BN60-BO60-BP60-BQ60-BR60)&gt;0,(ROUNDUP(((BU60-BN60-BO60-BP60-BQ60-BR60)/2),0)),0)</f>
        <v>0</v>
      </c>
      <c r="BT60" s="46">
        <f>IF((BU60-BN60-BO60-BP60-BQ60-BR60-BS60)&gt;0,(ROUNDUP(((BU60-BN60-BO60-BP60-BQ60-BR60-BS60)/1),0)),0)</f>
        <v>0</v>
      </c>
      <c r="BU60" s="45">
        <f>ROUND((VLOOKUP(A60,'Cumulative pupils per year'!$A$3:$S$88,9,FALSE)),0)</f>
        <v>1</v>
      </c>
      <c r="BV60" s="274">
        <f>ROUNDUP(CC60/7,0)</f>
        <v>1</v>
      </c>
      <c r="BW60" s="274">
        <f>IF((CC60-BV60)&gt;0,(ROUNDUP(((CC60-BV60)/6),0)),0)</f>
        <v>0</v>
      </c>
      <c r="BX60" s="274">
        <f>IF((CC60-BV60-BW60)&gt;0,(ROUNDUP(((CC60-BV60-BW60)/5),0)),0)</f>
        <v>0</v>
      </c>
      <c r="BY60" s="274">
        <f>IF((CC60-BV60-BW60-BX60)&gt;0,(ROUNDUP(((CC60-BV60-BW60-BX60)/4),0)),0)</f>
        <v>0</v>
      </c>
      <c r="BZ60" s="274">
        <f>IF((CC60-BV60-BW60-BX60-BY60)&gt;0,(ROUNDUP(((CC60-BV60-BW60-BX60-BY60)/3),0)),0)</f>
        <v>0</v>
      </c>
      <c r="CA60" s="274">
        <f>IF((CC60-BV60-BW60-BX60-BY60-BZ60)&gt;0,(ROUNDUP(((CC60-BV60-BW60-BX60-BY60-BZ60)/2),0)),0)</f>
        <v>0</v>
      </c>
      <c r="CB60" s="274">
        <f>IF((CC60-BV60-BW60-BX60-BY60-BZ60-CA60)&gt;0,(ROUNDUP(((CC60-BV60-BW60-BX60-BY60-BZ60-CA60)/1),0)),0)</f>
        <v>0</v>
      </c>
      <c r="CC60" s="43">
        <f>ROUND((VLOOKUP(A60,'Cumulative pupils per year'!$A$3:$S$88,10,FALSE)),0)</f>
        <v>1</v>
      </c>
      <c r="CD60" s="46">
        <f>ROUNDUP(CK60/7,0)</f>
        <v>1</v>
      </c>
      <c r="CE60" s="46">
        <f>IF((CK60-CD60)&gt;0,(ROUNDUP(((CK60-CD60)/6),0)),0)</f>
        <v>0</v>
      </c>
      <c r="CF60" s="46">
        <f>IF((CK60-CD60-CE60)&gt;0,(ROUNDUP(((CK60-CD60-CE60)/5),0)),0)</f>
        <v>0</v>
      </c>
      <c r="CG60" s="46">
        <f>IF((CK60-CD60-CE60-CF60)&gt;0,(ROUNDUP(((CK60-CD60-CE60-CF60)/4),0)),0)</f>
        <v>0</v>
      </c>
      <c r="CH60" s="46">
        <f>IF((CK60-CD60-CE60-CF60-CG60)&gt;0,(ROUNDUP(((CK60-CD60-CE60-CF60-CG60)/3),0)),0)</f>
        <v>0</v>
      </c>
      <c r="CI60" s="46">
        <f>IF((CK60-CD60-CE60-CF60-CG60-CH60)&gt;0,(ROUNDUP(((CK60-CD60-CE60-CF60-CG60-CH60)/2),0)),0)</f>
        <v>0</v>
      </c>
      <c r="CJ60" s="46">
        <f>IF((CK60-CD60-CE60-CF60-CG60-CH60-CI60)&gt;0,(ROUNDUP(((CK60-CD60-CE60-CF60-CG60-CH60-CI60)/1),0)),0)</f>
        <v>0</v>
      </c>
      <c r="CK60" s="45">
        <f>ROUND((VLOOKUP(A60,'Cumulative pupils per year'!$A$3:$S$88,11,FALSE)),0)</f>
        <v>1</v>
      </c>
      <c r="CL60" s="274">
        <f>ROUNDUP(CS60/7,0)</f>
        <v>1</v>
      </c>
      <c r="CM60" s="274">
        <f>IF((CS60-CL60)&gt;0,(ROUNDUP(((CS60-CL60)/6),0)),0)</f>
        <v>0</v>
      </c>
      <c r="CN60" s="274">
        <f>IF((CS60-CL60-CM60)&gt;0,(ROUNDUP(((CS60-CL60-CM60)/5),0)),0)</f>
        <v>0</v>
      </c>
      <c r="CO60" s="274">
        <f>IF((CS60-CL60-CM60-CN60)&gt;0,(ROUNDUP(((CS60-CL60-CM60-CN60)/4),0)),0)</f>
        <v>0</v>
      </c>
      <c r="CP60" s="274">
        <f>IF((CS60-CL60-CM60-CN60-CO60)&gt;0,(ROUNDUP(((CS60-CL60-CM60-CN60-CO60)/3),0)),0)</f>
        <v>0</v>
      </c>
      <c r="CQ60" s="274">
        <f>IF((CS60-CL60-CM60-CN60-CO60-CP60)&gt;0,(ROUNDUP(((CS60-CL60-CM60-CN60-CO60-CP60)/2),0)),0)</f>
        <v>0</v>
      </c>
      <c r="CR60" s="274">
        <f>IF((CS60-CL60-CM60-CN60-CO60-CP60-CQ60)&gt;0,(ROUNDUP(((CS60-CL60-CM60-CN60-CO60-CP60-CQ60)/1),0)),0)</f>
        <v>0</v>
      </c>
      <c r="CS60" s="291">
        <f>ROUND((VLOOKUP(A60,'Cumulative pupils per year'!$A$3:$S$88,12,FALSE)),0)</f>
        <v>1</v>
      </c>
      <c r="CT60" s="46">
        <f>ROUNDUP(DA60/7,0)</f>
        <v>1</v>
      </c>
      <c r="CU60" s="46">
        <f>IF((DA60-CT60)&gt;0,(ROUNDUP(((DA60-CT60)/6),0)),0)</f>
        <v>0</v>
      </c>
      <c r="CV60" s="46">
        <f>IF((DA60-CT60-CU60)&gt;0,(ROUNDUP(((DA60-CT60-CU60)/5),0)),0)</f>
        <v>0</v>
      </c>
      <c r="CW60" s="46">
        <f>IF((DA60-CT60-CU60-CV60)&gt;0,(ROUNDUP(((DA60-CT60-CU60-CV60)/4),0)),0)</f>
        <v>0</v>
      </c>
      <c r="CX60" s="46">
        <f>IF((DA60-CT60-CU60-CV60-CW60)&gt;0,(ROUNDUP(((DA60-CT60-CU60-CV60-CW60)/3),0)),0)</f>
        <v>0</v>
      </c>
      <c r="CY60" s="46">
        <f>IF((DA60-CT60-CU60-CV60-CW60-CX60)&gt;0,(ROUNDUP(((DA60-CT60-CU60-CV60-CW60-CX60)/2),0)),0)</f>
        <v>0</v>
      </c>
      <c r="CZ60" s="46">
        <f>IF((DA60-CT60-CU60-CV60-CW60-CX60-CY60)&gt;0,(ROUNDUP(((DA60-CT60-CU60-CV60-CW60-CX60-CY60)/1),0)),0)</f>
        <v>0</v>
      </c>
      <c r="DA60" s="45">
        <f>ROUND((VLOOKUP(A60,'Cumulative pupils per year'!$A$3:$S$88,13,FALSE)),0)</f>
        <v>1</v>
      </c>
      <c r="DB60" s="274">
        <f>ROUNDUP(DI60/7,0)</f>
        <v>1</v>
      </c>
      <c r="DC60" s="274">
        <f>IF((DI60-DB60)&gt;0,(ROUNDUP(((DI60-DB60)/6),0)),0)</f>
        <v>0</v>
      </c>
      <c r="DD60" s="274">
        <f>IF((DI60-DB60-DC60)&gt;0,(ROUNDUP(((DI60-DB60-DC60)/5),0)),0)</f>
        <v>0</v>
      </c>
      <c r="DE60" s="274">
        <f>IF((DI60-DB60-DC60-DD60)&gt;0,(ROUNDUP(((DI60-DB60-DC60-DD60)/4),0)),0)</f>
        <v>0</v>
      </c>
      <c r="DF60" s="274">
        <f>IF((DI60-DB60-DC60-DD60-DE60)&gt;0,(ROUNDUP(((DI60-DB60-DC60-DD60-DE60)/3),0)),0)</f>
        <v>0</v>
      </c>
      <c r="DG60" s="274">
        <f>IF((DI60-DB60-DC60-DD60-DE60-DF60)&gt;0,(ROUNDUP(((DI60-DB60-DC60-DD60-DE60-DF60)/2),0)),0)</f>
        <v>0</v>
      </c>
      <c r="DH60" s="274">
        <f>IF((DI60-DB60-DC60-DD60-DE60-DF60-DG60)&gt;0,(ROUNDUP(((DI60-DB60-DC60-DD60-DE60-DF60-DG60)/1),0)),0)</f>
        <v>0</v>
      </c>
      <c r="DI60" s="291">
        <f>ROUND((VLOOKUP(A60,'Cumulative pupils per year'!$A$3:$S$88,14,FALSE)),0)</f>
        <v>1</v>
      </c>
      <c r="DJ60" s="46">
        <f>ROUNDUP(DQ60/7,0)</f>
        <v>1</v>
      </c>
      <c r="DK60" s="46">
        <f>IF((DQ60-DJ60)&gt;0,(ROUNDUP(((DQ60-DJ60)/6),0)),0)</f>
        <v>0</v>
      </c>
      <c r="DL60" s="46">
        <f>IF((DQ60-DJ60-DK60)&gt;0,(ROUNDUP(((DQ60-DJ60-DK60)/5),0)),0)</f>
        <v>0</v>
      </c>
      <c r="DM60" s="46">
        <f>IF((DQ60-DJ60-DK60-DL60)&gt;0,(ROUNDUP(((DQ60-DJ60-DK60-DL60)/4),0)),0)</f>
        <v>0</v>
      </c>
      <c r="DN60" s="46">
        <f>IF((DQ60-DJ60-DK60-DL60-DM60)&gt;0,(ROUNDUP(((DQ60-DJ60-DK60-DL60-DM60)/3),0)),0)</f>
        <v>0</v>
      </c>
      <c r="DO60" s="46">
        <f>IF((DQ60-DJ60-DK60-DL60-DM60-DN60)&gt;0,(ROUNDUP(((DQ60-DJ60-DK60-DL60-DM60-DN60)/2),0)),0)</f>
        <v>0</v>
      </c>
      <c r="DP60" s="46">
        <f>IF((DQ60-DJ60-DK60-DL60-DM60-DN60-DO60)&gt;0,(ROUNDUP(((DQ60-DJ60-DK60-DL60-DM60-DN60-DO60)/1),0)),0)</f>
        <v>0</v>
      </c>
      <c r="DQ60" s="45">
        <f>ROUND((VLOOKUP(A60,'Cumulative pupils per year'!$A$3:$S$88,15,FALSE)),0)</f>
        <v>1</v>
      </c>
    </row>
    <row r="61" spans="1:121">
      <c r="A61" s="4" t="s">
        <v>57</v>
      </c>
      <c r="B61" s="46">
        <v>0</v>
      </c>
      <c r="C61" s="46">
        <v>0</v>
      </c>
      <c r="D61" s="46">
        <v>0</v>
      </c>
      <c r="E61" s="46">
        <v>0</v>
      </c>
      <c r="F61" s="46">
        <v>0</v>
      </c>
      <c r="G61" s="46">
        <v>0</v>
      </c>
      <c r="H61" s="46">
        <v>0</v>
      </c>
      <c r="I61" s="45">
        <v>0</v>
      </c>
      <c r="J61" s="44">
        <f t="shared" si="273"/>
        <v>0</v>
      </c>
      <c r="K61" s="44">
        <f t="shared" si="274"/>
        <v>0</v>
      </c>
      <c r="L61" s="44">
        <f t="shared" si="275"/>
        <v>0</v>
      </c>
      <c r="M61" s="44">
        <f t="shared" si="276"/>
        <v>0</v>
      </c>
      <c r="N61" s="44">
        <f t="shared" si="277"/>
        <v>0</v>
      </c>
      <c r="O61" s="44">
        <f t="shared" si="278"/>
        <v>0</v>
      </c>
      <c r="P61" s="44">
        <f t="shared" si="279"/>
        <v>0</v>
      </c>
      <c r="Q61" s="43">
        <f>ROUND((VLOOKUP(A61,'Cumulative pupils per year'!$A$3:$S$88,2,FALSE)),0)</f>
        <v>0</v>
      </c>
      <c r="R61" s="46">
        <f t="shared" si="7"/>
        <v>1</v>
      </c>
      <c r="S61" s="46">
        <f t="shared" si="8"/>
        <v>1</v>
      </c>
      <c r="T61" s="46">
        <f t="shared" si="9"/>
        <v>1</v>
      </c>
      <c r="U61" s="46">
        <f t="shared" si="10"/>
        <v>0</v>
      </c>
      <c r="V61" s="46">
        <f t="shared" si="11"/>
        <v>0</v>
      </c>
      <c r="W61" s="46">
        <f t="shared" si="12"/>
        <v>0</v>
      </c>
      <c r="X61" s="46">
        <f t="shared" si="13"/>
        <v>0</v>
      </c>
      <c r="Y61" s="45">
        <f>ROUND((VLOOKUP(A61,'Cumulative pupils per year'!$A$3:$S$88,3,FALSE)),0)</f>
        <v>3</v>
      </c>
      <c r="Z61" s="274">
        <f t="shared" si="14"/>
        <v>1</v>
      </c>
      <c r="AA61" s="274">
        <f t="shared" si="15"/>
        <v>1</v>
      </c>
      <c r="AB61" s="274">
        <f t="shared" si="16"/>
        <v>1</v>
      </c>
      <c r="AC61" s="274">
        <f t="shared" si="17"/>
        <v>0</v>
      </c>
      <c r="AD61" s="274">
        <f t="shared" si="18"/>
        <v>0</v>
      </c>
      <c r="AE61" s="274">
        <f t="shared" si="19"/>
        <v>0</v>
      </c>
      <c r="AF61" s="274">
        <f t="shared" si="20"/>
        <v>0</v>
      </c>
      <c r="AG61" s="43">
        <f>ROUND((VLOOKUP(A61,'Cumulative pupils per year'!$A$3:$S$88,4,FALSE)),0)</f>
        <v>3</v>
      </c>
      <c r="AH61" s="46">
        <f t="shared" si="21"/>
        <v>1</v>
      </c>
      <c r="AI61" s="46">
        <f t="shared" si="22"/>
        <v>1</v>
      </c>
      <c r="AJ61" s="46">
        <f t="shared" si="23"/>
        <v>1</v>
      </c>
      <c r="AK61" s="46">
        <f t="shared" si="24"/>
        <v>0</v>
      </c>
      <c r="AL61" s="46">
        <f t="shared" si="25"/>
        <v>0</v>
      </c>
      <c r="AM61" s="46">
        <f t="shared" si="26"/>
        <v>0</v>
      </c>
      <c r="AN61" s="46">
        <f t="shared" si="27"/>
        <v>0</v>
      </c>
      <c r="AO61" s="45">
        <f>ROUND((VLOOKUP(A61,'Cumulative pupils per year'!$A$3:$S$88,5,FALSE)),0)</f>
        <v>3</v>
      </c>
      <c r="AP61" s="274">
        <f t="shared" si="28"/>
        <v>1</v>
      </c>
      <c r="AQ61" s="274">
        <f t="shared" si="29"/>
        <v>1</v>
      </c>
      <c r="AR61" s="274">
        <f t="shared" si="30"/>
        <v>1</v>
      </c>
      <c r="AS61" s="274">
        <f t="shared" si="31"/>
        <v>0</v>
      </c>
      <c r="AT61" s="274">
        <f t="shared" si="32"/>
        <v>0</v>
      </c>
      <c r="AU61" s="274">
        <f t="shared" si="33"/>
        <v>0</v>
      </c>
      <c r="AV61" s="274">
        <f t="shared" si="34"/>
        <v>0</v>
      </c>
      <c r="AW61" s="43">
        <f>ROUND((VLOOKUP(A61,'Cumulative pupils per year'!$A$3:$S$88,6,FALSE)),0)</f>
        <v>3</v>
      </c>
      <c r="AX61" s="46">
        <f t="shared" si="35"/>
        <v>1</v>
      </c>
      <c r="AY61" s="46">
        <f t="shared" si="36"/>
        <v>1</v>
      </c>
      <c r="AZ61" s="46">
        <f t="shared" si="37"/>
        <v>1</v>
      </c>
      <c r="BA61" s="46">
        <f t="shared" si="38"/>
        <v>1</v>
      </c>
      <c r="BB61" s="46">
        <f t="shared" si="39"/>
        <v>0</v>
      </c>
      <c r="BC61" s="46">
        <f t="shared" si="40"/>
        <v>0</v>
      </c>
      <c r="BD61" s="46">
        <f t="shared" si="41"/>
        <v>0</v>
      </c>
      <c r="BE61" s="45">
        <f>ROUND((VLOOKUP(A61,'Cumulative pupils per year'!$A$3:$S$88,7,FALSE)),0)</f>
        <v>4</v>
      </c>
      <c r="BF61" s="274">
        <f t="shared" si="42"/>
        <v>1</v>
      </c>
      <c r="BG61" s="274">
        <f t="shared" si="43"/>
        <v>1</v>
      </c>
      <c r="BH61" s="274">
        <f t="shared" si="44"/>
        <v>1</v>
      </c>
      <c r="BI61" s="274">
        <f t="shared" si="45"/>
        <v>1</v>
      </c>
      <c r="BJ61" s="274">
        <f t="shared" si="46"/>
        <v>0</v>
      </c>
      <c r="BK61" s="274">
        <f t="shared" si="47"/>
        <v>0</v>
      </c>
      <c r="BL61" s="274">
        <f t="shared" si="48"/>
        <v>0</v>
      </c>
      <c r="BM61" s="43">
        <f>ROUND((VLOOKUP(A61,'Cumulative pupils per year'!$A$3:$S$88,8,FALSE)),0)</f>
        <v>4</v>
      </c>
      <c r="BN61" s="46">
        <f t="shared" si="49"/>
        <v>1</v>
      </c>
      <c r="BO61" s="46">
        <f t="shared" si="50"/>
        <v>1</v>
      </c>
      <c r="BP61" s="46">
        <f t="shared" si="51"/>
        <v>1</v>
      </c>
      <c r="BQ61" s="46">
        <f t="shared" si="52"/>
        <v>1</v>
      </c>
      <c r="BR61" s="46">
        <f t="shared" si="53"/>
        <v>0</v>
      </c>
      <c r="BS61" s="46">
        <f t="shared" si="54"/>
        <v>0</v>
      </c>
      <c r="BT61" s="46">
        <f t="shared" si="55"/>
        <v>0</v>
      </c>
      <c r="BU61" s="45">
        <f>ROUND((VLOOKUP(A61,'Cumulative pupils per year'!$A$3:$S$88,9,FALSE)),0)</f>
        <v>4</v>
      </c>
      <c r="BV61" s="274">
        <f t="shared" si="56"/>
        <v>1</v>
      </c>
      <c r="BW61" s="274">
        <f t="shared" si="57"/>
        <v>1</v>
      </c>
      <c r="BX61" s="274">
        <f t="shared" si="58"/>
        <v>1</v>
      </c>
      <c r="BY61" s="274">
        <f t="shared" si="59"/>
        <v>1</v>
      </c>
      <c r="BZ61" s="274">
        <f t="shared" si="60"/>
        <v>1</v>
      </c>
      <c r="CA61" s="274">
        <f t="shared" si="61"/>
        <v>1</v>
      </c>
      <c r="CB61" s="274">
        <f t="shared" si="62"/>
        <v>1</v>
      </c>
      <c r="CC61" s="43">
        <f>ROUND((VLOOKUP(A61,'Cumulative pupils per year'!$A$3:$S$88,10,FALSE)),0)</f>
        <v>7</v>
      </c>
      <c r="CD61" s="46">
        <f t="shared" si="63"/>
        <v>1</v>
      </c>
      <c r="CE61" s="46">
        <f t="shared" si="64"/>
        <v>1</v>
      </c>
      <c r="CF61" s="46">
        <f t="shared" si="65"/>
        <v>1</v>
      </c>
      <c r="CG61" s="46">
        <f t="shared" si="66"/>
        <v>1</v>
      </c>
      <c r="CH61" s="46">
        <f t="shared" si="67"/>
        <v>1</v>
      </c>
      <c r="CI61" s="46">
        <f t="shared" si="68"/>
        <v>1</v>
      </c>
      <c r="CJ61" s="46">
        <f t="shared" si="69"/>
        <v>1</v>
      </c>
      <c r="CK61" s="45">
        <f>ROUND((VLOOKUP(A61,'Cumulative pupils per year'!$A$3:$S$88,11,FALSE)),0)</f>
        <v>7</v>
      </c>
      <c r="CL61" s="274">
        <f t="shared" si="70"/>
        <v>1</v>
      </c>
      <c r="CM61" s="274">
        <f t="shared" si="71"/>
        <v>1</v>
      </c>
      <c r="CN61" s="274">
        <f t="shared" si="72"/>
        <v>1</v>
      </c>
      <c r="CO61" s="274">
        <f t="shared" si="73"/>
        <v>1</v>
      </c>
      <c r="CP61" s="274">
        <f t="shared" si="74"/>
        <v>1</v>
      </c>
      <c r="CQ61" s="274">
        <f t="shared" si="75"/>
        <v>1</v>
      </c>
      <c r="CR61" s="274">
        <f t="shared" si="76"/>
        <v>1</v>
      </c>
      <c r="CS61" s="291">
        <f>ROUND((VLOOKUP(A61,'Cumulative pupils per year'!$A$3:$S$88,12,FALSE)),0)</f>
        <v>7</v>
      </c>
      <c r="CT61" s="46">
        <f t="shared" si="77"/>
        <v>1</v>
      </c>
      <c r="CU61" s="46">
        <f t="shared" si="78"/>
        <v>1</v>
      </c>
      <c r="CV61" s="46">
        <f t="shared" si="79"/>
        <v>1</v>
      </c>
      <c r="CW61" s="46">
        <f t="shared" si="80"/>
        <v>1</v>
      </c>
      <c r="CX61" s="46">
        <f t="shared" si="81"/>
        <v>1</v>
      </c>
      <c r="CY61" s="46">
        <f t="shared" si="82"/>
        <v>1</v>
      </c>
      <c r="CZ61" s="46">
        <f t="shared" si="83"/>
        <v>1</v>
      </c>
      <c r="DA61" s="45">
        <f>ROUND((VLOOKUP(A61,'Cumulative pupils per year'!$A$3:$S$88,13,FALSE)),0)</f>
        <v>7</v>
      </c>
      <c r="DB61" s="274">
        <f t="shared" si="84"/>
        <v>1</v>
      </c>
      <c r="DC61" s="274">
        <f t="shared" si="85"/>
        <v>1</v>
      </c>
      <c r="DD61" s="274">
        <f t="shared" si="86"/>
        <v>1</v>
      </c>
      <c r="DE61" s="274">
        <f t="shared" si="87"/>
        <v>1</v>
      </c>
      <c r="DF61" s="274">
        <f t="shared" si="88"/>
        <v>1</v>
      </c>
      <c r="DG61" s="274">
        <f t="shared" si="89"/>
        <v>1</v>
      </c>
      <c r="DH61" s="274">
        <f t="shared" si="90"/>
        <v>1</v>
      </c>
      <c r="DI61" s="291">
        <f>ROUND((VLOOKUP(A61,'Cumulative pupils per year'!$A$3:$S$88,14,FALSE)),0)</f>
        <v>7</v>
      </c>
      <c r="DJ61" s="46">
        <f t="shared" si="91"/>
        <v>1</v>
      </c>
      <c r="DK61" s="46">
        <f t="shared" si="92"/>
        <v>1</v>
      </c>
      <c r="DL61" s="46">
        <f t="shared" si="93"/>
        <v>1</v>
      </c>
      <c r="DM61" s="46">
        <f t="shared" si="94"/>
        <v>1</v>
      </c>
      <c r="DN61" s="46">
        <f t="shared" si="95"/>
        <v>1</v>
      </c>
      <c r="DO61" s="46">
        <f t="shared" si="96"/>
        <v>1</v>
      </c>
      <c r="DP61" s="46">
        <f t="shared" si="97"/>
        <v>1</v>
      </c>
      <c r="DQ61" s="45">
        <f>ROUND((VLOOKUP(A61,'Cumulative pupils per year'!$A$3:$S$88,15,FALSE)),0)</f>
        <v>7</v>
      </c>
    </row>
    <row r="62" spans="1:121">
      <c r="A62" s="4" t="s">
        <v>58</v>
      </c>
      <c r="B62" s="46">
        <v>3</v>
      </c>
      <c r="C62" s="46">
        <v>3</v>
      </c>
      <c r="D62" s="46">
        <v>3</v>
      </c>
      <c r="E62" s="46">
        <v>3</v>
      </c>
      <c r="F62" s="46">
        <v>2</v>
      </c>
      <c r="G62" s="46">
        <v>2</v>
      </c>
      <c r="H62" s="46">
        <v>2</v>
      </c>
      <c r="I62" s="45">
        <v>18</v>
      </c>
      <c r="J62" s="44">
        <f t="shared" si="273"/>
        <v>2</v>
      </c>
      <c r="K62" s="44">
        <f t="shared" si="274"/>
        <v>2</v>
      </c>
      <c r="L62" s="44">
        <f t="shared" si="275"/>
        <v>2</v>
      </c>
      <c r="M62" s="44">
        <f t="shared" si="276"/>
        <v>2</v>
      </c>
      <c r="N62" s="44">
        <f t="shared" si="277"/>
        <v>2</v>
      </c>
      <c r="O62" s="44">
        <f t="shared" si="278"/>
        <v>1</v>
      </c>
      <c r="P62" s="44">
        <f t="shared" si="279"/>
        <v>1</v>
      </c>
      <c r="Q62" s="43">
        <f>ROUND((VLOOKUP(A62,'Cumulative pupils per year'!$A$3:$S$88,2,FALSE)),0)</f>
        <v>12</v>
      </c>
      <c r="R62" s="46">
        <f t="shared" si="7"/>
        <v>2</v>
      </c>
      <c r="S62" s="46">
        <f t="shared" si="8"/>
        <v>2</v>
      </c>
      <c r="T62" s="46">
        <f t="shared" si="9"/>
        <v>2</v>
      </c>
      <c r="U62" s="46">
        <f t="shared" si="10"/>
        <v>2</v>
      </c>
      <c r="V62" s="46">
        <f t="shared" si="11"/>
        <v>2</v>
      </c>
      <c r="W62" s="46">
        <f t="shared" si="12"/>
        <v>1</v>
      </c>
      <c r="X62" s="46">
        <f t="shared" si="13"/>
        <v>1</v>
      </c>
      <c r="Y62" s="45">
        <f>ROUND((VLOOKUP(A62,'Cumulative pupils per year'!$A$3:$S$88,3,FALSE)),0)</f>
        <v>12</v>
      </c>
      <c r="Z62" s="274">
        <f t="shared" si="14"/>
        <v>5</v>
      </c>
      <c r="AA62" s="274">
        <f t="shared" si="15"/>
        <v>5</v>
      </c>
      <c r="AB62" s="274">
        <f t="shared" si="16"/>
        <v>5</v>
      </c>
      <c r="AC62" s="274">
        <f t="shared" si="17"/>
        <v>5</v>
      </c>
      <c r="AD62" s="274">
        <f t="shared" si="18"/>
        <v>5</v>
      </c>
      <c r="AE62" s="274">
        <f t="shared" si="19"/>
        <v>4</v>
      </c>
      <c r="AF62" s="274">
        <f t="shared" si="20"/>
        <v>4</v>
      </c>
      <c r="AG62" s="43">
        <f>ROUND((VLOOKUP(A62,'Cumulative pupils per year'!$A$3:$S$88,4,FALSE)),0)</f>
        <v>33</v>
      </c>
      <c r="AH62" s="46">
        <f t="shared" si="21"/>
        <v>8</v>
      </c>
      <c r="AI62" s="46">
        <f t="shared" si="22"/>
        <v>8</v>
      </c>
      <c r="AJ62" s="46">
        <f t="shared" si="23"/>
        <v>8</v>
      </c>
      <c r="AK62" s="46">
        <f t="shared" si="24"/>
        <v>8</v>
      </c>
      <c r="AL62" s="46">
        <f t="shared" si="25"/>
        <v>8</v>
      </c>
      <c r="AM62" s="46">
        <f t="shared" si="26"/>
        <v>8</v>
      </c>
      <c r="AN62" s="46">
        <f t="shared" si="27"/>
        <v>8</v>
      </c>
      <c r="AO62" s="45">
        <f>ROUND((VLOOKUP(A62,'Cumulative pupils per year'!$A$3:$S$88,5,FALSE)),0)</f>
        <v>56</v>
      </c>
      <c r="AP62" s="274">
        <f t="shared" si="28"/>
        <v>10</v>
      </c>
      <c r="AQ62" s="274">
        <f t="shared" si="29"/>
        <v>10</v>
      </c>
      <c r="AR62" s="274">
        <f t="shared" si="30"/>
        <v>10</v>
      </c>
      <c r="AS62" s="274">
        <f t="shared" si="31"/>
        <v>10</v>
      </c>
      <c r="AT62" s="274">
        <f t="shared" si="32"/>
        <v>9</v>
      </c>
      <c r="AU62" s="274">
        <f t="shared" si="33"/>
        <v>9</v>
      </c>
      <c r="AV62" s="274">
        <f t="shared" si="34"/>
        <v>9</v>
      </c>
      <c r="AW62" s="43">
        <f>ROUND((VLOOKUP(A62,'Cumulative pupils per year'!$A$3:$S$88,6,FALSE)),0)</f>
        <v>67</v>
      </c>
      <c r="AX62" s="46">
        <f t="shared" si="35"/>
        <v>12</v>
      </c>
      <c r="AY62" s="46">
        <f t="shared" si="36"/>
        <v>11</v>
      </c>
      <c r="AZ62" s="46">
        <f t="shared" si="37"/>
        <v>11</v>
      </c>
      <c r="BA62" s="46">
        <f t="shared" si="38"/>
        <v>11</v>
      </c>
      <c r="BB62" s="46">
        <f t="shared" si="39"/>
        <v>11</v>
      </c>
      <c r="BC62" s="46">
        <f t="shared" si="40"/>
        <v>11</v>
      </c>
      <c r="BD62" s="46">
        <f t="shared" si="41"/>
        <v>11</v>
      </c>
      <c r="BE62" s="45">
        <f>ROUND((VLOOKUP(A62,'Cumulative pupils per year'!$A$3:$S$88,7,FALSE)),0)</f>
        <v>78</v>
      </c>
      <c r="BF62" s="274">
        <f t="shared" si="42"/>
        <v>13</v>
      </c>
      <c r="BG62" s="274">
        <f t="shared" si="43"/>
        <v>13</v>
      </c>
      <c r="BH62" s="274">
        <f t="shared" si="44"/>
        <v>13</v>
      </c>
      <c r="BI62" s="274">
        <f t="shared" si="45"/>
        <v>13</v>
      </c>
      <c r="BJ62" s="274">
        <f t="shared" si="46"/>
        <v>13</v>
      </c>
      <c r="BK62" s="274">
        <f t="shared" si="47"/>
        <v>12</v>
      </c>
      <c r="BL62" s="274">
        <f t="shared" si="48"/>
        <v>12</v>
      </c>
      <c r="BM62" s="43">
        <f>ROUND((VLOOKUP(A62,'Cumulative pupils per year'!$A$3:$S$88,8,FALSE)),0)</f>
        <v>89</v>
      </c>
      <c r="BN62" s="46">
        <f t="shared" si="49"/>
        <v>15</v>
      </c>
      <c r="BO62" s="46">
        <f t="shared" si="50"/>
        <v>15</v>
      </c>
      <c r="BP62" s="46">
        <f t="shared" si="51"/>
        <v>14</v>
      </c>
      <c r="BQ62" s="46">
        <f t="shared" si="52"/>
        <v>14</v>
      </c>
      <c r="BR62" s="46">
        <f t="shared" si="53"/>
        <v>14</v>
      </c>
      <c r="BS62" s="46">
        <f t="shared" si="54"/>
        <v>14</v>
      </c>
      <c r="BT62" s="46">
        <f t="shared" si="55"/>
        <v>14</v>
      </c>
      <c r="BU62" s="45">
        <f>ROUND((VLOOKUP(A62,'Cumulative pupils per year'!$A$3:$S$88,9,FALSE)),0)</f>
        <v>100</v>
      </c>
      <c r="BV62" s="274">
        <f t="shared" si="56"/>
        <v>16</v>
      </c>
      <c r="BW62" s="274">
        <f t="shared" si="57"/>
        <v>16</v>
      </c>
      <c r="BX62" s="274">
        <f t="shared" si="58"/>
        <v>16</v>
      </c>
      <c r="BY62" s="274">
        <f t="shared" si="59"/>
        <v>16</v>
      </c>
      <c r="BZ62" s="274">
        <f t="shared" si="60"/>
        <v>15</v>
      </c>
      <c r="CA62" s="274">
        <f t="shared" si="61"/>
        <v>15</v>
      </c>
      <c r="CB62" s="274">
        <f t="shared" si="62"/>
        <v>15</v>
      </c>
      <c r="CC62" s="43">
        <f>ROUND((VLOOKUP(A62,'Cumulative pupils per year'!$A$3:$S$88,10,FALSE)),0)</f>
        <v>109</v>
      </c>
      <c r="CD62" s="46">
        <f t="shared" si="63"/>
        <v>16</v>
      </c>
      <c r="CE62" s="46">
        <f t="shared" si="64"/>
        <v>16</v>
      </c>
      <c r="CF62" s="46">
        <f t="shared" si="65"/>
        <v>16</v>
      </c>
      <c r="CG62" s="46">
        <f t="shared" si="66"/>
        <v>16</v>
      </c>
      <c r="CH62" s="46">
        <f t="shared" si="67"/>
        <v>15</v>
      </c>
      <c r="CI62" s="46">
        <f t="shared" si="68"/>
        <v>15</v>
      </c>
      <c r="CJ62" s="46">
        <f t="shared" si="69"/>
        <v>15</v>
      </c>
      <c r="CK62" s="45">
        <f>ROUND((VLOOKUP(A62,'Cumulative pupils per year'!$A$3:$S$88,11,FALSE)),0)</f>
        <v>109</v>
      </c>
      <c r="CL62" s="274">
        <f t="shared" si="70"/>
        <v>17</v>
      </c>
      <c r="CM62" s="274">
        <f t="shared" si="71"/>
        <v>17</v>
      </c>
      <c r="CN62" s="274">
        <f t="shared" si="72"/>
        <v>17</v>
      </c>
      <c r="CO62" s="274">
        <f t="shared" si="73"/>
        <v>16</v>
      </c>
      <c r="CP62" s="274">
        <f t="shared" si="74"/>
        <v>16</v>
      </c>
      <c r="CQ62" s="274">
        <f t="shared" si="75"/>
        <v>16</v>
      </c>
      <c r="CR62" s="274">
        <f t="shared" si="76"/>
        <v>16</v>
      </c>
      <c r="CS62" s="291">
        <f>ROUND((VLOOKUP(A62,'Cumulative pupils per year'!$A$3:$S$88,12,FALSE)),0)</f>
        <v>115</v>
      </c>
      <c r="CT62" s="46">
        <f t="shared" si="77"/>
        <v>18</v>
      </c>
      <c r="CU62" s="46">
        <f t="shared" si="78"/>
        <v>18</v>
      </c>
      <c r="CV62" s="46">
        <f t="shared" si="79"/>
        <v>17</v>
      </c>
      <c r="CW62" s="46">
        <f t="shared" si="80"/>
        <v>17</v>
      </c>
      <c r="CX62" s="46">
        <f t="shared" si="81"/>
        <v>17</v>
      </c>
      <c r="CY62" s="46">
        <f t="shared" si="82"/>
        <v>17</v>
      </c>
      <c r="CZ62" s="46">
        <f t="shared" si="83"/>
        <v>17</v>
      </c>
      <c r="DA62" s="45">
        <f>ROUND((VLOOKUP(A62,'Cumulative pupils per year'!$A$3:$S$88,13,FALSE)),0)</f>
        <v>121</v>
      </c>
      <c r="DB62" s="274">
        <f t="shared" si="84"/>
        <v>19</v>
      </c>
      <c r="DC62" s="274">
        <f t="shared" si="85"/>
        <v>18</v>
      </c>
      <c r="DD62" s="274">
        <f t="shared" si="86"/>
        <v>18</v>
      </c>
      <c r="DE62" s="274">
        <f t="shared" si="87"/>
        <v>18</v>
      </c>
      <c r="DF62" s="274">
        <f t="shared" si="88"/>
        <v>18</v>
      </c>
      <c r="DG62" s="274">
        <f t="shared" si="89"/>
        <v>18</v>
      </c>
      <c r="DH62" s="274">
        <f t="shared" si="90"/>
        <v>18</v>
      </c>
      <c r="DI62" s="291">
        <f>ROUND((VLOOKUP(A62,'Cumulative pupils per year'!$A$3:$S$88,14,FALSE)),0)</f>
        <v>127</v>
      </c>
      <c r="DJ62" s="46">
        <f t="shared" si="91"/>
        <v>19</v>
      </c>
      <c r="DK62" s="46">
        <f t="shared" si="92"/>
        <v>19</v>
      </c>
      <c r="DL62" s="46">
        <f t="shared" si="93"/>
        <v>19</v>
      </c>
      <c r="DM62" s="46">
        <f t="shared" si="94"/>
        <v>19</v>
      </c>
      <c r="DN62" s="46">
        <f t="shared" si="95"/>
        <v>19</v>
      </c>
      <c r="DO62" s="46">
        <f t="shared" si="96"/>
        <v>19</v>
      </c>
      <c r="DP62" s="46">
        <f t="shared" si="97"/>
        <v>19</v>
      </c>
      <c r="DQ62" s="45">
        <f>ROUND((VLOOKUP(A62,'Cumulative pupils per year'!$A$3:$S$88,15,FALSE)),0)</f>
        <v>133</v>
      </c>
    </row>
    <row r="63" spans="1:121">
      <c r="A63" s="4" t="s">
        <v>59</v>
      </c>
      <c r="B63" s="46">
        <v>1</v>
      </c>
      <c r="C63" s="46">
        <v>1</v>
      </c>
      <c r="D63" s="46">
        <v>1</v>
      </c>
      <c r="E63" s="46">
        <v>1</v>
      </c>
      <c r="F63" s="46">
        <v>1</v>
      </c>
      <c r="G63" s="46">
        <v>1</v>
      </c>
      <c r="H63" s="46">
        <v>1</v>
      </c>
      <c r="I63" s="45">
        <v>7</v>
      </c>
      <c r="J63" s="44">
        <f t="shared" si="273"/>
        <v>2</v>
      </c>
      <c r="K63" s="44">
        <f t="shared" si="274"/>
        <v>1</v>
      </c>
      <c r="L63" s="44">
        <f t="shared" si="275"/>
        <v>1</v>
      </c>
      <c r="M63" s="44">
        <f t="shared" si="276"/>
        <v>1</v>
      </c>
      <c r="N63" s="44">
        <f t="shared" si="277"/>
        <v>1</v>
      </c>
      <c r="O63" s="44">
        <f t="shared" si="278"/>
        <v>1</v>
      </c>
      <c r="P63" s="44">
        <f t="shared" si="279"/>
        <v>1</v>
      </c>
      <c r="Q63" s="43">
        <f>ROUND((VLOOKUP(A63,'Cumulative pupils per year'!$A$3:$S$88,2,FALSE)),0)</f>
        <v>8</v>
      </c>
      <c r="R63" s="46">
        <f t="shared" si="7"/>
        <v>2</v>
      </c>
      <c r="S63" s="46">
        <f t="shared" si="8"/>
        <v>2</v>
      </c>
      <c r="T63" s="46">
        <f t="shared" si="9"/>
        <v>2</v>
      </c>
      <c r="U63" s="46">
        <f t="shared" si="10"/>
        <v>2</v>
      </c>
      <c r="V63" s="46">
        <f t="shared" si="11"/>
        <v>1</v>
      </c>
      <c r="W63" s="46">
        <f t="shared" si="12"/>
        <v>1</v>
      </c>
      <c r="X63" s="46">
        <f t="shared" si="13"/>
        <v>1</v>
      </c>
      <c r="Y63" s="45">
        <f>ROUND((VLOOKUP(A63,'Cumulative pupils per year'!$A$3:$S$88,3,FALSE)),0)</f>
        <v>11</v>
      </c>
      <c r="Z63" s="274">
        <f t="shared" si="14"/>
        <v>2</v>
      </c>
      <c r="AA63" s="274">
        <f t="shared" si="15"/>
        <v>2</v>
      </c>
      <c r="AB63" s="274">
        <f t="shared" si="16"/>
        <v>2</v>
      </c>
      <c r="AC63" s="274">
        <f t="shared" si="17"/>
        <v>2</v>
      </c>
      <c r="AD63" s="274">
        <f t="shared" si="18"/>
        <v>1</v>
      </c>
      <c r="AE63" s="274">
        <f t="shared" si="19"/>
        <v>1</v>
      </c>
      <c r="AF63" s="274">
        <f t="shared" si="20"/>
        <v>1</v>
      </c>
      <c r="AG63" s="43">
        <f>ROUND((VLOOKUP(A63,'Cumulative pupils per year'!$A$3:$S$88,4,FALSE)),0)</f>
        <v>11</v>
      </c>
      <c r="AH63" s="46">
        <f t="shared" si="21"/>
        <v>2</v>
      </c>
      <c r="AI63" s="46">
        <f t="shared" si="22"/>
        <v>2</v>
      </c>
      <c r="AJ63" s="46">
        <f t="shared" si="23"/>
        <v>2</v>
      </c>
      <c r="AK63" s="46">
        <f t="shared" si="24"/>
        <v>2</v>
      </c>
      <c r="AL63" s="46">
        <f t="shared" si="25"/>
        <v>1</v>
      </c>
      <c r="AM63" s="46">
        <f t="shared" si="26"/>
        <v>1</v>
      </c>
      <c r="AN63" s="46">
        <f t="shared" si="27"/>
        <v>1</v>
      </c>
      <c r="AO63" s="45">
        <f>ROUND((VLOOKUP(A63,'Cumulative pupils per year'!$A$3:$S$88,5,FALSE)),0)</f>
        <v>11</v>
      </c>
      <c r="AP63" s="274">
        <f t="shared" si="28"/>
        <v>2</v>
      </c>
      <c r="AQ63" s="274">
        <f t="shared" si="29"/>
        <v>2</v>
      </c>
      <c r="AR63" s="274">
        <f t="shared" si="30"/>
        <v>2</v>
      </c>
      <c r="AS63" s="274">
        <f t="shared" si="31"/>
        <v>2</v>
      </c>
      <c r="AT63" s="274">
        <f t="shared" si="32"/>
        <v>1</v>
      </c>
      <c r="AU63" s="274">
        <f t="shared" si="33"/>
        <v>1</v>
      </c>
      <c r="AV63" s="274">
        <f t="shared" si="34"/>
        <v>1</v>
      </c>
      <c r="AW63" s="43">
        <f>ROUND((VLOOKUP(A63,'Cumulative pupils per year'!$A$3:$S$88,6,FALSE)),0)</f>
        <v>11</v>
      </c>
      <c r="AX63" s="46">
        <f t="shared" si="35"/>
        <v>2</v>
      </c>
      <c r="AY63" s="46">
        <f t="shared" si="36"/>
        <v>2</v>
      </c>
      <c r="AZ63" s="46">
        <f t="shared" si="37"/>
        <v>2</v>
      </c>
      <c r="BA63" s="46">
        <f t="shared" si="38"/>
        <v>2</v>
      </c>
      <c r="BB63" s="46">
        <f t="shared" si="39"/>
        <v>1</v>
      </c>
      <c r="BC63" s="46">
        <f t="shared" si="40"/>
        <v>1</v>
      </c>
      <c r="BD63" s="46">
        <f t="shared" si="41"/>
        <v>1</v>
      </c>
      <c r="BE63" s="45">
        <f>ROUND((VLOOKUP(A63,'Cumulative pupils per year'!$A$3:$S$88,7,FALSE)),0)</f>
        <v>11</v>
      </c>
      <c r="BF63" s="274">
        <f t="shared" si="42"/>
        <v>2</v>
      </c>
      <c r="BG63" s="274">
        <f t="shared" si="43"/>
        <v>2</v>
      </c>
      <c r="BH63" s="274">
        <f t="shared" si="44"/>
        <v>2</v>
      </c>
      <c r="BI63" s="274">
        <f t="shared" si="45"/>
        <v>2</v>
      </c>
      <c r="BJ63" s="274">
        <f t="shared" si="46"/>
        <v>1</v>
      </c>
      <c r="BK63" s="274">
        <f t="shared" si="47"/>
        <v>1</v>
      </c>
      <c r="BL63" s="274">
        <f t="shared" si="48"/>
        <v>1</v>
      </c>
      <c r="BM63" s="43">
        <f>ROUND((VLOOKUP(A63,'Cumulative pupils per year'!$A$3:$S$88,8,FALSE)),0)</f>
        <v>11</v>
      </c>
      <c r="BN63" s="46">
        <f t="shared" si="49"/>
        <v>2</v>
      </c>
      <c r="BO63" s="46">
        <f t="shared" si="50"/>
        <v>2</v>
      </c>
      <c r="BP63" s="46">
        <f t="shared" si="51"/>
        <v>2</v>
      </c>
      <c r="BQ63" s="46">
        <f t="shared" si="52"/>
        <v>2</v>
      </c>
      <c r="BR63" s="46">
        <f t="shared" si="53"/>
        <v>1</v>
      </c>
      <c r="BS63" s="46">
        <f t="shared" si="54"/>
        <v>1</v>
      </c>
      <c r="BT63" s="46">
        <f t="shared" si="55"/>
        <v>1</v>
      </c>
      <c r="BU63" s="45">
        <f>ROUND((VLOOKUP(A63,'Cumulative pupils per year'!$A$3:$S$88,9,FALSE)),0)</f>
        <v>11</v>
      </c>
      <c r="BV63" s="274">
        <f t="shared" si="56"/>
        <v>2</v>
      </c>
      <c r="BW63" s="274">
        <f t="shared" si="57"/>
        <v>2</v>
      </c>
      <c r="BX63" s="274">
        <f t="shared" si="58"/>
        <v>2</v>
      </c>
      <c r="BY63" s="274">
        <f t="shared" si="59"/>
        <v>2</v>
      </c>
      <c r="BZ63" s="274">
        <f t="shared" si="60"/>
        <v>1</v>
      </c>
      <c r="CA63" s="274">
        <f t="shared" si="61"/>
        <v>1</v>
      </c>
      <c r="CB63" s="274">
        <f t="shared" si="62"/>
        <v>1</v>
      </c>
      <c r="CC63" s="43">
        <f>ROUND((VLOOKUP(A63,'Cumulative pupils per year'!$A$3:$S$88,10,FALSE)),0)</f>
        <v>11</v>
      </c>
      <c r="CD63" s="46">
        <f t="shared" si="63"/>
        <v>2</v>
      </c>
      <c r="CE63" s="46">
        <f t="shared" si="64"/>
        <v>2</v>
      </c>
      <c r="CF63" s="46">
        <f t="shared" si="65"/>
        <v>2</v>
      </c>
      <c r="CG63" s="46">
        <f t="shared" si="66"/>
        <v>2</v>
      </c>
      <c r="CH63" s="46">
        <f t="shared" si="67"/>
        <v>1</v>
      </c>
      <c r="CI63" s="46">
        <f t="shared" si="68"/>
        <v>1</v>
      </c>
      <c r="CJ63" s="46">
        <f t="shared" si="69"/>
        <v>1</v>
      </c>
      <c r="CK63" s="45">
        <f>ROUND((VLOOKUP(A63,'Cumulative pupils per year'!$A$3:$S$88,11,FALSE)),0)</f>
        <v>11</v>
      </c>
      <c r="CL63" s="274">
        <f t="shared" si="70"/>
        <v>2</v>
      </c>
      <c r="CM63" s="274">
        <f t="shared" si="71"/>
        <v>2</v>
      </c>
      <c r="CN63" s="274">
        <f t="shared" si="72"/>
        <v>2</v>
      </c>
      <c r="CO63" s="274">
        <f t="shared" si="73"/>
        <v>2</v>
      </c>
      <c r="CP63" s="274">
        <f t="shared" si="74"/>
        <v>1</v>
      </c>
      <c r="CQ63" s="274">
        <f t="shared" si="75"/>
        <v>1</v>
      </c>
      <c r="CR63" s="274">
        <f t="shared" si="76"/>
        <v>1</v>
      </c>
      <c r="CS63" s="291">
        <f>ROUND((VLOOKUP(A63,'Cumulative pupils per year'!$A$3:$S$88,12,FALSE)),0)</f>
        <v>11</v>
      </c>
      <c r="CT63" s="46">
        <f t="shared" si="77"/>
        <v>2</v>
      </c>
      <c r="CU63" s="46">
        <f t="shared" si="78"/>
        <v>2</v>
      </c>
      <c r="CV63" s="46">
        <f t="shared" si="79"/>
        <v>2</v>
      </c>
      <c r="CW63" s="46">
        <f t="shared" si="80"/>
        <v>2</v>
      </c>
      <c r="CX63" s="46">
        <f t="shared" si="81"/>
        <v>1</v>
      </c>
      <c r="CY63" s="46">
        <f t="shared" si="82"/>
        <v>1</v>
      </c>
      <c r="CZ63" s="46">
        <f t="shared" si="83"/>
        <v>1</v>
      </c>
      <c r="DA63" s="45">
        <f>ROUND((VLOOKUP(A63,'Cumulative pupils per year'!$A$3:$S$88,13,FALSE)),0)</f>
        <v>11</v>
      </c>
      <c r="DB63" s="274">
        <f t="shared" si="84"/>
        <v>2</v>
      </c>
      <c r="DC63" s="274">
        <f t="shared" si="85"/>
        <v>2</v>
      </c>
      <c r="DD63" s="274">
        <f t="shared" si="86"/>
        <v>2</v>
      </c>
      <c r="DE63" s="274">
        <f t="shared" si="87"/>
        <v>2</v>
      </c>
      <c r="DF63" s="274">
        <f t="shared" si="88"/>
        <v>1</v>
      </c>
      <c r="DG63" s="274">
        <f t="shared" si="89"/>
        <v>1</v>
      </c>
      <c r="DH63" s="274">
        <f t="shared" si="90"/>
        <v>1</v>
      </c>
      <c r="DI63" s="291">
        <f>ROUND((VLOOKUP(A63,'Cumulative pupils per year'!$A$3:$S$88,14,FALSE)),0)</f>
        <v>11</v>
      </c>
      <c r="DJ63" s="46">
        <f t="shared" si="91"/>
        <v>2</v>
      </c>
      <c r="DK63" s="46">
        <f t="shared" si="92"/>
        <v>2</v>
      </c>
      <c r="DL63" s="46">
        <f t="shared" si="93"/>
        <v>2</v>
      </c>
      <c r="DM63" s="46">
        <f t="shared" si="94"/>
        <v>2</v>
      </c>
      <c r="DN63" s="46">
        <f t="shared" si="95"/>
        <v>1</v>
      </c>
      <c r="DO63" s="46">
        <f t="shared" si="96"/>
        <v>1</v>
      </c>
      <c r="DP63" s="46">
        <f t="shared" si="97"/>
        <v>1</v>
      </c>
      <c r="DQ63" s="45">
        <f>ROUND((VLOOKUP(A63,'Cumulative pupils per year'!$A$3:$S$88,15,FALSE)),0)</f>
        <v>11</v>
      </c>
    </row>
    <row r="64" spans="1:121">
      <c r="A64" s="4" t="s">
        <v>60</v>
      </c>
      <c r="B64" s="46">
        <v>0</v>
      </c>
      <c r="C64" s="46">
        <v>0</v>
      </c>
      <c r="D64" s="46">
        <v>0</v>
      </c>
      <c r="E64" s="46">
        <v>0</v>
      </c>
      <c r="F64" s="46">
        <v>0</v>
      </c>
      <c r="G64" s="46">
        <v>0</v>
      </c>
      <c r="H64" s="46">
        <v>0</v>
      </c>
      <c r="I64" s="45">
        <v>0</v>
      </c>
      <c r="J64" s="44">
        <f t="shared" si="273"/>
        <v>1</v>
      </c>
      <c r="K64" s="44">
        <f t="shared" si="274"/>
        <v>1</v>
      </c>
      <c r="L64" s="44">
        <f t="shared" si="275"/>
        <v>1</v>
      </c>
      <c r="M64" s="44">
        <f t="shared" si="276"/>
        <v>1</v>
      </c>
      <c r="N64" s="44">
        <f t="shared" si="277"/>
        <v>0</v>
      </c>
      <c r="O64" s="44">
        <f t="shared" si="278"/>
        <v>0</v>
      </c>
      <c r="P64" s="44">
        <f t="shared" si="279"/>
        <v>0</v>
      </c>
      <c r="Q64" s="43">
        <f>ROUND((VLOOKUP(A64,'Cumulative pupils per year'!$A$3:$S$88,2,FALSE)),0)</f>
        <v>4</v>
      </c>
      <c r="R64" s="46">
        <f t="shared" si="7"/>
        <v>1</v>
      </c>
      <c r="S64" s="46">
        <f t="shared" si="8"/>
        <v>1</v>
      </c>
      <c r="T64" s="46">
        <f t="shared" si="9"/>
        <v>1</v>
      </c>
      <c r="U64" s="46">
        <f t="shared" si="10"/>
        <v>1</v>
      </c>
      <c r="V64" s="46">
        <f t="shared" si="11"/>
        <v>1</v>
      </c>
      <c r="W64" s="46">
        <f t="shared" si="12"/>
        <v>1</v>
      </c>
      <c r="X64" s="46">
        <f t="shared" si="13"/>
        <v>1</v>
      </c>
      <c r="Y64" s="45">
        <f>ROUND((VLOOKUP(A64,'Cumulative pupils per year'!$A$3:$S$88,3,FALSE)),0)</f>
        <v>7</v>
      </c>
      <c r="Z64" s="274">
        <f t="shared" si="14"/>
        <v>2</v>
      </c>
      <c r="AA64" s="274">
        <f t="shared" si="15"/>
        <v>2</v>
      </c>
      <c r="AB64" s="274">
        <f t="shared" si="16"/>
        <v>2</v>
      </c>
      <c r="AC64" s="274">
        <f t="shared" si="17"/>
        <v>1</v>
      </c>
      <c r="AD64" s="274">
        <f t="shared" si="18"/>
        <v>1</v>
      </c>
      <c r="AE64" s="274">
        <f t="shared" si="19"/>
        <v>1</v>
      </c>
      <c r="AF64" s="274">
        <f t="shared" si="20"/>
        <v>1</v>
      </c>
      <c r="AG64" s="43">
        <f>ROUND((VLOOKUP(A64,'Cumulative pupils per year'!$A$3:$S$88,4,FALSE)),0)</f>
        <v>10</v>
      </c>
      <c r="AH64" s="46">
        <f t="shared" si="21"/>
        <v>2</v>
      </c>
      <c r="AI64" s="46">
        <f t="shared" si="22"/>
        <v>2</v>
      </c>
      <c r="AJ64" s="46">
        <f t="shared" si="23"/>
        <v>2</v>
      </c>
      <c r="AK64" s="46">
        <f t="shared" si="24"/>
        <v>2</v>
      </c>
      <c r="AL64" s="46">
        <f t="shared" si="25"/>
        <v>2</v>
      </c>
      <c r="AM64" s="46">
        <f t="shared" si="26"/>
        <v>2</v>
      </c>
      <c r="AN64" s="46">
        <f t="shared" si="27"/>
        <v>1</v>
      </c>
      <c r="AO64" s="45">
        <f>ROUND((VLOOKUP(A64,'Cumulative pupils per year'!$A$3:$S$88,5,FALSE)),0)</f>
        <v>13</v>
      </c>
      <c r="AP64" s="274">
        <f t="shared" si="28"/>
        <v>3</v>
      </c>
      <c r="AQ64" s="274">
        <f t="shared" si="29"/>
        <v>2</v>
      </c>
      <c r="AR64" s="274">
        <f t="shared" si="30"/>
        <v>2</v>
      </c>
      <c r="AS64" s="274">
        <f t="shared" si="31"/>
        <v>2</v>
      </c>
      <c r="AT64" s="274">
        <f t="shared" si="32"/>
        <v>2</v>
      </c>
      <c r="AU64" s="274">
        <f t="shared" si="33"/>
        <v>2</v>
      </c>
      <c r="AV64" s="274">
        <f t="shared" si="34"/>
        <v>2</v>
      </c>
      <c r="AW64" s="43">
        <f>ROUND((VLOOKUP(A64,'Cumulative pupils per year'!$A$3:$S$88,6,FALSE)),0)</f>
        <v>15</v>
      </c>
      <c r="AX64" s="46">
        <f t="shared" si="35"/>
        <v>3</v>
      </c>
      <c r="AY64" s="46">
        <f t="shared" si="36"/>
        <v>3</v>
      </c>
      <c r="AZ64" s="46">
        <f t="shared" si="37"/>
        <v>2</v>
      </c>
      <c r="BA64" s="46">
        <f t="shared" si="38"/>
        <v>2</v>
      </c>
      <c r="BB64" s="46">
        <f t="shared" si="39"/>
        <v>2</v>
      </c>
      <c r="BC64" s="46">
        <f t="shared" si="40"/>
        <v>2</v>
      </c>
      <c r="BD64" s="46">
        <f t="shared" si="41"/>
        <v>2</v>
      </c>
      <c r="BE64" s="45">
        <f>ROUND((VLOOKUP(A64,'Cumulative pupils per year'!$A$3:$S$88,7,FALSE)),0)</f>
        <v>16</v>
      </c>
      <c r="BF64" s="274">
        <f t="shared" si="42"/>
        <v>3</v>
      </c>
      <c r="BG64" s="274">
        <f t="shared" si="43"/>
        <v>3</v>
      </c>
      <c r="BH64" s="274">
        <f t="shared" si="44"/>
        <v>3</v>
      </c>
      <c r="BI64" s="274">
        <f t="shared" si="45"/>
        <v>3</v>
      </c>
      <c r="BJ64" s="274">
        <f t="shared" si="46"/>
        <v>2</v>
      </c>
      <c r="BK64" s="274">
        <f t="shared" si="47"/>
        <v>2</v>
      </c>
      <c r="BL64" s="274">
        <f t="shared" si="48"/>
        <v>2</v>
      </c>
      <c r="BM64" s="43">
        <f>ROUND((VLOOKUP(A64,'Cumulative pupils per year'!$A$3:$S$88,8,FALSE)),0)</f>
        <v>18</v>
      </c>
      <c r="BN64" s="46">
        <f t="shared" si="49"/>
        <v>3</v>
      </c>
      <c r="BO64" s="46">
        <f t="shared" si="50"/>
        <v>3</v>
      </c>
      <c r="BP64" s="46">
        <f t="shared" si="51"/>
        <v>3</v>
      </c>
      <c r="BQ64" s="46">
        <f t="shared" si="52"/>
        <v>3</v>
      </c>
      <c r="BR64" s="46">
        <f t="shared" si="53"/>
        <v>2</v>
      </c>
      <c r="BS64" s="46">
        <f t="shared" si="54"/>
        <v>2</v>
      </c>
      <c r="BT64" s="46">
        <f t="shared" si="55"/>
        <v>2</v>
      </c>
      <c r="BU64" s="45">
        <f>ROUND((VLOOKUP(A64,'Cumulative pupils per year'!$A$3:$S$88,9,FALSE)),0)</f>
        <v>18</v>
      </c>
      <c r="BV64" s="274">
        <f t="shared" si="56"/>
        <v>3</v>
      </c>
      <c r="BW64" s="274">
        <f t="shared" si="57"/>
        <v>3</v>
      </c>
      <c r="BX64" s="274">
        <f t="shared" si="58"/>
        <v>3</v>
      </c>
      <c r="BY64" s="274">
        <f t="shared" si="59"/>
        <v>3</v>
      </c>
      <c r="BZ64" s="274">
        <f t="shared" si="60"/>
        <v>2</v>
      </c>
      <c r="CA64" s="274">
        <f t="shared" si="61"/>
        <v>2</v>
      </c>
      <c r="CB64" s="274">
        <f t="shared" si="62"/>
        <v>2</v>
      </c>
      <c r="CC64" s="43">
        <f>ROUND((VLOOKUP(A64,'Cumulative pupils per year'!$A$3:$S$88,10,FALSE)),0)</f>
        <v>18</v>
      </c>
      <c r="CD64" s="46">
        <f t="shared" si="63"/>
        <v>3</v>
      </c>
      <c r="CE64" s="46">
        <f t="shared" si="64"/>
        <v>3</v>
      </c>
      <c r="CF64" s="46">
        <f t="shared" si="65"/>
        <v>3</v>
      </c>
      <c r="CG64" s="46">
        <f t="shared" si="66"/>
        <v>3</v>
      </c>
      <c r="CH64" s="46">
        <f t="shared" si="67"/>
        <v>2</v>
      </c>
      <c r="CI64" s="46">
        <f t="shared" si="68"/>
        <v>2</v>
      </c>
      <c r="CJ64" s="46">
        <f t="shared" si="69"/>
        <v>2</v>
      </c>
      <c r="CK64" s="45">
        <f>ROUND((VLOOKUP(A64,'Cumulative pupils per year'!$A$3:$S$88,11,FALSE)),0)</f>
        <v>18</v>
      </c>
      <c r="CL64" s="274">
        <f t="shared" si="70"/>
        <v>3</v>
      </c>
      <c r="CM64" s="274">
        <f t="shared" si="71"/>
        <v>3</v>
      </c>
      <c r="CN64" s="274">
        <f t="shared" si="72"/>
        <v>3</v>
      </c>
      <c r="CO64" s="274">
        <f t="shared" si="73"/>
        <v>3</v>
      </c>
      <c r="CP64" s="274">
        <f t="shared" si="74"/>
        <v>2</v>
      </c>
      <c r="CQ64" s="274">
        <f t="shared" si="75"/>
        <v>2</v>
      </c>
      <c r="CR64" s="274">
        <f t="shared" si="76"/>
        <v>2</v>
      </c>
      <c r="CS64" s="291">
        <f>ROUND((VLOOKUP(A64,'Cumulative pupils per year'!$A$3:$S$88,12,FALSE)),0)</f>
        <v>18</v>
      </c>
      <c r="CT64" s="46">
        <f t="shared" si="77"/>
        <v>3</v>
      </c>
      <c r="CU64" s="46">
        <f t="shared" si="78"/>
        <v>3</v>
      </c>
      <c r="CV64" s="46">
        <f t="shared" si="79"/>
        <v>3</v>
      </c>
      <c r="CW64" s="46">
        <f t="shared" si="80"/>
        <v>3</v>
      </c>
      <c r="CX64" s="46">
        <f t="shared" si="81"/>
        <v>2</v>
      </c>
      <c r="CY64" s="46">
        <f t="shared" si="82"/>
        <v>2</v>
      </c>
      <c r="CZ64" s="46">
        <f t="shared" si="83"/>
        <v>2</v>
      </c>
      <c r="DA64" s="45">
        <f>ROUND((VLOOKUP(A64,'Cumulative pupils per year'!$A$3:$S$88,13,FALSE)),0)</f>
        <v>18</v>
      </c>
      <c r="DB64" s="274">
        <f t="shared" si="84"/>
        <v>3</v>
      </c>
      <c r="DC64" s="274">
        <f t="shared" si="85"/>
        <v>3</v>
      </c>
      <c r="DD64" s="274">
        <f t="shared" si="86"/>
        <v>3</v>
      </c>
      <c r="DE64" s="274">
        <f t="shared" si="87"/>
        <v>3</v>
      </c>
      <c r="DF64" s="274">
        <f t="shared" si="88"/>
        <v>2</v>
      </c>
      <c r="DG64" s="274">
        <f t="shared" si="89"/>
        <v>2</v>
      </c>
      <c r="DH64" s="274">
        <f t="shared" si="90"/>
        <v>2</v>
      </c>
      <c r="DI64" s="291">
        <f>ROUND((VLOOKUP(A64,'Cumulative pupils per year'!$A$3:$S$88,14,FALSE)),0)</f>
        <v>18</v>
      </c>
      <c r="DJ64" s="46">
        <f t="shared" si="91"/>
        <v>3</v>
      </c>
      <c r="DK64" s="46">
        <f t="shared" si="92"/>
        <v>3</v>
      </c>
      <c r="DL64" s="46">
        <f t="shared" si="93"/>
        <v>3</v>
      </c>
      <c r="DM64" s="46">
        <f t="shared" si="94"/>
        <v>3</v>
      </c>
      <c r="DN64" s="46">
        <f t="shared" si="95"/>
        <v>2</v>
      </c>
      <c r="DO64" s="46">
        <f t="shared" si="96"/>
        <v>2</v>
      </c>
      <c r="DP64" s="46">
        <f t="shared" si="97"/>
        <v>2</v>
      </c>
      <c r="DQ64" s="45">
        <f>ROUND((VLOOKUP(A64,'Cumulative pupils per year'!$A$3:$S$88,15,FALSE)),0)</f>
        <v>18</v>
      </c>
    </row>
    <row r="65" spans="1:121">
      <c r="A65" s="4" t="s">
        <v>61</v>
      </c>
      <c r="B65" s="46">
        <v>0</v>
      </c>
      <c r="C65" s="46">
        <v>0</v>
      </c>
      <c r="D65" s="46">
        <v>0</v>
      </c>
      <c r="E65" s="46">
        <v>0</v>
      </c>
      <c r="F65" s="46">
        <v>0</v>
      </c>
      <c r="G65" s="46">
        <v>0</v>
      </c>
      <c r="H65" s="46">
        <v>0</v>
      </c>
      <c r="I65" s="45">
        <v>0</v>
      </c>
      <c r="J65" s="44">
        <f t="shared" si="273"/>
        <v>0</v>
      </c>
      <c r="K65" s="44">
        <f t="shared" si="274"/>
        <v>0</v>
      </c>
      <c r="L65" s="44">
        <f t="shared" si="275"/>
        <v>0</v>
      </c>
      <c r="M65" s="44">
        <f t="shared" si="276"/>
        <v>0</v>
      </c>
      <c r="N65" s="44">
        <f t="shared" si="277"/>
        <v>0</v>
      </c>
      <c r="O65" s="44">
        <f t="shared" si="278"/>
        <v>0</v>
      </c>
      <c r="P65" s="44">
        <f t="shared" si="279"/>
        <v>0</v>
      </c>
      <c r="Q65" s="43">
        <f>ROUND((VLOOKUP(A65,'Cumulative pupils per year'!$A$3:$S$88,2,FALSE)),0)</f>
        <v>0</v>
      </c>
      <c r="R65" s="46">
        <f t="shared" si="7"/>
        <v>0</v>
      </c>
      <c r="S65" s="46">
        <f t="shared" si="8"/>
        <v>0</v>
      </c>
      <c r="T65" s="46">
        <f t="shared" si="9"/>
        <v>0</v>
      </c>
      <c r="U65" s="46">
        <f t="shared" si="10"/>
        <v>0</v>
      </c>
      <c r="V65" s="46">
        <f t="shared" si="11"/>
        <v>0</v>
      </c>
      <c r="W65" s="46">
        <f t="shared" si="12"/>
        <v>0</v>
      </c>
      <c r="X65" s="46">
        <f t="shared" si="13"/>
        <v>0</v>
      </c>
      <c r="Y65" s="45">
        <f>ROUND((VLOOKUP(A65,'Cumulative pupils per year'!$A$3:$S$88,3,FALSE)),0)</f>
        <v>0</v>
      </c>
      <c r="Z65" s="274">
        <f t="shared" si="14"/>
        <v>1</v>
      </c>
      <c r="AA65" s="274">
        <f t="shared" si="15"/>
        <v>1</v>
      </c>
      <c r="AB65" s="274">
        <f t="shared" si="16"/>
        <v>1</v>
      </c>
      <c r="AC65" s="274">
        <f t="shared" si="17"/>
        <v>0</v>
      </c>
      <c r="AD65" s="274">
        <f t="shared" si="18"/>
        <v>0</v>
      </c>
      <c r="AE65" s="274">
        <f t="shared" si="19"/>
        <v>0</v>
      </c>
      <c r="AF65" s="274">
        <f t="shared" si="20"/>
        <v>0</v>
      </c>
      <c r="AG65" s="43">
        <f>ROUND((VLOOKUP(A65,'Cumulative pupils per year'!$A$3:$S$88,4,FALSE)),0)</f>
        <v>3</v>
      </c>
      <c r="AH65" s="46">
        <f t="shared" si="21"/>
        <v>1</v>
      </c>
      <c r="AI65" s="46">
        <f t="shared" si="22"/>
        <v>1</v>
      </c>
      <c r="AJ65" s="46">
        <f t="shared" si="23"/>
        <v>1</v>
      </c>
      <c r="AK65" s="46">
        <f t="shared" si="24"/>
        <v>1</v>
      </c>
      <c r="AL65" s="46">
        <f t="shared" si="25"/>
        <v>1</v>
      </c>
      <c r="AM65" s="46">
        <f t="shared" si="26"/>
        <v>1</v>
      </c>
      <c r="AN65" s="46">
        <f t="shared" si="27"/>
        <v>1</v>
      </c>
      <c r="AO65" s="45">
        <f>ROUND((VLOOKUP(A65,'Cumulative pupils per year'!$A$3:$S$88,5,FALSE)),0)</f>
        <v>7</v>
      </c>
      <c r="AP65" s="274">
        <f t="shared" si="28"/>
        <v>2</v>
      </c>
      <c r="AQ65" s="274">
        <f t="shared" si="29"/>
        <v>2</v>
      </c>
      <c r="AR65" s="274">
        <f t="shared" si="30"/>
        <v>2</v>
      </c>
      <c r="AS65" s="274">
        <f t="shared" si="31"/>
        <v>2</v>
      </c>
      <c r="AT65" s="274">
        <f t="shared" si="32"/>
        <v>1</v>
      </c>
      <c r="AU65" s="274">
        <f t="shared" si="33"/>
        <v>1</v>
      </c>
      <c r="AV65" s="274">
        <f t="shared" si="34"/>
        <v>1</v>
      </c>
      <c r="AW65" s="43">
        <f>ROUND((VLOOKUP(A65,'Cumulative pupils per year'!$A$3:$S$88,6,FALSE)),0)</f>
        <v>11</v>
      </c>
      <c r="AX65" s="46">
        <f t="shared" si="35"/>
        <v>3</v>
      </c>
      <c r="AY65" s="46">
        <f t="shared" si="36"/>
        <v>2</v>
      </c>
      <c r="AZ65" s="46">
        <f t="shared" si="37"/>
        <v>2</v>
      </c>
      <c r="BA65" s="46">
        <f t="shared" si="38"/>
        <v>2</v>
      </c>
      <c r="BB65" s="46">
        <f t="shared" si="39"/>
        <v>2</v>
      </c>
      <c r="BC65" s="46">
        <f t="shared" si="40"/>
        <v>2</v>
      </c>
      <c r="BD65" s="46">
        <f t="shared" si="41"/>
        <v>2</v>
      </c>
      <c r="BE65" s="45">
        <f>ROUND((VLOOKUP(A65,'Cumulative pupils per year'!$A$3:$S$88,7,FALSE)),0)</f>
        <v>15</v>
      </c>
      <c r="BF65" s="274">
        <f t="shared" si="42"/>
        <v>3</v>
      </c>
      <c r="BG65" s="274">
        <f t="shared" si="43"/>
        <v>2</v>
      </c>
      <c r="BH65" s="274">
        <f t="shared" si="44"/>
        <v>2</v>
      </c>
      <c r="BI65" s="274">
        <f t="shared" si="45"/>
        <v>2</v>
      </c>
      <c r="BJ65" s="274">
        <f t="shared" si="46"/>
        <v>2</v>
      </c>
      <c r="BK65" s="274">
        <f t="shared" si="47"/>
        <v>2</v>
      </c>
      <c r="BL65" s="274">
        <f t="shared" si="48"/>
        <v>2</v>
      </c>
      <c r="BM65" s="43">
        <f>ROUND((VLOOKUP(A65,'Cumulative pupils per year'!$A$3:$S$88,8,FALSE)),0)</f>
        <v>15</v>
      </c>
      <c r="BN65" s="46">
        <f t="shared" si="49"/>
        <v>3</v>
      </c>
      <c r="BO65" s="46">
        <f t="shared" si="50"/>
        <v>2</v>
      </c>
      <c r="BP65" s="46">
        <f t="shared" si="51"/>
        <v>2</v>
      </c>
      <c r="BQ65" s="46">
        <f t="shared" si="52"/>
        <v>2</v>
      </c>
      <c r="BR65" s="46">
        <f t="shared" si="53"/>
        <v>2</v>
      </c>
      <c r="BS65" s="46">
        <f t="shared" si="54"/>
        <v>2</v>
      </c>
      <c r="BT65" s="46">
        <f t="shared" si="55"/>
        <v>2</v>
      </c>
      <c r="BU65" s="45">
        <f>ROUND((VLOOKUP(A65,'Cumulative pupils per year'!$A$3:$S$88,9,FALSE)),0)</f>
        <v>15</v>
      </c>
      <c r="BV65" s="274">
        <f t="shared" si="56"/>
        <v>3</v>
      </c>
      <c r="BW65" s="274">
        <f t="shared" si="57"/>
        <v>2</v>
      </c>
      <c r="BX65" s="274">
        <f t="shared" si="58"/>
        <v>2</v>
      </c>
      <c r="BY65" s="274">
        <f t="shared" si="59"/>
        <v>2</v>
      </c>
      <c r="BZ65" s="274">
        <f t="shared" si="60"/>
        <v>2</v>
      </c>
      <c r="CA65" s="274">
        <f t="shared" si="61"/>
        <v>2</v>
      </c>
      <c r="CB65" s="274">
        <f t="shared" si="62"/>
        <v>2</v>
      </c>
      <c r="CC65" s="43">
        <f>ROUND((VLOOKUP(A65,'Cumulative pupils per year'!$A$3:$S$88,10,FALSE)),0)</f>
        <v>15</v>
      </c>
      <c r="CD65" s="46">
        <f t="shared" si="63"/>
        <v>3</v>
      </c>
      <c r="CE65" s="46">
        <f t="shared" si="64"/>
        <v>2</v>
      </c>
      <c r="CF65" s="46">
        <f t="shared" si="65"/>
        <v>2</v>
      </c>
      <c r="CG65" s="46">
        <f t="shared" si="66"/>
        <v>2</v>
      </c>
      <c r="CH65" s="46">
        <f t="shared" si="67"/>
        <v>2</v>
      </c>
      <c r="CI65" s="46">
        <f t="shared" si="68"/>
        <v>2</v>
      </c>
      <c r="CJ65" s="46">
        <f t="shared" si="69"/>
        <v>2</v>
      </c>
      <c r="CK65" s="45">
        <f>ROUND((VLOOKUP(A65,'Cumulative pupils per year'!$A$3:$S$88,11,FALSE)),0)</f>
        <v>15</v>
      </c>
      <c r="CL65" s="274">
        <f t="shared" si="70"/>
        <v>3</v>
      </c>
      <c r="CM65" s="274">
        <f t="shared" si="71"/>
        <v>2</v>
      </c>
      <c r="CN65" s="274">
        <f t="shared" si="72"/>
        <v>2</v>
      </c>
      <c r="CO65" s="274">
        <f t="shared" si="73"/>
        <v>2</v>
      </c>
      <c r="CP65" s="274">
        <f t="shared" si="74"/>
        <v>2</v>
      </c>
      <c r="CQ65" s="274">
        <f t="shared" si="75"/>
        <v>2</v>
      </c>
      <c r="CR65" s="274">
        <f t="shared" si="76"/>
        <v>2</v>
      </c>
      <c r="CS65" s="291">
        <f>ROUND((VLOOKUP(A65,'Cumulative pupils per year'!$A$3:$S$88,12,FALSE)),0)</f>
        <v>15</v>
      </c>
      <c r="CT65" s="46">
        <f t="shared" si="77"/>
        <v>3</v>
      </c>
      <c r="CU65" s="46">
        <f t="shared" si="78"/>
        <v>2</v>
      </c>
      <c r="CV65" s="46">
        <f t="shared" si="79"/>
        <v>2</v>
      </c>
      <c r="CW65" s="46">
        <f t="shared" si="80"/>
        <v>2</v>
      </c>
      <c r="CX65" s="46">
        <f t="shared" si="81"/>
        <v>2</v>
      </c>
      <c r="CY65" s="46">
        <f t="shared" si="82"/>
        <v>2</v>
      </c>
      <c r="CZ65" s="46">
        <f t="shared" si="83"/>
        <v>2</v>
      </c>
      <c r="DA65" s="45">
        <f>ROUND((VLOOKUP(A65,'Cumulative pupils per year'!$A$3:$S$88,13,FALSE)),0)</f>
        <v>15</v>
      </c>
      <c r="DB65" s="274">
        <f t="shared" si="84"/>
        <v>3</v>
      </c>
      <c r="DC65" s="274">
        <f t="shared" si="85"/>
        <v>2</v>
      </c>
      <c r="DD65" s="274">
        <f t="shared" si="86"/>
        <v>2</v>
      </c>
      <c r="DE65" s="274">
        <f t="shared" si="87"/>
        <v>2</v>
      </c>
      <c r="DF65" s="274">
        <f t="shared" si="88"/>
        <v>2</v>
      </c>
      <c r="DG65" s="274">
        <f t="shared" si="89"/>
        <v>2</v>
      </c>
      <c r="DH65" s="274">
        <f t="shared" si="90"/>
        <v>2</v>
      </c>
      <c r="DI65" s="291">
        <f>ROUND((VLOOKUP(A65,'Cumulative pupils per year'!$A$3:$S$88,14,FALSE)),0)</f>
        <v>15</v>
      </c>
      <c r="DJ65" s="46">
        <f t="shared" si="91"/>
        <v>3</v>
      </c>
      <c r="DK65" s="46">
        <f t="shared" si="92"/>
        <v>2</v>
      </c>
      <c r="DL65" s="46">
        <f t="shared" si="93"/>
        <v>2</v>
      </c>
      <c r="DM65" s="46">
        <f t="shared" si="94"/>
        <v>2</v>
      </c>
      <c r="DN65" s="46">
        <f t="shared" si="95"/>
        <v>2</v>
      </c>
      <c r="DO65" s="46">
        <f t="shared" si="96"/>
        <v>2</v>
      </c>
      <c r="DP65" s="46">
        <f t="shared" si="97"/>
        <v>2</v>
      </c>
      <c r="DQ65" s="45">
        <f>ROUND((VLOOKUP(A65,'Cumulative pupils per year'!$A$3:$S$88,15,FALSE)),0)</f>
        <v>15</v>
      </c>
    </row>
    <row r="66" spans="1:121">
      <c r="A66" s="4" t="s">
        <v>62</v>
      </c>
      <c r="B66" s="46">
        <v>0</v>
      </c>
      <c r="C66" s="46">
        <v>0</v>
      </c>
      <c r="D66" s="46">
        <v>0</v>
      </c>
      <c r="E66" s="46">
        <v>0</v>
      </c>
      <c r="F66" s="46">
        <v>0</v>
      </c>
      <c r="G66" s="46">
        <v>0</v>
      </c>
      <c r="H66" s="46">
        <v>0</v>
      </c>
      <c r="I66" s="45">
        <v>0</v>
      </c>
      <c r="J66" s="44">
        <f t="shared" si="273"/>
        <v>0</v>
      </c>
      <c r="K66" s="44">
        <f t="shared" si="274"/>
        <v>0</v>
      </c>
      <c r="L66" s="44">
        <f t="shared" si="275"/>
        <v>0</v>
      </c>
      <c r="M66" s="44">
        <f t="shared" si="276"/>
        <v>0</v>
      </c>
      <c r="N66" s="44">
        <f t="shared" si="277"/>
        <v>0</v>
      </c>
      <c r="O66" s="44">
        <f t="shared" si="278"/>
        <v>0</v>
      </c>
      <c r="P66" s="44">
        <f t="shared" si="279"/>
        <v>0</v>
      </c>
      <c r="Q66" s="43">
        <f>ROUND((VLOOKUP(A66,'Cumulative pupils per year'!$A$3:$S$88,2,FALSE)),0)</f>
        <v>0</v>
      </c>
      <c r="R66" s="46">
        <f t="shared" si="7"/>
        <v>0</v>
      </c>
      <c r="S66" s="46">
        <f t="shared" si="8"/>
        <v>0</v>
      </c>
      <c r="T66" s="46">
        <f t="shared" si="9"/>
        <v>0</v>
      </c>
      <c r="U66" s="46">
        <f t="shared" si="10"/>
        <v>0</v>
      </c>
      <c r="V66" s="46">
        <f t="shared" si="11"/>
        <v>0</v>
      </c>
      <c r="W66" s="46">
        <f t="shared" si="12"/>
        <v>0</v>
      </c>
      <c r="X66" s="46">
        <f t="shared" si="13"/>
        <v>0</v>
      </c>
      <c r="Y66" s="45">
        <f>ROUND((VLOOKUP(A66,'Cumulative pupils per year'!$A$3:$S$88,3,FALSE)),0)</f>
        <v>0</v>
      </c>
      <c r="Z66" s="274">
        <f t="shared" si="14"/>
        <v>0</v>
      </c>
      <c r="AA66" s="274">
        <f t="shared" si="15"/>
        <v>0</v>
      </c>
      <c r="AB66" s="274">
        <f t="shared" si="16"/>
        <v>0</v>
      </c>
      <c r="AC66" s="274">
        <f t="shared" si="17"/>
        <v>0</v>
      </c>
      <c r="AD66" s="274">
        <f t="shared" si="18"/>
        <v>0</v>
      </c>
      <c r="AE66" s="274">
        <f t="shared" si="19"/>
        <v>0</v>
      </c>
      <c r="AF66" s="274">
        <f t="shared" si="20"/>
        <v>0</v>
      </c>
      <c r="AG66" s="43">
        <f>ROUND((VLOOKUP(A66,'Cumulative pupils per year'!$A$3:$S$88,4,FALSE)),0)</f>
        <v>0</v>
      </c>
      <c r="AH66" s="46">
        <f t="shared" si="21"/>
        <v>0</v>
      </c>
      <c r="AI66" s="46">
        <f t="shared" si="22"/>
        <v>0</v>
      </c>
      <c r="AJ66" s="46">
        <f t="shared" si="23"/>
        <v>0</v>
      </c>
      <c r="AK66" s="46">
        <f t="shared" si="24"/>
        <v>0</v>
      </c>
      <c r="AL66" s="46">
        <f t="shared" si="25"/>
        <v>0</v>
      </c>
      <c r="AM66" s="46">
        <f t="shared" si="26"/>
        <v>0</v>
      </c>
      <c r="AN66" s="46">
        <f t="shared" si="27"/>
        <v>0</v>
      </c>
      <c r="AO66" s="45">
        <f>ROUND((VLOOKUP(A66,'Cumulative pupils per year'!$A$3:$S$88,5,FALSE)),0)</f>
        <v>0</v>
      </c>
      <c r="AP66" s="274">
        <f t="shared" si="28"/>
        <v>0</v>
      </c>
      <c r="AQ66" s="274">
        <f t="shared" si="29"/>
        <v>0</v>
      </c>
      <c r="AR66" s="274">
        <f t="shared" si="30"/>
        <v>0</v>
      </c>
      <c r="AS66" s="274">
        <f t="shared" si="31"/>
        <v>0</v>
      </c>
      <c r="AT66" s="274">
        <f t="shared" si="32"/>
        <v>0</v>
      </c>
      <c r="AU66" s="274">
        <f t="shared" si="33"/>
        <v>0</v>
      </c>
      <c r="AV66" s="274">
        <f t="shared" si="34"/>
        <v>0</v>
      </c>
      <c r="AW66" s="43">
        <f>ROUND((VLOOKUP(A66,'Cumulative pupils per year'!$A$3:$S$88,6,FALSE)),0)</f>
        <v>0</v>
      </c>
      <c r="AX66" s="46">
        <f t="shared" si="35"/>
        <v>1</v>
      </c>
      <c r="AY66" s="46">
        <f t="shared" si="36"/>
        <v>1</v>
      </c>
      <c r="AZ66" s="46">
        <f t="shared" si="37"/>
        <v>1</v>
      </c>
      <c r="BA66" s="46">
        <f t="shared" si="38"/>
        <v>1</v>
      </c>
      <c r="BB66" s="46">
        <f t="shared" si="39"/>
        <v>1</v>
      </c>
      <c r="BC66" s="46">
        <f t="shared" si="40"/>
        <v>0</v>
      </c>
      <c r="BD66" s="46">
        <f t="shared" si="41"/>
        <v>0</v>
      </c>
      <c r="BE66" s="45">
        <f>ROUND((VLOOKUP(A66,'Cumulative pupils per year'!$A$3:$S$88,7,FALSE)),0)</f>
        <v>5</v>
      </c>
      <c r="BF66" s="274">
        <f t="shared" si="42"/>
        <v>2</v>
      </c>
      <c r="BG66" s="274">
        <f t="shared" si="43"/>
        <v>2</v>
      </c>
      <c r="BH66" s="274">
        <f t="shared" si="44"/>
        <v>2</v>
      </c>
      <c r="BI66" s="274">
        <f t="shared" si="45"/>
        <v>2</v>
      </c>
      <c r="BJ66" s="274">
        <f t="shared" si="46"/>
        <v>2</v>
      </c>
      <c r="BK66" s="274">
        <f t="shared" si="47"/>
        <v>1</v>
      </c>
      <c r="BL66" s="274">
        <f t="shared" si="48"/>
        <v>1</v>
      </c>
      <c r="BM66" s="43">
        <f>ROUND((VLOOKUP(A66,'Cumulative pupils per year'!$A$3:$S$88,8,FALSE)),0)</f>
        <v>12</v>
      </c>
      <c r="BN66" s="46">
        <f t="shared" si="49"/>
        <v>2</v>
      </c>
      <c r="BO66" s="46">
        <f t="shared" si="50"/>
        <v>2</v>
      </c>
      <c r="BP66" s="46">
        <f t="shared" si="51"/>
        <v>2</v>
      </c>
      <c r="BQ66" s="46">
        <f t="shared" si="52"/>
        <v>2</v>
      </c>
      <c r="BR66" s="46">
        <f t="shared" si="53"/>
        <v>2</v>
      </c>
      <c r="BS66" s="46">
        <f t="shared" si="54"/>
        <v>1</v>
      </c>
      <c r="BT66" s="46">
        <f t="shared" si="55"/>
        <v>1</v>
      </c>
      <c r="BU66" s="45">
        <f>ROUND((VLOOKUP(A66,'Cumulative pupils per year'!$A$3:$S$88,9,FALSE)),0)</f>
        <v>12</v>
      </c>
      <c r="BV66" s="274">
        <f t="shared" si="56"/>
        <v>2</v>
      </c>
      <c r="BW66" s="274">
        <f t="shared" si="57"/>
        <v>2</v>
      </c>
      <c r="BX66" s="274">
        <f t="shared" si="58"/>
        <v>2</v>
      </c>
      <c r="BY66" s="274">
        <f t="shared" si="59"/>
        <v>2</v>
      </c>
      <c r="BZ66" s="274">
        <f t="shared" si="60"/>
        <v>2</v>
      </c>
      <c r="CA66" s="274">
        <f t="shared" si="61"/>
        <v>1</v>
      </c>
      <c r="CB66" s="274">
        <f t="shared" si="62"/>
        <v>1</v>
      </c>
      <c r="CC66" s="43">
        <f>ROUND((VLOOKUP(A66,'Cumulative pupils per year'!$A$3:$S$88,10,FALSE)),0)</f>
        <v>12</v>
      </c>
      <c r="CD66" s="46">
        <f t="shared" si="63"/>
        <v>2</v>
      </c>
      <c r="CE66" s="46">
        <f t="shared" si="64"/>
        <v>2</v>
      </c>
      <c r="CF66" s="46">
        <f t="shared" si="65"/>
        <v>2</v>
      </c>
      <c r="CG66" s="46">
        <f t="shared" si="66"/>
        <v>2</v>
      </c>
      <c r="CH66" s="46">
        <f t="shared" si="67"/>
        <v>2</v>
      </c>
      <c r="CI66" s="46">
        <f t="shared" si="68"/>
        <v>1</v>
      </c>
      <c r="CJ66" s="46">
        <f t="shared" si="69"/>
        <v>1</v>
      </c>
      <c r="CK66" s="45">
        <f>ROUND((VLOOKUP(A66,'Cumulative pupils per year'!$A$3:$S$88,11,FALSE)),0)</f>
        <v>12</v>
      </c>
      <c r="CL66" s="274">
        <f t="shared" si="70"/>
        <v>2</v>
      </c>
      <c r="CM66" s="274">
        <f t="shared" si="71"/>
        <v>2</v>
      </c>
      <c r="CN66" s="274">
        <f t="shared" si="72"/>
        <v>2</v>
      </c>
      <c r="CO66" s="274">
        <f t="shared" si="73"/>
        <v>2</v>
      </c>
      <c r="CP66" s="274">
        <f t="shared" si="74"/>
        <v>2</v>
      </c>
      <c r="CQ66" s="274">
        <f t="shared" si="75"/>
        <v>1</v>
      </c>
      <c r="CR66" s="274">
        <f t="shared" si="76"/>
        <v>1</v>
      </c>
      <c r="CS66" s="291">
        <f>ROUND((VLOOKUP(A66,'Cumulative pupils per year'!$A$3:$S$88,12,FALSE)),0)</f>
        <v>12</v>
      </c>
      <c r="CT66" s="46">
        <f t="shared" si="77"/>
        <v>2</v>
      </c>
      <c r="CU66" s="46">
        <f t="shared" si="78"/>
        <v>2</v>
      </c>
      <c r="CV66" s="46">
        <f t="shared" si="79"/>
        <v>2</v>
      </c>
      <c r="CW66" s="46">
        <f t="shared" si="80"/>
        <v>2</v>
      </c>
      <c r="CX66" s="46">
        <f t="shared" si="81"/>
        <v>2</v>
      </c>
      <c r="CY66" s="46">
        <f t="shared" si="82"/>
        <v>1</v>
      </c>
      <c r="CZ66" s="46">
        <f t="shared" si="83"/>
        <v>1</v>
      </c>
      <c r="DA66" s="45">
        <f>ROUND((VLOOKUP(A66,'Cumulative pupils per year'!$A$3:$S$88,13,FALSE)),0)</f>
        <v>12</v>
      </c>
      <c r="DB66" s="274">
        <f t="shared" si="84"/>
        <v>2</v>
      </c>
      <c r="DC66" s="274">
        <f t="shared" si="85"/>
        <v>2</v>
      </c>
      <c r="DD66" s="274">
        <f t="shared" si="86"/>
        <v>2</v>
      </c>
      <c r="DE66" s="274">
        <f t="shared" si="87"/>
        <v>2</v>
      </c>
      <c r="DF66" s="274">
        <f t="shared" si="88"/>
        <v>2</v>
      </c>
      <c r="DG66" s="274">
        <f t="shared" si="89"/>
        <v>1</v>
      </c>
      <c r="DH66" s="274">
        <f t="shared" si="90"/>
        <v>1</v>
      </c>
      <c r="DI66" s="291">
        <f>ROUND((VLOOKUP(A66,'Cumulative pupils per year'!$A$3:$S$88,14,FALSE)),0)</f>
        <v>12</v>
      </c>
      <c r="DJ66" s="46">
        <f t="shared" si="91"/>
        <v>2</v>
      </c>
      <c r="DK66" s="46">
        <f t="shared" si="92"/>
        <v>2</v>
      </c>
      <c r="DL66" s="46">
        <f t="shared" si="93"/>
        <v>2</v>
      </c>
      <c r="DM66" s="46">
        <f t="shared" si="94"/>
        <v>2</v>
      </c>
      <c r="DN66" s="46">
        <f t="shared" si="95"/>
        <v>2</v>
      </c>
      <c r="DO66" s="46">
        <f t="shared" si="96"/>
        <v>1</v>
      </c>
      <c r="DP66" s="46">
        <f t="shared" si="97"/>
        <v>1</v>
      </c>
      <c r="DQ66" s="45">
        <f>ROUND((VLOOKUP(A66,'Cumulative pupils per year'!$A$3:$S$88,15,FALSE)),0)</f>
        <v>12</v>
      </c>
    </row>
    <row r="67" spans="1:121">
      <c r="A67" s="4" t="s">
        <v>63</v>
      </c>
      <c r="B67" s="46">
        <v>0</v>
      </c>
      <c r="C67" s="46">
        <v>0</v>
      </c>
      <c r="D67" s="46">
        <v>0</v>
      </c>
      <c r="E67" s="46">
        <v>0</v>
      </c>
      <c r="F67" s="46">
        <v>0</v>
      </c>
      <c r="G67" s="46">
        <v>0</v>
      </c>
      <c r="H67" s="46">
        <v>0</v>
      </c>
      <c r="I67" s="45">
        <v>0</v>
      </c>
      <c r="J67" s="44">
        <f t="shared" si="273"/>
        <v>1</v>
      </c>
      <c r="K67" s="44">
        <f t="shared" si="274"/>
        <v>1</v>
      </c>
      <c r="L67" s="44">
        <f t="shared" si="275"/>
        <v>1</v>
      </c>
      <c r="M67" s="44">
        <f t="shared" si="276"/>
        <v>0</v>
      </c>
      <c r="N67" s="44">
        <f t="shared" si="277"/>
        <v>0</v>
      </c>
      <c r="O67" s="44">
        <f t="shared" si="278"/>
        <v>0</v>
      </c>
      <c r="P67" s="44">
        <f t="shared" si="279"/>
        <v>0</v>
      </c>
      <c r="Q67" s="43">
        <f>ROUND((VLOOKUP(A67,'Cumulative pupils per year'!$A$3:$S$88,2,FALSE)),0)</f>
        <v>3</v>
      </c>
      <c r="R67" s="46">
        <f t="shared" si="7"/>
        <v>1</v>
      </c>
      <c r="S67" s="46">
        <f t="shared" si="8"/>
        <v>1</v>
      </c>
      <c r="T67" s="46">
        <f t="shared" si="9"/>
        <v>1</v>
      </c>
      <c r="U67" s="46">
        <f t="shared" si="10"/>
        <v>1</v>
      </c>
      <c r="V67" s="46">
        <f t="shared" si="11"/>
        <v>1</v>
      </c>
      <c r="W67" s="46">
        <f t="shared" si="12"/>
        <v>1</v>
      </c>
      <c r="X67" s="46">
        <f t="shared" si="13"/>
        <v>1</v>
      </c>
      <c r="Y67" s="45">
        <f>ROUND((VLOOKUP(A67,'Cumulative pupils per year'!$A$3:$S$88,3,FALSE)),0)</f>
        <v>7</v>
      </c>
      <c r="Z67" s="274">
        <f t="shared" si="14"/>
        <v>1</v>
      </c>
      <c r="AA67" s="274">
        <f t="shared" si="15"/>
        <v>1</v>
      </c>
      <c r="AB67" s="274">
        <f t="shared" si="16"/>
        <v>1</v>
      </c>
      <c r="AC67" s="274">
        <f t="shared" si="17"/>
        <v>1</v>
      </c>
      <c r="AD67" s="274">
        <f t="shared" si="18"/>
        <v>1</v>
      </c>
      <c r="AE67" s="274">
        <f t="shared" si="19"/>
        <v>1</v>
      </c>
      <c r="AF67" s="274">
        <f t="shared" si="20"/>
        <v>1</v>
      </c>
      <c r="AG67" s="43">
        <f>ROUND((VLOOKUP(A67,'Cumulative pupils per year'!$A$3:$S$88,4,FALSE)),0)</f>
        <v>7</v>
      </c>
      <c r="AH67" s="46">
        <f t="shared" si="21"/>
        <v>1</v>
      </c>
      <c r="AI67" s="46">
        <f t="shared" si="22"/>
        <v>1</v>
      </c>
      <c r="AJ67" s="46">
        <f t="shared" si="23"/>
        <v>1</v>
      </c>
      <c r="AK67" s="46">
        <f t="shared" si="24"/>
        <v>1</v>
      </c>
      <c r="AL67" s="46">
        <f t="shared" si="25"/>
        <v>1</v>
      </c>
      <c r="AM67" s="46">
        <f t="shared" si="26"/>
        <v>1</v>
      </c>
      <c r="AN67" s="46">
        <f t="shared" si="27"/>
        <v>1</v>
      </c>
      <c r="AO67" s="45">
        <f>ROUND((VLOOKUP(A67,'Cumulative pupils per year'!$A$3:$S$88,5,FALSE)),0)</f>
        <v>7</v>
      </c>
      <c r="AP67" s="274">
        <f t="shared" si="28"/>
        <v>1</v>
      </c>
      <c r="AQ67" s="274">
        <f t="shared" si="29"/>
        <v>1</v>
      </c>
      <c r="AR67" s="274">
        <f t="shared" si="30"/>
        <v>1</v>
      </c>
      <c r="AS67" s="274">
        <f t="shared" si="31"/>
        <v>1</v>
      </c>
      <c r="AT67" s="274">
        <f t="shared" si="32"/>
        <v>1</v>
      </c>
      <c r="AU67" s="274">
        <f t="shared" si="33"/>
        <v>1</v>
      </c>
      <c r="AV67" s="274">
        <f t="shared" si="34"/>
        <v>1</v>
      </c>
      <c r="AW67" s="43">
        <f>ROUND((VLOOKUP(A67,'Cumulative pupils per year'!$A$3:$S$88,6,FALSE)),0)</f>
        <v>7</v>
      </c>
      <c r="AX67" s="46">
        <f t="shared" si="35"/>
        <v>1</v>
      </c>
      <c r="AY67" s="46">
        <f t="shared" si="36"/>
        <v>1</v>
      </c>
      <c r="AZ67" s="46">
        <f t="shared" si="37"/>
        <v>1</v>
      </c>
      <c r="BA67" s="46">
        <f t="shared" si="38"/>
        <v>1</v>
      </c>
      <c r="BB67" s="46">
        <f t="shared" si="39"/>
        <v>1</v>
      </c>
      <c r="BC67" s="46">
        <f t="shared" si="40"/>
        <v>1</v>
      </c>
      <c r="BD67" s="46">
        <f t="shared" si="41"/>
        <v>1</v>
      </c>
      <c r="BE67" s="45">
        <f>ROUND((VLOOKUP(A67,'Cumulative pupils per year'!$A$3:$S$88,7,FALSE)),0)</f>
        <v>7</v>
      </c>
      <c r="BF67" s="274">
        <f t="shared" si="42"/>
        <v>1</v>
      </c>
      <c r="BG67" s="274">
        <f t="shared" si="43"/>
        <v>1</v>
      </c>
      <c r="BH67" s="274">
        <f t="shared" si="44"/>
        <v>1</v>
      </c>
      <c r="BI67" s="274">
        <f t="shared" si="45"/>
        <v>1</v>
      </c>
      <c r="BJ67" s="274">
        <f t="shared" si="46"/>
        <v>1</v>
      </c>
      <c r="BK67" s="274">
        <f t="shared" si="47"/>
        <v>1</v>
      </c>
      <c r="BL67" s="274">
        <f t="shared" si="48"/>
        <v>1</v>
      </c>
      <c r="BM67" s="43">
        <f>ROUND((VLOOKUP(A67,'Cumulative pupils per year'!$A$3:$S$88,8,FALSE)),0)</f>
        <v>7</v>
      </c>
      <c r="BN67" s="46">
        <f t="shared" si="49"/>
        <v>1</v>
      </c>
      <c r="BO67" s="46">
        <f t="shared" si="50"/>
        <v>1</v>
      </c>
      <c r="BP67" s="46">
        <f t="shared" si="51"/>
        <v>1</v>
      </c>
      <c r="BQ67" s="46">
        <f t="shared" si="52"/>
        <v>1</v>
      </c>
      <c r="BR67" s="46">
        <f t="shared" si="53"/>
        <v>1</v>
      </c>
      <c r="BS67" s="46">
        <f t="shared" si="54"/>
        <v>1</v>
      </c>
      <c r="BT67" s="46">
        <f t="shared" si="55"/>
        <v>1</v>
      </c>
      <c r="BU67" s="45">
        <f>ROUND((VLOOKUP(A67,'Cumulative pupils per year'!$A$3:$S$88,9,FALSE)),0)</f>
        <v>7</v>
      </c>
      <c r="BV67" s="274">
        <f t="shared" si="56"/>
        <v>1</v>
      </c>
      <c r="BW67" s="274">
        <f t="shared" si="57"/>
        <v>1</v>
      </c>
      <c r="BX67" s="274">
        <f t="shared" si="58"/>
        <v>1</v>
      </c>
      <c r="BY67" s="274">
        <f t="shared" si="59"/>
        <v>1</v>
      </c>
      <c r="BZ67" s="274">
        <f t="shared" si="60"/>
        <v>1</v>
      </c>
      <c r="CA67" s="274">
        <f t="shared" si="61"/>
        <v>1</v>
      </c>
      <c r="CB67" s="274">
        <f t="shared" si="62"/>
        <v>1</v>
      </c>
      <c r="CC67" s="43">
        <f>ROUND((VLOOKUP(A67,'Cumulative pupils per year'!$A$3:$S$88,10,FALSE)),0)</f>
        <v>7</v>
      </c>
      <c r="CD67" s="46">
        <f t="shared" si="63"/>
        <v>1</v>
      </c>
      <c r="CE67" s="46">
        <f t="shared" si="64"/>
        <v>1</v>
      </c>
      <c r="CF67" s="46">
        <f t="shared" si="65"/>
        <v>1</v>
      </c>
      <c r="CG67" s="46">
        <f t="shared" si="66"/>
        <v>1</v>
      </c>
      <c r="CH67" s="46">
        <f t="shared" si="67"/>
        <v>1</v>
      </c>
      <c r="CI67" s="46">
        <f t="shared" si="68"/>
        <v>1</v>
      </c>
      <c r="CJ67" s="46">
        <f t="shared" si="69"/>
        <v>1</v>
      </c>
      <c r="CK67" s="45">
        <f>ROUND((VLOOKUP(A67,'Cumulative pupils per year'!$A$3:$S$88,11,FALSE)),0)</f>
        <v>7</v>
      </c>
      <c r="CL67" s="274">
        <f t="shared" si="70"/>
        <v>1</v>
      </c>
      <c r="CM67" s="274">
        <f t="shared" si="71"/>
        <v>1</v>
      </c>
      <c r="CN67" s="274">
        <f t="shared" si="72"/>
        <v>1</v>
      </c>
      <c r="CO67" s="274">
        <f t="shared" si="73"/>
        <v>1</v>
      </c>
      <c r="CP67" s="274">
        <f t="shared" si="74"/>
        <v>1</v>
      </c>
      <c r="CQ67" s="274">
        <f t="shared" si="75"/>
        <v>1</v>
      </c>
      <c r="CR67" s="274">
        <f t="shared" si="76"/>
        <v>1</v>
      </c>
      <c r="CS67" s="291">
        <f>ROUND((VLOOKUP(A67,'Cumulative pupils per year'!$A$3:$S$88,12,FALSE)),0)</f>
        <v>7</v>
      </c>
      <c r="CT67" s="46">
        <f t="shared" si="77"/>
        <v>1</v>
      </c>
      <c r="CU67" s="46">
        <f t="shared" si="78"/>
        <v>1</v>
      </c>
      <c r="CV67" s="46">
        <f t="shared" si="79"/>
        <v>1</v>
      </c>
      <c r="CW67" s="46">
        <f t="shared" si="80"/>
        <v>1</v>
      </c>
      <c r="CX67" s="46">
        <f t="shared" si="81"/>
        <v>1</v>
      </c>
      <c r="CY67" s="46">
        <f t="shared" si="82"/>
        <v>1</v>
      </c>
      <c r="CZ67" s="46">
        <f t="shared" si="83"/>
        <v>1</v>
      </c>
      <c r="DA67" s="45">
        <f>ROUND((VLOOKUP(A67,'Cumulative pupils per year'!$A$3:$S$88,13,FALSE)),0)</f>
        <v>7</v>
      </c>
      <c r="DB67" s="274">
        <f t="shared" si="84"/>
        <v>1</v>
      </c>
      <c r="DC67" s="274">
        <f t="shared" si="85"/>
        <v>1</v>
      </c>
      <c r="DD67" s="274">
        <f t="shared" si="86"/>
        <v>1</v>
      </c>
      <c r="DE67" s="274">
        <f t="shared" si="87"/>
        <v>1</v>
      </c>
      <c r="DF67" s="274">
        <f t="shared" si="88"/>
        <v>1</v>
      </c>
      <c r="DG67" s="274">
        <f t="shared" si="89"/>
        <v>1</v>
      </c>
      <c r="DH67" s="274">
        <f t="shared" si="90"/>
        <v>1</v>
      </c>
      <c r="DI67" s="291">
        <f>ROUND((VLOOKUP(A67,'Cumulative pupils per year'!$A$3:$S$88,14,FALSE)),0)</f>
        <v>7</v>
      </c>
      <c r="DJ67" s="46">
        <f t="shared" si="91"/>
        <v>1</v>
      </c>
      <c r="DK67" s="46">
        <f t="shared" si="92"/>
        <v>1</v>
      </c>
      <c r="DL67" s="46">
        <f t="shared" si="93"/>
        <v>1</v>
      </c>
      <c r="DM67" s="46">
        <f t="shared" si="94"/>
        <v>1</v>
      </c>
      <c r="DN67" s="46">
        <f t="shared" si="95"/>
        <v>1</v>
      </c>
      <c r="DO67" s="46">
        <f t="shared" si="96"/>
        <v>1</v>
      </c>
      <c r="DP67" s="46">
        <f t="shared" si="97"/>
        <v>1</v>
      </c>
      <c r="DQ67" s="45">
        <f>ROUND((VLOOKUP(A67,'Cumulative pupils per year'!$A$3:$S$88,15,FALSE)),0)</f>
        <v>7</v>
      </c>
    </row>
    <row r="68" spans="1:121">
      <c r="A68" s="4" t="s">
        <v>64</v>
      </c>
      <c r="B68" s="46">
        <v>0</v>
      </c>
      <c r="C68" s="46">
        <v>0</v>
      </c>
      <c r="D68" s="46">
        <v>0</v>
      </c>
      <c r="E68" s="46">
        <v>0</v>
      </c>
      <c r="F68" s="46">
        <v>0</v>
      </c>
      <c r="G68" s="46">
        <v>0</v>
      </c>
      <c r="H68" s="46">
        <v>0</v>
      </c>
      <c r="I68" s="45">
        <v>0</v>
      </c>
      <c r="J68" s="44">
        <f t="shared" si="273"/>
        <v>1</v>
      </c>
      <c r="K68" s="44">
        <f t="shared" si="274"/>
        <v>1</v>
      </c>
      <c r="L68" s="44">
        <f t="shared" si="275"/>
        <v>1</v>
      </c>
      <c r="M68" s="44">
        <f t="shared" si="276"/>
        <v>1</v>
      </c>
      <c r="N68" s="44">
        <f t="shared" si="277"/>
        <v>0</v>
      </c>
      <c r="O68" s="44">
        <f t="shared" si="278"/>
        <v>0</v>
      </c>
      <c r="P68" s="44">
        <f t="shared" si="279"/>
        <v>0</v>
      </c>
      <c r="Q68" s="43">
        <f>ROUND((VLOOKUP(A68,'Cumulative pupils per year'!$A$3:$S$88,2,FALSE)),0)</f>
        <v>4</v>
      </c>
      <c r="R68" s="46">
        <f t="shared" ref="R68:R89" si="280">ROUNDUP(Y68/7,0)</f>
        <v>2</v>
      </c>
      <c r="S68" s="46">
        <f t="shared" ref="S68:S89" si="281">IF((Y68-R68)&gt;0,(ROUNDUP(((Y68-R68)/6),0)),0)</f>
        <v>2</v>
      </c>
      <c r="T68" s="46">
        <f t="shared" ref="T68:T89" si="282">IF((Y68-R68-S68)&gt;0,(ROUNDUP(((Y68-R68-S68)/5),0)),0)</f>
        <v>2</v>
      </c>
      <c r="U68" s="46">
        <f t="shared" ref="U68:U89" si="283">IF((Y68-R68-S68-T68)&gt;0,(ROUNDUP(((Y68-R68-S68-T68)/4),0)),0)</f>
        <v>1</v>
      </c>
      <c r="V68" s="46">
        <f t="shared" ref="V68:V89" si="284">IF((Y68-R68-S68-T68-U68)&gt;0,(ROUNDUP(((Y68-R68-S68-T68-U68)/3),0)),0)</f>
        <v>1</v>
      </c>
      <c r="W68" s="46">
        <f t="shared" ref="W68:W89" si="285">IF((Y68-R68-S68-T68-U68-V68)&gt;0,(ROUNDUP(((Y68-R68-S68-T68-U68-V68)/2),0)),0)</f>
        <v>1</v>
      </c>
      <c r="X68" s="46">
        <f t="shared" ref="X68:X89" si="286">IF((Y68-R68-S68-T68-U68-V68-W68)&gt;0,(ROUNDUP(((Y68-R68-S68-T68-U68-V68-W68)/1),0)),0)</f>
        <v>1</v>
      </c>
      <c r="Y68" s="45">
        <f>ROUND((VLOOKUP(A68,'Cumulative pupils per year'!$A$3:$S$88,3,FALSE)),0)</f>
        <v>10</v>
      </c>
      <c r="Z68" s="274">
        <f t="shared" ref="Z68:Z89" si="287">ROUNDUP(AG68/7,0)</f>
        <v>3</v>
      </c>
      <c r="AA68" s="274">
        <f t="shared" ref="AA68:AA89" si="288">IF((AG68-Z68)&gt;0,(ROUNDUP(((AG68-Z68)/6),0)),0)</f>
        <v>3</v>
      </c>
      <c r="AB68" s="274">
        <f t="shared" ref="AB68:AB89" si="289">IF((AG68-Z68-AA68)&gt;0,(ROUNDUP(((AG68-Z68-AA68)/5),0)),0)</f>
        <v>2</v>
      </c>
      <c r="AC68" s="274">
        <f t="shared" ref="AC68:AC89" si="290">IF((AG68-Z68-AA68-AB68)&gt;0,(ROUNDUP(((AG68-Z68-AA68-AB68)/4),0)),0)</f>
        <v>2</v>
      </c>
      <c r="AD68" s="274">
        <f t="shared" ref="AD68:AD89" si="291">IF((AG68-Z68-AA68-AB68-AC68)&gt;0,(ROUNDUP(((AG68-Z68-AA68-AB68-AC68)/3),0)),0)</f>
        <v>2</v>
      </c>
      <c r="AE68" s="274">
        <f t="shared" ref="AE68:AE89" si="292">IF((AG68-Z68-AA68-AB68-AC68-AD68)&gt;0,(ROUNDUP(((AG68-Z68-AA68-AB68-AC68-AD68)/2),0)),0)</f>
        <v>2</v>
      </c>
      <c r="AF68" s="274">
        <f t="shared" ref="AF68:AF89" si="293">IF((AG68-Z68-AA68-AB68-AC68-AD68-AE68)&gt;0,(ROUNDUP(((AG68-Z68-AA68-AB68-AC68-AD68-AE68)/1),0)),0)</f>
        <v>2</v>
      </c>
      <c r="AG68" s="43">
        <f>ROUND((VLOOKUP(A68,'Cumulative pupils per year'!$A$3:$S$88,4,FALSE)),0)</f>
        <v>16</v>
      </c>
      <c r="AH68" s="46">
        <f t="shared" ref="AH68:AH89" si="294">ROUNDUP(AO68/7,0)</f>
        <v>3</v>
      </c>
      <c r="AI68" s="46">
        <f t="shared" ref="AI68:AI89" si="295">IF((AO68-AH68)&gt;0,(ROUNDUP(((AO68-AH68)/6),0)),0)</f>
        <v>3</v>
      </c>
      <c r="AJ68" s="46">
        <f t="shared" ref="AJ68:AJ89" si="296">IF((AO68-AH68-AI68)&gt;0,(ROUNDUP(((AO68-AH68-AI68)/5),0)),0)</f>
        <v>3</v>
      </c>
      <c r="AK68" s="46">
        <f t="shared" ref="AK68:AK89" si="297">IF((AO68-AH68-AI68-AJ68)&gt;0,(ROUNDUP(((AO68-AH68-AI68-AJ68)/4),0)),0)</f>
        <v>3</v>
      </c>
      <c r="AL68" s="46">
        <f t="shared" ref="AL68:AL89" si="298">IF((AO68-AH68-AI68-AJ68-AK68)&gt;0,(ROUNDUP(((AO68-AH68-AI68-AJ68-AK68)/3),0)),0)</f>
        <v>2</v>
      </c>
      <c r="AM68" s="46">
        <f t="shared" ref="AM68:AM89" si="299">IF((AO68-AH68-AI68-AJ68-AK68-AL68)&gt;0,(ROUNDUP(((AO68-AH68-AI68-AJ68-AK68-AL68)/2),0)),0)</f>
        <v>2</v>
      </c>
      <c r="AN68" s="46">
        <f t="shared" ref="AN68:AN89" si="300">IF((AO68-AH68-AI68-AJ68-AK68-AL68-AM68)&gt;0,(ROUNDUP(((AO68-AH68-AI68-AJ68-AK68-AL68-AM68)/1),0)),0)</f>
        <v>2</v>
      </c>
      <c r="AO68" s="45">
        <f>ROUND((VLOOKUP(A68,'Cumulative pupils per year'!$A$3:$S$88,5,FALSE)),0)</f>
        <v>18</v>
      </c>
      <c r="AP68" s="274">
        <f t="shared" ref="AP68:AP89" si="301">ROUNDUP(AW68/7,0)</f>
        <v>3</v>
      </c>
      <c r="AQ68" s="274">
        <f t="shared" ref="AQ68:AQ89" si="302">IF((AW68-AP68)&gt;0,(ROUNDUP(((AW68-AP68)/6),0)),0)</f>
        <v>3</v>
      </c>
      <c r="AR68" s="274">
        <f t="shared" ref="AR68:AR89" si="303">IF((AW68-AP68-AQ68)&gt;0,(ROUNDUP(((AW68-AP68-AQ68)/5),0)),0)</f>
        <v>3</v>
      </c>
      <c r="AS68" s="274">
        <f t="shared" ref="AS68:AS89" si="304">IF((AW68-AP68-AQ68-AR68)&gt;0,(ROUNDUP(((AW68-AP68-AQ68-AR68)/4),0)),0)</f>
        <v>3</v>
      </c>
      <c r="AT68" s="274">
        <f t="shared" ref="AT68:AT89" si="305">IF((AW68-AP68-AQ68-AR68-AS68)&gt;0,(ROUNDUP(((AW68-AP68-AQ68-AR68-AS68)/3),0)),0)</f>
        <v>2</v>
      </c>
      <c r="AU68" s="274">
        <f t="shared" ref="AU68:AU89" si="306">IF((AW68-AP68-AQ68-AR68-AS68-AT68)&gt;0,(ROUNDUP(((AW68-AP68-AQ68-AR68-AS68-AT68)/2),0)),0)</f>
        <v>2</v>
      </c>
      <c r="AV68" s="274">
        <f t="shared" ref="AV68:AV89" si="307">IF((AW68-AP68-AQ68-AR68-AS68-AT68-AU68)&gt;0,(ROUNDUP(((AW68-AP68-AQ68-AR68-AS68-AT68-AU68)/1),0)),0)</f>
        <v>2</v>
      </c>
      <c r="AW68" s="43">
        <f>ROUND((VLOOKUP(A68,'Cumulative pupils per year'!$A$3:$S$88,6,FALSE)),0)</f>
        <v>18</v>
      </c>
      <c r="AX68" s="46">
        <f t="shared" ref="AX68:AX89" si="308">ROUNDUP(BE68/7,0)</f>
        <v>3</v>
      </c>
      <c r="AY68" s="46">
        <f t="shared" ref="AY68:AY89" si="309">IF((BE68-AX68)&gt;0,(ROUNDUP(((BE68-AX68)/6),0)),0)</f>
        <v>3</v>
      </c>
      <c r="AZ68" s="46">
        <f t="shared" ref="AZ68:AZ89" si="310">IF((BE68-AX68-AY68)&gt;0,(ROUNDUP(((BE68-AX68-AY68)/5),0)),0)</f>
        <v>3</v>
      </c>
      <c r="BA68" s="46">
        <f t="shared" ref="BA68:BA89" si="311">IF((BE68-AX68-AY68-AZ68)&gt;0,(ROUNDUP(((BE68-AX68-AY68-AZ68)/4),0)),0)</f>
        <v>3</v>
      </c>
      <c r="BB68" s="46">
        <f t="shared" ref="BB68:BB89" si="312">IF((BE68-AX68-AY68-AZ68-BA68)&gt;0,(ROUNDUP(((BE68-AX68-AY68-AZ68-BA68)/3),0)),0)</f>
        <v>2</v>
      </c>
      <c r="BC68" s="46">
        <f t="shared" ref="BC68:BC89" si="313">IF((BE68-AX68-AY68-AZ68-BA68-BB68)&gt;0,(ROUNDUP(((BE68-AX68-AY68-AZ68-BA68-BB68)/2),0)),0)</f>
        <v>2</v>
      </c>
      <c r="BD68" s="46">
        <f t="shared" ref="BD68:BD89" si="314">IF((BE68-AX68-AY68-AZ68-BA68-BB68-BC68)&gt;0,(ROUNDUP(((BE68-AX68-AY68-AZ68-BA68-BB68-BC68)/1),0)),0)</f>
        <v>2</v>
      </c>
      <c r="BE68" s="45">
        <f>ROUND((VLOOKUP(A68,'Cumulative pupils per year'!$A$3:$S$88,7,FALSE)),0)</f>
        <v>18</v>
      </c>
      <c r="BF68" s="274">
        <f t="shared" ref="BF68:BF89" si="315">ROUNDUP(BM68/7,0)</f>
        <v>3</v>
      </c>
      <c r="BG68" s="274">
        <f t="shared" ref="BG68:BG89" si="316">IF((BM68-BF68)&gt;0,(ROUNDUP(((BM68-BF68)/6),0)),0)</f>
        <v>3</v>
      </c>
      <c r="BH68" s="274">
        <f t="shared" ref="BH68:BH89" si="317">IF((BM68-BF68-BG68)&gt;0,(ROUNDUP(((BM68-BF68-BG68)/5),0)),0)</f>
        <v>3</v>
      </c>
      <c r="BI68" s="274">
        <f t="shared" ref="BI68:BI89" si="318">IF((BM68-BF68-BG68-BH68)&gt;0,(ROUNDUP(((BM68-BF68-BG68-BH68)/4),0)),0)</f>
        <v>3</v>
      </c>
      <c r="BJ68" s="274">
        <f t="shared" ref="BJ68:BJ89" si="319">IF((BM68-BF68-BG68-BH68-BI68)&gt;0,(ROUNDUP(((BM68-BF68-BG68-BH68-BI68)/3),0)),0)</f>
        <v>2</v>
      </c>
      <c r="BK68" s="274">
        <f t="shared" ref="BK68:BK89" si="320">IF((BM68-BF68-BG68-BH68-BI68-BJ68)&gt;0,(ROUNDUP(((BM68-BF68-BG68-BH68-BI68-BJ68)/2),0)),0)</f>
        <v>2</v>
      </c>
      <c r="BL68" s="274">
        <f t="shared" ref="BL68:BL89" si="321">IF((BM68-BF68-BG68-BH68-BI68-BJ68-BK68)&gt;0,(ROUNDUP(((BM68-BF68-BG68-BH68-BI68-BJ68-BK68)/1),0)),0)</f>
        <v>2</v>
      </c>
      <c r="BM68" s="43">
        <f>ROUND((VLOOKUP(A68,'Cumulative pupils per year'!$A$3:$S$88,8,FALSE)),0)</f>
        <v>18</v>
      </c>
      <c r="BN68" s="46">
        <f t="shared" ref="BN68:BN89" si="322">ROUNDUP(BU68/7,0)</f>
        <v>3</v>
      </c>
      <c r="BO68" s="46">
        <f t="shared" ref="BO68:BO89" si="323">IF((BU68-BN68)&gt;0,(ROUNDUP(((BU68-BN68)/6),0)),0)</f>
        <v>3</v>
      </c>
      <c r="BP68" s="46">
        <f t="shared" ref="BP68:BP89" si="324">IF((BU68-BN68-BO68)&gt;0,(ROUNDUP(((BU68-BN68-BO68)/5),0)),0)</f>
        <v>3</v>
      </c>
      <c r="BQ68" s="46">
        <f t="shared" ref="BQ68:BQ89" si="325">IF((BU68-BN68-BO68-BP68)&gt;0,(ROUNDUP(((BU68-BN68-BO68-BP68)/4),0)),0)</f>
        <v>3</v>
      </c>
      <c r="BR68" s="46">
        <f t="shared" ref="BR68:BR89" si="326">IF((BU68-BN68-BO68-BP68-BQ68)&gt;0,(ROUNDUP(((BU68-BN68-BO68-BP68-BQ68)/3),0)),0)</f>
        <v>2</v>
      </c>
      <c r="BS68" s="46">
        <f t="shared" ref="BS68:BS89" si="327">IF((BU68-BN68-BO68-BP68-BQ68-BR68)&gt;0,(ROUNDUP(((BU68-BN68-BO68-BP68-BQ68-BR68)/2),0)),0)</f>
        <v>2</v>
      </c>
      <c r="BT68" s="46">
        <f t="shared" ref="BT68:BT89" si="328">IF((BU68-BN68-BO68-BP68-BQ68-BR68-BS68)&gt;0,(ROUNDUP(((BU68-BN68-BO68-BP68-BQ68-BR68-BS68)/1),0)),0)</f>
        <v>2</v>
      </c>
      <c r="BU68" s="45">
        <f>ROUND((VLOOKUP(A68,'Cumulative pupils per year'!$A$3:$S$88,9,FALSE)),0)</f>
        <v>18</v>
      </c>
      <c r="BV68" s="274">
        <f t="shared" ref="BV68:BV89" si="329">ROUNDUP(CC68/7,0)</f>
        <v>3</v>
      </c>
      <c r="BW68" s="274">
        <f t="shared" ref="BW68:BW89" si="330">IF((CC68-BV68)&gt;0,(ROUNDUP(((CC68-BV68)/6),0)),0)</f>
        <v>3</v>
      </c>
      <c r="BX68" s="274">
        <f t="shared" ref="BX68:BX89" si="331">IF((CC68-BV68-BW68)&gt;0,(ROUNDUP(((CC68-BV68-BW68)/5),0)),0)</f>
        <v>3</v>
      </c>
      <c r="BY68" s="274">
        <f t="shared" ref="BY68:BY89" si="332">IF((CC68-BV68-BW68-BX68)&gt;0,(ROUNDUP(((CC68-BV68-BW68-BX68)/4),0)),0)</f>
        <v>3</v>
      </c>
      <c r="BZ68" s="274">
        <f t="shared" ref="BZ68:BZ89" si="333">IF((CC68-BV68-BW68-BX68-BY68)&gt;0,(ROUNDUP(((CC68-BV68-BW68-BX68-BY68)/3),0)),0)</f>
        <v>2</v>
      </c>
      <c r="CA68" s="274">
        <f t="shared" ref="CA68:CA89" si="334">IF((CC68-BV68-BW68-BX68-BY68-BZ68)&gt;0,(ROUNDUP(((CC68-BV68-BW68-BX68-BY68-BZ68)/2),0)),0)</f>
        <v>2</v>
      </c>
      <c r="CB68" s="274">
        <f t="shared" ref="CB68:CB89" si="335">IF((CC68-BV68-BW68-BX68-BY68-BZ68-CA68)&gt;0,(ROUNDUP(((CC68-BV68-BW68-BX68-BY68-BZ68-CA68)/1),0)),0)</f>
        <v>2</v>
      </c>
      <c r="CC68" s="43">
        <f>ROUND((VLOOKUP(A68,'Cumulative pupils per year'!$A$3:$S$88,10,FALSE)),0)</f>
        <v>18</v>
      </c>
      <c r="CD68" s="46">
        <f t="shared" ref="CD68:CD89" si="336">ROUNDUP(CK68/7,0)</f>
        <v>3</v>
      </c>
      <c r="CE68" s="46">
        <f t="shared" ref="CE68:CE89" si="337">IF((CK68-CD68)&gt;0,(ROUNDUP(((CK68-CD68)/6),0)),0)</f>
        <v>3</v>
      </c>
      <c r="CF68" s="46">
        <f t="shared" ref="CF68:CF89" si="338">IF((CK68-CD68-CE68)&gt;0,(ROUNDUP(((CK68-CD68-CE68)/5),0)),0)</f>
        <v>3</v>
      </c>
      <c r="CG68" s="46">
        <f t="shared" ref="CG68:CG89" si="339">IF((CK68-CD68-CE68-CF68)&gt;0,(ROUNDUP(((CK68-CD68-CE68-CF68)/4),0)),0)</f>
        <v>3</v>
      </c>
      <c r="CH68" s="46">
        <f t="shared" ref="CH68:CH89" si="340">IF((CK68-CD68-CE68-CF68-CG68)&gt;0,(ROUNDUP(((CK68-CD68-CE68-CF68-CG68)/3),0)),0)</f>
        <v>2</v>
      </c>
      <c r="CI68" s="46">
        <f t="shared" ref="CI68:CI89" si="341">IF((CK68-CD68-CE68-CF68-CG68-CH68)&gt;0,(ROUNDUP(((CK68-CD68-CE68-CF68-CG68-CH68)/2),0)),0)</f>
        <v>2</v>
      </c>
      <c r="CJ68" s="46">
        <f t="shared" ref="CJ68:CJ89" si="342">IF((CK68-CD68-CE68-CF68-CG68-CH68-CI68)&gt;0,(ROUNDUP(((CK68-CD68-CE68-CF68-CG68-CH68-CI68)/1),0)),0)</f>
        <v>2</v>
      </c>
      <c r="CK68" s="45">
        <f>ROUND((VLOOKUP(A68,'Cumulative pupils per year'!$A$3:$S$88,11,FALSE)),0)</f>
        <v>18</v>
      </c>
      <c r="CL68" s="274">
        <f t="shared" ref="CL68:CL89" si="343">ROUNDUP(CS68/7,0)</f>
        <v>3</v>
      </c>
      <c r="CM68" s="274">
        <f t="shared" ref="CM68:CM89" si="344">IF((CS68-CL68)&gt;0,(ROUNDUP(((CS68-CL68)/6),0)),0)</f>
        <v>3</v>
      </c>
      <c r="CN68" s="274">
        <f t="shared" ref="CN68:CN89" si="345">IF((CS68-CL68-CM68)&gt;0,(ROUNDUP(((CS68-CL68-CM68)/5),0)),0)</f>
        <v>3</v>
      </c>
      <c r="CO68" s="274">
        <f t="shared" ref="CO68:CO89" si="346">IF((CS68-CL68-CM68-CN68)&gt;0,(ROUNDUP(((CS68-CL68-CM68-CN68)/4),0)),0)</f>
        <v>3</v>
      </c>
      <c r="CP68" s="274">
        <f t="shared" ref="CP68:CP89" si="347">IF((CS68-CL68-CM68-CN68-CO68)&gt;0,(ROUNDUP(((CS68-CL68-CM68-CN68-CO68)/3),0)),0)</f>
        <v>2</v>
      </c>
      <c r="CQ68" s="274">
        <f t="shared" ref="CQ68:CQ89" si="348">IF((CS68-CL68-CM68-CN68-CO68-CP68)&gt;0,(ROUNDUP(((CS68-CL68-CM68-CN68-CO68-CP68)/2),0)),0)</f>
        <v>2</v>
      </c>
      <c r="CR68" s="274">
        <f t="shared" ref="CR68:CR89" si="349">IF((CS68-CL68-CM68-CN68-CO68-CP68-CQ68)&gt;0,(ROUNDUP(((CS68-CL68-CM68-CN68-CO68-CP68-CQ68)/1),0)),0)</f>
        <v>2</v>
      </c>
      <c r="CS68" s="291">
        <f>ROUND((VLOOKUP(A68,'Cumulative pupils per year'!$A$3:$S$88,12,FALSE)),0)</f>
        <v>18</v>
      </c>
      <c r="CT68" s="46">
        <f t="shared" ref="CT68:CT89" si="350">ROUNDUP(DA68/7,0)</f>
        <v>3</v>
      </c>
      <c r="CU68" s="46">
        <f t="shared" ref="CU68:CU89" si="351">IF((DA68-CT68)&gt;0,(ROUNDUP(((DA68-CT68)/6),0)),0)</f>
        <v>3</v>
      </c>
      <c r="CV68" s="46">
        <f t="shared" ref="CV68:CV89" si="352">IF((DA68-CT68-CU68)&gt;0,(ROUNDUP(((DA68-CT68-CU68)/5),0)),0)</f>
        <v>3</v>
      </c>
      <c r="CW68" s="46">
        <f t="shared" ref="CW68:CW89" si="353">IF((DA68-CT68-CU68-CV68)&gt;0,(ROUNDUP(((DA68-CT68-CU68-CV68)/4),0)),0)</f>
        <v>3</v>
      </c>
      <c r="CX68" s="46">
        <f t="shared" ref="CX68:CX89" si="354">IF((DA68-CT68-CU68-CV68-CW68)&gt;0,(ROUNDUP(((DA68-CT68-CU68-CV68-CW68)/3),0)),0)</f>
        <v>2</v>
      </c>
      <c r="CY68" s="46">
        <f t="shared" ref="CY68:CY89" si="355">IF((DA68-CT68-CU68-CV68-CW68-CX68)&gt;0,(ROUNDUP(((DA68-CT68-CU68-CV68-CW68-CX68)/2),0)),0)</f>
        <v>2</v>
      </c>
      <c r="CZ68" s="46">
        <f t="shared" ref="CZ68:CZ89" si="356">IF((DA68-CT68-CU68-CV68-CW68-CX68-CY68)&gt;0,(ROUNDUP(((DA68-CT68-CU68-CV68-CW68-CX68-CY68)/1),0)),0)</f>
        <v>2</v>
      </c>
      <c r="DA68" s="45">
        <f>ROUND((VLOOKUP(A68,'Cumulative pupils per year'!$A$3:$S$88,13,FALSE)),0)</f>
        <v>18</v>
      </c>
      <c r="DB68" s="274">
        <f t="shared" ref="DB68:DB89" si="357">ROUNDUP(DI68/7,0)</f>
        <v>3</v>
      </c>
      <c r="DC68" s="274">
        <f t="shared" ref="DC68:DC89" si="358">IF((DI68-DB68)&gt;0,(ROUNDUP(((DI68-DB68)/6),0)),0)</f>
        <v>3</v>
      </c>
      <c r="DD68" s="274">
        <f t="shared" ref="DD68:DD89" si="359">IF((DI68-DB68-DC68)&gt;0,(ROUNDUP(((DI68-DB68-DC68)/5),0)),0)</f>
        <v>3</v>
      </c>
      <c r="DE68" s="274">
        <f t="shared" ref="DE68:DE89" si="360">IF((DI68-DB68-DC68-DD68)&gt;0,(ROUNDUP(((DI68-DB68-DC68-DD68)/4),0)),0)</f>
        <v>3</v>
      </c>
      <c r="DF68" s="274">
        <f t="shared" ref="DF68:DF89" si="361">IF((DI68-DB68-DC68-DD68-DE68)&gt;0,(ROUNDUP(((DI68-DB68-DC68-DD68-DE68)/3),0)),0)</f>
        <v>2</v>
      </c>
      <c r="DG68" s="274">
        <f t="shared" ref="DG68:DG89" si="362">IF((DI68-DB68-DC68-DD68-DE68-DF68)&gt;0,(ROUNDUP(((DI68-DB68-DC68-DD68-DE68-DF68)/2),0)),0)</f>
        <v>2</v>
      </c>
      <c r="DH68" s="274">
        <f t="shared" ref="DH68:DH89" si="363">IF((DI68-DB68-DC68-DD68-DE68-DF68-DG68)&gt;0,(ROUNDUP(((DI68-DB68-DC68-DD68-DE68-DF68-DG68)/1),0)),0)</f>
        <v>2</v>
      </c>
      <c r="DI68" s="291">
        <f>ROUND((VLOOKUP(A68,'Cumulative pupils per year'!$A$3:$S$88,14,FALSE)),0)</f>
        <v>18</v>
      </c>
      <c r="DJ68" s="46">
        <f t="shared" ref="DJ68:DJ89" si="364">ROUNDUP(DQ68/7,0)</f>
        <v>3</v>
      </c>
      <c r="DK68" s="46">
        <f t="shared" ref="DK68:DK89" si="365">IF((DQ68-DJ68)&gt;0,(ROUNDUP(((DQ68-DJ68)/6),0)),0)</f>
        <v>3</v>
      </c>
      <c r="DL68" s="46">
        <f t="shared" ref="DL68:DL89" si="366">IF((DQ68-DJ68-DK68)&gt;0,(ROUNDUP(((DQ68-DJ68-DK68)/5),0)),0)</f>
        <v>3</v>
      </c>
      <c r="DM68" s="46">
        <f t="shared" ref="DM68:DM89" si="367">IF((DQ68-DJ68-DK68-DL68)&gt;0,(ROUNDUP(((DQ68-DJ68-DK68-DL68)/4),0)),0)</f>
        <v>3</v>
      </c>
      <c r="DN68" s="46">
        <f t="shared" ref="DN68:DN89" si="368">IF((DQ68-DJ68-DK68-DL68-DM68)&gt;0,(ROUNDUP(((DQ68-DJ68-DK68-DL68-DM68)/3),0)),0)</f>
        <v>2</v>
      </c>
      <c r="DO68" s="46">
        <f t="shared" ref="DO68:DO89" si="369">IF((DQ68-DJ68-DK68-DL68-DM68-DN68)&gt;0,(ROUNDUP(((DQ68-DJ68-DK68-DL68-DM68-DN68)/2),0)),0)</f>
        <v>2</v>
      </c>
      <c r="DP68" s="46">
        <f t="shared" ref="DP68:DP89" si="370">IF((DQ68-DJ68-DK68-DL68-DM68-DN68-DO68)&gt;0,(ROUNDUP(((DQ68-DJ68-DK68-DL68-DM68-DN68-DO68)/1),0)),0)</f>
        <v>2</v>
      </c>
      <c r="DQ68" s="45">
        <f>ROUND((VLOOKUP(A68,'Cumulative pupils per year'!$A$3:$S$88,15,FALSE)),0)</f>
        <v>18</v>
      </c>
    </row>
    <row r="69" spans="1:121">
      <c r="A69" s="275" t="s">
        <v>65</v>
      </c>
      <c r="B69" s="276">
        <v>1</v>
      </c>
      <c r="C69" s="276">
        <v>1</v>
      </c>
      <c r="D69" s="276">
        <v>1</v>
      </c>
      <c r="E69" s="276">
        <v>0</v>
      </c>
      <c r="F69" s="276">
        <v>0</v>
      </c>
      <c r="G69" s="276">
        <v>0</v>
      </c>
      <c r="H69" s="276">
        <v>0</v>
      </c>
      <c r="I69" s="277">
        <v>3</v>
      </c>
      <c r="J69" s="44">
        <f t="shared" ref="J69:J81" si="371">ROUNDUP(Q69/7,0)</f>
        <v>2</v>
      </c>
      <c r="K69" s="44">
        <f t="shared" ref="K69:K81" si="372">IF((Q69-J69)&gt;0,(ROUNDUP(((Q69-J69)/6),0)),0)</f>
        <v>1</v>
      </c>
      <c r="L69" s="44">
        <f t="shared" ref="L69:L81" si="373">IF((Q69-J69-K69)&gt;0,(ROUNDUP(((Q69-J69-K69)/5),0)),0)</f>
        <v>1</v>
      </c>
      <c r="M69" s="44">
        <f t="shared" ref="M69:M81" si="374">IF((Q69-J69-K69-L69)&gt;0,(ROUNDUP(((Q69-J69-K69-L69)/4),0)),0)</f>
        <v>1</v>
      </c>
      <c r="N69" s="44">
        <f t="shared" ref="N69:N81" si="375">IF((Q69-J69-K69-L69-M69)&gt;0,(ROUNDUP(((Q69-J69-K69-L69-M69)/3),0)),0)</f>
        <v>1</v>
      </c>
      <c r="O69" s="44">
        <f t="shared" ref="O69:O81" si="376">IF((Q69-J69-K69-L69-M69-N69)&gt;0,(ROUNDUP(((Q69-J69-K69-L69-M69-N69)/2),0)),0)</f>
        <v>1</v>
      </c>
      <c r="P69" s="44">
        <f t="shared" ref="P69:P81" si="377">IF((Q69-J69-K69-L69-M69-N69-O69)&gt;0,(ROUNDUP(((Q69-J69-K69-L69-M69-N69-O69)/1),0)),0)</f>
        <v>1</v>
      </c>
      <c r="Q69" s="43">
        <f>ROUND((VLOOKUP(A69,'Cumulative pupils per year'!$A$3:$S$88,2,FALSE)),0)</f>
        <v>8</v>
      </c>
      <c r="R69" s="46">
        <f t="shared" ref="R69:R82" si="378">ROUNDUP(Y69/7,0)</f>
        <v>2</v>
      </c>
      <c r="S69" s="46">
        <f t="shared" ref="S69:S82" si="379">IF((Y69-R69)&gt;0,(ROUNDUP(((Y69-R69)/6),0)),0)</f>
        <v>2</v>
      </c>
      <c r="T69" s="46">
        <f t="shared" ref="T69:T82" si="380">IF((Y69-R69-S69)&gt;0,(ROUNDUP(((Y69-R69-S69)/5),0)),0)</f>
        <v>2</v>
      </c>
      <c r="U69" s="46">
        <f t="shared" ref="U69:U82" si="381">IF((Y69-R69-S69-T69)&gt;0,(ROUNDUP(((Y69-R69-S69-T69)/4),0)),0)</f>
        <v>2</v>
      </c>
      <c r="V69" s="46">
        <f t="shared" ref="V69:V82" si="382">IF((Y69-R69-S69-T69-U69)&gt;0,(ROUNDUP(((Y69-R69-S69-T69-U69)/3),0)),0)</f>
        <v>2</v>
      </c>
      <c r="W69" s="46">
        <f t="shared" ref="W69:W82" si="383">IF((Y69-R69-S69-T69-U69-V69)&gt;0,(ROUNDUP(((Y69-R69-S69-T69-U69-V69)/2),0)),0)</f>
        <v>2</v>
      </c>
      <c r="X69" s="46">
        <f t="shared" ref="X69:X82" si="384">IF((Y69-R69-S69-T69-U69-V69-W69)&gt;0,(ROUNDUP(((Y69-R69-S69-T69-U69-V69-W69)/1),0)),0)</f>
        <v>2</v>
      </c>
      <c r="Y69" s="45">
        <f>ROUND((VLOOKUP(A69,'Cumulative pupils per year'!$A$3:$S$88,3,FALSE)),0)</f>
        <v>14</v>
      </c>
      <c r="Z69" s="274">
        <f t="shared" ref="Z69:Z81" si="385">ROUNDUP(AG69/7,0)</f>
        <v>3</v>
      </c>
      <c r="AA69" s="274">
        <f t="shared" ref="AA69:AA81" si="386">IF((AG69-Z69)&gt;0,(ROUNDUP(((AG69-Z69)/6),0)),0)</f>
        <v>3</v>
      </c>
      <c r="AB69" s="274">
        <f t="shared" ref="AB69:AB81" si="387">IF((AG69-Z69-AA69)&gt;0,(ROUNDUP(((AG69-Z69-AA69)/5),0)),0)</f>
        <v>3</v>
      </c>
      <c r="AC69" s="274">
        <f t="shared" ref="AC69:AC81" si="388">IF((AG69-Z69-AA69-AB69)&gt;0,(ROUNDUP(((AG69-Z69-AA69-AB69)/4),0)),0)</f>
        <v>3</v>
      </c>
      <c r="AD69" s="274">
        <f t="shared" ref="AD69:AD81" si="389">IF((AG69-Z69-AA69-AB69-AC69)&gt;0,(ROUNDUP(((AG69-Z69-AA69-AB69-AC69)/3),0)),0)</f>
        <v>3</v>
      </c>
      <c r="AE69" s="274">
        <f t="shared" ref="AE69:AE81" si="390">IF((AG69-Z69-AA69-AB69-AC69-AD69)&gt;0,(ROUNDUP(((AG69-Z69-AA69-AB69-AC69-AD69)/2),0)),0)</f>
        <v>3</v>
      </c>
      <c r="AF69" s="274">
        <f t="shared" ref="AF69:AF81" si="391">IF((AG69-Z69-AA69-AB69-AC69-AD69-AE69)&gt;0,(ROUNDUP(((AG69-Z69-AA69-AB69-AC69-AD69-AE69)/1),0)),0)</f>
        <v>3</v>
      </c>
      <c r="AG69" s="43">
        <f>ROUND((VLOOKUP(A69,'Cumulative pupils per year'!$A$3:$S$88,4,FALSE)),0)</f>
        <v>21</v>
      </c>
      <c r="AH69" s="46">
        <f t="shared" ref="AH69:AH81" si="392">ROUNDUP(AO69/7,0)</f>
        <v>4</v>
      </c>
      <c r="AI69" s="46">
        <f t="shared" ref="AI69:AI81" si="393">IF((AO69-AH69)&gt;0,(ROUNDUP(((AO69-AH69)/6),0)),0)</f>
        <v>4</v>
      </c>
      <c r="AJ69" s="46">
        <f t="shared" ref="AJ69:AJ81" si="394">IF((AO69-AH69-AI69)&gt;0,(ROUNDUP(((AO69-AH69-AI69)/5),0)),0)</f>
        <v>4</v>
      </c>
      <c r="AK69" s="46">
        <f t="shared" ref="AK69:AK81" si="395">IF((AO69-AH69-AI69-AJ69)&gt;0,(ROUNDUP(((AO69-AH69-AI69-AJ69)/4),0)),0)</f>
        <v>4</v>
      </c>
      <c r="AL69" s="46">
        <f t="shared" ref="AL69:AL81" si="396">IF((AO69-AH69-AI69-AJ69-AK69)&gt;0,(ROUNDUP(((AO69-AH69-AI69-AJ69-AK69)/3),0)),0)</f>
        <v>3</v>
      </c>
      <c r="AM69" s="46">
        <f t="shared" ref="AM69:AM81" si="397">IF((AO69-AH69-AI69-AJ69-AK69-AL69)&gt;0,(ROUNDUP(((AO69-AH69-AI69-AJ69-AK69-AL69)/2),0)),0)</f>
        <v>3</v>
      </c>
      <c r="AN69" s="46">
        <f t="shared" ref="AN69:AN81" si="398">IF((AO69-AH69-AI69-AJ69-AK69-AL69-AM69)&gt;0,(ROUNDUP(((AO69-AH69-AI69-AJ69-AK69-AL69-AM69)/1),0)),0)</f>
        <v>3</v>
      </c>
      <c r="AO69" s="45">
        <f>ROUND((VLOOKUP(A69,'Cumulative pupils per year'!$A$3:$S$88,5,FALSE)),0)</f>
        <v>25</v>
      </c>
      <c r="AP69" s="274">
        <f t="shared" ref="AP69:AP81" si="399">ROUNDUP(AW69/7,0)</f>
        <v>5</v>
      </c>
      <c r="AQ69" s="274">
        <f t="shared" ref="AQ69:AQ81" si="400">IF((AW69-AP69)&gt;0,(ROUNDUP(((AW69-AP69)/6),0)),0)</f>
        <v>4</v>
      </c>
      <c r="AR69" s="274">
        <f t="shared" ref="AR69:AR81" si="401">IF((AW69-AP69-AQ69)&gt;0,(ROUNDUP(((AW69-AP69-AQ69)/5),0)),0)</f>
        <v>4</v>
      </c>
      <c r="AS69" s="274">
        <f t="shared" ref="AS69:AS81" si="402">IF((AW69-AP69-AQ69-AR69)&gt;0,(ROUNDUP(((AW69-AP69-AQ69-AR69)/4),0)),0)</f>
        <v>4</v>
      </c>
      <c r="AT69" s="274">
        <f t="shared" ref="AT69:AT81" si="403">IF((AW69-AP69-AQ69-AR69-AS69)&gt;0,(ROUNDUP(((AW69-AP69-AQ69-AR69-AS69)/3),0)),0)</f>
        <v>4</v>
      </c>
      <c r="AU69" s="274">
        <f t="shared" ref="AU69:AU81" si="404">IF((AW69-AP69-AQ69-AR69-AS69-AT69)&gt;0,(ROUNDUP(((AW69-AP69-AQ69-AR69-AS69-AT69)/2),0)),0)</f>
        <v>4</v>
      </c>
      <c r="AV69" s="274">
        <f t="shared" ref="AV69:AV81" si="405">IF((AW69-AP69-AQ69-AR69-AS69-AT69-AU69)&gt;0,(ROUNDUP(((AW69-AP69-AQ69-AR69-AS69-AT69-AU69)/1),0)),0)</f>
        <v>4</v>
      </c>
      <c r="AW69" s="43">
        <f>ROUND((VLOOKUP(A69,'Cumulative pupils per year'!$A$3:$S$88,6,FALSE)),0)</f>
        <v>29</v>
      </c>
      <c r="AX69" s="46">
        <f t="shared" ref="AX69:AX81" si="406">ROUNDUP(BE69/7,0)</f>
        <v>5</v>
      </c>
      <c r="AY69" s="46">
        <f t="shared" ref="AY69:AY81" si="407">IF((BE69-AX69)&gt;0,(ROUNDUP(((BE69-AX69)/6),0)),0)</f>
        <v>5</v>
      </c>
      <c r="AZ69" s="46">
        <f t="shared" ref="AZ69:AZ81" si="408">IF((BE69-AX69-AY69)&gt;0,(ROUNDUP(((BE69-AX69-AY69)/5),0)),0)</f>
        <v>5</v>
      </c>
      <c r="BA69" s="46">
        <f t="shared" ref="BA69:BA81" si="409">IF((BE69-AX69-AY69-AZ69)&gt;0,(ROUNDUP(((BE69-AX69-AY69-AZ69)/4),0)),0)</f>
        <v>5</v>
      </c>
      <c r="BB69" s="46">
        <f t="shared" ref="BB69:BB81" si="410">IF((BE69-AX69-AY69-AZ69-BA69)&gt;0,(ROUNDUP(((BE69-AX69-AY69-AZ69-BA69)/3),0)),0)</f>
        <v>5</v>
      </c>
      <c r="BC69" s="46">
        <f t="shared" ref="BC69:BC81" si="411">IF((BE69-AX69-AY69-AZ69-BA69-BB69)&gt;0,(ROUNDUP(((BE69-AX69-AY69-AZ69-BA69-BB69)/2),0)),0)</f>
        <v>5</v>
      </c>
      <c r="BD69" s="46">
        <f t="shared" ref="BD69:BD81" si="412">IF((BE69-AX69-AY69-AZ69-BA69-BB69-BC69)&gt;0,(ROUNDUP(((BE69-AX69-AY69-AZ69-BA69-BB69-BC69)/1),0)),0)</f>
        <v>5</v>
      </c>
      <c r="BE69" s="45">
        <f>ROUND((VLOOKUP(A69,'Cumulative pupils per year'!$A$3:$S$88,7,FALSE)),0)</f>
        <v>35</v>
      </c>
      <c r="BF69" s="274">
        <f t="shared" ref="BF69:BF81" si="413">ROUNDUP(BM69/7,0)</f>
        <v>6</v>
      </c>
      <c r="BG69" s="274">
        <f t="shared" ref="BG69:BG81" si="414">IF((BM69-BF69)&gt;0,(ROUNDUP(((BM69-BF69)/6),0)),0)</f>
        <v>6</v>
      </c>
      <c r="BH69" s="274">
        <f t="shared" ref="BH69:BH81" si="415">IF((BM69-BF69-BG69)&gt;0,(ROUNDUP(((BM69-BF69-BG69)/5),0)),0)</f>
        <v>6</v>
      </c>
      <c r="BI69" s="274">
        <f t="shared" ref="BI69:BI81" si="416">IF((BM69-BF69-BG69-BH69)&gt;0,(ROUNDUP(((BM69-BF69-BG69-BH69)/4),0)),0)</f>
        <v>6</v>
      </c>
      <c r="BJ69" s="274">
        <f t="shared" ref="BJ69:BJ81" si="417">IF((BM69-BF69-BG69-BH69-BI69)&gt;0,(ROUNDUP(((BM69-BF69-BG69-BH69-BI69)/3),0)),0)</f>
        <v>6</v>
      </c>
      <c r="BK69" s="274">
        <f t="shared" ref="BK69:BK81" si="418">IF((BM69-BF69-BG69-BH69-BI69-BJ69)&gt;0,(ROUNDUP(((BM69-BF69-BG69-BH69-BI69-BJ69)/2),0)),0)</f>
        <v>5</v>
      </c>
      <c r="BL69" s="274">
        <f t="shared" ref="BL69:BL81" si="419">IF((BM69-BF69-BG69-BH69-BI69-BJ69-BK69)&gt;0,(ROUNDUP(((BM69-BF69-BG69-BH69-BI69-BJ69-BK69)/1),0)),0)</f>
        <v>5</v>
      </c>
      <c r="BM69" s="43">
        <f>ROUND((VLOOKUP(A69,'Cumulative pupils per year'!$A$3:$S$88,8,FALSE)),0)</f>
        <v>40</v>
      </c>
      <c r="BN69" s="46">
        <f t="shared" ref="BN69:BN81" si="420">ROUNDUP(BU69/7,0)</f>
        <v>7</v>
      </c>
      <c r="BO69" s="46">
        <f t="shared" ref="BO69:BO81" si="421">IF((BU69-BN69)&gt;0,(ROUNDUP(((BU69-BN69)/6),0)),0)</f>
        <v>7</v>
      </c>
      <c r="BP69" s="46">
        <f t="shared" ref="BP69:BP81" si="422">IF((BU69-BN69-BO69)&gt;0,(ROUNDUP(((BU69-BN69-BO69)/5),0)),0)</f>
        <v>6</v>
      </c>
      <c r="BQ69" s="46">
        <f t="shared" ref="BQ69:BQ81" si="423">IF((BU69-BN69-BO69-BP69)&gt;0,(ROUNDUP(((BU69-BN69-BO69-BP69)/4),0)),0)</f>
        <v>6</v>
      </c>
      <c r="BR69" s="46">
        <f t="shared" ref="BR69:BR81" si="424">IF((BU69-BN69-BO69-BP69-BQ69)&gt;0,(ROUNDUP(((BU69-BN69-BO69-BP69-BQ69)/3),0)),0)</f>
        <v>6</v>
      </c>
      <c r="BS69" s="46">
        <f t="shared" ref="BS69:BS81" si="425">IF((BU69-BN69-BO69-BP69-BQ69-BR69)&gt;0,(ROUNDUP(((BU69-BN69-BO69-BP69-BQ69-BR69)/2),0)),0)</f>
        <v>6</v>
      </c>
      <c r="BT69" s="46">
        <f t="shared" ref="BT69:BT81" si="426">IF((BU69-BN69-BO69-BP69-BQ69-BR69-BS69)&gt;0,(ROUNDUP(((BU69-BN69-BO69-BP69-BQ69-BR69-BS69)/1),0)),0)</f>
        <v>6</v>
      </c>
      <c r="BU69" s="45">
        <f>ROUND((VLOOKUP(A69,'Cumulative pupils per year'!$A$3:$S$88,9,FALSE)),0)</f>
        <v>44</v>
      </c>
      <c r="BV69" s="274">
        <f t="shared" ref="BV69:BV81" si="427">ROUNDUP(CC69/7,0)</f>
        <v>7</v>
      </c>
      <c r="BW69" s="274">
        <f t="shared" ref="BW69:BW81" si="428">IF((CC69-BV69)&gt;0,(ROUNDUP(((CC69-BV69)/6),0)),0)</f>
        <v>7</v>
      </c>
      <c r="BX69" s="274">
        <f t="shared" ref="BX69:BX81" si="429">IF((CC69-BV69-BW69)&gt;0,(ROUNDUP(((CC69-BV69-BW69)/5),0)),0)</f>
        <v>7</v>
      </c>
      <c r="BY69" s="274">
        <f t="shared" ref="BY69:BY81" si="430">IF((CC69-BV69-BW69-BX69)&gt;0,(ROUNDUP(((CC69-BV69-BW69-BX69)/4),0)),0)</f>
        <v>7</v>
      </c>
      <c r="BZ69" s="274">
        <f t="shared" ref="BZ69:BZ81" si="431">IF((CC69-BV69-BW69-BX69-BY69)&gt;0,(ROUNDUP(((CC69-BV69-BW69-BX69-BY69)/3),0)),0)</f>
        <v>7</v>
      </c>
      <c r="CA69" s="274">
        <f t="shared" ref="CA69:CA81" si="432">IF((CC69-BV69-BW69-BX69-BY69-BZ69)&gt;0,(ROUNDUP(((CC69-BV69-BW69-BX69-BY69-BZ69)/2),0)),0)</f>
        <v>7</v>
      </c>
      <c r="CB69" s="274">
        <f t="shared" ref="CB69:CB81" si="433">IF((CC69-BV69-BW69-BX69-BY69-BZ69-CA69)&gt;0,(ROUNDUP(((CC69-BV69-BW69-BX69-BY69-BZ69-CA69)/1),0)),0)</f>
        <v>7</v>
      </c>
      <c r="CC69" s="43">
        <f>ROUND((VLOOKUP(A69,'Cumulative pupils per year'!$A$3:$S$88,10,FALSE)),0)</f>
        <v>49</v>
      </c>
      <c r="CD69" s="46">
        <f t="shared" ref="CD69:CD81" si="434">ROUNDUP(CK69/7,0)</f>
        <v>8</v>
      </c>
      <c r="CE69" s="46">
        <f t="shared" ref="CE69:CE81" si="435">IF((CK69-CD69)&gt;0,(ROUNDUP(((CK69-CD69)/6),0)),0)</f>
        <v>8</v>
      </c>
      <c r="CF69" s="46">
        <f t="shared" ref="CF69:CF81" si="436">IF((CK69-CD69-CE69)&gt;0,(ROUNDUP(((CK69-CD69-CE69)/5),0)),0)</f>
        <v>8</v>
      </c>
      <c r="CG69" s="46">
        <f t="shared" ref="CG69:CG81" si="437">IF((CK69-CD69-CE69-CF69)&gt;0,(ROUNDUP(((CK69-CD69-CE69-CF69)/4),0)),0)</f>
        <v>7</v>
      </c>
      <c r="CH69" s="46">
        <f t="shared" ref="CH69:CH81" si="438">IF((CK69-CD69-CE69-CF69-CG69)&gt;0,(ROUNDUP(((CK69-CD69-CE69-CF69-CG69)/3),0)),0)</f>
        <v>7</v>
      </c>
      <c r="CI69" s="46">
        <f t="shared" ref="CI69:CI81" si="439">IF((CK69-CD69-CE69-CF69-CG69-CH69)&gt;0,(ROUNDUP(((CK69-CD69-CE69-CF69-CG69-CH69)/2),0)),0)</f>
        <v>7</v>
      </c>
      <c r="CJ69" s="46">
        <f t="shared" ref="CJ69:CJ81" si="440">IF((CK69-CD69-CE69-CF69-CG69-CH69-CI69)&gt;0,(ROUNDUP(((CK69-CD69-CE69-CF69-CG69-CH69-CI69)/1),0)),0)</f>
        <v>7</v>
      </c>
      <c r="CK69" s="45">
        <f>ROUND((VLOOKUP(A69,'Cumulative pupils per year'!$A$3:$S$88,11,FALSE)),0)</f>
        <v>52</v>
      </c>
      <c r="CL69" s="274">
        <f t="shared" si="343"/>
        <v>8</v>
      </c>
      <c r="CM69" s="274">
        <f t="shared" si="344"/>
        <v>8</v>
      </c>
      <c r="CN69" s="274">
        <f t="shared" si="345"/>
        <v>8</v>
      </c>
      <c r="CO69" s="274">
        <f t="shared" si="346"/>
        <v>8</v>
      </c>
      <c r="CP69" s="274">
        <f t="shared" si="347"/>
        <v>7</v>
      </c>
      <c r="CQ69" s="274">
        <f t="shared" si="348"/>
        <v>7</v>
      </c>
      <c r="CR69" s="274">
        <f t="shared" si="349"/>
        <v>7</v>
      </c>
      <c r="CS69" s="291">
        <f>ROUND((VLOOKUP(A69,'Cumulative pupils per year'!$A$3:$S$88,12,FALSE)),0)</f>
        <v>53</v>
      </c>
      <c r="CT69" s="46">
        <f t="shared" si="350"/>
        <v>8</v>
      </c>
      <c r="CU69" s="46">
        <f t="shared" si="351"/>
        <v>8</v>
      </c>
      <c r="CV69" s="46">
        <f t="shared" si="352"/>
        <v>8</v>
      </c>
      <c r="CW69" s="46">
        <f t="shared" si="353"/>
        <v>8</v>
      </c>
      <c r="CX69" s="46">
        <f t="shared" si="354"/>
        <v>8</v>
      </c>
      <c r="CY69" s="46">
        <f t="shared" si="355"/>
        <v>7</v>
      </c>
      <c r="CZ69" s="46">
        <f t="shared" si="356"/>
        <v>7</v>
      </c>
      <c r="DA69" s="45">
        <f>ROUND((VLOOKUP(A69,'Cumulative pupils per year'!$A$3:$S$88,13,FALSE)),0)</f>
        <v>54</v>
      </c>
      <c r="DB69" s="274">
        <f t="shared" si="357"/>
        <v>8</v>
      </c>
      <c r="DC69" s="274">
        <f t="shared" si="358"/>
        <v>8</v>
      </c>
      <c r="DD69" s="274">
        <f t="shared" si="359"/>
        <v>8</v>
      </c>
      <c r="DE69" s="274">
        <f t="shared" si="360"/>
        <v>8</v>
      </c>
      <c r="DF69" s="274">
        <f t="shared" si="361"/>
        <v>8</v>
      </c>
      <c r="DG69" s="274">
        <f t="shared" si="362"/>
        <v>8</v>
      </c>
      <c r="DH69" s="274">
        <f t="shared" si="363"/>
        <v>7</v>
      </c>
      <c r="DI69" s="291">
        <f>ROUND((VLOOKUP(A69,'Cumulative pupils per year'!$A$3:$S$88,14,FALSE)),0)</f>
        <v>55</v>
      </c>
      <c r="DJ69" s="46">
        <f t="shared" si="364"/>
        <v>8</v>
      </c>
      <c r="DK69" s="46">
        <f t="shared" si="365"/>
        <v>8</v>
      </c>
      <c r="DL69" s="46">
        <f t="shared" si="366"/>
        <v>8</v>
      </c>
      <c r="DM69" s="46">
        <f t="shared" si="367"/>
        <v>8</v>
      </c>
      <c r="DN69" s="46">
        <f t="shared" si="368"/>
        <v>8</v>
      </c>
      <c r="DO69" s="46">
        <f t="shared" si="369"/>
        <v>8</v>
      </c>
      <c r="DP69" s="46">
        <f t="shared" si="370"/>
        <v>8</v>
      </c>
      <c r="DQ69" s="45">
        <f>ROUND((VLOOKUP(A69,'Cumulative pupils per year'!$A$3:$S$88,15,FALSE)),0)</f>
        <v>56</v>
      </c>
    </row>
    <row r="70" spans="1:121">
      <c r="A70" s="275" t="s">
        <v>85</v>
      </c>
      <c r="B70" s="276">
        <v>1</v>
      </c>
      <c r="C70" s="276">
        <v>1</v>
      </c>
      <c r="D70" s="276">
        <v>1</v>
      </c>
      <c r="E70" s="276">
        <v>1</v>
      </c>
      <c r="F70" s="276">
        <v>1</v>
      </c>
      <c r="G70" s="276">
        <v>0</v>
      </c>
      <c r="H70" s="276">
        <v>0</v>
      </c>
      <c r="I70" s="277">
        <v>5</v>
      </c>
      <c r="J70" s="44">
        <f t="shared" si="371"/>
        <v>1</v>
      </c>
      <c r="K70" s="44">
        <f t="shared" si="372"/>
        <v>1</v>
      </c>
      <c r="L70" s="44">
        <f t="shared" si="373"/>
        <v>1</v>
      </c>
      <c r="M70" s="44">
        <f t="shared" si="374"/>
        <v>1</v>
      </c>
      <c r="N70" s="44">
        <f t="shared" si="375"/>
        <v>0</v>
      </c>
      <c r="O70" s="44">
        <f t="shared" si="376"/>
        <v>0</v>
      </c>
      <c r="P70" s="44">
        <f t="shared" si="377"/>
        <v>0</v>
      </c>
      <c r="Q70" s="43">
        <f>ROUND((VLOOKUP(A70,'Cumulative pupils per year'!$A$3:$S$88,2,FALSE)),0)</f>
        <v>4</v>
      </c>
      <c r="R70" s="46">
        <f t="shared" si="378"/>
        <v>1</v>
      </c>
      <c r="S70" s="46">
        <f t="shared" si="379"/>
        <v>1</v>
      </c>
      <c r="T70" s="46">
        <f t="shared" si="380"/>
        <v>1</v>
      </c>
      <c r="U70" s="46">
        <f t="shared" si="381"/>
        <v>1</v>
      </c>
      <c r="V70" s="46">
        <f t="shared" si="382"/>
        <v>1</v>
      </c>
      <c r="W70" s="46">
        <f t="shared" si="383"/>
        <v>1</v>
      </c>
      <c r="X70" s="46">
        <f t="shared" si="384"/>
        <v>1</v>
      </c>
      <c r="Y70" s="45">
        <f>ROUND((VLOOKUP(A70,'Cumulative pupils per year'!$A$3:$S$88,3,FALSE)),0)</f>
        <v>7</v>
      </c>
      <c r="Z70" s="274">
        <f t="shared" si="385"/>
        <v>2</v>
      </c>
      <c r="AA70" s="274">
        <f t="shared" si="386"/>
        <v>2</v>
      </c>
      <c r="AB70" s="274">
        <f t="shared" si="387"/>
        <v>2</v>
      </c>
      <c r="AC70" s="274">
        <f t="shared" si="388"/>
        <v>2</v>
      </c>
      <c r="AD70" s="274">
        <f t="shared" si="389"/>
        <v>1</v>
      </c>
      <c r="AE70" s="274">
        <f t="shared" si="390"/>
        <v>1</v>
      </c>
      <c r="AF70" s="274">
        <f t="shared" si="391"/>
        <v>1</v>
      </c>
      <c r="AG70" s="43">
        <f>ROUND((VLOOKUP(A70,'Cumulative pupils per year'!$A$3:$S$88,4,FALSE)),0)</f>
        <v>11</v>
      </c>
      <c r="AH70" s="46">
        <f t="shared" si="392"/>
        <v>3</v>
      </c>
      <c r="AI70" s="46">
        <f t="shared" si="393"/>
        <v>3</v>
      </c>
      <c r="AJ70" s="46">
        <f t="shared" si="394"/>
        <v>2</v>
      </c>
      <c r="AK70" s="46">
        <f t="shared" si="395"/>
        <v>2</v>
      </c>
      <c r="AL70" s="46">
        <f t="shared" si="396"/>
        <v>2</v>
      </c>
      <c r="AM70" s="46">
        <f t="shared" si="397"/>
        <v>2</v>
      </c>
      <c r="AN70" s="46">
        <f t="shared" si="398"/>
        <v>2</v>
      </c>
      <c r="AO70" s="45">
        <f>ROUND((VLOOKUP(A70,'Cumulative pupils per year'!$A$3:$S$88,5,FALSE)),0)</f>
        <v>16</v>
      </c>
      <c r="AP70" s="274">
        <f t="shared" si="399"/>
        <v>3</v>
      </c>
      <c r="AQ70" s="274">
        <f t="shared" si="400"/>
        <v>3</v>
      </c>
      <c r="AR70" s="274">
        <f t="shared" si="401"/>
        <v>3</v>
      </c>
      <c r="AS70" s="274">
        <f t="shared" si="402"/>
        <v>3</v>
      </c>
      <c r="AT70" s="274">
        <f t="shared" si="403"/>
        <v>3</v>
      </c>
      <c r="AU70" s="274">
        <f t="shared" si="404"/>
        <v>3</v>
      </c>
      <c r="AV70" s="274">
        <f t="shared" si="405"/>
        <v>2</v>
      </c>
      <c r="AW70" s="43">
        <f>ROUND((VLOOKUP(A70,'Cumulative pupils per year'!$A$3:$S$88,6,FALSE)),0)</f>
        <v>20</v>
      </c>
      <c r="AX70" s="46">
        <f t="shared" si="406"/>
        <v>4</v>
      </c>
      <c r="AY70" s="46">
        <f t="shared" si="407"/>
        <v>4</v>
      </c>
      <c r="AZ70" s="46">
        <f t="shared" si="408"/>
        <v>4</v>
      </c>
      <c r="BA70" s="46">
        <f t="shared" si="409"/>
        <v>3</v>
      </c>
      <c r="BB70" s="46">
        <f t="shared" si="410"/>
        <v>3</v>
      </c>
      <c r="BC70" s="46">
        <f t="shared" si="411"/>
        <v>3</v>
      </c>
      <c r="BD70" s="46">
        <f t="shared" si="412"/>
        <v>3</v>
      </c>
      <c r="BE70" s="45">
        <f>ROUND((VLOOKUP(A70,'Cumulative pupils per year'!$A$3:$S$88,7,FALSE)),0)</f>
        <v>24</v>
      </c>
      <c r="BF70" s="274">
        <f t="shared" si="413"/>
        <v>4</v>
      </c>
      <c r="BG70" s="274">
        <f t="shared" si="414"/>
        <v>4</v>
      </c>
      <c r="BH70" s="274">
        <f t="shared" si="415"/>
        <v>4</v>
      </c>
      <c r="BI70" s="274">
        <f t="shared" si="416"/>
        <v>4</v>
      </c>
      <c r="BJ70" s="274">
        <f t="shared" si="417"/>
        <v>4</v>
      </c>
      <c r="BK70" s="274">
        <f t="shared" si="418"/>
        <v>4</v>
      </c>
      <c r="BL70" s="274">
        <f t="shared" si="419"/>
        <v>4</v>
      </c>
      <c r="BM70" s="43">
        <f>ROUND((VLOOKUP(A70,'Cumulative pupils per year'!$A$3:$S$88,8,FALSE)),0)</f>
        <v>28</v>
      </c>
      <c r="BN70" s="46">
        <f t="shared" si="420"/>
        <v>5</v>
      </c>
      <c r="BO70" s="46">
        <f t="shared" si="421"/>
        <v>5</v>
      </c>
      <c r="BP70" s="46">
        <f t="shared" si="422"/>
        <v>5</v>
      </c>
      <c r="BQ70" s="46">
        <f t="shared" si="423"/>
        <v>4</v>
      </c>
      <c r="BR70" s="46">
        <f t="shared" si="424"/>
        <v>4</v>
      </c>
      <c r="BS70" s="46">
        <f t="shared" si="425"/>
        <v>4</v>
      </c>
      <c r="BT70" s="46">
        <f t="shared" si="426"/>
        <v>4</v>
      </c>
      <c r="BU70" s="45">
        <f>ROUND((VLOOKUP(A70,'Cumulative pupils per year'!$A$3:$S$88,9,FALSE)),0)</f>
        <v>31</v>
      </c>
      <c r="BV70" s="274">
        <f t="shared" si="427"/>
        <v>5</v>
      </c>
      <c r="BW70" s="274">
        <f t="shared" si="428"/>
        <v>5</v>
      </c>
      <c r="BX70" s="274">
        <f t="shared" si="429"/>
        <v>5</v>
      </c>
      <c r="BY70" s="274">
        <f t="shared" si="430"/>
        <v>5</v>
      </c>
      <c r="BZ70" s="274">
        <f t="shared" si="431"/>
        <v>5</v>
      </c>
      <c r="CA70" s="274">
        <f t="shared" si="432"/>
        <v>4</v>
      </c>
      <c r="CB70" s="274">
        <f t="shared" si="433"/>
        <v>4</v>
      </c>
      <c r="CC70" s="43">
        <f>ROUND((VLOOKUP(A70,'Cumulative pupils per year'!$A$3:$S$88,10,FALSE)),0)</f>
        <v>33</v>
      </c>
      <c r="CD70" s="46">
        <f t="shared" si="434"/>
        <v>5</v>
      </c>
      <c r="CE70" s="46">
        <f t="shared" si="435"/>
        <v>5</v>
      </c>
      <c r="CF70" s="46">
        <f t="shared" si="436"/>
        <v>5</v>
      </c>
      <c r="CG70" s="46">
        <f t="shared" si="437"/>
        <v>5</v>
      </c>
      <c r="CH70" s="46">
        <f t="shared" si="438"/>
        <v>5</v>
      </c>
      <c r="CI70" s="46">
        <f t="shared" si="439"/>
        <v>5</v>
      </c>
      <c r="CJ70" s="46">
        <f t="shared" si="440"/>
        <v>4</v>
      </c>
      <c r="CK70" s="45">
        <f>ROUND((VLOOKUP(A70,'Cumulative pupils per year'!$A$3:$S$88,11,FALSE)),0)</f>
        <v>34</v>
      </c>
      <c r="CL70" s="274">
        <f t="shared" si="343"/>
        <v>5</v>
      </c>
      <c r="CM70" s="274">
        <f t="shared" si="344"/>
        <v>5</v>
      </c>
      <c r="CN70" s="274">
        <f t="shared" si="345"/>
        <v>5</v>
      </c>
      <c r="CO70" s="274">
        <f t="shared" si="346"/>
        <v>5</v>
      </c>
      <c r="CP70" s="274">
        <f t="shared" si="347"/>
        <v>5</v>
      </c>
      <c r="CQ70" s="274">
        <f t="shared" si="348"/>
        <v>5</v>
      </c>
      <c r="CR70" s="274">
        <f t="shared" si="349"/>
        <v>4</v>
      </c>
      <c r="CS70" s="291">
        <f>ROUND((VLOOKUP(A70,'Cumulative pupils per year'!$A$3:$S$88,12,FALSE)),0)</f>
        <v>34</v>
      </c>
      <c r="CT70" s="46">
        <f t="shared" si="350"/>
        <v>5</v>
      </c>
      <c r="CU70" s="46">
        <f t="shared" si="351"/>
        <v>5</v>
      </c>
      <c r="CV70" s="46">
        <f t="shared" si="352"/>
        <v>5</v>
      </c>
      <c r="CW70" s="46">
        <f t="shared" si="353"/>
        <v>5</v>
      </c>
      <c r="CX70" s="46">
        <f t="shared" si="354"/>
        <v>5</v>
      </c>
      <c r="CY70" s="46">
        <f t="shared" si="355"/>
        <v>5</v>
      </c>
      <c r="CZ70" s="46">
        <f t="shared" si="356"/>
        <v>4</v>
      </c>
      <c r="DA70" s="45">
        <f>ROUND((VLOOKUP(A70,'Cumulative pupils per year'!$A$3:$S$88,13,FALSE)),0)</f>
        <v>34</v>
      </c>
      <c r="DB70" s="274">
        <f t="shared" si="357"/>
        <v>5</v>
      </c>
      <c r="DC70" s="274">
        <f t="shared" si="358"/>
        <v>5</v>
      </c>
      <c r="DD70" s="274">
        <f t="shared" si="359"/>
        <v>5</v>
      </c>
      <c r="DE70" s="274">
        <f t="shared" si="360"/>
        <v>5</v>
      </c>
      <c r="DF70" s="274">
        <f t="shared" si="361"/>
        <v>5</v>
      </c>
      <c r="DG70" s="274">
        <f t="shared" si="362"/>
        <v>5</v>
      </c>
      <c r="DH70" s="274">
        <f t="shared" si="363"/>
        <v>4</v>
      </c>
      <c r="DI70" s="291">
        <f>ROUND((VLOOKUP(A70,'Cumulative pupils per year'!$A$3:$S$88,14,FALSE)),0)</f>
        <v>34</v>
      </c>
      <c r="DJ70" s="46">
        <f t="shared" si="364"/>
        <v>5</v>
      </c>
      <c r="DK70" s="46">
        <f t="shared" si="365"/>
        <v>5</v>
      </c>
      <c r="DL70" s="46">
        <f t="shared" si="366"/>
        <v>5</v>
      </c>
      <c r="DM70" s="46">
        <f t="shared" si="367"/>
        <v>5</v>
      </c>
      <c r="DN70" s="46">
        <f t="shared" si="368"/>
        <v>5</v>
      </c>
      <c r="DO70" s="46">
        <f t="shared" si="369"/>
        <v>5</v>
      </c>
      <c r="DP70" s="46">
        <f t="shared" si="370"/>
        <v>4</v>
      </c>
      <c r="DQ70" s="45">
        <f>ROUND((VLOOKUP(A70,'Cumulative pupils per year'!$A$3:$S$88,15,FALSE)),0)</f>
        <v>34</v>
      </c>
    </row>
    <row r="71" spans="1:121">
      <c r="A71" s="275" t="s">
        <v>86</v>
      </c>
      <c r="B71" s="276">
        <v>1</v>
      </c>
      <c r="C71" s="276">
        <v>1</v>
      </c>
      <c r="D71" s="276">
        <v>1</v>
      </c>
      <c r="E71" s="276">
        <v>0</v>
      </c>
      <c r="F71" s="276">
        <v>0</v>
      </c>
      <c r="G71" s="276">
        <v>0</v>
      </c>
      <c r="H71" s="276">
        <v>0</v>
      </c>
      <c r="I71" s="277">
        <v>3</v>
      </c>
      <c r="J71" s="44">
        <f t="shared" si="371"/>
        <v>1</v>
      </c>
      <c r="K71" s="44">
        <f t="shared" si="372"/>
        <v>1</v>
      </c>
      <c r="L71" s="44">
        <f t="shared" si="373"/>
        <v>1</v>
      </c>
      <c r="M71" s="44">
        <f t="shared" si="374"/>
        <v>0</v>
      </c>
      <c r="N71" s="44">
        <f t="shared" si="375"/>
        <v>0</v>
      </c>
      <c r="O71" s="44">
        <f t="shared" si="376"/>
        <v>0</v>
      </c>
      <c r="P71" s="44">
        <f t="shared" si="377"/>
        <v>0</v>
      </c>
      <c r="Q71" s="43">
        <f>ROUND((VLOOKUP(A71,'Cumulative pupils per year'!$A$3:$S$88,2,FALSE)),0)</f>
        <v>3</v>
      </c>
      <c r="R71" s="46">
        <f t="shared" si="378"/>
        <v>1</v>
      </c>
      <c r="S71" s="46">
        <f t="shared" si="379"/>
        <v>1</v>
      </c>
      <c r="T71" s="46">
        <f t="shared" si="380"/>
        <v>1</v>
      </c>
      <c r="U71" s="46">
        <f t="shared" si="381"/>
        <v>1</v>
      </c>
      <c r="V71" s="46">
        <f t="shared" si="382"/>
        <v>0</v>
      </c>
      <c r="W71" s="46">
        <f t="shared" si="383"/>
        <v>0</v>
      </c>
      <c r="X71" s="46">
        <f t="shared" si="384"/>
        <v>0</v>
      </c>
      <c r="Y71" s="45">
        <f>ROUND((VLOOKUP(A71,'Cumulative pupils per year'!$A$3:$S$88,3,FALSE)),0)</f>
        <v>4</v>
      </c>
      <c r="Z71" s="274">
        <f t="shared" si="385"/>
        <v>1</v>
      </c>
      <c r="AA71" s="274">
        <f t="shared" si="386"/>
        <v>1</v>
      </c>
      <c r="AB71" s="274">
        <f t="shared" si="387"/>
        <v>1</v>
      </c>
      <c r="AC71" s="274">
        <f t="shared" si="388"/>
        <v>1</v>
      </c>
      <c r="AD71" s="274">
        <f t="shared" si="389"/>
        <v>1</v>
      </c>
      <c r="AE71" s="274">
        <f t="shared" si="390"/>
        <v>1</v>
      </c>
      <c r="AF71" s="274">
        <f t="shared" si="391"/>
        <v>1</v>
      </c>
      <c r="AG71" s="43">
        <f>ROUND((VLOOKUP(A71,'Cumulative pupils per year'!$A$3:$S$88,4,FALSE)),0)</f>
        <v>7</v>
      </c>
      <c r="AH71" s="46">
        <f t="shared" si="392"/>
        <v>2</v>
      </c>
      <c r="AI71" s="46">
        <f t="shared" si="393"/>
        <v>2</v>
      </c>
      <c r="AJ71" s="46">
        <f t="shared" si="394"/>
        <v>2</v>
      </c>
      <c r="AK71" s="46">
        <f t="shared" si="395"/>
        <v>2</v>
      </c>
      <c r="AL71" s="46">
        <f t="shared" si="396"/>
        <v>1</v>
      </c>
      <c r="AM71" s="46">
        <f t="shared" si="397"/>
        <v>1</v>
      </c>
      <c r="AN71" s="46">
        <f t="shared" si="398"/>
        <v>1</v>
      </c>
      <c r="AO71" s="45">
        <f>ROUND((VLOOKUP(A71,'Cumulative pupils per year'!$A$3:$S$88,5,FALSE)),0)</f>
        <v>11</v>
      </c>
      <c r="AP71" s="274">
        <f t="shared" si="399"/>
        <v>2</v>
      </c>
      <c r="AQ71" s="274">
        <f t="shared" si="400"/>
        <v>2</v>
      </c>
      <c r="AR71" s="274">
        <f t="shared" si="401"/>
        <v>2</v>
      </c>
      <c r="AS71" s="274">
        <f t="shared" si="402"/>
        <v>2</v>
      </c>
      <c r="AT71" s="274">
        <f t="shared" si="403"/>
        <v>2</v>
      </c>
      <c r="AU71" s="274">
        <f t="shared" si="404"/>
        <v>2</v>
      </c>
      <c r="AV71" s="274">
        <f t="shared" si="405"/>
        <v>1</v>
      </c>
      <c r="AW71" s="43">
        <f>ROUND((VLOOKUP(A71,'Cumulative pupils per year'!$A$3:$S$88,6,FALSE)),0)</f>
        <v>13</v>
      </c>
      <c r="AX71" s="46">
        <f t="shared" si="406"/>
        <v>3</v>
      </c>
      <c r="AY71" s="46">
        <f t="shared" si="407"/>
        <v>3</v>
      </c>
      <c r="AZ71" s="46">
        <f t="shared" si="408"/>
        <v>3</v>
      </c>
      <c r="BA71" s="46">
        <f t="shared" si="409"/>
        <v>3</v>
      </c>
      <c r="BB71" s="46">
        <f t="shared" si="410"/>
        <v>3</v>
      </c>
      <c r="BC71" s="46">
        <f t="shared" si="411"/>
        <v>2</v>
      </c>
      <c r="BD71" s="46">
        <f t="shared" si="412"/>
        <v>2</v>
      </c>
      <c r="BE71" s="45">
        <f>ROUND((VLOOKUP(A71,'Cumulative pupils per year'!$A$3:$S$88,7,FALSE)),0)</f>
        <v>19</v>
      </c>
      <c r="BF71" s="274">
        <f t="shared" si="413"/>
        <v>4</v>
      </c>
      <c r="BG71" s="274">
        <f t="shared" si="414"/>
        <v>4</v>
      </c>
      <c r="BH71" s="274">
        <f t="shared" si="415"/>
        <v>4</v>
      </c>
      <c r="BI71" s="274">
        <f t="shared" si="416"/>
        <v>3</v>
      </c>
      <c r="BJ71" s="274">
        <f t="shared" si="417"/>
        <v>3</v>
      </c>
      <c r="BK71" s="274">
        <f t="shared" si="418"/>
        <v>3</v>
      </c>
      <c r="BL71" s="274">
        <f t="shared" si="419"/>
        <v>3</v>
      </c>
      <c r="BM71" s="43">
        <f>ROUND((VLOOKUP(A71,'Cumulative pupils per year'!$A$3:$S$88,8,FALSE)),0)</f>
        <v>24</v>
      </c>
      <c r="BN71" s="46">
        <f t="shared" si="420"/>
        <v>5</v>
      </c>
      <c r="BO71" s="46">
        <f t="shared" si="421"/>
        <v>4</v>
      </c>
      <c r="BP71" s="46">
        <f t="shared" si="422"/>
        <v>4</v>
      </c>
      <c r="BQ71" s="46">
        <f t="shared" si="423"/>
        <v>4</v>
      </c>
      <c r="BR71" s="46">
        <f t="shared" si="424"/>
        <v>4</v>
      </c>
      <c r="BS71" s="46">
        <f t="shared" si="425"/>
        <v>4</v>
      </c>
      <c r="BT71" s="46">
        <f t="shared" si="426"/>
        <v>4</v>
      </c>
      <c r="BU71" s="45">
        <f>ROUND((VLOOKUP(A71,'Cumulative pupils per year'!$A$3:$S$88,9,FALSE)),0)</f>
        <v>29</v>
      </c>
      <c r="BV71" s="274">
        <f t="shared" si="427"/>
        <v>5</v>
      </c>
      <c r="BW71" s="274">
        <f t="shared" si="428"/>
        <v>5</v>
      </c>
      <c r="BX71" s="274">
        <f t="shared" si="429"/>
        <v>5</v>
      </c>
      <c r="BY71" s="274">
        <f t="shared" si="430"/>
        <v>5</v>
      </c>
      <c r="BZ71" s="274">
        <f t="shared" si="431"/>
        <v>5</v>
      </c>
      <c r="CA71" s="274">
        <f t="shared" si="432"/>
        <v>5</v>
      </c>
      <c r="CB71" s="274">
        <f t="shared" si="433"/>
        <v>5</v>
      </c>
      <c r="CC71" s="43">
        <f>ROUND((VLOOKUP(A71,'Cumulative pupils per year'!$A$3:$S$88,10,FALSE)),0)</f>
        <v>35</v>
      </c>
      <c r="CD71" s="46">
        <f t="shared" si="434"/>
        <v>6</v>
      </c>
      <c r="CE71" s="46">
        <f t="shared" si="435"/>
        <v>6</v>
      </c>
      <c r="CF71" s="46">
        <f t="shared" si="436"/>
        <v>6</v>
      </c>
      <c r="CG71" s="46">
        <f t="shared" si="437"/>
        <v>6</v>
      </c>
      <c r="CH71" s="46">
        <f t="shared" si="438"/>
        <v>6</v>
      </c>
      <c r="CI71" s="46">
        <f t="shared" si="439"/>
        <v>5</v>
      </c>
      <c r="CJ71" s="46">
        <f t="shared" si="440"/>
        <v>5</v>
      </c>
      <c r="CK71" s="45">
        <f>ROUND((VLOOKUP(A71,'Cumulative pupils per year'!$A$3:$S$88,11,FALSE)),0)</f>
        <v>40</v>
      </c>
      <c r="CL71" s="274">
        <f t="shared" si="343"/>
        <v>7</v>
      </c>
      <c r="CM71" s="274">
        <f t="shared" si="344"/>
        <v>6</v>
      </c>
      <c r="CN71" s="274">
        <f t="shared" si="345"/>
        <v>6</v>
      </c>
      <c r="CO71" s="274">
        <f t="shared" si="346"/>
        <v>6</v>
      </c>
      <c r="CP71" s="274">
        <f t="shared" si="347"/>
        <v>6</v>
      </c>
      <c r="CQ71" s="274">
        <f t="shared" si="348"/>
        <v>6</v>
      </c>
      <c r="CR71" s="274">
        <f t="shared" si="349"/>
        <v>6</v>
      </c>
      <c r="CS71" s="291">
        <f>ROUND((VLOOKUP(A71,'Cumulative pupils per year'!$A$3:$S$88,12,FALSE)),0)</f>
        <v>43</v>
      </c>
      <c r="CT71" s="46">
        <f t="shared" si="350"/>
        <v>7</v>
      </c>
      <c r="CU71" s="46">
        <f t="shared" si="351"/>
        <v>7</v>
      </c>
      <c r="CV71" s="46">
        <f t="shared" si="352"/>
        <v>7</v>
      </c>
      <c r="CW71" s="46">
        <f t="shared" si="353"/>
        <v>7</v>
      </c>
      <c r="CX71" s="46">
        <f t="shared" si="354"/>
        <v>7</v>
      </c>
      <c r="CY71" s="46">
        <f t="shared" si="355"/>
        <v>6</v>
      </c>
      <c r="CZ71" s="46">
        <f t="shared" si="356"/>
        <v>6</v>
      </c>
      <c r="DA71" s="45">
        <f>ROUND((VLOOKUP(A71,'Cumulative pupils per year'!$A$3:$S$88,13,FALSE)),0)</f>
        <v>47</v>
      </c>
      <c r="DB71" s="274">
        <f t="shared" si="357"/>
        <v>8</v>
      </c>
      <c r="DC71" s="274">
        <f t="shared" si="358"/>
        <v>7</v>
      </c>
      <c r="DD71" s="274">
        <f t="shared" si="359"/>
        <v>7</v>
      </c>
      <c r="DE71" s="274">
        <f t="shared" si="360"/>
        <v>7</v>
      </c>
      <c r="DF71" s="274">
        <f t="shared" si="361"/>
        <v>7</v>
      </c>
      <c r="DG71" s="274">
        <f t="shared" si="362"/>
        <v>7</v>
      </c>
      <c r="DH71" s="274">
        <f t="shared" si="363"/>
        <v>7</v>
      </c>
      <c r="DI71" s="291">
        <f>ROUND((VLOOKUP(A71,'Cumulative pupils per year'!$A$3:$S$88,14,FALSE)),0)</f>
        <v>50</v>
      </c>
      <c r="DJ71" s="46">
        <f t="shared" si="364"/>
        <v>8</v>
      </c>
      <c r="DK71" s="46">
        <f t="shared" si="365"/>
        <v>8</v>
      </c>
      <c r="DL71" s="46">
        <f t="shared" si="366"/>
        <v>8</v>
      </c>
      <c r="DM71" s="46">
        <f t="shared" si="367"/>
        <v>8</v>
      </c>
      <c r="DN71" s="46">
        <f t="shared" si="368"/>
        <v>8</v>
      </c>
      <c r="DO71" s="46">
        <f t="shared" si="369"/>
        <v>7</v>
      </c>
      <c r="DP71" s="46">
        <f t="shared" si="370"/>
        <v>7</v>
      </c>
      <c r="DQ71" s="45">
        <f>ROUND((VLOOKUP(A71,'Cumulative pupils per year'!$A$3:$S$88,15,FALSE)),0)</f>
        <v>54</v>
      </c>
    </row>
    <row r="72" spans="1:121">
      <c r="A72" s="275" t="s">
        <v>87</v>
      </c>
      <c r="B72" s="276">
        <v>1</v>
      </c>
      <c r="C72" s="276">
        <v>1</v>
      </c>
      <c r="D72" s="276">
        <v>1</v>
      </c>
      <c r="E72" s="276">
        <v>0</v>
      </c>
      <c r="F72" s="276">
        <v>0</v>
      </c>
      <c r="G72" s="276">
        <v>0</v>
      </c>
      <c r="H72" s="276">
        <v>0</v>
      </c>
      <c r="I72" s="277">
        <v>3</v>
      </c>
      <c r="J72" s="44">
        <f t="shared" si="371"/>
        <v>2</v>
      </c>
      <c r="K72" s="44">
        <f t="shared" si="372"/>
        <v>2</v>
      </c>
      <c r="L72" s="44">
        <f t="shared" si="373"/>
        <v>1</v>
      </c>
      <c r="M72" s="44">
        <f t="shared" si="374"/>
        <v>1</v>
      </c>
      <c r="N72" s="44">
        <f t="shared" si="375"/>
        <v>1</v>
      </c>
      <c r="O72" s="44">
        <f t="shared" si="376"/>
        <v>1</v>
      </c>
      <c r="P72" s="44">
        <f t="shared" si="377"/>
        <v>1</v>
      </c>
      <c r="Q72" s="43">
        <f>ROUND((VLOOKUP(A72,'Cumulative pupils per year'!$A$3:$S$88,2,FALSE)),0)</f>
        <v>9</v>
      </c>
      <c r="R72" s="46">
        <f t="shared" si="378"/>
        <v>3</v>
      </c>
      <c r="S72" s="46">
        <f t="shared" si="379"/>
        <v>3</v>
      </c>
      <c r="T72" s="46">
        <f t="shared" si="380"/>
        <v>3</v>
      </c>
      <c r="U72" s="46">
        <f t="shared" si="381"/>
        <v>2</v>
      </c>
      <c r="V72" s="46">
        <f t="shared" si="382"/>
        <v>2</v>
      </c>
      <c r="W72" s="46">
        <f t="shared" si="383"/>
        <v>2</v>
      </c>
      <c r="X72" s="46">
        <f t="shared" si="384"/>
        <v>2</v>
      </c>
      <c r="Y72" s="45">
        <f>ROUND((VLOOKUP(A72,'Cumulative pupils per year'!$A$3:$S$88,3,FALSE)),0)</f>
        <v>17</v>
      </c>
      <c r="Z72" s="274">
        <f t="shared" si="385"/>
        <v>4</v>
      </c>
      <c r="AA72" s="274">
        <f t="shared" si="386"/>
        <v>4</v>
      </c>
      <c r="AB72" s="274">
        <f t="shared" si="387"/>
        <v>4</v>
      </c>
      <c r="AC72" s="274">
        <f t="shared" si="388"/>
        <v>3</v>
      </c>
      <c r="AD72" s="274">
        <f t="shared" si="389"/>
        <v>3</v>
      </c>
      <c r="AE72" s="274">
        <f t="shared" si="390"/>
        <v>3</v>
      </c>
      <c r="AF72" s="274">
        <f t="shared" si="391"/>
        <v>3</v>
      </c>
      <c r="AG72" s="43">
        <f>ROUND((VLOOKUP(A72,'Cumulative pupils per year'!$A$3:$S$88,4,FALSE)),0)</f>
        <v>24</v>
      </c>
      <c r="AH72" s="46">
        <f t="shared" si="392"/>
        <v>4</v>
      </c>
      <c r="AI72" s="46">
        <f t="shared" si="393"/>
        <v>4</v>
      </c>
      <c r="AJ72" s="46">
        <f t="shared" si="394"/>
        <v>4</v>
      </c>
      <c r="AK72" s="46">
        <f t="shared" si="395"/>
        <v>4</v>
      </c>
      <c r="AL72" s="46">
        <f t="shared" si="396"/>
        <v>4</v>
      </c>
      <c r="AM72" s="46">
        <f t="shared" si="397"/>
        <v>4</v>
      </c>
      <c r="AN72" s="46">
        <f t="shared" si="398"/>
        <v>4</v>
      </c>
      <c r="AO72" s="45">
        <f>ROUND((VLOOKUP(A72,'Cumulative pupils per year'!$A$3:$S$88,5,FALSE)),0)</f>
        <v>28</v>
      </c>
      <c r="AP72" s="274">
        <f t="shared" si="399"/>
        <v>5</v>
      </c>
      <c r="AQ72" s="274">
        <f t="shared" si="400"/>
        <v>5</v>
      </c>
      <c r="AR72" s="274">
        <f t="shared" si="401"/>
        <v>5</v>
      </c>
      <c r="AS72" s="274">
        <f t="shared" si="402"/>
        <v>5</v>
      </c>
      <c r="AT72" s="274">
        <f t="shared" si="403"/>
        <v>5</v>
      </c>
      <c r="AU72" s="274">
        <f t="shared" si="404"/>
        <v>4</v>
      </c>
      <c r="AV72" s="274">
        <f t="shared" si="405"/>
        <v>4</v>
      </c>
      <c r="AW72" s="43">
        <f>ROUND((VLOOKUP(A72,'Cumulative pupils per year'!$A$3:$S$88,6,FALSE)),0)</f>
        <v>33</v>
      </c>
      <c r="AX72" s="46">
        <f t="shared" si="406"/>
        <v>6</v>
      </c>
      <c r="AY72" s="46">
        <f t="shared" si="407"/>
        <v>5</v>
      </c>
      <c r="AZ72" s="46">
        <f t="shared" si="408"/>
        <v>5</v>
      </c>
      <c r="BA72" s="46">
        <f t="shared" si="409"/>
        <v>5</v>
      </c>
      <c r="BB72" s="46">
        <f t="shared" si="410"/>
        <v>5</v>
      </c>
      <c r="BC72" s="46">
        <f t="shared" si="411"/>
        <v>5</v>
      </c>
      <c r="BD72" s="46">
        <f t="shared" si="412"/>
        <v>5</v>
      </c>
      <c r="BE72" s="45">
        <f>ROUND((VLOOKUP(A72,'Cumulative pupils per year'!$A$3:$S$88,7,FALSE)),0)</f>
        <v>36</v>
      </c>
      <c r="BF72" s="274">
        <f t="shared" si="413"/>
        <v>6</v>
      </c>
      <c r="BG72" s="274">
        <f t="shared" si="414"/>
        <v>6</v>
      </c>
      <c r="BH72" s="274">
        <f t="shared" si="415"/>
        <v>6</v>
      </c>
      <c r="BI72" s="274">
        <f t="shared" si="416"/>
        <v>5</v>
      </c>
      <c r="BJ72" s="274">
        <f t="shared" si="417"/>
        <v>5</v>
      </c>
      <c r="BK72" s="274">
        <f t="shared" si="418"/>
        <v>5</v>
      </c>
      <c r="BL72" s="274">
        <f t="shared" si="419"/>
        <v>5</v>
      </c>
      <c r="BM72" s="43">
        <f>ROUND((VLOOKUP(A72,'Cumulative pupils per year'!$A$3:$S$88,8,FALSE)),0)</f>
        <v>38</v>
      </c>
      <c r="BN72" s="46">
        <f t="shared" si="420"/>
        <v>6</v>
      </c>
      <c r="BO72" s="46">
        <f t="shared" si="421"/>
        <v>6</v>
      </c>
      <c r="BP72" s="46">
        <f t="shared" si="422"/>
        <v>6</v>
      </c>
      <c r="BQ72" s="46">
        <f t="shared" si="423"/>
        <v>6</v>
      </c>
      <c r="BR72" s="46">
        <f t="shared" si="424"/>
        <v>6</v>
      </c>
      <c r="BS72" s="46">
        <f t="shared" si="425"/>
        <v>6</v>
      </c>
      <c r="BT72" s="46">
        <f t="shared" si="426"/>
        <v>5</v>
      </c>
      <c r="BU72" s="45">
        <f>ROUND((VLOOKUP(A72,'Cumulative pupils per year'!$A$3:$S$88,9,FALSE)),0)</f>
        <v>41</v>
      </c>
      <c r="BV72" s="274">
        <f t="shared" si="427"/>
        <v>7</v>
      </c>
      <c r="BW72" s="274">
        <f t="shared" si="428"/>
        <v>7</v>
      </c>
      <c r="BX72" s="274">
        <f t="shared" si="429"/>
        <v>6</v>
      </c>
      <c r="BY72" s="274">
        <f t="shared" si="430"/>
        <v>6</v>
      </c>
      <c r="BZ72" s="274">
        <f t="shared" si="431"/>
        <v>6</v>
      </c>
      <c r="CA72" s="274">
        <f t="shared" si="432"/>
        <v>6</v>
      </c>
      <c r="CB72" s="274">
        <f t="shared" si="433"/>
        <v>6</v>
      </c>
      <c r="CC72" s="43">
        <f>ROUND((VLOOKUP(A72,'Cumulative pupils per year'!$A$3:$S$88,10,FALSE)),0)</f>
        <v>44</v>
      </c>
      <c r="CD72" s="46">
        <f t="shared" si="434"/>
        <v>7</v>
      </c>
      <c r="CE72" s="46">
        <f t="shared" si="435"/>
        <v>7</v>
      </c>
      <c r="CF72" s="46">
        <f t="shared" si="436"/>
        <v>7</v>
      </c>
      <c r="CG72" s="46">
        <f t="shared" si="437"/>
        <v>7</v>
      </c>
      <c r="CH72" s="46">
        <f t="shared" si="438"/>
        <v>6</v>
      </c>
      <c r="CI72" s="46">
        <f t="shared" si="439"/>
        <v>6</v>
      </c>
      <c r="CJ72" s="46">
        <f t="shared" si="440"/>
        <v>6</v>
      </c>
      <c r="CK72" s="45">
        <f>ROUND((VLOOKUP(A72,'Cumulative pupils per year'!$A$3:$S$88,11,FALSE)),0)</f>
        <v>46</v>
      </c>
      <c r="CL72" s="274">
        <f t="shared" si="343"/>
        <v>7</v>
      </c>
      <c r="CM72" s="274">
        <f t="shared" si="344"/>
        <v>7</v>
      </c>
      <c r="CN72" s="274">
        <f t="shared" si="345"/>
        <v>7</v>
      </c>
      <c r="CO72" s="274">
        <f t="shared" si="346"/>
        <v>7</v>
      </c>
      <c r="CP72" s="274">
        <f t="shared" si="347"/>
        <v>7</v>
      </c>
      <c r="CQ72" s="274">
        <f t="shared" si="348"/>
        <v>6</v>
      </c>
      <c r="CR72" s="274">
        <f t="shared" si="349"/>
        <v>6</v>
      </c>
      <c r="CS72" s="291">
        <f>ROUND((VLOOKUP(A72,'Cumulative pupils per year'!$A$3:$S$88,12,FALSE)),0)</f>
        <v>47</v>
      </c>
      <c r="CT72" s="46">
        <f t="shared" si="350"/>
        <v>7</v>
      </c>
      <c r="CU72" s="46">
        <f t="shared" si="351"/>
        <v>7</v>
      </c>
      <c r="CV72" s="46">
        <f t="shared" si="352"/>
        <v>7</v>
      </c>
      <c r="CW72" s="46">
        <f t="shared" si="353"/>
        <v>7</v>
      </c>
      <c r="CX72" s="46">
        <f t="shared" si="354"/>
        <v>7</v>
      </c>
      <c r="CY72" s="46">
        <f t="shared" si="355"/>
        <v>6</v>
      </c>
      <c r="CZ72" s="46">
        <f t="shared" si="356"/>
        <v>6</v>
      </c>
      <c r="DA72" s="45">
        <f>ROUND((VLOOKUP(A72,'Cumulative pupils per year'!$A$3:$S$88,13,FALSE)),0)</f>
        <v>47</v>
      </c>
      <c r="DB72" s="274">
        <f t="shared" si="357"/>
        <v>7</v>
      </c>
      <c r="DC72" s="274">
        <f t="shared" si="358"/>
        <v>7</v>
      </c>
      <c r="DD72" s="274">
        <f t="shared" si="359"/>
        <v>7</v>
      </c>
      <c r="DE72" s="274">
        <f t="shared" si="360"/>
        <v>7</v>
      </c>
      <c r="DF72" s="274">
        <f t="shared" si="361"/>
        <v>7</v>
      </c>
      <c r="DG72" s="274">
        <f t="shared" si="362"/>
        <v>7</v>
      </c>
      <c r="DH72" s="274">
        <f t="shared" si="363"/>
        <v>6</v>
      </c>
      <c r="DI72" s="291">
        <f>ROUND((VLOOKUP(A72,'Cumulative pupils per year'!$A$3:$S$88,14,FALSE)),0)</f>
        <v>48</v>
      </c>
      <c r="DJ72" s="46">
        <f t="shared" si="364"/>
        <v>7</v>
      </c>
      <c r="DK72" s="46">
        <f t="shared" si="365"/>
        <v>7</v>
      </c>
      <c r="DL72" s="46">
        <f t="shared" si="366"/>
        <v>7</v>
      </c>
      <c r="DM72" s="46">
        <f t="shared" si="367"/>
        <v>7</v>
      </c>
      <c r="DN72" s="46">
        <f t="shared" si="368"/>
        <v>7</v>
      </c>
      <c r="DO72" s="46">
        <f t="shared" si="369"/>
        <v>7</v>
      </c>
      <c r="DP72" s="46">
        <f t="shared" si="370"/>
        <v>6</v>
      </c>
      <c r="DQ72" s="45">
        <f>ROUND((VLOOKUP(A72,'Cumulative pupils per year'!$A$3:$S$88,15,FALSE)),0)</f>
        <v>48</v>
      </c>
    </row>
    <row r="73" spans="1:121">
      <c r="A73" s="275" t="s">
        <v>88</v>
      </c>
      <c r="B73" s="276">
        <v>1</v>
      </c>
      <c r="C73" s="276">
        <v>1</v>
      </c>
      <c r="D73" s="276">
        <v>1</v>
      </c>
      <c r="E73" s="276">
        <v>1</v>
      </c>
      <c r="F73" s="276">
        <v>1</v>
      </c>
      <c r="G73" s="276">
        <v>0</v>
      </c>
      <c r="H73" s="276">
        <v>0</v>
      </c>
      <c r="I73" s="277">
        <v>5</v>
      </c>
      <c r="J73" s="44">
        <f t="shared" si="371"/>
        <v>2</v>
      </c>
      <c r="K73" s="44">
        <f t="shared" si="372"/>
        <v>1</v>
      </c>
      <c r="L73" s="44">
        <f t="shared" si="373"/>
        <v>1</v>
      </c>
      <c r="M73" s="44">
        <f t="shared" si="374"/>
        <v>1</v>
      </c>
      <c r="N73" s="44">
        <f t="shared" si="375"/>
        <v>1</v>
      </c>
      <c r="O73" s="44">
        <f t="shared" si="376"/>
        <v>1</v>
      </c>
      <c r="P73" s="44">
        <f t="shared" si="377"/>
        <v>1</v>
      </c>
      <c r="Q73" s="43">
        <f>ROUND((VLOOKUP(A73,'Cumulative pupils per year'!$A$3:$S$88,2,FALSE)),0)</f>
        <v>8</v>
      </c>
      <c r="R73" s="46">
        <f t="shared" si="378"/>
        <v>3</v>
      </c>
      <c r="S73" s="46">
        <f t="shared" si="379"/>
        <v>3</v>
      </c>
      <c r="T73" s="46">
        <f t="shared" si="380"/>
        <v>2</v>
      </c>
      <c r="U73" s="46">
        <f t="shared" si="381"/>
        <v>2</v>
      </c>
      <c r="V73" s="46">
        <f t="shared" si="382"/>
        <v>2</v>
      </c>
      <c r="W73" s="46">
        <f t="shared" si="383"/>
        <v>2</v>
      </c>
      <c r="X73" s="46">
        <f t="shared" si="384"/>
        <v>2</v>
      </c>
      <c r="Y73" s="45">
        <f>ROUND((VLOOKUP(A73,'Cumulative pupils per year'!$A$3:$S$88,3,FALSE)),0)</f>
        <v>16</v>
      </c>
      <c r="Z73" s="274">
        <f t="shared" si="385"/>
        <v>4</v>
      </c>
      <c r="AA73" s="274">
        <f t="shared" si="386"/>
        <v>4</v>
      </c>
      <c r="AB73" s="274">
        <f t="shared" si="387"/>
        <v>4</v>
      </c>
      <c r="AC73" s="274">
        <f t="shared" si="388"/>
        <v>4</v>
      </c>
      <c r="AD73" s="274">
        <f t="shared" si="389"/>
        <v>4</v>
      </c>
      <c r="AE73" s="274">
        <f t="shared" si="390"/>
        <v>4</v>
      </c>
      <c r="AF73" s="274">
        <f t="shared" si="391"/>
        <v>4</v>
      </c>
      <c r="AG73" s="43">
        <f>ROUND((VLOOKUP(A73,'Cumulative pupils per year'!$A$3:$S$88,4,FALSE)),0)</f>
        <v>28</v>
      </c>
      <c r="AH73" s="46">
        <f t="shared" si="392"/>
        <v>6</v>
      </c>
      <c r="AI73" s="46">
        <f t="shared" si="393"/>
        <v>6</v>
      </c>
      <c r="AJ73" s="46">
        <f t="shared" si="394"/>
        <v>6</v>
      </c>
      <c r="AK73" s="46">
        <f t="shared" si="395"/>
        <v>6</v>
      </c>
      <c r="AL73" s="46">
        <f t="shared" si="396"/>
        <v>6</v>
      </c>
      <c r="AM73" s="46">
        <f t="shared" si="397"/>
        <v>6</v>
      </c>
      <c r="AN73" s="46">
        <f t="shared" si="398"/>
        <v>6</v>
      </c>
      <c r="AO73" s="45">
        <f>ROUND((VLOOKUP(A73,'Cumulative pupils per year'!$A$3:$S$88,5,FALSE)),0)</f>
        <v>42</v>
      </c>
      <c r="AP73" s="274">
        <f t="shared" si="399"/>
        <v>8</v>
      </c>
      <c r="AQ73" s="274">
        <f t="shared" si="400"/>
        <v>8</v>
      </c>
      <c r="AR73" s="274">
        <f t="shared" si="401"/>
        <v>8</v>
      </c>
      <c r="AS73" s="274">
        <f t="shared" si="402"/>
        <v>8</v>
      </c>
      <c r="AT73" s="274">
        <f t="shared" si="403"/>
        <v>7</v>
      </c>
      <c r="AU73" s="274">
        <f t="shared" si="404"/>
        <v>7</v>
      </c>
      <c r="AV73" s="274">
        <f t="shared" si="405"/>
        <v>7</v>
      </c>
      <c r="AW73" s="43">
        <f>ROUND((VLOOKUP(A73,'Cumulative pupils per year'!$A$3:$S$88,6,FALSE)),0)</f>
        <v>53</v>
      </c>
      <c r="AX73" s="46">
        <f t="shared" si="406"/>
        <v>9</v>
      </c>
      <c r="AY73" s="46">
        <f t="shared" si="407"/>
        <v>9</v>
      </c>
      <c r="AZ73" s="46">
        <f t="shared" si="408"/>
        <v>9</v>
      </c>
      <c r="BA73" s="46">
        <f t="shared" si="409"/>
        <v>9</v>
      </c>
      <c r="BB73" s="46">
        <f t="shared" si="410"/>
        <v>9</v>
      </c>
      <c r="BC73" s="46">
        <f t="shared" si="411"/>
        <v>9</v>
      </c>
      <c r="BD73" s="46">
        <f t="shared" si="412"/>
        <v>9</v>
      </c>
      <c r="BE73" s="45">
        <f>ROUND((VLOOKUP(A73,'Cumulative pupils per year'!$A$3:$S$88,7,FALSE)),0)</f>
        <v>63</v>
      </c>
      <c r="BF73" s="274">
        <f t="shared" si="413"/>
        <v>11</v>
      </c>
      <c r="BG73" s="274">
        <f t="shared" si="414"/>
        <v>11</v>
      </c>
      <c r="BH73" s="274">
        <f t="shared" si="415"/>
        <v>11</v>
      </c>
      <c r="BI73" s="274">
        <f t="shared" si="416"/>
        <v>10</v>
      </c>
      <c r="BJ73" s="274">
        <f t="shared" si="417"/>
        <v>10</v>
      </c>
      <c r="BK73" s="274">
        <f t="shared" si="418"/>
        <v>10</v>
      </c>
      <c r="BL73" s="274">
        <f t="shared" si="419"/>
        <v>10</v>
      </c>
      <c r="BM73" s="43">
        <f>ROUND((VLOOKUP(A73,'Cumulative pupils per year'!$A$3:$S$88,8,FALSE)),0)</f>
        <v>73</v>
      </c>
      <c r="BN73" s="46">
        <f t="shared" si="420"/>
        <v>12</v>
      </c>
      <c r="BO73" s="46">
        <f t="shared" si="421"/>
        <v>12</v>
      </c>
      <c r="BP73" s="46">
        <f t="shared" si="422"/>
        <v>12</v>
      </c>
      <c r="BQ73" s="46">
        <f t="shared" si="423"/>
        <v>12</v>
      </c>
      <c r="BR73" s="46">
        <f t="shared" si="424"/>
        <v>12</v>
      </c>
      <c r="BS73" s="46">
        <f t="shared" si="425"/>
        <v>12</v>
      </c>
      <c r="BT73" s="46">
        <f t="shared" si="426"/>
        <v>11</v>
      </c>
      <c r="BU73" s="45">
        <f>ROUND((VLOOKUP(A73,'Cumulative pupils per year'!$A$3:$S$88,9,FALSE)),0)</f>
        <v>83</v>
      </c>
      <c r="BV73" s="274">
        <f t="shared" si="427"/>
        <v>13</v>
      </c>
      <c r="BW73" s="274">
        <f t="shared" si="428"/>
        <v>13</v>
      </c>
      <c r="BX73" s="274">
        <f t="shared" si="429"/>
        <v>13</v>
      </c>
      <c r="BY73" s="274">
        <f t="shared" si="430"/>
        <v>13</v>
      </c>
      <c r="BZ73" s="274">
        <f t="shared" si="431"/>
        <v>13</v>
      </c>
      <c r="CA73" s="274">
        <f t="shared" si="432"/>
        <v>13</v>
      </c>
      <c r="CB73" s="274">
        <f t="shared" si="433"/>
        <v>12</v>
      </c>
      <c r="CC73" s="43">
        <f>ROUND((VLOOKUP(A73,'Cumulative pupils per year'!$A$3:$S$88,10,FALSE)),0)</f>
        <v>90</v>
      </c>
      <c r="CD73" s="46">
        <f t="shared" si="434"/>
        <v>13</v>
      </c>
      <c r="CE73" s="46">
        <f t="shared" si="435"/>
        <v>13</v>
      </c>
      <c r="CF73" s="46">
        <f t="shared" si="436"/>
        <v>13</v>
      </c>
      <c r="CG73" s="46">
        <f t="shared" si="437"/>
        <v>13</v>
      </c>
      <c r="CH73" s="46">
        <f t="shared" si="438"/>
        <v>13</v>
      </c>
      <c r="CI73" s="46">
        <f t="shared" si="439"/>
        <v>13</v>
      </c>
      <c r="CJ73" s="46">
        <f t="shared" si="440"/>
        <v>13</v>
      </c>
      <c r="CK73" s="45">
        <f>ROUND((VLOOKUP(A73,'Cumulative pupils per year'!$A$3:$S$88,11,FALSE)),0)</f>
        <v>91</v>
      </c>
      <c r="CL73" s="274">
        <f t="shared" si="343"/>
        <v>14</v>
      </c>
      <c r="CM73" s="274">
        <f t="shared" si="344"/>
        <v>13</v>
      </c>
      <c r="CN73" s="274">
        <f t="shared" si="345"/>
        <v>13</v>
      </c>
      <c r="CO73" s="274">
        <f t="shared" si="346"/>
        <v>13</v>
      </c>
      <c r="CP73" s="274">
        <f t="shared" si="347"/>
        <v>13</v>
      </c>
      <c r="CQ73" s="274">
        <f t="shared" si="348"/>
        <v>13</v>
      </c>
      <c r="CR73" s="274">
        <f t="shared" si="349"/>
        <v>13</v>
      </c>
      <c r="CS73" s="291">
        <f>ROUND((VLOOKUP(A73,'Cumulative pupils per year'!$A$3:$S$88,12,FALSE)),0)</f>
        <v>92</v>
      </c>
      <c r="CT73" s="46">
        <f t="shared" si="350"/>
        <v>14</v>
      </c>
      <c r="CU73" s="46">
        <f t="shared" si="351"/>
        <v>13</v>
      </c>
      <c r="CV73" s="46">
        <f t="shared" si="352"/>
        <v>13</v>
      </c>
      <c r="CW73" s="46">
        <f t="shared" si="353"/>
        <v>13</v>
      </c>
      <c r="CX73" s="46">
        <f t="shared" si="354"/>
        <v>13</v>
      </c>
      <c r="CY73" s="46">
        <f t="shared" si="355"/>
        <v>13</v>
      </c>
      <c r="CZ73" s="46">
        <f t="shared" si="356"/>
        <v>13</v>
      </c>
      <c r="DA73" s="45">
        <f>ROUND((VLOOKUP(A73,'Cumulative pupils per year'!$A$3:$S$88,13,FALSE)),0)</f>
        <v>92</v>
      </c>
      <c r="DB73" s="274">
        <f t="shared" si="357"/>
        <v>14</v>
      </c>
      <c r="DC73" s="274">
        <f t="shared" si="358"/>
        <v>13</v>
      </c>
      <c r="DD73" s="274">
        <f t="shared" si="359"/>
        <v>13</v>
      </c>
      <c r="DE73" s="274">
        <f t="shared" si="360"/>
        <v>13</v>
      </c>
      <c r="DF73" s="274">
        <f t="shared" si="361"/>
        <v>13</v>
      </c>
      <c r="DG73" s="274">
        <f t="shared" si="362"/>
        <v>13</v>
      </c>
      <c r="DH73" s="274">
        <f t="shared" si="363"/>
        <v>13</v>
      </c>
      <c r="DI73" s="291">
        <f>ROUND((VLOOKUP(A73,'Cumulative pupils per year'!$A$3:$S$88,14,FALSE)),0)</f>
        <v>92</v>
      </c>
      <c r="DJ73" s="46">
        <f t="shared" si="364"/>
        <v>14</v>
      </c>
      <c r="DK73" s="46">
        <f t="shared" si="365"/>
        <v>13</v>
      </c>
      <c r="DL73" s="46">
        <f t="shared" si="366"/>
        <v>13</v>
      </c>
      <c r="DM73" s="46">
        <f t="shared" si="367"/>
        <v>13</v>
      </c>
      <c r="DN73" s="46">
        <f t="shared" si="368"/>
        <v>13</v>
      </c>
      <c r="DO73" s="46">
        <f t="shared" si="369"/>
        <v>13</v>
      </c>
      <c r="DP73" s="46">
        <f t="shared" si="370"/>
        <v>13</v>
      </c>
      <c r="DQ73" s="45">
        <f>ROUND((VLOOKUP(A73,'Cumulative pupils per year'!$A$3:$S$88,15,FALSE)),0)</f>
        <v>92</v>
      </c>
    </row>
    <row r="74" spans="1:121">
      <c r="A74" s="275" t="s">
        <v>89</v>
      </c>
      <c r="B74" s="276">
        <v>1</v>
      </c>
      <c r="C74" s="276">
        <v>1</v>
      </c>
      <c r="D74" s="276">
        <v>1</v>
      </c>
      <c r="E74" s="276">
        <v>0</v>
      </c>
      <c r="F74" s="276">
        <v>0</v>
      </c>
      <c r="G74" s="276">
        <v>0</v>
      </c>
      <c r="H74" s="276">
        <v>0</v>
      </c>
      <c r="I74" s="277">
        <v>3</v>
      </c>
      <c r="J74" s="44">
        <f t="shared" si="371"/>
        <v>1</v>
      </c>
      <c r="K74" s="44">
        <f t="shared" si="372"/>
        <v>1</v>
      </c>
      <c r="L74" s="44">
        <f t="shared" si="373"/>
        <v>1</v>
      </c>
      <c r="M74" s="44">
        <f t="shared" si="374"/>
        <v>1</v>
      </c>
      <c r="N74" s="44">
        <f t="shared" si="375"/>
        <v>0</v>
      </c>
      <c r="O74" s="44">
        <f t="shared" si="376"/>
        <v>0</v>
      </c>
      <c r="P74" s="44">
        <f t="shared" si="377"/>
        <v>0</v>
      </c>
      <c r="Q74" s="43">
        <f>ROUND((VLOOKUP(A74,'Cumulative pupils per year'!$A$3:$S$88,2,FALSE)),0)</f>
        <v>4</v>
      </c>
      <c r="R74" s="46">
        <f t="shared" si="378"/>
        <v>1</v>
      </c>
      <c r="S74" s="46">
        <f t="shared" si="379"/>
        <v>1</v>
      </c>
      <c r="T74" s="46">
        <f t="shared" si="380"/>
        <v>1</v>
      </c>
      <c r="U74" s="46">
        <f t="shared" si="381"/>
        <v>1</v>
      </c>
      <c r="V74" s="46">
        <f t="shared" si="382"/>
        <v>1</v>
      </c>
      <c r="W74" s="46">
        <f t="shared" si="383"/>
        <v>1</v>
      </c>
      <c r="X74" s="46">
        <f t="shared" si="384"/>
        <v>0</v>
      </c>
      <c r="Y74" s="45">
        <f>ROUND((VLOOKUP(A74,'Cumulative pupils per year'!$A$3:$S$88,3,FALSE)),0)</f>
        <v>6</v>
      </c>
      <c r="Z74" s="274">
        <f t="shared" si="385"/>
        <v>2</v>
      </c>
      <c r="AA74" s="274">
        <f t="shared" si="386"/>
        <v>1</v>
      </c>
      <c r="AB74" s="274">
        <f t="shared" si="387"/>
        <v>1</v>
      </c>
      <c r="AC74" s="274">
        <f t="shared" si="388"/>
        <v>1</v>
      </c>
      <c r="AD74" s="274">
        <f t="shared" si="389"/>
        <v>1</v>
      </c>
      <c r="AE74" s="274">
        <f t="shared" si="390"/>
        <v>1</v>
      </c>
      <c r="AF74" s="274">
        <f t="shared" si="391"/>
        <v>1</v>
      </c>
      <c r="AG74" s="43">
        <f>ROUND((VLOOKUP(A74,'Cumulative pupils per year'!$A$3:$S$88,4,FALSE)),0)</f>
        <v>8</v>
      </c>
      <c r="AH74" s="46">
        <f t="shared" si="392"/>
        <v>2</v>
      </c>
      <c r="AI74" s="46">
        <f t="shared" si="393"/>
        <v>2</v>
      </c>
      <c r="AJ74" s="46">
        <f t="shared" si="394"/>
        <v>2</v>
      </c>
      <c r="AK74" s="46">
        <f t="shared" si="395"/>
        <v>1</v>
      </c>
      <c r="AL74" s="46">
        <f t="shared" si="396"/>
        <v>1</v>
      </c>
      <c r="AM74" s="46">
        <f t="shared" si="397"/>
        <v>1</v>
      </c>
      <c r="AN74" s="46">
        <f t="shared" si="398"/>
        <v>1</v>
      </c>
      <c r="AO74" s="45">
        <f>ROUND((VLOOKUP(A74,'Cumulative pupils per year'!$A$3:$S$88,5,FALSE)),0)</f>
        <v>10</v>
      </c>
      <c r="AP74" s="274">
        <f t="shared" si="399"/>
        <v>3</v>
      </c>
      <c r="AQ74" s="274">
        <f t="shared" si="400"/>
        <v>2</v>
      </c>
      <c r="AR74" s="274">
        <f t="shared" si="401"/>
        <v>2</v>
      </c>
      <c r="AS74" s="274">
        <f t="shared" si="402"/>
        <v>2</v>
      </c>
      <c r="AT74" s="274">
        <f t="shared" si="403"/>
        <v>2</v>
      </c>
      <c r="AU74" s="274">
        <f t="shared" si="404"/>
        <v>2</v>
      </c>
      <c r="AV74" s="274">
        <f t="shared" si="405"/>
        <v>2</v>
      </c>
      <c r="AW74" s="43">
        <f>ROUND((VLOOKUP(A74,'Cumulative pupils per year'!$A$3:$S$88,6,FALSE)),0)</f>
        <v>15</v>
      </c>
      <c r="AX74" s="46">
        <f t="shared" si="406"/>
        <v>3</v>
      </c>
      <c r="AY74" s="46">
        <f t="shared" si="407"/>
        <v>3</v>
      </c>
      <c r="AZ74" s="46">
        <f t="shared" si="408"/>
        <v>3</v>
      </c>
      <c r="BA74" s="46">
        <f t="shared" si="409"/>
        <v>3</v>
      </c>
      <c r="BB74" s="46">
        <f t="shared" si="410"/>
        <v>3</v>
      </c>
      <c r="BC74" s="46">
        <f t="shared" si="411"/>
        <v>3</v>
      </c>
      <c r="BD74" s="46">
        <f t="shared" si="412"/>
        <v>3</v>
      </c>
      <c r="BE74" s="45">
        <f>ROUND((VLOOKUP(A74,'Cumulative pupils per year'!$A$3:$S$88,7,FALSE)),0)</f>
        <v>21</v>
      </c>
      <c r="BF74" s="274">
        <f t="shared" si="413"/>
        <v>4</v>
      </c>
      <c r="BG74" s="274">
        <f t="shared" si="414"/>
        <v>4</v>
      </c>
      <c r="BH74" s="274">
        <f t="shared" si="415"/>
        <v>4</v>
      </c>
      <c r="BI74" s="274">
        <f t="shared" si="416"/>
        <v>4</v>
      </c>
      <c r="BJ74" s="274">
        <f t="shared" si="417"/>
        <v>4</v>
      </c>
      <c r="BK74" s="274">
        <f t="shared" si="418"/>
        <v>3</v>
      </c>
      <c r="BL74" s="274">
        <f t="shared" si="419"/>
        <v>3</v>
      </c>
      <c r="BM74" s="43">
        <f>ROUND((VLOOKUP(A74,'Cumulative pupils per year'!$A$3:$S$88,8,FALSE)),0)</f>
        <v>26</v>
      </c>
      <c r="BN74" s="46">
        <f t="shared" si="420"/>
        <v>5</v>
      </c>
      <c r="BO74" s="46">
        <f t="shared" si="421"/>
        <v>5</v>
      </c>
      <c r="BP74" s="46">
        <f t="shared" si="422"/>
        <v>5</v>
      </c>
      <c r="BQ74" s="46">
        <f t="shared" si="423"/>
        <v>5</v>
      </c>
      <c r="BR74" s="46">
        <f t="shared" si="424"/>
        <v>5</v>
      </c>
      <c r="BS74" s="46">
        <f t="shared" si="425"/>
        <v>4</v>
      </c>
      <c r="BT74" s="46">
        <f t="shared" si="426"/>
        <v>4</v>
      </c>
      <c r="BU74" s="45">
        <f>ROUND((VLOOKUP(A74,'Cumulative pupils per year'!$A$3:$S$88,9,FALSE)),0)</f>
        <v>33</v>
      </c>
      <c r="BV74" s="274">
        <f t="shared" si="427"/>
        <v>6</v>
      </c>
      <c r="BW74" s="274">
        <f t="shared" si="428"/>
        <v>6</v>
      </c>
      <c r="BX74" s="274">
        <f t="shared" si="429"/>
        <v>6</v>
      </c>
      <c r="BY74" s="274">
        <f t="shared" si="430"/>
        <v>5</v>
      </c>
      <c r="BZ74" s="274">
        <f t="shared" si="431"/>
        <v>5</v>
      </c>
      <c r="CA74" s="274">
        <f t="shared" si="432"/>
        <v>5</v>
      </c>
      <c r="CB74" s="274">
        <f t="shared" si="433"/>
        <v>5</v>
      </c>
      <c r="CC74" s="43">
        <f>ROUND((VLOOKUP(A74,'Cumulative pupils per year'!$A$3:$S$88,10,FALSE)),0)</f>
        <v>38</v>
      </c>
      <c r="CD74" s="46">
        <f t="shared" si="434"/>
        <v>7</v>
      </c>
      <c r="CE74" s="46">
        <f t="shared" si="435"/>
        <v>6</v>
      </c>
      <c r="CF74" s="46">
        <f t="shared" si="436"/>
        <v>6</v>
      </c>
      <c r="CG74" s="46">
        <f t="shared" si="437"/>
        <v>6</v>
      </c>
      <c r="CH74" s="46">
        <f t="shared" si="438"/>
        <v>6</v>
      </c>
      <c r="CI74" s="46">
        <f t="shared" si="439"/>
        <v>6</v>
      </c>
      <c r="CJ74" s="46">
        <f t="shared" si="440"/>
        <v>6</v>
      </c>
      <c r="CK74" s="45">
        <f>ROUND((VLOOKUP(A74,'Cumulative pupils per year'!$A$3:$S$88,11,FALSE)),0)</f>
        <v>43</v>
      </c>
      <c r="CL74" s="274">
        <f t="shared" si="343"/>
        <v>7</v>
      </c>
      <c r="CM74" s="274">
        <f t="shared" si="344"/>
        <v>7</v>
      </c>
      <c r="CN74" s="274">
        <f t="shared" si="345"/>
        <v>7</v>
      </c>
      <c r="CO74" s="274">
        <f t="shared" si="346"/>
        <v>7</v>
      </c>
      <c r="CP74" s="274">
        <f t="shared" si="347"/>
        <v>6</v>
      </c>
      <c r="CQ74" s="274">
        <f t="shared" si="348"/>
        <v>6</v>
      </c>
      <c r="CR74" s="274">
        <f t="shared" si="349"/>
        <v>6</v>
      </c>
      <c r="CS74" s="291">
        <f>ROUND((VLOOKUP(A74,'Cumulative pupils per year'!$A$3:$S$88,12,FALSE)),0)</f>
        <v>46</v>
      </c>
      <c r="CT74" s="46">
        <f t="shared" si="350"/>
        <v>8</v>
      </c>
      <c r="CU74" s="46">
        <f t="shared" si="351"/>
        <v>7</v>
      </c>
      <c r="CV74" s="46">
        <f t="shared" si="352"/>
        <v>7</v>
      </c>
      <c r="CW74" s="46">
        <f t="shared" si="353"/>
        <v>7</v>
      </c>
      <c r="CX74" s="46">
        <f t="shared" si="354"/>
        <v>7</v>
      </c>
      <c r="CY74" s="46">
        <f t="shared" si="355"/>
        <v>7</v>
      </c>
      <c r="CZ74" s="46">
        <f t="shared" si="356"/>
        <v>7</v>
      </c>
      <c r="DA74" s="45">
        <f>ROUND((VLOOKUP(A74,'Cumulative pupils per year'!$A$3:$S$88,13,FALSE)),0)</f>
        <v>50</v>
      </c>
      <c r="DB74" s="274">
        <f t="shared" si="357"/>
        <v>8</v>
      </c>
      <c r="DC74" s="274">
        <f t="shared" si="358"/>
        <v>8</v>
      </c>
      <c r="DD74" s="274">
        <f t="shared" si="359"/>
        <v>8</v>
      </c>
      <c r="DE74" s="274">
        <f t="shared" si="360"/>
        <v>8</v>
      </c>
      <c r="DF74" s="274">
        <f t="shared" si="361"/>
        <v>7</v>
      </c>
      <c r="DG74" s="274">
        <f t="shared" si="362"/>
        <v>7</v>
      </c>
      <c r="DH74" s="274">
        <f t="shared" si="363"/>
        <v>7</v>
      </c>
      <c r="DI74" s="291">
        <f>ROUND((VLOOKUP(A74,'Cumulative pupils per year'!$A$3:$S$88,14,FALSE)),0)</f>
        <v>53</v>
      </c>
      <c r="DJ74" s="46">
        <f t="shared" si="364"/>
        <v>9</v>
      </c>
      <c r="DK74" s="46">
        <f t="shared" si="365"/>
        <v>8</v>
      </c>
      <c r="DL74" s="46">
        <f t="shared" si="366"/>
        <v>8</v>
      </c>
      <c r="DM74" s="46">
        <f t="shared" si="367"/>
        <v>8</v>
      </c>
      <c r="DN74" s="46">
        <f t="shared" si="368"/>
        <v>8</v>
      </c>
      <c r="DO74" s="46">
        <f t="shared" si="369"/>
        <v>8</v>
      </c>
      <c r="DP74" s="46">
        <f t="shared" si="370"/>
        <v>8</v>
      </c>
      <c r="DQ74" s="45">
        <f>ROUND((VLOOKUP(A74,'Cumulative pupils per year'!$A$3:$S$88,15,FALSE)),0)</f>
        <v>57</v>
      </c>
    </row>
    <row r="75" spans="1:121">
      <c r="A75" s="275" t="s">
        <v>90</v>
      </c>
      <c r="B75" s="276">
        <v>1</v>
      </c>
      <c r="C75" s="276">
        <v>1</v>
      </c>
      <c r="D75" s="276">
        <v>1</v>
      </c>
      <c r="E75" s="276">
        <v>1</v>
      </c>
      <c r="F75" s="276">
        <v>0</v>
      </c>
      <c r="G75" s="276">
        <v>0</v>
      </c>
      <c r="H75" s="276">
        <v>0</v>
      </c>
      <c r="I75" s="277">
        <v>4</v>
      </c>
      <c r="J75" s="44">
        <f t="shared" si="371"/>
        <v>1</v>
      </c>
      <c r="K75" s="44">
        <f t="shared" si="372"/>
        <v>1</v>
      </c>
      <c r="L75" s="44">
        <f t="shared" si="373"/>
        <v>1</v>
      </c>
      <c r="M75" s="44">
        <f t="shared" si="374"/>
        <v>1</v>
      </c>
      <c r="N75" s="44">
        <f t="shared" si="375"/>
        <v>1</v>
      </c>
      <c r="O75" s="44">
        <f t="shared" si="376"/>
        <v>1</v>
      </c>
      <c r="P75" s="44">
        <f t="shared" si="377"/>
        <v>0</v>
      </c>
      <c r="Q75" s="43">
        <f>ROUND((VLOOKUP(A75,'Cumulative pupils per year'!$A$3:$S$88,2,FALSE)),0)</f>
        <v>6</v>
      </c>
      <c r="R75" s="46">
        <f t="shared" si="378"/>
        <v>2</v>
      </c>
      <c r="S75" s="46">
        <f t="shared" si="379"/>
        <v>2</v>
      </c>
      <c r="T75" s="46">
        <f t="shared" si="380"/>
        <v>2</v>
      </c>
      <c r="U75" s="46">
        <f t="shared" si="381"/>
        <v>2</v>
      </c>
      <c r="V75" s="46">
        <f t="shared" si="382"/>
        <v>2</v>
      </c>
      <c r="W75" s="46">
        <f t="shared" si="383"/>
        <v>1</v>
      </c>
      <c r="X75" s="46">
        <f t="shared" si="384"/>
        <v>1</v>
      </c>
      <c r="Y75" s="45">
        <f>ROUND((VLOOKUP(A75,'Cumulative pupils per year'!$A$3:$S$88,3,FALSE)),0)</f>
        <v>12</v>
      </c>
      <c r="Z75" s="274">
        <f t="shared" si="385"/>
        <v>2</v>
      </c>
      <c r="AA75" s="274">
        <f t="shared" si="386"/>
        <v>2</v>
      </c>
      <c r="AB75" s="274">
        <f t="shared" si="387"/>
        <v>2</v>
      </c>
      <c r="AC75" s="274">
        <f t="shared" si="388"/>
        <v>2</v>
      </c>
      <c r="AD75" s="274">
        <f t="shared" si="389"/>
        <v>2</v>
      </c>
      <c r="AE75" s="274">
        <f t="shared" si="390"/>
        <v>2</v>
      </c>
      <c r="AF75" s="274">
        <f t="shared" si="391"/>
        <v>1</v>
      </c>
      <c r="AG75" s="43">
        <f>ROUND((VLOOKUP(A75,'Cumulative pupils per year'!$A$3:$S$88,4,FALSE)),0)</f>
        <v>13</v>
      </c>
      <c r="AH75" s="46">
        <f t="shared" si="392"/>
        <v>2</v>
      </c>
      <c r="AI75" s="46">
        <f t="shared" si="393"/>
        <v>2</v>
      </c>
      <c r="AJ75" s="46">
        <f t="shared" si="394"/>
        <v>2</v>
      </c>
      <c r="AK75" s="46">
        <f t="shared" si="395"/>
        <v>2</v>
      </c>
      <c r="AL75" s="46">
        <f t="shared" si="396"/>
        <v>2</v>
      </c>
      <c r="AM75" s="46">
        <f t="shared" si="397"/>
        <v>2</v>
      </c>
      <c r="AN75" s="46">
        <f t="shared" si="398"/>
        <v>1</v>
      </c>
      <c r="AO75" s="45">
        <f>ROUND((VLOOKUP(A75,'Cumulative pupils per year'!$A$3:$S$88,5,FALSE)),0)</f>
        <v>13</v>
      </c>
      <c r="AP75" s="274">
        <f t="shared" si="399"/>
        <v>2</v>
      </c>
      <c r="AQ75" s="274">
        <f t="shared" si="400"/>
        <v>2</v>
      </c>
      <c r="AR75" s="274">
        <f t="shared" si="401"/>
        <v>2</v>
      </c>
      <c r="AS75" s="274">
        <f t="shared" si="402"/>
        <v>2</v>
      </c>
      <c r="AT75" s="274">
        <f t="shared" si="403"/>
        <v>2</v>
      </c>
      <c r="AU75" s="274">
        <f t="shared" si="404"/>
        <v>2</v>
      </c>
      <c r="AV75" s="274">
        <f t="shared" si="405"/>
        <v>1</v>
      </c>
      <c r="AW75" s="43">
        <f>ROUND((VLOOKUP(A75,'Cumulative pupils per year'!$A$3:$S$88,6,FALSE)),0)</f>
        <v>13</v>
      </c>
      <c r="AX75" s="46">
        <f t="shared" si="406"/>
        <v>2</v>
      </c>
      <c r="AY75" s="46">
        <f t="shared" si="407"/>
        <v>2</v>
      </c>
      <c r="AZ75" s="46">
        <f t="shared" si="408"/>
        <v>2</v>
      </c>
      <c r="BA75" s="46">
        <f t="shared" si="409"/>
        <v>2</v>
      </c>
      <c r="BB75" s="46">
        <f t="shared" si="410"/>
        <v>2</v>
      </c>
      <c r="BC75" s="46">
        <f t="shared" si="411"/>
        <v>2</v>
      </c>
      <c r="BD75" s="46">
        <f t="shared" si="412"/>
        <v>2</v>
      </c>
      <c r="BE75" s="45">
        <f>ROUND((VLOOKUP(A75,'Cumulative pupils per year'!$A$3:$S$88,7,FALSE)),0)</f>
        <v>14</v>
      </c>
      <c r="BF75" s="274">
        <f t="shared" si="413"/>
        <v>3</v>
      </c>
      <c r="BG75" s="274">
        <f t="shared" si="414"/>
        <v>2</v>
      </c>
      <c r="BH75" s="274">
        <f t="shared" si="415"/>
        <v>2</v>
      </c>
      <c r="BI75" s="274">
        <f t="shared" si="416"/>
        <v>2</v>
      </c>
      <c r="BJ75" s="274">
        <f t="shared" si="417"/>
        <v>2</v>
      </c>
      <c r="BK75" s="274">
        <f t="shared" si="418"/>
        <v>2</v>
      </c>
      <c r="BL75" s="274">
        <f t="shared" si="419"/>
        <v>2</v>
      </c>
      <c r="BM75" s="43">
        <f>ROUND((VLOOKUP(A75,'Cumulative pupils per year'!$A$3:$S$88,8,FALSE)),0)</f>
        <v>15</v>
      </c>
      <c r="BN75" s="46">
        <f t="shared" si="420"/>
        <v>3</v>
      </c>
      <c r="BO75" s="46">
        <f t="shared" si="421"/>
        <v>3</v>
      </c>
      <c r="BP75" s="46">
        <f t="shared" si="422"/>
        <v>2</v>
      </c>
      <c r="BQ75" s="46">
        <f t="shared" si="423"/>
        <v>2</v>
      </c>
      <c r="BR75" s="46">
        <f t="shared" si="424"/>
        <v>2</v>
      </c>
      <c r="BS75" s="46">
        <f t="shared" si="425"/>
        <v>2</v>
      </c>
      <c r="BT75" s="46">
        <f t="shared" si="426"/>
        <v>2</v>
      </c>
      <c r="BU75" s="45">
        <f>ROUND((VLOOKUP(A75,'Cumulative pupils per year'!$A$3:$S$88,9,FALSE)),0)</f>
        <v>16</v>
      </c>
      <c r="BV75" s="274">
        <f t="shared" si="427"/>
        <v>3</v>
      </c>
      <c r="BW75" s="274">
        <f t="shared" si="428"/>
        <v>3</v>
      </c>
      <c r="BX75" s="274">
        <f t="shared" si="429"/>
        <v>3</v>
      </c>
      <c r="BY75" s="274">
        <f t="shared" si="430"/>
        <v>2</v>
      </c>
      <c r="BZ75" s="274">
        <f t="shared" si="431"/>
        <v>2</v>
      </c>
      <c r="CA75" s="274">
        <f t="shared" si="432"/>
        <v>2</v>
      </c>
      <c r="CB75" s="274">
        <f t="shared" si="433"/>
        <v>2</v>
      </c>
      <c r="CC75" s="43">
        <f>ROUND((VLOOKUP(A75,'Cumulative pupils per year'!$A$3:$S$88,10,FALSE)),0)</f>
        <v>17</v>
      </c>
      <c r="CD75" s="46">
        <f t="shared" si="434"/>
        <v>3</v>
      </c>
      <c r="CE75" s="46">
        <f t="shared" si="435"/>
        <v>3</v>
      </c>
      <c r="CF75" s="46">
        <f t="shared" si="436"/>
        <v>3</v>
      </c>
      <c r="CG75" s="46">
        <f t="shared" si="437"/>
        <v>2</v>
      </c>
      <c r="CH75" s="46">
        <f t="shared" si="438"/>
        <v>2</v>
      </c>
      <c r="CI75" s="46">
        <f t="shared" si="439"/>
        <v>2</v>
      </c>
      <c r="CJ75" s="46">
        <f t="shared" si="440"/>
        <v>2</v>
      </c>
      <c r="CK75" s="45">
        <f>ROUND((VLOOKUP(A75,'Cumulative pupils per year'!$A$3:$S$88,11,FALSE)),0)</f>
        <v>17</v>
      </c>
      <c r="CL75" s="274">
        <f t="shared" si="343"/>
        <v>3</v>
      </c>
      <c r="CM75" s="274">
        <f t="shared" si="344"/>
        <v>3</v>
      </c>
      <c r="CN75" s="274">
        <f t="shared" si="345"/>
        <v>3</v>
      </c>
      <c r="CO75" s="274">
        <f t="shared" si="346"/>
        <v>3</v>
      </c>
      <c r="CP75" s="274">
        <f t="shared" si="347"/>
        <v>2</v>
      </c>
      <c r="CQ75" s="274">
        <f t="shared" si="348"/>
        <v>2</v>
      </c>
      <c r="CR75" s="274">
        <f t="shared" si="349"/>
        <v>2</v>
      </c>
      <c r="CS75" s="291">
        <f>ROUND((VLOOKUP(A75,'Cumulative pupils per year'!$A$3:$S$88,12,FALSE)),0)</f>
        <v>18</v>
      </c>
      <c r="CT75" s="46">
        <f t="shared" si="350"/>
        <v>3</v>
      </c>
      <c r="CU75" s="46">
        <f t="shared" si="351"/>
        <v>3</v>
      </c>
      <c r="CV75" s="46">
        <f t="shared" si="352"/>
        <v>3</v>
      </c>
      <c r="CW75" s="46">
        <f t="shared" si="353"/>
        <v>3</v>
      </c>
      <c r="CX75" s="46">
        <f t="shared" si="354"/>
        <v>2</v>
      </c>
      <c r="CY75" s="46">
        <f t="shared" si="355"/>
        <v>2</v>
      </c>
      <c r="CZ75" s="46">
        <f t="shared" si="356"/>
        <v>2</v>
      </c>
      <c r="DA75" s="45">
        <f>ROUND((VLOOKUP(A75,'Cumulative pupils per year'!$A$3:$S$88,13,FALSE)),0)</f>
        <v>18</v>
      </c>
      <c r="DB75" s="274">
        <f t="shared" si="357"/>
        <v>3</v>
      </c>
      <c r="DC75" s="274">
        <f t="shared" si="358"/>
        <v>3</v>
      </c>
      <c r="DD75" s="274">
        <f t="shared" si="359"/>
        <v>3</v>
      </c>
      <c r="DE75" s="274">
        <f t="shared" si="360"/>
        <v>3</v>
      </c>
      <c r="DF75" s="274">
        <f t="shared" si="361"/>
        <v>3</v>
      </c>
      <c r="DG75" s="274">
        <f t="shared" si="362"/>
        <v>2</v>
      </c>
      <c r="DH75" s="274">
        <f t="shared" si="363"/>
        <v>2</v>
      </c>
      <c r="DI75" s="291">
        <f>ROUND((VLOOKUP(A75,'Cumulative pupils per year'!$A$3:$S$88,14,FALSE)),0)</f>
        <v>19</v>
      </c>
      <c r="DJ75" s="46">
        <f t="shared" si="364"/>
        <v>3</v>
      </c>
      <c r="DK75" s="46">
        <f t="shared" si="365"/>
        <v>3</v>
      </c>
      <c r="DL75" s="46">
        <f t="shared" si="366"/>
        <v>3</v>
      </c>
      <c r="DM75" s="46">
        <f t="shared" si="367"/>
        <v>3</v>
      </c>
      <c r="DN75" s="46">
        <f t="shared" si="368"/>
        <v>3</v>
      </c>
      <c r="DO75" s="46">
        <f t="shared" si="369"/>
        <v>2</v>
      </c>
      <c r="DP75" s="46">
        <f t="shared" si="370"/>
        <v>2</v>
      </c>
      <c r="DQ75" s="45">
        <f>ROUND((VLOOKUP(A75,'Cumulative pupils per year'!$A$3:$S$88,15,FALSE)),0)</f>
        <v>19</v>
      </c>
    </row>
    <row r="76" spans="1:121">
      <c r="A76" s="275" t="s">
        <v>81</v>
      </c>
      <c r="B76" s="276">
        <v>1</v>
      </c>
      <c r="C76" s="276">
        <v>1</v>
      </c>
      <c r="D76" s="276">
        <v>1</v>
      </c>
      <c r="E76" s="276">
        <v>1</v>
      </c>
      <c r="F76" s="276">
        <v>1</v>
      </c>
      <c r="G76" s="276">
        <v>1</v>
      </c>
      <c r="H76" s="276">
        <v>0</v>
      </c>
      <c r="I76" s="277">
        <v>6</v>
      </c>
      <c r="J76" s="44">
        <f t="shared" si="371"/>
        <v>1</v>
      </c>
      <c r="K76" s="44">
        <f t="shared" si="372"/>
        <v>1</v>
      </c>
      <c r="L76" s="44">
        <f t="shared" si="373"/>
        <v>1</v>
      </c>
      <c r="M76" s="44">
        <f t="shared" si="374"/>
        <v>1</v>
      </c>
      <c r="N76" s="44">
        <f t="shared" si="375"/>
        <v>0</v>
      </c>
      <c r="O76" s="44">
        <f t="shared" si="376"/>
        <v>0</v>
      </c>
      <c r="P76" s="44">
        <f t="shared" si="377"/>
        <v>0</v>
      </c>
      <c r="Q76" s="43">
        <f>ROUND((VLOOKUP(A76,'Cumulative pupils per year'!$A$3:$S$88,2,FALSE)),0)</f>
        <v>4</v>
      </c>
      <c r="R76" s="46">
        <f t="shared" si="378"/>
        <v>1</v>
      </c>
      <c r="S76" s="46">
        <f t="shared" si="379"/>
        <v>1</v>
      </c>
      <c r="T76" s="46">
        <f t="shared" si="380"/>
        <v>1</v>
      </c>
      <c r="U76" s="46">
        <f t="shared" si="381"/>
        <v>1</v>
      </c>
      <c r="V76" s="46">
        <f t="shared" si="382"/>
        <v>0</v>
      </c>
      <c r="W76" s="46">
        <f t="shared" si="383"/>
        <v>0</v>
      </c>
      <c r="X76" s="46">
        <f t="shared" si="384"/>
        <v>0</v>
      </c>
      <c r="Y76" s="45">
        <f>ROUND((VLOOKUP(A76,'Cumulative pupils per year'!$A$3:$S$88,3,FALSE)),0)</f>
        <v>4</v>
      </c>
      <c r="Z76" s="274">
        <f t="shared" si="385"/>
        <v>1</v>
      </c>
      <c r="AA76" s="274">
        <f t="shared" si="386"/>
        <v>1</v>
      </c>
      <c r="AB76" s="274">
        <f t="shared" si="387"/>
        <v>1</v>
      </c>
      <c r="AC76" s="274">
        <f t="shared" si="388"/>
        <v>1</v>
      </c>
      <c r="AD76" s="274">
        <f t="shared" si="389"/>
        <v>1</v>
      </c>
      <c r="AE76" s="274">
        <f t="shared" si="390"/>
        <v>1</v>
      </c>
      <c r="AF76" s="274">
        <f t="shared" si="391"/>
        <v>1</v>
      </c>
      <c r="AG76" s="43">
        <f>ROUND((VLOOKUP(A76,'Cumulative pupils per year'!$A$3:$S$88,4,FALSE)),0)</f>
        <v>7</v>
      </c>
      <c r="AH76" s="46">
        <f t="shared" si="392"/>
        <v>2</v>
      </c>
      <c r="AI76" s="46">
        <f t="shared" si="393"/>
        <v>2</v>
      </c>
      <c r="AJ76" s="46">
        <f t="shared" si="394"/>
        <v>2</v>
      </c>
      <c r="AK76" s="46">
        <f t="shared" si="395"/>
        <v>2</v>
      </c>
      <c r="AL76" s="46">
        <f t="shared" si="396"/>
        <v>1</v>
      </c>
      <c r="AM76" s="46">
        <f t="shared" si="397"/>
        <v>1</v>
      </c>
      <c r="AN76" s="46">
        <f t="shared" si="398"/>
        <v>1</v>
      </c>
      <c r="AO76" s="45">
        <f>ROUND((VLOOKUP(A76,'Cumulative pupils per year'!$A$3:$S$88,5,FALSE)),0)</f>
        <v>11</v>
      </c>
      <c r="AP76" s="274">
        <f t="shared" si="399"/>
        <v>3</v>
      </c>
      <c r="AQ76" s="274">
        <f t="shared" si="400"/>
        <v>2</v>
      </c>
      <c r="AR76" s="274">
        <f t="shared" si="401"/>
        <v>2</v>
      </c>
      <c r="AS76" s="274">
        <f t="shared" si="402"/>
        <v>2</v>
      </c>
      <c r="AT76" s="274">
        <f t="shared" si="403"/>
        <v>2</v>
      </c>
      <c r="AU76" s="274">
        <f t="shared" si="404"/>
        <v>2</v>
      </c>
      <c r="AV76" s="274">
        <f t="shared" si="405"/>
        <v>2</v>
      </c>
      <c r="AW76" s="43">
        <f>ROUND((VLOOKUP(A76,'Cumulative pupils per year'!$A$3:$S$88,6,FALSE)),0)</f>
        <v>15</v>
      </c>
      <c r="AX76" s="46">
        <f t="shared" si="406"/>
        <v>3</v>
      </c>
      <c r="AY76" s="46">
        <f t="shared" si="407"/>
        <v>3</v>
      </c>
      <c r="AZ76" s="46">
        <f t="shared" si="408"/>
        <v>3</v>
      </c>
      <c r="BA76" s="46">
        <f t="shared" si="409"/>
        <v>3</v>
      </c>
      <c r="BB76" s="46">
        <f t="shared" si="410"/>
        <v>3</v>
      </c>
      <c r="BC76" s="46">
        <f t="shared" si="411"/>
        <v>3</v>
      </c>
      <c r="BD76" s="46">
        <f t="shared" si="412"/>
        <v>2</v>
      </c>
      <c r="BE76" s="45">
        <f>ROUND((VLOOKUP(A76,'Cumulative pupils per year'!$A$3:$S$88,7,FALSE)),0)</f>
        <v>20</v>
      </c>
      <c r="BF76" s="274">
        <f t="shared" si="413"/>
        <v>4</v>
      </c>
      <c r="BG76" s="274">
        <f t="shared" si="414"/>
        <v>4</v>
      </c>
      <c r="BH76" s="274">
        <f t="shared" si="415"/>
        <v>4</v>
      </c>
      <c r="BI76" s="274">
        <f t="shared" si="416"/>
        <v>4</v>
      </c>
      <c r="BJ76" s="274">
        <f t="shared" si="417"/>
        <v>4</v>
      </c>
      <c r="BK76" s="274">
        <f t="shared" si="418"/>
        <v>4</v>
      </c>
      <c r="BL76" s="274">
        <f t="shared" si="419"/>
        <v>4</v>
      </c>
      <c r="BM76" s="43">
        <f>ROUND((VLOOKUP(A76,'Cumulative pupils per year'!$A$3:$S$88,8,FALSE)),0)</f>
        <v>28</v>
      </c>
      <c r="BN76" s="46">
        <f t="shared" si="420"/>
        <v>5</v>
      </c>
      <c r="BO76" s="46">
        <f t="shared" si="421"/>
        <v>5</v>
      </c>
      <c r="BP76" s="46">
        <f t="shared" si="422"/>
        <v>5</v>
      </c>
      <c r="BQ76" s="46">
        <f t="shared" si="423"/>
        <v>5</v>
      </c>
      <c r="BR76" s="46">
        <f t="shared" si="424"/>
        <v>5</v>
      </c>
      <c r="BS76" s="46">
        <f t="shared" si="425"/>
        <v>5</v>
      </c>
      <c r="BT76" s="46">
        <f t="shared" si="426"/>
        <v>5</v>
      </c>
      <c r="BU76" s="45">
        <f>ROUND((VLOOKUP(A76,'Cumulative pupils per year'!$A$3:$S$88,9,FALSE)),0)</f>
        <v>35</v>
      </c>
      <c r="BV76" s="274">
        <f t="shared" si="427"/>
        <v>6</v>
      </c>
      <c r="BW76" s="274">
        <f t="shared" si="428"/>
        <v>6</v>
      </c>
      <c r="BX76" s="274">
        <f t="shared" si="429"/>
        <v>6</v>
      </c>
      <c r="BY76" s="274">
        <f t="shared" si="430"/>
        <v>6</v>
      </c>
      <c r="BZ76" s="274">
        <f t="shared" si="431"/>
        <v>6</v>
      </c>
      <c r="CA76" s="274">
        <f t="shared" si="432"/>
        <v>6</v>
      </c>
      <c r="CB76" s="274">
        <f t="shared" si="433"/>
        <v>5</v>
      </c>
      <c r="CC76" s="43">
        <f>ROUND((VLOOKUP(A76,'Cumulative pupils per year'!$A$3:$S$88,10,FALSE)),0)</f>
        <v>41</v>
      </c>
      <c r="CD76" s="46">
        <f t="shared" si="434"/>
        <v>7</v>
      </c>
      <c r="CE76" s="46">
        <f t="shared" si="435"/>
        <v>7</v>
      </c>
      <c r="CF76" s="46">
        <f t="shared" si="436"/>
        <v>7</v>
      </c>
      <c r="CG76" s="46">
        <f t="shared" si="437"/>
        <v>7</v>
      </c>
      <c r="CH76" s="46">
        <f t="shared" si="438"/>
        <v>7</v>
      </c>
      <c r="CI76" s="46">
        <f t="shared" si="439"/>
        <v>6</v>
      </c>
      <c r="CJ76" s="46">
        <f t="shared" si="440"/>
        <v>6</v>
      </c>
      <c r="CK76" s="45">
        <f>ROUND((VLOOKUP(A76,'Cumulative pupils per year'!$A$3:$S$88,11,FALSE)),0)</f>
        <v>47</v>
      </c>
      <c r="CL76" s="274">
        <f t="shared" si="343"/>
        <v>8</v>
      </c>
      <c r="CM76" s="274">
        <f t="shared" si="344"/>
        <v>7</v>
      </c>
      <c r="CN76" s="274">
        <f t="shared" si="345"/>
        <v>7</v>
      </c>
      <c r="CO76" s="274">
        <f t="shared" si="346"/>
        <v>7</v>
      </c>
      <c r="CP76" s="274">
        <f t="shared" si="347"/>
        <v>7</v>
      </c>
      <c r="CQ76" s="274">
        <f t="shared" si="348"/>
        <v>7</v>
      </c>
      <c r="CR76" s="274">
        <f t="shared" si="349"/>
        <v>7</v>
      </c>
      <c r="CS76" s="291">
        <f>ROUND((VLOOKUP(A76,'Cumulative pupils per year'!$A$3:$S$88,12,FALSE)),0)</f>
        <v>50</v>
      </c>
      <c r="CT76" s="46">
        <f t="shared" si="350"/>
        <v>8</v>
      </c>
      <c r="CU76" s="46">
        <f t="shared" si="351"/>
        <v>8</v>
      </c>
      <c r="CV76" s="46">
        <f t="shared" si="352"/>
        <v>8</v>
      </c>
      <c r="CW76" s="46">
        <f t="shared" si="353"/>
        <v>8</v>
      </c>
      <c r="CX76" s="46">
        <f t="shared" si="354"/>
        <v>7</v>
      </c>
      <c r="CY76" s="46">
        <f t="shared" si="355"/>
        <v>7</v>
      </c>
      <c r="CZ76" s="46">
        <f t="shared" si="356"/>
        <v>7</v>
      </c>
      <c r="DA76" s="45">
        <f>ROUND((VLOOKUP(A76,'Cumulative pupils per year'!$A$3:$S$88,13,FALSE)),0)</f>
        <v>53</v>
      </c>
      <c r="DB76" s="274">
        <f t="shared" si="357"/>
        <v>8</v>
      </c>
      <c r="DC76" s="274">
        <f t="shared" si="358"/>
        <v>8</v>
      </c>
      <c r="DD76" s="274">
        <f t="shared" si="359"/>
        <v>8</v>
      </c>
      <c r="DE76" s="274">
        <f t="shared" si="360"/>
        <v>8</v>
      </c>
      <c r="DF76" s="274">
        <f t="shared" si="361"/>
        <v>8</v>
      </c>
      <c r="DG76" s="274">
        <f t="shared" si="362"/>
        <v>8</v>
      </c>
      <c r="DH76" s="274">
        <f t="shared" si="363"/>
        <v>8</v>
      </c>
      <c r="DI76" s="291">
        <f>ROUND((VLOOKUP(A76,'Cumulative pupils per year'!$A$3:$S$88,14,FALSE)),0)</f>
        <v>56</v>
      </c>
      <c r="DJ76" s="46">
        <f t="shared" si="364"/>
        <v>9</v>
      </c>
      <c r="DK76" s="46">
        <f t="shared" si="365"/>
        <v>9</v>
      </c>
      <c r="DL76" s="46">
        <f t="shared" si="366"/>
        <v>9</v>
      </c>
      <c r="DM76" s="46">
        <f t="shared" si="367"/>
        <v>8</v>
      </c>
      <c r="DN76" s="46">
        <f t="shared" si="368"/>
        <v>8</v>
      </c>
      <c r="DO76" s="46">
        <f t="shared" si="369"/>
        <v>8</v>
      </c>
      <c r="DP76" s="46">
        <f t="shared" si="370"/>
        <v>8</v>
      </c>
      <c r="DQ76" s="45">
        <f>ROUND((VLOOKUP(A76,'Cumulative pupils per year'!$A$3:$S$88,15,FALSE)),0)</f>
        <v>59</v>
      </c>
    </row>
    <row r="77" spans="1:121">
      <c r="A77" s="275" t="s">
        <v>91</v>
      </c>
      <c r="B77" s="276">
        <v>0</v>
      </c>
      <c r="C77" s="276">
        <v>0</v>
      </c>
      <c r="D77" s="276">
        <v>0</v>
      </c>
      <c r="E77" s="276">
        <v>0</v>
      </c>
      <c r="F77" s="276">
        <v>0</v>
      </c>
      <c r="G77" s="276">
        <v>0</v>
      </c>
      <c r="H77" s="276">
        <v>0</v>
      </c>
      <c r="I77" s="277">
        <v>0</v>
      </c>
      <c r="J77" s="44">
        <f t="shared" si="371"/>
        <v>0</v>
      </c>
      <c r="K77" s="44">
        <f t="shared" si="372"/>
        <v>0</v>
      </c>
      <c r="L77" s="44">
        <f t="shared" si="373"/>
        <v>0</v>
      </c>
      <c r="M77" s="44">
        <f t="shared" si="374"/>
        <v>0</v>
      </c>
      <c r="N77" s="44">
        <f t="shared" si="375"/>
        <v>0</v>
      </c>
      <c r="O77" s="44">
        <f t="shared" si="376"/>
        <v>0</v>
      </c>
      <c r="P77" s="44">
        <f t="shared" si="377"/>
        <v>0</v>
      </c>
      <c r="Q77" s="43">
        <f>ROUND((VLOOKUP(A77,'Cumulative pupils per year'!$A$3:$S$88,2,FALSE)),0)</f>
        <v>0</v>
      </c>
      <c r="R77" s="46">
        <f t="shared" si="378"/>
        <v>0</v>
      </c>
      <c r="S77" s="46">
        <f t="shared" si="379"/>
        <v>0</v>
      </c>
      <c r="T77" s="46">
        <f t="shared" si="380"/>
        <v>0</v>
      </c>
      <c r="U77" s="46">
        <f t="shared" si="381"/>
        <v>0</v>
      </c>
      <c r="V77" s="46">
        <f t="shared" si="382"/>
        <v>0</v>
      </c>
      <c r="W77" s="46">
        <f t="shared" si="383"/>
        <v>0</v>
      </c>
      <c r="X77" s="46">
        <f t="shared" si="384"/>
        <v>0</v>
      </c>
      <c r="Y77" s="45">
        <f>ROUND((VLOOKUP(A77,'Cumulative pupils per year'!$A$3:$S$88,3,FALSE)),0)</f>
        <v>0</v>
      </c>
      <c r="Z77" s="274">
        <f t="shared" si="385"/>
        <v>0</v>
      </c>
      <c r="AA77" s="274">
        <f t="shared" si="386"/>
        <v>0</v>
      </c>
      <c r="AB77" s="274">
        <f t="shared" si="387"/>
        <v>0</v>
      </c>
      <c r="AC77" s="274">
        <f t="shared" si="388"/>
        <v>0</v>
      </c>
      <c r="AD77" s="274">
        <f t="shared" si="389"/>
        <v>0</v>
      </c>
      <c r="AE77" s="274">
        <f t="shared" si="390"/>
        <v>0</v>
      </c>
      <c r="AF77" s="274">
        <f t="shared" si="391"/>
        <v>0</v>
      </c>
      <c r="AG77" s="43">
        <f>ROUND((VLOOKUP(A77,'Cumulative pupils per year'!$A$3:$S$88,4,FALSE)),0)</f>
        <v>0</v>
      </c>
      <c r="AH77" s="46">
        <f t="shared" si="392"/>
        <v>0</v>
      </c>
      <c r="AI77" s="46">
        <f t="shared" si="393"/>
        <v>0</v>
      </c>
      <c r="AJ77" s="46">
        <f t="shared" si="394"/>
        <v>0</v>
      </c>
      <c r="AK77" s="46">
        <f t="shared" si="395"/>
        <v>0</v>
      </c>
      <c r="AL77" s="46">
        <f t="shared" si="396"/>
        <v>0</v>
      </c>
      <c r="AM77" s="46">
        <f t="shared" si="397"/>
        <v>0</v>
      </c>
      <c r="AN77" s="46">
        <f t="shared" si="398"/>
        <v>0</v>
      </c>
      <c r="AO77" s="45">
        <f>ROUND((VLOOKUP(A77,'Cumulative pupils per year'!$A$3:$S$88,5,FALSE)),0)</f>
        <v>0</v>
      </c>
      <c r="AP77" s="274">
        <f t="shared" si="399"/>
        <v>0</v>
      </c>
      <c r="AQ77" s="274">
        <f t="shared" si="400"/>
        <v>0</v>
      </c>
      <c r="AR77" s="274">
        <f t="shared" si="401"/>
        <v>0</v>
      </c>
      <c r="AS77" s="274">
        <f t="shared" si="402"/>
        <v>0</v>
      </c>
      <c r="AT77" s="274">
        <f t="shared" si="403"/>
        <v>0</v>
      </c>
      <c r="AU77" s="274">
        <f t="shared" si="404"/>
        <v>0</v>
      </c>
      <c r="AV77" s="274">
        <f t="shared" si="405"/>
        <v>0</v>
      </c>
      <c r="AW77" s="43">
        <f>ROUND((VLOOKUP(A77,'Cumulative pupils per year'!$A$3:$S$88,6,FALSE)),0)</f>
        <v>0</v>
      </c>
      <c r="AX77" s="46">
        <f t="shared" si="406"/>
        <v>1</v>
      </c>
      <c r="AY77" s="46">
        <f t="shared" si="407"/>
        <v>0</v>
      </c>
      <c r="AZ77" s="46">
        <f t="shared" si="408"/>
        <v>0</v>
      </c>
      <c r="BA77" s="46">
        <f t="shared" si="409"/>
        <v>0</v>
      </c>
      <c r="BB77" s="46">
        <f t="shared" si="410"/>
        <v>0</v>
      </c>
      <c r="BC77" s="46">
        <f t="shared" si="411"/>
        <v>0</v>
      </c>
      <c r="BD77" s="46">
        <f t="shared" si="412"/>
        <v>0</v>
      </c>
      <c r="BE77" s="45">
        <f>ROUND((VLOOKUP(A77,'Cumulative pupils per year'!$A$3:$S$88,7,FALSE)),0)</f>
        <v>1</v>
      </c>
      <c r="BF77" s="274">
        <f t="shared" si="413"/>
        <v>1</v>
      </c>
      <c r="BG77" s="274">
        <f t="shared" si="414"/>
        <v>0</v>
      </c>
      <c r="BH77" s="274">
        <f t="shared" si="415"/>
        <v>0</v>
      </c>
      <c r="BI77" s="274">
        <f t="shared" si="416"/>
        <v>0</v>
      </c>
      <c r="BJ77" s="274">
        <f t="shared" si="417"/>
        <v>0</v>
      </c>
      <c r="BK77" s="274">
        <f t="shared" si="418"/>
        <v>0</v>
      </c>
      <c r="BL77" s="274">
        <f t="shared" si="419"/>
        <v>0</v>
      </c>
      <c r="BM77" s="43">
        <f>ROUND((VLOOKUP(A77,'Cumulative pupils per year'!$A$3:$S$88,8,FALSE)),0)</f>
        <v>1</v>
      </c>
      <c r="BN77" s="46">
        <f t="shared" si="420"/>
        <v>1</v>
      </c>
      <c r="BO77" s="46">
        <f t="shared" si="421"/>
        <v>0</v>
      </c>
      <c r="BP77" s="46">
        <f t="shared" si="422"/>
        <v>0</v>
      </c>
      <c r="BQ77" s="46">
        <f t="shared" si="423"/>
        <v>0</v>
      </c>
      <c r="BR77" s="46">
        <f t="shared" si="424"/>
        <v>0</v>
      </c>
      <c r="BS77" s="46">
        <f t="shared" si="425"/>
        <v>0</v>
      </c>
      <c r="BT77" s="46">
        <f t="shared" si="426"/>
        <v>0</v>
      </c>
      <c r="BU77" s="45">
        <f>ROUND((VLOOKUP(A77,'Cumulative pupils per year'!$A$3:$S$88,9,FALSE)),0)</f>
        <v>1</v>
      </c>
      <c r="BV77" s="274">
        <f t="shared" si="427"/>
        <v>1</v>
      </c>
      <c r="BW77" s="274">
        <f t="shared" si="428"/>
        <v>0</v>
      </c>
      <c r="BX77" s="274">
        <f t="shared" si="429"/>
        <v>0</v>
      </c>
      <c r="BY77" s="274">
        <f t="shared" si="430"/>
        <v>0</v>
      </c>
      <c r="BZ77" s="274">
        <f t="shared" si="431"/>
        <v>0</v>
      </c>
      <c r="CA77" s="274">
        <f t="shared" si="432"/>
        <v>0</v>
      </c>
      <c r="CB77" s="274">
        <f t="shared" si="433"/>
        <v>0</v>
      </c>
      <c r="CC77" s="43">
        <f>ROUND((VLOOKUP(A77,'Cumulative pupils per year'!$A$3:$S$88,10,FALSE)),0)</f>
        <v>1</v>
      </c>
      <c r="CD77" s="46">
        <f t="shared" si="434"/>
        <v>1</v>
      </c>
      <c r="CE77" s="46">
        <f t="shared" si="435"/>
        <v>0</v>
      </c>
      <c r="CF77" s="46">
        <f t="shared" si="436"/>
        <v>0</v>
      </c>
      <c r="CG77" s="46">
        <f t="shared" si="437"/>
        <v>0</v>
      </c>
      <c r="CH77" s="46">
        <f t="shared" si="438"/>
        <v>0</v>
      </c>
      <c r="CI77" s="46">
        <f t="shared" si="439"/>
        <v>0</v>
      </c>
      <c r="CJ77" s="46">
        <f t="shared" si="440"/>
        <v>0</v>
      </c>
      <c r="CK77" s="45">
        <f>ROUND((VLOOKUP(A77,'Cumulative pupils per year'!$A$3:$S$88,11,FALSE)),0)</f>
        <v>1</v>
      </c>
      <c r="CL77" s="274">
        <f t="shared" si="343"/>
        <v>1</v>
      </c>
      <c r="CM77" s="274">
        <f t="shared" si="344"/>
        <v>0</v>
      </c>
      <c r="CN77" s="274">
        <f t="shared" si="345"/>
        <v>0</v>
      </c>
      <c r="CO77" s="274">
        <f t="shared" si="346"/>
        <v>0</v>
      </c>
      <c r="CP77" s="274">
        <f t="shared" si="347"/>
        <v>0</v>
      </c>
      <c r="CQ77" s="274">
        <f t="shared" si="348"/>
        <v>0</v>
      </c>
      <c r="CR77" s="274">
        <f t="shared" si="349"/>
        <v>0</v>
      </c>
      <c r="CS77" s="291">
        <f>ROUND((VLOOKUP(A77,'Cumulative pupils per year'!$A$3:$S$88,12,FALSE)),0)</f>
        <v>1</v>
      </c>
      <c r="CT77" s="46">
        <f t="shared" si="350"/>
        <v>1</v>
      </c>
      <c r="CU77" s="46">
        <f t="shared" si="351"/>
        <v>0</v>
      </c>
      <c r="CV77" s="46">
        <f t="shared" si="352"/>
        <v>0</v>
      </c>
      <c r="CW77" s="46">
        <f t="shared" si="353"/>
        <v>0</v>
      </c>
      <c r="CX77" s="46">
        <f t="shared" si="354"/>
        <v>0</v>
      </c>
      <c r="CY77" s="46">
        <f t="shared" si="355"/>
        <v>0</v>
      </c>
      <c r="CZ77" s="46">
        <f t="shared" si="356"/>
        <v>0</v>
      </c>
      <c r="DA77" s="45">
        <f>ROUND((VLOOKUP(A77,'Cumulative pupils per year'!$A$3:$S$88,13,FALSE)),0)</f>
        <v>1</v>
      </c>
      <c r="DB77" s="274">
        <f t="shared" si="357"/>
        <v>1</v>
      </c>
      <c r="DC77" s="274">
        <f t="shared" si="358"/>
        <v>0</v>
      </c>
      <c r="DD77" s="274">
        <f t="shared" si="359"/>
        <v>0</v>
      </c>
      <c r="DE77" s="274">
        <f t="shared" si="360"/>
        <v>0</v>
      </c>
      <c r="DF77" s="274">
        <f t="shared" si="361"/>
        <v>0</v>
      </c>
      <c r="DG77" s="274">
        <f t="shared" si="362"/>
        <v>0</v>
      </c>
      <c r="DH77" s="274">
        <f t="shared" si="363"/>
        <v>0</v>
      </c>
      <c r="DI77" s="291">
        <f>ROUND((VLOOKUP(A77,'Cumulative pupils per year'!$A$3:$S$88,14,FALSE)),0)</f>
        <v>1</v>
      </c>
      <c r="DJ77" s="46">
        <f t="shared" si="364"/>
        <v>1</v>
      </c>
      <c r="DK77" s="46">
        <f t="shared" si="365"/>
        <v>0</v>
      </c>
      <c r="DL77" s="46">
        <f t="shared" si="366"/>
        <v>0</v>
      </c>
      <c r="DM77" s="46">
        <f t="shared" si="367"/>
        <v>0</v>
      </c>
      <c r="DN77" s="46">
        <f t="shared" si="368"/>
        <v>0</v>
      </c>
      <c r="DO77" s="46">
        <f t="shared" si="369"/>
        <v>0</v>
      </c>
      <c r="DP77" s="46">
        <f t="shared" si="370"/>
        <v>0</v>
      </c>
      <c r="DQ77" s="45">
        <f>ROUND((VLOOKUP(A77,'Cumulative pupils per year'!$A$3:$S$88,15,FALSE)),0)</f>
        <v>1</v>
      </c>
    </row>
    <row r="78" spans="1:121">
      <c r="A78" s="275" t="s">
        <v>92</v>
      </c>
      <c r="B78" s="276">
        <v>1</v>
      </c>
      <c r="C78" s="276">
        <v>1</v>
      </c>
      <c r="D78" s="276">
        <v>0</v>
      </c>
      <c r="E78" s="276">
        <v>0</v>
      </c>
      <c r="F78" s="276">
        <v>0</v>
      </c>
      <c r="G78" s="276">
        <v>0</v>
      </c>
      <c r="H78" s="276">
        <v>0</v>
      </c>
      <c r="I78" s="277">
        <v>2</v>
      </c>
      <c r="J78" s="44">
        <f t="shared" si="371"/>
        <v>1</v>
      </c>
      <c r="K78" s="44">
        <f t="shared" si="372"/>
        <v>1</v>
      </c>
      <c r="L78" s="44">
        <f t="shared" si="373"/>
        <v>1</v>
      </c>
      <c r="M78" s="44">
        <f t="shared" si="374"/>
        <v>0</v>
      </c>
      <c r="N78" s="44">
        <f t="shared" si="375"/>
        <v>0</v>
      </c>
      <c r="O78" s="44">
        <f t="shared" si="376"/>
        <v>0</v>
      </c>
      <c r="P78" s="44">
        <f t="shared" si="377"/>
        <v>0</v>
      </c>
      <c r="Q78" s="43">
        <f>ROUND((VLOOKUP(A78,'Cumulative pupils per year'!$A$3:$S$88,2,FALSE)),0)</f>
        <v>3</v>
      </c>
      <c r="R78" s="46">
        <f t="shared" si="378"/>
        <v>1</v>
      </c>
      <c r="S78" s="46">
        <f t="shared" si="379"/>
        <v>1</v>
      </c>
      <c r="T78" s="46">
        <f t="shared" si="380"/>
        <v>1</v>
      </c>
      <c r="U78" s="46">
        <f t="shared" si="381"/>
        <v>1</v>
      </c>
      <c r="V78" s="46">
        <f t="shared" si="382"/>
        <v>1</v>
      </c>
      <c r="W78" s="46">
        <f t="shared" si="383"/>
        <v>0</v>
      </c>
      <c r="X78" s="46">
        <f t="shared" si="384"/>
        <v>0</v>
      </c>
      <c r="Y78" s="45">
        <f>ROUND((VLOOKUP(A78,'Cumulative pupils per year'!$A$3:$S$88,3,FALSE)),0)</f>
        <v>5</v>
      </c>
      <c r="Z78" s="274">
        <f t="shared" si="385"/>
        <v>2</v>
      </c>
      <c r="AA78" s="274">
        <f t="shared" si="386"/>
        <v>2</v>
      </c>
      <c r="AB78" s="274">
        <f t="shared" si="387"/>
        <v>1</v>
      </c>
      <c r="AC78" s="274">
        <f t="shared" si="388"/>
        <v>1</v>
      </c>
      <c r="AD78" s="274">
        <f t="shared" si="389"/>
        <v>1</v>
      </c>
      <c r="AE78" s="274">
        <f t="shared" si="390"/>
        <v>1</v>
      </c>
      <c r="AF78" s="274">
        <f t="shared" si="391"/>
        <v>1</v>
      </c>
      <c r="AG78" s="43">
        <f>ROUND((VLOOKUP(A78,'Cumulative pupils per year'!$A$3:$S$88,4,FALSE)),0)</f>
        <v>9</v>
      </c>
      <c r="AH78" s="46">
        <f t="shared" si="392"/>
        <v>2</v>
      </c>
      <c r="AI78" s="46">
        <f t="shared" si="393"/>
        <v>2</v>
      </c>
      <c r="AJ78" s="46">
        <f t="shared" si="394"/>
        <v>2</v>
      </c>
      <c r="AK78" s="46">
        <f t="shared" si="395"/>
        <v>2</v>
      </c>
      <c r="AL78" s="46">
        <f t="shared" si="396"/>
        <v>1</v>
      </c>
      <c r="AM78" s="46">
        <f t="shared" si="397"/>
        <v>1</v>
      </c>
      <c r="AN78" s="46">
        <f t="shared" si="398"/>
        <v>1</v>
      </c>
      <c r="AO78" s="45">
        <f>ROUND((VLOOKUP(A78,'Cumulative pupils per year'!$A$3:$S$88,5,FALSE)),0)</f>
        <v>11</v>
      </c>
      <c r="AP78" s="274">
        <f t="shared" si="399"/>
        <v>2</v>
      </c>
      <c r="AQ78" s="274">
        <f t="shared" si="400"/>
        <v>2</v>
      </c>
      <c r="AR78" s="274">
        <f t="shared" si="401"/>
        <v>2</v>
      </c>
      <c r="AS78" s="274">
        <f t="shared" si="402"/>
        <v>2</v>
      </c>
      <c r="AT78" s="274">
        <f t="shared" si="403"/>
        <v>2</v>
      </c>
      <c r="AU78" s="274">
        <f t="shared" si="404"/>
        <v>1</v>
      </c>
      <c r="AV78" s="274">
        <f t="shared" si="405"/>
        <v>1</v>
      </c>
      <c r="AW78" s="43">
        <f>ROUND((VLOOKUP(A78,'Cumulative pupils per year'!$A$3:$S$88,6,FALSE)),0)</f>
        <v>12</v>
      </c>
      <c r="AX78" s="46">
        <f t="shared" si="406"/>
        <v>2</v>
      </c>
      <c r="AY78" s="46">
        <f t="shared" si="407"/>
        <v>2</v>
      </c>
      <c r="AZ78" s="46">
        <f t="shared" si="408"/>
        <v>2</v>
      </c>
      <c r="BA78" s="46">
        <f t="shared" si="409"/>
        <v>2</v>
      </c>
      <c r="BB78" s="46">
        <f t="shared" si="410"/>
        <v>2</v>
      </c>
      <c r="BC78" s="46">
        <f t="shared" si="411"/>
        <v>2</v>
      </c>
      <c r="BD78" s="46">
        <f t="shared" si="412"/>
        <v>2</v>
      </c>
      <c r="BE78" s="45">
        <f>ROUND((VLOOKUP(A78,'Cumulative pupils per year'!$A$3:$S$88,7,FALSE)),0)</f>
        <v>14</v>
      </c>
      <c r="BF78" s="274">
        <f t="shared" si="413"/>
        <v>2</v>
      </c>
      <c r="BG78" s="274">
        <f t="shared" si="414"/>
        <v>2</v>
      </c>
      <c r="BH78" s="274">
        <f t="shared" si="415"/>
        <v>2</v>
      </c>
      <c r="BI78" s="274">
        <f t="shared" si="416"/>
        <v>2</v>
      </c>
      <c r="BJ78" s="274">
        <f t="shared" si="417"/>
        <v>2</v>
      </c>
      <c r="BK78" s="274">
        <f t="shared" si="418"/>
        <v>2</v>
      </c>
      <c r="BL78" s="274">
        <f t="shared" si="419"/>
        <v>2</v>
      </c>
      <c r="BM78" s="43">
        <f>ROUND((VLOOKUP(A78,'Cumulative pupils per year'!$A$3:$S$88,8,FALSE)),0)</f>
        <v>14</v>
      </c>
      <c r="BN78" s="46">
        <f t="shared" si="420"/>
        <v>3</v>
      </c>
      <c r="BO78" s="46">
        <f t="shared" si="421"/>
        <v>2</v>
      </c>
      <c r="BP78" s="46">
        <f t="shared" si="422"/>
        <v>2</v>
      </c>
      <c r="BQ78" s="46">
        <f t="shared" si="423"/>
        <v>2</v>
      </c>
      <c r="BR78" s="46">
        <f t="shared" si="424"/>
        <v>2</v>
      </c>
      <c r="BS78" s="46">
        <f t="shared" si="425"/>
        <v>2</v>
      </c>
      <c r="BT78" s="46">
        <f t="shared" si="426"/>
        <v>2</v>
      </c>
      <c r="BU78" s="45">
        <f>ROUND((VLOOKUP(A78,'Cumulative pupils per year'!$A$3:$S$88,9,FALSE)),0)</f>
        <v>15</v>
      </c>
      <c r="BV78" s="274">
        <f t="shared" si="427"/>
        <v>3</v>
      </c>
      <c r="BW78" s="274">
        <f t="shared" si="428"/>
        <v>3</v>
      </c>
      <c r="BX78" s="274">
        <f t="shared" si="429"/>
        <v>2</v>
      </c>
      <c r="BY78" s="274">
        <f t="shared" si="430"/>
        <v>2</v>
      </c>
      <c r="BZ78" s="274">
        <f t="shared" si="431"/>
        <v>2</v>
      </c>
      <c r="CA78" s="274">
        <f t="shared" si="432"/>
        <v>2</v>
      </c>
      <c r="CB78" s="274">
        <f t="shared" si="433"/>
        <v>2</v>
      </c>
      <c r="CC78" s="43">
        <f>ROUND((VLOOKUP(A78,'Cumulative pupils per year'!$A$3:$S$88,10,FALSE)),0)</f>
        <v>16</v>
      </c>
      <c r="CD78" s="46">
        <f t="shared" si="434"/>
        <v>3</v>
      </c>
      <c r="CE78" s="46">
        <f t="shared" si="435"/>
        <v>3</v>
      </c>
      <c r="CF78" s="46">
        <f t="shared" si="436"/>
        <v>3</v>
      </c>
      <c r="CG78" s="46">
        <f t="shared" si="437"/>
        <v>2</v>
      </c>
      <c r="CH78" s="46">
        <f t="shared" si="438"/>
        <v>2</v>
      </c>
      <c r="CI78" s="46">
        <f t="shared" si="439"/>
        <v>2</v>
      </c>
      <c r="CJ78" s="46">
        <f t="shared" si="440"/>
        <v>2</v>
      </c>
      <c r="CK78" s="45">
        <f>ROUND((VLOOKUP(A78,'Cumulative pupils per year'!$A$3:$S$88,11,FALSE)),0)</f>
        <v>17</v>
      </c>
      <c r="CL78" s="274">
        <f t="shared" si="343"/>
        <v>3</v>
      </c>
      <c r="CM78" s="274">
        <f t="shared" si="344"/>
        <v>3</v>
      </c>
      <c r="CN78" s="274">
        <f t="shared" si="345"/>
        <v>3</v>
      </c>
      <c r="CO78" s="274">
        <f t="shared" si="346"/>
        <v>2</v>
      </c>
      <c r="CP78" s="274">
        <f t="shared" si="347"/>
        <v>2</v>
      </c>
      <c r="CQ78" s="274">
        <f t="shared" si="348"/>
        <v>2</v>
      </c>
      <c r="CR78" s="274">
        <f t="shared" si="349"/>
        <v>2</v>
      </c>
      <c r="CS78" s="291">
        <f>ROUND((VLOOKUP(A78,'Cumulative pupils per year'!$A$3:$S$88,12,FALSE)),0)</f>
        <v>17</v>
      </c>
      <c r="CT78" s="46">
        <f t="shared" si="350"/>
        <v>3</v>
      </c>
      <c r="CU78" s="46">
        <f t="shared" si="351"/>
        <v>3</v>
      </c>
      <c r="CV78" s="46">
        <f t="shared" si="352"/>
        <v>3</v>
      </c>
      <c r="CW78" s="46">
        <f t="shared" si="353"/>
        <v>2</v>
      </c>
      <c r="CX78" s="46">
        <f t="shared" si="354"/>
        <v>2</v>
      </c>
      <c r="CY78" s="46">
        <f t="shared" si="355"/>
        <v>2</v>
      </c>
      <c r="CZ78" s="46">
        <f t="shared" si="356"/>
        <v>2</v>
      </c>
      <c r="DA78" s="45">
        <f>ROUND((VLOOKUP(A78,'Cumulative pupils per year'!$A$3:$S$88,13,FALSE)),0)</f>
        <v>17</v>
      </c>
      <c r="DB78" s="274">
        <f t="shared" si="357"/>
        <v>3</v>
      </c>
      <c r="DC78" s="274">
        <f t="shared" si="358"/>
        <v>3</v>
      </c>
      <c r="DD78" s="274">
        <f t="shared" si="359"/>
        <v>3</v>
      </c>
      <c r="DE78" s="274">
        <f t="shared" si="360"/>
        <v>2</v>
      </c>
      <c r="DF78" s="274">
        <f t="shared" si="361"/>
        <v>2</v>
      </c>
      <c r="DG78" s="274">
        <f t="shared" si="362"/>
        <v>2</v>
      </c>
      <c r="DH78" s="274">
        <f t="shared" si="363"/>
        <v>2</v>
      </c>
      <c r="DI78" s="291">
        <f>ROUND((VLOOKUP(A78,'Cumulative pupils per year'!$A$3:$S$88,14,FALSE)),0)</f>
        <v>17</v>
      </c>
      <c r="DJ78" s="46">
        <f t="shared" si="364"/>
        <v>3</v>
      </c>
      <c r="DK78" s="46">
        <f t="shared" si="365"/>
        <v>3</v>
      </c>
      <c r="DL78" s="46">
        <f t="shared" si="366"/>
        <v>3</v>
      </c>
      <c r="DM78" s="46">
        <f t="shared" si="367"/>
        <v>2</v>
      </c>
      <c r="DN78" s="46">
        <f t="shared" si="368"/>
        <v>2</v>
      </c>
      <c r="DO78" s="46">
        <f t="shared" si="369"/>
        <v>2</v>
      </c>
      <c r="DP78" s="46">
        <f t="shared" si="370"/>
        <v>2</v>
      </c>
      <c r="DQ78" s="45">
        <f>ROUND((VLOOKUP(A78,'Cumulative pupils per year'!$A$3:$S$88,15,FALSE)),0)</f>
        <v>17</v>
      </c>
    </row>
    <row r="79" spans="1:121">
      <c r="A79" s="275" t="s">
        <v>93</v>
      </c>
      <c r="B79" s="276">
        <v>1</v>
      </c>
      <c r="C79" s="276">
        <v>1</v>
      </c>
      <c r="D79" s="276">
        <v>0</v>
      </c>
      <c r="E79" s="276">
        <v>0</v>
      </c>
      <c r="F79" s="276">
        <v>0</v>
      </c>
      <c r="G79" s="276">
        <v>0</v>
      </c>
      <c r="H79" s="276">
        <v>0</v>
      </c>
      <c r="I79" s="277">
        <v>2</v>
      </c>
      <c r="J79" s="44">
        <f t="shared" si="371"/>
        <v>1</v>
      </c>
      <c r="K79" s="44">
        <f t="shared" si="372"/>
        <v>0</v>
      </c>
      <c r="L79" s="44">
        <f t="shared" si="373"/>
        <v>0</v>
      </c>
      <c r="M79" s="44">
        <f t="shared" si="374"/>
        <v>0</v>
      </c>
      <c r="N79" s="44">
        <f t="shared" si="375"/>
        <v>0</v>
      </c>
      <c r="O79" s="44">
        <f t="shared" si="376"/>
        <v>0</v>
      </c>
      <c r="P79" s="44">
        <f t="shared" si="377"/>
        <v>0</v>
      </c>
      <c r="Q79" s="43">
        <f>ROUND((VLOOKUP(A79,'Cumulative pupils per year'!$A$3:$S$88,2,FALSE)),0)</f>
        <v>1</v>
      </c>
      <c r="R79" s="46">
        <f t="shared" si="378"/>
        <v>1</v>
      </c>
      <c r="S79" s="46">
        <f t="shared" si="379"/>
        <v>1</v>
      </c>
      <c r="T79" s="46">
        <f t="shared" si="380"/>
        <v>0</v>
      </c>
      <c r="U79" s="46">
        <f t="shared" si="381"/>
        <v>0</v>
      </c>
      <c r="V79" s="46">
        <f t="shared" si="382"/>
        <v>0</v>
      </c>
      <c r="W79" s="46">
        <f t="shared" si="383"/>
        <v>0</v>
      </c>
      <c r="X79" s="46">
        <f t="shared" si="384"/>
        <v>0</v>
      </c>
      <c r="Y79" s="45">
        <f>ROUND((VLOOKUP(A79,'Cumulative pupils per year'!$A$3:$S$88,3,FALSE)),0)</f>
        <v>2</v>
      </c>
      <c r="Z79" s="274">
        <f t="shared" si="385"/>
        <v>1</v>
      </c>
      <c r="AA79" s="274">
        <f t="shared" si="386"/>
        <v>1</v>
      </c>
      <c r="AB79" s="274">
        <f t="shared" si="387"/>
        <v>1</v>
      </c>
      <c r="AC79" s="274">
        <f t="shared" si="388"/>
        <v>1</v>
      </c>
      <c r="AD79" s="274">
        <f t="shared" si="389"/>
        <v>1</v>
      </c>
      <c r="AE79" s="274">
        <f t="shared" si="390"/>
        <v>1</v>
      </c>
      <c r="AF79" s="274">
        <f t="shared" si="391"/>
        <v>0</v>
      </c>
      <c r="AG79" s="43">
        <f>ROUND((VLOOKUP(A79,'Cumulative pupils per year'!$A$3:$S$88,4,FALSE)),0)</f>
        <v>6</v>
      </c>
      <c r="AH79" s="46">
        <f t="shared" si="392"/>
        <v>2</v>
      </c>
      <c r="AI79" s="46">
        <f t="shared" si="393"/>
        <v>2</v>
      </c>
      <c r="AJ79" s="46">
        <f t="shared" si="394"/>
        <v>1</v>
      </c>
      <c r="AK79" s="46">
        <f t="shared" si="395"/>
        <v>1</v>
      </c>
      <c r="AL79" s="46">
        <f t="shared" si="396"/>
        <v>1</v>
      </c>
      <c r="AM79" s="46">
        <f t="shared" si="397"/>
        <v>1</v>
      </c>
      <c r="AN79" s="46">
        <f t="shared" si="398"/>
        <v>1</v>
      </c>
      <c r="AO79" s="45">
        <f>ROUND((VLOOKUP(A79,'Cumulative pupils per year'!$A$3:$S$88,5,FALSE)),0)</f>
        <v>9</v>
      </c>
      <c r="AP79" s="274">
        <f t="shared" si="399"/>
        <v>2</v>
      </c>
      <c r="AQ79" s="274">
        <f t="shared" si="400"/>
        <v>2</v>
      </c>
      <c r="AR79" s="274">
        <f t="shared" si="401"/>
        <v>2</v>
      </c>
      <c r="AS79" s="274">
        <f t="shared" si="402"/>
        <v>2</v>
      </c>
      <c r="AT79" s="274">
        <f t="shared" si="403"/>
        <v>2</v>
      </c>
      <c r="AU79" s="274">
        <f t="shared" si="404"/>
        <v>2</v>
      </c>
      <c r="AV79" s="274">
        <f t="shared" si="405"/>
        <v>1</v>
      </c>
      <c r="AW79" s="43">
        <f>ROUND((VLOOKUP(A79,'Cumulative pupils per year'!$A$3:$S$88,6,FALSE)),0)</f>
        <v>13</v>
      </c>
      <c r="AX79" s="46">
        <f t="shared" si="406"/>
        <v>3</v>
      </c>
      <c r="AY79" s="46">
        <f t="shared" si="407"/>
        <v>3</v>
      </c>
      <c r="AZ79" s="46">
        <f t="shared" si="408"/>
        <v>3</v>
      </c>
      <c r="BA79" s="46">
        <f t="shared" si="409"/>
        <v>3</v>
      </c>
      <c r="BB79" s="46">
        <f t="shared" si="410"/>
        <v>2</v>
      </c>
      <c r="BC79" s="46">
        <f t="shared" si="411"/>
        <v>2</v>
      </c>
      <c r="BD79" s="46">
        <f t="shared" si="412"/>
        <v>2</v>
      </c>
      <c r="BE79" s="45">
        <f>ROUND((VLOOKUP(A79,'Cumulative pupils per year'!$A$3:$S$88,7,FALSE)),0)</f>
        <v>18</v>
      </c>
      <c r="BF79" s="274">
        <f t="shared" si="413"/>
        <v>4</v>
      </c>
      <c r="BG79" s="274">
        <f t="shared" si="414"/>
        <v>4</v>
      </c>
      <c r="BH79" s="274">
        <f t="shared" si="415"/>
        <v>3</v>
      </c>
      <c r="BI79" s="274">
        <f t="shared" si="416"/>
        <v>3</v>
      </c>
      <c r="BJ79" s="274">
        <f t="shared" si="417"/>
        <v>3</v>
      </c>
      <c r="BK79" s="274">
        <f t="shared" si="418"/>
        <v>3</v>
      </c>
      <c r="BL79" s="274">
        <f t="shared" si="419"/>
        <v>3</v>
      </c>
      <c r="BM79" s="43">
        <f>ROUND((VLOOKUP(A79,'Cumulative pupils per year'!$A$3:$S$88,8,FALSE)),0)</f>
        <v>23</v>
      </c>
      <c r="BN79" s="46">
        <f t="shared" si="420"/>
        <v>4</v>
      </c>
      <c r="BO79" s="46">
        <f t="shared" si="421"/>
        <v>4</v>
      </c>
      <c r="BP79" s="46">
        <f t="shared" si="422"/>
        <v>4</v>
      </c>
      <c r="BQ79" s="46">
        <f t="shared" si="423"/>
        <v>4</v>
      </c>
      <c r="BR79" s="46">
        <f t="shared" si="424"/>
        <v>4</v>
      </c>
      <c r="BS79" s="46">
        <f t="shared" si="425"/>
        <v>4</v>
      </c>
      <c r="BT79" s="46">
        <f t="shared" si="426"/>
        <v>4</v>
      </c>
      <c r="BU79" s="45">
        <f>ROUND((VLOOKUP(A79,'Cumulative pupils per year'!$A$3:$S$88,9,FALSE)),0)</f>
        <v>28</v>
      </c>
      <c r="BV79" s="274">
        <f t="shared" si="427"/>
        <v>5</v>
      </c>
      <c r="BW79" s="274">
        <f t="shared" si="428"/>
        <v>5</v>
      </c>
      <c r="BX79" s="274">
        <f t="shared" si="429"/>
        <v>5</v>
      </c>
      <c r="BY79" s="274">
        <f t="shared" si="430"/>
        <v>5</v>
      </c>
      <c r="BZ79" s="274">
        <f t="shared" si="431"/>
        <v>5</v>
      </c>
      <c r="CA79" s="274">
        <f t="shared" si="432"/>
        <v>4</v>
      </c>
      <c r="CB79" s="274">
        <f t="shared" si="433"/>
        <v>4</v>
      </c>
      <c r="CC79" s="43">
        <f>ROUND((VLOOKUP(A79,'Cumulative pupils per year'!$A$3:$S$88,10,FALSE)),0)</f>
        <v>33</v>
      </c>
      <c r="CD79" s="46">
        <f t="shared" si="434"/>
        <v>6</v>
      </c>
      <c r="CE79" s="46">
        <f t="shared" si="435"/>
        <v>6</v>
      </c>
      <c r="CF79" s="46">
        <f t="shared" si="436"/>
        <v>6</v>
      </c>
      <c r="CG79" s="46">
        <f t="shared" si="437"/>
        <v>5</v>
      </c>
      <c r="CH79" s="46">
        <f t="shared" si="438"/>
        <v>5</v>
      </c>
      <c r="CI79" s="46">
        <f t="shared" si="439"/>
        <v>5</v>
      </c>
      <c r="CJ79" s="46">
        <f t="shared" si="440"/>
        <v>5</v>
      </c>
      <c r="CK79" s="45">
        <f>ROUND((VLOOKUP(A79,'Cumulative pupils per year'!$A$3:$S$88,11,FALSE)),0)</f>
        <v>38</v>
      </c>
      <c r="CL79" s="274">
        <f t="shared" si="343"/>
        <v>6</v>
      </c>
      <c r="CM79" s="274">
        <f t="shared" si="344"/>
        <v>6</v>
      </c>
      <c r="CN79" s="274">
        <f t="shared" si="345"/>
        <v>6</v>
      </c>
      <c r="CO79" s="274">
        <f t="shared" si="346"/>
        <v>6</v>
      </c>
      <c r="CP79" s="274">
        <f t="shared" si="347"/>
        <v>6</v>
      </c>
      <c r="CQ79" s="274">
        <f t="shared" si="348"/>
        <v>6</v>
      </c>
      <c r="CR79" s="274">
        <f t="shared" si="349"/>
        <v>6</v>
      </c>
      <c r="CS79" s="291">
        <f>ROUND((VLOOKUP(A79,'Cumulative pupils per year'!$A$3:$S$88,12,FALSE)),0)</f>
        <v>42</v>
      </c>
      <c r="CT79" s="46">
        <f t="shared" si="350"/>
        <v>7</v>
      </c>
      <c r="CU79" s="46">
        <f t="shared" si="351"/>
        <v>7</v>
      </c>
      <c r="CV79" s="46">
        <f t="shared" si="352"/>
        <v>7</v>
      </c>
      <c r="CW79" s="46">
        <f t="shared" si="353"/>
        <v>7</v>
      </c>
      <c r="CX79" s="46">
        <f t="shared" si="354"/>
        <v>6</v>
      </c>
      <c r="CY79" s="46">
        <f t="shared" si="355"/>
        <v>6</v>
      </c>
      <c r="CZ79" s="46">
        <f t="shared" si="356"/>
        <v>6</v>
      </c>
      <c r="DA79" s="45">
        <f>ROUND((VLOOKUP(A79,'Cumulative pupils per year'!$A$3:$S$88,13,FALSE)),0)</f>
        <v>46</v>
      </c>
      <c r="DB79" s="274">
        <f t="shared" si="357"/>
        <v>8</v>
      </c>
      <c r="DC79" s="274">
        <f t="shared" si="358"/>
        <v>7</v>
      </c>
      <c r="DD79" s="274">
        <f t="shared" si="359"/>
        <v>7</v>
      </c>
      <c r="DE79" s="274">
        <f t="shared" si="360"/>
        <v>7</v>
      </c>
      <c r="DF79" s="274">
        <f t="shared" si="361"/>
        <v>7</v>
      </c>
      <c r="DG79" s="274">
        <f t="shared" si="362"/>
        <v>7</v>
      </c>
      <c r="DH79" s="274">
        <f t="shared" si="363"/>
        <v>7</v>
      </c>
      <c r="DI79" s="291">
        <f>ROUND((VLOOKUP(A79,'Cumulative pupils per year'!$A$3:$S$88,14,FALSE)),0)</f>
        <v>50</v>
      </c>
      <c r="DJ79" s="46">
        <f t="shared" si="364"/>
        <v>8</v>
      </c>
      <c r="DK79" s="46">
        <f t="shared" si="365"/>
        <v>8</v>
      </c>
      <c r="DL79" s="46">
        <f t="shared" si="366"/>
        <v>8</v>
      </c>
      <c r="DM79" s="46">
        <f t="shared" si="367"/>
        <v>8</v>
      </c>
      <c r="DN79" s="46">
        <f t="shared" si="368"/>
        <v>8</v>
      </c>
      <c r="DO79" s="46">
        <f t="shared" si="369"/>
        <v>7</v>
      </c>
      <c r="DP79" s="46">
        <f t="shared" si="370"/>
        <v>7</v>
      </c>
      <c r="DQ79" s="45">
        <f>ROUND((VLOOKUP(A79,'Cumulative pupils per year'!$A$3:$S$88,15,FALSE)),0)</f>
        <v>54</v>
      </c>
    </row>
    <row r="80" spans="1:121">
      <c r="A80" s="275" t="s">
        <v>94</v>
      </c>
      <c r="B80" s="276">
        <v>1</v>
      </c>
      <c r="C80" s="276">
        <v>0</v>
      </c>
      <c r="D80" s="276">
        <v>0</v>
      </c>
      <c r="E80" s="276">
        <v>0</v>
      </c>
      <c r="F80" s="276">
        <v>0</v>
      </c>
      <c r="G80" s="276">
        <v>0</v>
      </c>
      <c r="H80" s="276">
        <v>0</v>
      </c>
      <c r="I80" s="277">
        <v>1</v>
      </c>
      <c r="J80" s="44">
        <f t="shared" si="371"/>
        <v>1</v>
      </c>
      <c r="K80" s="44">
        <f t="shared" si="372"/>
        <v>0</v>
      </c>
      <c r="L80" s="44">
        <f t="shared" si="373"/>
        <v>0</v>
      </c>
      <c r="M80" s="44">
        <f t="shared" si="374"/>
        <v>0</v>
      </c>
      <c r="N80" s="44">
        <f t="shared" si="375"/>
        <v>0</v>
      </c>
      <c r="O80" s="44">
        <f t="shared" si="376"/>
        <v>0</v>
      </c>
      <c r="P80" s="44">
        <f t="shared" si="377"/>
        <v>0</v>
      </c>
      <c r="Q80" s="43">
        <f>ROUND((VLOOKUP(A80,'Cumulative pupils per year'!$A$3:$S$88,2,FALSE)),0)</f>
        <v>1</v>
      </c>
      <c r="R80" s="46">
        <f t="shared" si="378"/>
        <v>1</v>
      </c>
      <c r="S80" s="46">
        <f t="shared" si="379"/>
        <v>1</v>
      </c>
      <c r="T80" s="46">
        <f t="shared" si="380"/>
        <v>1</v>
      </c>
      <c r="U80" s="46">
        <f t="shared" si="381"/>
        <v>0</v>
      </c>
      <c r="V80" s="46">
        <f t="shared" si="382"/>
        <v>0</v>
      </c>
      <c r="W80" s="46">
        <f t="shared" si="383"/>
        <v>0</v>
      </c>
      <c r="X80" s="46">
        <f t="shared" si="384"/>
        <v>0</v>
      </c>
      <c r="Y80" s="45">
        <f>ROUND((VLOOKUP(A80,'Cumulative pupils per year'!$A$3:$S$88,3,FALSE)),0)</f>
        <v>3</v>
      </c>
      <c r="Z80" s="274">
        <f t="shared" si="385"/>
        <v>1</v>
      </c>
      <c r="AA80" s="274">
        <f t="shared" si="386"/>
        <v>1</v>
      </c>
      <c r="AB80" s="274">
        <f t="shared" si="387"/>
        <v>1</v>
      </c>
      <c r="AC80" s="274">
        <f t="shared" si="388"/>
        <v>1</v>
      </c>
      <c r="AD80" s="274">
        <f t="shared" si="389"/>
        <v>0</v>
      </c>
      <c r="AE80" s="274">
        <f t="shared" si="390"/>
        <v>0</v>
      </c>
      <c r="AF80" s="274">
        <f t="shared" si="391"/>
        <v>0</v>
      </c>
      <c r="AG80" s="43">
        <f>ROUND((VLOOKUP(A80,'Cumulative pupils per year'!$A$3:$S$88,4,FALSE)),0)</f>
        <v>4</v>
      </c>
      <c r="AH80" s="46">
        <f t="shared" si="392"/>
        <v>1</v>
      </c>
      <c r="AI80" s="46">
        <f t="shared" si="393"/>
        <v>1</v>
      </c>
      <c r="AJ80" s="46">
        <f t="shared" si="394"/>
        <v>1</v>
      </c>
      <c r="AK80" s="46">
        <f t="shared" si="395"/>
        <v>1</v>
      </c>
      <c r="AL80" s="46">
        <f t="shared" si="396"/>
        <v>1</v>
      </c>
      <c r="AM80" s="46">
        <f t="shared" si="397"/>
        <v>0</v>
      </c>
      <c r="AN80" s="46">
        <f t="shared" si="398"/>
        <v>0</v>
      </c>
      <c r="AO80" s="45">
        <f>ROUND((VLOOKUP(A80,'Cumulative pupils per year'!$A$3:$S$88,5,FALSE)),0)</f>
        <v>5</v>
      </c>
      <c r="AP80" s="274">
        <f t="shared" si="399"/>
        <v>1</v>
      </c>
      <c r="AQ80" s="274">
        <f t="shared" si="400"/>
        <v>1</v>
      </c>
      <c r="AR80" s="274">
        <f t="shared" si="401"/>
        <v>1</v>
      </c>
      <c r="AS80" s="274">
        <f t="shared" si="402"/>
        <v>1</v>
      </c>
      <c r="AT80" s="274">
        <f t="shared" si="403"/>
        <v>1</v>
      </c>
      <c r="AU80" s="274">
        <f t="shared" si="404"/>
        <v>0</v>
      </c>
      <c r="AV80" s="274">
        <f t="shared" si="405"/>
        <v>0</v>
      </c>
      <c r="AW80" s="43">
        <f>ROUND((VLOOKUP(A80,'Cumulative pupils per year'!$A$3:$S$88,6,FALSE)),0)</f>
        <v>5</v>
      </c>
      <c r="AX80" s="46">
        <f t="shared" si="406"/>
        <v>1</v>
      </c>
      <c r="AY80" s="46">
        <f t="shared" si="407"/>
        <v>1</v>
      </c>
      <c r="AZ80" s="46">
        <f t="shared" si="408"/>
        <v>1</v>
      </c>
      <c r="BA80" s="46">
        <f t="shared" si="409"/>
        <v>1</v>
      </c>
      <c r="BB80" s="46">
        <f t="shared" si="410"/>
        <v>1</v>
      </c>
      <c r="BC80" s="46">
        <f t="shared" si="411"/>
        <v>0</v>
      </c>
      <c r="BD80" s="46">
        <f t="shared" si="412"/>
        <v>0</v>
      </c>
      <c r="BE80" s="45">
        <f>ROUND((VLOOKUP(A80,'Cumulative pupils per year'!$A$3:$S$88,7,FALSE)),0)</f>
        <v>5</v>
      </c>
      <c r="BF80" s="274">
        <f t="shared" si="413"/>
        <v>1</v>
      </c>
      <c r="BG80" s="274">
        <f t="shared" si="414"/>
        <v>1</v>
      </c>
      <c r="BH80" s="274">
        <f t="shared" si="415"/>
        <v>1</v>
      </c>
      <c r="BI80" s="274">
        <f t="shared" si="416"/>
        <v>1</v>
      </c>
      <c r="BJ80" s="274">
        <f t="shared" si="417"/>
        <v>1</v>
      </c>
      <c r="BK80" s="274">
        <f t="shared" si="418"/>
        <v>1</v>
      </c>
      <c r="BL80" s="274">
        <f t="shared" si="419"/>
        <v>0</v>
      </c>
      <c r="BM80" s="43">
        <f>ROUND((VLOOKUP(A80,'Cumulative pupils per year'!$A$3:$S$88,8,FALSE)),0)</f>
        <v>6</v>
      </c>
      <c r="BN80" s="46">
        <f t="shared" si="420"/>
        <v>1</v>
      </c>
      <c r="BO80" s="46">
        <f t="shared" si="421"/>
        <v>1</v>
      </c>
      <c r="BP80" s="46">
        <f t="shared" si="422"/>
        <v>1</v>
      </c>
      <c r="BQ80" s="46">
        <f t="shared" si="423"/>
        <v>1</v>
      </c>
      <c r="BR80" s="46">
        <f t="shared" si="424"/>
        <v>1</v>
      </c>
      <c r="BS80" s="46">
        <f t="shared" si="425"/>
        <v>1</v>
      </c>
      <c r="BT80" s="46">
        <f t="shared" si="426"/>
        <v>0</v>
      </c>
      <c r="BU80" s="45">
        <f>ROUND((VLOOKUP(A80,'Cumulative pupils per year'!$A$3:$S$88,9,FALSE)),0)</f>
        <v>6</v>
      </c>
      <c r="BV80" s="274">
        <f t="shared" si="427"/>
        <v>1</v>
      </c>
      <c r="BW80" s="274">
        <f t="shared" si="428"/>
        <v>1</v>
      </c>
      <c r="BX80" s="274">
        <f t="shared" si="429"/>
        <v>1</v>
      </c>
      <c r="BY80" s="274">
        <f t="shared" si="430"/>
        <v>1</v>
      </c>
      <c r="BZ80" s="274">
        <f t="shared" si="431"/>
        <v>1</v>
      </c>
      <c r="CA80" s="274">
        <f t="shared" si="432"/>
        <v>1</v>
      </c>
      <c r="CB80" s="274">
        <f t="shared" si="433"/>
        <v>0</v>
      </c>
      <c r="CC80" s="43">
        <f>ROUND((VLOOKUP(A80,'Cumulative pupils per year'!$A$3:$S$88,10,FALSE)),0)</f>
        <v>6</v>
      </c>
      <c r="CD80" s="46">
        <f t="shared" si="434"/>
        <v>1</v>
      </c>
      <c r="CE80" s="46">
        <f t="shared" si="435"/>
        <v>1</v>
      </c>
      <c r="CF80" s="46">
        <f t="shared" si="436"/>
        <v>1</v>
      </c>
      <c r="CG80" s="46">
        <f t="shared" si="437"/>
        <v>1</v>
      </c>
      <c r="CH80" s="46">
        <f t="shared" si="438"/>
        <v>1</v>
      </c>
      <c r="CI80" s="46">
        <f t="shared" si="439"/>
        <v>1</v>
      </c>
      <c r="CJ80" s="46">
        <f t="shared" si="440"/>
        <v>0</v>
      </c>
      <c r="CK80" s="45">
        <f>ROUND((VLOOKUP(A80,'Cumulative pupils per year'!$A$3:$S$88,11,FALSE)),0)</f>
        <v>6</v>
      </c>
      <c r="CL80" s="274">
        <f t="shared" si="343"/>
        <v>1</v>
      </c>
      <c r="CM80" s="274">
        <f t="shared" si="344"/>
        <v>1</v>
      </c>
      <c r="CN80" s="274">
        <f t="shared" si="345"/>
        <v>1</v>
      </c>
      <c r="CO80" s="274">
        <f t="shared" si="346"/>
        <v>1</v>
      </c>
      <c r="CP80" s="274">
        <f t="shared" si="347"/>
        <v>1</v>
      </c>
      <c r="CQ80" s="274">
        <f t="shared" si="348"/>
        <v>1</v>
      </c>
      <c r="CR80" s="274">
        <f t="shared" si="349"/>
        <v>0</v>
      </c>
      <c r="CS80" s="291">
        <f>ROUND((VLOOKUP(A80,'Cumulative pupils per year'!$A$3:$S$88,12,FALSE)),0)</f>
        <v>6</v>
      </c>
      <c r="CT80" s="46">
        <f t="shared" si="350"/>
        <v>1</v>
      </c>
      <c r="CU80" s="46">
        <f t="shared" si="351"/>
        <v>1</v>
      </c>
      <c r="CV80" s="46">
        <f t="shared" si="352"/>
        <v>1</v>
      </c>
      <c r="CW80" s="46">
        <f t="shared" si="353"/>
        <v>1</v>
      </c>
      <c r="CX80" s="46">
        <f t="shared" si="354"/>
        <v>1</v>
      </c>
      <c r="CY80" s="46">
        <f t="shared" si="355"/>
        <v>1</v>
      </c>
      <c r="CZ80" s="46">
        <f t="shared" si="356"/>
        <v>0</v>
      </c>
      <c r="DA80" s="45">
        <f>ROUND((VLOOKUP(A80,'Cumulative pupils per year'!$A$3:$S$88,13,FALSE)),0)</f>
        <v>6</v>
      </c>
      <c r="DB80" s="274">
        <f t="shared" si="357"/>
        <v>1</v>
      </c>
      <c r="DC80" s="274">
        <f t="shared" si="358"/>
        <v>1</v>
      </c>
      <c r="DD80" s="274">
        <f t="shared" si="359"/>
        <v>1</v>
      </c>
      <c r="DE80" s="274">
        <f t="shared" si="360"/>
        <v>1</v>
      </c>
      <c r="DF80" s="274">
        <f t="shared" si="361"/>
        <v>1</v>
      </c>
      <c r="DG80" s="274">
        <f t="shared" si="362"/>
        <v>1</v>
      </c>
      <c r="DH80" s="274">
        <f t="shared" si="363"/>
        <v>0</v>
      </c>
      <c r="DI80" s="291">
        <f>ROUND((VLOOKUP(A80,'Cumulative pupils per year'!$A$3:$S$88,14,FALSE)),0)</f>
        <v>6</v>
      </c>
      <c r="DJ80" s="46">
        <f t="shared" si="364"/>
        <v>1</v>
      </c>
      <c r="DK80" s="46">
        <f t="shared" si="365"/>
        <v>1</v>
      </c>
      <c r="DL80" s="46">
        <f t="shared" si="366"/>
        <v>1</v>
      </c>
      <c r="DM80" s="46">
        <f t="shared" si="367"/>
        <v>1</v>
      </c>
      <c r="DN80" s="46">
        <f t="shared" si="368"/>
        <v>1</v>
      </c>
      <c r="DO80" s="46">
        <f t="shared" si="369"/>
        <v>1</v>
      </c>
      <c r="DP80" s="46">
        <f t="shared" si="370"/>
        <v>0</v>
      </c>
      <c r="DQ80" s="45">
        <f>ROUND((VLOOKUP(A80,'Cumulative pupils per year'!$A$3:$S$88,15,FALSE)),0)</f>
        <v>6</v>
      </c>
    </row>
    <row r="81" spans="1:121">
      <c r="A81" s="275" t="s">
        <v>95</v>
      </c>
      <c r="B81" s="276">
        <v>1</v>
      </c>
      <c r="C81" s="276">
        <v>1</v>
      </c>
      <c r="D81" s="276">
        <v>0</v>
      </c>
      <c r="E81" s="276">
        <v>0</v>
      </c>
      <c r="F81" s="276">
        <v>0</v>
      </c>
      <c r="G81" s="276">
        <v>0</v>
      </c>
      <c r="H81" s="276">
        <v>0</v>
      </c>
      <c r="I81" s="277">
        <v>2</v>
      </c>
      <c r="J81" s="44">
        <f t="shared" si="371"/>
        <v>1</v>
      </c>
      <c r="K81" s="44">
        <f t="shared" si="372"/>
        <v>0</v>
      </c>
      <c r="L81" s="44">
        <f t="shared" si="373"/>
        <v>0</v>
      </c>
      <c r="M81" s="44">
        <f t="shared" si="374"/>
        <v>0</v>
      </c>
      <c r="N81" s="44">
        <f t="shared" si="375"/>
        <v>0</v>
      </c>
      <c r="O81" s="44">
        <f t="shared" si="376"/>
        <v>0</v>
      </c>
      <c r="P81" s="44">
        <f t="shared" si="377"/>
        <v>0</v>
      </c>
      <c r="Q81" s="43">
        <f>ROUND((VLOOKUP(A81,'Cumulative pupils per year'!$A$3:$S$88,2,FALSE)),0)</f>
        <v>1</v>
      </c>
      <c r="R81" s="46">
        <f t="shared" si="378"/>
        <v>1</v>
      </c>
      <c r="S81" s="46">
        <f t="shared" si="379"/>
        <v>1</v>
      </c>
      <c r="T81" s="46">
        <f t="shared" si="380"/>
        <v>0</v>
      </c>
      <c r="U81" s="46">
        <f t="shared" si="381"/>
        <v>0</v>
      </c>
      <c r="V81" s="46">
        <f t="shared" si="382"/>
        <v>0</v>
      </c>
      <c r="W81" s="46">
        <f t="shared" si="383"/>
        <v>0</v>
      </c>
      <c r="X81" s="46">
        <f t="shared" si="384"/>
        <v>0</v>
      </c>
      <c r="Y81" s="45">
        <f>ROUND((VLOOKUP(A81,'Cumulative pupils per year'!$A$3:$S$88,3,FALSE)),0)</f>
        <v>2</v>
      </c>
      <c r="Z81" s="274">
        <f t="shared" si="385"/>
        <v>1</v>
      </c>
      <c r="AA81" s="274">
        <f t="shared" si="386"/>
        <v>1</v>
      </c>
      <c r="AB81" s="274">
        <f t="shared" si="387"/>
        <v>1</v>
      </c>
      <c r="AC81" s="274">
        <f t="shared" si="388"/>
        <v>1</v>
      </c>
      <c r="AD81" s="274">
        <f t="shared" si="389"/>
        <v>0</v>
      </c>
      <c r="AE81" s="274">
        <f t="shared" si="390"/>
        <v>0</v>
      </c>
      <c r="AF81" s="274">
        <f t="shared" si="391"/>
        <v>0</v>
      </c>
      <c r="AG81" s="43">
        <f>ROUND((VLOOKUP(A81,'Cumulative pupils per year'!$A$3:$S$88,4,FALSE)),0)</f>
        <v>4</v>
      </c>
      <c r="AH81" s="46">
        <f t="shared" si="392"/>
        <v>1</v>
      </c>
      <c r="AI81" s="46">
        <f t="shared" si="393"/>
        <v>1</v>
      </c>
      <c r="AJ81" s="46">
        <f t="shared" si="394"/>
        <v>1</v>
      </c>
      <c r="AK81" s="46">
        <f t="shared" si="395"/>
        <v>1</v>
      </c>
      <c r="AL81" s="46">
        <f t="shared" si="396"/>
        <v>0</v>
      </c>
      <c r="AM81" s="46">
        <f t="shared" si="397"/>
        <v>0</v>
      </c>
      <c r="AN81" s="46">
        <f t="shared" si="398"/>
        <v>0</v>
      </c>
      <c r="AO81" s="45">
        <f>ROUND((VLOOKUP(A81,'Cumulative pupils per year'!$A$3:$S$88,5,FALSE)),0)</f>
        <v>4</v>
      </c>
      <c r="AP81" s="274">
        <f t="shared" si="399"/>
        <v>1</v>
      </c>
      <c r="AQ81" s="274">
        <f t="shared" si="400"/>
        <v>1</v>
      </c>
      <c r="AR81" s="274">
        <f t="shared" si="401"/>
        <v>1</v>
      </c>
      <c r="AS81" s="274">
        <f t="shared" si="402"/>
        <v>1</v>
      </c>
      <c r="AT81" s="274">
        <f t="shared" si="403"/>
        <v>0</v>
      </c>
      <c r="AU81" s="274">
        <f t="shared" si="404"/>
        <v>0</v>
      </c>
      <c r="AV81" s="274">
        <f t="shared" si="405"/>
        <v>0</v>
      </c>
      <c r="AW81" s="43">
        <f>ROUND((VLOOKUP(A81,'Cumulative pupils per year'!$A$3:$S$88,6,FALSE)),0)</f>
        <v>4</v>
      </c>
      <c r="AX81" s="46">
        <f t="shared" si="406"/>
        <v>2</v>
      </c>
      <c r="AY81" s="46">
        <f t="shared" si="407"/>
        <v>1</v>
      </c>
      <c r="AZ81" s="46">
        <f t="shared" si="408"/>
        <v>1</v>
      </c>
      <c r="BA81" s="46">
        <f t="shared" si="409"/>
        <v>1</v>
      </c>
      <c r="BB81" s="46">
        <f t="shared" si="410"/>
        <v>1</v>
      </c>
      <c r="BC81" s="46">
        <f t="shared" si="411"/>
        <v>1</v>
      </c>
      <c r="BD81" s="46">
        <f t="shared" si="412"/>
        <v>1</v>
      </c>
      <c r="BE81" s="45">
        <f>ROUND((VLOOKUP(A81,'Cumulative pupils per year'!$A$3:$S$88,7,FALSE)),0)</f>
        <v>8</v>
      </c>
      <c r="BF81" s="274">
        <f t="shared" si="413"/>
        <v>2</v>
      </c>
      <c r="BG81" s="274">
        <f t="shared" si="414"/>
        <v>2</v>
      </c>
      <c r="BH81" s="274">
        <f t="shared" si="415"/>
        <v>2</v>
      </c>
      <c r="BI81" s="274">
        <f t="shared" si="416"/>
        <v>2</v>
      </c>
      <c r="BJ81" s="274">
        <f t="shared" si="417"/>
        <v>1</v>
      </c>
      <c r="BK81" s="274">
        <f t="shared" si="418"/>
        <v>1</v>
      </c>
      <c r="BL81" s="274">
        <f t="shared" si="419"/>
        <v>1</v>
      </c>
      <c r="BM81" s="43">
        <f>ROUND((VLOOKUP(A81,'Cumulative pupils per year'!$A$3:$S$88,8,FALSE)),0)</f>
        <v>11</v>
      </c>
      <c r="BN81" s="46">
        <f t="shared" si="420"/>
        <v>2</v>
      </c>
      <c r="BO81" s="46">
        <f t="shared" si="421"/>
        <v>2</v>
      </c>
      <c r="BP81" s="46">
        <f t="shared" si="422"/>
        <v>2</v>
      </c>
      <c r="BQ81" s="46">
        <f t="shared" si="423"/>
        <v>2</v>
      </c>
      <c r="BR81" s="46">
        <f t="shared" si="424"/>
        <v>2</v>
      </c>
      <c r="BS81" s="46">
        <f t="shared" si="425"/>
        <v>1</v>
      </c>
      <c r="BT81" s="46">
        <f t="shared" si="426"/>
        <v>1</v>
      </c>
      <c r="BU81" s="45">
        <f>ROUND((VLOOKUP(A81,'Cumulative pupils per year'!$A$3:$S$88,9,FALSE)),0)</f>
        <v>12</v>
      </c>
      <c r="BV81" s="274">
        <f t="shared" si="427"/>
        <v>2</v>
      </c>
      <c r="BW81" s="274">
        <f t="shared" si="428"/>
        <v>2</v>
      </c>
      <c r="BX81" s="274">
        <f t="shared" si="429"/>
        <v>2</v>
      </c>
      <c r="BY81" s="274">
        <f t="shared" si="430"/>
        <v>2</v>
      </c>
      <c r="BZ81" s="274">
        <f t="shared" si="431"/>
        <v>2</v>
      </c>
      <c r="CA81" s="274">
        <f t="shared" si="432"/>
        <v>2</v>
      </c>
      <c r="CB81" s="274">
        <f t="shared" si="433"/>
        <v>2</v>
      </c>
      <c r="CC81" s="43">
        <f>ROUND((VLOOKUP(A81,'Cumulative pupils per year'!$A$3:$S$88,10,FALSE)),0)</f>
        <v>14</v>
      </c>
      <c r="CD81" s="46">
        <f t="shared" si="434"/>
        <v>3</v>
      </c>
      <c r="CE81" s="46">
        <f t="shared" si="435"/>
        <v>3</v>
      </c>
      <c r="CF81" s="46">
        <f t="shared" si="436"/>
        <v>2</v>
      </c>
      <c r="CG81" s="46">
        <f t="shared" si="437"/>
        <v>2</v>
      </c>
      <c r="CH81" s="46">
        <f t="shared" si="438"/>
        <v>2</v>
      </c>
      <c r="CI81" s="46">
        <f t="shared" si="439"/>
        <v>2</v>
      </c>
      <c r="CJ81" s="46">
        <f t="shared" si="440"/>
        <v>2</v>
      </c>
      <c r="CK81" s="45">
        <f>ROUND((VLOOKUP(A81,'Cumulative pupils per year'!$A$3:$S$88,11,FALSE)),0)</f>
        <v>16</v>
      </c>
      <c r="CL81" s="274">
        <f t="shared" si="343"/>
        <v>3</v>
      </c>
      <c r="CM81" s="274">
        <f t="shared" si="344"/>
        <v>3</v>
      </c>
      <c r="CN81" s="274">
        <f t="shared" si="345"/>
        <v>2</v>
      </c>
      <c r="CO81" s="274">
        <f t="shared" si="346"/>
        <v>2</v>
      </c>
      <c r="CP81" s="274">
        <f t="shared" si="347"/>
        <v>2</v>
      </c>
      <c r="CQ81" s="274">
        <f t="shared" si="348"/>
        <v>2</v>
      </c>
      <c r="CR81" s="274">
        <f t="shared" si="349"/>
        <v>2</v>
      </c>
      <c r="CS81" s="291">
        <f>ROUND((VLOOKUP(A81,'Cumulative pupils per year'!$A$3:$S$88,12,FALSE)),0)</f>
        <v>16</v>
      </c>
      <c r="CT81" s="46">
        <f t="shared" si="350"/>
        <v>3</v>
      </c>
      <c r="CU81" s="46">
        <f t="shared" si="351"/>
        <v>3</v>
      </c>
      <c r="CV81" s="46">
        <f t="shared" si="352"/>
        <v>3</v>
      </c>
      <c r="CW81" s="46">
        <f t="shared" si="353"/>
        <v>2</v>
      </c>
      <c r="CX81" s="46">
        <f t="shared" si="354"/>
        <v>2</v>
      </c>
      <c r="CY81" s="46">
        <f t="shared" si="355"/>
        <v>2</v>
      </c>
      <c r="CZ81" s="46">
        <f t="shared" si="356"/>
        <v>2</v>
      </c>
      <c r="DA81" s="45">
        <f>ROUND((VLOOKUP(A81,'Cumulative pupils per year'!$A$3:$S$88,13,FALSE)),0)</f>
        <v>17</v>
      </c>
      <c r="DB81" s="274">
        <f t="shared" si="357"/>
        <v>3</v>
      </c>
      <c r="DC81" s="274">
        <f t="shared" si="358"/>
        <v>3</v>
      </c>
      <c r="DD81" s="274">
        <f t="shared" si="359"/>
        <v>3</v>
      </c>
      <c r="DE81" s="274">
        <f t="shared" si="360"/>
        <v>2</v>
      </c>
      <c r="DF81" s="274">
        <f t="shared" si="361"/>
        <v>2</v>
      </c>
      <c r="DG81" s="274">
        <f t="shared" si="362"/>
        <v>2</v>
      </c>
      <c r="DH81" s="274">
        <f t="shared" si="363"/>
        <v>2</v>
      </c>
      <c r="DI81" s="291">
        <f>ROUND((VLOOKUP(A81,'Cumulative pupils per year'!$A$3:$S$88,14,FALSE)),0)</f>
        <v>17</v>
      </c>
      <c r="DJ81" s="46">
        <f t="shared" si="364"/>
        <v>3</v>
      </c>
      <c r="DK81" s="46">
        <f t="shared" si="365"/>
        <v>3</v>
      </c>
      <c r="DL81" s="46">
        <f t="shared" si="366"/>
        <v>3</v>
      </c>
      <c r="DM81" s="46">
        <f t="shared" si="367"/>
        <v>3</v>
      </c>
      <c r="DN81" s="46">
        <f t="shared" si="368"/>
        <v>2</v>
      </c>
      <c r="DO81" s="46">
        <f t="shared" si="369"/>
        <v>2</v>
      </c>
      <c r="DP81" s="46">
        <f t="shared" si="370"/>
        <v>2</v>
      </c>
      <c r="DQ81" s="45">
        <f>ROUND((VLOOKUP(A81,'Cumulative pupils per year'!$A$3:$S$88,15,FALSE)),0)</f>
        <v>18</v>
      </c>
    </row>
    <row r="82" spans="1:121">
      <c r="A82" s="4" t="s">
        <v>66</v>
      </c>
      <c r="B82" s="46">
        <v>0</v>
      </c>
      <c r="C82" s="46">
        <v>0</v>
      </c>
      <c r="D82" s="46">
        <v>0</v>
      </c>
      <c r="E82" s="46">
        <v>0</v>
      </c>
      <c r="F82" s="46">
        <v>0</v>
      </c>
      <c r="G82" s="46">
        <v>0</v>
      </c>
      <c r="H82" s="46">
        <v>0</v>
      </c>
      <c r="I82" s="45">
        <v>0</v>
      </c>
      <c r="J82" s="44">
        <f t="shared" si="273"/>
        <v>1</v>
      </c>
      <c r="K82" s="44">
        <f t="shared" si="274"/>
        <v>1</v>
      </c>
      <c r="L82" s="44">
        <f t="shared" si="275"/>
        <v>1</v>
      </c>
      <c r="M82" s="44">
        <f t="shared" si="276"/>
        <v>1</v>
      </c>
      <c r="N82" s="44">
        <f t="shared" si="277"/>
        <v>0</v>
      </c>
      <c r="O82" s="44">
        <f t="shared" si="278"/>
        <v>0</v>
      </c>
      <c r="P82" s="44">
        <f t="shared" si="279"/>
        <v>0</v>
      </c>
      <c r="Q82" s="43">
        <f>ROUND((VLOOKUP(A82,'Cumulative pupils per year'!$A$3:$S$88,2,FALSE)),0)</f>
        <v>4</v>
      </c>
      <c r="R82" s="46">
        <f t="shared" si="378"/>
        <v>2</v>
      </c>
      <c r="S82" s="46">
        <f t="shared" si="379"/>
        <v>2</v>
      </c>
      <c r="T82" s="46">
        <f t="shared" si="380"/>
        <v>2</v>
      </c>
      <c r="U82" s="46">
        <f t="shared" si="381"/>
        <v>1</v>
      </c>
      <c r="V82" s="46">
        <f t="shared" si="382"/>
        <v>1</v>
      </c>
      <c r="W82" s="46">
        <f t="shared" si="383"/>
        <v>1</v>
      </c>
      <c r="X82" s="46">
        <f t="shared" si="384"/>
        <v>1</v>
      </c>
      <c r="Y82" s="45">
        <f>ROUND((VLOOKUP(A82,'Cumulative pupils per year'!$A$3:$S$88,3,FALSE)),0)</f>
        <v>10</v>
      </c>
      <c r="Z82" s="274">
        <f t="shared" si="287"/>
        <v>3</v>
      </c>
      <c r="AA82" s="274">
        <f t="shared" si="288"/>
        <v>3</v>
      </c>
      <c r="AB82" s="274">
        <f t="shared" si="289"/>
        <v>2</v>
      </c>
      <c r="AC82" s="274">
        <f t="shared" si="290"/>
        <v>2</v>
      </c>
      <c r="AD82" s="274">
        <f t="shared" si="291"/>
        <v>2</v>
      </c>
      <c r="AE82" s="274">
        <f t="shared" si="292"/>
        <v>2</v>
      </c>
      <c r="AF82" s="274">
        <f t="shared" si="293"/>
        <v>2</v>
      </c>
      <c r="AG82" s="43">
        <f>ROUND((VLOOKUP(A82,'Cumulative pupils per year'!$A$3:$S$88,4,FALSE)),0)</f>
        <v>16</v>
      </c>
      <c r="AH82" s="46">
        <f t="shared" si="294"/>
        <v>3</v>
      </c>
      <c r="AI82" s="46">
        <f t="shared" si="295"/>
        <v>3</v>
      </c>
      <c r="AJ82" s="46">
        <f t="shared" si="296"/>
        <v>3</v>
      </c>
      <c r="AK82" s="46">
        <f t="shared" si="297"/>
        <v>3</v>
      </c>
      <c r="AL82" s="46">
        <f t="shared" si="298"/>
        <v>2</v>
      </c>
      <c r="AM82" s="46">
        <f t="shared" si="299"/>
        <v>2</v>
      </c>
      <c r="AN82" s="46">
        <f t="shared" si="300"/>
        <v>2</v>
      </c>
      <c r="AO82" s="45">
        <f>ROUND((VLOOKUP(A82,'Cumulative pupils per year'!$A$3:$S$88,5,FALSE)),0)</f>
        <v>18</v>
      </c>
      <c r="AP82" s="274">
        <f t="shared" si="301"/>
        <v>3</v>
      </c>
      <c r="AQ82" s="274">
        <f t="shared" si="302"/>
        <v>3</v>
      </c>
      <c r="AR82" s="274">
        <f t="shared" si="303"/>
        <v>3</v>
      </c>
      <c r="AS82" s="274">
        <f t="shared" si="304"/>
        <v>3</v>
      </c>
      <c r="AT82" s="274">
        <f t="shared" si="305"/>
        <v>2</v>
      </c>
      <c r="AU82" s="274">
        <f t="shared" si="306"/>
        <v>2</v>
      </c>
      <c r="AV82" s="274">
        <f t="shared" si="307"/>
        <v>2</v>
      </c>
      <c r="AW82" s="43">
        <f>ROUND((VLOOKUP(A82,'Cumulative pupils per year'!$A$3:$S$88,6,FALSE)),0)</f>
        <v>18</v>
      </c>
      <c r="AX82" s="46">
        <f t="shared" si="308"/>
        <v>3</v>
      </c>
      <c r="AY82" s="46">
        <f t="shared" si="309"/>
        <v>3</v>
      </c>
      <c r="AZ82" s="46">
        <f t="shared" si="310"/>
        <v>3</v>
      </c>
      <c r="BA82" s="46">
        <f t="shared" si="311"/>
        <v>3</v>
      </c>
      <c r="BB82" s="46">
        <f t="shared" si="312"/>
        <v>2</v>
      </c>
      <c r="BC82" s="46">
        <f t="shared" si="313"/>
        <v>2</v>
      </c>
      <c r="BD82" s="46">
        <f t="shared" si="314"/>
        <v>2</v>
      </c>
      <c r="BE82" s="45">
        <f>ROUND((VLOOKUP(A82,'Cumulative pupils per year'!$A$3:$S$88,7,FALSE)),0)</f>
        <v>18</v>
      </c>
      <c r="BF82" s="274">
        <f t="shared" si="315"/>
        <v>3</v>
      </c>
      <c r="BG82" s="274">
        <f t="shared" si="316"/>
        <v>3</v>
      </c>
      <c r="BH82" s="274">
        <f t="shared" si="317"/>
        <v>3</v>
      </c>
      <c r="BI82" s="274">
        <f t="shared" si="318"/>
        <v>3</v>
      </c>
      <c r="BJ82" s="274">
        <f t="shared" si="319"/>
        <v>2</v>
      </c>
      <c r="BK82" s="274">
        <f t="shared" si="320"/>
        <v>2</v>
      </c>
      <c r="BL82" s="274">
        <f t="shared" si="321"/>
        <v>2</v>
      </c>
      <c r="BM82" s="43">
        <f>ROUND((VLOOKUP(A82,'Cumulative pupils per year'!$A$3:$S$88,8,FALSE)),0)</f>
        <v>18</v>
      </c>
      <c r="BN82" s="46">
        <f t="shared" si="322"/>
        <v>3</v>
      </c>
      <c r="BO82" s="46">
        <f t="shared" si="323"/>
        <v>3</v>
      </c>
      <c r="BP82" s="46">
        <f t="shared" si="324"/>
        <v>3</v>
      </c>
      <c r="BQ82" s="46">
        <f t="shared" si="325"/>
        <v>3</v>
      </c>
      <c r="BR82" s="46">
        <f t="shared" si="326"/>
        <v>2</v>
      </c>
      <c r="BS82" s="46">
        <f t="shared" si="327"/>
        <v>2</v>
      </c>
      <c r="BT82" s="46">
        <f t="shared" si="328"/>
        <v>2</v>
      </c>
      <c r="BU82" s="45">
        <f>ROUND((VLOOKUP(A82,'Cumulative pupils per year'!$A$3:$S$88,9,FALSE)),0)</f>
        <v>18</v>
      </c>
      <c r="BV82" s="274">
        <f t="shared" si="329"/>
        <v>3</v>
      </c>
      <c r="BW82" s="274">
        <f t="shared" si="330"/>
        <v>3</v>
      </c>
      <c r="BX82" s="274">
        <f t="shared" si="331"/>
        <v>3</v>
      </c>
      <c r="BY82" s="274">
        <f t="shared" si="332"/>
        <v>3</v>
      </c>
      <c r="BZ82" s="274">
        <f t="shared" si="333"/>
        <v>2</v>
      </c>
      <c r="CA82" s="274">
        <f t="shared" si="334"/>
        <v>2</v>
      </c>
      <c r="CB82" s="274">
        <f t="shared" si="335"/>
        <v>2</v>
      </c>
      <c r="CC82" s="43">
        <f>ROUND((VLOOKUP(A82,'Cumulative pupils per year'!$A$3:$S$88,10,FALSE)),0)</f>
        <v>18</v>
      </c>
      <c r="CD82" s="46">
        <f t="shared" si="336"/>
        <v>3</v>
      </c>
      <c r="CE82" s="46">
        <f t="shared" si="337"/>
        <v>3</v>
      </c>
      <c r="CF82" s="46">
        <f t="shared" si="338"/>
        <v>3</v>
      </c>
      <c r="CG82" s="46">
        <f t="shared" si="339"/>
        <v>3</v>
      </c>
      <c r="CH82" s="46">
        <f t="shared" si="340"/>
        <v>2</v>
      </c>
      <c r="CI82" s="46">
        <f t="shared" si="341"/>
        <v>2</v>
      </c>
      <c r="CJ82" s="46">
        <f t="shared" si="342"/>
        <v>2</v>
      </c>
      <c r="CK82" s="45">
        <f>ROUND((VLOOKUP(A82,'Cumulative pupils per year'!$A$3:$S$88,11,FALSE)),0)</f>
        <v>18</v>
      </c>
      <c r="CL82" s="274">
        <f t="shared" si="343"/>
        <v>3</v>
      </c>
      <c r="CM82" s="274">
        <f t="shared" si="344"/>
        <v>3</v>
      </c>
      <c r="CN82" s="274">
        <f t="shared" si="345"/>
        <v>3</v>
      </c>
      <c r="CO82" s="274">
        <f t="shared" si="346"/>
        <v>3</v>
      </c>
      <c r="CP82" s="274">
        <f t="shared" si="347"/>
        <v>2</v>
      </c>
      <c r="CQ82" s="274">
        <f t="shared" si="348"/>
        <v>2</v>
      </c>
      <c r="CR82" s="274">
        <f t="shared" si="349"/>
        <v>2</v>
      </c>
      <c r="CS82" s="291">
        <f>ROUND((VLOOKUP(A82,'Cumulative pupils per year'!$A$3:$S$88,12,FALSE)),0)</f>
        <v>18</v>
      </c>
      <c r="CT82" s="46">
        <f t="shared" si="350"/>
        <v>3</v>
      </c>
      <c r="CU82" s="46">
        <f t="shared" si="351"/>
        <v>3</v>
      </c>
      <c r="CV82" s="46">
        <f t="shared" si="352"/>
        <v>3</v>
      </c>
      <c r="CW82" s="46">
        <f t="shared" si="353"/>
        <v>3</v>
      </c>
      <c r="CX82" s="46">
        <f t="shared" si="354"/>
        <v>2</v>
      </c>
      <c r="CY82" s="46">
        <f t="shared" si="355"/>
        <v>2</v>
      </c>
      <c r="CZ82" s="46">
        <f t="shared" si="356"/>
        <v>2</v>
      </c>
      <c r="DA82" s="45">
        <f>ROUND((VLOOKUP(A82,'Cumulative pupils per year'!$A$3:$S$88,13,FALSE)),0)</f>
        <v>18</v>
      </c>
      <c r="DB82" s="274">
        <f t="shared" si="357"/>
        <v>3</v>
      </c>
      <c r="DC82" s="274">
        <f t="shared" si="358"/>
        <v>3</v>
      </c>
      <c r="DD82" s="274">
        <f t="shared" si="359"/>
        <v>3</v>
      </c>
      <c r="DE82" s="274">
        <f t="shared" si="360"/>
        <v>3</v>
      </c>
      <c r="DF82" s="274">
        <f t="shared" si="361"/>
        <v>2</v>
      </c>
      <c r="DG82" s="274">
        <f t="shared" si="362"/>
        <v>2</v>
      </c>
      <c r="DH82" s="274">
        <f t="shared" si="363"/>
        <v>2</v>
      </c>
      <c r="DI82" s="291">
        <f>ROUND((VLOOKUP(A82,'Cumulative pupils per year'!$A$3:$S$88,14,FALSE)),0)</f>
        <v>18</v>
      </c>
      <c r="DJ82" s="46">
        <f t="shared" si="364"/>
        <v>3</v>
      </c>
      <c r="DK82" s="46">
        <f t="shared" si="365"/>
        <v>3</v>
      </c>
      <c r="DL82" s="46">
        <f t="shared" si="366"/>
        <v>3</v>
      </c>
      <c r="DM82" s="46">
        <f t="shared" si="367"/>
        <v>3</v>
      </c>
      <c r="DN82" s="46">
        <f t="shared" si="368"/>
        <v>2</v>
      </c>
      <c r="DO82" s="46">
        <f t="shared" si="369"/>
        <v>2</v>
      </c>
      <c r="DP82" s="46">
        <f t="shared" si="370"/>
        <v>2</v>
      </c>
      <c r="DQ82" s="45">
        <f>ROUND((VLOOKUP(A82,'Cumulative pupils per year'!$A$3:$S$88,15,FALSE)),0)</f>
        <v>18</v>
      </c>
    </row>
    <row r="83" spans="1:121">
      <c r="A83" s="4" t="s">
        <v>67</v>
      </c>
      <c r="B83" s="46">
        <v>0</v>
      </c>
      <c r="C83" s="46">
        <v>0</v>
      </c>
      <c r="D83" s="46">
        <v>0</v>
      </c>
      <c r="E83" s="46">
        <v>0</v>
      </c>
      <c r="F83" s="46">
        <v>0</v>
      </c>
      <c r="G83" s="46">
        <v>0</v>
      </c>
      <c r="H83" s="46">
        <v>0</v>
      </c>
      <c r="I83" s="45">
        <v>0</v>
      </c>
      <c r="J83" s="44">
        <f t="shared" si="273"/>
        <v>0</v>
      </c>
      <c r="K83" s="44">
        <f t="shared" si="274"/>
        <v>0</v>
      </c>
      <c r="L83" s="44">
        <f t="shared" si="275"/>
        <v>0</v>
      </c>
      <c r="M83" s="44">
        <f t="shared" si="276"/>
        <v>0</v>
      </c>
      <c r="N83" s="44">
        <f t="shared" si="277"/>
        <v>0</v>
      </c>
      <c r="O83" s="44">
        <f t="shared" si="278"/>
        <v>0</v>
      </c>
      <c r="P83" s="44">
        <f t="shared" si="279"/>
        <v>0</v>
      </c>
      <c r="Q83" s="43">
        <f>ROUND((VLOOKUP(A83,'Cumulative pupils per year'!$A$3:$S$88,2,FALSE)),0)</f>
        <v>0</v>
      </c>
      <c r="R83" s="46">
        <f t="shared" si="280"/>
        <v>0</v>
      </c>
      <c r="S83" s="46">
        <f t="shared" si="281"/>
        <v>0</v>
      </c>
      <c r="T83" s="46">
        <f t="shared" si="282"/>
        <v>0</v>
      </c>
      <c r="U83" s="46">
        <f t="shared" si="283"/>
        <v>0</v>
      </c>
      <c r="V83" s="46">
        <f t="shared" si="284"/>
        <v>0</v>
      </c>
      <c r="W83" s="46">
        <f t="shared" si="285"/>
        <v>0</v>
      </c>
      <c r="X83" s="46">
        <f t="shared" si="286"/>
        <v>0</v>
      </c>
      <c r="Y83" s="45">
        <f>ROUND((VLOOKUP(A83,'Cumulative pupils per year'!$A$3:$S$88,3,FALSE)),0)</f>
        <v>0</v>
      </c>
      <c r="Z83" s="274">
        <f t="shared" si="287"/>
        <v>1</v>
      </c>
      <c r="AA83" s="274">
        <f t="shared" si="288"/>
        <v>0</v>
      </c>
      <c r="AB83" s="274">
        <f t="shared" si="289"/>
        <v>0</v>
      </c>
      <c r="AC83" s="274">
        <f t="shared" si="290"/>
        <v>0</v>
      </c>
      <c r="AD83" s="274">
        <f t="shared" si="291"/>
        <v>0</v>
      </c>
      <c r="AE83" s="274">
        <f t="shared" si="292"/>
        <v>0</v>
      </c>
      <c r="AF83" s="274">
        <f t="shared" si="293"/>
        <v>0</v>
      </c>
      <c r="AG83" s="43">
        <f>ROUND((VLOOKUP(A83,'Cumulative pupils per year'!$A$3:$S$88,4,FALSE)),0)</f>
        <v>1</v>
      </c>
      <c r="AH83" s="46">
        <f t="shared" si="294"/>
        <v>1</v>
      </c>
      <c r="AI83" s="46">
        <f t="shared" si="295"/>
        <v>1</v>
      </c>
      <c r="AJ83" s="46">
        <f t="shared" si="296"/>
        <v>1</v>
      </c>
      <c r="AK83" s="46">
        <f t="shared" si="297"/>
        <v>0</v>
      </c>
      <c r="AL83" s="46">
        <f t="shared" si="298"/>
        <v>0</v>
      </c>
      <c r="AM83" s="46">
        <f t="shared" si="299"/>
        <v>0</v>
      </c>
      <c r="AN83" s="46">
        <f t="shared" si="300"/>
        <v>0</v>
      </c>
      <c r="AO83" s="45">
        <f>ROUND((VLOOKUP(A83,'Cumulative pupils per year'!$A$3:$S$88,5,FALSE)),0)</f>
        <v>3</v>
      </c>
      <c r="AP83" s="274">
        <f t="shared" si="301"/>
        <v>1</v>
      </c>
      <c r="AQ83" s="274">
        <f t="shared" si="302"/>
        <v>1</v>
      </c>
      <c r="AR83" s="274">
        <f t="shared" si="303"/>
        <v>1</v>
      </c>
      <c r="AS83" s="274">
        <f t="shared" si="304"/>
        <v>1</v>
      </c>
      <c r="AT83" s="274">
        <f t="shared" si="305"/>
        <v>1</v>
      </c>
      <c r="AU83" s="274">
        <f t="shared" si="306"/>
        <v>0</v>
      </c>
      <c r="AV83" s="274">
        <f t="shared" si="307"/>
        <v>0</v>
      </c>
      <c r="AW83" s="43">
        <f>ROUND((VLOOKUP(A83,'Cumulative pupils per year'!$A$3:$S$88,6,FALSE)),0)</f>
        <v>5</v>
      </c>
      <c r="AX83" s="46">
        <f t="shared" si="308"/>
        <v>1</v>
      </c>
      <c r="AY83" s="46">
        <f t="shared" si="309"/>
        <v>1</v>
      </c>
      <c r="AZ83" s="46">
        <f t="shared" si="310"/>
        <v>1</v>
      </c>
      <c r="BA83" s="46">
        <f t="shared" si="311"/>
        <v>1</v>
      </c>
      <c r="BB83" s="46">
        <f t="shared" si="312"/>
        <v>1</v>
      </c>
      <c r="BC83" s="46">
        <f t="shared" si="313"/>
        <v>0</v>
      </c>
      <c r="BD83" s="46">
        <f t="shared" si="314"/>
        <v>0</v>
      </c>
      <c r="BE83" s="45">
        <f>ROUND((VLOOKUP(A83,'Cumulative pupils per year'!$A$3:$S$88,7,FALSE)),0)</f>
        <v>5</v>
      </c>
      <c r="BF83" s="274">
        <f t="shared" si="315"/>
        <v>1</v>
      </c>
      <c r="BG83" s="274">
        <f t="shared" si="316"/>
        <v>1</v>
      </c>
      <c r="BH83" s="274">
        <f t="shared" si="317"/>
        <v>1</v>
      </c>
      <c r="BI83" s="274">
        <f t="shared" si="318"/>
        <v>1</v>
      </c>
      <c r="BJ83" s="274">
        <f t="shared" si="319"/>
        <v>1</v>
      </c>
      <c r="BK83" s="274">
        <f t="shared" si="320"/>
        <v>0</v>
      </c>
      <c r="BL83" s="274">
        <f t="shared" si="321"/>
        <v>0</v>
      </c>
      <c r="BM83" s="43">
        <f>ROUND((VLOOKUP(A83,'Cumulative pupils per year'!$A$3:$S$88,8,FALSE)),0)</f>
        <v>5</v>
      </c>
      <c r="BN83" s="46">
        <f t="shared" si="322"/>
        <v>1</v>
      </c>
      <c r="BO83" s="46">
        <f t="shared" si="323"/>
        <v>1</v>
      </c>
      <c r="BP83" s="46">
        <f t="shared" si="324"/>
        <v>1</v>
      </c>
      <c r="BQ83" s="46">
        <f t="shared" si="325"/>
        <v>1</v>
      </c>
      <c r="BR83" s="46">
        <f t="shared" si="326"/>
        <v>1</v>
      </c>
      <c r="BS83" s="46">
        <f t="shared" si="327"/>
        <v>0</v>
      </c>
      <c r="BT83" s="46">
        <f t="shared" si="328"/>
        <v>0</v>
      </c>
      <c r="BU83" s="45">
        <f>ROUND((VLOOKUP(A83,'Cumulative pupils per year'!$A$3:$S$88,9,FALSE)),0)</f>
        <v>5</v>
      </c>
      <c r="BV83" s="274">
        <f t="shared" si="329"/>
        <v>1</v>
      </c>
      <c r="BW83" s="274">
        <f t="shared" si="330"/>
        <v>1</v>
      </c>
      <c r="BX83" s="274">
        <f t="shared" si="331"/>
        <v>1</v>
      </c>
      <c r="BY83" s="274">
        <f t="shared" si="332"/>
        <v>1</v>
      </c>
      <c r="BZ83" s="274">
        <f t="shared" si="333"/>
        <v>1</v>
      </c>
      <c r="CA83" s="274">
        <f t="shared" si="334"/>
        <v>0</v>
      </c>
      <c r="CB83" s="274">
        <f t="shared" si="335"/>
        <v>0</v>
      </c>
      <c r="CC83" s="43">
        <f>ROUND((VLOOKUP(A83,'Cumulative pupils per year'!$A$3:$S$88,10,FALSE)),0)</f>
        <v>5</v>
      </c>
      <c r="CD83" s="46">
        <f t="shared" si="336"/>
        <v>1</v>
      </c>
      <c r="CE83" s="46">
        <f t="shared" si="337"/>
        <v>1</v>
      </c>
      <c r="CF83" s="46">
        <f t="shared" si="338"/>
        <v>1</v>
      </c>
      <c r="CG83" s="46">
        <f t="shared" si="339"/>
        <v>1</v>
      </c>
      <c r="CH83" s="46">
        <f t="shared" si="340"/>
        <v>1</v>
      </c>
      <c r="CI83" s="46">
        <f t="shared" si="341"/>
        <v>0</v>
      </c>
      <c r="CJ83" s="46">
        <f t="shared" si="342"/>
        <v>0</v>
      </c>
      <c r="CK83" s="45">
        <f>ROUND((VLOOKUP(A83,'Cumulative pupils per year'!$A$3:$S$88,11,FALSE)),0)</f>
        <v>5</v>
      </c>
      <c r="CL83" s="274">
        <f t="shared" si="343"/>
        <v>1</v>
      </c>
      <c r="CM83" s="274">
        <f t="shared" si="344"/>
        <v>1</v>
      </c>
      <c r="CN83" s="274">
        <f t="shared" si="345"/>
        <v>1</v>
      </c>
      <c r="CO83" s="274">
        <f t="shared" si="346"/>
        <v>1</v>
      </c>
      <c r="CP83" s="274">
        <f t="shared" si="347"/>
        <v>1</v>
      </c>
      <c r="CQ83" s="274">
        <f t="shared" si="348"/>
        <v>0</v>
      </c>
      <c r="CR83" s="274">
        <f t="shared" si="349"/>
        <v>0</v>
      </c>
      <c r="CS83" s="291">
        <f>ROUND((VLOOKUP(A83,'Cumulative pupils per year'!$A$3:$S$88,12,FALSE)),0)</f>
        <v>5</v>
      </c>
      <c r="CT83" s="46">
        <f t="shared" si="350"/>
        <v>1</v>
      </c>
      <c r="CU83" s="46">
        <f t="shared" si="351"/>
        <v>1</v>
      </c>
      <c r="CV83" s="46">
        <f t="shared" si="352"/>
        <v>1</v>
      </c>
      <c r="CW83" s="46">
        <f t="shared" si="353"/>
        <v>1</v>
      </c>
      <c r="CX83" s="46">
        <f t="shared" si="354"/>
        <v>1</v>
      </c>
      <c r="CY83" s="46">
        <f t="shared" si="355"/>
        <v>0</v>
      </c>
      <c r="CZ83" s="46">
        <f t="shared" si="356"/>
        <v>0</v>
      </c>
      <c r="DA83" s="45">
        <f>ROUND((VLOOKUP(A83,'Cumulative pupils per year'!$A$3:$S$88,13,FALSE)),0)</f>
        <v>5</v>
      </c>
      <c r="DB83" s="274">
        <f t="shared" si="357"/>
        <v>1</v>
      </c>
      <c r="DC83" s="274">
        <f t="shared" si="358"/>
        <v>1</v>
      </c>
      <c r="DD83" s="274">
        <f t="shared" si="359"/>
        <v>1</v>
      </c>
      <c r="DE83" s="274">
        <f t="shared" si="360"/>
        <v>1</v>
      </c>
      <c r="DF83" s="274">
        <f t="shared" si="361"/>
        <v>1</v>
      </c>
      <c r="DG83" s="274">
        <f t="shared" si="362"/>
        <v>0</v>
      </c>
      <c r="DH83" s="274">
        <f t="shared" si="363"/>
        <v>0</v>
      </c>
      <c r="DI83" s="291">
        <f>ROUND((VLOOKUP(A83,'Cumulative pupils per year'!$A$3:$S$88,14,FALSE)),0)</f>
        <v>5</v>
      </c>
      <c r="DJ83" s="46">
        <f t="shared" si="364"/>
        <v>1</v>
      </c>
      <c r="DK83" s="46">
        <f t="shared" si="365"/>
        <v>1</v>
      </c>
      <c r="DL83" s="46">
        <f t="shared" si="366"/>
        <v>1</v>
      </c>
      <c r="DM83" s="46">
        <f t="shared" si="367"/>
        <v>1</v>
      </c>
      <c r="DN83" s="46">
        <f t="shared" si="368"/>
        <v>1</v>
      </c>
      <c r="DO83" s="46">
        <f t="shared" si="369"/>
        <v>0</v>
      </c>
      <c r="DP83" s="46">
        <f t="shared" si="370"/>
        <v>0</v>
      </c>
      <c r="DQ83" s="45">
        <f>ROUND((VLOOKUP(A83,'Cumulative pupils per year'!$A$3:$S$88,15,FALSE)),0)</f>
        <v>5</v>
      </c>
    </row>
    <row r="84" spans="1:121">
      <c r="A84" s="4" t="s">
        <v>68</v>
      </c>
      <c r="B84" s="46">
        <v>2</v>
      </c>
      <c r="C84" s="46">
        <v>2</v>
      </c>
      <c r="D84" s="46">
        <v>2</v>
      </c>
      <c r="E84" s="46">
        <v>2</v>
      </c>
      <c r="F84" s="46">
        <v>1</v>
      </c>
      <c r="G84" s="46">
        <v>1</v>
      </c>
      <c r="H84" s="46">
        <v>1</v>
      </c>
      <c r="I84" s="45">
        <v>11</v>
      </c>
      <c r="J84" s="44">
        <f t="shared" si="273"/>
        <v>3</v>
      </c>
      <c r="K84" s="44">
        <f t="shared" si="274"/>
        <v>2</v>
      </c>
      <c r="L84" s="44">
        <f t="shared" si="275"/>
        <v>2</v>
      </c>
      <c r="M84" s="44">
        <f t="shared" si="276"/>
        <v>2</v>
      </c>
      <c r="N84" s="44">
        <f t="shared" si="277"/>
        <v>2</v>
      </c>
      <c r="O84" s="44">
        <f t="shared" si="278"/>
        <v>2</v>
      </c>
      <c r="P84" s="44">
        <f t="shared" si="279"/>
        <v>2</v>
      </c>
      <c r="Q84" s="43">
        <f>ROUND((VLOOKUP(A84,'Cumulative pupils per year'!$A$3:$S$88,2,FALSE)),0)</f>
        <v>15</v>
      </c>
      <c r="R84" s="46">
        <f t="shared" si="280"/>
        <v>3</v>
      </c>
      <c r="S84" s="46">
        <f t="shared" si="281"/>
        <v>3</v>
      </c>
      <c r="T84" s="46">
        <f t="shared" si="282"/>
        <v>3</v>
      </c>
      <c r="U84" s="46">
        <f t="shared" si="283"/>
        <v>3</v>
      </c>
      <c r="V84" s="46">
        <f t="shared" si="284"/>
        <v>3</v>
      </c>
      <c r="W84" s="46">
        <f t="shared" si="285"/>
        <v>2</v>
      </c>
      <c r="X84" s="46">
        <f t="shared" si="286"/>
        <v>2</v>
      </c>
      <c r="Y84" s="45">
        <f>ROUND((VLOOKUP(A84,'Cumulative pupils per year'!$A$3:$S$88,3,FALSE)),0)</f>
        <v>19</v>
      </c>
      <c r="Z84" s="274">
        <f t="shared" si="287"/>
        <v>3</v>
      </c>
      <c r="AA84" s="274">
        <f t="shared" si="288"/>
        <v>3</v>
      </c>
      <c r="AB84" s="274">
        <f t="shared" si="289"/>
        <v>3</v>
      </c>
      <c r="AC84" s="274">
        <f t="shared" si="290"/>
        <v>3</v>
      </c>
      <c r="AD84" s="274">
        <f t="shared" si="291"/>
        <v>3</v>
      </c>
      <c r="AE84" s="274">
        <f t="shared" si="292"/>
        <v>3</v>
      </c>
      <c r="AF84" s="274">
        <f t="shared" si="293"/>
        <v>3</v>
      </c>
      <c r="AG84" s="43">
        <f>ROUND((VLOOKUP(A84,'Cumulative pupils per year'!$A$3:$S$88,4,FALSE)),0)</f>
        <v>21</v>
      </c>
      <c r="AH84" s="46">
        <f t="shared" si="294"/>
        <v>4</v>
      </c>
      <c r="AI84" s="46">
        <f t="shared" si="295"/>
        <v>4</v>
      </c>
      <c r="AJ84" s="46">
        <f t="shared" si="296"/>
        <v>4</v>
      </c>
      <c r="AK84" s="46">
        <f t="shared" si="297"/>
        <v>4</v>
      </c>
      <c r="AL84" s="46">
        <f t="shared" si="298"/>
        <v>4</v>
      </c>
      <c r="AM84" s="46">
        <f t="shared" si="299"/>
        <v>3</v>
      </c>
      <c r="AN84" s="46">
        <f t="shared" si="300"/>
        <v>3</v>
      </c>
      <c r="AO84" s="45">
        <f>ROUND((VLOOKUP(A84,'Cumulative pupils per year'!$A$3:$S$88,5,FALSE)),0)</f>
        <v>26</v>
      </c>
      <c r="AP84" s="274">
        <f t="shared" si="301"/>
        <v>5</v>
      </c>
      <c r="AQ84" s="274">
        <f t="shared" si="302"/>
        <v>5</v>
      </c>
      <c r="AR84" s="274">
        <f t="shared" si="303"/>
        <v>5</v>
      </c>
      <c r="AS84" s="274">
        <f t="shared" si="304"/>
        <v>5</v>
      </c>
      <c r="AT84" s="274">
        <f t="shared" si="305"/>
        <v>5</v>
      </c>
      <c r="AU84" s="274">
        <f t="shared" si="306"/>
        <v>5</v>
      </c>
      <c r="AV84" s="274">
        <f t="shared" si="307"/>
        <v>5</v>
      </c>
      <c r="AW84" s="43">
        <f>ROUND((VLOOKUP(A84,'Cumulative pupils per year'!$A$3:$S$88,6,FALSE)),0)</f>
        <v>35</v>
      </c>
      <c r="AX84" s="46">
        <f t="shared" si="308"/>
        <v>7</v>
      </c>
      <c r="AY84" s="46">
        <f t="shared" si="309"/>
        <v>7</v>
      </c>
      <c r="AZ84" s="46">
        <f t="shared" si="310"/>
        <v>7</v>
      </c>
      <c r="BA84" s="46">
        <f t="shared" si="311"/>
        <v>6</v>
      </c>
      <c r="BB84" s="46">
        <f t="shared" si="312"/>
        <v>6</v>
      </c>
      <c r="BC84" s="46">
        <f t="shared" si="313"/>
        <v>6</v>
      </c>
      <c r="BD84" s="46">
        <f t="shared" si="314"/>
        <v>6</v>
      </c>
      <c r="BE84" s="45">
        <f>ROUND((VLOOKUP(A84,'Cumulative pupils per year'!$A$3:$S$88,7,FALSE)),0)</f>
        <v>45</v>
      </c>
      <c r="BF84" s="274">
        <f t="shared" si="315"/>
        <v>8</v>
      </c>
      <c r="BG84" s="274">
        <f t="shared" si="316"/>
        <v>8</v>
      </c>
      <c r="BH84" s="274">
        <f t="shared" si="317"/>
        <v>8</v>
      </c>
      <c r="BI84" s="274">
        <f t="shared" si="318"/>
        <v>8</v>
      </c>
      <c r="BJ84" s="274">
        <f t="shared" si="319"/>
        <v>8</v>
      </c>
      <c r="BK84" s="274">
        <f t="shared" si="320"/>
        <v>7</v>
      </c>
      <c r="BL84" s="274">
        <f t="shared" si="321"/>
        <v>7</v>
      </c>
      <c r="BM84" s="43">
        <f>ROUND((VLOOKUP(A84,'Cumulative pupils per year'!$A$3:$S$88,8,FALSE)),0)</f>
        <v>54</v>
      </c>
      <c r="BN84" s="46">
        <f t="shared" si="322"/>
        <v>9</v>
      </c>
      <c r="BO84" s="46">
        <f t="shared" si="323"/>
        <v>9</v>
      </c>
      <c r="BP84" s="46">
        <f t="shared" si="324"/>
        <v>9</v>
      </c>
      <c r="BQ84" s="46">
        <f t="shared" si="325"/>
        <v>9</v>
      </c>
      <c r="BR84" s="46">
        <f t="shared" si="326"/>
        <v>9</v>
      </c>
      <c r="BS84" s="46">
        <f t="shared" si="327"/>
        <v>9</v>
      </c>
      <c r="BT84" s="46">
        <f t="shared" si="328"/>
        <v>9</v>
      </c>
      <c r="BU84" s="45">
        <f>ROUND((VLOOKUP(A84,'Cumulative pupils per year'!$A$3:$S$88,9,FALSE)),0)</f>
        <v>63</v>
      </c>
      <c r="BV84" s="274">
        <f t="shared" si="329"/>
        <v>9</v>
      </c>
      <c r="BW84" s="274">
        <f t="shared" si="330"/>
        <v>9</v>
      </c>
      <c r="BX84" s="274">
        <f t="shared" si="331"/>
        <v>9</v>
      </c>
      <c r="BY84" s="274">
        <f t="shared" si="332"/>
        <v>9</v>
      </c>
      <c r="BZ84" s="274">
        <f t="shared" si="333"/>
        <v>9</v>
      </c>
      <c r="CA84" s="274">
        <f t="shared" si="334"/>
        <v>9</v>
      </c>
      <c r="CB84" s="274">
        <f t="shared" si="335"/>
        <v>9</v>
      </c>
      <c r="CC84" s="43">
        <f>ROUND((VLOOKUP(A84,'Cumulative pupils per year'!$A$3:$S$88,10,FALSE)),0)</f>
        <v>63</v>
      </c>
      <c r="CD84" s="46">
        <f t="shared" si="336"/>
        <v>9</v>
      </c>
      <c r="CE84" s="46">
        <f t="shared" si="337"/>
        <v>9</v>
      </c>
      <c r="CF84" s="46">
        <f t="shared" si="338"/>
        <v>9</v>
      </c>
      <c r="CG84" s="46">
        <f t="shared" si="339"/>
        <v>9</v>
      </c>
      <c r="CH84" s="46">
        <f t="shared" si="340"/>
        <v>9</v>
      </c>
      <c r="CI84" s="46">
        <f t="shared" si="341"/>
        <v>9</v>
      </c>
      <c r="CJ84" s="46">
        <f t="shared" si="342"/>
        <v>9</v>
      </c>
      <c r="CK84" s="45">
        <f>ROUND((VLOOKUP(A84,'Cumulative pupils per year'!$A$3:$S$88,11,FALSE)),0)</f>
        <v>63</v>
      </c>
      <c r="CL84" s="274">
        <f t="shared" si="343"/>
        <v>9</v>
      </c>
      <c r="CM84" s="274">
        <f t="shared" si="344"/>
        <v>9</v>
      </c>
      <c r="CN84" s="274">
        <f t="shared" si="345"/>
        <v>9</v>
      </c>
      <c r="CO84" s="274">
        <f t="shared" si="346"/>
        <v>9</v>
      </c>
      <c r="CP84" s="274">
        <f t="shared" si="347"/>
        <v>9</v>
      </c>
      <c r="CQ84" s="274">
        <f t="shared" si="348"/>
        <v>9</v>
      </c>
      <c r="CR84" s="274">
        <f t="shared" si="349"/>
        <v>9</v>
      </c>
      <c r="CS84" s="291">
        <f>ROUND((VLOOKUP(A84,'Cumulative pupils per year'!$A$3:$S$88,12,FALSE)),0)</f>
        <v>63</v>
      </c>
      <c r="CT84" s="46">
        <f t="shared" si="350"/>
        <v>9</v>
      </c>
      <c r="CU84" s="46">
        <f t="shared" si="351"/>
        <v>9</v>
      </c>
      <c r="CV84" s="46">
        <f t="shared" si="352"/>
        <v>9</v>
      </c>
      <c r="CW84" s="46">
        <f t="shared" si="353"/>
        <v>9</v>
      </c>
      <c r="CX84" s="46">
        <f t="shared" si="354"/>
        <v>9</v>
      </c>
      <c r="CY84" s="46">
        <f t="shared" si="355"/>
        <v>9</v>
      </c>
      <c r="CZ84" s="46">
        <f t="shared" si="356"/>
        <v>9</v>
      </c>
      <c r="DA84" s="45">
        <f>ROUND((VLOOKUP(A84,'Cumulative pupils per year'!$A$3:$S$88,13,FALSE)),0)</f>
        <v>63</v>
      </c>
      <c r="DB84" s="274">
        <f t="shared" si="357"/>
        <v>9</v>
      </c>
      <c r="DC84" s="274">
        <f t="shared" si="358"/>
        <v>9</v>
      </c>
      <c r="DD84" s="274">
        <f t="shared" si="359"/>
        <v>9</v>
      </c>
      <c r="DE84" s="274">
        <f t="shared" si="360"/>
        <v>9</v>
      </c>
      <c r="DF84" s="274">
        <f t="shared" si="361"/>
        <v>9</v>
      </c>
      <c r="DG84" s="274">
        <f t="shared" si="362"/>
        <v>9</v>
      </c>
      <c r="DH84" s="274">
        <f t="shared" si="363"/>
        <v>9</v>
      </c>
      <c r="DI84" s="291">
        <f>ROUND((VLOOKUP(A84,'Cumulative pupils per year'!$A$3:$S$88,14,FALSE)),0)</f>
        <v>63</v>
      </c>
      <c r="DJ84" s="46">
        <f t="shared" si="364"/>
        <v>9</v>
      </c>
      <c r="DK84" s="46">
        <f t="shared" si="365"/>
        <v>9</v>
      </c>
      <c r="DL84" s="46">
        <f t="shared" si="366"/>
        <v>9</v>
      </c>
      <c r="DM84" s="46">
        <f t="shared" si="367"/>
        <v>9</v>
      </c>
      <c r="DN84" s="46">
        <f t="shared" si="368"/>
        <v>9</v>
      </c>
      <c r="DO84" s="46">
        <f t="shared" si="369"/>
        <v>9</v>
      </c>
      <c r="DP84" s="46">
        <f t="shared" si="370"/>
        <v>9</v>
      </c>
      <c r="DQ84" s="45">
        <f>ROUND((VLOOKUP(A84,'Cumulative pupils per year'!$A$3:$S$88,15,FALSE)),0)</f>
        <v>63</v>
      </c>
    </row>
    <row r="85" spans="1:121">
      <c r="A85" s="4" t="s">
        <v>69</v>
      </c>
      <c r="B85" s="46">
        <v>2</v>
      </c>
      <c r="C85" s="46">
        <v>2</v>
      </c>
      <c r="D85" s="46">
        <v>1</v>
      </c>
      <c r="E85" s="46">
        <v>1</v>
      </c>
      <c r="F85" s="46">
        <v>1</v>
      </c>
      <c r="G85" s="46">
        <v>1</v>
      </c>
      <c r="H85" s="46">
        <v>1</v>
      </c>
      <c r="I85" s="45">
        <v>9</v>
      </c>
      <c r="J85" s="44">
        <f t="shared" si="273"/>
        <v>0</v>
      </c>
      <c r="K85" s="44">
        <f t="shared" si="274"/>
        <v>0</v>
      </c>
      <c r="L85" s="44">
        <f t="shared" si="275"/>
        <v>0</v>
      </c>
      <c r="M85" s="44">
        <f t="shared" si="276"/>
        <v>0</v>
      </c>
      <c r="N85" s="44">
        <f t="shared" si="277"/>
        <v>0</v>
      </c>
      <c r="O85" s="44">
        <f t="shared" si="278"/>
        <v>0</v>
      </c>
      <c r="P85" s="44">
        <f t="shared" si="279"/>
        <v>0</v>
      </c>
      <c r="Q85" s="43">
        <f>ROUND((VLOOKUP(A85,'Cumulative pupils per year'!$A$3:$S$88,2,FALSE)),0)</f>
        <v>0</v>
      </c>
      <c r="R85" s="46">
        <f t="shared" si="280"/>
        <v>1</v>
      </c>
      <c r="S85" s="46">
        <f t="shared" si="281"/>
        <v>1</v>
      </c>
      <c r="T85" s="46">
        <f t="shared" si="282"/>
        <v>0</v>
      </c>
      <c r="U85" s="46">
        <f t="shared" si="283"/>
        <v>0</v>
      </c>
      <c r="V85" s="46">
        <f t="shared" si="284"/>
        <v>0</v>
      </c>
      <c r="W85" s="46">
        <f t="shared" si="285"/>
        <v>0</v>
      </c>
      <c r="X85" s="46">
        <f t="shared" si="286"/>
        <v>0</v>
      </c>
      <c r="Y85" s="45">
        <f>ROUND((VLOOKUP(A85,'Cumulative pupils per year'!$A$3:$S$88,3,FALSE)),0)</f>
        <v>2</v>
      </c>
      <c r="Z85" s="274">
        <f t="shared" si="287"/>
        <v>1</v>
      </c>
      <c r="AA85" s="274">
        <f t="shared" si="288"/>
        <v>1</v>
      </c>
      <c r="AB85" s="274">
        <f t="shared" si="289"/>
        <v>1</v>
      </c>
      <c r="AC85" s="274">
        <f t="shared" si="290"/>
        <v>1</v>
      </c>
      <c r="AD85" s="274">
        <f t="shared" si="291"/>
        <v>0</v>
      </c>
      <c r="AE85" s="274">
        <f t="shared" si="292"/>
        <v>0</v>
      </c>
      <c r="AF85" s="274">
        <f t="shared" si="293"/>
        <v>0</v>
      </c>
      <c r="AG85" s="43">
        <f>ROUND((VLOOKUP(A85,'Cumulative pupils per year'!$A$3:$S$88,4,FALSE)),0)</f>
        <v>4</v>
      </c>
      <c r="AH85" s="46">
        <f t="shared" si="294"/>
        <v>1</v>
      </c>
      <c r="AI85" s="46">
        <f t="shared" si="295"/>
        <v>1</v>
      </c>
      <c r="AJ85" s="46">
        <f t="shared" si="296"/>
        <v>1</v>
      </c>
      <c r="AK85" s="46">
        <f t="shared" si="297"/>
        <v>1</v>
      </c>
      <c r="AL85" s="46">
        <f t="shared" si="298"/>
        <v>1</v>
      </c>
      <c r="AM85" s="46">
        <f t="shared" si="299"/>
        <v>1</v>
      </c>
      <c r="AN85" s="46">
        <f t="shared" si="300"/>
        <v>1</v>
      </c>
      <c r="AO85" s="45">
        <f>ROUND((VLOOKUP(A85,'Cumulative pupils per year'!$A$3:$S$88,5,FALSE)),0)</f>
        <v>7</v>
      </c>
      <c r="AP85" s="274">
        <f t="shared" si="301"/>
        <v>1</v>
      </c>
      <c r="AQ85" s="274">
        <f t="shared" si="302"/>
        <v>1</v>
      </c>
      <c r="AR85" s="274">
        <f t="shared" si="303"/>
        <v>1</v>
      </c>
      <c r="AS85" s="274">
        <f t="shared" si="304"/>
        <v>1</v>
      </c>
      <c r="AT85" s="274">
        <f t="shared" si="305"/>
        <v>1</v>
      </c>
      <c r="AU85" s="274">
        <f t="shared" si="306"/>
        <v>1</v>
      </c>
      <c r="AV85" s="274">
        <f t="shared" si="307"/>
        <v>1</v>
      </c>
      <c r="AW85" s="43">
        <f>ROUND((VLOOKUP(A85,'Cumulative pupils per year'!$A$3:$S$88,6,FALSE)),0)</f>
        <v>7</v>
      </c>
      <c r="AX85" s="46">
        <f t="shared" si="308"/>
        <v>2</v>
      </c>
      <c r="AY85" s="46">
        <f t="shared" si="309"/>
        <v>2</v>
      </c>
      <c r="AZ85" s="46">
        <f t="shared" si="310"/>
        <v>1</v>
      </c>
      <c r="BA85" s="46">
        <f t="shared" si="311"/>
        <v>1</v>
      </c>
      <c r="BB85" s="46">
        <f t="shared" si="312"/>
        <v>1</v>
      </c>
      <c r="BC85" s="46">
        <f t="shared" si="313"/>
        <v>1</v>
      </c>
      <c r="BD85" s="46">
        <f t="shared" si="314"/>
        <v>1</v>
      </c>
      <c r="BE85" s="45">
        <f>ROUND((VLOOKUP(A85,'Cumulative pupils per year'!$A$3:$S$88,7,FALSE)),0)</f>
        <v>9</v>
      </c>
      <c r="BF85" s="274">
        <f t="shared" si="315"/>
        <v>2</v>
      </c>
      <c r="BG85" s="274">
        <f t="shared" si="316"/>
        <v>2</v>
      </c>
      <c r="BH85" s="274">
        <f t="shared" si="317"/>
        <v>1</v>
      </c>
      <c r="BI85" s="274">
        <f t="shared" si="318"/>
        <v>1</v>
      </c>
      <c r="BJ85" s="274">
        <f t="shared" si="319"/>
        <v>1</v>
      </c>
      <c r="BK85" s="274">
        <f t="shared" si="320"/>
        <v>1</v>
      </c>
      <c r="BL85" s="274">
        <f t="shared" si="321"/>
        <v>1</v>
      </c>
      <c r="BM85" s="43">
        <f>ROUND((VLOOKUP(A85,'Cumulative pupils per year'!$A$3:$S$88,8,FALSE)),0)</f>
        <v>9</v>
      </c>
      <c r="BN85" s="46">
        <f t="shared" si="322"/>
        <v>2</v>
      </c>
      <c r="BO85" s="46">
        <f t="shared" si="323"/>
        <v>2</v>
      </c>
      <c r="BP85" s="46">
        <f t="shared" si="324"/>
        <v>1</v>
      </c>
      <c r="BQ85" s="46">
        <f t="shared" si="325"/>
        <v>1</v>
      </c>
      <c r="BR85" s="46">
        <f t="shared" si="326"/>
        <v>1</v>
      </c>
      <c r="BS85" s="46">
        <f t="shared" si="327"/>
        <v>1</v>
      </c>
      <c r="BT85" s="46">
        <f t="shared" si="328"/>
        <v>1</v>
      </c>
      <c r="BU85" s="45">
        <f>ROUND((VLOOKUP(A85,'Cumulative pupils per year'!$A$3:$S$88,9,FALSE)),0)</f>
        <v>9</v>
      </c>
      <c r="BV85" s="274">
        <f t="shared" si="329"/>
        <v>2</v>
      </c>
      <c r="BW85" s="274">
        <f t="shared" si="330"/>
        <v>2</v>
      </c>
      <c r="BX85" s="274">
        <f t="shared" si="331"/>
        <v>1</v>
      </c>
      <c r="BY85" s="274">
        <f t="shared" si="332"/>
        <v>1</v>
      </c>
      <c r="BZ85" s="274">
        <f t="shared" si="333"/>
        <v>1</v>
      </c>
      <c r="CA85" s="274">
        <f t="shared" si="334"/>
        <v>1</v>
      </c>
      <c r="CB85" s="274">
        <f t="shared" si="335"/>
        <v>1</v>
      </c>
      <c r="CC85" s="43">
        <f>ROUND((VLOOKUP(A85,'Cumulative pupils per year'!$A$3:$S$88,10,FALSE)),0)</f>
        <v>9</v>
      </c>
      <c r="CD85" s="46">
        <f t="shared" si="336"/>
        <v>2</v>
      </c>
      <c r="CE85" s="46">
        <f t="shared" si="337"/>
        <v>2</v>
      </c>
      <c r="CF85" s="46">
        <f t="shared" si="338"/>
        <v>1</v>
      </c>
      <c r="CG85" s="46">
        <f t="shared" si="339"/>
        <v>1</v>
      </c>
      <c r="CH85" s="46">
        <f t="shared" si="340"/>
        <v>1</v>
      </c>
      <c r="CI85" s="46">
        <f t="shared" si="341"/>
        <v>1</v>
      </c>
      <c r="CJ85" s="46">
        <f t="shared" si="342"/>
        <v>1</v>
      </c>
      <c r="CK85" s="45">
        <f>ROUND((VLOOKUP(A85,'Cumulative pupils per year'!$A$3:$S$88,11,FALSE)),0)</f>
        <v>9</v>
      </c>
      <c r="CL85" s="274">
        <f t="shared" si="343"/>
        <v>2</v>
      </c>
      <c r="CM85" s="274">
        <f t="shared" si="344"/>
        <v>2</v>
      </c>
      <c r="CN85" s="274">
        <f t="shared" si="345"/>
        <v>1</v>
      </c>
      <c r="CO85" s="274">
        <f t="shared" si="346"/>
        <v>1</v>
      </c>
      <c r="CP85" s="274">
        <f t="shared" si="347"/>
        <v>1</v>
      </c>
      <c r="CQ85" s="274">
        <f t="shared" si="348"/>
        <v>1</v>
      </c>
      <c r="CR85" s="274">
        <f t="shared" si="349"/>
        <v>1</v>
      </c>
      <c r="CS85" s="291">
        <f>ROUND((VLOOKUP(A85,'Cumulative pupils per year'!$A$3:$S$88,12,FALSE)),0)</f>
        <v>9</v>
      </c>
      <c r="CT85" s="46">
        <f t="shared" si="350"/>
        <v>2</v>
      </c>
      <c r="CU85" s="46">
        <f t="shared" si="351"/>
        <v>2</v>
      </c>
      <c r="CV85" s="46">
        <f t="shared" si="352"/>
        <v>1</v>
      </c>
      <c r="CW85" s="46">
        <f t="shared" si="353"/>
        <v>1</v>
      </c>
      <c r="CX85" s="46">
        <f t="shared" si="354"/>
        <v>1</v>
      </c>
      <c r="CY85" s="46">
        <f t="shared" si="355"/>
        <v>1</v>
      </c>
      <c r="CZ85" s="46">
        <f t="shared" si="356"/>
        <v>1</v>
      </c>
      <c r="DA85" s="45">
        <f>ROUND((VLOOKUP(A85,'Cumulative pupils per year'!$A$3:$S$88,13,FALSE)),0)</f>
        <v>9</v>
      </c>
      <c r="DB85" s="274">
        <f t="shared" si="357"/>
        <v>2</v>
      </c>
      <c r="DC85" s="274">
        <f t="shared" si="358"/>
        <v>2</v>
      </c>
      <c r="DD85" s="274">
        <f t="shared" si="359"/>
        <v>1</v>
      </c>
      <c r="DE85" s="274">
        <f t="shared" si="360"/>
        <v>1</v>
      </c>
      <c r="DF85" s="274">
        <f t="shared" si="361"/>
        <v>1</v>
      </c>
      <c r="DG85" s="274">
        <f t="shared" si="362"/>
        <v>1</v>
      </c>
      <c r="DH85" s="274">
        <f t="shared" si="363"/>
        <v>1</v>
      </c>
      <c r="DI85" s="291">
        <f>ROUND((VLOOKUP(A85,'Cumulative pupils per year'!$A$3:$S$88,14,FALSE)),0)</f>
        <v>9</v>
      </c>
      <c r="DJ85" s="46">
        <f t="shared" si="364"/>
        <v>2</v>
      </c>
      <c r="DK85" s="46">
        <f t="shared" si="365"/>
        <v>2</v>
      </c>
      <c r="DL85" s="46">
        <f t="shared" si="366"/>
        <v>1</v>
      </c>
      <c r="DM85" s="46">
        <f t="shared" si="367"/>
        <v>1</v>
      </c>
      <c r="DN85" s="46">
        <f t="shared" si="368"/>
        <v>1</v>
      </c>
      <c r="DO85" s="46">
        <f t="shared" si="369"/>
        <v>1</v>
      </c>
      <c r="DP85" s="46">
        <f t="shared" si="370"/>
        <v>1</v>
      </c>
      <c r="DQ85" s="45">
        <f>ROUND((VLOOKUP(A85,'Cumulative pupils per year'!$A$3:$S$88,15,FALSE)),0)</f>
        <v>9</v>
      </c>
    </row>
    <row r="86" spans="1:121">
      <c r="A86" s="4" t="s">
        <v>70</v>
      </c>
      <c r="B86" s="46">
        <v>1</v>
      </c>
      <c r="C86" s="46">
        <v>1</v>
      </c>
      <c r="D86" s="46">
        <v>0</v>
      </c>
      <c r="E86" s="46">
        <v>0</v>
      </c>
      <c r="F86" s="46">
        <v>0</v>
      </c>
      <c r="G86" s="46">
        <v>0</v>
      </c>
      <c r="H86" s="46">
        <v>0</v>
      </c>
      <c r="I86" s="45">
        <v>2</v>
      </c>
      <c r="J86" s="44">
        <f t="shared" si="273"/>
        <v>0</v>
      </c>
      <c r="K86" s="44">
        <f t="shared" si="274"/>
        <v>0</v>
      </c>
      <c r="L86" s="44">
        <f t="shared" si="275"/>
        <v>0</v>
      </c>
      <c r="M86" s="44">
        <f t="shared" si="276"/>
        <v>0</v>
      </c>
      <c r="N86" s="44">
        <f t="shared" si="277"/>
        <v>0</v>
      </c>
      <c r="O86" s="44">
        <f t="shared" si="278"/>
        <v>0</v>
      </c>
      <c r="P86" s="44">
        <f t="shared" si="279"/>
        <v>0</v>
      </c>
      <c r="Q86" s="43">
        <f>ROUND((VLOOKUP(A86,'Cumulative pupils per year'!$A$3:$S$88,2,FALSE)),0)</f>
        <v>0</v>
      </c>
      <c r="R86" s="46">
        <f t="shared" si="280"/>
        <v>0</v>
      </c>
      <c r="S86" s="46">
        <f t="shared" si="281"/>
        <v>0</v>
      </c>
      <c r="T86" s="46">
        <f t="shared" si="282"/>
        <v>0</v>
      </c>
      <c r="U86" s="46">
        <f t="shared" si="283"/>
        <v>0</v>
      </c>
      <c r="V86" s="46">
        <f t="shared" si="284"/>
        <v>0</v>
      </c>
      <c r="W86" s="46">
        <f t="shared" si="285"/>
        <v>0</v>
      </c>
      <c r="X86" s="46">
        <f t="shared" si="286"/>
        <v>0</v>
      </c>
      <c r="Y86" s="45">
        <f>ROUND((VLOOKUP(A86,'Cumulative pupils per year'!$A$3:$S$88,3,FALSE)),0)</f>
        <v>0</v>
      </c>
      <c r="Z86" s="274">
        <f t="shared" si="287"/>
        <v>0</v>
      </c>
      <c r="AA86" s="274">
        <f t="shared" si="288"/>
        <v>0</v>
      </c>
      <c r="AB86" s="274">
        <f t="shared" si="289"/>
        <v>0</v>
      </c>
      <c r="AC86" s="274">
        <f t="shared" si="290"/>
        <v>0</v>
      </c>
      <c r="AD86" s="274">
        <f t="shared" si="291"/>
        <v>0</v>
      </c>
      <c r="AE86" s="274">
        <f t="shared" si="292"/>
        <v>0</v>
      </c>
      <c r="AF86" s="274">
        <f t="shared" si="293"/>
        <v>0</v>
      </c>
      <c r="AG86" s="43">
        <f>ROUND((VLOOKUP(A86,'Cumulative pupils per year'!$A$3:$S$88,4,FALSE)),0)</f>
        <v>0</v>
      </c>
      <c r="AH86" s="46">
        <f t="shared" si="294"/>
        <v>0</v>
      </c>
      <c r="AI86" s="46">
        <f t="shared" si="295"/>
        <v>0</v>
      </c>
      <c r="AJ86" s="46">
        <f t="shared" si="296"/>
        <v>0</v>
      </c>
      <c r="AK86" s="46">
        <f t="shared" si="297"/>
        <v>0</v>
      </c>
      <c r="AL86" s="46">
        <f t="shared" si="298"/>
        <v>0</v>
      </c>
      <c r="AM86" s="46">
        <f t="shared" si="299"/>
        <v>0</v>
      </c>
      <c r="AN86" s="46">
        <f t="shared" si="300"/>
        <v>0</v>
      </c>
      <c r="AO86" s="45">
        <f>ROUND((VLOOKUP(A86,'Cumulative pupils per year'!$A$3:$S$88,5,FALSE)),0)</f>
        <v>0</v>
      </c>
      <c r="AP86" s="274">
        <f t="shared" si="301"/>
        <v>0</v>
      </c>
      <c r="AQ86" s="274">
        <f t="shared" si="302"/>
        <v>0</v>
      </c>
      <c r="AR86" s="274">
        <f t="shared" si="303"/>
        <v>0</v>
      </c>
      <c r="AS86" s="274">
        <f t="shared" si="304"/>
        <v>0</v>
      </c>
      <c r="AT86" s="274">
        <f t="shared" si="305"/>
        <v>0</v>
      </c>
      <c r="AU86" s="274">
        <f t="shared" si="306"/>
        <v>0</v>
      </c>
      <c r="AV86" s="274">
        <f t="shared" si="307"/>
        <v>0</v>
      </c>
      <c r="AW86" s="43">
        <f>ROUND((VLOOKUP(A86,'Cumulative pupils per year'!$A$3:$S$88,6,FALSE)),0)</f>
        <v>0</v>
      </c>
      <c r="AX86" s="46">
        <f t="shared" si="308"/>
        <v>0</v>
      </c>
      <c r="AY86" s="46">
        <f t="shared" si="309"/>
        <v>0</v>
      </c>
      <c r="AZ86" s="46">
        <f t="shared" si="310"/>
        <v>0</v>
      </c>
      <c r="BA86" s="46">
        <f t="shared" si="311"/>
        <v>0</v>
      </c>
      <c r="BB86" s="46">
        <f t="shared" si="312"/>
        <v>0</v>
      </c>
      <c r="BC86" s="46">
        <f t="shared" si="313"/>
        <v>0</v>
      </c>
      <c r="BD86" s="46">
        <f t="shared" si="314"/>
        <v>0</v>
      </c>
      <c r="BE86" s="45">
        <f>ROUND((VLOOKUP(A86,'Cumulative pupils per year'!$A$3:$S$88,7,FALSE)),0)</f>
        <v>0</v>
      </c>
      <c r="BF86" s="274">
        <f t="shared" si="315"/>
        <v>0</v>
      </c>
      <c r="BG86" s="274">
        <f t="shared" si="316"/>
        <v>0</v>
      </c>
      <c r="BH86" s="274">
        <f t="shared" si="317"/>
        <v>0</v>
      </c>
      <c r="BI86" s="274">
        <f t="shared" si="318"/>
        <v>0</v>
      </c>
      <c r="BJ86" s="274">
        <f t="shared" si="319"/>
        <v>0</v>
      </c>
      <c r="BK86" s="274">
        <f t="shared" si="320"/>
        <v>0</v>
      </c>
      <c r="BL86" s="274">
        <f t="shared" si="321"/>
        <v>0</v>
      </c>
      <c r="BM86" s="43">
        <f>ROUND((VLOOKUP(A86,'Cumulative pupils per year'!$A$3:$S$88,8,FALSE)),0)</f>
        <v>0</v>
      </c>
      <c r="BN86" s="46">
        <f t="shared" si="322"/>
        <v>0</v>
      </c>
      <c r="BO86" s="46">
        <f t="shared" si="323"/>
        <v>0</v>
      </c>
      <c r="BP86" s="46">
        <f t="shared" si="324"/>
        <v>0</v>
      </c>
      <c r="BQ86" s="46">
        <f t="shared" si="325"/>
        <v>0</v>
      </c>
      <c r="BR86" s="46">
        <f t="shared" si="326"/>
        <v>0</v>
      </c>
      <c r="BS86" s="46">
        <f t="shared" si="327"/>
        <v>0</v>
      </c>
      <c r="BT86" s="46">
        <f t="shared" si="328"/>
        <v>0</v>
      </c>
      <c r="BU86" s="45">
        <f>ROUND((VLOOKUP(A86,'Cumulative pupils per year'!$A$3:$S$88,9,FALSE)),0)</f>
        <v>0</v>
      </c>
      <c r="BV86" s="274">
        <f t="shared" si="329"/>
        <v>1</v>
      </c>
      <c r="BW86" s="274">
        <f t="shared" si="330"/>
        <v>0</v>
      </c>
      <c r="BX86" s="274">
        <f t="shared" si="331"/>
        <v>0</v>
      </c>
      <c r="BY86" s="274">
        <f t="shared" si="332"/>
        <v>0</v>
      </c>
      <c r="BZ86" s="274">
        <f t="shared" si="333"/>
        <v>0</v>
      </c>
      <c r="CA86" s="274">
        <f t="shared" si="334"/>
        <v>0</v>
      </c>
      <c r="CB86" s="274">
        <f t="shared" si="335"/>
        <v>0</v>
      </c>
      <c r="CC86" s="43">
        <f>ROUND((VLOOKUP(A86,'Cumulative pupils per year'!$A$3:$S$88,10,FALSE)),0)</f>
        <v>1</v>
      </c>
      <c r="CD86" s="46">
        <f t="shared" si="336"/>
        <v>1</v>
      </c>
      <c r="CE86" s="46">
        <f t="shared" si="337"/>
        <v>0</v>
      </c>
      <c r="CF86" s="46">
        <f t="shared" si="338"/>
        <v>0</v>
      </c>
      <c r="CG86" s="46">
        <f t="shared" si="339"/>
        <v>0</v>
      </c>
      <c r="CH86" s="46">
        <f t="shared" si="340"/>
        <v>0</v>
      </c>
      <c r="CI86" s="46">
        <f t="shared" si="341"/>
        <v>0</v>
      </c>
      <c r="CJ86" s="46">
        <f t="shared" si="342"/>
        <v>0</v>
      </c>
      <c r="CK86" s="45">
        <f>ROUND((VLOOKUP(A86,'Cumulative pupils per year'!$A$3:$S$88,11,FALSE)),0)</f>
        <v>1</v>
      </c>
      <c r="CL86" s="274">
        <f t="shared" si="343"/>
        <v>1</v>
      </c>
      <c r="CM86" s="274">
        <f t="shared" si="344"/>
        <v>0</v>
      </c>
      <c r="CN86" s="274">
        <f t="shared" si="345"/>
        <v>0</v>
      </c>
      <c r="CO86" s="274">
        <f t="shared" si="346"/>
        <v>0</v>
      </c>
      <c r="CP86" s="274">
        <f t="shared" si="347"/>
        <v>0</v>
      </c>
      <c r="CQ86" s="274">
        <f t="shared" si="348"/>
        <v>0</v>
      </c>
      <c r="CR86" s="274">
        <f t="shared" si="349"/>
        <v>0</v>
      </c>
      <c r="CS86" s="291">
        <f>ROUND((VLOOKUP(A86,'Cumulative pupils per year'!$A$3:$S$88,12,FALSE)),0)</f>
        <v>1</v>
      </c>
      <c r="CT86" s="46">
        <f t="shared" si="350"/>
        <v>1</v>
      </c>
      <c r="CU86" s="46">
        <f t="shared" si="351"/>
        <v>0</v>
      </c>
      <c r="CV86" s="46">
        <f t="shared" si="352"/>
        <v>0</v>
      </c>
      <c r="CW86" s="46">
        <f t="shared" si="353"/>
        <v>0</v>
      </c>
      <c r="CX86" s="46">
        <f t="shared" si="354"/>
        <v>0</v>
      </c>
      <c r="CY86" s="46">
        <f t="shared" si="355"/>
        <v>0</v>
      </c>
      <c r="CZ86" s="46">
        <f t="shared" si="356"/>
        <v>0</v>
      </c>
      <c r="DA86" s="45">
        <f>ROUND((VLOOKUP(A86,'Cumulative pupils per year'!$A$3:$S$88,13,FALSE)),0)</f>
        <v>1</v>
      </c>
      <c r="DB86" s="274">
        <f t="shared" si="357"/>
        <v>1</v>
      </c>
      <c r="DC86" s="274">
        <f t="shared" si="358"/>
        <v>0</v>
      </c>
      <c r="DD86" s="274">
        <f t="shared" si="359"/>
        <v>0</v>
      </c>
      <c r="DE86" s="274">
        <f t="shared" si="360"/>
        <v>0</v>
      </c>
      <c r="DF86" s="274">
        <f t="shared" si="361"/>
        <v>0</v>
      </c>
      <c r="DG86" s="274">
        <f t="shared" si="362"/>
        <v>0</v>
      </c>
      <c r="DH86" s="274">
        <f t="shared" si="363"/>
        <v>0</v>
      </c>
      <c r="DI86" s="291">
        <f>ROUND((VLOOKUP(A86,'Cumulative pupils per year'!$A$3:$S$88,14,FALSE)),0)</f>
        <v>1</v>
      </c>
      <c r="DJ86" s="46">
        <f t="shared" si="364"/>
        <v>1</v>
      </c>
      <c r="DK86" s="46">
        <f t="shared" si="365"/>
        <v>0</v>
      </c>
      <c r="DL86" s="46">
        <f t="shared" si="366"/>
        <v>0</v>
      </c>
      <c r="DM86" s="46">
        <f t="shared" si="367"/>
        <v>0</v>
      </c>
      <c r="DN86" s="46">
        <f t="shared" si="368"/>
        <v>0</v>
      </c>
      <c r="DO86" s="46">
        <f t="shared" si="369"/>
        <v>0</v>
      </c>
      <c r="DP86" s="46">
        <f t="shared" si="370"/>
        <v>0</v>
      </c>
      <c r="DQ86" s="45">
        <f>ROUND((VLOOKUP(A86,'Cumulative pupils per year'!$A$3:$S$88,15,FALSE)),0)</f>
        <v>1</v>
      </c>
    </row>
    <row r="87" spans="1:121">
      <c r="A87" s="4" t="s">
        <v>71</v>
      </c>
      <c r="B87" s="46">
        <v>1</v>
      </c>
      <c r="C87" s="46">
        <v>1</v>
      </c>
      <c r="D87" s="46">
        <v>1</v>
      </c>
      <c r="E87" s="46">
        <v>1</v>
      </c>
      <c r="F87" s="46">
        <v>0</v>
      </c>
      <c r="G87" s="46">
        <v>0</v>
      </c>
      <c r="H87" s="46">
        <v>0</v>
      </c>
      <c r="I87" s="45">
        <v>4</v>
      </c>
      <c r="J87" s="44">
        <f t="shared" si="273"/>
        <v>1</v>
      </c>
      <c r="K87" s="44">
        <f t="shared" si="274"/>
        <v>1</v>
      </c>
      <c r="L87" s="44">
        <f t="shared" si="275"/>
        <v>0</v>
      </c>
      <c r="M87" s="44">
        <f t="shared" si="276"/>
        <v>0</v>
      </c>
      <c r="N87" s="44">
        <f t="shared" si="277"/>
        <v>0</v>
      </c>
      <c r="O87" s="44">
        <f t="shared" si="278"/>
        <v>0</v>
      </c>
      <c r="P87" s="44">
        <f t="shared" si="279"/>
        <v>0</v>
      </c>
      <c r="Q87" s="43">
        <f>ROUND((VLOOKUP(A87,'Cumulative pupils per year'!$A$3:$S$88,2,FALSE)),0)</f>
        <v>2</v>
      </c>
      <c r="R87" s="46">
        <f t="shared" si="280"/>
        <v>1</v>
      </c>
      <c r="S87" s="46">
        <f t="shared" si="281"/>
        <v>1</v>
      </c>
      <c r="T87" s="46">
        <f t="shared" si="282"/>
        <v>1</v>
      </c>
      <c r="U87" s="46">
        <f t="shared" si="283"/>
        <v>1</v>
      </c>
      <c r="V87" s="46">
        <f t="shared" si="284"/>
        <v>1</v>
      </c>
      <c r="W87" s="46">
        <f t="shared" si="285"/>
        <v>0</v>
      </c>
      <c r="X87" s="46">
        <f t="shared" si="286"/>
        <v>0</v>
      </c>
      <c r="Y87" s="45">
        <f>ROUND((VLOOKUP(A87,'Cumulative pupils per year'!$A$3:$S$88,3,FALSE)),0)</f>
        <v>5</v>
      </c>
      <c r="Z87" s="274">
        <f t="shared" si="287"/>
        <v>3</v>
      </c>
      <c r="AA87" s="274">
        <f t="shared" si="288"/>
        <v>3</v>
      </c>
      <c r="AB87" s="274">
        <f t="shared" si="289"/>
        <v>2</v>
      </c>
      <c r="AC87" s="274">
        <f t="shared" si="290"/>
        <v>2</v>
      </c>
      <c r="AD87" s="274">
        <f t="shared" si="291"/>
        <v>2</v>
      </c>
      <c r="AE87" s="274">
        <f t="shared" si="292"/>
        <v>2</v>
      </c>
      <c r="AF87" s="274">
        <f t="shared" si="293"/>
        <v>2</v>
      </c>
      <c r="AG87" s="43">
        <f>ROUND((VLOOKUP(A87,'Cumulative pupils per year'!$A$3:$S$88,4,FALSE)),0)</f>
        <v>16</v>
      </c>
      <c r="AH87" s="46">
        <f t="shared" si="294"/>
        <v>4</v>
      </c>
      <c r="AI87" s="46">
        <f t="shared" si="295"/>
        <v>4</v>
      </c>
      <c r="AJ87" s="46">
        <f t="shared" si="296"/>
        <v>4</v>
      </c>
      <c r="AK87" s="46">
        <f t="shared" si="297"/>
        <v>4</v>
      </c>
      <c r="AL87" s="46">
        <f t="shared" si="298"/>
        <v>4</v>
      </c>
      <c r="AM87" s="46">
        <f t="shared" si="299"/>
        <v>4</v>
      </c>
      <c r="AN87" s="46">
        <f t="shared" si="300"/>
        <v>4</v>
      </c>
      <c r="AO87" s="45">
        <f>ROUND((VLOOKUP(A87,'Cumulative pupils per year'!$A$3:$S$88,5,FALSE)),0)</f>
        <v>28</v>
      </c>
      <c r="AP87" s="274">
        <f t="shared" si="301"/>
        <v>6</v>
      </c>
      <c r="AQ87" s="274">
        <f t="shared" si="302"/>
        <v>6</v>
      </c>
      <c r="AR87" s="274">
        <f t="shared" si="303"/>
        <v>6</v>
      </c>
      <c r="AS87" s="274">
        <f t="shared" si="304"/>
        <v>5</v>
      </c>
      <c r="AT87" s="274">
        <f t="shared" si="305"/>
        <v>5</v>
      </c>
      <c r="AU87" s="274">
        <f t="shared" si="306"/>
        <v>5</v>
      </c>
      <c r="AV87" s="274">
        <f t="shared" si="307"/>
        <v>5</v>
      </c>
      <c r="AW87" s="43">
        <f>ROUND((VLOOKUP(A87,'Cumulative pupils per year'!$A$3:$S$88,6,FALSE)),0)</f>
        <v>38</v>
      </c>
      <c r="AX87" s="46">
        <f t="shared" si="308"/>
        <v>8</v>
      </c>
      <c r="AY87" s="46">
        <f t="shared" si="309"/>
        <v>7</v>
      </c>
      <c r="AZ87" s="46">
        <f t="shared" si="310"/>
        <v>7</v>
      </c>
      <c r="BA87" s="46">
        <f t="shared" si="311"/>
        <v>7</v>
      </c>
      <c r="BB87" s="46">
        <f t="shared" si="312"/>
        <v>7</v>
      </c>
      <c r="BC87" s="46">
        <f t="shared" si="313"/>
        <v>7</v>
      </c>
      <c r="BD87" s="46">
        <f t="shared" si="314"/>
        <v>7</v>
      </c>
      <c r="BE87" s="45">
        <f>ROUND((VLOOKUP(A87,'Cumulative pupils per year'!$A$3:$S$88,7,FALSE)),0)</f>
        <v>50</v>
      </c>
      <c r="BF87" s="274">
        <f t="shared" si="315"/>
        <v>10</v>
      </c>
      <c r="BG87" s="274">
        <f t="shared" si="316"/>
        <v>10</v>
      </c>
      <c r="BH87" s="274">
        <f t="shared" si="317"/>
        <v>10</v>
      </c>
      <c r="BI87" s="274">
        <f t="shared" si="318"/>
        <v>9</v>
      </c>
      <c r="BJ87" s="274">
        <f t="shared" si="319"/>
        <v>9</v>
      </c>
      <c r="BK87" s="274">
        <f t="shared" si="320"/>
        <v>9</v>
      </c>
      <c r="BL87" s="274">
        <f t="shared" si="321"/>
        <v>9</v>
      </c>
      <c r="BM87" s="43">
        <f>ROUND((VLOOKUP(A87,'Cumulative pupils per year'!$A$3:$S$88,8,FALSE)),0)</f>
        <v>66</v>
      </c>
      <c r="BN87" s="46">
        <f t="shared" si="322"/>
        <v>12</v>
      </c>
      <c r="BO87" s="46">
        <f t="shared" si="323"/>
        <v>12</v>
      </c>
      <c r="BP87" s="46">
        <f t="shared" si="324"/>
        <v>12</v>
      </c>
      <c r="BQ87" s="46">
        <f t="shared" si="325"/>
        <v>12</v>
      </c>
      <c r="BR87" s="46">
        <f t="shared" si="326"/>
        <v>12</v>
      </c>
      <c r="BS87" s="46">
        <f t="shared" si="327"/>
        <v>11</v>
      </c>
      <c r="BT87" s="46">
        <f t="shared" si="328"/>
        <v>11</v>
      </c>
      <c r="BU87" s="45">
        <f>ROUND((VLOOKUP(A87,'Cumulative pupils per year'!$A$3:$S$88,9,FALSE)),0)</f>
        <v>82</v>
      </c>
      <c r="BV87" s="274">
        <f t="shared" si="329"/>
        <v>14</v>
      </c>
      <c r="BW87" s="274">
        <f t="shared" si="330"/>
        <v>14</v>
      </c>
      <c r="BX87" s="274">
        <f t="shared" si="331"/>
        <v>14</v>
      </c>
      <c r="BY87" s="274">
        <f t="shared" si="332"/>
        <v>14</v>
      </c>
      <c r="BZ87" s="274">
        <f t="shared" si="333"/>
        <v>14</v>
      </c>
      <c r="CA87" s="274">
        <f t="shared" si="334"/>
        <v>14</v>
      </c>
      <c r="CB87" s="274">
        <f t="shared" si="335"/>
        <v>13</v>
      </c>
      <c r="CC87" s="43">
        <f>ROUND((VLOOKUP(A87,'Cumulative pupils per year'!$A$3:$S$88,10,FALSE)),0)</f>
        <v>97</v>
      </c>
      <c r="CD87" s="46">
        <f t="shared" si="336"/>
        <v>16</v>
      </c>
      <c r="CE87" s="46">
        <f t="shared" si="337"/>
        <v>16</v>
      </c>
      <c r="CF87" s="46">
        <f t="shared" si="338"/>
        <v>16</v>
      </c>
      <c r="CG87" s="46">
        <f t="shared" si="339"/>
        <v>16</v>
      </c>
      <c r="CH87" s="46">
        <f t="shared" si="340"/>
        <v>16</v>
      </c>
      <c r="CI87" s="46">
        <f t="shared" si="341"/>
        <v>16</v>
      </c>
      <c r="CJ87" s="46">
        <f t="shared" si="342"/>
        <v>16</v>
      </c>
      <c r="CK87" s="45">
        <f>ROUND((VLOOKUP(A87,'Cumulative pupils per year'!$A$3:$S$88,11,FALSE)),0)</f>
        <v>112</v>
      </c>
      <c r="CL87" s="274">
        <f t="shared" si="343"/>
        <v>18</v>
      </c>
      <c r="CM87" s="274">
        <f t="shared" si="344"/>
        <v>18</v>
      </c>
      <c r="CN87" s="274">
        <f t="shared" si="345"/>
        <v>18</v>
      </c>
      <c r="CO87" s="274">
        <f t="shared" si="346"/>
        <v>18</v>
      </c>
      <c r="CP87" s="274">
        <f t="shared" si="347"/>
        <v>18</v>
      </c>
      <c r="CQ87" s="274">
        <f t="shared" si="348"/>
        <v>18</v>
      </c>
      <c r="CR87" s="274">
        <f t="shared" si="349"/>
        <v>17</v>
      </c>
      <c r="CS87" s="291">
        <f>ROUND((VLOOKUP(A87,'Cumulative pupils per year'!$A$3:$S$88,12,FALSE)),0)</f>
        <v>125</v>
      </c>
      <c r="CT87" s="46">
        <f t="shared" si="350"/>
        <v>20</v>
      </c>
      <c r="CU87" s="46">
        <f t="shared" si="351"/>
        <v>20</v>
      </c>
      <c r="CV87" s="46">
        <f t="shared" si="352"/>
        <v>20</v>
      </c>
      <c r="CW87" s="46">
        <f t="shared" si="353"/>
        <v>20</v>
      </c>
      <c r="CX87" s="46">
        <f t="shared" si="354"/>
        <v>20</v>
      </c>
      <c r="CY87" s="46">
        <f t="shared" si="355"/>
        <v>19</v>
      </c>
      <c r="CZ87" s="46">
        <f t="shared" si="356"/>
        <v>19</v>
      </c>
      <c r="DA87" s="45">
        <f>ROUND((VLOOKUP(A87,'Cumulative pupils per year'!$A$3:$S$88,13,FALSE)),0)</f>
        <v>138</v>
      </c>
      <c r="DB87" s="274">
        <f t="shared" si="357"/>
        <v>22</v>
      </c>
      <c r="DC87" s="274">
        <f t="shared" si="358"/>
        <v>22</v>
      </c>
      <c r="DD87" s="274">
        <f t="shared" si="359"/>
        <v>22</v>
      </c>
      <c r="DE87" s="274">
        <f t="shared" si="360"/>
        <v>22</v>
      </c>
      <c r="DF87" s="274">
        <f t="shared" si="361"/>
        <v>21</v>
      </c>
      <c r="DG87" s="274">
        <f t="shared" si="362"/>
        <v>21</v>
      </c>
      <c r="DH87" s="274">
        <f t="shared" si="363"/>
        <v>21</v>
      </c>
      <c r="DI87" s="291">
        <f>ROUND((VLOOKUP(A87,'Cumulative pupils per year'!$A$3:$S$88,14,FALSE)),0)</f>
        <v>151</v>
      </c>
      <c r="DJ87" s="46">
        <f t="shared" si="364"/>
        <v>24</v>
      </c>
      <c r="DK87" s="46">
        <f t="shared" si="365"/>
        <v>24</v>
      </c>
      <c r="DL87" s="46">
        <f t="shared" si="366"/>
        <v>24</v>
      </c>
      <c r="DM87" s="46">
        <f t="shared" si="367"/>
        <v>23</v>
      </c>
      <c r="DN87" s="46">
        <f t="shared" si="368"/>
        <v>23</v>
      </c>
      <c r="DO87" s="46">
        <f t="shared" si="369"/>
        <v>23</v>
      </c>
      <c r="DP87" s="46">
        <f t="shared" si="370"/>
        <v>23</v>
      </c>
      <c r="DQ87" s="45">
        <f>ROUND((VLOOKUP(A87,'Cumulative pupils per year'!$A$3:$S$88,15,FALSE)),0)</f>
        <v>164</v>
      </c>
    </row>
    <row r="88" spans="1:121">
      <c r="A88" s="4" t="s">
        <v>72</v>
      </c>
      <c r="B88" s="46">
        <v>1</v>
      </c>
      <c r="C88" s="46">
        <v>1</v>
      </c>
      <c r="D88" s="46">
        <v>1</v>
      </c>
      <c r="E88" s="46">
        <v>0</v>
      </c>
      <c r="F88" s="46">
        <v>0</v>
      </c>
      <c r="G88" s="46">
        <v>0</v>
      </c>
      <c r="H88" s="46">
        <v>0</v>
      </c>
      <c r="I88" s="45">
        <v>3</v>
      </c>
      <c r="J88" s="44">
        <f t="shared" si="273"/>
        <v>1</v>
      </c>
      <c r="K88" s="44">
        <f t="shared" si="274"/>
        <v>1</v>
      </c>
      <c r="L88" s="44">
        <f t="shared" si="275"/>
        <v>1</v>
      </c>
      <c r="M88" s="44">
        <f t="shared" si="276"/>
        <v>0</v>
      </c>
      <c r="N88" s="44">
        <f t="shared" si="277"/>
        <v>0</v>
      </c>
      <c r="O88" s="44">
        <f t="shared" si="278"/>
        <v>0</v>
      </c>
      <c r="P88" s="44">
        <f t="shared" si="279"/>
        <v>0</v>
      </c>
      <c r="Q88" s="43">
        <f>ROUND((VLOOKUP(A88,'Cumulative pupils per year'!$A$3:$S$88,2,FALSE)),0)</f>
        <v>3</v>
      </c>
      <c r="R88" s="46">
        <f t="shared" si="280"/>
        <v>2</v>
      </c>
      <c r="S88" s="46">
        <f t="shared" si="281"/>
        <v>2</v>
      </c>
      <c r="T88" s="46">
        <f t="shared" si="282"/>
        <v>1</v>
      </c>
      <c r="U88" s="46">
        <f t="shared" si="283"/>
        <v>1</v>
      </c>
      <c r="V88" s="46">
        <f t="shared" si="284"/>
        <v>1</v>
      </c>
      <c r="W88" s="46">
        <f t="shared" si="285"/>
        <v>1</v>
      </c>
      <c r="X88" s="46">
        <f t="shared" si="286"/>
        <v>1</v>
      </c>
      <c r="Y88" s="45">
        <f>ROUND((VLOOKUP(A88,'Cumulative pupils per year'!$A$3:$S$88,3,FALSE)),0)</f>
        <v>9</v>
      </c>
      <c r="Z88" s="274">
        <f t="shared" si="287"/>
        <v>2</v>
      </c>
      <c r="AA88" s="274">
        <f t="shared" si="288"/>
        <v>2</v>
      </c>
      <c r="AB88" s="274">
        <f t="shared" si="289"/>
        <v>1</v>
      </c>
      <c r="AC88" s="274">
        <f t="shared" si="290"/>
        <v>1</v>
      </c>
      <c r="AD88" s="274">
        <f t="shared" si="291"/>
        <v>1</v>
      </c>
      <c r="AE88" s="274">
        <f t="shared" si="292"/>
        <v>1</v>
      </c>
      <c r="AF88" s="274">
        <f t="shared" si="293"/>
        <v>1</v>
      </c>
      <c r="AG88" s="43">
        <f>ROUND((VLOOKUP(A88,'Cumulative pupils per year'!$A$3:$S$88,4,FALSE)),0)</f>
        <v>9</v>
      </c>
      <c r="AH88" s="46">
        <f t="shared" si="294"/>
        <v>2</v>
      </c>
      <c r="AI88" s="46">
        <f t="shared" si="295"/>
        <v>2</v>
      </c>
      <c r="AJ88" s="46">
        <f t="shared" si="296"/>
        <v>1</v>
      </c>
      <c r="AK88" s="46">
        <f t="shared" si="297"/>
        <v>1</v>
      </c>
      <c r="AL88" s="46">
        <f t="shared" si="298"/>
        <v>1</v>
      </c>
      <c r="AM88" s="46">
        <f t="shared" si="299"/>
        <v>1</v>
      </c>
      <c r="AN88" s="46">
        <f t="shared" si="300"/>
        <v>1</v>
      </c>
      <c r="AO88" s="45">
        <f>ROUND((VLOOKUP(A88,'Cumulative pupils per year'!$A$3:$S$88,5,FALSE)),0)</f>
        <v>9</v>
      </c>
      <c r="AP88" s="274">
        <f t="shared" si="301"/>
        <v>2</v>
      </c>
      <c r="AQ88" s="274">
        <f t="shared" si="302"/>
        <v>2</v>
      </c>
      <c r="AR88" s="274">
        <f t="shared" si="303"/>
        <v>2</v>
      </c>
      <c r="AS88" s="274">
        <f t="shared" si="304"/>
        <v>2</v>
      </c>
      <c r="AT88" s="274">
        <f t="shared" si="305"/>
        <v>2</v>
      </c>
      <c r="AU88" s="274">
        <f t="shared" si="306"/>
        <v>1</v>
      </c>
      <c r="AV88" s="274">
        <f t="shared" si="307"/>
        <v>1</v>
      </c>
      <c r="AW88" s="43">
        <f>ROUND((VLOOKUP(A88,'Cumulative pupils per year'!$A$3:$S$88,6,FALSE)),0)</f>
        <v>12</v>
      </c>
      <c r="AX88" s="46">
        <f t="shared" si="308"/>
        <v>3</v>
      </c>
      <c r="AY88" s="46">
        <f t="shared" si="309"/>
        <v>3</v>
      </c>
      <c r="AZ88" s="46">
        <f t="shared" si="310"/>
        <v>3</v>
      </c>
      <c r="BA88" s="46">
        <f t="shared" si="311"/>
        <v>3</v>
      </c>
      <c r="BB88" s="46">
        <f t="shared" si="312"/>
        <v>3</v>
      </c>
      <c r="BC88" s="46">
        <f t="shared" si="313"/>
        <v>3</v>
      </c>
      <c r="BD88" s="46">
        <f t="shared" si="314"/>
        <v>2</v>
      </c>
      <c r="BE88" s="45">
        <f>ROUND((VLOOKUP(A88,'Cumulative pupils per year'!$A$3:$S$88,7,FALSE)),0)</f>
        <v>20</v>
      </c>
      <c r="BF88" s="274">
        <f t="shared" si="315"/>
        <v>5</v>
      </c>
      <c r="BG88" s="274">
        <f t="shared" si="316"/>
        <v>4</v>
      </c>
      <c r="BH88" s="274">
        <f t="shared" si="317"/>
        <v>4</v>
      </c>
      <c r="BI88" s="274">
        <f t="shared" si="318"/>
        <v>4</v>
      </c>
      <c r="BJ88" s="274">
        <f t="shared" si="319"/>
        <v>4</v>
      </c>
      <c r="BK88" s="274">
        <f t="shared" si="320"/>
        <v>4</v>
      </c>
      <c r="BL88" s="274">
        <f t="shared" si="321"/>
        <v>4</v>
      </c>
      <c r="BM88" s="43">
        <f>ROUND((VLOOKUP(A88,'Cumulative pupils per year'!$A$3:$S$88,8,FALSE)),0)</f>
        <v>29</v>
      </c>
      <c r="BN88" s="46">
        <f t="shared" si="322"/>
        <v>6</v>
      </c>
      <c r="BO88" s="46">
        <f t="shared" si="323"/>
        <v>6</v>
      </c>
      <c r="BP88" s="46">
        <f t="shared" si="324"/>
        <v>6</v>
      </c>
      <c r="BQ88" s="46">
        <f t="shared" si="325"/>
        <v>6</v>
      </c>
      <c r="BR88" s="46">
        <f t="shared" si="326"/>
        <v>6</v>
      </c>
      <c r="BS88" s="46">
        <f t="shared" si="327"/>
        <v>5</v>
      </c>
      <c r="BT88" s="46">
        <f t="shared" si="328"/>
        <v>5</v>
      </c>
      <c r="BU88" s="45">
        <f>ROUND((VLOOKUP(A88,'Cumulative pupils per year'!$A$3:$S$88,9,FALSE)),0)</f>
        <v>40</v>
      </c>
      <c r="BV88" s="274">
        <f t="shared" si="329"/>
        <v>8</v>
      </c>
      <c r="BW88" s="274">
        <f t="shared" si="330"/>
        <v>8</v>
      </c>
      <c r="BX88" s="274">
        <f t="shared" si="331"/>
        <v>7</v>
      </c>
      <c r="BY88" s="274">
        <f t="shared" si="332"/>
        <v>7</v>
      </c>
      <c r="BZ88" s="274">
        <f t="shared" si="333"/>
        <v>7</v>
      </c>
      <c r="CA88" s="274">
        <f t="shared" si="334"/>
        <v>7</v>
      </c>
      <c r="CB88" s="274">
        <f t="shared" si="335"/>
        <v>7</v>
      </c>
      <c r="CC88" s="43">
        <f>ROUND((VLOOKUP(A88,'Cumulative pupils per year'!$A$3:$S$88,10,FALSE)),0)</f>
        <v>51</v>
      </c>
      <c r="CD88" s="46">
        <f t="shared" si="336"/>
        <v>9</v>
      </c>
      <c r="CE88" s="46">
        <f t="shared" si="337"/>
        <v>9</v>
      </c>
      <c r="CF88" s="46">
        <f t="shared" si="338"/>
        <v>9</v>
      </c>
      <c r="CG88" s="46">
        <f t="shared" si="339"/>
        <v>9</v>
      </c>
      <c r="CH88" s="46">
        <f t="shared" si="340"/>
        <v>9</v>
      </c>
      <c r="CI88" s="46">
        <f t="shared" si="341"/>
        <v>9</v>
      </c>
      <c r="CJ88" s="46">
        <f t="shared" si="342"/>
        <v>8</v>
      </c>
      <c r="CK88" s="45">
        <f>ROUND((VLOOKUP(A88,'Cumulative pupils per year'!$A$3:$S$88,11,FALSE)),0)</f>
        <v>62</v>
      </c>
      <c r="CL88" s="274">
        <f t="shared" si="343"/>
        <v>11</v>
      </c>
      <c r="CM88" s="274">
        <f t="shared" si="344"/>
        <v>10</v>
      </c>
      <c r="CN88" s="274">
        <f t="shared" si="345"/>
        <v>10</v>
      </c>
      <c r="CO88" s="274">
        <f t="shared" si="346"/>
        <v>10</v>
      </c>
      <c r="CP88" s="274">
        <f t="shared" si="347"/>
        <v>10</v>
      </c>
      <c r="CQ88" s="274">
        <f t="shared" si="348"/>
        <v>10</v>
      </c>
      <c r="CR88" s="274">
        <f t="shared" si="349"/>
        <v>10</v>
      </c>
      <c r="CS88" s="291">
        <f>ROUND((VLOOKUP(A88,'Cumulative pupils per year'!$A$3:$S$88,12,FALSE)),0)</f>
        <v>71</v>
      </c>
      <c r="CT88" s="46">
        <f t="shared" si="350"/>
        <v>12</v>
      </c>
      <c r="CU88" s="46">
        <f t="shared" si="351"/>
        <v>12</v>
      </c>
      <c r="CV88" s="46">
        <f t="shared" si="352"/>
        <v>12</v>
      </c>
      <c r="CW88" s="46">
        <f t="shared" si="353"/>
        <v>11</v>
      </c>
      <c r="CX88" s="46">
        <f t="shared" si="354"/>
        <v>11</v>
      </c>
      <c r="CY88" s="46">
        <f t="shared" si="355"/>
        <v>11</v>
      </c>
      <c r="CZ88" s="46">
        <f t="shared" si="356"/>
        <v>11</v>
      </c>
      <c r="DA88" s="45">
        <f>ROUND((VLOOKUP(A88,'Cumulative pupils per year'!$A$3:$S$88,13,FALSE)),0)</f>
        <v>80</v>
      </c>
      <c r="DB88" s="274">
        <f t="shared" si="357"/>
        <v>13</v>
      </c>
      <c r="DC88" s="274">
        <f t="shared" si="358"/>
        <v>13</v>
      </c>
      <c r="DD88" s="274">
        <f t="shared" si="359"/>
        <v>13</v>
      </c>
      <c r="DE88" s="274">
        <f t="shared" si="360"/>
        <v>13</v>
      </c>
      <c r="DF88" s="274">
        <f t="shared" si="361"/>
        <v>13</v>
      </c>
      <c r="DG88" s="274">
        <f t="shared" si="362"/>
        <v>13</v>
      </c>
      <c r="DH88" s="274">
        <f t="shared" si="363"/>
        <v>12</v>
      </c>
      <c r="DI88" s="291">
        <f>ROUND((VLOOKUP(A88,'Cumulative pupils per year'!$A$3:$S$88,14,FALSE)),0)</f>
        <v>90</v>
      </c>
      <c r="DJ88" s="46">
        <f t="shared" si="364"/>
        <v>15</v>
      </c>
      <c r="DK88" s="46">
        <f t="shared" si="365"/>
        <v>14</v>
      </c>
      <c r="DL88" s="46">
        <f t="shared" si="366"/>
        <v>14</v>
      </c>
      <c r="DM88" s="46">
        <f t="shared" si="367"/>
        <v>14</v>
      </c>
      <c r="DN88" s="46">
        <f t="shared" si="368"/>
        <v>14</v>
      </c>
      <c r="DO88" s="46">
        <f t="shared" si="369"/>
        <v>14</v>
      </c>
      <c r="DP88" s="46">
        <f t="shared" si="370"/>
        <v>14</v>
      </c>
      <c r="DQ88" s="45">
        <f>ROUND((VLOOKUP(A88,'Cumulative pupils per year'!$A$3:$S$88,15,FALSE)),0)</f>
        <v>99</v>
      </c>
    </row>
    <row r="89" spans="1:121">
      <c r="A89" s="4" t="s">
        <v>73</v>
      </c>
      <c r="B89" s="46">
        <v>0</v>
      </c>
      <c r="C89" s="46">
        <v>0</v>
      </c>
      <c r="D89" s="46">
        <v>0</v>
      </c>
      <c r="E89" s="46">
        <v>0</v>
      </c>
      <c r="F89" s="46">
        <v>0</v>
      </c>
      <c r="G89" s="46">
        <v>0</v>
      </c>
      <c r="H89" s="46">
        <v>0</v>
      </c>
      <c r="I89" s="45">
        <v>0</v>
      </c>
      <c r="J89" s="44">
        <f t="shared" si="273"/>
        <v>1</v>
      </c>
      <c r="K89" s="44">
        <f t="shared" si="274"/>
        <v>0</v>
      </c>
      <c r="L89" s="44">
        <f t="shared" si="275"/>
        <v>0</v>
      </c>
      <c r="M89" s="44">
        <f t="shared" si="276"/>
        <v>0</v>
      </c>
      <c r="N89" s="44">
        <f t="shared" si="277"/>
        <v>0</v>
      </c>
      <c r="O89" s="44">
        <f t="shared" si="278"/>
        <v>0</v>
      </c>
      <c r="P89" s="44">
        <f t="shared" si="279"/>
        <v>0</v>
      </c>
      <c r="Q89" s="43">
        <f>ROUND((VLOOKUP(A89,'Cumulative pupils per year'!$A$3:$S$89,2,FALSE)),0)</f>
        <v>1</v>
      </c>
      <c r="R89" s="46">
        <f t="shared" si="280"/>
        <v>1</v>
      </c>
      <c r="S89" s="46">
        <f t="shared" si="281"/>
        <v>0</v>
      </c>
      <c r="T89" s="46">
        <f t="shared" si="282"/>
        <v>0</v>
      </c>
      <c r="U89" s="46">
        <f t="shared" si="283"/>
        <v>0</v>
      </c>
      <c r="V89" s="46">
        <f t="shared" si="284"/>
        <v>0</v>
      </c>
      <c r="W89" s="46">
        <f t="shared" si="285"/>
        <v>0</v>
      </c>
      <c r="X89" s="46">
        <f t="shared" si="286"/>
        <v>0</v>
      </c>
      <c r="Y89" s="45">
        <f>ROUND((VLOOKUP(A89,'Cumulative pupils per year'!$A$3:$S$89,3,FALSE)),0)</f>
        <v>1</v>
      </c>
      <c r="Z89" s="274">
        <f t="shared" si="287"/>
        <v>1</v>
      </c>
      <c r="AA89" s="274">
        <f t="shared" si="288"/>
        <v>0</v>
      </c>
      <c r="AB89" s="274">
        <f t="shared" si="289"/>
        <v>0</v>
      </c>
      <c r="AC89" s="274">
        <f t="shared" si="290"/>
        <v>0</v>
      </c>
      <c r="AD89" s="274">
        <f t="shared" si="291"/>
        <v>0</v>
      </c>
      <c r="AE89" s="274">
        <f t="shared" si="292"/>
        <v>0</v>
      </c>
      <c r="AF89" s="274">
        <f t="shared" si="293"/>
        <v>0</v>
      </c>
      <c r="AG89" s="43">
        <f>ROUND((VLOOKUP(A89,'Cumulative pupils per year'!$A$3:$S$89,4,FALSE)),0)</f>
        <v>1</v>
      </c>
      <c r="AH89" s="46">
        <f t="shared" si="294"/>
        <v>1</v>
      </c>
      <c r="AI89" s="46">
        <f t="shared" si="295"/>
        <v>0</v>
      </c>
      <c r="AJ89" s="46">
        <f t="shared" si="296"/>
        <v>0</v>
      </c>
      <c r="AK89" s="46">
        <f t="shared" si="297"/>
        <v>0</v>
      </c>
      <c r="AL89" s="46">
        <f t="shared" si="298"/>
        <v>0</v>
      </c>
      <c r="AM89" s="46">
        <f t="shared" si="299"/>
        <v>0</v>
      </c>
      <c r="AN89" s="46">
        <f t="shared" si="300"/>
        <v>0</v>
      </c>
      <c r="AO89" s="45">
        <f>ROUND((VLOOKUP(A89,'Cumulative pupils per year'!$A$3:$S$89,5,FALSE)),0)</f>
        <v>1</v>
      </c>
      <c r="AP89" s="274">
        <f t="shared" si="301"/>
        <v>1</v>
      </c>
      <c r="AQ89" s="274">
        <f t="shared" si="302"/>
        <v>0</v>
      </c>
      <c r="AR89" s="274">
        <f t="shared" si="303"/>
        <v>0</v>
      </c>
      <c r="AS89" s="274">
        <f t="shared" si="304"/>
        <v>0</v>
      </c>
      <c r="AT89" s="274">
        <f t="shared" si="305"/>
        <v>0</v>
      </c>
      <c r="AU89" s="274">
        <f t="shared" si="306"/>
        <v>0</v>
      </c>
      <c r="AV89" s="274">
        <f t="shared" si="307"/>
        <v>0</v>
      </c>
      <c r="AW89" s="43">
        <f>ROUND((VLOOKUP(A89,'Cumulative pupils per year'!$A$3:$S$89,6,FALSE)),0)</f>
        <v>1</v>
      </c>
      <c r="AX89" s="46">
        <f t="shared" si="308"/>
        <v>1</v>
      </c>
      <c r="AY89" s="46">
        <f t="shared" si="309"/>
        <v>0</v>
      </c>
      <c r="AZ89" s="46">
        <f t="shared" si="310"/>
        <v>0</v>
      </c>
      <c r="BA89" s="46">
        <f t="shared" si="311"/>
        <v>0</v>
      </c>
      <c r="BB89" s="46">
        <f t="shared" si="312"/>
        <v>0</v>
      </c>
      <c r="BC89" s="46">
        <f t="shared" si="313"/>
        <v>0</v>
      </c>
      <c r="BD89" s="46">
        <f t="shared" si="314"/>
        <v>0</v>
      </c>
      <c r="BE89" s="45">
        <f>ROUND((VLOOKUP(A89,'Cumulative pupils per year'!$A$3:$S$89,7,FALSE)),0)</f>
        <v>1</v>
      </c>
      <c r="BF89" s="274">
        <f t="shared" si="315"/>
        <v>1</v>
      </c>
      <c r="BG89" s="274">
        <f t="shared" si="316"/>
        <v>0</v>
      </c>
      <c r="BH89" s="274">
        <f t="shared" si="317"/>
        <v>0</v>
      </c>
      <c r="BI89" s="274">
        <f t="shared" si="318"/>
        <v>0</v>
      </c>
      <c r="BJ89" s="274">
        <f t="shared" si="319"/>
        <v>0</v>
      </c>
      <c r="BK89" s="274">
        <f t="shared" si="320"/>
        <v>0</v>
      </c>
      <c r="BL89" s="274">
        <f t="shared" si="321"/>
        <v>0</v>
      </c>
      <c r="BM89" s="43">
        <f>ROUND((VLOOKUP(A89,'Cumulative pupils per year'!$A$3:$S$89,8,FALSE)),0)</f>
        <v>1</v>
      </c>
      <c r="BN89" s="46">
        <f t="shared" si="322"/>
        <v>1</v>
      </c>
      <c r="BO89" s="46">
        <f t="shared" si="323"/>
        <v>0</v>
      </c>
      <c r="BP89" s="46">
        <f t="shared" si="324"/>
        <v>0</v>
      </c>
      <c r="BQ89" s="46">
        <f t="shared" si="325"/>
        <v>0</v>
      </c>
      <c r="BR89" s="46">
        <f t="shared" si="326"/>
        <v>0</v>
      </c>
      <c r="BS89" s="46">
        <f t="shared" si="327"/>
        <v>0</v>
      </c>
      <c r="BT89" s="46">
        <f t="shared" si="328"/>
        <v>0</v>
      </c>
      <c r="BU89" s="45">
        <f>ROUND((VLOOKUP(A89,'Cumulative pupils per year'!$A$3:$S$89,9,FALSE)),0)</f>
        <v>1</v>
      </c>
      <c r="BV89" s="274">
        <f t="shared" si="329"/>
        <v>1</v>
      </c>
      <c r="BW89" s="274">
        <f t="shared" si="330"/>
        <v>0</v>
      </c>
      <c r="BX89" s="274">
        <f t="shared" si="331"/>
        <v>0</v>
      </c>
      <c r="BY89" s="274">
        <f t="shared" si="332"/>
        <v>0</v>
      </c>
      <c r="BZ89" s="274">
        <f t="shared" si="333"/>
        <v>0</v>
      </c>
      <c r="CA89" s="274">
        <f t="shared" si="334"/>
        <v>0</v>
      </c>
      <c r="CB89" s="274">
        <f t="shared" si="335"/>
        <v>0</v>
      </c>
      <c r="CC89" s="43">
        <f>ROUND((VLOOKUP(A89,'Cumulative pupils per year'!$A$3:$S$89,10,FALSE)),0)</f>
        <v>1</v>
      </c>
      <c r="CD89" s="46">
        <f t="shared" si="336"/>
        <v>1</v>
      </c>
      <c r="CE89" s="46">
        <f t="shared" si="337"/>
        <v>0</v>
      </c>
      <c r="CF89" s="46">
        <f t="shared" si="338"/>
        <v>0</v>
      </c>
      <c r="CG89" s="46">
        <f t="shared" si="339"/>
        <v>0</v>
      </c>
      <c r="CH89" s="46">
        <f t="shared" si="340"/>
        <v>0</v>
      </c>
      <c r="CI89" s="46">
        <f t="shared" si="341"/>
        <v>0</v>
      </c>
      <c r="CJ89" s="46">
        <f t="shared" si="342"/>
        <v>0</v>
      </c>
      <c r="CK89" s="45">
        <f>ROUND((VLOOKUP(A89,'Cumulative pupils per year'!$A$3:$S$89,11,FALSE)),0)</f>
        <v>1</v>
      </c>
      <c r="CL89" s="274">
        <f t="shared" si="343"/>
        <v>1</v>
      </c>
      <c r="CM89" s="274">
        <f t="shared" si="344"/>
        <v>0</v>
      </c>
      <c r="CN89" s="274">
        <f t="shared" si="345"/>
        <v>0</v>
      </c>
      <c r="CO89" s="274">
        <f t="shared" si="346"/>
        <v>0</v>
      </c>
      <c r="CP89" s="274">
        <f t="shared" si="347"/>
        <v>0</v>
      </c>
      <c r="CQ89" s="274">
        <f t="shared" si="348"/>
        <v>0</v>
      </c>
      <c r="CR89" s="274">
        <f t="shared" si="349"/>
        <v>0</v>
      </c>
      <c r="CS89" s="291">
        <f>ROUND((VLOOKUP(A89,'Cumulative pupils per year'!$A$3:$S$89,12,FALSE)),0)</f>
        <v>1</v>
      </c>
      <c r="CT89" s="46">
        <f t="shared" si="350"/>
        <v>1</v>
      </c>
      <c r="CU89" s="46">
        <f t="shared" si="351"/>
        <v>0</v>
      </c>
      <c r="CV89" s="46">
        <f t="shared" si="352"/>
        <v>0</v>
      </c>
      <c r="CW89" s="46">
        <f t="shared" si="353"/>
        <v>0</v>
      </c>
      <c r="CX89" s="46">
        <f t="shared" si="354"/>
        <v>0</v>
      </c>
      <c r="CY89" s="46">
        <f t="shared" si="355"/>
        <v>0</v>
      </c>
      <c r="CZ89" s="46">
        <f t="shared" si="356"/>
        <v>0</v>
      </c>
      <c r="DA89" s="45">
        <f>ROUND((VLOOKUP(A89,'Cumulative pupils per year'!$A$3:$S$89,13,FALSE)),0)</f>
        <v>1</v>
      </c>
      <c r="DB89" s="274">
        <f t="shared" si="357"/>
        <v>1</v>
      </c>
      <c r="DC89" s="274">
        <f t="shared" si="358"/>
        <v>0</v>
      </c>
      <c r="DD89" s="274">
        <f t="shared" si="359"/>
        <v>0</v>
      </c>
      <c r="DE89" s="274">
        <f t="shared" si="360"/>
        <v>0</v>
      </c>
      <c r="DF89" s="274">
        <f t="shared" si="361"/>
        <v>0</v>
      </c>
      <c r="DG89" s="274">
        <f t="shared" si="362"/>
        <v>0</v>
      </c>
      <c r="DH89" s="274">
        <f t="shared" si="363"/>
        <v>0</v>
      </c>
      <c r="DI89" s="291">
        <f>ROUND((VLOOKUP(A89,'Cumulative pupils per year'!$A$3:$S$89,14,FALSE)),0)</f>
        <v>1</v>
      </c>
      <c r="DJ89" s="46">
        <f t="shared" si="364"/>
        <v>1</v>
      </c>
      <c r="DK89" s="46">
        <f t="shared" si="365"/>
        <v>0</v>
      </c>
      <c r="DL89" s="46">
        <f t="shared" si="366"/>
        <v>0</v>
      </c>
      <c r="DM89" s="46">
        <f t="shared" si="367"/>
        <v>0</v>
      </c>
      <c r="DN89" s="46">
        <f t="shared" si="368"/>
        <v>0</v>
      </c>
      <c r="DO89" s="46">
        <f t="shared" si="369"/>
        <v>0</v>
      </c>
      <c r="DP89" s="46">
        <f t="shared" si="370"/>
        <v>0</v>
      </c>
      <c r="DQ89" s="45">
        <f>ROUND((VLOOKUP(A89,'Cumulative pupils per year'!$A$3:$S$89,15,FALSE)),0)</f>
        <v>1</v>
      </c>
    </row>
    <row r="90" spans="1:121">
      <c r="A90" s="5" t="s">
        <v>96</v>
      </c>
      <c r="B90" s="276">
        <v>0</v>
      </c>
      <c r="C90" s="276"/>
      <c r="D90" s="276"/>
      <c r="E90" s="276"/>
      <c r="F90" s="276"/>
      <c r="G90" s="276"/>
      <c r="H90" s="276"/>
      <c r="I90" s="277">
        <v>0</v>
      </c>
      <c r="J90" s="278">
        <v>0</v>
      </c>
      <c r="K90" s="278"/>
      <c r="L90" s="278"/>
      <c r="M90" s="278"/>
      <c r="N90" s="278"/>
      <c r="O90" s="278"/>
      <c r="P90" s="278"/>
      <c r="Q90" s="279">
        <v>0</v>
      </c>
      <c r="R90" s="276">
        <v>0</v>
      </c>
      <c r="S90" s="276"/>
      <c r="T90" s="276"/>
      <c r="U90" s="276"/>
      <c r="V90" s="276"/>
      <c r="W90" s="276"/>
      <c r="X90" s="276"/>
      <c r="Y90" s="277">
        <v>0</v>
      </c>
      <c r="Z90" s="281">
        <v>0</v>
      </c>
      <c r="AA90" s="281"/>
      <c r="AB90" s="278"/>
      <c r="AC90" s="278"/>
      <c r="AD90" s="278"/>
      <c r="AE90" s="278"/>
      <c r="AF90" s="278"/>
      <c r="AG90" s="279">
        <v>0</v>
      </c>
      <c r="AH90" s="276">
        <v>0</v>
      </c>
      <c r="AI90" s="276"/>
      <c r="AJ90" s="276"/>
      <c r="AK90" s="276"/>
      <c r="AL90" s="276"/>
      <c r="AM90" s="276"/>
      <c r="AN90" s="276"/>
      <c r="AO90" s="277">
        <v>0</v>
      </c>
      <c r="AP90" s="278">
        <v>0</v>
      </c>
      <c r="AQ90" s="278"/>
      <c r="AR90" s="278"/>
      <c r="AS90" s="278"/>
      <c r="AT90" s="278"/>
      <c r="AU90" s="278"/>
      <c r="AV90" s="278"/>
      <c r="AW90" s="279">
        <v>0</v>
      </c>
      <c r="AX90" s="276">
        <v>0</v>
      </c>
      <c r="AY90" s="276"/>
      <c r="AZ90" s="276"/>
      <c r="BA90" s="276"/>
      <c r="BB90" s="276"/>
      <c r="BC90" s="276"/>
      <c r="BD90" s="276"/>
      <c r="BE90" s="277">
        <v>0</v>
      </c>
      <c r="BF90" s="278">
        <v>0</v>
      </c>
      <c r="BG90" s="278"/>
      <c r="BH90" s="278"/>
      <c r="BI90" s="278"/>
      <c r="BJ90" s="278"/>
      <c r="BK90" s="278"/>
      <c r="BL90" s="278"/>
      <c r="BM90" s="279">
        <v>0</v>
      </c>
      <c r="BN90" s="276">
        <v>0</v>
      </c>
      <c r="BO90" s="276"/>
      <c r="BP90" s="276"/>
      <c r="BQ90" s="276"/>
      <c r="BR90" s="276"/>
      <c r="BS90" s="276"/>
      <c r="BT90" s="276"/>
      <c r="BU90" s="277">
        <v>0</v>
      </c>
      <c r="BV90" s="278">
        <v>0</v>
      </c>
      <c r="BW90" s="278"/>
      <c r="BX90" s="278"/>
      <c r="BY90" s="278"/>
      <c r="BZ90" s="278"/>
      <c r="CA90" s="278"/>
      <c r="CB90" s="278"/>
      <c r="CC90" s="279">
        <v>0</v>
      </c>
      <c r="CD90" s="276">
        <v>0</v>
      </c>
      <c r="CE90" s="276"/>
      <c r="CF90" s="276"/>
      <c r="CG90" s="276"/>
      <c r="CH90" s="276"/>
      <c r="CI90" s="276"/>
      <c r="CJ90" s="276"/>
      <c r="CK90" s="277">
        <v>0</v>
      </c>
      <c r="CL90" s="278">
        <v>0</v>
      </c>
      <c r="CM90" s="278"/>
      <c r="CN90" s="278"/>
      <c r="CO90" s="278"/>
      <c r="CP90" s="278"/>
      <c r="CQ90" s="278"/>
      <c r="CR90" s="278"/>
      <c r="CS90" s="292">
        <v>0</v>
      </c>
      <c r="CT90" s="276">
        <v>0</v>
      </c>
      <c r="CU90" s="276"/>
      <c r="CV90" s="276"/>
      <c r="CW90" s="276"/>
      <c r="CX90" s="276"/>
      <c r="CY90" s="276"/>
      <c r="CZ90" s="276"/>
      <c r="DA90" s="277">
        <v>0</v>
      </c>
      <c r="DB90" s="278">
        <v>0</v>
      </c>
      <c r="DC90" s="278"/>
      <c r="DD90" s="278"/>
      <c r="DE90" s="278"/>
      <c r="DF90" s="278"/>
      <c r="DG90" s="278"/>
      <c r="DH90" s="278"/>
      <c r="DI90" s="292">
        <v>0</v>
      </c>
      <c r="DJ90" s="276">
        <v>0</v>
      </c>
      <c r="DK90" s="276"/>
      <c r="DL90" s="276"/>
      <c r="DM90" s="276"/>
      <c r="DN90" s="276"/>
      <c r="DO90" s="276"/>
      <c r="DP90" s="276"/>
      <c r="DQ90" s="277">
        <v>0</v>
      </c>
    </row>
    <row r="91" spans="1:121">
      <c r="J91" s="6"/>
      <c r="Q91" s="26"/>
    </row>
    <row r="92" spans="1:121">
      <c r="J92" s="6"/>
      <c r="Q92" s="26"/>
    </row>
    <row r="95" spans="1:121">
      <c r="B95" s="26">
        <f t="shared" ref="B95:AG95" si="441">B25+B31+B62+B46</f>
        <v>6</v>
      </c>
      <c r="C95" s="26">
        <f t="shared" si="441"/>
        <v>6</v>
      </c>
      <c r="D95" s="26">
        <f t="shared" si="441"/>
        <v>6</v>
      </c>
      <c r="E95" s="26">
        <f t="shared" si="441"/>
        <v>6</v>
      </c>
      <c r="F95" s="26">
        <f t="shared" si="441"/>
        <v>5</v>
      </c>
      <c r="G95" s="26">
        <f t="shared" si="441"/>
        <v>5</v>
      </c>
      <c r="H95" s="26">
        <f t="shared" si="441"/>
        <v>5</v>
      </c>
      <c r="I95" s="26">
        <f t="shared" si="441"/>
        <v>39</v>
      </c>
      <c r="J95" s="26">
        <f t="shared" si="441"/>
        <v>5</v>
      </c>
      <c r="K95" s="26">
        <f t="shared" si="441"/>
        <v>4</v>
      </c>
      <c r="L95" s="26">
        <f t="shared" si="441"/>
        <v>4</v>
      </c>
      <c r="M95" s="26">
        <f t="shared" si="441"/>
        <v>4</v>
      </c>
      <c r="N95" s="26">
        <f t="shared" si="441"/>
        <v>3</v>
      </c>
      <c r="O95" s="26">
        <f t="shared" si="441"/>
        <v>2</v>
      </c>
      <c r="P95" s="26">
        <f t="shared" si="441"/>
        <v>2</v>
      </c>
      <c r="Q95" s="26">
        <f t="shared" si="441"/>
        <v>24</v>
      </c>
      <c r="R95" s="26">
        <f t="shared" si="441"/>
        <v>5</v>
      </c>
      <c r="S95" s="26">
        <f t="shared" si="441"/>
        <v>4</v>
      </c>
      <c r="T95" s="26">
        <f t="shared" si="441"/>
        <v>4</v>
      </c>
      <c r="U95" s="26">
        <f t="shared" si="441"/>
        <v>4</v>
      </c>
      <c r="V95" s="26">
        <f t="shared" si="441"/>
        <v>3</v>
      </c>
      <c r="W95" s="26">
        <f t="shared" si="441"/>
        <v>2</v>
      </c>
      <c r="X95" s="26">
        <f t="shared" si="441"/>
        <v>2</v>
      </c>
      <c r="Y95" s="26">
        <f t="shared" si="441"/>
        <v>24</v>
      </c>
      <c r="Z95" s="26">
        <f t="shared" si="441"/>
        <v>8</v>
      </c>
      <c r="AA95" s="26">
        <f t="shared" si="441"/>
        <v>7</v>
      </c>
      <c r="AB95" s="26">
        <f t="shared" si="441"/>
        <v>7</v>
      </c>
      <c r="AC95" s="26">
        <f t="shared" si="441"/>
        <v>7</v>
      </c>
      <c r="AD95" s="26">
        <f t="shared" si="441"/>
        <v>6</v>
      </c>
      <c r="AE95" s="26">
        <f t="shared" si="441"/>
        <v>5</v>
      </c>
      <c r="AF95" s="26">
        <f t="shared" si="441"/>
        <v>5</v>
      </c>
      <c r="AG95" s="26">
        <f t="shared" si="441"/>
        <v>45</v>
      </c>
      <c r="AH95" s="26">
        <f t="shared" ref="AH95:BM95" si="442">AH25+AH31+AH62+AH46</f>
        <v>12</v>
      </c>
      <c r="AI95" s="26">
        <f t="shared" si="442"/>
        <v>11</v>
      </c>
      <c r="AJ95" s="26">
        <f t="shared" si="442"/>
        <v>11</v>
      </c>
      <c r="AK95" s="26">
        <f t="shared" si="442"/>
        <v>11</v>
      </c>
      <c r="AL95" s="26">
        <f t="shared" si="442"/>
        <v>10</v>
      </c>
      <c r="AM95" s="26">
        <f t="shared" si="442"/>
        <v>10</v>
      </c>
      <c r="AN95" s="26">
        <f t="shared" si="442"/>
        <v>9</v>
      </c>
      <c r="AO95" s="26">
        <f t="shared" si="442"/>
        <v>74</v>
      </c>
      <c r="AP95" s="26">
        <f t="shared" si="442"/>
        <v>16</v>
      </c>
      <c r="AQ95" s="26">
        <f t="shared" si="442"/>
        <v>15</v>
      </c>
      <c r="AR95" s="26">
        <f t="shared" si="442"/>
        <v>15</v>
      </c>
      <c r="AS95" s="26">
        <f t="shared" si="442"/>
        <v>14</v>
      </c>
      <c r="AT95" s="26">
        <f t="shared" si="442"/>
        <v>12</v>
      </c>
      <c r="AU95" s="26">
        <f t="shared" si="442"/>
        <v>12</v>
      </c>
      <c r="AV95" s="26">
        <f t="shared" si="442"/>
        <v>12</v>
      </c>
      <c r="AW95" s="26">
        <f t="shared" si="442"/>
        <v>96</v>
      </c>
      <c r="AX95" s="26">
        <f t="shared" si="442"/>
        <v>21</v>
      </c>
      <c r="AY95" s="26">
        <f t="shared" si="442"/>
        <v>19</v>
      </c>
      <c r="AZ95" s="26">
        <f t="shared" si="442"/>
        <v>19</v>
      </c>
      <c r="BA95" s="26">
        <f t="shared" si="442"/>
        <v>19</v>
      </c>
      <c r="BB95" s="26">
        <f t="shared" si="442"/>
        <v>17</v>
      </c>
      <c r="BC95" s="26">
        <f t="shared" si="442"/>
        <v>17</v>
      </c>
      <c r="BD95" s="26">
        <f t="shared" si="442"/>
        <v>17</v>
      </c>
      <c r="BE95" s="26">
        <f t="shared" si="442"/>
        <v>129</v>
      </c>
      <c r="BF95" s="26">
        <f t="shared" si="442"/>
        <v>28</v>
      </c>
      <c r="BG95" s="26">
        <f t="shared" si="442"/>
        <v>27</v>
      </c>
      <c r="BH95" s="26">
        <f t="shared" si="442"/>
        <v>26</v>
      </c>
      <c r="BI95" s="26">
        <f t="shared" si="442"/>
        <v>26</v>
      </c>
      <c r="BJ95" s="26">
        <f t="shared" si="442"/>
        <v>25</v>
      </c>
      <c r="BK95" s="26">
        <f t="shared" si="442"/>
        <v>24</v>
      </c>
      <c r="BL95" s="26">
        <f t="shared" si="442"/>
        <v>24</v>
      </c>
      <c r="BM95" s="26">
        <f t="shared" si="442"/>
        <v>180</v>
      </c>
      <c r="BN95" s="26">
        <f t="shared" ref="BN95:CS95" si="443">BN25+BN31+BN62+BN46</f>
        <v>35</v>
      </c>
      <c r="BO95" s="26">
        <f t="shared" si="443"/>
        <v>34</v>
      </c>
      <c r="BP95" s="26">
        <f t="shared" si="443"/>
        <v>33</v>
      </c>
      <c r="BQ95" s="26">
        <f t="shared" si="443"/>
        <v>33</v>
      </c>
      <c r="BR95" s="26">
        <f t="shared" si="443"/>
        <v>32</v>
      </c>
      <c r="BS95" s="26">
        <f t="shared" si="443"/>
        <v>32</v>
      </c>
      <c r="BT95" s="26">
        <f t="shared" si="443"/>
        <v>32</v>
      </c>
      <c r="BU95" s="26">
        <f t="shared" si="443"/>
        <v>231</v>
      </c>
      <c r="BV95" s="26">
        <f t="shared" si="443"/>
        <v>41</v>
      </c>
      <c r="BW95" s="26">
        <f t="shared" si="443"/>
        <v>40</v>
      </c>
      <c r="BX95" s="26">
        <f t="shared" si="443"/>
        <v>40</v>
      </c>
      <c r="BY95" s="26">
        <f t="shared" si="443"/>
        <v>39</v>
      </c>
      <c r="BZ95" s="26">
        <f t="shared" si="443"/>
        <v>37</v>
      </c>
      <c r="CA95" s="26">
        <f t="shared" si="443"/>
        <v>37</v>
      </c>
      <c r="CB95" s="26">
        <f t="shared" si="443"/>
        <v>37</v>
      </c>
      <c r="CC95" s="26">
        <f t="shared" si="443"/>
        <v>271</v>
      </c>
      <c r="CD95" s="26">
        <f t="shared" si="443"/>
        <v>46</v>
      </c>
      <c r="CE95" s="26">
        <f t="shared" si="443"/>
        <v>45</v>
      </c>
      <c r="CF95" s="26">
        <f t="shared" si="443"/>
        <v>45</v>
      </c>
      <c r="CG95" s="26">
        <f t="shared" si="443"/>
        <v>44</v>
      </c>
      <c r="CH95" s="26">
        <f t="shared" si="443"/>
        <v>42</v>
      </c>
      <c r="CI95" s="26">
        <f t="shared" si="443"/>
        <v>42</v>
      </c>
      <c r="CJ95" s="26">
        <f t="shared" si="443"/>
        <v>42</v>
      </c>
      <c r="CK95" s="26">
        <f t="shared" si="443"/>
        <v>306</v>
      </c>
      <c r="CL95" s="26">
        <f t="shared" si="443"/>
        <v>49</v>
      </c>
      <c r="CM95" s="26">
        <f t="shared" si="443"/>
        <v>48</v>
      </c>
      <c r="CN95" s="26">
        <f t="shared" si="443"/>
        <v>48</v>
      </c>
      <c r="CO95" s="26">
        <f t="shared" si="443"/>
        <v>46</v>
      </c>
      <c r="CP95" s="26">
        <f t="shared" si="443"/>
        <v>45</v>
      </c>
      <c r="CQ95" s="26">
        <f t="shared" si="443"/>
        <v>45</v>
      </c>
      <c r="CR95" s="26">
        <f t="shared" si="443"/>
        <v>45</v>
      </c>
      <c r="CS95" s="26">
        <f t="shared" si="443"/>
        <v>326</v>
      </c>
      <c r="CT95" s="26">
        <f t="shared" ref="CT95:DQ95" si="444">CT25+CT31+CT62+CT46</f>
        <v>52</v>
      </c>
      <c r="CU95" s="26">
        <f t="shared" si="444"/>
        <v>51</v>
      </c>
      <c r="CV95" s="26">
        <f t="shared" si="444"/>
        <v>50</v>
      </c>
      <c r="CW95" s="26">
        <f t="shared" si="444"/>
        <v>49</v>
      </c>
      <c r="CX95" s="26">
        <f t="shared" si="444"/>
        <v>48</v>
      </c>
      <c r="CY95" s="26">
        <f t="shared" si="444"/>
        <v>48</v>
      </c>
      <c r="CZ95" s="26">
        <f t="shared" si="444"/>
        <v>48</v>
      </c>
      <c r="DA95" s="26">
        <f t="shared" si="444"/>
        <v>346</v>
      </c>
      <c r="DB95" s="26">
        <f t="shared" si="444"/>
        <v>55</v>
      </c>
      <c r="DC95" s="26">
        <f t="shared" si="444"/>
        <v>53</v>
      </c>
      <c r="DD95" s="26">
        <f t="shared" si="444"/>
        <v>53</v>
      </c>
      <c r="DE95" s="26">
        <f t="shared" si="444"/>
        <v>52</v>
      </c>
      <c r="DF95" s="26">
        <f t="shared" si="444"/>
        <v>51</v>
      </c>
      <c r="DG95" s="26">
        <f t="shared" si="444"/>
        <v>51</v>
      </c>
      <c r="DH95" s="26">
        <f t="shared" si="444"/>
        <v>51</v>
      </c>
      <c r="DI95" s="26">
        <f t="shared" si="444"/>
        <v>366</v>
      </c>
      <c r="DJ95" s="26">
        <f t="shared" si="444"/>
        <v>57</v>
      </c>
      <c r="DK95" s="26">
        <f t="shared" si="444"/>
        <v>56</v>
      </c>
      <c r="DL95" s="26">
        <f t="shared" si="444"/>
        <v>56</v>
      </c>
      <c r="DM95" s="26">
        <f t="shared" si="444"/>
        <v>55</v>
      </c>
      <c r="DN95" s="26">
        <f t="shared" si="444"/>
        <v>54</v>
      </c>
      <c r="DO95" s="26">
        <f t="shared" si="444"/>
        <v>54</v>
      </c>
      <c r="DP95" s="26">
        <f t="shared" si="444"/>
        <v>54</v>
      </c>
      <c r="DQ95" s="26">
        <f t="shared" si="444"/>
        <v>386</v>
      </c>
    </row>
  </sheetData>
  <mergeCells count="15">
    <mergeCell ref="CL1:CS1"/>
    <mergeCell ref="CT1:DA1"/>
    <mergeCell ref="DB1:DI1"/>
    <mergeCell ref="DJ1:DQ1"/>
    <mergeCell ref="BF1:BM1"/>
    <mergeCell ref="BN1:BU1"/>
    <mergeCell ref="BV1:CC1"/>
    <mergeCell ref="CD1:CK1"/>
    <mergeCell ref="AX1:BE1"/>
    <mergeCell ref="Z1:AG1"/>
    <mergeCell ref="AH1:AO1"/>
    <mergeCell ref="AP1:AW1"/>
    <mergeCell ref="B1:I1"/>
    <mergeCell ref="J1:Q1"/>
    <mergeCell ref="R1:Y1"/>
  </mergeCells>
  <pageMargins left="0.75" right="0.75" top="1" bottom="1" header="0.5" footer="0.5"/>
  <pageSetup paperSize="9" orientation="portrait" horizontalDpi="300" verticalDpi="300" r:id="rId1"/>
  <headerFooter alignWithMargins="0"/>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5"/>
  <dimension ref="A1:T93"/>
  <sheetViews>
    <sheetView workbookViewId="0"/>
  </sheetViews>
  <sheetFormatPr defaultRowHeight="15"/>
  <cols>
    <col min="1" max="1" width="28.5703125" style="271" customWidth="1"/>
    <col min="2" max="16384" width="9.140625" style="271"/>
  </cols>
  <sheetData>
    <row r="1" spans="1:20">
      <c r="A1" s="269" t="s">
        <v>269</v>
      </c>
      <c r="B1" s="270" t="s">
        <v>270</v>
      </c>
      <c r="C1" s="270" t="s">
        <v>271</v>
      </c>
      <c r="D1" s="270" t="s">
        <v>272</v>
      </c>
      <c r="E1" s="270" t="s">
        <v>273</v>
      </c>
      <c r="F1" s="270" t="s">
        <v>274</v>
      </c>
      <c r="G1" s="270" t="s">
        <v>399</v>
      </c>
      <c r="H1" s="270" t="s">
        <v>275</v>
      </c>
      <c r="I1" s="270" t="s">
        <v>276</v>
      </c>
      <c r="J1" s="270" t="s">
        <v>277</v>
      </c>
      <c r="K1" s="270" t="s">
        <v>278</v>
      </c>
      <c r="L1" s="270" t="s">
        <v>279</v>
      </c>
      <c r="M1" s="270" t="s">
        <v>280</v>
      </c>
      <c r="N1" s="270" t="s">
        <v>281</v>
      </c>
      <c r="O1" s="270" t="s">
        <v>282</v>
      </c>
      <c r="P1" s="270" t="s">
        <v>283</v>
      </c>
      <c r="Q1" s="270" t="s">
        <v>283</v>
      </c>
      <c r="R1" s="270" t="s">
        <v>300</v>
      </c>
      <c r="S1" s="270" t="s">
        <v>400</v>
      </c>
    </row>
    <row r="2" spans="1:20">
      <c r="A2" s="269" t="s">
        <v>284</v>
      </c>
      <c r="B2" s="270" t="s">
        <v>271</v>
      </c>
      <c r="C2" s="270" t="s">
        <v>272</v>
      </c>
      <c r="D2" s="270" t="s">
        <v>273</v>
      </c>
      <c r="E2" s="270" t="s">
        <v>274</v>
      </c>
      <c r="F2" s="270" t="s">
        <v>399</v>
      </c>
      <c r="G2" s="270" t="s">
        <v>275</v>
      </c>
      <c r="H2" s="270" t="s">
        <v>276</v>
      </c>
      <c r="I2" s="270" t="s">
        <v>277</v>
      </c>
      <c r="J2" s="270" t="s">
        <v>278</v>
      </c>
      <c r="K2" s="270" t="s">
        <v>279</v>
      </c>
      <c r="L2" s="270" t="s">
        <v>280</v>
      </c>
      <c r="M2" s="270" t="s">
        <v>281</v>
      </c>
      <c r="N2" s="270" t="s">
        <v>282</v>
      </c>
      <c r="O2" s="270" t="s">
        <v>283</v>
      </c>
      <c r="P2" s="270" t="s">
        <v>300</v>
      </c>
      <c r="Q2" s="270" t="s">
        <v>300</v>
      </c>
      <c r="R2" s="270" t="s">
        <v>301</v>
      </c>
    </row>
    <row r="3" spans="1:20" customFormat="1">
      <c r="A3" s="280" t="s">
        <v>9</v>
      </c>
      <c r="B3" s="251">
        <v>6</v>
      </c>
      <c r="C3" s="251">
        <v>13</v>
      </c>
      <c r="D3" s="251">
        <v>21</v>
      </c>
      <c r="E3" s="251">
        <v>22</v>
      </c>
      <c r="F3" s="251">
        <v>22</v>
      </c>
      <c r="G3" s="251">
        <v>22</v>
      </c>
      <c r="H3" s="251">
        <v>22</v>
      </c>
      <c r="I3" s="251">
        <v>22</v>
      </c>
      <c r="J3" s="251">
        <v>22</v>
      </c>
      <c r="K3" s="251">
        <v>22</v>
      </c>
      <c r="L3" s="251">
        <v>22</v>
      </c>
      <c r="M3" s="251">
        <v>22</v>
      </c>
      <c r="N3" s="251">
        <v>22</v>
      </c>
      <c r="O3" s="251">
        <v>22</v>
      </c>
      <c r="P3" s="251">
        <v>22</v>
      </c>
      <c r="Q3" s="251">
        <v>22</v>
      </c>
      <c r="R3" s="251">
        <v>22</v>
      </c>
      <c r="S3" s="251">
        <v>22</v>
      </c>
      <c r="T3" s="251"/>
    </row>
    <row r="4" spans="1:20" customFormat="1">
      <c r="A4" s="280" t="s">
        <v>10</v>
      </c>
      <c r="B4" s="251">
        <v>0</v>
      </c>
      <c r="C4" s="251">
        <v>0</v>
      </c>
      <c r="D4" s="251">
        <v>0</v>
      </c>
      <c r="E4" s="251">
        <v>0</v>
      </c>
      <c r="F4" s="251">
        <v>4</v>
      </c>
      <c r="G4" s="251">
        <v>9</v>
      </c>
      <c r="H4" s="251">
        <v>14</v>
      </c>
      <c r="I4" s="251">
        <v>22</v>
      </c>
      <c r="J4" s="251">
        <v>30</v>
      </c>
      <c r="K4" s="251">
        <v>35</v>
      </c>
      <c r="L4" s="251">
        <v>37</v>
      </c>
      <c r="M4" s="251">
        <v>37</v>
      </c>
      <c r="N4" s="251">
        <v>37</v>
      </c>
      <c r="O4" s="251">
        <v>37</v>
      </c>
      <c r="P4" s="251">
        <v>37</v>
      </c>
      <c r="Q4" s="251">
        <v>37</v>
      </c>
      <c r="R4" s="251">
        <v>37</v>
      </c>
      <c r="S4" s="251">
        <v>37</v>
      </c>
      <c r="T4" s="251"/>
    </row>
    <row r="5" spans="1:20">
      <c r="A5" s="280" t="s">
        <v>11</v>
      </c>
      <c r="B5" s="273">
        <v>0</v>
      </c>
      <c r="C5" s="273">
        <v>0</v>
      </c>
      <c r="D5" s="273">
        <v>0</v>
      </c>
      <c r="E5" s="273">
        <v>0</v>
      </c>
      <c r="F5" s="273">
        <v>0</v>
      </c>
      <c r="G5" s="273">
        <v>0</v>
      </c>
      <c r="H5" s="273">
        <v>0</v>
      </c>
      <c r="I5" s="273">
        <v>0</v>
      </c>
      <c r="J5" s="273">
        <v>0</v>
      </c>
      <c r="K5" s="273">
        <v>0</v>
      </c>
      <c r="L5" s="273">
        <v>0</v>
      </c>
      <c r="M5" s="273">
        <v>0</v>
      </c>
      <c r="N5" s="273">
        <v>0</v>
      </c>
      <c r="O5" s="273">
        <v>0</v>
      </c>
      <c r="P5" s="273">
        <v>0</v>
      </c>
      <c r="Q5" s="273">
        <v>0</v>
      </c>
      <c r="R5" s="273">
        <v>0</v>
      </c>
      <c r="S5" s="273">
        <v>0</v>
      </c>
      <c r="T5" s="273"/>
    </row>
    <row r="6" spans="1:20" customFormat="1">
      <c r="A6" s="280" t="s">
        <v>12</v>
      </c>
      <c r="B6" s="251">
        <v>2</v>
      </c>
      <c r="C6" s="251">
        <v>2</v>
      </c>
      <c r="D6" s="251">
        <v>2</v>
      </c>
      <c r="E6" s="251">
        <v>2</v>
      </c>
      <c r="F6" s="251">
        <v>2</v>
      </c>
      <c r="G6" s="251">
        <v>2</v>
      </c>
      <c r="H6" s="251">
        <v>2</v>
      </c>
      <c r="I6" s="251">
        <v>2</v>
      </c>
      <c r="J6" s="251">
        <v>2</v>
      </c>
      <c r="K6" s="251">
        <v>2</v>
      </c>
      <c r="L6" s="251">
        <v>2</v>
      </c>
      <c r="M6" s="251">
        <v>2</v>
      </c>
      <c r="N6" s="251">
        <v>2</v>
      </c>
      <c r="O6" s="251">
        <v>2</v>
      </c>
      <c r="P6" s="251">
        <v>2</v>
      </c>
      <c r="Q6" s="251">
        <v>2</v>
      </c>
      <c r="R6" s="251">
        <v>2</v>
      </c>
      <c r="S6" s="251">
        <v>2</v>
      </c>
      <c r="T6" s="251"/>
    </row>
    <row r="7" spans="1:20" customFormat="1">
      <c r="A7" s="280" t="s">
        <v>13</v>
      </c>
      <c r="B7" s="251">
        <v>17</v>
      </c>
      <c r="C7" s="251">
        <v>41</v>
      </c>
      <c r="D7" s="251">
        <v>41</v>
      </c>
      <c r="E7" s="251">
        <v>41</v>
      </c>
      <c r="F7" s="251">
        <v>41</v>
      </c>
      <c r="G7" s="251">
        <v>41</v>
      </c>
      <c r="H7" s="251">
        <v>41</v>
      </c>
      <c r="I7" s="251">
        <v>41</v>
      </c>
      <c r="J7" s="251">
        <v>41</v>
      </c>
      <c r="K7" s="251">
        <v>41</v>
      </c>
      <c r="L7" s="251">
        <v>41</v>
      </c>
      <c r="M7" s="251">
        <v>41</v>
      </c>
      <c r="N7" s="251">
        <v>41</v>
      </c>
      <c r="O7" s="251">
        <v>41</v>
      </c>
      <c r="P7" s="251">
        <v>41</v>
      </c>
      <c r="Q7" s="251">
        <v>41</v>
      </c>
      <c r="R7" s="251">
        <v>41</v>
      </c>
      <c r="S7" s="251">
        <v>41</v>
      </c>
      <c r="T7" s="251"/>
    </row>
    <row r="8" spans="1:20" customFormat="1">
      <c r="A8" s="280" t="s">
        <v>14</v>
      </c>
      <c r="B8" s="251">
        <v>16</v>
      </c>
      <c r="C8" s="251">
        <v>26</v>
      </c>
      <c r="D8" s="251">
        <v>42</v>
      </c>
      <c r="E8" s="251">
        <v>57</v>
      </c>
      <c r="F8" s="251">
        <v>64</v>
      </c>
      <c r="G8" s="251">
        <v>71</v>
      </c>
      <c r="H8" s="251">
        <v>75</v>
      </c>
      <c r="I8" s="251">
        <v>77</v>
      </c>
      <c r="J8" s="251">
        <v>79</v>
      </c>
      <c r="K8" s="251">
        <v>79</v>
      </c>
      <c r="L8" s="251">
        <v>79</v>
      </c>
      <c r="M8" s="251">
        <v>79</v>
      </c>
      <c r="N8" s="251">
        <v>79</v>
      </c>
      <c r="O8" s="251">
        <v>79</v>
      </c>
      <c r="P8" s="251">
        <v>79</v>
      </c>
      <c r="Q8" s="251">
        <v>79</v>
      </c>
      <c r="R8" s="251">
        <v>79</v>
      </c>
      <c r="S8" s="251">
        <v>79</v>
      </c>
      <c r="T8" s="251"/>
    </row>
    <row r="9" spans="1:20" customFormat="1">
      <c r="A9" s="280" t="s">
        <v>16</v>
      </c>
      <c r="B9" s="251">
        <v>0</v>
      </c>
      <c r="C9" s="251">
        <v>0</v>
      </c>
      <c r="D9" s="251">
        <v>0</v>
      </c>
      <c r="E9" s="251">
        <v>0</v>
      </c>
      <c r="F9" s="251">
        <v>0</v>
      </c>
      <c r="G9" s="251">
        <v>7</v>
      </c>
      <c r="H9" s="251">
        <v>7</v>
      </c>
      <c r="I9" s="251">
        <v>7</v>
      </c>
      <c r="J9" s="251">
        <v>7</v>
      </c>
      <c r="K9" s="251">
        <v>7</v>
      </c>
      <c r="L9" s="251">
        <v>7</v>
      </c>
      <c r="M9" s="251">
        <v>7</v>
      </c>
      <c r="N9" s="251">
        <v>7</v>
      </c>
      <c r="O9" s="251">
        <v>7</v>
      </c>
      <c r="P9" s="251">
        <v>7</v>
      </c>
      <c r="Q9" s="251">
        <v>7</v>
      </c>
      <c r="R9" s="251">
        <v>7</v>
      </c>
      <c r="S9" s="251">
        <v>7</v>
      </c>
      <c r="T9" s="251"/>
    </row>
    <row r="10" spans="1:20" customFormat="1">
      <c r="A10" s="280" t="s">
        <v>15</v>
      </c>
      <c r="B10" s="251">
        <v>0</v>
      </c>
      <c r="C10" s="251">
        <v>0</v>
      </c>
      <c r="D10" s="251">
        <v>5</v>
      </c>
      <c r="E10" s="251">
        <v>8</v>
      </c>
      <c r="F10" s="251">
        <v>11</v>
      </c>
      <c r="G10" s="251">
        <v>15</v>
      </c>
      <c r="H10" s="251">
        <v>18</v>
      </c>
      <c r="I10" s="251">
        <v>21</v>
      </c>
      <c r="J10" s="251">
        <v>22</v>
      </c>
      <c r="K10" s="251">
        <v>22</v>
      </c>
      <c r="L10" s="251">
        <v>22</v>
      </c>
      <c r="M10" s="251">
        <v>22</v>
      </c>
      <c r="N10" s="251">
        <v>22</v>
      </c>
      <c r="O10" s="251">
        <v>22</v>
      </c>
      <c r="P10" s="251">
        <v>22</v>
      </c>
      <c r="Q10" s="251">
        <v>22</v>
      </c>
      <c r="R10" s="251">
        <v>22</v>
      </c>
      <c r="S10" s="251">
        <v>22</v>
      </c>
      <c r="T10" s="251"/>
    </row>
    <row r="11" spans="1:20" customFormat="1">
      <c r="A11" s="280" t="s">
        <v>17</v>
      </c>
      <c r="B11" s="251">
        <v>0</v>
      </c>
      <c r="C11" s="251">
        <v>0</v>
      </c>
      <c r="D11" s="251">
        <v>0</v>
      </c>
      <c r="E11" s="251">
        <v>0</v>
      </c>
      <c r="F11" s="251">
        <v>0</v>
      </c>
      <c r="G11" s="251">
        <v>0</v>
      </c>
      <c r="H11" s="251">
        <v>0</v>
      </c>
      <c r="I11" s="251">
        <v>0</v>
      </c>
      <c r="J11" s="251">
        <v>0</v>
      </c>
      <c r="K11" s="251">
        <v>0</v>
      </c>
      <c r="L11" s="251">
        <v>0</v>
      </c>
      <c r="M11" s="251">
        <v>0</v>
      </c>
      <c r="N11" s="251">
        <v>0</v>
      </c>
      <c r="O11" s="251">
        <v>0</v>
      </c>
      <c r="P11" s="251">
        <v>0</v>
      </c>
      <c r="Q11" s="251">
        <v>0</v>
      </c>
      <c r="R11" s="251">
        <v>0</v>
      </c>
      <c r="S11" s="251">
        <v>0</v>
      </c>
      <c r="T11" s="251"/>
    </row>
    <row r="12" spans="1:20" customFormat="1">
      <c r="A12" s="280" t="s">
        <v>74</v>
      </c>
      <c r="B12" s="251">
        <v>2</v>
      </c>
      <c r="C12" s="251">
        <v>6</v>
      </c>
      <c r="D12" s="251">
        <v>7</v>
      </c>
      <c r="E12" s="251">
        <v>7</v>
      </c>
      <c r="F12" s="251">
        <v>7</v>
      </c>
      <c r="G12" s="251">
        <v>7</v>
      </c>
      <c r="H12" s="251">
        <v>7</v>
      </c>
      <c r="I12" s="251">
        <v>7</v>
      </c>
      <c r="J12" s="251">
        <v>7</v>
      </c>
      <c r="K12" s="251">
        <v>7</v>
      </c>
      <c r="L12" s="251">
        <v>7</v>
      </c>
      <c r="M12" s="251">
        <v>7</v>
      </c>
      <c r="N12" s="251">
        <v>7</v>
      </c>
      <c r="O12" s="251">
        <v>7</v>
      </c>
      <c r="P12" s="251">
        <v>7</v>
      </c>
      <c r="Q12" s="251">
        <v>7</v>
      </c>
      <c r="R12" s="251">
        <v>7</v>
      </c>
      <c r="S12" s="251">
        <v>7</v>
      </c>
      <c r="T12" s="251"/>
    </row>
    <row r="13" spans="1:20" customFormat="1">
      <c r="A13" s="280" t="s">
        <v>18</v>
      </c>
      <c r="B13" s="251">
        <v>0</v>
      </c>
      <c r="C13" s="251">
        <v>0</v>
      </c>
      <c r="D13" s="251">
        <v>0</v>
      </c>
      <c r="E13" s="251">
        <v>0</v>
      </c>
      <c r="F13" s="251">
        <v>0</v>
      </c>
      <c r="G13" s="251">
        <v>0</v>
      </c>
      <c r="H13" s="251">
        <v>0</v>
      </c>
      <c r="I13" s="251">
        <v>0</v>
      </c>
      <c r="J13" s="251">
        <v>0</v>
      </c>
      <c r="K13" s="251">
        <v>0</v>
      </c>
      <c r="L13" s="251">
        <v>0</v>
      </c>
      <c r="M13" s="251">
        <v>0</v>
      </c>
      <c r="N13" s="251">
        <v>0</v>
      </c>
      <c r="O13" s="251">
        <v>0</v>
      </c>
      <c r="P13" s="251">
        <v>0</v>
      </c>
      <c r="Q13" s="251">
        <v>0</v>
      </c>
      <c r="R13" s="251">
        <v>0</v>
      </c>
      <c r="S13" s="251">
        <v>0</v>
      </c>
      <c r="T13" s="251"/>
    </row>
    <row r="14" spans="1:20" customFormat="1">
      <c r="A14" s="280" t="s">
        <v>75</v>
      </c>
      <c r="B14" s="251">
        <v>54</v>
      </c>
      <c r="C14" s="251">
        <v>90</v>
      </c>
      <c r="D14" s="251">
        <v>128</v>
      </c>
      <c r="E14" s="251">
        <v>160</v>
      </c>
      <c r="F14" s="251">
        <v>196</v>
      </c>
      <c r="G14" s="251">
        <v>214</v>
      </c>
      <c r="H14" s="251">
        <v>232</v>
      </c>
      <c r="I14" s="251">
        <v>257</v>
      </c>
      <c r="J14" s="251">
        <v>282</v>
      </c>
      <c r="K14" s="251">
        <v>309</v>
      </c>
      <c r="L14" s="251">
        <v>314</v>
      </c>
      <c r="M14" s="251">
        <v>319</v>
      </c>
      <c r="N14" s="251">
        <v>324</v>
      </c>
      <c r="O14" s="251">
        <v>329</v>
      </c>
      <c r="P14" s="251">
        <v>334</v>
      </c>
      <c r="Q14" s="251">
        <v>334</v>
      </c>
      <c r="R14" s="251">
        <v>334</v>
      </c>
      <c r="S14" s="251">
        <v>334</v>
      </c>
      <c r="T14" s="251"/>
    </row>
    <row r="15" spans="1:20" customFormat="1">
      <c r="A15" s="280" t="s">
        <v>19</v>
      </c>
      <c r="B15" s="251">
        <v>3</v>
      </c>
      <c r="C15" s="251">
        <v>3</v>
      </c>
      <c r="D15" s="251">
        <v>3</v>
      </c>
      <c r="E15" s="251">
        <v>3</v>
      </c>
      <c r="F15" s="251">
        <v>3</v>
      </c>
      <c r="G15" s="251">
        <v>3</v>
      </c>
      <c r="H15" s="251">
        <v>3</v>
      </c>
      <c r="I15" s="251">
        <v>3</v>
      </c>
      <c r="J15" s="251">
        <v>3</v>
      </c>
      <c r="K15" s="251">
        <v>3</v>
      </c>
      <c r="L15" s="251">
        <v>3</v>
      </c>
      <c r="M15" s="251">
        <v>0</v>
      </c>
      <c r="N15" s="251">
        <v>0</v>
      </c>
      <c r="O15" s="251">
        <v>0</v>
      </c>
      <c r="P15" s="251">
        <v>0</v>
      </c>
      <c r="Q15" s="251">
        <v>0</v>
      </c>
      <c r="R15" s="251">
        <v>0</v>
      </c>
      <c r="S15" s="251">
        <v>0</v>
      </c>
      <c r="T15" s="251"/>
    </row>
    <row r="16" spans="1:20">
      <c r="A16" s="280" t="s">
        <v>20</v>
      </c>
      <c r="B16" s="273">
        <v>0</v>
      </c>
      <c r="C16" s="273">
        <v>0</v>
      </c>
      <c r="D16" s="273">
        <v>0</v>
      </c>
      <c r="E16" s="273">
        <v>0</v>
      </c>
      <c r="F16" s="273">
        <v>0</v>
      </c>
      <c r="G16" s="273">
        <v>0</v>
      </c>
      <c r="H16" s="273">
        <v>0</v>
      </c>
      <c r="I16" s="273">
        <v>0</v>
      </c>
      <c r="J16" s="273">
        <v>0</v>
      </c>
      <c r="K16" s="273">
        <v>0</v>
      </c>
      <c r="L16" s="273">
        <v>0</v>
      </c>
      <c r="M16" s="273">
        <v>0</v>
      </c>
      <c r="N16" s="273">
        <v>0</v>
      </c>
      <c r="O16" s="273">
        <v>0</v>
      </c>
      <c r="P16" s="273">
        <v>0</v>
      </c>
      <c r="Q16" s="273">
        <v>0</v>
      </c>
      <c r="R16" s="273">
        <v>0</v>
      </c>
      <c r="S16" s="273">
        <v>0</v>
      </c>
      <c r="T16" s="273"/>
    </row>
    <row r="17" spans="1:20">
      <c r="A17" s="280" t="s">
        <v>21</v>
      </c>
      <c r="B17" s="273">
        <v>0</v>
      </c>
      <c r="C17" s="273">
        <v>0</v>
      </c>
      <c r="D17" s="273">
        <v>0</v>
      </c>
      <c r="E17" s="273">
        <v>0</v>
      </c>
      <c r="F17" s="273">
        <v>0</v>
      </c>
      <c r="G17" s="273">
        <v>0</v>
      </c>
      <c r="H17" s="273">
        <v>0</v>
      </c>
      <c r="I17" s="273">
        <v>0</v>
      </c>
      <c r="J17" s="273">
        <v>0</v>
      </c>
      <c r="K17" s="273">
        <v>0</v>
      </c>
      <c r="L17" s="273">
        <v>0</v>
      </c>
      <c r="M17" s="273">
        <v>0</v>
      </c>
      <c r="N17" s="273">
        <v>0</v>
      </c>
      <c r="O17" s="273">
        <v>0</v>
      </c>
      <c r="P17" s="273">
        <v>0</v>
      </c>
      <c r="Q17" s="273">
        <v>0</v>
      </c>
      <c r="R17" s="273">
        <v>0</v>
      </c>
      <c r="S17" s="273">
        <v>0</v>
      </c>
      <c r="T17" s="273"/>
    </row>
    <row r="18" spans="1:20" customFormat="1">
      <c r="A18" s="280" t="s">
        <v>22</v>
      </c>
      <c r="B18" s="251">
        <v>1</v>
      </c>
      <c r="C18" s="251">
        <v>1</v>
      </c>
      <c r="D18" s="251">
        <v>24</v>
      </c>
      <c r="E18" s="251">
        <v>77</v>
      </c>
      <c r="F18" s="251">
        <v>150</v>
      </c>
      <c r="G18" s="251">
        <v>213</v>
      </c>
      <c r="H18" s="251">
        <v>260</v>
      </c>
      <c r="I18" s="251">
        <v>303</v>
      </c>
      <c r="J18" s="251">
        <v>343</v>
      </c>
      <c r="K18" s="251">
        <v>383</v>
      </c>
      <c r="L18" s="251">
        <v>403</v>
      </c>
      <c r="M18" s="251">
        <v>423</v>
      </c>
      <c r="N18" s="251">
        <v>443</v>
      </c>
      <c r="O18" s="251">
        <v>463</v>
      </c>
      <c r="P18" s="251">
        <v>483</v>
      </c>
      <c r="Q18" s="251">
        <v>483</v>
      </c>
      <c r="R18" s="251">
        <v>483</v>
      </c>
      <c r="S18" s="251">
        <v>483</v>
      </c>
      <c r="T18" s="251"/>
    </row>
    <row r="19" spans="1:20" customFormat="1">
      <c r="A19" s="280" t="s">
        <v>23</v>
      </c>
      <c r="B19" s="251">
        <v>2</v>
      </c>
      <c r="C19" s="251">
        <v>4</v>
      </c>
      <c r="D19" s="251">
        <v>4</v>
      </c>
      <c r="E19" s="251">
        <v>6</v>
      </c>
      <c r="F19" s="251">
        <v>8</v>
      </c>
      <c r="G19" s="251">
        <v>9</v>
      </c>
      <c r="H19" s="251">
        <v>11</v>
      </c>
      <c r="I19" s="251">
        <v>13</v>
      </c>
      <c r="J19" s="251">
        <v>15</v>
      </c>
      <c r="K19" s="251">
        <v>15</v>
      </c>
      <c r="L19" s="251">
        <v>15</v>
      </c>
      <c r="M19" s="251">
        <v>15</v>
      </c>
      <c r="N19" s="251">
        <v>15</v>
      </c>
      <c r="O19" s="251">
        <v>15</v>
      </c>
      <c r="P19" s="251">
        <v>15</v>
      </c>
      <c r="Q19" s="251">
        <v>15</v>
      </c>
      <c r="R19" s="251">
        <v>15</v>
      </c>
      <c r="S19" s="251">
        <v>15</v>
      </c>
      <c r="T19" s="251"/>
    </row>
    <row r="20" spans="1:20" customFormat="1">
      <c r="A20" s="280" t="s">
        <v>24</v>
      </c>
      <c r="B20" s="251">
        <v>0</v>
      </c>
      <c r="C20" s="251">
        <v>0</v>
      </c>
      <c r="D20" s="251">
        <v>0</v>
      </c>
      <c r="E20" s="251">
        <v>0</v>
      </c>
      <c r="F20" s="251">
        <v>0</v>
      </c>
      <c r="G20" s="251">
        <v>0</v>
      </c>
      <c r="H20" s="251">
        <v>0</v>
      </c>
      <c r="I20" s="251">
        <v>0</v>
      </c>
      <c r="J20" s="251">
        <v>0</v>
      </c>
      <c r="K20" s="251">
        <v>0</v>
      </c>
      <c r="L20" s="251">
        <v>0</v>
      </c>
      <c r="M20" s="251">
        <v>0</v>
      </c>
      <c r="N20" s="251">
        <v>0</v>
      </c>
      <c r="O20" s="251">
        <v>0</v>
      </c>
      <c r="P20" s="251">
        <v>0</v>
      </c>
      <c r="Q20" s="251">
        <v>0</v>
      </c>
      <c r="R20" s="251">
        <v>0</v>
      </c>
      <c r="S20" s="251">
        <v>0</v>
      </c>
      <c r="T20" s="251"/>
    </row>
    <row r="21" spans="1:20" customFormat="1">
      <c r="A21" s="280" t="s">
        <v>82</v>
      </c>
      <c r="B21" s="251">
        <v>0</v>
      </c>
      <c r="C21" s="251">
        <v>6</v>
      </c>
      <c r="D21" s="251">
        <v>27</v>
      </c>
      <c r="E21" s="251">
        <v>52</v>
      </c>
      <c r="F21" s="251">
        <v>68</v>
      </c>
      <c r="G21" s="251">
        <v>88</v>
      </c>
      <c r="H21" s="251">
        <v>111</v>
      </c>
      <c r="I21" s="251">
        <v>134</v>
      </c>
      <c r="J21" s="251">
        <v>153</v>
      </c>
      <c r="K21" s="251">
        <v>153</v>
      </c>
      <c r="L21" s="251">
        <v>153</v>
      </c>
      <c r="M21" s="251">
        <v>153</v>
      </c>
      <c r="N21" s="251">
        <v>153</v>
      </c>
      <c r="O21" s="251">
        <v>153</v>
      </c>
      <c r="P21" s="251">
        <v>153</v>
      </c>
      <c r="Q21" s="251">
        <v>153</v>
      </c>
      <c r="R21" s="251">
        <v>153</v>
      </c>
      <c r="S21" s="251">
        <v>153</v>
      </c>
      <c r="T21" s="251"/>
    </row>
    <row r="22" spans="1:20" customFormat="1">
      <c r="A22" s="280" t="s">
        <v>76</v>
      </c>
      <c r="B22" s="251">
        <v>16</v>
      </c>
      <c r="C22" s="251">
        <v>16</v>
      </c>
      <c r="D22" s="251">
        <v>24</v>
      </c>
      <c r="E22" s="251">
        <v>37</v>
      </c>
      <c r="F22" s="251">
        <v>47</v>
      </c>
      <c r="G22" s="251">
        <v>54</v>
      </c>
      <c r="H22" s="251">
        <v>61</v>
      </c>
      <c r="I22" s="251">
        <v>68</v>
      </c>
      <c r="J22" s="251">
        <v>74</v>
      </c>
      <c r="K22" s="251">
        <v>74</v>
      </c>
      <c r="L22" s="251">
        <v>74</v>
      </c>
      <c r="M22" s="251">
        <v>74</v>
      </c>
      <c r="N22" s="251">
        <v>74</v>
      </c>
      <c r="O22" s="251">
        <v>74</v>
      </c>
      <c r="P22" s="251">
        <v>74</v>
      </c>
      <c r="Q22" s="251">
        <v>74</v>
      </c>
      <c r="R22" s="251">
        <v>74</v>
      </c>
      <c r="S22" s="251">
        <v>74</v>
      </c>
      <c r="T22" s="251"/>
    </row>
    <row r="23" spans="1:20" customFormat="1">
      <c r="A23" s="280" t="s">
        <v>25</v>
      </c>
      <c r="B23" s="251">
        <v>0</v>
      </c>
      <c r="C23" s="251">
        <v>0</v>
      </c>
      <c r="D23" s="251">
        <v>4</v>
      </c>
      <c r="E23" s="251">
        <v>11</v>
      </c>
      <c r="F23" s="251">
        <v>25</v>
      </c>
      <c r="G23" s="251">
        <v>39</v>
      </c>
      <c r="H23" s="251">
        <v>53</v>
      </c>
      <c r="I23" s="251">
        <v>67</v>
      </c>
      <c r="J23" s="251">
        <v>81</v>
      </c>
      <c r="K23" s="251">
        <v>92</v>
      </c>
      <c r="L23" s="251">
        <v>92</v>
      </c>
      <c r="M23" s="251">
        <v>92</v>
      </c>
      <c r="N23" s="251">
        <v>92</v>
      </c>
      <c r="O23" s="251">
        <v>92</v>
      </c>
      <c r="P23" s="251">
        <v>92</v>
      </c>
      <c r="Q23" s="251">
        <v>92</v>
      </c>
      <c r="R23" s="251">
        <v>92</v>
      </c>
      <c r="S23" s="251">
        <v>92</v>
      </c>
      <c r="T23" s="251"/>
    </row>
    <row r="24" spans="1:20" customFormat="1">
      <c r="A24" s="280" t="s">
        <v>77</v>
      </c>
      <c r="B24" s="251">
        <v>16</v>
      </c>
      <c r="C24" s="251">
        <v>27</v>
      </c>
      <c r="D24" s="251">
        <v>37</v>
      </c>
      <c r="E24" s="251">
        <v>43</v>
      </c>
      <c r="F24" s="251">
        <v>49</v>
      </c>
      <c r="G24" s="251">
        <v>49</v>
      </c>
      <c r="H24" s="251">
        <v>49</v>
      </c>
      <c r="I24" s="251">
        <v>49</v>
      </c>
      <c r="J24" s="251">
        <v>49</v>
      </c>
      <c r="K24" s="251">
        <v>49</v>
      </c>
      <c r="L24" s="251">
        <v>49</v>
      </c>
      <c r="M24" s="251">
        <v>49</v>
      </c>
      <c r="N24" s="251">
        <v>49</v>
      </c>
      <c r="O24" s="251">
        <v>49</v>
      </c>
      <c r="P24" s="251">
        <v>49</v>
      </c>
      <c r="Q24" s="251">
        <v>49</v>
      </c>
      <c r="R24" s="251">
        <v>49</v>
      </c>
      <c r="S24" s="251">
        <v>49</v>
      </c>
      <c r="T24" s="251"/>
    </row>
    <row r="25" spans="1:20" customFormat="1">
      <c r="A25" s="280" t="s">
        <v>26</v>
      </c>
      <c r="B25" s="251">
        <v>4</v>
      </c>
      <c r="C25" s="251">
        <v>4</v>
      </c>
      <c r="D25" s="251">
        <v>4</v>
      </c>
      <c r="E25" s="251">
        <v>4</v>
      </c>
      <c r="F25" s="251">
        <v>4</v>
      </c>
      <c r="G25" s="251">
        <v>4</v>
      </c>
      <c r="H25" s="251">
        <v>4</v>
      </c>
      <c r="I25" s="251">
        <v>4</v>
      </c>
      <c r="J25" s="251">
        <v>4</v>
      </c>
      <c r="K25" s="251">
        <v>4</v>
      </c>
      <c r="L25" s="251">
        <v>4</v>
      </c>
      <c r="M25" s="251">
        <v>4</v>
      </c>
      <c r="N25" s="251">
        <v>4</v>
      </c>
      <c r="O25" s="251">
        <v>4</v>
      </c>
      <c r="P25" s="251">
        <v>4</v>
      </c>
      <c r="Q25" s="251">
        <v>4</v>
      </c>
      <c r="R25" s="251">
        <v>4</v>
      </c>
      <c r="S25" s="251">
        <v>4</v>
      </c>
      <c r="T25" s="251"/>
    </row>
    <row r="26" spans="1:20" customFormat="1">
      <c r="A26" s="280" t="s">
        <v>27</v>
      </c>
      <c r="B26" s="251">
        <v>0</v>
      </c>
      <c r="C26" s="251">
        <v>1</v>
      </c>
      <c r="D26" s="251">
        <v>2</v>
      </c>
      <c r="E26" s="251">
        <v>10</v>
      </c>
      <c r="F26" s="251">
        <v>13</v>
      </c>
      <c r="G26" s="251">
        <v>19</v>
      </c>
      <c r="H26" s="251">
        <v>22</v>
      </c>
      <c r="I26" s="251">
        <v>25</v>
      </c>
      <c r="J26" s="251">
        <v>28</v>
      </c>
      <c r="K26" s="251">
        <v>28</v>
      </c>
      <c r="L26" s="251">
        <v>28</v>
      </c>
      <c r="M26" s="251">
        <v>28</v>
      </c>
      <c r="N26" s="251">
        <v>28</v>
      </c>
      <c r="O26" s="251">
        <v>28</v>
      </c>
      <c r="P26" s="251">
        <v>28</v>
      </c>
      <c r="Q26" s="251">
        <v>28</v>
      </c>
      <c r="R26" s="251">
        <v>28</v>
      </c>
      <c r="S26" s="251">
        <v>28</v>
      </c>
      <c r="T26" s="251"/>
    </row>
    <row r="27" spans="1:20" customFormat="1">
      <c r="A27" s="280" t="s">
        <v>28</v>
      </c>
      <c r="B27" s="251">
        <v>0</v>
      </c>
      <c r="C27" s="251">
        <v>0</v>
      </c>
      <c r="D27" s="251">
        <v>0</v>
      </c>
      <c r="E27" s="251">
        <v>0</v>
      </c>
      <c r="F27" s="251">
        <v>0</v>
      </c>
      <c r="G27" s="251">
        <v>0</v>
      </c>
      <c r="H27" s="251">
        <v>0</v>
      </c>
      <c r="I27" s="251">
        <v>0</v>
      </c>
      <c r="J27" s="251">
        <v>0</v>
      </c>
      <c r="K27" s="251">
        <v>0</v>
      </c>
      <c r="L27" s="251">
        <v>0</v>
      </c>
      <c r="M27" s="251">
        <v>0</v>
      </c>
      <c r="N27" s="251">
        <v>0</v>
      </c>
      <c r="O27" s="251">
        <v>0</v>
      </c>
      <c r="P27" s="251">
        <v>0</v>
      </c>
      <c r="Q27" s="251">
        <v>0</v>
      </c>
      <c r="R27" s="251">
        <v>0</v>
      </c>
      <c r="S27" s="251">
        <v>0</v>
      </c>
      <c r="T27" s="251"/>
    </row>
    <row r="28" spans="1:20" customFormat="1">
      <c r="A28" s="280" t="s">
        <v>29</v>
      </c>
      <c r="B28" s="251">
        <v>8</v>
      </c>
      <c r="C28" s="251">
        <v>16</v>
      </c>
      <c r="D28" s="251">
        <v>24</v>
      </c>
      <c r="E28" s="251">
        <v>33</v>
      </c>
      <c r="F28" s="251">
        <v>33</v>
      </c>
      <c r="G28" s="251">
        <v>33</v>
      </c>
      <c r="H28" s="251">
        <v>33</v>
      </c>
      <c r="I28" s="251">
        <v>33</v>
      </c>
      <c r="J28" s="251">
        <v>33</v>
      </c>
      <c r="K28" s="251">
        <v>33</v>
      </c>
      <c r="L28" s="251">
        <v>33</v>
      </c>
      <c r="M28" s="251">
        <v>33</v>
      </c>
      <c r="N28" s="251">
        <v>33</v>
      </c>
      <c r="O28" s="251">
        <v>33</v>
      </c>
      <c r="P28" s="251">
        <v>33</v>
      </c>
      <c r="Q28" s="251">
        <v>33</v>
      </c>
      <c r="R28" s="251">
        <v>33</v>
      </c>
      <c r="S28" s="251">
        <v>33</v>
      </c>
      <c r="T28" s="251"/>
    </row>
    <row r="29" spans="1:20">
      <c r="A29" s="280" t="s">
        <v>30</v>
      </c>
      <c r="B29" s="273">
        <v>0</v>
      </c>
      <c r="C29" s="273">
        <v>0</v>
      </c>
      <c r="D29" s="273">
        <v>0</v>
      </c>
      <c r="E29" s="273">
        <v>0</v>
      </c>
      <c r="F29" s="273">
        <v>0</v>
      </c>
      <c r="G29" s="273">
        <v>0</v>
      </c>
      <c r="H29" s="273">
        <v>0</v>
      </c>
      <c r="I29" s="273">
        <v>0</v>
      </c>
      <c r="J29" s="273">
        <v>0</v>
      </c>
      <c r="K29" s="273">
        <v>0</v>
      </c>
      <c r="L29" s="273">
        <v>0</v>
      </c>
      <c r="M29" s="273">
        <v>0</v>
      </c>
      <c r="N29" s="273">
        <v>0</v>
      </c>
      <c r="O29" s="273">
        <v>0</v>
      </c>
      <c r="P29" s="273">
        <v>0</v>
      </c>
      <c r="Q29" s="273">
        <v>0</v>
      </c>
      <c r="R29" s="273">
        <v>0</v>
      </c>
      <c r="S29" s="273">
        <v>0</v>
      </c>
      <c r="T29" s="273"/>
    </row>
    <row r="30" spans="1:20" customFormat="1">
      <c r="A30" s="280" t="s">
        <v>31</v>
      </c>
      <c r="B30" s="251">
        <v>0</v>
      </c>
      <c r="C30" s="251">
        <v>0</v>
      </c>
      <c r="D30" s="251">
        <v>0</v>
      </c>
      <c r="E30" s="251">
        <v>0</v>
      </c>
      <c r="F30" s="251">
        <v>0</v>
      </c>
      <c r="G30" s="251">
        <v>0</v>
      </c>
      <c r="H30" s="251">
        <v>0</v>
      </c>
      <c r="I30" s="251">
        <v>0</v>
      </c>
      <c r="J30" s="251">
        <v>0</v>
      </c>
      <c r="K30" s="251">
        <v>0</v>
      </c>
      <c r="L30" s="251">
        <v>0</v>
      </c>
      <c r="M30" s="251">
        <v>0</v>
      </c>
      <c r="N30" s="251">
        <v>0</v>
      </c>
      <c r="O30" s="251">
        <v>0</v>
      </c>
      <c r="P30" s="251">
        <v>0</v>
      </c>
      <c r="Q30" s="251">
        <v>0</v>
      </c>
      <c r="R30" s="251">
        <v>0</v>
      </c>
      <c r="S30" s="251">
        <v>0</v>
      </c>
      <c r="T30" s="251"/>
    </row>
    <row r="31" spans="1:20" customFormat="1">
      <c r="A31" s="280" t="s">
        <v>32</v>
      </c>
      <c r="B31" s="251">
        <v>0</v>
      </c>
      <c r="C31" s="251">
        <v>0</v>
      </c>
      <c r="D31" s="251">
        <v>0</v>
      </c>
      <c r="E31" s="251">
        <v>6</v>
      </c>
      <c r="F31" s="251">
        <v>17</v>
      </c>
      <c r="G31" s="251">
        <v>39</v>
      </c>
      <c r="H31" s="251">
        <v>72</v>
      </c>
      <c r="I31" s="251">
        <v>105</v>
      </c>
      <c r="J31" s="251">
        <v>127</v>
      </c>
      <c r="K31" s="251">
        <v>162</v>
      </c>
      <c r="L31" s="251">
        <v>176</v>
      </c>
      <c r="M31" s="251">
        <v>190</v>
      </c>
      <c r="N31" s="251">
        <v>204</v>
      </c>
      <c r="O31" s="251">
        <v>218</v>
      </c>
      <c r="P31" s="251">
        <v>232</v>
      </c>
      <c r="Q31" s="251">
        <v>232</v>
      </c>
      <c r="R31" s="251">
        <v>232</v>
      </c>
      <c r="S31" s="251">
        <v>232</v>
      </c>
      <c r="T31" s="251"/>
    </row>
    <row r="32" spans="1:20">
      <c r="A32" s="280" t="s">
        <v>33</v>
      </c>
      <c r="B32" s="273">
        <v>0</v>
      </c>
      <c r="C32" s="273">
        <v>0</v>
      </c>
      <c r="D32" s="273">
        <v>0</v>
      </c>
      <c r="E32" s="273">
        <v>0</v>
      </c>
      <c r="F32" s="273">
        <v>0</v>
      </c>
      <c r="G32" s="273">
        <v>0</v>
      </c>
      <c r="H32" s="273">
        <v>0</v>
      </c>
      <c r="I32" s="273">
        <v>0</v>
      </c>
      <c r="J32" s="273">
        <v>0</v>
      </c>
      <c r="K32" s="273">
        <v>0</v>
      </c>
      <c r="L32" s="273">
        <v>0</v>
      </c>
      <c r="M32" s="273">
        <v>0</v>
      </c>
      <c r="N32" s="273">
        <v>0</v>
      </c>
      <c r="O32" s="273">
        <v>0</v>
      </c>
      <c r="P32" s="273">
        <v>0</v>
      </c>
      <c r="Q32" s="273">
        <v>0</v>
      </c>
      <c r="R32" s="273">
        <v>0</v>
      </c>
      <c r="S32" s="273">
        <v>0</v>
      </c>
      <c r="T32" s="273"/>
    </row>
    <row r="33" spans="1:20" customFormat="1">
      <c r="A33" s="280" t="s">
        <v>78</v>
      </c>
      <c r="B33" s="251">
        <v>0</v>
      </c>
      <c r="C33" s="251">
        <v>0</v>
      </c>
      <c r="D33" s="251">
        <v>5</v>
      </c>
      <c r="E33" s="251">
        <v>7</v>
      </c>
      <c r="F33" s="251">
        <v>7</v>
      </c>
      <c r="G33" s="251">
        <v>7</v>
      </c>
      <c r="H33" s="251">
        <v>10</v>
      </c>
      <c r="I33" s="251">
        <v>13</v>
      </c>
      <c r="J33" s="251">
        <v>19</v>
      </c>
      <c r="K33" s="251">
        <v>26</v>
      </c>
      <c r="L33" s="251">
        <v>26</v>
      </c>
      <c r="M33" s="251">
        <v>26</v>
      </c>
      <c r="N33" s="251">
        <v>26</v>
      </c>
      <c r="O33" s="251">
        <v>26</v>
      </c>
      <c r="P33" s="251">
        <v>26</v>
      </c>
      <c r="Q33" s="251">
        <v>26</v>
      </c>
      <c r="R33" s="251">
        <v>26</v>
      </c>
      <c r="S33" s="251">
        <v>26</v>
      </c>
      <c r="T33" s="251"/>
    </row>
    <row r="34" spans="1:20" customFormat="1">
      <c r="A34" s="280" t="s">
        <v>34</v>
      </c>
      <c r="B34" s="251">
        <v>5</v>
      </c>
      <c r="C34" s="251">
        <v>5</v>
      </c>
      <c r="D34" s="251">
        <v>7</v>
      </c>
      <c r="E34" s="251">
        <v>7</v>
      </c>
      <c r="F34" s="251">
        <v>7</v>
      </c>
      <c r="G34" s="251">
        <v>7</v>
      </c>
      <c r="H34" s="251">
        <v>7</v>
      </c>
      <c r="I34" s="251">
        <v>7</v>
      </c>
      <c r="J34" s="251">
        <v>9</v>
      </c>
      <c r="K34" s="251">
        <v>11</v>
      </c>
      <c r="L34" s="251">
        <v>11</v>
      </c>
      <c r="M34" s="251">
        <v>11</v>
      </c>
      <c r="N34" s="251">
        <v>11</v>
      </c>
      <c r="O34" s="251">
        <v>11</v>
      </c>
      <c r="P34" s="251">
        <v>11</v>
      </c>
      <c r="Q34" s="251">
        <v>11</v>
      </c>
      <c r="R34" s="251">
        <v>11</v>
      </c>
      <c r="S34" s="251">
        <v>11</v>
      </c>
      <c r="T34" s="251"/>
    </row>
    <row r="35" spans="1:20" customFormat="1">
      <c r="A35" s="280" t="s">
        <v>83</v>
      </c>
      <c r="B35" s="251">
        <v>0</v>
      </c>
      <c r="C35" s="251">
        <v>0</v>
      </c>
      <c r="D35" s="251">
        <v>0</v>
      </c>
      <c r="E35" s="251">
        <v>0</v>
      </c>
      <c r="F35" s="251">
        <v>0</v>
      </c>
      <c r="G35" s="251">
        <v>0</v>
      </c>
      <c r="H35" s="251">
        <v>0</v>
      </c>
      <c r="I35" s="251">
        <v>0</v>
      </c>
      <c r="J35" s="251">
        <v>0</v>
      </c>
      <c r="K35" s="251">
        <v>0</v>
      </c>
      <c r="L35" s="251">
        <v>0</v>
      </c>
      <c r="M35" s="251">
        <v>0</v>
      </c>
      <c r="N35" s="251">
        <v>0</v>
      </c>
      <c r="O35" s="251">
        <v>0</v>
      </c>
      <c r="P35" s="251">
        <v>0</v>
      </c>
      <c r="Q35" s="251">
        <v>0</v>
      </c>
      <c r="R35" s="251">
        <v>0</v>
      </c>
      <c r="S35" s="251">
        <v>0</v>
      </c>
      <c r="T35" s="251"/>
    </row>
    <row r="36" spans="1:20" customFormat="1">
      <c r="A36" s="288" t="s">
        <v>79</v>
      </c>
      <c r="B36" s="251">
        <v>2.2799999713897705</v>
      </c>
      <c r="C36" s="251">
        <v>3.4969696998596191</v>
      </c>
      <c r="D36" s="251">
        <v>8.960686206817627</v>
      </c>
      <c r="E36" s="251">
        <v>19.575088024139404</v>
      </c>
      <c r="F36" s="251">
        <v>34.072074413299561</v>
      </c>
      <c r="G36" s="251">
        <v>46.043908596038818</v>
      </c>
      <c r="H36" s="251">
        <v>55.860288862114203</v>
      </c>
      <c r="I36" s="251">
        <v>64.833032764553224</v>
      </c>
      <c r="J36" s="251">
        <v>73.295776666992253</v>
      </c>
      <c r="K36" s="251">
        <v>81.339999227967866</v>
      </c>
      <c r="L36" s="251">
        <v>83</v>
      </c>
      <c r="M36" s="251">
        <v>85</v>
      </c>
      <c r="N36" s="251">
        <v>88</v>
      </c>
      <c r="O36" s="251">
        <v>91</v>
      </c>
      <c r="P36" s="251">
        <v>94</v>
      </c>
      <c r="Q36" s="251">
        <v>97</v>
      </c>
      <c r="R36" s="251">
        <v>110</v>
      </c>
      <c r="S36" s="251">
        <v>110</v>
      </c>
      <c r="T36" s="251"/>
    </row>
    <row r="37" spans="1:20" customFormat="1">
      <c r="A37" s="280" t="s">
        <v>35</v>
      </c>
      <c r="B37" s="251">
        <v>32</v>
      </c>
      <c r="C37" s="251">
        <v>96</v>
      </c>
      <c r="D37" s="251">
        <v>170</v>
      </c>
      <c r="E37" s="251">
        <v>240</v>
      </c>
      <c r="F37" s="251">
        <v>290</v>
      </c>
      <c r="G37" s="251">
        <v>337</v>
      </c>
      <c r="H37" s="251">
        <v>373</v>
      </c>
      <c r="I37" s="251">
        <v>405</v>
      </c>
      <c r="J37" s="251">
        <v>422</v>
      </c>
      <c r="K37" s="251">
        <v>422</v>
      </c>
      <c r="L37" s="251">
        <v>422</v>
      </c>
      <c r="M37" s="251">
        <v>422</v>
      </c>
      <c r="N37" s="251">
        <v>422</v>
      </c>
      <c r="O37" s="251">
        <v>422</v>
      </c>
      <c r="P37" s="251">
        <v>422</v>
      </c>
      <c r="Q37" s="251">
        <v>422</v>
      </c>
      <c r="R37" s="251">
        <v>422</v>
      </c>
      <c r="S37" s="251">
        <v>422</v>
      </c>
      <c r="T37" s="251"/>
    </row>
    <row r="38" spans="1:20" customFormat="1">
      <c r="A38" s="280" t="s">
        <v>36</v>
      </c>
      <c r="B38" s="251">
        <v>33</v>
      </c>
      <c r="C38" s="251">
        <v>44</v>
      </c>
      <c r="D38" s="251">
        <v>55</v>
      </c>
      <c r="E38" s="251">
        <v>66</v>
      </c>
      <c r="F38" s="251">
        <v>77</v>
      </c>
      <c r="G38" s="251">
        <v>105</v>
      </c>
      <c r="H38" s="251">
        <v>134</v>
      </c>
      <c r="I38" s="251">
        <v>163</v>
      </c>
      <c r="J38" s="251">
        <v>192</v>
      </c>
      <c r="K38" s="251">
        <v>210</v>
      </c>
      <c r="L38" s="251">
        <v>216</v>
      </c>
      <c r="M38" s="251">
        <v>222</v>
      </c>
      <c r="N38" s="251">
        <v>228</v>
      </c>
      <c r="O38" s="251">
        <v>234</v>
      </c>
      <c r="P38" s="251">
        <v>240</v>
      </c>
      <c r="Q38" s="251">
        <v>240</v>
      </c>
      <c r="R38" s="251">
        <v>240</v>
      </c>
      <c r="S38" s="251">
        <v>240</v>
      </c>
      <c r="T38" s="251"/>
    </row>
    <row r="39" spans="1:20" customFormat="1">
      <c r="A39" s="280" t="s">
        <v>37</v>
      </c>
      <c r="B39" s="251">
        <v>0</v>
      </c>
      <c r="C39" s="251">
        <v>17</v>
      </c>
      <c r="D39" s="251">
        <v>34</v>
      </c>
      <c r="E39" s="251">
        <v>47</v>
      </c>
      <c r="F39" s="251">
        <v>50</v>
      </c>
      <c r="G39" s="251">
        <v>71</v>
      </c>
      <c r="H39" s="251">
        <v>99</v>
      </c>
      <c r="I39" s="251">
        <v>125</v>
      </c>
      <c r="J39" s="251">
        <v>146</v>
      </c>
      <c r="K39" s="251">
        <v>181</v>
      </c>
      <c r="L39" s="251">
        <v>195</v>
      </c>
      <c r="M39" s="251">
        <v>209</v>
      </c>
      <c r="N39" s="251">
        <v>223</v>
      </c>
      <c r="O39" s="251">
        <v>237</v>
      </c>
      <c r="P39" s="251">
        <v>251</v>
      </c>
      <c r="Q39" s="251">
        <v>251</v>
      </c>
      <c r="R39" s="251">
        <v>251</v>
      </c>
      <c r="S39" s="251">
        <v>251</v>
      </c>
      <c r="T39" s="251"/>
    </row>
    <row r="40" spans="1:20" customFormat="1">
      <c r="A40" s="280" t="s">
        <v>38</v>
      </c>
      <c r="B40" s="251">
        <v>13</v>
      </c>
      <c r="C40" s="251">
        <v>13</v>
      </c>
      <c r="D40" s="251">
        <v>13</v>
      </c>
      <c r="E40" s="251">
        <v>13</v>
      </c>
      <c r="F40" s="251">
        <v>13</v>
      </c>
      <c r="G40" s="251">
        <v>18</v>
      </c>
      <c r="H40" s="251">
        <v>23</v>
      </c>
      <c r="I40" s="251">
        <v>28</v>
      </c>
      <c r="J40" s="251">
        <v>33</v>
      </c>
      <c r="K40" s="251">
        <v>38</v>
      </c>
      <c r="L40" s="251">
        <v>41</v>
      </c>
      <c r="M40" s="251">
        <v>43</v>
      </c>
      <c r="N40" s="251">
        <v>46</v>
      </c>
      <c r="O40" s="251">
        <v>48</v>
      </c>
      <c r="P40" s="251">
        <v>51</v>
      </c>
      <c r="Q40" s="251">
        <v>51</v>
      </c>
      <c r="R40" s="251">
        <v>51</v>
      </c>
      <c r="S40" s="251">
        <v>51</v>
      </c>
      <c r="T40" s="251"/>
    </row>
    <row r="41" spans="1:20" customFormat="1">
      <c r="A41" s="280" t="s">
        <v>39</v>
      </c>
      <c r="B41" s="251">
        <v>0</v>
      </c>
      <c r="C41" s="251">
        <v>0</v>
      </c>
      <c r="D41" s="251">
        <v>1</v>
      </c>
      <c r="E41" s="251">
        <v>2</v>
      </c>
      <c r="F41" s="251">
        <v>2</v>
      </c>
      <c r="G41" s="251">
        <v>2</v>
      </c>
      <c r="H41" s="251">
        <v>2</v>
      </c>
      <c r="I41" s="251">
        <v>2</v>
      </c>
      <c r="J41" s="251">
        <v>2</v>
      </c>
      <c r="K41" s="251">
        <v>2</v>
      </c>
      <c r="L41" s="251">
        <v>2</v>
      </c>
      <c r="M41" s="251">
        <v>0</v>
      </c>
      <c r="N41" s="251">
        <v>0</v>
      </c>
      <c r="O41" s="251">
        <v>0</v>
      </c>
      <c r="P41" s="251">
        <v>0</v>
      </c>
      <c r="Q41" s="251">
        <v>0</v>
      </c>
      <c r="R41" s="251">
        <v>0</v>
      </c>
      <c r="S41" s="251">
        <v>0</v>
      </c>
      <c r="T41" s="251"/>
    </row>
    <row r="42" spans="1:20" customFormat="1">
      <c r="A42" s="280" t="s">
        <v>40</v>
      </c>
      <c r="B42" s="251">
        <v>0</v>
      </c>
      <c r="C42" s="251">
        <v>4.5121212005615234</v>
      </c>
      <c r="D42" s="251">
        <v>13.53636360168457</v>
      </c>
      <c r="E42" s="251">
        <v>22.560606002807617</v>
      </c>
      <c r="F42" s="251">
        <v>29.779998779296875</v>
      </c>
      <c r="G42" s="251">
        <v>29.779998779296875</v>
      </c>
      <c r="H42" s="251">
        <v>29.779998779296875</v>
      </c>
      <c r="I42" s="251">
        <v>29.779998779296875</v>
      </c>
      <c r="J42" s="251">
        <v>29.779998779296875</v>
      </c>
      <c r="K42" s="251">
        <v>29.779998779296875</v>
      </c>
      <c r="L42" s="251">
        <v>40</v>
      </c>
      <c r="M42" s="251">
        <v>55</v>
      </c>
      <c r="N42" s="251">
        <v>70</v>
      </c>
      <c r="O42" s="251">
        <v>85</v>
      </c>
      <c r="P42" s="251">
        <v>100</v>
      </c>
      <c r="Q42" s="251">
        <v>110</v>
      </c>
      <c r="R42" s="251">
        <v>110</v>
      </c>
      <c r="S42" s="251">
        <v>110</v>
      </c>
      <c r="T42" s="251"/>
    </row>
    <row r="43" spans="1:20" customFormat="1">
      <c r="A43" s="288" t="s">
        <v>84</v>
      </c>
      <c r="B43" s="251">
        <v>1</v>
      </c>
      <c r="C43" s="251">
        <v>4</v>
      </c>
      <c r="D43" s="251">
        <v>7</v>
      </c>
      <c r="E43" s="251">
        <v>9</v>
      </c>
      <c r="F43" s="251">
        <v>11</v>
      </c>
      <c r="G43" s="251">
        <v>16</v>
      </c>
      <c r="H43" s="251">
        <v>22</v>
      </c>
      <c r="I43" s="251">
        <v>28</v>
      </c>
      <c r="J43" s="251">
        <v>33</v>
      </c>
      <c r="K43" s="251">
        <v>40</v>
      </c>
      <c r="L43" s="251">
        <v>42</v>
      </c>
      <c r="M43" s="251">
        <v>44</v>
      </c>
      <c r="N43" s="251">
        <v>46</v>
      </c>
      <c r="O43" s="251">
        <v>48</v>
      </c>
      <c r="P43" s="251">
        <v>50</v>
      </c>
      <c r="Q43" s="251">
        <v>50</v>
      </c>
      <c r="R43" s="251">
        <v>50</v>
      </c>
      <c r="S43" s="251">
        <v>50</v>
      </c>
      <c r="T43" s="251"/>
    </row>
    <row r="44" spans="1:20" customFormat="1">
      <c r="A44" s="280" t="s">
        <v>41</v>
      </c>
      <c r="B44" s="251">
        <v>0</v>
      </c>
      <c r="C44" s="251">
        <v>0</v>
      </c>
      <c r="D44" s="251">
        <v>0</v>
      </c>
      <c r="E44" s="251">
        <v>0</v>
      </c>
      <c r="F44" s="251">
        <v>0</v>
      </c>
      <c r="G44" s="251">
        <v>14</v>
      </c>
      <c r="H44" s="251">
        <v>24</v>
      </c>
      <c r="I44" s="251">
        <v>34</v>
      </c>
      <c r="J44" s="251">
        <v>44</v>
      </c>
      <c r="K44" s="251">
        <v>54</v>
      </c>
      <c r="L44" s="251">
        <v>56</v>
      </c>
      <c r="M44" s="251">
        <v>58</v>
      </c>
      <c r="N44" s="251">
        <v>60</v>
      </c>
      <c r="O44" s="251">
        <v>62</v>
      </c>
      <c r="P44" s="251">
        <v>64</v>
      </c>
      <c r="Q44" s="251">
        <v>64</v>
      </c>
      <c r="R44" s="251">
        <v>64</v>
      </c>
      <c r="S44" s="251">
        <v>64</v>
      </c>
      <c r="T44" s="251"/>
    </row>
    <row r="45" spans="1:20" customFormat="1">
      <c r="A45" s="280" t="s">
        <v>42</v>
      </c>
      <c r="B45" s="251">
        <v>0</v>
      </c>
      <c r="C45" s="251">
        <v>0</v>
      </c>
      <c r="D45" s="251">
        <v>0</v>
      </c>
      <c r="E45" s="251">
        <v>5</v>
      </c>
      <c r="F45" s="251">
        <v>16</v>
      </c>
      <c r="G45" s="251">
        <v>27</v>
      </c>
      <c r="H45" s="251">
        <v>38</v>
      </c>
      <c r="I45" s="251">
        <v>41</v>
      </c>
      <c r="J45" s="251">
        <v>41</v>
      </c>
      <c r="K45" s="251">
        <v>41</v>
      </c>
      <c r="L45" s="251">
        <v>41</v>
      </c>
      <c r="M45" s="251">
        <v>41</v>
      </c>
      <c r="N45" s="251">
        <v>41</v>
      </c>
      <c r="O45" s="251">
        <v>41</v>
      </c>
      <c r="P45" s="251">
        <v>41</v>
      </c>
      <c r="Q45" s="251">
        <v>41</v>
      </c>
      <c r="R45" s="251">
        <v>41</v>
      </c>
      <c r="S45" s="251">
        <v>41</v>
      </c>
      <c r="T45" s="251"/>
    </row>
    <row r="46" spans="1:20" customFormat="1">
      <c r="A46" s="280" t="s">
        <v>43</v>
      </c>
      <c r="B46" s="251">
        <v>8</v>
      </c>
      <c r="C46" s="251">
        <v>8</v>
      </c>
      <c r="D46" s="251">
        <v>8</v>
      </c>
      <c r="E46" s="251">
        <v>8</v>
      </c>
      <c r="F46" s="251">
        <v>8</v>
      </c>
      <c r="G46" s="251">
        <v>8</v>
      </c>
      <c r="H46" s="251">
        <v>15</v>
      </c>
      <c r="I46" s="251">
        <v>22</v>
      </c>
      <c r="J46" s="251">
        <v>31</v>
      </c>
      <c r="K46" s="251">
        <v>31</v>
      </c>
      <c r="L46" s="251">
        <v>31</v>
      </c>
      <c r="M46" s="251">
        <v>31</v>
      </c>
      <c r="N46" s="251">
        <v>31</v>
      </c>
      <c r="O46" s="251">
        <v>31</v>
      </c>
      <c r="P46" s="251">
        <v>31</v>
      </c>
      <c r="Q46" s="251">
        <v>31</v>
      </c>
      <c r="R46" s="251">
        <v>31</v>
      </c>
      <c r="S46" s="251">
        <v>31</v>
      </c>
      <c r="T46" s="251"/>
    </row>
    <row r="47" spans="1:20" customFormat="1">
      <c r="A47" s="280" t="s">
        <v>44</v>
      </c>
      <c r="B47" s="251">
        <v>4</v>
      </c>
      <c r="C47" s="251">
        <v>10</v>
      </c>
      <c r="D47" s="251">
        <v>21</v>
      </c>
      <c r="E47" s="251">
        <v>29</v>
      </c>
      <c r="F47" s="251">
        <v>38</v>
      </c>
      <c r="G47" s="251">
        <v>55</v>
      </c>
      <c r="H47" s="251">
        <v>72</v>
      </c>
      <c r="I47" s="251">
        <v>89</v>
      </c>
      <c r="J47" s="251">
        <v>107</v>
      </c>
      <c r="K47" s="251">
        <v>122</v>
      </c>
      <c r="L47" s="251">
        <v>134</v>
      </c>
      <c r="M47" s="251">
        <v>146</v>
      </c>
      <c r="N47" s="251">
        <v>158</v>
      </c>
      <c r="O47" s="251">
        <v>170</v>
      </c>
      <c r="P47" s="251">
        <v>182</v>
      </c>
      <c r="Q47" s="251">
        <v>182</v>
      </c>
      <c r="R47" s="251">
        <v>182</v>
      </c>
      <c r="S47" s="251">
        <v>182</v>
      </c>
      <c r="T47" s="251"/>
    </row>
    <row r="48" spans="1:20" customFormat="1">
      <c r="A48" s="280" t="s">
        <v>45</v>
      </c>
      <c r="B48" s="251">
        <v>3</v>
      </c>
      <c r="C48" s="251">
        <v>3</v>
      </c>
      <c r="D48" s="251">
        <v>3</v>
      </c>
      <c r="E48" s="251">
        <v>3</v>
      </c>
      <c r="F48" s="251">
        <v>3</v>
      </c>
      <c r="G48" s="251">
        <v>4</v>
      </c>
      <c r="H48" s="251">
        <v>6</v>
      </c>
      <c r="I48" s="251">
        <v>6</v>
      </c>
      <c r="J48" s="251">
        <v>6</v>
      </c>
      <c r="K48" s="251">
        <v>6</v>
      </c>
      <c r="L48" s="251">
        <v>6</v>
      </c>
      <c r="M48" s="251">
        <v>6</v>
      </c>
      <c r="N48" s="251">
        <v>6</v>
      </c>
      <c r="O48" s="251">
        <v>6</v>
      </c>
      <c r="P48" s="251">
        <v>6</v>
      </c>
      <c r="Q48" s="251">
        <v>6</v>
      </c>
      <c r="R48" s="251">
        <v>6</v>
      </c>
      <c r="S48" s="251">
        <v>6</v>
      </c>
      <c r="T48" s="251"/>
    </row>
    <row r="49" spans="1:20">
      <c r="A49" s="280" t="s">
        <v>46</v>
      </c>
      <c r="B49" s="273">
        <v>0</v>
      </c>
      <c r="C49" s="273">
        <v>1</v>
      </c>
      <c r="D49" s="273">
        <v>3</v>
      </c>
      <c r="E49" s="273">
        <v>3</v>
      </c>
      <c r="F49" s="273">
        <v>3</v>
      </c>
      <c r="G49" s="273">
        <v>3</v>
      </c>
      <c r="H49" s="273">
        <v>3</v>
      </c>
      <c r="I49" s="273">
        <v>3</v>
      </c>
      <c r="J49" s="273">
        <v>3</v>
      </c>
      <c r="K49" s="273">
        <v>3</v>
      </c>
      <c r="L49" s="273">
        <v>3</v>
      </c>
      <c r="M49" s="273">
        <v>3</v>
      </c>
      <c r="N49" s="273">
        <v>3</v>
      </c>
      <c r="O49" s="273">
        <v>3</v>
      </c>
      <c r="P49" s="273">
        <v>3</v>
      </c>
      <c r="Q49" s="273">
        <v>3</v>
      </c>
      <c r="R49" s="273">
        <v>3</v>
      </c>
      <c r="S49" s="273">
        <v>3</v>
      </c>
      <c r="T49" s="273"/>
    </row>
    <row r="50" spans="1:20" customFormat="1">
      <c r="A50" s="280" t="s">
        <v>47</v>
      </c>
      <c r="B50" s="251">
        <v>0</v>
      </c>
      <c r="C50" s="251">
        <v>0</v>
      </c>
      <c r="D50" s="251">
        <v>0</v>
      </c>
      <c r="E50" s="251">
        <v>0</v>
      </c>
      <c r="F50" s="251">
        <v>0</v>
      </c>
      <c r="G50" s="251">
        <v>0</v>
      </c>
      <c r="H50" s="251">
        <v>0</v>
      </c>
      <c r="I50" s="251">
        <v>0</v>
      </c>
      <c r="J50" s="251">
        <v>0</v>
      </c>
      <c r="K50" s="251">
        <v>0</v>
      </c>
      <c r="L50" s="251">
        <v>0</v>
      </c>
      <c r="M50" s="251">
        <v>0</v>
      </c>
      <c r="N50" s="251">
        <v>0</v>
      </c>
      <c r="O50" s="251">
        <v>0</v>
      </c>
      <c r="P50" s="251">
        <v>0</v>
      </c>
      <c r="Q50" s="251">
        <v>0</v>
      </c>
      <c r="R50" s="251">
        <v>0</v>
      </c>
      <c r="S50" s="251">
        <v>0</v>
      </c>
      <c r="T50" s="251"/>
    </row>
    <row r="51" spans="1:20" customFormat="1">
      <c r="A51" s="280" t="s">
        <v>48</v>
      </c>
      <c r="B51" s="251">
        <v>0</v>
      </c>
      <c r="C51" s="251">
        <v>0</v>
      </c>
      <c r="D51" s="251">
        <v>0</v>
      </c>
      <c r="E51" s="251">
        <v>0</v>
      </c>
      <c r="F51" s="251">
        <v>0</v>
      </c>
      <c r="G51" s="251">
        <v>0</v>
      </c>
      <c r="H51" s="251">
        <v>0</v>
      </c>
      <c r="I51" s="251">
        <v>0</v>
      </c>
      <c r="J51" s="251">
        <v>0</v>
      </c>
      <c r="K51" s="251">
        <v>0</v>
      </c>
      <c r="L51" s="251">
        <v>0</v>
      </c>
      <c r="M51" s="251">
        <v>0</v>
      </c>
      <c r="N51" s="251">
        <v>0</v>
      </c>
      <c r="O51" s="251">
        <v>0</v>
      </c>
      <c r="P51" s="251">
        <v>0</v>
      </c>
      <c r="Q51" s="251">
        <v>0</v>
      </c>
      <c r="R51" s="251">
        <v>0</v>
      </c>
      <c r="S51" s="251">
        <v>0</v>
      </c>
      <c r="T51" s="251"/>
    </row>
    <row r="52" spans="1:20">
      <c r="A52" s="280" t="s">
        <v>49</v>
      </c>
      <c r="B52" s="273">
        <v>0</v>
      </c>
      <c r="C52" s="273">
        <v>0</v>
      </c>
      <c r="D52" s="273">
        <v>0</v>
      </c>
      <c r="E52" s="273">
        <v>0</v>
      </c>
      <c r="F52" s="273">
        <v>0</v>
      </c>
      <c r="G52" s="273">
        <v>0</v>
      </c>
      <c r="H52" s="273">
        <v>0</v>
      </c>
      <c r="I52" s="273">
        <v>0</v>
      </c>
      <c r="J52" s="273">
        <v>0</v>
      </c>
      <c r="K52" s="273">
        <v>0</v>
      </c>
      <c r="L52" s="273">
        <v>0</v>
      </c>
      <c r="M52" s="273">
        <v>0</v>
      </c>
      <c r="N52" s="273">
        <v>0</v>
      </c>
      <c r="O52" s="273">
        <v>0</v>
      </c>
      <c r="P52" s="273">
        <v>0</v>
      </c>
      <c r="Q52" s="273">
        <v>0</v>
      </c>
      <c r="R52" s="273">
        <v>0</v>
      </c>
      <c r="S52" s="273">
        <v>0</v>
      </c>
      <c r="T52" s="273"/>
    </row>
    <row r="53" spans="1:20" customFormat="1">
      <c r="A53" s="280" t="s">
        <v>51</v>
      </c>
      <c r="B53" s="251">
        <v>22</v>
      </c>
      <c r="C53" s="251">
        <v>43</v>
      </c>
      <c r="D53" s="251">
        <v>58</v>
      </c>
      <c r="E53" s="251">
        <v>75</v>
      </c>
      <c r="F53" s="251">
        <v>109</v>
      </c>
      <c r="G53" s="251">
        <v>143</v>
      </c>
      <c r="H53" s="251">
        <v>172</v>
      </c>
      <c r="I53" s="251">
        <v>205</v>
      </c>
      <c r="J53" s="251">
        <v>238</v>
      </c>
      <c r="K53" s="251">
        <v>271</v>
      </c>
      <c r="L53" s="251">
        <v>293</v>
      </c>
      <c r="M53" s="251">
        <v>315</v>
      </c>
      <c r="N53" s="251">
        <v>337</v>
      </c>
      <c r="O53" s="251">
        <v>359</v>
      </c>
      <c r="P53" s="251">
        <v>381</v>
      </c>
      <c r="Q53" s="251">
        <v>381</v>
      </c>
      <c r="R53" s="251">
        <v>381</v>
      </c>
      <c r="S53" s="251">
        <v>381</v>
      </c>
      <c r="T53" s="251"/>
    </row>
    <row r="54" spans="1:20">
      <c r="A54" s="280" t="s">
        <v>50</v>
      </c>
      <c r="B54" s="273">
        <v>0</v>
      </c>
      <c r="C54" s="273">
        <v>0</v>
      </c>
      <c r="D54" s="273">
        <v>0</v>
      </c>
      <c r="E54" s="273">
        <v>0</v>
      </c>
      <c r="F54" s="273">
        <v>0</v>
      </c>
      <c r="G54" s="273">
        <v>0</v>
      </c>
      <c r="H54" s="273">
        <v>0</v>
      </c>
      <c r="I54" s="273">
        <v>0</v>
      </c>
      <c r="J54" s="273">
        <v>0</v>
      </c>
      <c r="K54" s="273">
        <v>0</v>
      </c>
      <c r="L54" s="273">
        <v>0</v>
      </c>
      <c r="M54" s="273">
        <v>0</v>
      </c>
      <c r="N54" s="273">
        <v>0</v>
      </c>
      <c r="O54" s="273">
        <v>0</v>
      </c>
      <c r="P54" s="273">
        <v>0</v>
      </c>
      <c r="Q54" s="273">
        <v>0</v>
      </c>
      <c r="R54" s="273">
        <v>0</v>
      </c>
      <c r="S54" s="273">
        <v>0</v>
      </c>
      <c r="T54" s="273"/>
    </row>
    <row r="55" spans="1:20" customFormat="1">
      <c r="A55" s="280" t="s">
        <v>52</v>
      </c>
      <c r="B55" s="251">
        <v>22</v>
      </c>
      <c r="C55" s="251">
        <v>45</v>
      </c>
      <c r="D55" s="251">
        <v>53</v>
      </c>
      <c r="E55" s="251">
        <v>57</v>
      </c>
      <c r="F55" s="251">
        <v>57</v>
      </c>
      <c r="G55" s="251">
        <v>57</v>
      </c>
      <c r="H55" s="251">
        <v>57</v>
      </c>
      <c r="I55" s="251">
        <v>57</v>
      </c>
      <c r="J55" s="251">
        <v>57</v>
      </c>
      <c r="K55" s="251">
        <v>57</v>
      </c>
      <c r="L55" s="251">
        <v>57</v>
      </c>
      <c r="M55" s="251">
        <v>57</v>
      </c>
      <c r="N55" s="251">
        <v>57</v>
      </c>
      <c r="O55" s="251">
        <v>57</v>
      </c>
      <c r="P55" s="251">
        <v>57</v>
      </c>
      <c r="Q55" s="251">
        <v>57</v>
      </c>
      <c r="R55" s="251">
        <v>57</v>
      </c>
      <c r="S55" s="251">
        <v>57</v>
      </c>
      <c r="T55" s="251"/>
    </row>
    <row r="56" spans="1:20" customFormat="1">
      <c r="A56" s="280" t="s">
        <v>53</v>
      </c>
      <c r="B56" s="251">
        <v>0</v>
      </c>
      <c r="C56" s="251">
        <v>2</v>
      </c>
      <c r="D56" s="251">
        <v>2</v>
      </c>
      <c r="E56" s="251">
        <v>2</v>
      </c>
      <c r="F56" s="251">
        <v>2</v>
      </c>
      <c r="G56" s="251">
        <v>2</v>
      </c>
      <c r="H56" s="251">
        <v>2</v>
      </c>
      <c r="I56" s="251">
        <v>2</v>
      </c>
      <c r="J56" s="251">
        <v>3</v>
      </c>
      <c r="K56" s="251">
        <v>3</v>
      </c>
      <c r="L56" s="251">
        <v>3</v>
      </c>
      <c r="M56" s="251">
        <v>3</v>
      </c>
      <c r="N56" s="251">
        <v>3</v>
      </c>
      <c r="O56" s="251">
        <v>3</v>
      </c>
      <c r="P56" s="251">
        <v>3</v>
      </c>
      <c r="Q56" s="251">
        <v>3</v>
      </c>
      <c r="R56" s="251">
        <v>3</v>
      </c>
      <c r="S56" s="251">
        <v>3</v>
      </c>
      <c r="T56" s="251"/>
    </row>
    <row r="57" spans="1:20">
      <c r="A57" s="282" t="s">
        <v>54</v>
      </c>
      <c r="B57" s="273">
        <v>0</v>
      </c>
      <c r="C57" s="273">
        <v>0</v>
      </c>
      <c r="D57" s="273">
        <v>0</v>
      </c>
      <c r="E57" s="273">
        <v>0</v>
      </c>
      <c r="F57" s="273">
        <v>0</v>
      </c>
      <c r="G57" s="273">
        <v>0</v>
      </c>
      <c r="H57" s="273">
        <v>0</v>
      </c>
      <c r="I57" s="273">
        <v>0</v>
      </c>
      <c r="J57" s="273">
        <v>0</v>
      </c>
      <c r="K57" s="273">
        <v>0</v>
      </c>
      <c r="L57" s="273">
        <v>0</v>
      </c>
      <c r="M57" s="273">
        <v>0</v>
      </c>
      <c r="N57" s="273">
        <v>0</v>
      </c>
      <c r="O57" s="273">
        <v>0</v>
      </c>
      <c r="P57" s="273">
        <v>0</v>
      </c>
      <c r="Q57" s="273">
        <v>0</v>
      </c>
      <c r="R57" s="273">
        <v>0</v>
      </c>
      <c r="S57" s="273">
        <v>0</v>
      </c>
      <c r="T57" s="273"/>
    </row>
    <row r="58" spans="1:20" customFormat="1" ht="12.75">
      <c r="A58" s="287" t="s">
        <v>80</v>
      </c>
      <c r="B58" s="251">
        <v>0</v>
      </c>
      <c r="C58" s="251">
        <v>0</v>
      </c>
      <c r="D58" s="251">
        <v>0</v>
      </c>
      <c r="E58" s="251">
        <v>0</v>
      </c>
      <c r="F58" s="251">
        <v>0</v>
      </c>
      <c r="G58" s="251">
        <v>3</v>
      </c>
      <c r="H58" s="251">
        <v>6</v>
      </c>
      <c r="I58" s="251">
        <v>6</v>
      </c>
      <c r="J58" s="251">
        <v>6</v>
      </c>
      <c r="K58" s="251">
        <v>6</v>
      </c>
      <c r="L58" s="251">
        <v>6</v>
      </c>
      <c r="M58" s="251">
        <v>6</v>
      </c>
      <c r="N58" s="251">
        <v>6</v>
      </c>
      <c r="O58" s="251">
        <v>6</v>
      </c>
      <c r="P58" s="251">
        <v>6</v>
      </c>
      <c r="Q58" s="251">
        <v>6</v>
      </c>
      <c r="R58" s="251">
        <v>6</v>
      </c>
      <c r="S58" s="251">
        <v>6</v>
      </c>
      <c r="T58" s="251"/>
    </row>
    <row r="59" spans="1:20" customFormat="1">
      <c r="A59" s="280" t="s">
        <v>55</v>
      </c>
      <c r="B59" s="251">
        <v>0</v>
      </c>
      <c r="C59" s="251">
        <v>0</v>
      </c>
      <c r="D59" s="251">
        <v>0</v>
      </c>
      <c r="E59" s="251">
        <v>5</v>
      </c>
      <c r="F59" s="251">
        <v>10</v>
      </c>
      <c r="G59" s="251">
        <v>33</v>
      </c>
      <c r="H59" s="251">
        <v>57</v>
      </c>
      <c r="I59" s="251">
        <v>78</v>
      </c>
      <c r="J59" s="251">
        <v>99</v>
      </c>
      <c r="K59" s="251">
        <v>120</v>
      </c>
      <c r="L59" s="251">
        <v>128</v>
      </c>
      <c r="M59" s="251">
        <v>136</v>
      </c>
      <c r="N59" s="251">
        <v>144</v>
      </c>
      <c r="O59" s="251">
        <v>152</v>
      </c>
      <c r="P59" s="251">
        <v>160</v>
      </c>
      <c r="Q59" s="251">
        <v>160</v>
      </c>
      <c r="R59" s="251">
        <v>160</v>
      </c>
      <c r="S59" s="251">
        <v>160</v>
      </c>
      <c r="T59" s="251"/>
    </row>
    <row r="60" spans="1:20">
      <c r="A60" s="280" t="s">
        <v>56</v>
      </c>
      <c r="B60" s="273">
        <v>1</v>
      </c>
      <c r="C60" s="273">
        <v>1</v>
      </c>
      <c r="D60" s="273">
        <v>1</v>
      </c>
      <c r="E60" s="273">
        <v>1</v>
      </c>
      <c r="F60" s="273">
        <v>1</v>
      </c>
      <c r="G60" s="273">
        <v>1</v>
      </c>
      <c r="H60" s="273">
        <v>1</v>
      </c>
      <c r="I60" s="273">
        <v>1</v>
      </c>
      <c r="J60" s="273">
        <v>1</v>
      </c>
      <c r="K60" s="273">
        <v>1</v>
      </c>
      <c r="L60" s="273">
        <v>1</v>
      </c>
      <c r="M60" s="273">
        <v>1</v>
      </c>
      <c r="N60" s="273">
        <v>1</v>
      </c>
      <c r="O60" s="273">
        <v>1</v>
      </c>
      <c r="P60" s="273">
        <v>1</v>
      </c>
      <c r="Q60" s="273">
        <v>1</v>
      </c>
      <c r="R60" s="273">
        <v>1</v>
      </c>
      <c r="S60" s="273">
        <v>1</v>
      </c>
      <c r="T60" s="273"/>
    </row>
    <row r="61" spans="1:20" customFormat="1">
      <c r="A61" s="280" t="s">
        <v>57</v>
      </c>
      <c r="B61" s="251">
        <v>0</v>
      </c>
      <c r="C61" s="251">
        <v>3</v>
      </c>
      <c r="D61" s="251">
        <v>3</v>
      </c>
      <c r="E61" s="251">
        <v>3</v>
      </c>
      <c r="F61" s="251">
        <v>3</v>
      </c>
      <c r="G61" s="251">
        <v>4</v>
      </c>
      <c r="H61" s="251">
        <v>4</v>
      </c>
      <c r="I61" s="251">
        <v>4</v>
      </c>
      <c r="J61" s="251">
        <v>7</v>
      </c>
      <c r="K61" s="251">
        <v>7</v>
      </c>
      <c r="L61" s="251">
        <v>7</v>
      </c>
      <c r="M61" s="251">
        <v>7</v>
      </c>
      <c r="N61" s="251">
        <v>7</v>
      </c>
      <c r="O61" s="251">
        <v>7</v>
      </c>
      <c r="P61" s="251">
        <v>7</v>
      </c>
      <c r="Q61" s="251">
        <v>7</v>
      </c>
      <c r="R61" s="251">
        <v>7</v>
      </c>
      <c r="S61" s="251">
        <v>7</v>
      </c>
      <c r="T61" s="251"/>
    </row>
    <row r="62" spans="1:20">
      <c r="A62" s="272" t="s">
        <v>58</v>
      </c>
      <c r="B62" s="273">
        <v>12</v>
      </c>
      <c r="C62" s="273">
        <v>12</v>
      </c>
      <c r="D62" s="273">
        <v>33</v>
      </c>
      <c r="E62" s="273">
        <v>56</v>
      </c>
      <c r="F62" s="273">
        <v>67</v>
      </c>
      <c r="G62" s="273">
        <v>78</v>
      </c>
      <c r="H62" s="273">
        <v>89</v>
      </c>
      <c r="I62" s="273">
        <v>100</v>
      </c>
      <c r="J62" s="273">
        <v>109</v>
      </c>
      <c r="K62" s="273">
        <v>109</v>
      </c>
      <c r="L62" s="273">
        <v>115</v>
      </c>
      <c r="M62" s="273">
        <v>121</v>
      </c>
      <c r="N62" s="273">
        <v>127</v>
      </c>
      <c r="O62" s="273">
        <v>133</v>
      </c>
      <c r="P62" s="273">
        <v>139</v>
      </c>
      <c r="Q62" s="273">
        <v>139</v>
      </c>
      <c r="R62" s="273">
        <v>139</v>
      </c>
      <c r="S62" s="273">
        <v>139</v>
      </c>
      <c r="T62" s="273"/>
    </row>
    <row r="63" spans="1:20">
      <c r="A63" s="272" t="s">
        <v>59</v>
      </c>
      <c r="B63" s="273">
        <v>8</v>
      </c>
      <c r="C63" s="273">
        <v>11</v>
      </c>
      <c r="D63" s="273">
        <v>11</v>
      </c>
      <c r="E63" s="273">
        <v>11</v>
      </c>
      <c r="F63" s="273">
        <v>11</v>
      </c>
      <c r="G63" s="273">
        <v>11</v>
      </c>
      <c r="H63" s="273">
        <v>11</v>
      </c>
      <c r="I63" s="273">
        <v>11</v>
      </c>
      <c r="J63" s="273">
        <v>11</v>
      </c>
      <c r="K63" s="273">
        <v>11</v>
      </c>
      <c r="L63" s="273">
        <v>11</v>
      </c>
      <c r="M63" s="273">
        <v>11</v>
      </c>
      <c r="N63" s="273">
        <v>11</v>
      </c>
      <c r="O63" s="273">
        <v>11</v>
      </c>
      <c r="P63" s="273">
        <v>11</v>
      </c>
      <c r="Q63" s="273">
        <v>11</v>
      </c>
      <c r="R63" s="273">
        <v>11</v>
      </c>
      <c r="S63" s="273">
        <v>11</v>
      </c>
      <c r="T63" s="273"/>
    </row>
    <row r="64" spans="1:20">
      <c r="A64" s="272" t="s">
        <v>60</v>
      </c>
      <c r="B64" s="273">
        <v>4</v>
      </c>
      <c r="C64" s="273">
        <v>7</v>
      </c>
      <c r="D64" s="273">
        <v>10</v>
      </c>
      <c r="E64" s="273">
        <v>13</v>
      </c>
      <c r="F64" s="273">
        <v>15</v>
      </c>
      <c r="G64" s="273">
        <v>16</v>
      </c>
      <c r="H64" s="273">
        <v>18</v>
      </c>
      <c r="I64" s="273">
        <v>18</v>
      </c>
      <c r="J64" s="273">
        <v>18</v>
      </c>
      <c r="K64" s="273">
        <v>18</v>
      </c>
      <c r="L64" s="273">
        <v>18</v>
      </c>
      <c r="M64" s="273">
        <v>18</v>
      </c>
      <c r="N64" s="273">
        <v>18</v>
      </c>
      <c r="O64" s="273">
        <v>18</v>
      </c>
      <c r="P64" s="273">
        <v>18</v>
      </c>
      <c r="Q64" s="273">
        <v>18</v>
      </c>
      <c r="R64" s="273">
        <v>18</v>
      </c>
      <c r="S64" s="273">
        <v>18</v>
      </c>
      <c r="T64" s="273"/>
    </row>
    <row r="65" spans="1:20">
      <c r="A65" s="272" t="s">
        <v>61</v>
      </c>
      <c r="B65" s="273">
        <v>0</v>
      </c>
      <c r="C65" s="273">
        <v>0</v>
      </c>
      <c r="D65" s="273">
        <v>3</v>
      </c>
      <c r="E65" s="273">
        <v>7</v>
      </c>
      <c r="F65" s="273">
        <v>11</v>
      </c>
      <c r="G65" s="273">
        <v>15</v>
      </c>
      <c r="H65" s="273">
        <v>15</v>
      </c>
      <c r="I65" s="273">
        <v>15</v>
      </c>
      <c r="J65" s="273">
        <v>15</v>
      </c>
      <c r="K65" s="273">
        <v>15</v>
      </c>
      <c r="L65" s="273">
        <v>15</v>
      </c>
      <c r="M65" s="273">
        <v>15</v>
      </c>
      <c r="N65" s="273">
        <v>15</v>
      </c>
      <c r="O65" s="273">
        <v>15</v>
      </c>
      <c r="P65" s="273">
        <v>15</v>
      </c>
      <c r="Q65" s="273">
        <v>15</v>
      </c>
      <c r="R65" s="273">
        <v>15</v>
      </c>
      <c r="S65" s="273">
        <v>15</v>
      </c>
      <c r="T65" s="273"/>
    </row>
    <row r="66" spans="1:20">
      <c r="A66" s="272" t="s">
        <v>62</v>
      </c>
      <c r="B66" s="273">
        <v>0</v>
      </c>
      <c r="C66" s="273">
        <v>0</v>
      </c>
      <c r="D66" s="273">
        <v>0</v>
      </c>
      <c r="E66" s="273">
        <v>0</v>
      </c>
      <c r="F66" s="273">
        <v>0</v>
      </c>
      <c r="G66" s="273">
        <v>5</v>
      </c>
      <c r="H66" s="273">
        <v>12</v>
      </c>
      <c r="I66" s="273">
        <v>12</v>
      </c>
      <c r="J66" s="273">
        <v>12</v>
      </c>
      <c r="K66" s="273">
        <v>12</v>
      </c>
      <c r="L66" s="273">
        <v>12</v>
      </c>
      <c r="M66" s="273">
        <v>12</v>
      </c>
      <c r="N66" s="273">
        <v>12</v>
      </c>
      <c r="O66" s="273">
        <v>12</v>
      </c>
      <c r="P66" s="273">
        <v>12</v>
      </c>
      <c r="Q66" s="273">
        <v>12</v>
      </c>
      <c r="R66" s="273">
        <v>12</v>
      </c>
      <c r="S66" s="273">
        <v>12</v>
      </c>
      <c r="T66" s="273"/>
    </row>
    <row r="67" spans="1:20">
      <c r="A67" s="272" t="s">
        <v>63</v>
      </c>
      <c r="B67" s="273">
        <v>3</v>
      </c>
      <c r="C67" s="273">
        <v>7</v>
      </c>
      <c r="D67" s="273">
        <v>7</v>
      </c>
      <c r="E67" s="273">
        <v>7</v>
      </c>
      <c r="F67" s="273">
        <v>7</v>
      </c>
      <c r="G67" s="273">
        <v>7</v>
      </c>
      <c r="H67" s="273">
        <v>7</v>
      </c>
      <c r="I67" s="273">
        <v>7</v>
      </c>
      <c r="J67" s="273">
        <v>7</v>
      </c>
      <c r="K67" s="273">
        <v>7</v>
      </c>
      <c r="L67" s="273">
        <v>7</v>
      </c>
      <c r="M67" s="273">
        <v>7</v>
      </c>
      <c r="N67" s="273">
        <v>7</v>
      </c>
      <c r="O67" s="273">
        <v>7</v>
      </c>
      <c r="P67" s="273">
        <v>7</v>
      </c>
      <c r="Q67" s="273">
        <v>7</v>
      </c>
      <c r="R67" s="273">
        <v>7</v>
      </c>
      <c r="S67" s="273">
        <v>7</v>
      </c>
      <c r="T67" s="273"/>
    </row>
    <row r="68" spans="1:20">
      <c r="A68" s="272" t="s">
        <v>64</v>
      </c>
      <c r="B68" s="273">
        <v>4</v>
      </c>
      <c r="C68" s="273">
        <v>10</v>
      </c>
      <c r="D68" s="273">
        <v>16</v>
      </c>
      <c r="E68" s="273">
        <v>18</v>
      </c>
      <c r="F68" s="273">
        <v>18</v>
      </c>
      <c r="G68" s="273">
        <v>18</v>
      </c>
      <c r="H68" s="273">
        <v>18</v>
      </c>
      <c r="I68" s="273">
        <v>18</v>
      </c>
      <c r="J68" s="273">
        <v>18</v>
      </c>
      <c r="K68" s="273">
        <v>18</v>
      </c>
      <c r="L68" s="273">
        <v>18</v>
      </c>
      <c r="M68" s="273">
        <v>18</v>
      </c>
      <c r="N68" s="273">
        <v>18</v>
      </c>
      <c r="O68" s="273">
        <v>18</v>
      </c>
      <c r="P68" s="273">
        <v>18</v>
      </c>
      <c r="Q68" s="273">
        <v>18</v>
      </c>
      <c r="R68" s="273">
        <v>18</v>
      </c>
      <c r="S68" s="273">
        <v>18</v>
      </c>
      <c r="T68" s="273"/>
    </row>
    <row r="69" spans="1:20" customFormat="1">
      <c r="A69" s="288" t="s">
        <v>65</v>
      </c>
      <c r="B69" s="251">
        <v>8</v>
      </c>
      <c r="C69" s="251">
        <v>14</v>
      </c>
      <c r="D69" s="251">
        <v>21</v>
      </c>
      <c r="E69" s="251">
        <v>25</v>
      </c>
      <c r="F69" s="251">
        <v>29</v>
      </c>
      <c r="G69" s="251">
        <v>35</v>
      </c>
      <c r="H69" s="251">
        <v>40</v>
      </c>
      <c r="I69" s="251">
        <v>44</v>
      </c>
      <c r="J69" s="251">
        <v>49</v>
      </c>
      <c r="K69" s="251">
        <v>52</v>
      </c>
      <c r="L69" s="251">
        <v>53</v>
      </c>
      <c r="M69" s="251">
        <v>54</v>
      </c>
      <c r="N69" s="251">
        <v>55</v>
      </c>
      <c r="O69" s="251">
        <v>56</v>
      </c>
      <c r="P69" s="251">
        <v>57</v>
      </c>
      <c r="Q69" s="251">
        <v>57</v>
      </c>
      <c r="R69" s="251">
        <v>57</v>
      </c>
      <c r="S69" s="251">
        <v>57</v>
      </c>
      <c r="T69" s="251"/>
    </row>
    <row r="70" spans="1:20" customFormat="1">
      <c r="A70" s="288" t="s">
        <v>85</v>
      </c>
      <c r="B70" s="251">
        <v>4</v>
      </c>
      <c r="C70" s="251">
        <v>7</v>
      </c>
      <c r="D70" s="251">
        <v>11</v>
      </c>
      <c r="E70" s="251">
        <v>16</v>
      </c>
      <c r="F70" s="251">
        <v>20</v>
      </c>
      <c r="G70" s="251">
        <v>24</v>
      </c>
      <c r="H70" s="251">
        <v>28</v>
      </c>
      <c r="I70" s="251">
        <v>31</v>
      </c>
      <c r="J70" s="251">
        <v>33</v>
      </c>
      <c r="K70" s="251">
        <v>34</v>
      </c>
      <c r="L70" s="251">
        <v>34</v>
      </c>
      <c r="M70" s="251">
        <v>34</v>
      </c>
      <c r="N70" s="251">
        <v>34</v>
      </c>
      <c r="O70" s="251">
        <v>34</v>
      </c>
      <c r="P70" s="251">
        <v>34</v>
      </c>
      <c r="Q70" s="251">
        <v>34</v>
      </c>
      <c r="R70" s="251">
        <v>34</v>
      </c>
      <c r="S70" s="251">
        <v>34</v>
      </c>
      <c r="T70" s="251"/>
    </row>
    <row r="71" spans="1:20" customFormat="1">
      <c r="A71" s="288" t="s">
        <v>86</v>
      </c>
      <c r="B71" s="251">
        <v>3</v>
      </c>
      <c r="C71" s="251">
        <v>4</v>
      </c>
      <c r="D71" s="251">
        <v>7</v>
      </c>
      <c r="E71" s="251">
        <v>11</v>
      </c>
      <c r="F71" s="251">
        <v>13</v>
      </c>
      <c r="G71" s="251">
        <v>19</v>
      </c>
      <c r="H71" s="251">
        <v>24</v>
      </c>
      <c r="I71" s="251">
        <v>29</v>
      </c>
      <c r="J71" s="251">
        <v>35</v>
      </c>
      <c r="K71" s="251">
        <v>40</v>
      </c>
      <c r="L71" s="251">
        <v>43</v>
      </c>
      <c r="M71" s="251">
        <v>47</v>
      </c>
      <c r="N71" s="251">
        <v>50</v>
      </c>
      <c r="O71" s="251">
        <v>54</v>
      </c>
      <c r="P71" s="251">
        <v>57</v>
      </c>
      <c r="Q71" s="251">
        <v>57</v>
      </c>
      <c r="R71" s="251">
        <v>57</v>
      </c>
      <c r="S71" s="251">
        <v>57</v>
      </c>
      <c r="T71" s="251"/>
    </row>
    <row r="72" spans="1:20" customFormat="1">
      <c r="A72" s="288" t="s">
        <v>87</v>
      </c>
      <c r="B72" s="251">
        <v>9</v>
      </c>
      <c r="C72" s="251">
        <v>17</v>
      </c>
      <c r="D72" s="251">
        <v>24</v>
      </c>
      <c r="E72" s="251">
        <v>28</v>
      </c>
      <c r="F72" s="251">
        <v>33</v>
      </c>
      <c r="G72" s="251">
        <v>36</v>
      </c>
      <c r="H72" s="251">
        <v>38</v>
      </c>
      <c r="I72" s="251">
        <v>41</v>
      </c>
      <c r="J72" s="251">
        <v>44</v>
      </c>
      <c r="K72" s="251">
        <v>46</v>
      </c>
      <c r="L72" s="251">
        <v>47</v>
      </c>
      <c r="M72" s="251">
        <v>47</v>
      </c>
      <c r="N72" s="251">
        <v>48</v>
      </c>
      <c r="O72" s="251">
        <v>48</v>
      </c>
      <c r="P72" s="251">
        <v>49</v>
      </c>
      <c r="Q72" s="251">
        <v>49</v>
      </c>
      <c r="R72" s="251">
        <v>49</v>
      </c>
      <c r="S72" s="251">
        <v>49</v>
      </c>
      <c r="T72" s="251"/>
    </row>
    <row r="73" spans="1:20" customFormat="1">
      <c r="A73" s="288" t="s">
        <v>88</v>
      </c>
      <c r="B73" s="251">
        <v>8</v>
      </c>
      <c r="C73" s="251">
        <v>16</v>
      </c>
      <c r="D73" s="251">
        <v>28</v>
      </c>
      <c r="E73" s="251">
        <v>42</v>
      </c>
      <c r="F73" s="251">
        <v>53</v>
      </c>
      <c r="G73" s="251">
        <v>63</v>
      </c>
      <c r="H73" s="251">
        <v>73</v>
      </c>
      <c r="I73" s="251">
        <v>83</v>
      </c>
      <c r="J73" s="251">
        <v>90</v>
      </c>
      <c r="K73" s="251">
        <v>91</v>
      </c>
      <c r="L73" s="251">
        <v>92</v>
      </c>
      <c r="M73" s="251">
        <v>92</v>
      </c>
      <c r="N73" s="251">
        <v>92</v>
      </c>
      <c r="O73" s="251">
        <v>92</v>
      </c>
      <c r="P73" s="251">
        <v>92</v>
      </c>
      <c r="Q73" s="251">
        <v>92</v>
      </c>
      <c r="R73" s="251">
        <v>92</v>
      </c>
      <c r="S73" s="251">
        <v>92</v>
      </c>
      <c r="T73" s="251"/>
    </row>
    <row r="74" spans="1:20" customFormat="1">
      <c r="A74" s="288" t="s">
        <v>89</v>
      </c>
      <c r="B74" s="251">
        <v>4</v>
      </c>
      <c r="C74" s="251">
        <v>6</v>
      </c>
      <c r="D74" s="251">
        <v>8</v>
      </c>
      <c r="E74" s="251">
        <v>10</v>
      </c>
      <c r="F74" s="251">
        <v>15</v>
      </c>
      <c r="G74" s="251">
        <v>21</v>
      </c>
      <c r="H74" s="251">
        <v>26</v>
      </c>
      <c r="I74" s="251">
        <v>33</v>
      </c>
      <c r="J74" s="251">
        <v>38</v>
      </c>
      <c r="K74" s="251">
        <v>43</v>
      </c>
      <c r="L74" s="251">
        <v>46</v>
      </c>
      <c r="M74" s="251">
        <v>50</v>
      </c>
      <c r="N74" s="251">
        <v>53</v>
      </c>
      <c r="O74" s="251">
        <v>57</v>
      </c>
      <c r="P74" s="251">
        <v>60</v>
      </c>
      <c r="Q74" s="251">
        <v>60</v>
      </c>
      <c r="R74" s="251">
        <v>60</v>
      </c>
      <c r="S74" s="251">
        <v>60</v>
      </c>
      <c r="T74" s="251"/>
    </row>
    <row r="75" spans="1:20" customFormat="1">
      <c r="A75" s="288" t="s">
        <v>90</v>
      </c>
      <c r="B75" s="251">
        <v>6</v>
      </c>
      <c r="C75" s="251">
        <v>12</v>
      </c>
      <c r="D75" s="251">
        <v>13</v>
      </c>
      <c r="E75" s="251">
        <v>13</v>
      </c>
      <c r="F75" s="251">
        <v>13</v>
      </c>
      <c r="G75" s="251">
        <v>14</v>
      </c>
      <c r="H75" s="251">
        <v>15</v>
      </c>
      <c r="I75" s="251">
        <v>16</v>
      </c>
      <c r="J75" s="251">
        <v>17</v>
      </c>
      <c r="K75" s="251">
        <v>17</v>
      </c>
      <c r="L75" s="251">
        <v>18</v>
      </c>
      <c r="M75" s="251">
        <v>18</v>
      </c>
      <c r="N75" s="251">
        <v>19</v>
      </c>
      <c r="O75" s="251">
        <v>19</v>
      </c>
      <c r="P75" s="251">
        <v>19</v>
      </c>
      <c r="Q75" s="251">
        <v>19</v>
      </c>
      <c r="R75" s="251">
        <v>19</v>
      </c>
      <c r="S75" s="251">
        <v>19</v>
      </c>
      <c r="T75" s="251"/>
    </row>
    <row r="76" spans="1:20" customFormat="1">
      <c r="A76" s="288" t="s">
        <v>81</v>
      </c>
      <c r="B76" s="251">
        <v>4</v>
      </c>
      <c r="C76" s="251">
        <v>4</v>
      </c>
      <c r="D76" s="251">
        <v>7</v>
      </c>
      <c r="E76" s="251">
        <v>11</v>
      </c>
      <c r="F76" s="251">
        <v>15</v>
      </c>
      <c r="G76" s="251">
        <v>20</v>
      </c>
      <c r="H76" s="251">
        <v>28</v>
      </c>
      <c r="I76" s="251">
        <v>35</v>
      </c>
      <c r="J76" s="251">
        <v>41</v>
      </c>
      <c r="K76" s="251">
        <v>47</v>
      </c>
      <c r="L76" s="251">
        <v>50</v>
      </c>
      <c r="M76" s="251">
        <v>53</v>
      </c>
      <c r="N76" s="251">
        <v>56</v>
      </c>
      <c r="O76" s="251">
        <v>59</v>
      </c>
      <c r="P76" s="251">
        <v>62</v>
      </c>
      <c r="Q76" s="251">
        <v>62</v>
      </c>
      <c r="R76" s="251">
        <v>62</v>
      </c>
      <c r="S76" s="251">
        <v>62</v>
      </c>
      <c r="T76" s="251"/>
    </row>
    <row r="77" spans="1:20" customFormat="1">
      <c r="A77" s="288" t="s">
        <v>91</v>
      </c>
      <c r="B77" s="251">
        <v>0</v>
      </c>
      <c r="C77" s="251">
        <v>0</v>
      </c>
      <c r="D77" s="251">
        <v>0</v>
      </c>
      <c r="E77" s="251">
        <v>0</v>
      </c>
      <c r="F77" s="251">
        <v>0</v>
      </c>
      <c r="G77" s="251">
        <v>1</v>
      </c>
      <c r="H77" s="251">
        <v>1</v>
      </c>
      <c r="I77" s="251">
        <v>1</v>
      </c>
      <c r="J77" s="251">
        <v>1</v>
      </c>
      <c r="K77" s="251">
        <v>1</v>
      </c>
      <c r="L77" s="251">
        <v>1</v>
      </c>
      <c r="M77" s="251">
        <v>1</v>
      </c>
      <c r="N77" s="251">
        <v>1</v>
      </c>
      <c r="O77" s="251">
        <v>1</v>
      </c>
      <c r="P77" s="251">
        <v>1</v>
      </c>
      <c r="Q77" s="251">
        <v>1</v>
      </c>
      <c r="R77" s="251">
        <v>1</v>
      </c>
      <c r="S77" s="251">
        <v>1</v>
      </c>
      <c r="T77" s="251"/>
    </row>
    <row r="78" spans="1:20" customFormat="1">
      <c r="A78" s="288" t="s">
        <v>92</v>
      </c>
      <c r="B78" s="251">
        <v>3</v>
      </c>
      <c r="C78" s="251">
        <v>5</v>
      </c>
      <c r="D78" s="251">
        <v>9</v>
      </c>
      <c r="E78" s="251">
        <v>11</v>
      </c>
      <c r="F78" s="251">
        <v>12</v>
      </c>
      <c r="G78" s="251">
        <v>14</v>
      </c>
      <c r="H78" s="251">
        <v>14</v>
      </c>
      <c r="I78" s="251">
        <v>15</v>
      </c>
      <c r="J78" s="251">
        <v>16</v>
      </c>
      <c r="K78" s="251">
        <v>17</v>
      </c>
      <c r="L78" s="251">
        <v>17</v>
      </c>
      <c r="M78" s="251">
        <v>17</v>
      </c>
      <c r="N78" s="251">
        <v>17</v>
      </c>
      <c r="O78" s="251">
        <v>17</v>
      </c>
      <c r="P78" s="251">
        <v>17</v>
      </c>
      <c r="Q78" s="251">
        <v>17</v>
      </c>
      <c r="R78" s="251">
        <v>17</v>
      </c>
      <c r="S78" s="251">
        <v>17</v>
      </c>
      <c r="T78" s="251"/>
    </row>
    <row r="79" spans="1:20" customFormat="1">
      <c r="A79" s="288" t="s">
        <v>93</v>
      </c>
      <c r="B79" s="251">
        <v>1</v>
      </c>
      <c r="C79" s="251">
        <v>2</v>
      </c>
      <c r="D79" s="251">
        <v>6</v>
      </c>
      <c r="E79" s="251">
        <v>9</v>
      </c>
      <c r="F79" s="251">
        <v>13</v>
      </c>
      <c r="G79" s="251">
        <v>18</v>
      </c>
      <c r="H79" s="251">
        <v>23</v>
      </c>
      <c r="I79" s="251">
        <v>28</v>
      </c>
      <c r="J79" s="251">
        <v>33</v>
      </c>
      <c r="K79" s="251">
        <v>38</v>
      </c>
      <c r="L79" s="251">
        <v>42</v>
      </c>
      <c r="M79" s="251">
        <v>46</v>
      </c>
      <c r="N79" s="251">
        <v>50</v>
      </c>
      <c r="O79" s="251">
        <v>54</v>
      </c>
      <c r="P79" s="251">
        <v>58</v>
      </c>
      <c r="Q79" s="251">
        <v>58</v>
      </c>
      <c r="R79" s="251">
        <v>58</v>
      </c>
      <c r="S79" s="251">
        <v>58</v>
      </c>
      <c r="T79" s="251"/>
    </row>
    <row r="80" spans="1:20" customFormat="1">
      <c r="A80" s="288" t="s">
        <v>94</v>
      </c>
      <c r="B80" s="251">
        <v>1</v>
      </c>
      <c r="C80" s="251">
        <v>3</v>
      </c>
      <c r="D80" s="251">
        <v>4</v>
      </c>
      <c r="E80" s="251">
        <v>5</v>
      </c>
      <c r="F80" s="251">
        <v>5</v>
      </c>
      <c r="G80" s="251">
        <v>5</v>
      </c>
      <c r="H80" s="251">
        <v>6</v>
      </c>
      <c r="I80" s="251">
        <v>6</v>
      </c>
      <c r="J80" s="251">
        <v>6</v>
      </c>
      <c r="K80" s="251">
        <v>6</v>
      </c>
      <c r="L80" s="251">
        <v>6</v>
      </c>
      <c r="M80" s="251">
        <v>6</v>
      </c>
      <c r="N80" s="251">
        <v>6</v>
      </c>
      <c r="O80" s="251">
        <v>6</v>
      </c>
      <c r="P80" s="251">
        <v>6</v>
      </c>
      <c r="Q80" s="251">
        <v>6</v>
      </c>
      <c r="R80" s="251">
        <v>6</v>
      </c>
      <c r="S80" s="251">
        <v>6</v>
      </c>
      <c r="T80" s="251"/>
    </row>
    <row r="81" spans="1:20" customFormat="1">
      <c r="A81" s="288" t="s">
        <v>95</v>
      </c>
      <c r="B81" s="251">
        <v>1</v>
      </c>
      <c r="C81" s="251">
        <v>2</v>
      </c>
      <c r="D81" s="251">
        <v>4</v>
      </c>
      <c r="E81" s="251">
        <v>4</v>
      </c>
      <c r="F81" s="251">
        <v>4</v>
      </c>
      <c r="G81" s="251">
        <v>8</v>
      </c>
      <c r="H81" s="251">
        <v>11</v>
      </c>
      <c r="I81" s="251">
        <v>12</v>
      </c>
      <c r="J81" s="251">
        <v>14</v>
      </c>
      <c r="K81" s="251">
        <v>16</v>
      </c>
      <c r="L81" s="251">
        <v>16</v>
      </c>
      <c r="M81" s="251">
        <v>17</v>
      </c>
      <c r="N81" s="251">
        <v>17</v>
      </c>
      <c r="O81" s="251">
        <v>18</v>
      </c>
      <c r="P81" s="251">
        <v>18</v>
      </c>
      <c r="Q81" s="251">
        <v>18</v>
      </c>
      <c r="R81" s="251">
        <v>18</v>
      </c>
      <c r="S81" s="251">
        <v>18</v>
      </c>
      <c r="T81" s="251"/>
    </row>
    <row r="82" spans="1:20">
      <c r="A82" s="280" t="s">
        <v>66</v>
      </c>
      <c r="B82" s="273">
        <v>4</v>
      </c>
      <c r="C82" s="273">
        <v>10</v>
      </c>
      <c r="D82" s="273">
        <v>16</v>
      </c>
      <c r="E82" s="273">
        <v>18</v>
      </c>
      <c r="F82" s="273">
        <v>18</v>
      </c>
      <c r="G82" s="273">
        <v>18</v>
      </c>
      <c r="H82" s="273">
        <v>18</v>
      </c>
      <c r="I82" s="273">
        <v>18</v>
      </c>
      <c r="J82" s="273">
        <v>18</v>
      </c>
      <c r="K82" s="273">
        <v>18</v>
      </c>
      <c r="L82" s="273">
        <v>18</v>
      </c>
      <c r="M82" s="273">
        <v>18</v>
      </c>
      <c r="N82" s="273">
        <v>18</v>
      </c>
      <c r="O82" s="273">
        <v>18</v>
      </c>
      <c r="P82" s="273">
        <v>18</v>
      </c>
      <c r="Q82" s="273">
        <v>18</v>
      </c>
      <c r="R82" s="273">
        <v>18</v>
      </c>
      <c r="S82" s="273">
        <v>18</v>
      </c>
      <c r="T82" s="273"/>
    </row>
    <row r="83" spans="1:20">
      <c r="A83" s="272" t="s">
        <v>67</v>
      </c>
      <c r="B83" s="273">
        <v>0</v>
      </c>
      <c r="C83" s="273">
        <v>0</v>
      </c>
      <c r="D83" s="273">
        <v>1</v>
      </c>
      <c r="E83" s="273">
        <v>3</v>
      </c>
      <c r="F83" s="273">
        <v>5</v>
      </c>
      <c r="G83" s="273">
        <v>5</v>
      </c>
      <c r="H83" s="273">
        <v>5</v>
      </c>
      <c r="I83" s="273">
        <v>5</v>
      </c>
      <c r="J83" s="273">
        <v>5</v>
      </c>
      <c r="K83" s="273">
        <v>5</v>
      </c>
      <c r="L83" s="273">
        <v>5</v>
      </c>
      <c r="M83" s="273">
        <v>5</v>
      </c>
      <c r="N83" s="273">
        <v>5</v>
      </c>
      <c r="O83" s="273">
        <v>5</v>
      </c>
      <c r="P83" s="273">
        <v>5</v>
      </c>
      <c r="Q83" s="273">
        <v>5</v>
      </c>
      <c r="R83" s="273">
        <v>5</v>
      </c>
      <c r="S83" s="273">
        <v>5</v>
      </c>
      <c r="T83" s="273"/>
    </row>
    <row r="84" spans="1:20">
      <c r="A84" s="272" t="s">
        <v>68</v>
      </c>
      <c r="B84" s="273">
        <v>15</v>
      </c>
      <c r="C84" s="273">
        <v>19</v>
      </c>
      <c r="D84" s="273">
        <v>21</v>
      </c>
      <c r="E84" s="273">
        <v>26</v>
      </c>
      <c r="F84" s="273">
        <v>35</v>
      </c>
      <c r="G84" s="273">
        <v>45</v>
      </c>
      <c r="H84" s="273">
        <v>54</v>
      </c>
      <c r="I84" s="273">
        <v>63</v>
      </c>
      <c r="J84" s="273">
        <v>63</v>
      </c>
      <c r="K84" s="273">
        <v>63</v>
      </c>
      <c r="L84" s="273">
        <v>63</v>
      </c>
      <c r="M84" s="273">
        <v>63</v>
      </c>
      <c r="N84" s="273">
        <v>63</v>
      </c>
      <c r="O84" s="273">
        <v>63</v>
      </c>
      <c r="P84" s="273">
        <v>63</v>
      </c>
      <c r="Q84" s="273">
        <v>63</v>
      </c>
      <c r="R84" s="273">
        <v>63</v>
      </c>
      <c r="S84" s="273">
        <v>63</v>
      </c>
      <c r="T84" s="273"/>
    </row>
    <row r="85" spans="1:20">
      <c r="A85" s="272" t="s">
        <v>69</v>
      </c>
      <c r="B85" s="273">
        <v>0</v>
      </c>
      <c r="C85" s="273">
        <v>2</v>
      </c>
      <c r="D85" s="273">
        <v>4</v>
      </c>
      <c r="E85" s="273">
        <v>7</v>
      </c>
      <c r="F85" s="273">
        <v>7</v>
      </c>
      <c r="G85" s="273">
        <v>9</v>
      </c>
      <c r="H85" s="273">
        <v>9</v>
      </c>
      <c r="I85" s="273">
        <v>9</v>
      </c>
      <c r="J85" s="273">
        <v>9</v>
      </c>
      <c r="K85" s="273">
        <v>9</v>
      </c>
      <c r="L85" s="273">
        <v>9</v>
      </c>
      <c r="M85" s="273">
        <v>9</v>
      </c>
      <c r="N85" s="273">
        <v>9</v>
      </c>
      <c r="O85" s="273">
        <v>9</v>
      </c>
      <c r="P85" s="273">
        <v>9</v>
      </c>
      <c r="Q85" s="273">
        <v>9</v>
      </c>
      <c r="R85" s="273">
        <v>9</v>
      </c>
      <c r="S85" s="273">
        <v>9</v>
      </c>
      <c r="T85" s="273"/>
    </row>
    <row r="86" spans="1:20">
      <c r="A86" s="272" t="s">
        <v>70</v>
      </c>
      <c r="B86" s="273">
        <v>0</v>
      </c>
      <c r="C86" s="273">
        <v>0</v>
      </c>
      <c r="D86" s="273">
        <v>0</v>
      </c>
      <c r="E86" s="273">
        <v>0</v>
      </c>
      <c r="F86" s="273">
        <v>0</v>
      </c>
      <c r="G86" s="273">
        <v>0</v>
      </c>
      <c r="H86" s="273">
        <v>0</v>
      </c>
      <c r="I86" s="273">
        <v>0</v>
      </c>
      <c r="J86" s="273">
        <v>1</v>
      </c>
      <c r="K86" s="273">
        <v>1</v>
      </c>
      <c r="L86" s="273">
        <v>1</v>
      </c>
      <c r="M86" s="273">
        <v>1</v>
      </c>
      <c r="N86" s="273">
        <v>1</v>
      </c>
      <c r="O86" s="273">
        <v>1</v>
      </c>
      <c r="P86" s="273">
        <v>1</v>
      </c>
      <c r="Q86" s="273">
        <v>1</v>
      </c>
      <c r="R86" s="273">
        <v>1</v>
      </c>
      <c r="S86" s="273">
        <v>1</v>
      </c>
      <c r="T86" s="273"/>
    </row>
    <row r="87" spans="1:20">
      <c r="A87" s="272" t="s">
        <v>71</v>
      </c>
      <c r="B87" s="273">
        <v>1.5</v>
      </c>
      <c r="C87" s="273">
        <v>4.5</v>
      </c>
      <c r="D87" s="273">
        <v>16.406666666666666</v>
      </c>
      <c r="E87" s="273">
        <v>27.593333333333334</v>
      </c>
      <c r="F87" s="273">
        <v>38.06</v>
      </c>
      <c r="G87" s="273">
        <v>49.726666666666667</v>
      </c>
      <c r="H87" s="273">
        <v>65.773333333333341</v>
      </c>
      <c r="I87" s="273">
        <v>82.240000000000009</v>
      </c>
      <c r="J87" s="273">
        <v>96.90666666666668</v>
      </c>
      <c r="K87" s="273">
        <v>111.57333333333335</v>
      </c>
      <c r="L87" s="273">
        <v>124.57333333333335</v>
      </c>
      <c r="M87" s="273">
        <v>137.57333333333335</v>
      </c>
      <c r="N87" s="273">
        <v>150.57333333333335</v>
      </c>
      <c r="O87" s="273">
        <v>163.57333333333335</v>
      </c>
      <c r="P87" s="273">
        <v>178</v>
      </c>
      <c r="Q87" s="273">
        <v>178</v>
      </c>
      <c r="R87" s="273">
        <v>178</v>
      </c>
      <c r="S87" s="273">
        <v>178</v>
      </c>
      <c r="T87" s="273"/>
    </row>
    <row r="88" spans="1:20">
      <c r="A88" s="272" t="s">
        <v>72</v>
      </c>
      <c r="B88" s="273">
        <v>3.2999999523162842</v>
      </c>
      <c r="C88" s="273">
        <v>8.759999952316285</v>
      </c>
      <c r="D88" s="273">
        <v>8.759999952316285</v>
      </c>
      <c r="E88" s="273">
        <v>8.759999952316285</v>
      </c>
      <c r="F88" s="273">
        <v>11.759999952316285</v>
      </c>
      <c r="G88" s="273">
        <v>19.74635654146357</v>
      </c>
      <c r="H88" s="273">
        <v>29.172713130610859</v>
      </c>
      <c r="I88" s="273">
        <v>40.099069719758148</v>
      </c>
      <c r="J88" s="273">
        <v>51.025426308905438</v>
      </c>
      <c r="K88" s="273">
        <v>62.499999952316287</v>
      </c>
      <c r="L88" s="273">
        <v>71.499999952316287</v>
      </c>
      <c r="M88" s="273">
        <v>80.499999952316287</v>
      </c>
      <c r="N88" s="273">
        <v>90</v>
      </c>
      <c r="O88" s="273">
        <v>99</v>
      </c>
      <c r="P88" s="273">
        <v>109</v>
      </c>
      <c r="Q88" s="273">
        <v>109</v>
      </c>
      <c r="R88" s="273">
        <v>109</v>
      </c>
      <c r="S88" s="273">
        <v>109</v>
      </c>
      <c r="T88" s="273"/>
    </row>
    <row r="89" spans="1:20">
      <c r="A89" s="282" t="s">
        <v>73</v>
      </c>
      <c r="B89" s="273">
        <v>1</v>
      </c>
      <c r="C89" s="273">
        <v>1</v>
      </c>
      <c r="D89" s="273">
        <v>1</v>
      </c>
      <c r="E89" s="273">
        <v>1</v>
      </c>
      <c r="F89" s="273">
        <v>1</v>
      </c>
      <c r="G89" s="273">
        <v>1</v>
      </c>
      <c r="H89" s="273">
        <v>1</v>
      </c>
      <c r="I89" s="273">
        <v>1</v>
      </c>
      <c r="J89" s="273">
        <v>1</v>
      </c>
      <c r="K89" s="273">
        <v>1</v>
      </c>
      <c r="L89" s="273">
        <v>1</v>
      </c>
      <c r="M89" s="273">
        <v>1</v>
      </c>
      <c r="N89" s="273">
        <v>1</v>
      </c>
      <c r="O89" s="273">
        <v>1</v>
      </c>
      <c r="P89" s="273">
        <v>1</v>
      </c>
      <c r="Q89" s="273">
        <v>1</v>
      </c>
      <c r="R89" s="273">
        <v>1</v>
      </c>
      <c r="S89" s="273">
        <v>1</v>
      </c>
      <c r="T89" s="273"/>
    </row>
    <row r="90" spans="1:20">
      <c r="A90" s="294" t="s">
        <v>287</v>
      </c>
      <c r="B90" s="295">
        <f t="shared" ref="B90:S90" si="0">(SUM(B69:B81))+B36+B43</f>
        <v>55.279999971389771</v>
      </c>
      <c r="C90" s="295">
        <f t="shared" si="0"/>
        <v>99.496969699859619</v>
      </c>
      <c r="D90" s="295">
        <f t="shared" si="0"/>
        <v>157.96068620681763</v>
      </c>
      <c r="E90" s="295">
        <f t="shared" si="0"/>
        <v>213.5750880241394</v>
      </c>
      <c r="F90" s="295">
        <f t="shared" si="0"/>
        <v>270.07207441329956</v>
      </c>
      <c r="G90" s="295">
        <f t="shared" si="0"/>
        <v>340.04390859603882</v>
      </c>
      <c r="H90" s="295">
        <f t="shared" si="0"/>
        <v>404.8602888621142</v>
      </c>
      <c r="I90" s="295">
        <f t="shared" si="0"/>
        <v>466.8330327645532</v>
      </c>
      <c r="J90" s="295">
        <f t="shared" si="0"/>
        <v>523.2957766669922</v>
      </c>
      <c r="K90" s="295">
        <f t="shared" si="0"/>
        <v>569.33999922796784</v>
      </c>
      <c r="L90" s="295">
        <f t="shared" si="0"/>
        <v>590</v>
      </c>
      <c r="M90" s="295">
        <f t="shared" si="0"/>
        <v>611</v>
      </c>
      <c r="N90" s="295">
        <f t="shared" si="0"/>
        <v>632</v>
      </c>
      <c r="O90" s="295">
        <f t="shared" si="0"/>
        <v>654</v>
      </c>
      <c r="P90" s="295">
        <f t="shared" si="0"/>
        <v>674</v>
      </c>
      <c r="Q90" s="295">
        <f t="shared" si="0"/>
        <v>677</v>
      </c>
      <c r="R90" s="295">
        <f t="shared" si="0"/>
        <v>690</v>
      </c>
      <c r="S90" s="295">
        <f t="shared" si="0"/>
        <v>690</v>
      </c>
    </row>
    <row r="91" spans="1:20">
      <c r="A91" s="294" t="s">
        <v>288</v>
      </c>
      <c r="B91" s="295">
        <f t="shared" ref="B91:S91" si="1">(SUM(B3:B89))-B90</f>
        <v>345.79999995231628</v>
      </c>
      <c r="C91" s="295">
        <f t="shared" si="1"/>
        <v>643.77212115287784</v>
      </c>
      <c r="D91" s="295">
        <f t="shared" si="1"/>
        <v>997.70303022066764</v>
      </c>
      <c r="E91" s="295">
        <f t="shared" si="1"/>
        <v>1377.9139392884572</v>
      </c>
      <c r="F91" s="295">
        <f t="shared" si="1"/>
        <v>1734.5999987316131</v>
      </c>
      <c r="G91" s="295">
        <f t="shared" si="1"/>
        <v>2166.253021987427</v>
      </c>
      <c r="H91" s="295">
        <f t="shared" si="1"/>
        <v>2583.7260452432411</v>
      </c>
      <c r="I91" s="295">
        <f t="shared" si="1"/>
        <v>2980.1190684990552</v>
      </c>
      <c r="J91" s="295">
        <f t="shared" si="1"/>
        <v>3332.7120917548691</v>
      </c>
      <c r="K91" s="295">
        <f t="shared" si="1"/>
        <v>3622.8533320649462</v>
      </c>
      <c r="L91" s="295">
        <f t="shared" si="1"/>
        <v>3769.0733332856498</v>
      </c>
      <c r="M91" s="295">
        <f t="shared" si="1"/>
        <v>3912.0733332856498</v>
      </c>
      <c r="N91" s="295">
        <f t="shared" si="1"/>
        <v>4061.5733333333337</v>
      </c>
      <c r="O91" s="295">
        <f t="shared" si="1"/>
        <v>4209.5733333333337</v>
      </c>
      <c r="P91" s="295">
        <f t="shared" si="1"/>
        <v>4361</v>
      </c>
      <c r="Q91" s="295">
        <f t="shared" si="1"/>
        <v>4371</v>
      </c>
      <c r="R91" s="295">
        <f t="shared" si="1"/>
        <v>4371</v>
      </c>
      <c r="S91" s="295">
        <f t="shared" si="1"/>
        <v>4371</v>
      </c>
    </row>
    <row r="92" spans="1:20">
      <c r="A92" s="296" t="s">
        <v>289</v>
      </c>
      <c r="B92" s="297">
        <f>SUM(B90:B91)</f>
        <v>401.07999992370605</v>
      </c>
      <c r="C92" s="297">
        <f t="shared" ref="C92:S92" si="2">SUM(C90:C91)</f>
        <v>743.26909085273746</v>
      </c>
      <c r="D92" s="297">
        <f t="shared" si="2"/>
        <v>1155.6637164274853</v>
      </c>
      <c r="E92" s="297">
        <f t="shared" si="2"/>
        <v>1591.4890273125966</v>
      </c>
      <c r="F92" s="297">
        <f t="shared" si="2"/>
        <v>2004.6720731449127</v>
      </c>
      <c r="G92" s="297">
        <f t="shared" si="2"/>
        <v>2506.2969305834658</v>
      </c>
      <c r="H92" s="297">
        <f t="shared" si="2"/>
        <v>2988.5863341053555</v>
      </c>
      <c r="I92" s="297">
        <f t="shared" si="2"/>
        <v>3446.9521012636083</v>
      </c>
      <c r="J92" s="297">
        <f t="shared" si="2"/>
        <v>3856.0078684218615</v>
      </c>
      <c r="K92" s="297">
        <f t="shared" si="2"/>
        <v>4192.1933312929141</v>
      </c>
      <c r="L92" s="297">
        <f t="shared" si="2"/>
        <v>4359.0733332856498</v>
      </c>
      <c r="M92" s="297">
        <f t="shared" si="2"/>
        <v>4523.0733332856498</v>
      </c>
      <c r="N92" s="297">
        <f t="shared" si="2"/>
        <v>4693.5733333333337</v>
      </c>
      <c r="O92" s="297">
        <f t="shared" si="2"/>
        <v>4863.5733333333337</v>
      </c>
      <c r="P92" s="297">
        <f t="shared" si="2"/>
        <v>5035</v>
      </c>
      <c r="Q92" s="297">
        <f t="shared" si="2"/>
        <v>5048</v>
      </c>
      <c r="R92" s="297">
        <f t="shared" si="2"/>
        <v>5061</v>
      </c>
      <c r="S92" s="297">
        <f t="shared" si="2"/>
        <v>5061</v>
      </c>
    </row>
    <row r="93" spans="1:20">
      <c r="B93" s="273"/>
      <c r="C93" s="273"/>
      <c r="D93" s="273"/>
      <c r="E93" s="273"/>
      <c r="F93" s="273"/>
      <c r="G93" s="273"/>
      <c r="H93" s="273"/>
      <c r="I93" s="273"/>
      <c r="J93" s="273"/>
      <c r="K93" s="273"/>
      <c r="L93" s="273"/>
      <c r="M93" s="273"/>
      <c r="N93" s="273"/>
      <c r="O93" s="273"/>
      <c r="P93" s="273"/>
      <c r="Q93" s="273"/>
      <c r="R93" s="273"/>
      <c r="S93" s="273"/>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6"/>
  <dimension ref="A1:C89"/>
  <sheetViews>
    <sheetView workbookViewId="0">
      <selection activeCell="D1" sqref="D1"/>
    </sheetView>
  </sheetViews>
  <sheetFormatPr defaultRowHeight="12.75"/>
  <cols>
    <col min="1" max="1" width="43" bestFit="1" customWidth="1"/>
    <col min="2" max="2" width="24" bestFit="1" customWidth="1"/>
    <col min="3" max="3" width="31.28515625" bestFit="1" customWidth="1"/>
  </cols>
  <sheetData>
    <row r="1" spans="1:3">
      <c r="A1" s="90" t="s">
        <v>0</v>
      </c>
      <c r="B1" s="90" t="s">
        <v>177</v>
      </c>
      <c r="C1" s="90" t="s">
        <v>178</v>
      </c>
    </row>
    <row r="2" spans="1:3">
      <c r="A2" s="91" t="s">
        <v>9</v>
      </c>
      <c r="B2" s="91">
        <v>19</v>
      </c>
      <c r="C2" s="91">
        <v>25</v>
      </c>
    </row>
    <row r="3" spans="1:3">
      <c r="A3" s="91" t="s">
        <v>10</v>
      </c>
      <c r="B3" s="91">
        <v>59</v>
      </c>
      <c r="C3" s="91">
        <v>60</v>
      </c>
    </row>
    <row r="4" spans="1:3">
      <c r="A4" s="91" t="s">
        <v>11</v>
      </c>
      <c r="B4" s="91">
        <v>83</v>
      </c>
      <c r="C4" s="91">
        <v>75</v>
      </c>
    </row>
    <row r="5" spans="1:3">
      <c r="A5" s="91" t="s">
        <v>12</v>
      </c>
      <c r="B5" s="91">
        <v>81</v>
      </c>
      <c r="C5" s="91">
        <v>75</v>
      </c>
    </row>
    <row r="6" spans="1:3">
      <c r="A6" s="91" t="s">
        <v>13</v>
      </c>
      <c r="B6" s="91">
        <v>28</v>
      </c>
      <c r="C6" s="91">
        <v>37</v>
      </c>
    </row>
    <row r="7" spans="1:3">
      <c r="A7" s="91" t="s">
        <v>14</v>
      </c>
      <c r="B7" s="91">
        <v>56</v>
      </c>
      <c r="C7" s="91">
        <v>50</v>
      </c>
    </row>
    <row r="8" spans="1:3">
      <c r="A8" s="91" t="s">
        <v>15</v>
      </c>
      <c r="B8" s="91">
        <v>26</v>
      </c>
      <c r="C8" s="91">
        <v>35</v>
      </c>
    </row>
    <row r="9" spans="1:3">
      <c r="A9" s="91" t="s">
        <v>16</v>
      </c>
      <c r="B9" s="91">
        <v>89</v>
      </c>
      <c r="C9" s="91">
        <v>83</v>
      </c>
    </row>
    <row r="10" spans="1:3">
      <c r="A10" s="91" t="s">
        <v>17</v>
      </c>
      <c r="B10" s="91">
        <v>50</v>
      </c>
      <c r="C10" s="91">
        <v>66</v>
      </c>
    </row>
    <row r="11" spans="1:3">
      <c r="A11" s="91" t="s">
        <v>161</v>
      </c>
      <c r="B11" s="91">
        <v>58</v>
      </c>
      <c r="C11" s="91">
        <v>60</v>
      </c>
    </row>
    <row r="12" spans="1:3">
      <c r="A12" s="91" t="s">
        <v>74</v>
      </c>
      <c r="B12" s="91">
        <v>44</v>
      </c>
      <c r="C12" s="91">
        <v>58</v>
      </c>
    </row>
    <row r="13" spans="1:3">
      <c r="A13" s="91" t="s">
        <v>18</v>
      </c>
      <c r="B13" s="91">
        <v>58</v>
      </c>
      <c r="C13" s="91">
        <v>60</v>
      </c>
    </row>
    <row r="14" spans="1:3">
      <c r="A14" s="91" t="s">
        <v>75</v>
      </c>
      <c r="B14" s="91">
        <v>54</v>
      </c>
      <c r="C14" s="91">
        <v>59</v>
      </c>
    </row>
    <row r="15" spans="1:3">
      <c r="A15" s="91" t="s">
        <v>19</v>
      </c>
      <c r="B15" s="91">
        <v>75</v>
      </c>
      <c r="C15" s="91">
        <v>63</v>
      </c>
    </row>
    <row r="16" spans="1:3">
      <c r="A16" s="91" t="s">
        <v>20</v>
      </c>
      <c r="B16" s="91">
        <v>38</v>
      </c>
      <c r="C16" s="91">
        <v>30</v>
      </c>
    </row>
    <row r="17" spans="1:3">
      <c r="A17" s="91" t="s">
        <v>21</v>
      </c>
      <c r="B17" s="91">
        <v>25</v>
      </c>
      <c r="C17" s="91">
        <v>35</v>
      </c>
    </row>
    <row r="18" spans="1:3">
      <c r="A18" s="91" t="s">
        <v>22</v>
      </c>
      <c r="B18" s="91">
        <v>89</v>
      </c>
      <c r="C18" s="91">
        <v>90</v>
      </c>
    </row>
    <row r="19" spans="1:3">
      <c r="A19" s="91" t="s">
        <v>23</v>
      </c>
      <c r="B19" s="91">
        <v>49</v>
      </c>
      <c r="C19" s="91">
        <v>42</v>
      </c>
    </row>
    <row r="20" spans="1:3">
      <c r="A20" s="91" t="s">
        <v>24</v>
      </c>
      <c r="B20" s="91">
        <v>64</v>
      </c>
      <c r="C20" s="91">
        <v>81</v>
      </c>
    </row>
    <row r="21" spans="1:3">
      <c r="A21" s="91" t="s">
        <v>82</v>
      </c>
      <c r="B21" s="91">
        <v>63</v>
      </c>
      <c r="C21" s="91">
        <v>75</v>
      </c>
    </row>
    <row r="22" spans="1:3">
      <c r="A22" s="91" t="s">
        <v>76</v>
      </c>
      <c r="B22" s="91">
        <v>51</v>
      </c>
      <c r="C22" s="91">
        <v>60</v>
      </c>
    </row>
    <row r="23" spans="1:3">
      <c r="A23" s="91" t="s">
        <v>25</v>
      </c>
      <c r="B23" s="91">
        <v>65</v>
      </c>
      <c r="C23" s="91">
        <v>60</v>
      </c>
    </row>
    <row r="24" spans="1:3">
      <c r="A24" s="91" t="s">
        <v>77</v>
      </c>
      <c r="B24" s="91">
        <v>58</v>
      </c>
      <c r="C24" s="91">
        <v>66</v>
      </c>
    </row>
    <row r="25" spans="1:3">
      <c r="A25" s="91" t="s">
        <v>26</v>
      </c>
      <c r="B25" s="91">
        <v>5</v>
      </c>
      <c r="C25" s="91">
        <v>20</v>
      </c>
    </row>
    <row r="26" spans="1:3">
      <c r="A26" s="91" t="s">
        <v>27</v>
      </c>
      <c r="B26" s="91">
        <v>40</v>
      </c>
      <c r="C26" s="91">
        <v>55</v>
      </c>
    </row>
    <row r="27" spans="1:3">
      <c r="A27" s="91" t="s">
        <v>28</v>
      </c>
      <c r="B27" s="91">
        <v>69</v>
      </c>
      <c r="C27" s="91">
        <v>66</v>
      </c>
    </row>
    <row r="28" spans="1:3">
      <c r="A28" s="91" t="s">
        <v>29</v>
      </c>
      <c r="B28" s="91">
        <v>64</v>
      </c>
      <c r="C28" s="91">
        <v>70</v>
      </c>
    </row>
    <row r="29" spans="1:3">
      <c r="A29" s="91" t="s">
        <v>30</v>
      </c>
      <c r="B29" s="91">
        <v>42</v>
      </c>
      <c r="C29" s="91">
        <v>55</v>
      </c>
    </row>
    <row r="30" spans="1:3">
      <c r="A30" s="91" t="s">
        <v>31</v>
      </c>
      <c r="B30" s="91">
        <v>65</v>
      </c>
      <c r="C30" s="91">
        <v>66</v>
      </c>
    </row>
    <row r="31" spans="1:3">
      <c r="A31" s="91" t="s">
        <v>32</v>
      </c>
      <c r="B31" s="91">
        <v>52</v>
      </c>
      <c r="C31" s="91">
        <v>50</v>
      </c>
    </row>
    <row r="32" spans="1:3">
      <c r="A32" s="91" t="s">
        <v>33</v>
      </c>
      <c r="B32" s="91">
        <v>51</v>
      </c>
      <c r="C32" s="91">
        <v>50</v>
      </c>
    </row>
    <row r="33" spans="1:3">
      <c r="A33" s="91" t="s">
        <v>78</v>
      </c>
      <c r="B33" s="91">
        <v>94</v>
      </c>
      <c r="C33" s="91">
        <v>90</v>
      </c>
    </row>
    <row r="34" spans="1:3">
      <c r="A34" s="91" t="s">
        <v>34</v>
      </c>
      <c r="B34" s="91">
        <v>58</v>
      </c>
      <c r="C34" s="91">
        <v>55</v>
      </c>
    </row>
    <row r="35" spans="1:3">
      <c r="A35" s="91" t="s">
        <v>83</v>
      </c>
      <c r="B35" s="91">
        <v>44</v>
      </c>
      <c r="C35" s="91">
        <v>50</v>
      </c>
    </row>
    <row r="36" spans="1:3">
      <c r="A36" s="91" t="s">
        <v>162</v>
      </c>
      <c r="B36" s="91">
        <v>31</v>
      </c>
      <c r="C36" s="91">
        <v>25</v>
      </c>
    </row>
    <row r="37" spans="1:3">
      <c r="A37" s="91" t="s">
        <v>35</v>
      </c>
      <c r="B37" s="91">
        <v>63</v>
      </c>
      <c r="C37" s="91">
        <v>63</v>
      </c>
    </row>
    <row r="38" spans="1:3">
      <c r="A38" s="91" t="s">
        <v>36</v>
      </c>
      <c r="B38" s="91">
        <v>71</v>
      </c>
      <c r="C38" s="91">
        <v>75</v>
      </c>
    </row>
    <row r="39" spans="1:3">
      <c r="A39" s="91" t="s">
        <v>37</v>
      </c>
      <c r="B39" s="91">
        <v>85</v>
      </c>
      <c r="C39" s="91">
        <v>90</v>
      </c>
    </row>
    <row r="40" spans="1:3">
      <c r="A40" s="91" t="s">
        <v>38</v>
      </c>
      <c r="B40" s="91">
        <v>51</v>
      </c>
      <c r="C40" s="91">
        <v>58</v>
      </c>
    </row>
    <row r="41" spans="1:3">
      <c r="A41" s="91" t="s">
        <v>39</v>
      </c>
      <c r="B41" s="91">
        <v>52</v>
      </c>
      <c r="C41" s="91">
        <v>50</v>
      </c>
    </row>
    <row r="42" spans="1:3">
      <c r="A42" s="91" t="s">
        <v>40</v>
      </c>
      <c r="B42" s="91">
        <v>16</v>
      </c>
      <c r="C42" s="91">
        <v>25</v>
      </c>
    </row>
    <row r="43" spans="1:3">
      <c r="A43" s="91" t="s">
        <v>163</v>
      </c>
      <c r="B43" s="91">
        <v>57</v>
      </c>
      <c r="C43" s="91">
        <v>50</v>
      </c>
    </row>
    <row r="44" spans="1:3">
      <c r="A44" s="91" t="s">
        <v>41</v>
      </c>
      <c r="B44" s="91">
        <v>89</v>
      </c>
      <c r="C44" s="91">
        <v>90</v>
      </c>
    </row>
    <row r="45" spans="1:3">
      <c r="A45" s="91" t="s">
        <v>42</v>
      </c>
      <c r="B45" s="91">
        <v>63</v>
      </c>
      <c r="C45" s="91">
        <v>50</v>
      </c>
    </row>
    <row r="46" spans="1:3">
      <c r="A46" s="91" t="s">
        <v>43</v>
      </c>
      <c r="B46" s="91">
        <v>103</v>
      </c>
      <c r="C46" s="91">
        <v>90</v>
      </c>
    </row>
    <row r="47" spans="1:3">
      <c r="A47" s="91" t="s">
        <v>44</v>
      </c>
      <c r="B47" s="91">
        <v>47</v>
      </c>
      <c r="C47" s="91">
        <v>66</v>
      </c>
    </row>
    <row r="48" spans="1:3">
      <c r="A48" s="91" t="s">
        <v>45</v>
      </c>
      <c r="B48" s="91">
        <v>33</v>
      </c>
      <c r="C48" s="91">
        <v>61</v>
      </c>
    </row>
    <row r="49" spans="1:3">
      <c r="A49" s="91" t="s">
        <v>46</v>
      </c>
      <c r="B49" s="91">
        <v>75</v>
      </c>
      <c r="C49" s="91">
        <v>65</v>
      </c>
    </row>
    <row r="50" spans="1:3">
      <c r="A50" s="91" t="s">
        <v>47</v>
      </c>
      <c r="B50" s="91">
        <v>46</v>
      </c>
      <c r="C50" s="91">
        <v>50</v>
      </c>
    </row>
    <row r="51" spans="1:3">
      <c r="A51" s="91" t="s">
        <v>48</v>
      </c>
      <c r="B51" s="91">
        <v>30</v>
      </c>
      <c r="C51" s="91">
        <v>40</v>
      </c>
    </row>
    <row r="52" spans="1:3">
      <c r="A52" s="91" t="s">
        <v>49</v>
      </c>
      <c r="B52" s="91">
        <v>50</v>
      </c>
      <c r="C52" s="91">
        <v>57</v>
      </c>
    </row>
    <row r="53" spans="1:3">
      <c r="A53" s="91" t="s">
        <v>50</v>
      </c>
      <c r="B53" s="91">
        <v>17</v>
      </c>
      <c r="C53" s="91">
        <v>25</v>
      </c>
    </row>
    <row r="54" spans="1:3">
      <c r="A54" s="91" t="s">
        <v>51</v>
      </c>
      <c r="B54" s="91">
        <v>10</v>
      </c>
      <c r="C54" s="91">
        <v>25</v>
      </c>
    </row>
    <row r="55" spans="1:3">
      <c r="A55" s="91" t="s">
        <v>52</v>
      </c>
      <c r="B55" s="91">
        <v>33</v>
      </c>
      <c r="C55" s="91">
        <v>60</v>
      </c>
    </row>
    <row r="56" spans="1:3">
      <c r="A56" s="91" t="s">
        <v>53</v>
      </c>
      <c r="B56" s="91">
        <v>71</v>
      </c>
      <c r="C56" s="91">
        <v>75</v>
      </c>
    </row>
    <row r="57" spans="1:3">
      <c r="A57" s="91" t="s">
        <v>54</v>
      </c>
      <c r="B57" s="91">
        <v>41</v>
      </c>
      <c r="C57" s="91">
        <v>50</v>
      </c>
    </row>
    <row r="58" spans="1:3">
      <c r="A58" s="91" t="s">
        <v>80</v>
      </c>
      <c r="B58" s="91">
        <v>72</v>
      </c>
      <c r="C58" s="91">
        <v>75</v>
      </c>
    </row>
    <row r="59" spans="1:3">
      <c r="A59" s="91" t="s">
        <v>55</v>
      </c>
      <c r="B59" s="91">
        <v>34</v>
      </c>
      <c r="C59" s="91">
        <v>50</v>
      </c>
    </row>
    <row r="60" spans="1:3">
      <c r="A60" s="91" t="s">
        <v>56</v>
      </c>
      <c r="B60" s="91">
        <v>30</v>
      </c>
      <c r="C60" s="91">
        <v>33</v>
      </c>
    </row>
    <row r="61" spans="1:3">
      <c r="A61" s="91" t="s">
        <v>57</v>
      </c>
      <c r="B61" s="91">
        <v>21</v>
      </c>
      <c r="C61" s="91">
        <v>25</v>
      </c>
    </row>
    <row r="62" spans="1:3">
      <c r="A62" s="91" t="s">
        <v>58</v>
      </c>
      <c r="B62" s="91">
        <v>64</v>
      </c>
      <c r="C62" s="91">
        <v>60</v>
      </c>
    </row>
    <row r="63" spans="1:3">
      <c r="A63" s="91" t="s">
        <v>59</v>
      </c>
      <c r="B63" s="91">
        <v>37</v>
      </c>
      <c r="C63" s="91">
        <v>50</v>
      </c>
    </row>
    <row r="64" spans="1:3">
      <c r="A64" s="91" t="s">
        <v>60</v>
      </c>
      <c r="B64" s="91">
        <v>30</v>
      </c>
      <c r="C64" s="91">
        <v>32</v>
      </c>
    </row>
    <row r="65" spans="1:3">
      <c r="A65" s="91" t="s">
        <v>61</v>
      </c>
      <c r="B65" s="91">
        <v>21</v>
      </c>
      <c r="C65" s="91">
        <v>25</v>
      </c>
    </row>
    <row r="66" spans="1:3">
      <c r="A66" s="91" t="s">
        <v>62</v>
      </c>
      <c r="B66" s="91">
        <v>77</v>
      </c>
      <c r="C66" s="91">
        <v>90</v>
      </c>
    </row>
    <row r="67" spans="1:3">
      <c r="A67" s="91" t="s">
        <v>63</v>
      </c>
      <c r="B67" s="91">
        <v>42</v>
      </c>
      <c r="C67" s="91">
        <v>37</v>
      </c>
    </row>
    <row r="68" spans="1:3">
      <c r="A68" s="91" t="s">
        <v>64</v>
      </c>
      <c r="B68" s="91">
        <v>92</v>
      </c>
      <c r="C68" s="91">
        <v>90</v>
      </c>
    </row>
    <row r="69" spans="1:3">
      <c r="A69" s="91" t="s">
        <v>164</v>
      </c>
      <c r="B69" s="91">
        <v>31</v>
      </c>
      <c r="C69" s="91">
        <v>25</v>
      </c>
    </row>
    <row r="70" spans="1:3">
      <c r="A70" s="91" t="s">
        <v>165</v>
      </c>
      <c r="B70" s="91">
        <v>39</v>
      </c>
      <c r="C70" s="91">
        <v>30</v>
      </c>
    </row>
    <row r="71" spans="1:3">
      <c r="A71" s="91" t="s">
        <v>166</v>
      </c>
      <c r="B71" s="91">
        <v>63</v>
      </c>
      <c r="C71" s="91">
        <v>50</v>
      </c>
    </row>
    <row r="72" spans="1:3">
      <c r="A72" s="91" t="s">
        <v>167</v>
      </c>
      <c r="B72" s="91">
        <v>43</v>
      </c>
      <c r="C72" s="91">
        <v>25</v>
      </c>
    </row>
    <row r="73" spans="1:3">
      <c r="A73" s="91" t="s">
        <v>168</v>
      </c>
      <c r="B73" s="91">
        <v>35</v>
      </c>
      <c r="C73" s="91">
        <v>25</v>
      </c>
    </row>
    <row r="74" spans="1:3">
      <c r="A74" s="91" t="s">
        <v>169</v>
      </c>
      <c r="B74" s="91">
        <v>58</v>
      </c>
      <c r="C74" s="91">
        <v>50</v>
      </c>
    </row>
    <row r="75" spans="1:3">
      <c r="A75" s="91" t="s">
        <v>170</v>
      </c>
      <c r="B75" s="91">
        <v>51</v>
      </c>
      <c r="C75" s="91">
        <v>50</v>
      </c>
    </row>
    <row r="76" spans="1:3">
      <c r="A76" s="91" t="s">
        <v>171</v>
      </c>
      <c r="B76" s="91">
        <v>15</v>
      </c>
      <c r="C76" s="91">
        <v>25</v>
      </c>
    </row>
    <row r="77" spans="1:3">
      <c r="A77" s="91" t="s">
        <v>172</v>
      </c>
      <c r="B77" s="91">
        <v>22</v>
      </c>
      <c r="C77" s="91">
        <v>25</v>
      </c>
    </row>
    <row r="78" spans="1:3">
      <c r="A78" s="91" t="s">
        <v>173</v>
      </c>
      <c r="B78" s="91">
        <v>61</v>
      </c>
      <c r="C78" s="91">
        <v>50</v>
      </c>
    </row>
    <row r="79" spans="1:3">
      <c r="A79" s="91" t="s">
        <v>174</v>
      </c>
      <c r="B79" s="91">
        <v>58</v>
      </c>
      <c r="C79" s="91">
        <v>50</v>
      </c>
    </row>
    <row r="80" spans="1:3">
      <c r="A80" s="91" t="s">
        <v>175</v>
      </c>
      <c r="B80" s="91">
        <v>59</v>
      </c>
      <c r="C80" s="91">
        <v>50</v>
      </c>
    </row>
    <row r="81" spans="1:3">
      <c r="A81" s="91" t="s">
        <v>176</v>
      </c>
      <c r="B81" s="91">
        <v>73</v>
      </c>
      <c r="C81" s="91">
        <v>60</v>
      </c>
    </row>
    <row r="82" spans="1:3">
      <c r="A82" s="91" t="s">
        <v>66</v>
      </c>
      <c r="B82" s="91">
        <v>37</v>
      </c>
      <c r="C82" s="91">
        <v>50</v>
      </c>
    </row>
    <row r="83" spans="1:3">
      <c r="A83" s="91" t="s">
        <v>67</v>
      </c>
      <c r="B83" s="91">
        <v>26</v>
      </c>
      <c r="C83" s="91">
        <v>34</v>
      </c>
    </row>
    <row r="84" spans="1:3">
      <c r="A84" s="91" t="s">
        <v>68</v>
      </c>
      <c r="B84" s="91">
        <v>33</v>
      </c>
      <c r="C84" s="91">
        <v>33</v>
      </c>
    </row>
    <row r="85" spans="1:3">
      <c r="A85" s="91" t="s">
        <v>69</v>
      </c>
      <c r="B85" s="91">
        <v>24</v>
      </c>
      <c r="C85" s="91">
        <v>25</v>
      </c>
    </row>
    <row r="86" spans="1:3">
      <c r="A86" s="91" t="s">
        <v>70</v>
      </c>
      <c r="B86" s="91">
        <v>93</v>
      </c>
      <c r="C86" s="91">
        <v>90</v>
      </c>
    </row>
    <row r="87" spans="1:3">
      <c r="A87" s="91" t="s">
        <v>71</v>
      </c>
      <c r="B87" s="91">
        <v>97</v>
      </c>
      <c r="C87" s="91">
        <v>86</v>
      </c>
    </row>
    <row r="88" spans="1:3">
      <c r="A88" s="91" t="s">
        <v>72</v>
      </c>
      <c r="B88" s="91">
        <v>34</v>
      </c>
      <c r="C88" s="91">
        <v>40</v>
      </c>
    </row>
    <row r="89" spans="1:3">
      <c r="A89" s="91" t="s">
        <v>73</v>
      </c>
      <c r="B89" s="91">
        <v>96</v>
      </c>
      <c r="C89" s="91">
        <v>90</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7"/>
  <dimension ref="A2:AA46"/>
  <sheetViews>
    <sheetView topLeftCell="A16" workbookViewId="0">
      <selection activeCell="F44" sqref="F44:O44"/>
    </sheetView>
  </sheetViews>
  <sheetFormatPr defaultRowHeight="15"/>
  <cols>
    <col min="1" max="16384" width="9.140625" style="148"/>
  </cols>
  <sheetData>
    <row r="2" spans="1:13">
      <c r="A2" s="148" t="s">
        <v>101</v>
      </c>
      <c r="B2" s="148">
        <v>2014</v>
      </c>
      <c r="C2" s="148">
        <v>2015</v>
      </c>
      <c r="D2" s="148">
        <v>2016</v>
      </c>
      <c r="E2" s="148">
        <v>2017</v>
      </c>
    </row>
    <row r="3" spans="1:13">
      <c r="A3" s="148" t="s">
        <v>190</v>
      </c>
      <c r="B3" s="148">
        <v>2019</v>
      </c>
      <c r="C3" s="148">
        <v>2020</v>
      </c>
      <c r="D3" s="148">
        <v>2021</v>
      </c>
      <c r="E3" s="148">
        <v>2022</v>
      </c>
    </row>
    <row r="4" spans="1:13">
      <c r="B4" s="150">
        <v>5547</v>
      </c>
      <c r="C4" s="150">
        <v>5658</v>
      </c>
      <c r="D4" s="150">
        <v>5764</v>
      </c>
      <c r="E4" s="150">
        <v>5853</v>
      </c>
    </row>
    <row r="5" spans="1:13">
      <c r="C5" s="152">
        <f>(C4-B4)/B4</f>
        <v>2.0010816657652784E-2</v>
      </c>
      <c r="D5" s="152">
        <f>(D4-C4)/C4</f>
        <v>1.8734535171438672E-2</v>
      </c>
      <c r="E5" s="152">
        <f>(E4-D4)/D4</f>
        <v>1.5440666204024983E-2</v>
      </c>
    </row>
    <row r="6" spans="1:13">
      <c r="C6" s="152"/>
      <c r="D6" s="152"/>
      <c r="E6" s="152"/>
    </row>
    <row r="7" spans="1:13">
      <c r="A7" s="151" t="s">
        <v>294</v>
      </c>
      <c r="D7" s="193" t="s">
        <v>215</v>
      </c>
    </row>
    <row r="8" spans="1:13">
      <c r="A8" s="148" t="s">
        <v>101</v>
      </c>
      <c r="B8" s="148">
        <v>2014</v>
      </c>
      <c r="C8" s="148">
        <v>2015</v>
      </c>
      <c r="D8" s="148">
        <v>2016</v>
      </c>
      <c r="E8" s="148">
        <v>2017</v>
      </c>
      <c r="F8" s="148">
        <v>2018</v>
      </c>
      <c r="G8" s="148">
        <v>2019</v>
      </c>
      <c r="H8" s="148">
        <v>2020</v>
      </c>
      <c r="I8" s="148">
        <v>2021</v>
      </c>
      <c r="J8" s="148">
        <v>2022</v>
      </c>
      <c r="K8" s="148">
        <v>2023</v>
      </c>
      <c r="L8" s="148">
        <v>2024</v>
      </c>
      <c r="M8" s="148">
        <v>2025</v>
      </c>
    </row>
    <row r="9" spans="1:13">
      <c r="A9" s="148" t="s">
        <v>190</v>
      </c>
      <c r="B9" s="148">
        <v>2019</v>
      </c>
      <c r="C9" s="148">
        <v>2020</v>
      </c>
      <c r="D9" s="148">
        <v>2021</v>
      </c>
      <c r="E9" s="148">
        <v>2022</v>
      </c>
      <c r="F9" s="148">
        <v>2023</v>
      </c>
      <c r="G9" s="148">
        <v>2024</v>
      </c>
      <c r="H9" s="148">
        <v>2025</v>
      </c>
      <c r="I9" s="148">
        <v>2026</v>
      </c>
      <c r="J9" s="148">
        <v>2027</v>
      </c>
      <c r="K9" s="148">
        <v>2028</v>
      </c>
      <c r="L9" s="148">
        <v>2029</v>
      </c>
      <c r="M9" s="148">
        <v>2030</v>
      </c>
    </row>
    <row r="10" spans="1:13">
      <c r="B10" s="156">
        <v>5554</v>
      </c>
      <c r="C10" s="155">
        <v>5295</v>
      </c>
      <c r="D10" s="150">
        <v>5764</v>
      </c>
      <c r="E10" s="150">
        <v>5853</v>
      </c>
      <c r="F10" s="150">
        <v>5920</v>
      </c>
      <c r="G10" s="150">
        <v>5967</v>
      </c>
      <c r="H10" s="150">
        <v>5998</v>
      </c>
      <c r="I10" s="150">
        <v>6010</v>
      </c>
      <c r="J10" s="150">
        <v>6007</v>
      </c>
      <c r="K10" s="150">
        <v>5991</v>
      </c>
      <c r="L10" s="150">
        <v>5974</v>
      </c>
      <c r="M10" s="266">
        <v>5955</v>
      </c>
    </row>
    <row r="11" spans="1:13">
      <c r="C11" s="154">
        <f t="shared" ref="C11:M11" si="0">(C10-B10)/B10</f>
        <v>-4.6633057256031687E-2</v>
      </c>
      <c r="D11" s="153">
        <f t="shared" si="0"/>
        <v>8.8574126534466474E-2</v>
      </c>
      <c r="E11" s="152">
        <f t="shared" si="0"/>
        <v>1.5440666204024983E-2</v>
      </c>
      <c r="F11" s="152">
        <f t="shared" si="0"/>
        <v>1.1447121134460961E-2</v>
      </c>
      <c r="G11" s="152">
        <f t="shared" si="0"/>
        <v>7.9391891891891896E-3</v>
      </c>
      <c r="H11" s="152">
        <f t="shared" si="0"/>
        <v>5.1952404893581368E-3</v>
      </c>
      <c r="I11" s="152">
        <f t="shared" si="0"/>
        <v>2.0006668889629878E-3</v>
      </c>
      <c r="J11" s="152">
        <f t="shared" si="0"/>
        <v>-4.9916805324459236E-4</v>
      </c>
      <c r="K11" s="152">
        <f t="shared" si="0"/>
        <v>-2.663559180955552E-3</v>
      </c>
      <c r="L11" s="152">
        <f t="shared" si="0"/>
        <v>-2.8375897179101985E-3</v>
      </c>
      <c r="M11" s="152">
        <f t="shared" si="0"/>
        <v>-3.1804486106461333E-3</v>
      </c>
    </row>
    <row r="12" spans="1:13">
      <c r="D12" s="148">
        <v>1.87</v>
      </c>
      <c r="E12" s="152"/>
    </row>
    <row r="13" spans="1:13">
      <c r="C13" s="149">
        <f>C11</f>
        <v>-4.6633057256031687E-2</v>
      </c>
      <c r="D13" s="149">
        <f>D5</f>
        <v>1.8734535171438672E-2</v>
      </c>
      <c r="E13" s="149">
        <f t="shared" ref="E13:M13" si="1">E11</f>
        <v>1.5440666204024983E-2</v>
      </c>
      <c r="F13" s="149">
        <f t="shared" si="1"/>
        <v>1.1447121134460961E-2</v>
      </c>
      <c r="G13" s="149">
        <f t="shared" si="1"/>
        <v>7.9391891891891896E-3</v>
      </c>
      <c r="H13" s="149">
        <f t="shared" si="1"/>
        <v>5.1952404893581368E-3</v>
      </c>
      <c r="I13" s="149">
        <f t="shared" si="1"/>
        <v>2.0006668889629878E-3</v>
      </c>
      <c r="J13" s="149">
        <f t="shared" si="1"/>
        <v>-4.9916805324459236E-4</v>
      </c>
      <c r="K13" s="149">
        <f t="shared" si="1"/>
        <v>-2.663559180955552E-3</v>
      </c>
      <c r="L13" s="149">
        <f t="shared" si="1"/>
        <v>-2.8375897179101985E-3</v>
      </c>
      <c r="M13" s="149">
        <f t="shared" si="1"/>
        <v>-3.1804486106461333E-3</v>
      </c>
    </row>
    <row r="14" spans="1:13">
      <c r="B14" s="151"/>
      <c r="C14" s="151"/>
      <c r="D14" s="151"/>
      <c r="E14" s="151"/>
    </row>
    <row r="15" spans="1:13">
      <c r="B15" s="150"/>
      <c r="C15" s="150"/>
      <c r="D15" s="150"/>
      <c r="E15" s="149">
        <v>-5.5514433752775719E-4</v>
      </c>
      <c r="F15" s="149">
        <v>1.0923902980929457E-2</v>
      </c>
      <c r="G15" s="149">
        <v>1.4285714285714285E-2</v>
      </c>
      <c r="H15" s="149">
        <v>1.2098230408089564E-2</v>
      </c>
      <c r="I15" s="149">
        <v>9.455842997323818E-3</v>
      </c>
      <c r="J15" s="149">
        <v>7.246376811594203E-3</v>
      </c>
      <c r="K15" s="149">
        <v>4.9131426566064226E-3</v>
      </c>
      <c r="L15" s="149">
        <v>2.7937838309760781E-3</v>
      </c>
      <c r="M15" s="149">
        <v>3.1342503917812991E-3</v>
      </c>
    </row>
    <row r="16" spans="1:13">
      <c r="A16" s="148" t="s">
        <v>212</v>
      </c>
      <c r="C16" s="149"/>
      <c r="D16" s="149"/>
      <c r="E16" s="149"/>
    </row>
    <row r="17" spans="1:6">
      <c r="A17" s="157" t="s">
        <v>191</v>
      </c>
      <c r="B17"/>
      <c r="C17"/>
      <c r="D17"/>
      <c r="E17"/>
      <c r="F17"/>
    </row>
    <row r="18" spans="1:6">
      <c r="A18" s="157"/>
      <c r="B18"/>
      <c r="C18"/>
      <c r="D18"/>
      <c r="E18"/>
      <c r="F18"/>
    </row>
    <row r="19" spans="1:6" ht="17.25">
      <c r="A19" s="157" t="s">
        <v>192</v>
      </c>
      <c r="B19"/>
      <c r="C19"/>
      <c r="D19"/>
      <c r="E19"/>
      <c r="F19"/>
    </row>
    <row r="20" spans="1:6">
      <c r="A20" s="157"/>
      <c r="B20"/>
      <c r="C20"/>
      <c r="D20"/>
      <c r="E20"/>
      <c r="F20"/>
    </row>
    <row r="21" spans="1:6" ht="15.75" thickBot="1">
      <c r="A21" s="443" t="s">
        <v>193</v>
      </c>
      <c r="B21" s="443"/>
      <c r="C21" s="157"/>
      <c r="D21" s="157"/>
      <c r="E21" s="157"/>
      <c r="F21" s="157"/>
    </row>
    <row r="22" spans="1:6" ht="15.75" thickBot="1">
      <c r="A22" s="158" t="s">
        <v>194</v>
      </c>
      <c r="B22" s="159" t="s">
        <v>122</v>
      </c>
      <c r="C22" s="159" t="s">
        <v>195</v>
      </c>
      <c r="D22" s="159" t="s">
        <v>196</v>
      </c>
      <c r="E22" s="159" t="s">
        <v>197</v>
      </c>
      <c r="F22" s="159" t="s">
        <v>198</v>
      </c>
    </row>
    <row r="23" spans="1:6" ht="15.75" thickBot="1">
      <c r="A23" s="160" t="s">
        <v>148</v>
      </c>
      <c r="B23" s="161">
        <v>2007</v>
      </c>
      <c r="C23" s="162">
        <v>5056</v>
      </c>
      <c r="D23" s="162">
        <v>5215</v>
      </c>
      <c r="E23" s="161">
        <v>-159</v>
      </c>
      <c r="F23" s="161" t="s">
        <v>98</v>
      </c>
    </row>
    <row r="24" spans="1:6" ht="15.75" thickBot="1">
      <c r="A24" s="160" t="s">
        <v>148</v>
      </c>
      <c r="B24" s="161">
        <v>2008</v>
      </c>
      <c r="C24" s="162">
        <v>5440</v>
      </c>
      <c r="D24" s="162">
        <v>5408</v>
      </c>
      <c r="E24" s="161">
        <v>32</v>
      </c>
      <c r="F24" s="161" t="s">
        <v>126</v>
      </c>
    </row>
    <row r="25" spans="1:6" ht="15.75" thickBot="1">
      <c r="A25" s="160" t="s">
        <v>148</v>
      </c>
      <c r="B25" s="161">
        <v>2009</v>
      </c>
      <c r="C25" s="162">
        <v>5475</v>
      </c>
      <c r="D25" s="162">
        <v>5485</v>
      </c>
      <c r="E25" s="161">
        <v>-10</v>
      </c>
      <c r="F25" s="161" t="s">
        <v>127</v>
      </c>
    </row>
    <row r="26" spans="1:6" ht="15.75" thickBot="1">
      <c r="A26" s="160" t="s">
        <v>148</v>
      </c>
      <c r="B26" s="161">
        <v>2010</v>
      </c>
      <c r="C26" s="162">
        <v>5552</v>
      </c>
      <c r="D26" s="162">
        <v>5610</v>
      </c>
      <c r="E26" s="161">
        <v>-58</v>
      </c>
      <c r="F26" s="161" t="s">
        <v>156</v>
      </c>
    </row>
    <row r="27" spans="1:6" ht="15.75" thickBot="1">
      <c r="A27" s="160" t="s">
        <v>148</v>
      </c>
      <c r="B27" s="161">
        <v>2011</v>
      </c>
      <c r="C27" s="162">
        <v>5560</v>
      </c>
      <c r="D27" s="162">
        <v>5501</v>
      </c>
      <c r="E27" s="161">
        <v>59</v>
      </c>
      <c r="F27" s="161" t="s">
        <v>199</v>
      </c>
    </row>
    <row r="28" spans="1:6" ht="15.75" thickBot="1">
      <c r="A28" s="160" t="s">
        <v>148</v>
      </c>
      <c r="B28" s="161">
        <v>2012</v>
      </c>
      <c r="C28" s="162">
        <v>5606</v>
      </c>
      <c r="D28" s="162">
        <v>5545</v>
      </c>
      <c r="E28" s="161">
        <v>61</v>
      </c>
      <c r="F28" s="161" t="s">
        <v>200</v>
      </c>
    </row>
    <row r="29" spans="1:6" ht="15.75" thickBot="1">
      <c r="A29" s="160" t="s">
        <v>148</v>
      </c>
      <c r="B29" s="161">
        <v>2013</v>
      </c>
      <c r="C29" s="162">
        <v>5486</v>
      </c>
      <c r="D29" s="161"/>
      <c r="E29" s="163"/>
      <c r="F29" s="161" t="s">
        <v>201</v>
      </c>
    </row>
    <row r="30" spans="1:6" ht="15.75" thickBot="1">
      <c r="A30" s="160" t="s">
        <v>148</v>
      </c>
      <c r="B30" s="161">
        <v>2014</v>
      </c>
      <c r="C30" s="176">
        <v>5554</v>
      </c>
      <c r="D30" s="161"/>
      <c r="E30" s="163"/>
      <c r="F30" s="161" t="s">
        <v>202</v>
      </c>
    </row>
    <row r="31" spans="1:6" ht="15.75" thickBot="1">
      <c r="A31" s="160" t="s">
        <v>203</v>
      </c>
      <c r="B31" s="164">
        <v>2015</v>
      </c>
      <c r="C31" s="175">
        <v>5295</v>
      </c>
      <c r="D31" s="161"/>
      <c r="E31" s="163"/>
      <c r="F31" s="163"/>
    </row>
    <row r="32" spans="1:6">
      <c r="A32" s="157" t="s">
        <v>204</v>
      </c>
      <c r="B32"/>
      <c r="C32"/>
      <c r="D32"/>
      <c r="E32"/>
      <c r="F32"/>
    </row>
    <row r="33" spans="1:27">
      <c r="A33" s="157"/>
      <c r="B33"/>
      <c r="C33"/>
      <c r="D33"/>
      <c r="E33"/>
      <c r="F33"/>
    </row>
    <row r="34" spans="1:27" ht="15.75" thickBot="1">
      <c r="A34" s="2" t="s">
        <v>122</v>
      </c>
      <c r="B34" s="2" t="s">
        <v>205</v>
      </c>
      <c r="C34" s="2" t="s">
        <v>100</v>
      </c>
      <c r="D34" s="2" t="s">
        <v>206</v>
      </c>
      <c r="E34" s="157"/>
      <c r="F34"/>
    </row>
    <row r="35" spans="1:27">
      <c r="A35" s="165">
        <v>2015</v>
      </c>
      <c r="B35" s="166">
        <v>1</v>
      </c>
      <c r="C35" s="167">
        <v>1252</v>
      </c>
      <c r="D35" s="168"/>
      <c r="E35" s="168" t="s">
        <v>207</v>
      </c>
      <c r="F35"/>
    </row>
    <row r="36" spans="1:27">
      <c r="A36" s="169"/>
      <c r="B36" s="2">
        <v>2</v>
      </c>
      <c r="C36" s="170">
        <v>1358</v>
      </c>
      <c r="D36" s="171">
        <v>2610</v>
      </c>
      <c r="E36" s="172" t="s">
        <v>208</v>
      </c>
      <c r="F36"/>
    </row>
    <row r="37" spans="1:27">
      <c r="A37" s="169"/>
      <c r="B37" s="2">
        <v>3</v>
      </c>
      <c r="C37" s="170">
        <v>1361</v>
      </c>
      <c r="D37" s="171">
        <v>3971</v>
      </c>
      <c r="E37" s="172" t="s">
        <v>209</v>
      </c>
      <c r="F37"/>
    </row>
    <row r="38" spans="1:27" ht="15.75" thickBot="1">
      <c r="A38" s="160"/>
      <c r="B38" s="173">
        <v>4</v>
      </c>
      <c r="C38" s="174" t="s">
        <v>210</v>
      </c>
      <c r="D38" s="177">
        <v>5295</v>
      </c>
      <c r="E38" s="163" t="s">
        <v>211</v>
      </c>
      <c r="F38"/>
    </row>
    <row r="40" spans="1:27">
      <c r="A40" s="151" t="s">
        <v>293</v>
      </c>
    </row>
    <row r="41" spans="1:27">
      <c r="A41" s="148" t="s">
        <v>101</v>
      </c>
      <c r="B41" s="148">
        <v>2014</v>
      </c>
      <c r="C41" s="148">
        <v>2015</v>
      </c>
      <c r="D41" s="148">
        <v>2016</v>
      </c>
      <c r="E41" s="148">
        <v>2017</v>
      </c>
      <c r="F41" s="148">
        <v>2018</v>
      </c>
      <c r="G41" s="148">
        <v>2019</v>
      </c>
      <c r="H41" s="148">
        <v>2020</v>
      </c>
      <c r="I41" s="148">
        <v>2021</v>
      </c>
      <c r="J41" s="148">
        <v>2022</v>
      </c>
      <c r="K41" s="148">
        <v>2023</v>
      </c>
      <c r="L41" s="148">
        <v>2024</v>
      </c>
      <c r="M41" s="148">
        <v>2025</v>
      </c>
      <c r="N41" s="148">
        <v>2026</v>
      </c>
      <c r="O41" s="148">
        <v>2027</v>
      </c>
      <c r="P41" s="148">
        <v>2028</v>
      </c>
      <c r="Q41" s="148">
        <v>2029</v>
      </c>
      <c r="R41" s="148">
        <v>2030</v>
      </c>
      <c r="S41" s="148">
        <v>2031</v>
      </c>
      <c r="T41" s="148">
        <v>2032</v>
      </c>
      <c r="U41" s="148">
        <v>2033</v>
      </c>
      <c r="V41" s="148">
        <v>2034</v>
      </c>
      <c r="W41" s="148">
        <v>2035</v>
      </c>
      <c r="X41" s="148">
        <v>2036</v>
      </c>
      <c r="Y41" s="148">
        <v>2037</v>
      </c>
      <c r="Z41" s="148">
        <v>2038</v>
      </c>
      <c r="AA41" s="148">
        <v>2039</v>
      </c>
    </row>
    <row r="42" spans="1:27">
      <c r="A42" s="148" t="s">
        <v>190</v>
      </c>
      <c r="B42" s="148">
        <v>2019</v>
      </c>
      <c r="C42" s="148">
        <v>2020</v>
      </c>
      <c r="D42" s="148">
        <v>2021</v>
      </c>
      <c r="E42" s="148">
        <v>2022</v>
      </c>
      <c r="F42" s="148">
        <v>2023</v>
      </c>
      <c r="G42" s="148">
        <v>2024</v>
      </c>
      <c r="H42" s="148">
        <v>2025</v>
      </c>
      <c r="I42" s="148">
        <v>2026</v>
      </c>
      <c r="J42" s="148">
        <v>2027</v>
      </c>
      <c r="K42" s="148">
        <v>2028</v>
      </c>
      <c r="L42" s="148">
        <v>2029</v>
      </c>
      <c r="M42" s="148">
        <v>2030</v>
      </c>
      <c r="N42" s="148">
        <v>2031</v>
      </c>
      <c r="O42" s="148">
        <v>2032</v>
      </c>
      <c r="P42" s="148">
        <v>2033</v>
      </c>
      <c r="Q42" s="148">
        <v>2034</v>
      </c>
      <c r="R42" s="148">
        <v>2035</v>
      </c>
      <c r="S42" s="148">
        <v>2036</v>
      </c>
      <c r="T42" s="148">
        <v>2037</v>
      </c>
      <c r="U42" s="148">
        <v>2038</v>
      </c>
      <c r="V42" s="148">
        <v>2039</v>
      </c>
      <c r="W42" s="148">
        <v>2040</v>
      </c>
      <c r="X42" s="148">
        <v>2041</v>
      </c>
      <c r="Y42" s="148">
        <v>2042</v>
      </c>
      <c r="Z42" s="148">
        <v>2043</v>
      </c>
      <c r="AA42" s="148">
        <v>2044</v>
      </c>
    </row>
    <row r="43" spans="1:27">
      <c r="B43" s="156">
        <v>5554</v>
      </c>
      <c r="C43" s="155">
        <v>5295</v>
      </c>
      <c r="D43" s="150">
        <v>5404</v>
      </c>
      <c r="E43" s="150">
        <v>5401</v>
      </c>
      <c r="F43" s="150">
        <v>5460</v>
      </c>
      <c r="G43" s="150">
        <v>5538</v>
      </c>
      <c r="H43" s="150">
        <v>5605</v>
      </c>
      <c r="I43" s="150">
        <v>5658</v>
      </c>
      <c r="J43" s="150">
        <v>5699</v>
      </c>
      <c r="K43" s="150">
        <v>5727</v>
      </c>
      <c r="L43" s="150">
        <v>5743</v>
      </c>
      <c r="M43" s="266">
        <v>5761</v>
      </c>
      <c r="N43" s="150">
        <v>5762</v>
      </c>
      <c r="O43" s="150">
        <v>5760</v>
      </c>
      <c r="P43" s="150">
        <v>5751</v>
      </c>
      <c r="Q43" s="150">
        <v>5738</v>
      </c>
      <c r="R43" s="150">
        <v>5724</v>
      </c>
      <c r="S43" s="150">
        <v>5709</v>
      </c>
      <c r="T43" s="150">
        <v>5705</v>
      </c>
      <c r="U43" s="150">
        <v>5705</v>
      </c>
      <c r="V43" s="150">
        <v>5704</v>
      </c>
      <c r="W43" s="150">
        <v>5705</v>
      </c>
      <c r="X43" s="150">
        <v>5712</v>
      </c>
      <c r="Y43" s="150">
        <v>5727</v>
      </c>
      <c r="Z43" s="150">
        <v>5743</v>
      </c>
      <c r="AA43" s="150">
        <v>5764</v>
      </c>
    </row>
    <row r="44" spans="1:27">
      <c r="C44" s="154">
        <f t="shared" ref="C44" si="2">(C43-B43)/B43</f>
        <v>-4.6633057256031687E-2</v>
      </c>
      <c r="D44" s="153">
        <f t="shared" ref="D44" si="3">(D43-C43)/C43</f>
        <v>2.0585457979225685E-2</v>
      </c>
      <c r="E44" s="152">
        <f t="shared" ref="E44" si="4">(E43-D43)/D43</f>
        <v>-5.5514433752775719E-4</v>
      </c>
      <c r="F44" s="152">
        <f t="shared" ref="F44" si="5">(F43-E43)/E43</f>
        <v>1.0923902980929457E-2</v>
      </c>
      <c r="G44" s="152">
        <f t="shared" ref="G44" si="6">(G43-F43)/F43</f>
        <v>1.4285714285714285E-2</v>
      </c>
      <c r="H44" s="152">
        <f t="shared" ref="H44" si="7">(H43-G43)/G43</f>
        <v>1.2098230408089564E-2</v>
      </c>
      <c r="I44" s="152">
        <f t="shared" ref="I44" si="8">(I43-H43)/H43</f>
        <v>9.455842997323818E-3</v>
      </c>
      <c r="J44" s="152">
        <f t="shared" ref="J44" si="9">(J43-I43)/I43</f>
        <v>7.246376811594203E-3</v>
      </c>
      <c r="K44" s="152">
        <f t="shared" ref="K44" si="10">(K43-J43)/J43</f>
        <v>4.9131426566064226E-3</v>
      </c>
      <c r="L44" s="152">
        <f t="shared" ref="L44" si="11">(L43-K43)/K43</f>
        <v>2.7937838309760781E-3</v>
      </c>
      <c r="M44" s="152">
        <f t="shared" ref="M44" si="12">(M43-L43)/L43</f>
        <v>3.1342503917812991E-3</v>
      </c>
      <c r="N44" s="152">
        <f t="shared" ref="N44" si="13">(N43-M43)/M43</f>
        <v>1.7358097552508245E-4</v>
      </c>
      <c r="O44" s="152">
        <f t="shared" ref="O44" si="14">(O43-N43)/N43</f>
        <v>-3.4710170079833391E-4</v>
      </c>
      <c r="P44" s="152">
        <f t="shared" ref="P44" si="15">(P43-O43)/O43</f>
        <v>-1.5625000000000001E-3</v>
      </c>
      <c r="Q44" s="152">
        <f t="shared" ref="Q44" si="16">(Q43-P43)/P43</f>
        <v>-2.2604764388801948E-3</v>
      </c>
      <c r="R44" s="152">
        <f t="shared" ref="R44" si="17">(R43-Q43)/Q43</f>
        <v>-2.4398745207389336E-3</v>
      </c>
      <c r="S44" s="152">
        <f t="shared" ref="S44" si="18">(S43-R43)/R43</f>
        <v>-2.6205450733752622E-3</v>
      </c>
      <c r="T44" s="152">
        <f t="shared" ref="T44" si="19">(T43-S43)/S43</f>
        <v>-7.0064809949203018E-4</v>
      </c>
      <c r="U44" s="152">
        <f t="shared" ref="U44" si="20">(U43-T43)/T43</f>
        <v>0</v>
      </c>
      <c r="V44" s="152">
        <f t="shared" ref="V44" si="21">(V43-U43)/U43</f>
        <v>-1.7528483786152498E-4</v>
      </c>
      <c r="W44" s="152">
        <f t="shared" ref="W44" si="22">(W43-V43)/V43</f>
        <v>1.7531556802244039E-4</v>
      </c>
      <c r="X44" s="152">
        <f t="shared" ref="X44" si="23">(X43-W43)/W43</f>
        <v>1.2269938650306749E-3</v>
      </c>
      <c r="Y44" s="152">
        <f t="shared" ref="Y44" si="24">(Y43-X43)/X43</f>
        <v>2.6260504201680674E-3</v>
      </c>
      <c r="Z44" s="152">
        <f t="shared" ref="Z44" si="25">(Z43-Y43)/Y43</f>
        <v>2.7937838309760781E-3</v>
      </c>
      <c r="AA44" s="152">
        <f t="shared" ref="AA44" si="26">(AA43-Z43)/Z43</f>
        <v>3.6566254570781823E-3</v>
      </c>
    </row>
    <row r="45" spans="1:27">
      <c r="D45" s="148">
        <v>1.87</v>
      </c>
      <c r="E45" s="152"/>
    </row>
    <row r="46" spans="1:27">
      <c r="C46" s="149">
        <f>C44</f>
        <v>-4.6633057256031687E-2</v>
      </c>
      <c r="D46" s="149">
        <f>D39</f>
        <v>0</v>
      </c>
      <c r="E46" s="149">
        <f t="shared" ref="E46:M46" si="27">E44</f>
        <v>-5.5514433752775719E-4</v>
      </c>
      <c r="F46" s="149">
        <f t="shared" si="27"/>
        <v>1.0923902980929457E-2</v>
      </c>
      <c r="G46" s="149">
        <f t="shared" si="27"/>
        <v>1.4285714285714285E-2</v>
      </c>
      <c r="H46" s="149">
        <f t="shared" si="27"/>
        <v>1.2098230408089564E-2</v>
      </c>
      <c r="I46" s="149">
        <f t="shared" si="27"/>
        <v>9.455842997323818E-3</v>
      </c>
      <c r="J46" s="149">
        <f t="shared" si="27"/>
        <v>7.246376811594203E-3</v>
      </c>
      <c r="K46" s="149">
        <f t="shared" si="27"/>
        <v>4.9131426566064226E-3</v>
      </c>
      <c r="L46" s="149">
        <f t="shared" si="27"/>
        <v>2.7937838309760781E-3</v>
      </c>
      <c r="M46" s="149">
        <f t="shared" si="27"/>
        <v>3.1342503917812991E-3</v>
      </c>
    </row>
  </sheetData>
  <mergeCells count="1">
    <mergeCell ref="A21:B21"/>
  </mergeCells>
  <hyperlinks>
    <hyperlink ref="D7" r:id="rId1" display="* Source: Projected births (2012-based), by Council and NHS Board areas, 2012-2037"/>
  </hyperlinks>
  <pageMargins left="0.7" right="0.7" top="0.75" bottom="0.75" header="0.3" footer="0.3"/>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8"/>
  <dimension ref="A1:BZ119"/>
  <sheetViews>
    <sheetView zoomScale="70" zoomScaleNormal="70" workbookViewId="0">
      <pane xSplit="1" ySplit="3" topLeftCell="AG4" activePane="bottomRight" state="frozen"/>
      <selection pane="topRight" activeCell="B1" sqref="B1"/>
      <selection pane="bottomLeft" activeCell="A3" sqref="A3"/>
      <selection pane="bottomRight" activeCell="A81" sqref="A81:XFD81"/>
    </sheetView>
  </sheetViews>
  <sheetFormatPr defaultRowHeight="12.75"/>
  <cols>
    <col min="1" max="1" width="32.140625" style="178" bestFit="1" customWidth="1"/>
    <col min="2" max="2" width="9.28515625" style="178" customWidth="1"/>
    <col min="3" max="3" width="8.5703125" style="178" customWidth="1"/>
    <col min="4" max="22" width="9.140625" style="192"/>
    <col min="23" max="24" width="9.140625" style="178"/>
    <col min="25" max="25" width="9.140625" style="192"/>
    <col min="26" max="27" width="9.140625" style="178"/>
    <col min="28" max="28" width="9.28515625" style="178" customWidth="1"/>
    <col min="29" max="41" width="9.140625" style="178"/>
    <col min="42" max="43" width="9.140625" style="183"/>
    <col min="44" max="44" width="9.140625" style="180"/>
    <col min="45" max="46" width="9.140625" style="178"/>
    <col min="47" max="47" width="9.28515625" style="178" customWidth="1"/>
    <col min="48" max="58" width="9.140625" style="178"/>
    <col min="59" max="59" width="9.140625" style="192"/>
    <col min="60" max="61" width="9.140625" style="178"/>
    <col min="62" max="62" width="9.28515625" style="178" customWidth="1"/>
    <col min="63" max="16384" width="9.140625" style="178"/>
  </cols>
  <sheetData>
    <row r="1" spans="1:78">
      <c r="B1" s="299" t="s">
        <v>213</v>
      </c>
      <c r="E1" s="180"/>
      <c r="F1" s="180"/>
      <c r="G1" s="180"/>
      <c r="H1" s="180"/>
      <c r="I1" s="180"/>
      <c r="K1" s="241" t="s">
        <v>214</v>
      </c>
      <c r="L1" s="180"/>
      <c r="M1" s="180"/>
      <c r="N1" s="180"/>
      <c r="O1" s="180"/>
      <c r="P1" s="180"/>
      <c r="Q1" s="180"/>
      <c r="R1" s="180"/>
      <c r="S1" s="180"/>
      <c r="T1" s="180"/>
      <c r="U1" s="299" t="s">
        <v>290</v>
      </c>
      <c r="V1" s="180"/>
      <c r="X1" s="183"/>
      <c r="Y1" s="180"/>
      <c r="Z1" s="299" t="s">
        <v>216</v>
      </c>
      <c r="AA1" s="183"/>
      <c r="AB1" s="184"/>
      <c r="AN1" s="182" t="s">
        <v>394</v>
      </c>
      <c r="AO1" s="183"/>
      <c r="AP1" s="363"/>
      <c r="AR1" s="181"/>
      <c r="AS1" s="299" t="s">
        <v>217</v>
      </c>
      <c r="AT1" s="183"/>
      <c r="AU1" s="184"/>
      <c r="BB1" s="183"/>
      <c r="BC1" s="183"/>
      <c r="BD1" s="183"/>
      <c r="BE1" s="183"/>
      <c r="BF1" s="184"/>
      <c r="BG1" s="179" t="s">
        <v>286</v>
      </c>
      <c r="BH1" s="183"/>
      <c r="BI1" s="183"/>
      <c r="BJ1" s="184"/>
      <c r="BQ1" s="183"/>
      <c r="BR1" s="183"/>
      <c r="BS1" s="183"/>
      <c r="BT1" s="183"/>
      <c r="BU1" s="183"/>
      <c r="BV1" s="179" t="s">
        <v>395</v>
      </c>
      <c r="BW1" s="180"/>
      <c r="BY1" s="183"/>
      <c r="BZ1" s="180"/>
    </row>
    <row r="2" spans="1:78" ht="15">
      <c r="D2" s="180"/>
      <c r="E2" s="180"/>
      <c r="F2" s="180"/>
      <c r="G2" s="180"/>
      <c r="H2" s="180"/>
      <c r="I2" s="180"/>
      <c r="J2" s="242"/>
      <c r="K2" s="199">
        <v>1.0923902980929457E-2</v>
      </c>
      <c r="L2" s="309">
        <v>1.4285714285714285E-2</v>
      </c>
      <c r="M2" s="309">
        <v>1.2098230408089564E-2</v>
      </c>
      <c r="N2" s="309">
        <v>9.455842997323818E-3</v>
      </c>
      <c r="O2" s="309">
        <v>7.246376811594203E-3</v>
      </c>
      <c r="P2" s="309">
        <v>4.9131426566064226E-3</v>
      </c>
      <c r="Q2" s="309">
        <v>2.7937838309760781E-3</v>
      </c>
      <c r="R2" s="309">
        <v>3.1342503917812991E-3</v>
      </c>
      <c r="S2" s="309">
        <v>1.7358097552508245E-4</v>
      </c>
      <c r="T2" s="309">
        <v>-3.4710170079833391E-4</v>
      </c>
      <c r="U2" s="330"/>
      <c r="V2" s="331"/>
      <c r="W2" s="183"/>
      <c r="X2" s="183"/>
      <c r="Y2" s="299"/>
      <c r="Z2" s="298"/>
      <c r="AA2" s="298"/>
      <c r="AB2" s="298"/>
      <c r="AC2" s="183"/>
      <c r="AN2" s="200"/>
      <c r="AO2" s="183"/>
      <c r="AR2" s="241"/>
      <c r="AS2" s="183"/>
      <c r="AT2" s="183"/>
      <c r="AU2" s="183"/>
      <c r="AV2" s="183"/>
      <c r="BB2" s="183"/>
      <c r="BC2" s="183"/>
      <c r="BD2" s="183"/>
      <c r="BE2" s="183"/>
      <c r="BF2" s="184"/>
      <c r="BG2" s="179"/>
      <c r="BH2" s="183"/>
      <c r="BI2" s="183"/>
      <c r="BJ2" s="183"/>
      <c r="BK2" s="183"/>
      <c r="BN2" s="264"/>
      <c r="BO2" s="264"/>
      <c r="BP2" s="264"/>
      <c r="BQ2" s="290"/>
      <c r="BR2" s="290"/>
      <c r="BS2" s="290"/>
      <c r="BT2" s="290"/>
      <c r="BU2" s="290"/>
      <c r="BV2" s="330"/>
      <c r="BW2" s="331"/>
      <c r="BX2" s="183"/>
      <c r="BY2" s="183"/>
      <c r="BZ2" s="299"/>
    </row>
    <row r="3" spans="1:78">
      <c r="A3" s="185" t="s">
        <v>0</v>
      </c>
      <c r="B3" s="328">
        <v>2009</v>
      </c>
      <c r="C3" s="329">
        <v>2010</v>
      </c>
      <c r="D3" s="186">
        <v>2011</v>
      </c>
      <c r="E3" s="187">
        <v>2012</v>
      </c>
      <c r="F3" s="300">
        <v>2013</v>
      </c>
      <c r="G3" s="196">
        <v>2014</v>
      </c>
      <c r="H3" s="196">
        <v>2015</v>
      </c>
      <c r="I3" s="196">
        <v>2016</v>
      </c>
      <c r="J3" s="198">
        <v>2017</v>
      </c>
      <c r="K3" s="188">
        <v>2018</v>
      </c>
      <c r="L3" s="188">
        <v>2019</v>
      </c>
      <c r="M3" s="188">
        <v>2020</v>
      </c>
      <c r="N3" s="188">
        <v>2021</v>
      </c>
      <c r="O3" s="188">
        <v>2022</v>
      </c>
      <c r="P3" s="188">
        <v>2023</v>
      </c>
      <c r="Q3" s="188">
        <v>2024</v>
      </c>
      <c r="R3" s="188">
        <v>2025</v>
      </c>
      <c r="S3" s="188">
        <v>2026</v>
      </c>
      <c r="T3" s="188">
        <v>2027</v>
      </c>
      <c r="U3" s="361">
        <v>2014</v>
      </c>
      <c r="V3" s="329">
        <v>2015</v>
      </c>
      <c r="W3" s="186">
        <v>2016</v>
      </c>
      <c r="X3" s="187">
        <v>2017</v>
      </c>
      <c r="Y3" s="300">
        <v>2018</v>
      </c>
      <c r="Z3" s="197">
        <v>2019</v>
      </c>
      <c r="AA3" s="196">
        <v>2020</v>
      </c>
      <c r="AB3" s="196">
        <v>2021</v>
      </c>
      <c r="AC3" s="196">
        <v>2022</v>
      </c>
      <c r="AD3" s="188">
        <v>2023</v>
      </c>
      <c r="AE3" s="188">
        <v>2024</v>
      </c>
      <c r="AF3" s="188">
        <v>2025</v>
      </c>
      <c r="AG3" s="188">
        <v>2026</v>
      </c>
      <c r="AH3" s="188">
        <v>2027</v>
      </c>
      <c r="AI3" s="188">
        <v>2028</v>
      </c>
      <c r="AJ3" s="188">
        <v>2029</v>
      </c>
      <c r="AK3" s="188">
        <v>2030</v>
      </c>
      <c r="AL3" s="188">
        <v>2031</v>
      </c>
      <c r="AM3" s="188">
        <v>2032</v>
      </c>
      <c r="AN3" s="361">
        <v>2014</v>
      </c>
      <c r="AO3" s="329">
        <v>2015</v>
      </c>
      <c r="AP3" s="186">
        <v>2016</v>
      </c>
      <c r="AQ3" s="187">
        <v>2017</v>
      </c>
      <c r="AR3" s="302">
        <v>2018</v>
      </c>
      <c r="AS3" s="196">
        <v>2019</v>
      </c>
      <c r="AT3" s="196">
        <v>2020</v>
      </c>
      <c r="AU3" s="196">
        <v>2021</v>
      </c>
      <c r="AV3" s="196">
        <v>2022</v>
      </c>
      <c r="AW3" s="188">
        <v>2023</v>
      </c>
      <c r="AX3" s="188">
        <v>2024</v>
      </c>
      <c r="AY3" s="188">
        <v>2025</v>
      </c>
      <c r="AZ3" s="188">
        <v>2026</v>
      </c>
      <c r="BA3" s="188">
        <v>2027</v>
      </c>
      <c r="BB3" s="188">
        <v>2028</v>
      </c>
      <c r="BC3" s="188">
        <v>2029</v>
      </c>
      <c r="BD3" s="188">
        <v>2030</v>
      </c>
      <c r="BE3" s="188">
        <v>2031</v>
      </c>
      <c r="BF3" s="189">
        <v>2032</v>
      </c>
      <c r="BG3" s="197">
        <v>2018</v>
      </c>
      <c r="BH3" s="196">
        <v>2019</v>
      </c>
      <c r="BI3" s="196">
        <v>2020</v>
      </c>
      <c r="BJ3" s="196">
        <v>2021</v>
      </c>
      <c r="BK3" s="196">
        <v>2022</v>
      </c>
      <c r="BL3" s="188">
        <v>2023</v>
      </c>
      <c r="BM3" s="188">
        <v>2024</v>
      </c>
      <c r="BN3" s="188">
        <v>2025</v>
      </c>
      <c r="BO3" s="188">
        <v>2026</v>
      </c>
      <c r="BP3" s="188">
        <v>2027</v>
      </c>
      <c r="BQ3" s="188">
        <v>2028</v>
      </c>
      <c r="BR3" s="188">
        <v>2029</v>
      </c>
      <c r="BS3" s="188">
        <v>2030</v>
      </c>
      <c r="BT3" s="188">
        <v>2031</v>
      </c>
      <c r="BU3" s="188">
        <v>2032</v>
      </c>
      <c r="BV3" s="361">
        <v>2014</v>
      </c>
      <c r="BW3" s="329">
        <v>2015</v>
      </c>
      <c r="BX3" s="186">
        <v>2016</v>
      </c>
      <c r="BY3" s="187">
        <v>2017</v>
      </c>
      <c r="BZ3" s="300">
        <v>2018</v>
      </c>
    </row>
    <row r="4" spans="1:78">
      <c r="A4" s="178" t="s">
        <v>9</v>
      </c>
      <c r="B4" s="190">
        <f>'Catchment Births'!O4</f>
        <v>79</v>
      </c>
      <c r="C4" s="190">
        <f>'Catchment Births'!P4</f>
        <v>65</v>
      </c>
      <c r="D4" s="190">
        <f>'Catchment Births'!Q4</f>
        <v>76</v>
      </c>
      <c r="E4" s="190">
        <f>'Catchment Births'!R4</f>
        <v>89</v>
      </c>
      <c r="F4" s="190">
        <f>'Catchment Births'!S4</f>
        <v>77</v>
      </c>
      <c r="G4" s="190">
        <f>'Catchment Births'!T4</f>
        <v>71</v>
      </c>
      <c r="H4" s="190">
        <f>'Catchment Births'!U4</f>
        <v>68</v>
      </c>
      <c r="I4" s="190">
        <f>'Catchment Births'!V4</f>
        <v>75</v>
      </c>
      <c r="J4" s="195">
        <f>'Catchment Births'!W4</f>
        <v>58</v>
      </c>
      <c r="K4" s="190">
        <f>(AVERAGE(H4:J4))+($K$2*(AVERAGE(H4:J4)))</f>
        <v>67.731901499722269</v>
      </c>
      <c r="L4" s="190">
        <f t="shared" ref="L4:L35" si="0">K4+($L$2*K4)</f>
        <v>68.699500092575448</v>
      </c>
      <c r="M4" s="190">
        <f t="shared" ref="M4:M35" si="1">L4+($M$2*L4)</f>
        <v>69.530642473615998</v>
      </c>
      <c r="N4" s="190">
        <f t="shared" ref="N4:N35" si="2">M4+($N$2*M4)</f>
        <v>70.188113312349572</v>
      </c>
      <c r="O4" s="190">
        <f t="shared" ref="O4:O35" si="3">N4+($O$2*N4)</f>
        <v>70.696722829105724</v>
      </c>
      <c r="P4" s="190">
        <f t="shared" ref="P4:P35" si="4">O4+($P$2*O4)</f>
        <v>71.044065913719677</v>
      </c>
      <c r="Q4" s="190">
        <f t="shared" ref="Q4:Q35" si="5">P4+($Q$2*P4)</f>
        <v>71.242547676356224</v>
      </c>
      <c r="R4" s="190">
        <f t="shared" ref="R4:R35" si="6">Q4+($R$2*Q4)</f>
        <v>71.465839659322342</v>
      </c>
      <c r="S4" s="190">
        <f t="shared" ref="S4:S35" si="7">R4+($S$2*R4)</f>
        <v>71.478244769487119</v>
      </c>
      <c r="T4" s="195">
        <f t="shared" ref="T4:T35" si="8">S4+($T$2*S4)</f>
        <v>71.453434549157549</v>
      </c>
      <c r="U4" s="190">
        <f>'All P1 In Catchment'!G3</f>
        <v>27</v>
      </c>
      <c r="V4" s="180">
        <f>'All P1 In Catchment'!I3</f>
        <v>36</v>
      </c>
      <c r="W4" s="180">
        <f>'All P1 In Catchment'!K3</f>
        <v>24</v>
      </c>
      <c r="X4" s="180">
        <f>'All P1 In Catchment'!M3</f>
        <v>22</v>
      </c>
      <c r="Y4" s="180">
        <f>'All P1 In Catchment'!O3</f>
        <v>18</v>
      </c>
      <c r="Z4" s="191">
        <f t="shared" ref="Z4:Z35" si="9">ROUND((G4*(AVERAGE((U4/B4),(V4/C4),(W4/D4),(X4/E4),(Y4/F4)))),0)</f>
        <v>24</v>
      </c>
      <c r="AA4" s="180">
        <f t="shared" ref="AA4:AA35" si="10">ROUND((H4*(AVERAGE((U4/B4),(V4/C4),(W4/D4),(X4/E4),(Y4/F4)))),0)</f>
        <v>23</v>
      </c>
      <c r="AB4" s="180">
        <f t="shared" ref="AB4:AB11" si="11">ROUND((I4*(AVERAGE((U4/B4),(V4/C4),(W4/D4),(X4/E4),(Y4/F4)))),0)</f>
        <v>25</v>
      </c>
      <c r="AC4" s="180">
        <f t="shared" ref="AC4:AC11" si="12">ROUND((J4*(AVERAGE((U4/B4),(V4/C4),(W4/D4),(X4/E4),(Y4/F4)))),0)</f>
        <v>20</v>
      </c>
      <c r="AD4" s="180">
        <f t="shared" ref="AD4:AD11" si="13">ROUND((K4*(AVERAGE((U4/B4),(V4/C4),(W4/D4),(X4/E4),(Y4/F4)))),0)</f>
        <v>23</v>
      </c>
      <c r="AE4" s="180">
        <f t="shared" ref="AE4:AE11" si="14">ROUND((L4*(AVERAGE((U4/B4),(V4/C4),(W4/D4),(X4/E4),(Y4/F4)))),0)</f>
        <v>23</v>
      </c>
      <c r="AF4" s="180">
        <f t="shared" ref="AF4:AF11" si="15">ROUND((M4*(AVERAGE((U4/B4),(V4/C4),(W4/D4),(X4/E4),(Y4/F4)))),0)</f>
        <v>24</v>
      </c>
      <c r="AG4" s="180">
        <f t="shared" ref="AG4:AG11" si="16">ROUND((N4*(AVERAGE((U4/B4),(V4/C4),(W4/D4),(X4/E4),(Y4/F4)))),0)</f>
        <v>24</v>
      </c>
      <c r="AH4" s="180">
        <f t="shared" ref="AH4:AH11" si="17">ROUND((O4*(AVERAGE((U4/B4),(V4/C4),(W4/D4),(X4/E4),(Y4/F4)))),0)</f>
        <v>24</v>
      </c>
      <c r="AI4" s="180">
        <f t="shared" ref="AI4:AI11" si="18">ROUND((P4*(AVERAGE((U4/B4),(V4/C4),(W4/D4),(X4/E4),(Y4/F4)))),0)</f>
        <v>24</v>
      </c>
      <c r="AJ4" s="180">
        <f t="shared" ref="AJ4:AJ11" si="19">ROUND((Q4*(AVERAGE((U4/B4),(V4/C4),(W4/D4),(X4/E4),(Y4/F4)))),0)</f>
        <v>24</v>
      </c>
      <c r="AK4" s="180">
        <f t="shared" ref="AK4:AK11" si="20">ROUND((R4*(AVERAGE((U4/B4),(V4/C4),(W4/D4),(X4/E4),(Y4/F4)))),0)</f>
        <v>24</v>
      </c>
      <c r="AL4" s="180">
        <f t="shared" ref="AL4:AL11" si="21">ROUND((S4*(AVERAGE((U4/B4),(V4/C4),(W4/D4),(X4/E4),(Y4/F4)))),0)</f>
        <v>24</v>
      </c>
      <c r="AM4" s="181">
        <f t="shared" ref="AM4:AM11" si="22">ROUND((T4*(AVERAGE((U4/B4),(V4/C4),(W4/D4),(X4/E4),(Y4/F4)))),0)</f>
        <v>24</v>
      </c>
      <c r="AN4" s="180">
        <f>'All P1 In Catchment'!F3</f>
        <v>24</v>
      </c>
      <c r="AO4" s="180">
        <f>'All P1 In Catchment'!H3</f>
        <v>32</v>
      </c>
      <c r="AP4" s="180">
        <f>'All P1 In Catchment'!J3</f>
        <v>19</v>
      </c>
      <c r="AQ4" s="180">
        <f>'All P1 In Catchment'!L3</f>
        <v>21</v>
      </c>
      <c r="AR4" s="181">
        <f>'All P1 In Catchment'!N3</f>
        <v>14</v>
      </c>
      <c r="AS4" s="180">
        <f t="shared" ref="AS4:AS35" si="23">ROUND((Z4*(AVERAGE((AP4/W4),(AQ4/X4),(AR4/Y4)))),0)</f>
        <v>20</v>
      </c>
      <c r="AT4" s="180">
        <f t="shared" ref="AT4:AT35" si="24">ROUND((AA4*(AVERAGE((AP4/W4),(AQ4/X4),(AR4/Y4)))),0)</f>
        <v>19</v>
      </c>
      <c r="AU4" s="180">
        <f t="shared" ref="AU4:AU35" si="25">ROUND((AB4*(AVERAGE((AP4/W4),(AQ4/X4),(AR4/Y4)))),0)</f>
        <v>21</v>
      </c>
      <c r="AV4" s="180">
        <f t="shared" ref="AV4:AV35" si="26">ROUND((AC4*(AVERAGE((AP4/W4),(AQ4/X4),(AR4/Y4)))),0)</f>
        <v>17</v>
      </c>
      <c r="AW4" s="180">
        <f t="shared" ref="AW4:AW35" si="27">ROUND((AD4*(AVERAGE((AP4/W4),(AQ4/X4),(AR4/Y4)))),0)</f>
        <v>19</v>
      </c>
      <c r="AX4" s="180">
        <f t="shared" ref="AX4:AX35" si="28">ROUND((AE4*(AVERAGE((AP4/W4),(AQ4/X4),(AR4/Y4)))),0)</f>
        <v>19</v>
      </c>
      <c r="AY4" s="180">
        <f t="shared" ref="AY4:AY35" si="29">ROUND((AF4*(AVERAGE((AP4/W4),(AQ4/X4),(AR4/Y4)))),0)</f>
        <v>20</v>
      </c>
      <c r="AZ4" s="180">
        <f t="shared" ref="AZ4:AZ35" si="30">ROUND((AG4*(AVERAGE((AP4/W4),(AQ4/X4),(AR4/Y4)))),0)</f>
        <v>20</v>
      </c>
      <c r="BA4" s="180">
        <f t="shared" ref="BA4:BA35" si="31">ROUND((AH4*(AVERAGE((AP4/W4),(AQ4/X4),(AR4/Y4)))),0)</f>
        <v>20</v>
      </c>
      <c r="BB4" s="180">
        <f t="shared" ref="BB4:BB35" si="32">ROUND((AI4*(AVERAGE((AP4/W4),(AQ4/X4),(AR4/Y4)))),0)</f>
        <v>20</v>
      </c>
      <c r="BC4" s="180">
        <f t="shared" ref="BC4:BC35" si="33">ROUND((AJ4*(AVERAGE((AP4/W4),(AQ4/X4),(AR4/Y4)))),0)</f>
        <v>20</v>
      </c>
      <c r="BD4" s="180">
        <f t="shared" ref="BD4:BD35" si="34">ROUND((AK4*(AVERAGE((AP4/W4),(AQ4/X4),(AR4/Y4)))),0)</f>
        <v>20</v>
      </c>
      <c r="BE4" s="180">
        <f t="shared" ref="BE4:BE35" si="35">ROUND((AL4*(AVERAGE((AP4/W4),(AQ4/X4),(AR4/Y4)))),0)</f>
        <v>20</v>
      </c>
      <c r="BF4" s="180">
        <f t="shared" ref="BF4:BF35" si="36">ROUND((AM4*(AVERAGE((AP4/W4),(AQ4/X4),(AR4/Y4)))),0)</f>
        <v>20</v>
      </c>
      <c r="BG4" s="191">
        <f>AR4+'Housing Generation'!B3</f>
        <v>16</v>
      </c>
      <c r="BH4" s="180">
        <f>AS4+'Housing Generation'!J3</f>
        <v>21</v>
      </c>
      <c r="BI4" s="180">
        <f>AT4+'Housing Generation'!R3</f>
        <v>21</v>
      </c>
      <c r="BJ4" s="180">
        <f>AU4+'Housing Generation'!Z3</f>
        <v>24</v>
      </c>
      <c r="BK4" s="180">
        <f>AV4+'Housing Generation'!AH3</f>
        <v>21</v>
      </c>
      <c r="BL4" s="180">
        <f>AW4+'Housing Generation'!AP3</f>
        <v>23</v>
      </c>
      <c r="BM4" s="180">
        <f>AX4+'Housing Generation'!AX3</f>
        <v>23</v>
      </c>
      <c r="BN4" s="180">
        <f>AY4+'Housing Generation'!BF3</f>
        <v>24</v>
      </c>
      <c r="BO4" s="180">
        <f>AZ4+'Housing Generation'!BN3</f>
        <v>24</v>
      </c>
      <c r="BP4" s="180">
        <f>BA4+'Housing Generation'!BV3</f>
        <v>24</v>
      </c>
      <c r="BQ4" s="180">
        <f>BB4+'Housing Generation'!CD3</f>
        <v>24</v>
      </c>
      <c r="BR4" s="180">
        <f>BC4+'Housing Generation'!CL3</f>
        <v>24</v>
      </c>
      <c r="BS4" s="180">
        <f>BD4+'Housing Generation'!CT3</f>
        <v>24</v>
      </c>
      <c r="BT4" s="180">
        <f>BE4+'Housing Generation'!DB3</f>
        <v>24</v>
      </c>
      <c r="BU4" s="181">
        <f>BF4+'Housing Generation'!DJ3</f>
        <v>24</v>
      </c>
      <c r="BV4" s="192">
        <f>'P1 Retained'!D3</f>
        <v>21</v>
      </c>
      <c r="BW4" s="192">
        <f>'P1 Retained'!E3</f>
        <v>27</v>
      </c>
      <c r="BX4" s="192">
        <f>'P1 Retained'!F3</f>
        <v>15</v>
      </c>
      <c r="BY4" s="192">
        <f>'P1 Retained'!G3</f>
        <v>19</v>
      </c>
      <c r="BZ4" s="192">
        <f>'P1 Retained'!H3</f>
        <v>13</v>
      </c>
    </row>
    <row r="5" spans="1:78">
      <c r="A5" s="178" t="s">
        <v>10</v>
      </c>
      <c r="B5" s="190">
        <f>'Catchment Births'!O5</f>
        <v>109</v>
      </c>
      <c r="C5" s="190">
        <f>'Catchment Births'!P5</f>
        <v>140</v>
      </c>
      <c r="D5" s="190">
        <f>'Catchment Births'!Q5</f>
        <v>137</v>
      </c>
      <c r="E5" s="190">
        <f>'Catchment Births'!R5</f>
        <v>156</v>
      </c>
      <c r="F5" s="190">
        <f>'Catchment Births'!S5</f>
        <v>134</v>
      </c>
      <c r="G5" s="190">
        <f>'Catchment Births'!T5</f>
        <v>142</v>
      </c>
      <c r="H5" s="190">
        <f>'Catchment Births'!U5</f>
        <v>117</v>
      </c>
      <c r="I5" s="190">
        <f>'Catchment Births'!V5</f>
        <v>103</v>
      </c>
      <c r="J5" s="195">
        <f>'Catchment Births'!W5</f>
        <v>93</v>
      </c>
      <c r="K5" s="190">
        <f t="shared" ref="K5:K68" si="37">(AVERAGE(H5:J5))+($K$2*(AVERAGE(H5:J5)))</f>
        <v>105.47306054434364</v>
      </c>
      <c r="L5" s="190">
        <f t="shared" si="0"/>
        <v>106.97981855211998</v>
      </c>
      <c r="M5" s="190">
        <f t="shared" si="1"/>
        <v>108.27408504597915</v>
      </c>
      <c r="N5" s="190">
        <f t="shared" si="2"/>
        <v>109.29790779485282</v>
      </c>
      <c r="O5" s="190">
        <f t="shared" si="3"/>
        <v>110.08992161945321</v>
      </c>
      <c r="P5" s="190">
        <f t="shared" si="4"/>
        <v>110.63080910942421</v>
      </c>
      <c r="Q5" s="190">
        <f t="shared" si="5"/>
        <v>110.93988767512191</v>
      </c>
      <c r="R5" s="190">
        <f t="shared" si="6"/>
        <v>111.28760106153183</v>
      </c>
      <c r="S5" s="190">
        <f t="shared" si="7"/>
        <v>111.30691847188794</v>
      </c>
      <c r="T5" s="195">
        <f t="shared" si="8"/>
        <v>111.26828365117572</v>
      </c>
      <c r="U5" s="190">
        <f>'All P1 In Catchment'!G4</f>
        <v>88</v>
      </c>
      <c r="V5" s="190">
        <f>'All P1 In Catchment'!I4</f>
        <v>88</v>
      </c>
      <c r="W5" s="190">
        <f>'All P1 In Catchment'!K4</f>
        <v>89</v>
      </c>
      <c r="X5" s="180">
        <f>'All P1 In Catchment'!M4</f>
        <v>77</v>
      </c>
      <c r="Y5" s="180">
        <f>'All P1 In Catchment'!O4</f>
        <v>91</v>
      </c>
      <c r="Z5" s="191">
        <f t="shared" si="9"/>
        <v>93</v>
      </c>
      <c r="AA5" s="180">
        <f t="shared" si="10"/>
        <v>76</v>
      </c>
      <c r="AB5" s="180">
        <f t="shared" si="11"/>
        <v>67</v>
      </c>
      <c r="AC5" s="180">
        <f t="shared" si="12"/>
        <v>61</v>
      </c>
      <c r="AD5" s="180">
        <f t="shared" si="13"/>
        <v>69</v>
      </c>
      <c r="AE5" s="180">
        <f t="shared" si="14"/>
        <v>70</v>
      </c>
      <c r="AF5" s="180">
        <f t="shared" si="15"/>
        <v>71</v>
      </c>
      <c r="AG5" s="180">
        <f t="shared" si="16"/>
        <v>71</v>
      </c>
      <c r="AH5" s="180">
        <f t="shared" si="17"/>
        <v>72</v>
      </c>
      <c r="AI5" s="180">
        <f t="shared" si="18"/>
        <v>72</v>
      </c>
      <c r="AJ5" s="180">
        <f t="shared" si="19"/>
        <v>72</v>
      </c>
      <c r="AK5" s="180">
        <f t="shared" si="20"/>
        <v>73</v>
      </c>
      <c r="AL5" s="180">
        <f t="shared" si="21"/>
        <v>73</v>
      </c>
      <c r="AM5" s="181">
        <f t="shared" si="22"/>
        <v>73</v>
      </c>
      <c r="AN5" s="180">
        <f>'All P1 In Catchment'!F4</f>
        <v>73</v>
      </c>
      <c r="AO5" s="180">
        <f>'All P1 In Catchment'!H4</f>
        <v>70</v>
      </c>
      <c r="AP5" s="180">
        <f>'All P1 In Catchment'!J4</f>
        <v>67</v>
      </c>
      <c r="AQ5" s="180">
        <f>'All P1 In Catchment'!L4</f>
        <v>64</v>
      </c>
      <c r="AR5" s="181">
        <f>'All P1 In Catchment'!N4</f>
        <v>67</v>
      </c>
      <c r="AS5" s="180">
        <f t="shared" si="23"/>
        <v>72</v>
      </c>
      <c r="AT5" s="180">
        <f t="shared" si="24"/>
        <v>59</v>
      </c>
      <c r="AU5" s="180">
        <f t="shared" si="25"/>
        <v>52</v>
      </c>
      <c r="AV5" s="180">
        <f t="shared" si="26"/>
        <v>47</v>
      </c>
      <c r="AW5" s="180">
        <f t="shared" si="27"/>
        <v>53</v>
      </c>
      <c r="AX5" s="180">
        <f t="shared" si="28"/>
        <v>54</v>
      </c>
      <c r="AY5" s="180">
        <f t="shared" si="29"/>
        <v>55</v>
      </c>
      <c r="AZ5" s="180">
        <f t="shared" si="30"/>
        <v>55</v>
      </c>
      <c r="BA5" s="180">
        <f t="shared" si="31"/>
        <v>56</v>
      </c>
      <c r="BB5" s="180">
        <f t="shared" si="32"/>
        <v>56</v>
      </c>
      <c r="BC5" s="180">
        <f t="shared" si="33"/>
        <v>56</v>
      </c>
      <c r="BD5" s="180">
        <f t="shared" si="34"/>
        <v>56</v>
      </c>
      <c r="BE5" s="180">
        <f t="shared" si="35"/>
        <v>56</v>
      </c>
      <c r="BF5" s="180">
        <f t="shared" si="36"/>
        <v>56</v>
      </c>
      <c r="BG5" s="191">
        <f>AR5+'Housing Generation'!B4</f>
        <v>69</v>
      </c>
      <c r="BH5" s="180">
        <f>AS5+'Housing Generation'!J4</f>
        <v>72</v>
      </c>
      <c r="BI5" s="180">
        <f>AT5+'Housing Generation'!R4</f>
        <v>59</v>
      </c>
      <c r="BJ5" s="180">
        <f>AU5+'Housing Generation'!Z4</f>
        <v>52</v>
      </c>
      <c r="BK5" s="180">
        <f>AV5+'Housing Generation'!AH4</f>
        <v>47</v>
      </c>
      <c r="BL5" s="180">
        <f>AW5+'Housing Generation'!AP4</f>
        <v>54</v>
      </c>
      <c r="BM5" s="180">
        <f>AX5+'Housing Generation'!AX4</f>
        <v>56</v>
      </c>
      <c r="BN5" s="180">
        <f>AY5+'Housing Generation'!BF4</f>
        <v>57</v>
      </c>
      <c r="BO5" s="180">
        <f>AZ5+'Housing Generation'!BN4</f>
        <v>59</v>
      </c>
      <c r="BP5" s="180">
        <f>BA5+'Housing Generation'!BV4</f>
        <v>61</v>
      </c>
      <c r="BQ5" s="180">
        <f>BB5+'Housing Generation'!CD4</f>
        <v>61</v>
      </c>
      <c r="BR5" s="180">
        <f>BC5+'Housing Generation'!CL4</f>
        <v>62</v>
      </c>
      <c r="BS5" s="180">
        <f>BD5+'Housing Generation'!CT4</f>
        <v>62</v>
      </c>
      <c r="BT5" s="180">
        <f>BE5+'Housing Generation'!DB4</f>
        <v>62</v>
      </c>
      <c r="BU5" s="181">
        <f>BF5+'Housing Generation'!DJ4</f>
        <v>62</v>
      </c>
      <c r="BV5" s="180">
        <f>'P1 Retained'!D4</f>
        <v>50</v>
      </c>
      <c r="BW5" s="192">
        <f>'P1 Retained'!E4</f>
        <v>55</v>
      </c>
      <c r="BX5" s="192">
        <f>'P1 Retained'!F4</f>
        <v>48</v>
      </c>
      <c r="BY5" s="192">
        <f>'P1 Retained'!G4</f>
        <v>49</v>
      </c>
      <c r="BZ5" s="192">
        <f>'P1 Retained'!H4</f>
        <v>56</v>
      </c>
    </row>
    <row r="6" spans="1:78">
      <c r="A6" s="178" t="s">
        <v>11</v>
      </c>
      <c r="B6" s="190">
        <f>'Catchment Births'!O6</f>
        <v>45</v>
      </c>
      <c r="C6" s="190">
        <f>'Catchment Births'!P6</f>
        <v>49</v>
      </c>
      <c r="D6" s="190">
        <f>'Catchment Births'!Q6</f>
        <v>50</v>
      </c>
      <c r="E6" s="190">
        <f>'Catchment Births'!R6</f>
        <v>51</v>
      </c>
      <c r="F6" s="190">
        <f>'Catchment Births'!S6</f>
        <v>57</v>
      </c>
      <c r="G6" s="190">
        <f>'Catchment Births'!T6</f>
        <v>45</v>
      </c>
      <c r="H6" s="190">
        <f>'Catchment Births'!U6</f>
        <v>46</v>
      </c>
      <c r="I6" s="190">
        <f>'Catchment Births'!V6</f>
        <v>32</v>
      </c>
      <c r="J6" s="195">
        <f>'Catchment Births'!W6</f>
        <v>44</v>
      </c>
      <c r="K6" s="190">
        <f t="shared" si="37"/>
        <v>41.11090538789113</v>
      </c>
      <c r="L6" s="190">
        <f t="shared" si="0"/>
        <v>41.698204036289575</v>
      </c>
      <c r="M6" s="190">
        <f t="shared" si="1"/>
        <v>42.202678516324134</v>
      </c>
      <c r="N6" s="190">
        <f t="shared" si="2"/>
        <v>42.601740418441025</v>
      </c>
      <c r="O6" s="190">
        <f t="shared" si="3"/>
        <v>42.910448682342775</v>
      </c>
      <c r="P6" s="190">
        <f t="shared" si="4"/>
        <v>43.121273838178112</v>
      </c>
      <c r="Q6" s="190">
        <f t="shared" si="5"/>
        <v>43.241745355798308</v>
      </c>
      <c r="R6" s="190">
        <f t="shared" si="6"/>
        <v>43.377275813121024</v>
      </c>
      <c r="S6" s="190">
        <f t="shared" si="7"/>
        <v>43.384805282972287</v>
      </c>
      <c r="T6" s="195">
        <f t="shared" si="8"/>
        <v>43.36974634326976</v>
      </c>
      <c r="U6" s="190">
        <f>'All P1 In Catchment'!G5</f>
        <v>52</v>
      </c>
      <c r="V6" s="190">
        <f>'All P1 In Catchment'!I5</f>
        <v>57</v>
      </c>
      <c r="W6" s="190">
        <f>'All P1 In Catchment'!K5</f>
        <v>73</v>
      </c>
      <c r="X6" s="180">
        <f>'All P1 In Catchment'!M5</f>
        <v>65</v>
      </c>
      <c r="Y6" s="180">
        <f>'All P1 In Catchment'!O5</f>
        <v>67</v>
      </c>
      <c r="Z6" s="191">
        <f t="shared" si="9"/>
        <v>56</v>
      </c>
      <c r="AA6" s="180">
        <f t="shared" si="10"/>
        <v>57</v>
      </c>
      <c r="AB6" s="180">
        <f t="shared" si="11"/>
        <v>40</v>
      </c>
      <c r="AC6" s="180">
        <f t="shared" si="12"/>
        <v>55</v>
      </c>
      <c r="AD6" s="180">
        <f t="shared" si="13"/>
        <v>51</v>
      </c>
      <c r="AE6" s="180">
        <f t="shared" si="14"/>
        <v>52</v>
      </c>
      <c r="AF6" s="180">
        <f t="shared" si="15"/>
        <v>53</v>
      </c>
      <c r="AG6" s="180">
        <f t="shared" si="16"/>
        <v>53</v>
      </c>
      <c r="AH6" s="180">
        <f t="shared" si="17"/>
        <v>53</v>
      </c>
      <c r="AI6" s="180">
        <f t="shared" si="18"/>
        <v>54</v>
      </c>
      <c r="AJ6" s="180">
        <f t="shared" si="19"/>
        <v>54</v>
      </c>
      <c r="AK6" s="180">
        <f t="shared" si="20"/>
        <v>54</v>
      </c>
      <c r="AL6" s="180">
        <f t="shared" si="21"/>
        <v>54</v>
      </c>
      <c r="AM6" s="181">
        <f t="shared" si="22"/>
        <v>54</v>
      </c>
      <c r="AN6" s="180">
        <f>'All P1 In Catchment'!F5</f>
        <v>52</v>
      </c>
      <c r="AO6" s="180">
        <f>'All P1 In Catchment'!H5</f>
        <v>56</v>
      </c>
      <c r="AP6" s="180">
        <f>'All P1 In Catchment'!J5</f>
        <v>73</v>
      </c>
      <c r="AQ6" s="180">
        <f>'All P1 In Catchment'!L5</f>
        <v>65</v>
      </c>
      <c r="AR6" s="181">
        <f>'All P1 In Catchment'!N5</f>
        <v>67</v>
      </c>
      <c r="AS6" s="180">
        <f t="shared" si="23"/>
        <v>56</v>
      </c>
      <c r="AT6" s="180">
        <f t="shared" si="24"/>
        <v>57</v>
      </c>
      <c r="AU6" s="180">
        <f t="shared" si="25"/>
        <v>40</v>
      </c>
      <c r="AV6" s="180">
        <f t="shared" si="26"/>
        <v>55</v>
      </c>
      <c r="AW6" s="180">
        <f t="shared" si="27"/>
        <v>51</v>
      </c>
      <c r="AX6" s="180">
        <f t="shared" si="28"/>
        <v>52</v>
      </c>
      <c r="AY6" s="180">
        <f t="shared" si="29"/>
        <v>53</v>
      </c>
      <c r="AZ6" s="180">
        <f t="shared" si="30"/>
        <v>53</v>
      </c>
      <c r="BA6" s="180">
        <f t="shared" si="31"/>
        <v>53</v>
      </c>
      <c r="BB6" s="180">
        <f t="shared" si="32"/>
        <v>54</v>
      </c>
      <c r="BC6" s="180">
        <f t="shared" si="33"/>
        <v>54</v>
      </c>
      <c r="BD6" s="180">
        <f t="shared" si="34"/>
        <v>54</v>
      </c>
      <c r="BE6" s="180">
        <f t="shared" si="35"/>
        <v>54</v>
      </c>
      <c r="BF6" s="180">
        <f t="shared" si="36"/>
        <v>54</v>
      </c>
      <c r="BG6" s="191">
        <f>AR6+'Housing Generation'!B5</f>
        <v>67</v>
      </c>
      <c r="BH6" s="180">
        <f>AS6+'Housing Generation'!J5</f>
        <v>56</v>
      </c>
      <c r="BI6" s="180">
        <f>AT6+'Housing Generation'!R5</f>
        <v>57</v>
      </c>
      <c r="BJ6" s="180">
        <f>AU6+'Housing Generation'!Z5</f>
        <v>40</v>
      </c>
      <c r="BK6" s="180">
        <f>AV6+'Housing Generation'!AH5</f>
        <v>55</v>
      </c>
      <c r="BL6" s="180">
        <f>AW6+'Housing Generation'!AP5</f>
        <v>51</v>
      </c>
      <c r="BM6" s="180">
        <f>AX6+'Housing Generation'!AX5</f>
        <v>52</v>
      </c>
      <c r="BN6" s="180">
        <f>AY6+'Housing Generation'!BF5</f>
        <v>53</v>
      </c>
      <c r="BO6" s="180">
        <f>AZ6+'Housing Generation'!BN5</f>
        <v>53</v>
      </c>
      <c r="BP6" s="180">
        <f>BA6+'Housing Generation'!BV5</f>
        <v>53</v>
      </c>
      <c r="BQ6" s="180">
        <f>BB6+'Housing Generation'!CD5</f>
        <v>54</v>
      </c>
      <c r="BR6" s="180">
        <f>BC6+'Housing Generation'!CL5</f>
        <v>54</v>
      </c>
      <c r="BS6" s="180">
        <f>BD6+'Housing Generation'!CT5</f>
        <v>54</v>
      </c>
      <c r="BT6" s="180">
        <f>BE6+'Housing Generation'!DB5</f>
        <v>54</v>
      </c>
      <c r="BU6" s="181">
        <f>BF6+'Housing Generation'!DJ5</f>
        <v>54</v>
      </c>
      <c r="BV6" s="180">
        <f>'P1 Retained'!D5</f>
        <v>52</v>
      </c>
      <c r="BW6" s="192">
        <f>'P1 Retained'!E5</f>
        <v>56</v>
      </c>
      <c r="BX6" s="192">
        <f>'P1 Retained'!F5</f>
        <v>72</v>
      </c>
      <c r="BY6" s="192">
        <f>'P1 Retained'!G5</f>
        <v>64</v>
      </c>
      <c r="BZ6" s="192">
        <f>'P1 Retained'!H5</f>
        <v>67</v>
      </c>
    </row>
    <row r="7" spans="1:78">
      <c r="A7" s="178" t="s">
        <v>12</v>
      </c>
      <c r="B7" s="190">
        <f>'Catchment Births'!O7</f>
        <v>44</v>
      </c>
      <c r="C7" s="190">
        <f>'Catchment Births'!P7</f>
        <v>40</v>
      </c>
      <c r="D7" s="190">
        <f>'Catchment Births'!Q7</f>
        <v>50</v>
      </c>
      <c r="E7" s="190">
        <f>'Catchment Births'!R7</f>
        <v>45</v>
      </c>
      <c r="F7" s="190">
        <f>'Catchment Births'!S7</f>
        <v>50</v>
      </c>
      <c r="G7" s="190">
        <f>'Catchment Births'!T7</f>
        <v>43</v>
      </c>
      <c r="H7" s="190">
        <f>'Catchment Births'!U7</f>
        <v>46</v>
      </c>
      <c r="I7" s="190">
        <f>'Catchment Births'!V7</f>
        <v>52</v>
      </c>
      <c r="J7" s="195">
        <f>'Catchment Births'!W7</f>
        <v>37</v>
      </c>
      <c r="K7" s="190">
        <f t="shared" si="37"/>
        <v>45.491575634141824</v>
      </c>
      <c r="L7" s="190">
        <f t="shared" si="0"/>
        <v>46.14145528605814</v>
      </c>
      <c r="M7" s="190">
        <f t="shared" si="1"/>
        <v>46.699685243473432</v>
      </c>
      <c r="N7" s="190">
        <f t="shared" si="2"/>
        <v>47.141270135160156</v>
      </c>
      <c r="O7" s="190">
        <f t="shared" si="3"/>
        <v>47.482873541936677</v>
      </c>
      <c r="P7" s="190">
        <f t="shared" si="4"/>
        <v>47.716163673393815</v>
      </c>
      <c r="Q7" s="190">
        <f t="shared" si="5"/>
        <v>47.849472319940752</v>
      </c>
      <c r="R7" s="190">
        <f t="shared" si="6"/>
        <v>47.999444547306055</v>
      </c>
      <c r="S7" s="190">
        <f t="shared" si="7"/>
        <v>48.007776337715235</v>
      </c>
      <c r="T7" s="195">
        <f t="shared" si="8"/>
        <v>47.991112756896868</v>
      </c>
      <c r="U7" s="190">
        <f>'All P1 In Catchment'!G6</f>
        <v>54</v>
      </c>
      <c r="V7" s="190">
        <f>'All P1 In Catchment'!I6</f>
        <v>56</v>
      </c>
      <c r="W7" s="190">
        <f>'All P1 In Catchment'!K6</f>
        <v>64</v>
      </c>
      <c r="X7" s="180">
        <f>'All P1 In Catchment'!M6</f>
        <v>65</v>
      </c>
      <c r="Y7" s="180">
        <f>'All P1 In Catchment'!O6</f>
        <v>77</v>
      </c>
      <c r="Z7" s="191">
        <f t="shared" si="9"/>
        <v>59</v>
      </c>
      <c r="AA7" s="180">
        <f t="shared" si="10"/>
        <v>63</v>
      </c>
      <c r="AB7" s="180">
        <f t="shared" si="11"/>
        <v>72</v>
      </c>
      <c r="AC7" s="180">
        <f t="shared" si="12"/>
        <v>51</v>
      </c>
      <c r="AD7" s="180">
        <f t="shared" si="13"/>
        <v>63</v>
      </c>
      <c r="AE7" s="180">
        <f t="shared" si="14"/>
        <v>64</v>
      </c>
      <c r="AF7" s="180">
        <f t="shared" si="15"/>
        <v>64</v>
      </c>
      <c r="AG7" s="180">
        <f t="shared" si="16"/>
        <v>65</v>
      </c>
      <c r="AH7" s="180">
        <f t="shared" si="17"/>
        <v>65</v>
      </c>
      <c r="AI7" s="180">
        <f t="shared" si="18"/>
        <v>66</v>
      </c>
      <c r="AJ7" s="180">
        <f t="shared" si="19"/>
        <v>66</v>
      </c>
      <c r="AK7" s="180">
        <f t="shared" si="20"/>
        <v>66</v>
      </c>
      <c r="AL7" s="180">
        <f t="shared" si="21"/>
        <v>66</v>
      </c>
      <c r="AM7" s="181">
        <f t="shared" si="22"/>
        <v>66</v>
      </c>
      <c r="AN7" s="180">
        <f>'All P1 In Catchment'!F6</f>
        <v>54</v>
      </c>
      <c r="AO7" s="180">
        <f>'All P1 In Catchment'!H6</f>
        <v>56</v>
      </c>
      <c r="AP7" s="180">
        <f>'All P1 In Catchment'!J6</f>
        <v>64</v>
      </c>
      <c r="AQ7" s="180">
        <f>'All P1 In Catchment'!L6</f>
        <v>65</v>
      </c>
      <c r="AR7" s="181">
        <f>'All P1 In Catchment'!N6</f>
        <v>77</v>
      </c>
      <c r="AS7" s="180">
        <f t="shared" si="23"/>
        <v>59</v>
      </c>
      <c r="AT7" s="180">
        <f t="shared" si="24"/>
        <v>63</v>
      </c>
      <c r="AU7" s="180">
        <f t="shared" si="25"/>
        <v>72</v>
      </c>
      <c r="AV7" s="180">
        <f t="shared" si="26"/>
        <v>51</v>
      </c>
      <c r="AW7" s="180">
        <f t="shared" si="27"/>
        <v>63</v>
      </c>
      <c r="AX7" s="180">
        <f t="shared" si="28"/>
        <v>64</v>
      </c>
      <c r="AY7" s="180">
        <f t="shared" si="29"/>
        <v>64</v>
      </c>
      <c r="AZ7" s="180">
        <f t="shared" si="30"/>
        <v>65</v>
      </c>
      <c r="BA7" s="180">
        <f t="shared" si="31"/>
        <v>65</v>
      </c>
      <c r="BB7" s="180">
        <f t="shared" si="32"/>
        <v>66</v>
      </c>
      <c r="BC7" s="180">
        <f t="shared" si="33"/>
        <v>66</v>
      </c>
      <c r="BD7" s="180">
        <f t="shared" si="34"/>
        <v>66</v>
      </c>
      <c r="BE7" s="180">
        <f t="shared" si="35"/>
        <v>66</v>
      </c>
      <c r="BF7" s="180">
        <f t="shared" si="36"/>
        <v>66</v>
      </c>
      <c r="BG7" s="191">
        <f>AR7+'Housing Generation'!B6</f>
        <v>78</v>
      </c>
      <c r="BH7" s="180">
        <f>AS7+'Housing Generation'!J6</f>
        <v>60</v>
      </c>
      <c r="BI7" s="180">
        <f>AT7+'Housing Generation'!R6</f>
        <v>64</v>
      </c>
      <c r="BJ7" s="180">
        <f>AU7+'Housing Generation'!Z6</f>
        <v>73</v>
      </c>
      <c r="BK7" s="180">
        <f>AV7+'Housing Generation'!AH6</f>
        <v>52</v>
      </c>
      <c r="BL7" s="180">
        <f>AW7+'Housing Generation'!AP6</f>
        <v>64</v>
      </c>
      <c r="BM7" s="180">
        <f>AX7+'Housing Generation'!AX6</f>
        <v>65</v>
      </c>
      <c r="BN7" s="180">
        <f>AY7+'Housing Generation'!BF6</f>
        <v>65</v>
      </c>
      <c r="BO7" s="180">
        <f>AZ7+'Housing Generation'!BN6</f>
        <v>66</v>
      </c>
      <c r="BP7" s="180">
        <f>BA7+'Housing Generation'!BV6</f>
        <v>66</v>
      </c>
      <c r="BQ7" s="180">
        <f>BB7+'Housing Generation'!CD6</f>
        <v>67</v>
      </c>
      <c r="BR7" s="180">
        <f>BC7+'Housing Generation'!CL6</f>
        <v>67</v>
      </c>
      <c r="BS7" s="180">
        <f>BD7+'Housing Generation'!CT6</f>
        <v>67</v>
      </c>
      <c r="BT7" s="180">
        <f>BE7+'Housing Generation'!DB6</f>
        <v>67</v>
      </c>
      <c r="BU7" s="181">
        <f>BF7+'Housing Generation'!DJ6</f>
        <v>67</v>
      </c>
      <c r="BV7" s="180">
        <f>'P1 Retained'!D6</f>
        <v>54</v>
      </c>
      <c r="BW7" s="192">
        <f>'P1 Retained'!E6</f>
        <v>55</v>
      </c>
      <c r="BX7" s="192">
        <f>'P1 Retained'!F6</f>
        <v>62</v>
      </c>
      <c r="BY7" s="192">
        <f>'P1 Retained'!G6</f>
        <v>63</v>
      </c>
      <c r="BZ7" s="192">
        <f>'P1 Retained'!H6</f>
        <v>74</v>
      </c>
    </row>
    <row r="8" spans="1:78">
      <c r="A8" s="178" t="s">
        <v>13</v>
      </c>
      <c r="B8" s="190">
        <f>'Catchment Births'!O8</f>
        <v>58</v>
      </c>
      <c r="C8" s="190">
        <f>'Catchment Births'!P8</f>
        <v>57</v>
      </c>
      <c r="D8" s="190">
        <f>'Catchment Births'!Q8</f>
        <v>42</v>
      </c>
      <c r="E8" s="190">
        <f>'Catchment Births'!R8</f>
        <v>37</v>
      </c>
      <c r="F8" s="190">
        <f>'Catchment Births'!S8</f>
        <v>32</v>
      </c>
      <c r="G8" s="190">
        <f>'Catchment Births'!T8</f>
        <v>37</v>
      </c>
      <c r="H8" s="190">
        <f>'Catchment Births'!U8</f>
        <v>31</v>
      </c>
      <c r="I8" s="190">
        <f>'Catchment Births'!V8</f>
        <v>48</v>
      </c>
      <c r="J8" s="195">
        <f>'Catchment Births'!W8</f>
        <v>39</v>
      </c>
      <c r="K8" s="190">
        <f t="shared" si="37"/>
        <v>39.763006850583224</v>
      </c>
      <c r="L8" s="190">
        <f t="shared" si="0"/>
        <v>40.331049805591555</v>
      </c>
      <c r="M8" s="190">
        <f t="shared" si="1"/>
        <v>40.818984138739737</v>
      </c>
      <c r="N8" s="190">
        <f t="shared" si="2"/>
        <v>41.204962044065908</v>
      </c>
      <c r="O8" s="190">
        <f t="shared" si="3"/>
        <v>41.503548725544647</v>
      </c>
      <c r="P8" s="190">
        <f t="shared" si="4"/>
        <v>41.70746158118866</v>
      </c>
      <c r="Q8" s="190">
        <f t="shared" si="5"/>
        <v>41.82398321298524</v>
      </c>
      <c r="R8" s="190">
        <f t="shared" si="6"/>
        <v>41.955070048756397</v>
      </c>
      <c r="S8" s="190">
        <f t="shared" si="7"/>
        <v>41.962352650743682</v>
      </c>
      <c r="T8" s="195">
        <f t="shared" si="8"/>
        <v>41.947787446769112</v>
      </c>
      <c r="U8" s="190">
        <f>'All P1 In Catchment'!G7</f>
        <v>44</v>
      </c>
      <c r="V8" s="190">
        <f>'All P1 In Catchment'!I7</f>
        <v>57</v>
      </c>
      <c r="W8" s="190">
        <f>'All P1 In Catchment'!K7</f>
        <v>48</v>
      </c>
      <c r="X8" s="180">
        <f>'All P1 In Catchment'!M7</f>
        <v>46</v>
      </c>
      <c r="Y8" s="180">
        <f>'All P1 In Catchment'!O7</f>
        <v>36</v>
      </c>
      <c r="Z8" s="191">
        <f t="shared" si="9"/>
        <v>39</v>
      </c>
      <c r="AA8" s="180">
        <f t="shared" si="10"/>
        <v>33</v>
      </c>
      <c r="AB8" s="180">
        <f t="shared" si="11"/>
        <v>51</v>
      </c>
      <c r="AC8" s="180">
        <f t="shared" si="12"/>
        <v>41</v>
      </c>
      <c r="AD8" s="180">
        <f t="shared" si="13"/>
        <v>42</v>
      </c>
      <c r="AE8" s="180">
        <f t="shared" si="14"/>
        <v>43</v>
      </c>
      <c r="AF8" s="180">
        <f t="shared" si="15"/>
        <v>43</v>
      </c>
      <c r="AG8" s="180">
        <f t="shared" si="16"/>
        <v>43</v>
      </c>
      <c r="AH8" s="180">
        <f t="shared" si="17"/>
        <v>44</v>
      </c>
      <c r="AI8" s="180">
        <f t="shared" si="18"/>
        <v>44</v>
      </c>
      <c r="AJ8" s="180">
        <f t="shared" si="19"/>
        <v>44</v>
      </c>
      <c r="AK8" s="180">
        <f t="shared" si="20"/>
        <v>44</v>
      </c>
      <c r="AL8" s="180">
        <f t="shared" si="21"/>
        <v>44</v>
      </c>
      <c r="AM8" s="181">
        <f t="shared" si="22"/>
        <v>44</v>
      </c>
      <c r="AN8" s="180">
        <f>'All P1 In Catchment'!F7</f>
        <v>33</v>
      </c>
      <c r="AO8" s="180">
        <f>'All P1 In Catchment'!H7</f>
        <v>41</v>
      </c>
      <c r="AP8" s="180">
        <f>'All P1 In Catchment'!J7</f>
        <v>34</v>
      </c>
      <c r="AQ8" s="180">
        <f>'All P1 In Catchment'!L7</f>
        <v>31</v>
      </c>
      <c r="AR8" s="181">
        <f>'All P1 In Catchment'!N7</f>
        <v>25</v>
      </c>
      <c r="AS8" s="180">
        <f t="shared" si="23"/>
        <v>27</v>
      </c>
      <c r="AT8" s="180">
        <f t="shared" si="24"/>
        <v>23</v>
      </c>
      <c r="AU8" s="180">
        <f t="shared" si="25"/>
        <v>35</v>
      </c>
      <c r="AV8" s="180">
        <f t="shared" si="26"/>
        <v>28</v>
      </c>
      <c r="AW8" s="180">
        <f t="shared" si="27"/>
        <v>29</v>
      </c>
      <c r="AX8" s="180">
        <f t="shared" si="28"/>
        <v>30</v>
      </c>
      <c r="AY8" s="180">
        <f t="shared" si="29"/>
        <v>30</v>
      </c>
      <c r="AZ8" s="180">
        <f t="shared" si="30"/>
        <v>30</v>
      </c>
      <c r="BA8" s="180">
        <f t="shared" si="31"/>
        <v>30</v>
      </c>
      <c r="BB8" s="180">
        <f t="shared" si="32"/>
        <v>30</v>
      </c>
      <c r="BC8" s="180">
        <f t="shared" si="33"/>
        <v>30</v>
      </c>
      <c r="BD8" s="180">
        <f t="shared" si="34"/>
        <v>30</v>
      </c>
      <c r="BE8" s="180">
        <f t="shared" si="35"/>
        <v>30</v>
      </c>
      <c r="BF8" s="180">
        <f t="shared" si="36"/>
        <v>30</v>
      </c>
      <c r="BG8" s="191">
        <f>AR8+'Housing Generation'!B7</f>
        <v>25</v>
      </c>
      <c r="BH8" s="180">
        <f>AS8+'Housing Generation'!J7</f>
        <v>30</v>
      </c>
      <c r="BI8" s="180">
        <f>AT8+'Housing Generation'!R7</f>
        <v>29</v>
      </c>
      <c r="BJ8" s="180">
        <f>AU8+'Housing Generation'!Z7</f>
        <v>41</v>
      </c>
      <c r="BK8" s="180">
        <f>AV8+'Housing Generation'!AH7</f>
        <v>34</v>
      </c>
      <c r="BL8" s="180">
        <f>AW8+'Housing Generation'!AP7</f>
        <v>35</v>
      </c>
      <c r="BM8" s="180">
        <f>AX8+'Housing Generation'!AX7</f>
        <v>36</v>
      </c>
      <c r="BN8" s="180">
        <f>AY8+'Housing Generation'!BF7</f>
        <v>36</v>
      </c>
      <c r="BO8" s="180">
        <f>AZ8+'Housing Generation'!BN7</f>
        <v>36</v>
      </c>
      <c r="BP8" s="180">
        <f>BA8+'Housing Generation'!BV7</f>
        <v>36</v>
      </c>
      <c r="BQ8" s="180">
        <f>BB8+'Housing Generation'!CD7</f>
        <v>36</v>
      </c>
      <c r="BR8" s="180">
        <f>BC8+'Housing Generation'!CL7</f>
        <v>36</v>
      </c>
      <c r="BS8" s="180">
        <f>BD8+'Housing Generation'!CT7</f>
        <v>36</v>
      </c>
      <c r="BT8" s="180">
        <f>BE8+'Housing Generation'!DB7</f>
        <v>36</v>
      </c>
      <c r="BU8" s="181">
        <f>BF8+'Housing Generation'!DJ7</f>
        <v>36</v>
      </c>
      <c r="BV8" s="180">
        <f>'P1 Retained'!D7</f>
        <v>24</v>
      </c>
      <c r="BW8" s="192">
        <f>'P1 Retained'!E7</f>
        <v>30</v>
      </c>
      <c r="BX8" s="192">
        <f>'P1 Retained'!F7</f>
        <v>24</v>
      </c>
      <c r="BY8" s="192">
        <f>'P1 Retained'!G7</f>
        <v>25</v>
      </c>
      <c r="BZ8" s="192">
        <f>'P1 Retained'!H7</f>
        <v>19</v>
      </c>
    </row>
    <row r="9" spans="1:78">
      <c r="A9" s="178" t="s">
        <v>14</v>
      </c>
      <c r="B9" s="190">
        <f>'Catchment Births'!O9</f>
        <v>211</v>
      </c>
      <c r="C9" s="190">
        <f>'Catchment Births'!P9</f>
        <v>213</v>
      </c>
      <c r="D9" s="190">
        <f>'Catchment Births'!Q9</f>
        <v>212</v>
      </c>
      <c r="E9" s="190">
        <f>'Catchment Births'!R9</f>
        <v>223</v>
      </c>
      <c r="F9" s="190">
        <f>'Catchment Births'!S9</f>
        <v>198</v>
      </c>
      <c r="G9" s="190">
        <f>'Catchment Births'!T9</f>
        <v>197</v>
      </c>
      <c r="H9" s="190">
        <f>'Catchment Births'!U9</f>
        <v>213</v>
      </c>
      <c r="I9" s="190">
        <f>'Catchment Births'!V9</f>
        <v>193</v>
      </c>
      <c r="J9" s="195">
        <f>'Catchment Births'!W9</f>
        <v>211</v>
      </c>
      <c r="K9" s="190">
        <f t="shared" si="37"/>
        <v>207.91334937974449</v>
      </c>
      <c r="L9" s="190">
        <f t="shared" si="0"/>
        <v>210.88354008516941</v>
      </c>
      <c r="M9" s="190">
        <f t="shared" si="1"/>
        <v>213.43485774239338</v>
      </c>
      <c r="N9" s="190">
        <f t="shared" si="2"/>
        <v>215.4530642473616</v>
      </c>
      <c r="O9" s="190">
        <f t="shared" si="3"/>
        <v>217.01431833611059</v>
      </c>
      <c r="P9" s="190">
        <f t="shared" si="4"/>
        <v>218.0805406406221</v>
      </c>
      <c r="Q9" s="190">
        <f t="shared" si="5"/>
        <v>218.68981052891439</v>
      </c>
      <c r="R9" s="190">
        <f t="shared" si="6"/>
        <v>219.37523915324323</v>
      </c>
      <c r="S9" s="190">
        <f t="shared" si="7"/>
        <v>219.41331852126149</v>
      </c>
      <c r="T9" s="195">
        <f t="shared" si="8"/>
        <v>219.33715978522494</v>
      </c>
      <c r="U9" s="190">
        <f>'All P1 In Catchment'!G8</f>
        <v>110</v>
      </c>
      <c r="V9" s="190">
        <f>'All P1 In Catchment'!I8</f>
        <v>92</v>
      </c>
      <c r="W9" s="190">
        <f>'All P1 In Catchment'!K8</f>
        <v>91</v>
      </c>
      <c r="X9" s="180">
        <f>'All P1 In Catchment'!M8</f>
        <v>99</v>
      </c>
      <c r="Y9" s="180">
        <f>'All P1 In Catchment'!O8</f>
        <v>79</v>
      </c>
      <c r="Z9" s="191">
        <f t="shared" si="9"/>
        <v>88</v>
      </c>
      <c r="AA9" s="180">
        <f t="shared" si="10"/>
        <v>95</v>
      </c>
      <c r="AB9" s="180">
        <f t="shared" si="11"/>
        <v>86</v>
      </c>
      <c r="AC9" s="180">
        <f t="shared" si="12"/>
        <v>94</v>
      </c>
      <c r="AD9" s="180">
        <f t="shared" si="13"/>
        <v>93</v>
      </c>
      <c r="AE9" s="180">
        <f t="shared" si="14"/>
        <v>94</v>
      </c>
      <c r="AF9" s="180">
        <f t="shared" si="15"/>
        <v>95</v>
      </c>
      <c r="AG9" s="180">
        <f t="shared" si="16"/>
        <v>96</v>
      </c>
      <c r="AH9" s="180">
        <f t="shared" si="17"/>
        <v>97</v>
      </c>
      <c r="AI9" s="180">
        <f t="shared" si="18"/>
        <v>97</v>
      </c>
      <c r="AJ9" s="180">
        <f t="shared" si="19"/>
        <v>97</v>
      </c>
      <c r="AK9" s="180">
        <f t="shared" si="20"/>
        <v>98</v>
      </c>
      <c r="AL9" s="180">
        <f t="shared" si="21"/>
        <v>98</v>
      </c>
      <c r="AM9" s="181">
        <f t="shared" si="22"/>
        <v>98</v>
      </c>
      <c r="AN9" s="180">
        <f>'All P1 In Catchment'!F8</f>
        <v>75</v>
      </c>
      <c r="AO9" s="180">
        <f>'All P1 In Catchment'!H8</f>
        <v>54</v>
      </c>
      <c r="AP9" s="180">
        <f>'All P1 In Catchment'!J8</f>
        <v>65</v>
      </c>
      <c r="AQ9" s="180">
        <f>'All P1 In Catchment'!L8</f>
        <v>62</v>
      </c>
      <c r="AR9" s="181">
        <f>'All P1 In Catchment'!N8</f>
        <v>58</v>
      </c>
      <c r="AS9" s="180">
        <f t="shared" si="23"/>
        <v>61</v>
      </c>
      <c r="AT9" s="180">
        <f t="shared" si="24"/>
        <v>66</v>
      </c>
      <c r="AU9" s="180">
        <f t="shared" si="25"/>
        <v>59</v>
      </c>
      <c r="AV9" s="180">
        <f t="shared" si="26"/>
        <v>65</v>
      </c>
      <c r="AW9" s="180">
        <f t="shared" si="27"/>
        <v>64</v>
      </c>
      <c r="AX9" s="180">
        <f t="shared" si="28"/>
        <v>65</v>
      </c>
      <c r="AY9" s="180">
        <f t="shared" si="29"/>
        <v>66</v>
      </c>
      <c r="AZ9" s="180">
        <f t="shared" si="30"/>
        <v>66</v>
      </c>
      <c r="BA9" s="180">
        <f t="shared" si="31"/>
        <v>67</v>
      </c>
      <c r="BB9" s="180">
        <f t="shared" si="32"/>
        <v>67</v>
      </c>
      <c r="BC9" s="180">
        <f t="shared" si="33"/>
        <v>67</v>
      </c>
      <c r="BD9" s="180">
        <f t="shared" si="34"/>
        <v>68</v>
      </c>
      <c r="BE9" s="180">
        <f t="shared" si="35"/>
        <v>68</v>
      </c>
      <c r="BF9" s="180">
        <f t="shared" si="36"/>
        <v>68</v>
      </c>
      <c r="BG9" s="191">
        <f>AR9+'Housing Generation'!B8</f>
        <v>60</v>
      </c>
      <c r="BH9" s="180">
        <f>AS9+'Housing Generation'!J8</f>
        <v>64</v>
      </c>
      <c r="BI9" s="180">
        <f>AT9+'Housing Generation'!R8</f>
        <v>70</v>
      </c>
      <c r="BJ9" s="180">
        <f>AU9+'Housing Generation'!Z8</f>
        <v>65</v>
      </c>
      <c r="BK9" s="180">
        <f>AV9+'Housing Generation'!AH8</f>
        <v>74</v>
      </c>
      <c r="BL9" s="180">
        <f>AW9+'Housing Generation'!AP8</f>
        <v>74</v>
      </c>
      <c r="BM9" s="180">
        <f>AX9+'Housing Generation'!AX8</f>
        <v>76</v>
      </c>
      <c r="BN9" s="180">
        <f>AY9+'Housing Generation'!BF8</f>
        <v>77</v>
      </c>
      <c r="BO9" s="180">
        <f>AZ9+'Housing Generation'!BN8</f>
        <v>77</v>
      </c>
      <c r="BP9" s="180">
        <f>BA9+'Housing Generation'!BV8</f>
        <v>79</v>
      </c>
      <c r="BQ9" s="180">
        <f>BB9+'Housing Generation'!CD8</f>
        <v>79</v>
      </c>
      <c r="BR9" s="180">
        <f>BC9+'Housing Generation'!CL8</f>
        <v>79</v>
      </c>
      <c r="BS9" s="180">
        <f>BD9+'Housing Generation'!CT8</f>
        <v>80</v>
      </c>
      <c r="BT9" s="180">
        <f>BE9+'Housing Generation'!DB8</f>
        <v>80</v>
      </c>
      <c r="BU9" s="181">
        <f>BF9+'Housing Generation'!DJ8</f>
        <v>80</v>
      </c>
      <c r="BV9" s="180">
        <f>'P1 Retained'!D8</f>
        <v>59</v>
      </c>
      <c r="BW9" s="192">
        <f>'P1 Retained'!E8</f>
        <v>42</v>
      </c>
      <c r="BX9" s="192">
        <f>'P1 Retained'!F8</f>
        <v>57</v>
      </c>
      <c r="BY9" s="192">
        <f>'P1 Retained'!G8</f>
        <v>50</v>
      </c>
      <c r="BZ9" s="192">
        <f>'P1 Retained'!H8</f>
        <v>46</v>
      </c>
    </row>
    <row r="10" spans="1:78">
      <c r="A10" s="178" t="s">
        <v>15</v>
      </c>
      <c r="B10" s="190">
        <f>'Catchment Births'!O10</f>
        <v>50</v>
      </c>
      <c r="C10" s="190">
        <f>'Catchment Births'!P10</f>
        <v>49</v>
      </c>
      <c r="D10" s="190">
        <f>'Catchment Births'!Q10</f>
        <v>60</v>
      </c>
      <c r="E10" s="190">
        <f>'Catchment Births'!R10</f>
        <v>62</v>
      </c>
      <c r="F10" s="190">
        <f>'Catchment Births'!S10</f>
        <v>52</v>
      </c>
      <c r="G10" s="190">
        <f>'Catchment Births'!T10</f>
        <v>55</v>
      </c>
      <c r="H10" s="190">
        <f>'Catchment Births'!U10</f>
        <v>85</v>
      </c>
      <c r="I10" s="190">
        <f>'Catchment Births'!V10</f>
        <v>72</v>
      </c>
      <c r="J10" s="195">
        <f>'Catchment Births'!W10</f>
        <v>63</v>
      </c>
      <c r="K10" s="190">
        <f t="shared" si="37"/>
        <v>74.134419551934826</v>
      </c>
      <c r="L10" s="190">
        <f t="shared" si="0"/>
        <v>75.193482688391043</v>
      </c>
      <c r="M10" s="190">
        <f t="shared" si="1"/>
        <v>76.103190767141896</v>
      </c>
      <c r="N10" s="190">
        <f t="shared" si="2"/>
        <v>76.822810590631377</v>
      </c>
      <c r="O10" s="190">
        <f t="shared" si="3"/>
        <v>77.379497623896825</v>
      </c>
      <c r="P10" s="190">
        <f t="shared" si="4"/>
        <v>77.759674134419569</v>
      </c>
      <c r="Q10" s="190">
        <f t="shared" si="5"/>
        <v>77.97691785471828</v>
      </c>
      <c r="R10" s="190">
        <f t="shared" si="6"/>
        <v>78.221317040054331</v>
      </c>
      <c r="S10" s="190">
        <f t="shared" si="7"/>
        <v>78.234894772573</v>
      </c>
      <c r="T10" s="195">
        <f t="shared" si="8"/>
        <v>78.207739307535661</v>
      </c>
      <c r="U10" s="190">
        <f>'All P1 In Catchment'!G9</f>
        <v>45</v>
      </c>
      <c r="V10" s="190">
        <f>'All P1 In Catchment'!I9</f>
        <v>49</v>
      </c>
      <c r="W10" s="190">
        <f>'All P1 In Catchment'!K9</f>
        <v>69</v>
      </c>
      <c r="X10" s="180">
        <f>'All P1 In Catchment'!M9</f>
        <v>68</v>
      </c>
      <c r="Y10" s="180">
        <f>'All P1 In Catchment'!O9</f>
        <v>54</v>
      </c>
      <c r="Z10" s="191">
        <f t="shared" si="9"/>
        <v>57</v>
      </c>
      <c r="AA10" s="180">
        <f t="shared" si="10"/>
        <v>88</v>
      </c>
      <c r="AB10" s="180">
        <f t="shared" si="11"/>
        <v>75</v>
      </c>
      <c r="AC10" s="180">
        <f t="shared" si="12"/>
        <v>65</v>
      </c>
      <c r="AD10" s="180">
        <f t="shared" si="13"/>
        <v>77</v>
      </c>
      <c r="AE10" s="180">
        <f t="shared" si="14"/>
        <v>78</v>
      </c>
      <c r="AF10" s="180">
        <f t="shared" si="15"/>
        <v>79</v>
      </c>
      <c r="AG10" s="180">
        <f t="shared" si="16"/>
        <v>80</v>
      </c>
      <c r="AH10" s="180">
        <f t="shared" si="17"/>
        <v>80</v>
      </c>
      <c r="AI10" s="180">
        <f t="shared" si="18"/>
        <v>81</v>
      </c>
      <c r="AJ10" s="180">
        <f t="shared" si="19"/>
        <v>81</v>
      </c>
      <c r="AK10" s="180">
        <f t="shared" si="20"/>
        <v>81</v>
      </c>
      <c r="AL10" s="180">
        <f t="shared" si="21"/>
        <v>81</v>
      </c>
      <c r="AM10" s="181">
        <f t="shared" si="22"/>
        <v>81</v>
      </c>
      <c r="AN10" s="180">
        <f>'All P1 In Catchment'!F9</f>
        <v>33</v>
      </c>
      <c r="AO10" s="180">
        <f>'All P1 In Catchment'!H9</f>
        <v>32</v>
      </c>
      <c r="AP10" s="180">
        <f>'All P1 In Catchment'!J9</f>
        <v>51</v>
      </c>
      <c r="AQ10" s="180">
        <f>'All P1 In Catchment'!L9</f>
        <v>41</v>
      </c>
      <c r="AR10" s="181">
        <f>'All P1 In Catchment'!N9</f>
        <v>34</v>
      </c>
      <c r="AS10" s="180">
        <f t="shared" si="23"/>
        <v>37</v>
      </c>
      <c r="AT10" s="180">
        <f t="shared" si="24"/>
        <v>58</v>
      </c>
      <c r="AU10" s="180">
        <f t="shared" si="25"/>
        <v>49</v>
      </c>
      <c r="AV10" s="180">
        <f t="shared" si="26"/>
        <v>43</v>
      </c>
      <c r="AW10" s="180">
        <f t="shared" si="27"/>
        <v>51</v>
      </c>
      <c r="AX10" s="180">
        <f t="shared" si="28"/>
        <v>51</v>
      </c>
      <c r="AY10" s="180">
        <f t="shared" si="29"/>
        <v>52</v>
      </c>
      <c r="AZ10" s="180">
        <f t="shared" si="30"/>
        <v>53</v>
      </c>
      <c r="BA10" s="180">
        <f t="shared" si="31"/>
        <v>53</v>
      </c>
      <c r="BB10" s="180">
        <f t="shared" si="32"/>
        <v>53</v>
      </c>
      <c r="BC10" s="180">
        <f t="shared" si="33"/>
        <v>53</v>
      </c>
      <c r="BD10" s="180">
        <f t="shared" si="34"/>
        <v>53</v>
      </c>
      <c r="BE10" s="180">
        <f t="shared" si="35"/>
        <v>53</v>
      </c>
      <c r="BF10" s="180">
        <f t="shared" si="36"/>
        <v>53</v>
      </c>
      <c r="BG10" s="191">
        <f>AR10+'Housing Generation'!B9</f>
        <v>34</v>
      </c>
      <c r="BH10" s="180">
        <f>AS10+'Housing Generation'!J9</f>
        <v>37</v>
      </c>
      <c r="BI10" s="180">
        <f>AT10+'Housing Generation'!R9</f>
        <v>58</v>
      </c>
      <c r="BJ10" s="180">
        <f>AU10+'Housing Generation'!Z9</f>
        <v>50</v>
      </c>
      <c r="BK10" s="180">
        <f>AV10+'Housing Generation'!AH9</f>
        <v>45</v>
      </c>
      <c r="BL10" s="180">
        <f>AW10+'Housing Generation'!AP9</f>
        <v>53</v>
      </c>
      <c r="BM10" s="180">
        <f>AX10+'Housing Generation'!AX9</f>
        <v>54</v>
      </c>
      <c r="BN10" s="180">
        <f>AY10+'Housing Generation'!BF9</f>
        <v>55</v>
      </c>
      <c r="BO10" s="180">
        <f>AZ10+'Housing Generation'!BN9</f>
        <v>56</v>
      </c>
      <c r="BP10" s="180">
        <f>BA10+'Housing Generation'!BV9</f>
        <v>57</v>
      </c>
      <c r="BQ10" s="180">
        <f>BB10+'Housing Generation'!CD9</f>
        <v>57</v>
      </c>
      <c r="BR10" s="180">
        <f>BC10+'Housing Generation'!CL9</f>
        <v>57</v>
      </c>
      <c r="BS10" s="180">
        <f>BD10+'Housing Generation'!CT9</f>
        <v>57</v>
      </c>
      <c r="BT10" s="180">
        <f>BE10+'Housing Generation'!DB9</f>
        <v>57</v>
      </c>
      <c r="BU10" s="181">
        <f>BF10+'Housing Generation'!DJ9</f>
        <v>57</v>
      </c>
      <c r="BV10" s="180">
        <f>'P1 Retained'!D9</f>
        <v>16</v>
      </c>
      <c r="BW10" s="192">
        <f>'P1 Retained'!E9</f>
        <v>21</v>
      </c>
      <c r="BX10" s="192">
        <f>'P1 Retained'!F9</f>
        <v>29</v>
      </c>
      <c r="BY10" s="192">
        <f>'P1 Retained'!G9</f>
        <v>30</v>
      </c>
      <c r="BZ10" s="192">
        <f>'P1 Retained'!H9</f>
        <v>21</v>
      </c>
    </row>
    <row r="11" spans="1:78">
      <c r="A11" s="178" t="s">
        <v>16</v>
      </c>
      <c r="B11" s="190">
        <f>'Catchment Births'!O11</f>
        <v>152</v>
      </c>
      <c r="C11" s="190">
        <f>'Catchment Births'!P11</f>
        <v>119</v>
      </c>
      <c r="D11" s="190">
        <f>'Catchment Births'!Q11</f>
        <v>157</v>
      </c>
      <c r="E11" s="190">
        <f>'Catchment Births'!R11</f>
        <v>137</v>
      </c>
      <c r="F11" s="190">
        <f>'Catchment Births'!S11</f>
        <v>135</v>
      </c>
      <c r="G11" s="190">
        <f>'Catchment Births'!T11</f>
        <v>149</v>
      </c>
      <c r="H11" s="190">
        <f>'Catchment Births'!U11</f>
        <v>122</v>
      </c>
      <c r="I11" s="190">
        <f>'Catchment Births'!V11</f>
        <v>126</v>
      </c>
      <c r="J11" s="195">
        <f>'Catchment Births'!W11</f>
        <v>150</v>
      </c>
      <c r="K11" s="190">
        <f t="shared" si="37"/>
        <v>134.11590446213663</v>
      </c>
      <c r="L11" s="190">
        <f t="shared" si="0"/>
        <v>136.03184595445288</v>
      </c>
      <c r="M11" s="190">
        <f t="shared" si="1"/>
        <v>137.67759056964761</v>
      </c>
      <c r="N11" s="190">
        <f t="shared" si="2"/>
        <v>138.97944825032403</v>
      </c>
      <c r="O11" s="190">
        <f t="shared" si="3"/>
        <v>139.98654570141332</v>
      </c>
      <c r="P11" s="190">
        <f t="shared" si="4"/>
        <v>140.67431957044991</v>
      </c>
      <c r="Q11" s="190">
        <f t="shared" si="5"/>
        <v>141.0673332098994</v>
      </c>
      <c r="R11" s="190">
        <f t="shared" si="6"/>
        <v>141.50947355428008</v>
      </c>
      <c r="S11" s="190">
        <f t="shared" si="7"/>
        <v>141.53403690674568</v>
      </c>
      <c r="T11" s="195">
        <f t="shared" si="8"/>
        <v>141.4849102018145</v>
      </c>
      <c r="U11" s="190">
        <f>'All P1 In Catchment'!G10</f>
        <v>103</v>
      </c>
      <c r="V11" s="190">
        <f>'All P1 In Catchment'!I10</f>
        <v>76</v>
      </c>
      <c r="W11" s="190">
        <f>'All P1 In Catchment'!K10</f>
        <v>96</v>
      </c>
      <c r="X11" s="180">
        <f>'All P1 In Catchment'!M10</f>
        <v>91</v>
      </c>
      <c r="Y11" s="180">
        <f>'All P1 In Catchment'!O10</f>
        <v>75</v>
      </c>
      <c r="Z11" s="191">
        <f t="shared" si="9"/>
        <v>94</v>
      </c>
      <c r="AA11" s="180">
        <f t="shared" si="10"/>
        <v>77</v>
      </c>
      <c r="AB11" s="180">
        <f t="shared" si="11"/>
        <v>79</v>
      </c>
      <c r="AC11" s="180">
        <f t="shared" si="12"/>
        <v>94</v>
      </c>
      <c r="AD11" s="180">
        <f t="shared" si="13"/>
        <v>84</v>
      </c>
      <c r="AE11" s="180">
        <f t="shared" si="14"/>
        <v>86</v>
      </c>
      <c r="AF11" s="180">
        <f t="shared" si="15"/>
        <v>87</v>
      </c>
      <c r="AG11" s="180">
        <f t="shared" si="16"/>
        <v>87</v>
      </c>
      <c r="AH11" s="180">
        <f t="shared" si="17"/>
        <v>88</v>
      </c>
      <c r="AI11" s="180">
        <f t="shared" si="18"/>
        <v>89</v>
      </c>
      <c r="AJ11" s="180">
        <f t="shared" si="19"/>
        <v>89</v>
      </c>
      <c r="AK11" s="180">
        <f t="shared" si="20"/>
        <v>89</v>
      </c>
      <c r="AL11" s="180">
        <f t="shared" si="21"/>
        <v>89</v>
      </c>
      <c r="AM11" s="181">
        <f t="shared" si="22"/>
        <v>89</v>
      </c>
      <c r="AN11" s="180">
        <f>'All P1 In Catchment'!F10</f>
        <v>90</v>
      </c>
      <c r="AO11" s="180">
        <f>'All P1 In Catchment'!H10</f>
        <v>67</v>
      </c>
      <c r="AP11" s="180">
        <f>'All P1 In Catchment'!J10</f>
        <v>90</v>
      </c>
      <c r="AQ11" s="180">
        <f>'All P1 In Catchment'!L10</f>
        <v>82</v>
      </c>
      <c r="AR11" s="181">
        <f>'All P1 In Catchment'!N10</f>
        <v>69</v>
      </c>
      <c r="AS11" s="180">
        <f t="shared" si="23"/>
        <v>86</v>
      </c>
      <c r="AT11" s="180">
        <f t="shared" si="24"/>
        <v>71</v>
      </c>
      <c r="AU11" s="180">
        <f t="shared" si="25"/>
        <v>73</v>
      </c>
      <c r="AV11" s="180">
        <f t="shared" si="26"/>
        <v>86</v>
      </c>
      <c r="AW11" s="180">
        <f t="shared" si="27"/>
        <v>77</v>
      </c>
      <c r="AX11" s="180">
        <f t="shared" si="28"/>
        <v>79</v>
      </c>
      <c r="AY11" s="180">
        <f t="shared" si="29"/>
        <v>80</v>
      </c>
      <c r="AZ11" s="180">
        <f t="shared" si="30"/>
        <v>80</v>
      </c>
      <c r="BA11" s="180">
        <f t="shared" si="31"/>
        <v>81</v>
      </c>
      <c r="BB11" s="180">
        <f t="shared" si="32"/>
        <v>82</v>
      </c>
      <c r="BC11" s="180">
        <f t="shared" si="33"/>
        <v>82</v>
      </c>
      <c r="BD11" s="180">
        <f t="shared" si="34"/>
        <v>82</v>
      </c>
      <c r="BE11" s="180">
        <f t="shared" si="35"/>
        <v>82</v>
      </c>
      <c r="BF11" s="180">
        <f t="shared" si="36"/>
        <v>82</v>
      </c>
      <c r="BG11" s="191">
        <f>AR11+'Housing Generation'!B10</f>
        <v>70</v>
      </c>
      <c r="BH11" s="180">
        <f>AS11+'Housing Generation'!J10</f>
        <v>86</v>
      </c>
      <c r="BI11" s="180">
        <f>AT11+'Housing Generation'!R10</f>
        <v>71</v>
      </c>
      <c r="BJ11" s="180">
        <f>AU11+'Housing Generation'!Z10</f>
        <v>73</v>
      </c>
      <c r="BK11" s="180">
        <f>AV11+'Housing Generation'!AH10</f>
        <v>86</v>
      </c>
      <c r="BL11" s="180">
        <f>AW11+'Housing Generation'!AP10</f>
        <v>77</v>
      </c>
      <c r="BM11" s="180">
        <f>AX11+'Housing Generation'!AX10</f>
        <v>80</v>
      </c>
      <c r="BN11" s="180">
        <f>AY11+'Housing Generation'!BF10</f>
        <v>81</v>
      </c>
      <c r="BO11" s="180">
        <f>AZ11+'Housing Generation'!BN10</f>
        <v>81</v>
      </c>
      <c r="BP11" s="180">
        <f>BA11+'Housing Generation'!BV10</f>
        <v>82</v>
      </c>
      <c r="BQ11" s="180">
        <f>BB11+'Housing Generation'!CD10</f>
        <v>83</v>
      </c>
      <c r="BR11" s="180">
        <f>BC11+'Housing Generation'!CL10</f>
        <v>83</v>
      </c>
      <c r="BS11" s="180">
        <f>BD11+'Housing Generation'!CT10</f>
        <v>83</v>
      </c>
      <c r="BT11" s="180">
        <f>BE11+'Housing Generation'!DB10</f>
        <v>83</v>
      </c>
      <c r="BU11" s="181">
        <f>BF11+'Housing Generation'!DJ10</f>
        <v>83</v>
      </c>
      <c r="BV11" s="180">
        <f>'P1 Retained'!D10</f>
        <v>82</v>
      </c>
      <c r="BW11" s="192">
        <f>'P1 Retained'!E10</f>
        <v>61</v>
      </c>
      <c r="BX11" s="192">
        <f>'P1 Retained'!F10</f>
        <v>81</v>
      </c>
      <c r="BY11" s="192">
        <f>'P1 Retained'!G10</f>
        <v>79</v>
      </c>
      <c r="BZ11" s="192">
        <f>'P1 Retained'!H10</f>
        <v>62</v>
      </c>
    </row>
    <row r="12" spans="1:78">
      <c r="A12" s="178" t="s">
        <v>17</v>
      </c>
      <c r="B12" s="190">
        <f>'Catchment Births'!O12</f>
        <v>25</v>
      </c>
      <c r="C12" s="190">
        <f>'Catchment Births'!P12</f>
        <v>33</v>
      </c>
      <c r="D12" s="190">
        <f>'Catchment Births'!Q12</f>
        <v>17</v>
      </c>
      <c r="E12" s="190">
        <f>'Catchment Births'!R12</f>
        <v>29</v>
      </c>
      <c r="F12" s="190">
        <f>'Catchment Births'!S12</f>
        <v>26</v>
      </c>
      <c r="G12" s="190">
        <f>'Catchment Births'!T12</f>
        <v>29</v>
      </c>
      <c r="H12" s="190">
        <f>'Catchment Births'!U12</f>
        <v>56</v>
      </c>
      <c r="I12" s="190">
        <f>'Catchment Births'!V12</f>
        <v>40</v>
      </c>
      <c r="J12" s="310">
        <f>'Catchment Births'!W12</f>
        <v>49</v>
      </c>
      <c r="K12" s="190">
        <f t="shared" si="37"/>
        <v>48.861321977411592</v>
      </c>
      <c r="L12" s="190">
        <f t="shared" si="0"/>
        <v>49.55934086280319</v>
      </c>
      <c r="M12" s="190">
        <f t="shared" si="1"/>
        <v>50.15892118743443</v>
      </c>
      <c r="N12" s="190">
        <f t="shared" si="2"/>
        <v>50.633216071097948</v>
      </c>
      <c r="O12" s="190">
        <f t="shared" si="3"/>
        <v>51.000123433931989</v>
      </c>
      <c r="P12" s="190">
        <f t="shared" si="4"/>
        <v>51.250694315867435</v>
      </c>
      <c r="Q12" s="190">
        <f t="shared" si="5"/>
        <v>51.393877676973403</v>
      </c>
      <c r="R12" s="190">
        <f t="shared" si="6"/>
        <v>51.554958958217618</v>
      </c>
      <c r="S12" s="190">
        <f t="shared" si="7"/>
        <v>51.563907918286738</v>
      </c>
      <c r="T12" s="195">
        <f t="shared" si="8"/>
        <v>51.546009998148492</v>
      </c>
      <c r="U12" s="190">
        <f>'All P1 In Catchment'!G11</f>
        <v>39</v>
      </c>
      <c r="V12" s="190">
        <f>'All P1 In Catchment'!I11</f>
        <v>67</v>
      </c>
      <c r="W12" s="190">
        <f>'All P1 In Catchment'!K11</f>
        <v>51</v>
      </c>
      <c r="X12" s="180">
        <f>'All P1 In Catchment'!M11</f>
        <v>58</v>
      </c>
      <c r="Y12" s="180">
        <f>'All P1 In Catchment'!O11</f>
        <v>64</v>
      </c>
      <c r="Z12" s="191">
        <f t="shared" si="9"/>
        <v>64</v>
      </c>
      <c r="AA12" s="180">
        <f t="shared" si="10"/>
        <v>124</v>
      </c>
      <c r="AB12" s="180">
        <f t="shared" ref="AB12:AM12" si="38">ROUND((I12*(AVERAGE((47/36),(40/39),(49/36)))),0)</f>
        <v>49</v>
      </c>
      <c r="AC12" s="180">
        <f t="shared" si="38"/>
        <v>60</v>
      </c>
      <c r="AD12" s="180">
        <f t="shared" si="38"/>
        <v>60</v>
      </c>
      <c r="AE12" s="180">
        <f t="shared" si="38"/>
        <v>61</v>
      </c>
      <c r="AF12" s="180">
        <f t="shared" si="38"/>
        <v>62</v>
      </c>
      <c r="AG12" s="180">
        <f t="shared" si="38"/>
        <v>62</v>
      </c>
      <c r="AH12" s="180">
        <f t="shared" si="38"/>
        <v>63</v>
      </c>
      <c r="AI12" s="180">
        <f t="shared" si="38"/>
        <v>63</v>
      </c>
      <c r="AJ12" s="180">
        <f t="shared" si="38"/>
        <v>63</v>
      </c>
      <c r="AK12" s="180">
        <f t="shared" si="38"/>
        <v>63</v>
      </c>
      <c r="AL12" s="180">
        <f t="shared" si="38"/>
        <v>63</v>
      </c>
      <c r="AM12" s="181">
        <f t="shared" si="38"/>
        <v>63</v>
      </c>
      <c r="AN12" s="180">
        <f>'All P1 In Catchment'!F11</f>
        <v>39</v>
      </c>
      <c r="AO12" s="180">
        <f>'All P1 In Catchment'!H11</f>
        <v>62</v>
      </c>
      <c r="AP12" s="180">
        <f>'All P1 In Catchment'!J11</f>
        <v>44</v>
      </c>
      <c r="AQ12" s="180">
        <f>'All P1 In Catchment'!L11</f>
        <v>53</v>
      </c>
      <c r="AR12" s="181">
        <f>'All P1 In Catchment'!N11</f>
        <v>59</v>
      </c>
      <c r="AS12" s="180">
        <f t="shared" si="23"/>
        <v>58</v>
      </c>
      <c r="AT12" s="180">
        <f t="shared" si="24"/>
        <v>112</v>
      </c>
      <c r="AU12" s="180">
        <f t="shared" si="25"/>
        <v>44</v>
      </c>
      <c r="AV12" s="225">
        <f t="shared" si="26"/>
        <v>54</v>
      </c>
      <c r="AW12" s="180">
        <f t="shared" si="27"/>
        <v>54</v>
      </c>
      <c r="AX12" s="180">
        <f t="shared" si="28"/>
        <v>55</v>
      </c>
      <c r="AY12" s="180">
        <f t="shared" si="29"/>
        <v>56</v>
      </c>
      <c r="AZ12" s="180">
        <f t="shared" si="30"/>
        <v>56</v>
      </c>
      <c r="BA12" s="180">
        <f t="shared" si="31"/>
        <v>57</v>
      </c>
      <c r="BB12" s="180">
        <f t="shared" si="32"/>
        <v>57</v>
      </c>
      <c r="BC12" s="180">
        <f t="shared" si="33"/>
        <v>57</v>
      </c>
      <c r="BD12" s="180">
        <f t="shared" si="34"/>
        <v>57</v>
      </c>
      <c r="BE12" s="180">
        <f t="shared" si="35"/>
        <v>57</v>
      </c>
      <c r="BF12" s="180">
        <f t="shared" si="36"/>
        <v>57</v>
      </c>
      <c r="BG12" s="191">
        <f>AR12+'Housing Generation'!B11</f>
        <v>60</v>
      </c>
      <c r="BH12" s="180">
        <f>AS12+'Housing Generation'!J11</f>
        <v>58</v>
      </c>
      <c r="BI12" s="180">
        <f>AT12+'Housing Generation'!R11</f>
        <v>112</v>
      </c>
      <c r="BJ12" s="180">
        <f>AU12+'Housing Generation'!Z11</f>
        <v>44</v>
      </c>
      <c r="BK12" s="180">
        <f>AV12+'Housing Generation'!AH11</f>
        <v>54</v>
      </c>
      <c r="BL12" s="180">
        <f>AW12+'Housing Generation'!AP11</f>
        <v>54</v>
      </c>
      <c r="BM12" s="180">
        <f>AX12+'Housing Generation'!AX11</f>
        <v>55</v>
      </c>
      <c r="BN12" s="180">
        <f>AY12+'Housing Generation'!BF11</f>
        <v>56</v>
      </c>
      <c r="BO12" s="180">
        <f>AZ12+'Housing Generation'!BN11</f>
        <v>56</v>
      </c>
      <c r="BP12" s="180">
        <f>BA12+'Housing Generation'!BV11</f>
        <v>57</v>
      </c>
      <c r="BQ12" s="180">
        <f>BB12+'Housing Generation'!CD11</f>
        <v>57</v>
      </c>
      <c r="BR12" s="180">
        <f>BC12+'Housing Generation'!CL11</f>
        <v>57</v>
      </c>
      <c r="BS12" s="180">
        <f>BD12+'Housing Generation'!CT11</f>
        <v>57</v>
      </c>
      <c r="BT12" s="180">
        <f>BE12+'Housing Generation'!DB11</f>
        <v>57</v>
      </c>
      <c r="BU12" s="181">
        <f>BF12+'Housing Generation'!DJ11</f>
        <v>57</v>
      </c>
      <c r="BV12" s="180">
        <f>'P1 Retained'!D11</f>
        <v>39</v>
      </c>
      <c r="BW12" s="192">
        <f>'P1 Retained'!E11</f>
        <v>62</v>
      </c>
      <c r="BX12" s="192">
        <f>'P1 Retained'!F11</f>
        <v>43</v>
      </c>
      <c r="BY12" s="192">
        <f>'P1 Retained'!G11</f>
        <v>52</v>
      </c>
      <c r="BZ12" s="192">
        <f>'P1 Retained'!H11</f>
        <v>59</v>
      </c>
    </row>
    <row r="13" spans="1:78">
      <c r="A13" s="178" t="s">
        <v>74</v>
      </c>
      <c r="B13" s="190">
        <f>'Catchment Births'!O13</f>
        <v>77</v>
      </c>
      <c r="C13" s="190">
        <f>'Catchment Births'!P13</f>
        <v>83</v>
      </c>
      <c r="D13" s="190">
        <f>'Catchment Births'!Q13</f>
        <v>65</v>
      </c>
      <c r="E13" s="190">
        <f>'Catchment Births'!R13</f>
        <v>68</v>
      </c>
      <c r="F13" s="190">
        <f>'Catchment Births'!S13</f>
        <v>94</v>
      </c>
      <c r="G13" s="190">
        <f>'Catchment Births'!T13</f>
        <v>63</v>
      </c>
      <c r="H13" s="190">
        <f>'Catchment Births'!U13</f>
        <v>46</v>
      </c>
      <c r="I13" s="190">
        <f>'Catchment Births'!V13</f>
        <v>71</v>
      </c>
      <c r="J13" s="195">
        <f>'Catchment Births'!W13</f>
        <v>75</v>
      </c>
      <c r="K13" s="190">
        <f t="shared" si="37"/>
        <v>64.69912979077948</v>
      </c>
      <c r="L13" s="190">
        <f t="shared" si="0"/>
        <v>65.623403073504903</v>
      </c>
      <c r="M13" s="190">
        <f t="shared" si="1"/>
        <v>66.417330124051105</v>
      </c>
      <c r="N13" s="190">
        <f t="shared" si="2"/>
        <v>67.045361970005558</v>
      </c>
      <c r="O13" s="190">
        <f t="shared" si="3"/>
        <v>67.531197926309943</v>
      </c>
      <c r="P13" s="190">
        <f t="shared" si="4"/>
        <v>67.862988335493426</v>
      </c>
      <c r="Q13" s="190">
        <f t="shared" si="5"/>
        <v>68.052582855026841</v>
      </c>
      <c r="R13" s="190">
        <f t="shared" si="6"/>
        <v>68.265876689501937</v>
      </c>
      <c r="S13" s="190">
        <f t="shared" si="7"/>
        <v>68.27772634697277</v>
      </c>
      <c r="T13" s="195">
        <f t="shared" si="8"/>
        <v>68.25402703203109</v>
      </c>
      <c r="U13" s="190">
        <f>'All P1 In Catchment'!G12</f>
        <v>67</v>
      </c>
      <c r="V13" s="190">
        <f>'All P1 In Catchment'!I12</f>
        <v>65</v>
      </c>
      <c r="W13" s="190">
        <f>'All P1 In Catchment'!K12</f>
        <v>63</v>
      </c>
      <c r="X13" s="180">
        <f>'All P1 In Catchment'!M12</f>
        <v>76</v>
      </c>
      <c r="Y13" s="180">
        <f>'All P1 In Catchment'!O12</f>
        <v>57</v>
      </c>
      <c r="Z13" s="191">
        <f t="shared" si="9"/>
        <v>55</v>
      </c>
      <c r="AA13" s="180">
        <f t="shared" si="10"/>
        <v>40</v>
      </c>
      <c r="AB13" s="180">
        <f t="shared" ref="AB13:AB44" si="39">ROUND((I13*(AVERAGE((U13/B13),(V13/C13),(W13/D13),(X13/E13),(Y13/F13)))),0)</f>
        <v>62</v>
      </c>
      <c r="AC13" s="180">
        <f t="shared" ref="AC13:AC44" si="40">ROUND((J13*(AVERAGE((U13/B13),(V13/C13),(W13/D13),(X13/E13),(Y13/F13)))),0)</f>
        <v>65</v>
      </c>
      <c r="AD13" s="180">
        <f t="shared" ref="AD13:AD44" si="41">ROUND((K13*(AVERAGE((U13/B13),(V13/C13),(W13/D13),(X13/E13),(Y13/F13)))),0)</f>
        <v>56</v>
      </c>
      <c r="AE13" s="180">
        <f t="shared" ref="AE13:AE44" si="42">ROUND((L13*(AVERAGE((U13/B13),(V13/C13),(W13/D13),(X13/E13),(Y13/F13)))),0)</f>
        <v>57</v>
      </c>
      <c r="AF13" s="180">
        <f t="shared" ref="AF13:AF44" si="43">ROUND((M13*(AVERAGE((U13/B13),(V13/C13),(W13/D13),(X13/E13),(Y13/F13)))),0)</f>
        <v>58</v>
      </c>
      <c r="AG13" s="180">
        <f t="shared" ref="AG13:AG44" si="44">ROUND((N13*(AVERAGE((U13/B13),(V13/C13),(W13/D13),(X13/E13),(Y13/F13)))),0)</f>
        <v>58</v>
      </c>
      <c r="AH13" s="180">
        <f t="shared" ref="AH13:AH44" si="45">ROUND((O13*(AVERAGE((U13/B13),(V13/C13),(W13/D13),(X13/E13),(Y13/F13)))),0)</f>
        <v>59</v>
      </c>
      <c r="AI13" s="180">
        <f t="shared" ref="AI13:AI44" si="46">ROUND((P13*(AVERAGE((U13/B13),(V13/C13),(W13/D13),(X13/E13),(Y13/F13)))),0)</f>
        <v>59</v>
      </c>
      <c r="AJ13" s="180">
        <f t="shared" ref="AJ13:AJ44" si="47">ROUND((Q13*(AVERAGE((U13/B13),(V13/C13),(W13/D13),(X13/E13),(Y13/F13)))),0)</f>
        <v>59</v>
      </c>
      <c r="AK13" s="180">
        <f t="shared" ref="AK13:AK44" si="48">ROUND((R13*(AVERAGE((U13/B13),(V13/C13),(W13/D13),(X13/E13),(Y13/F13)))),0)</f>
        <v>59</v>
      </c>
      <c r="AL13" s="180">
        <f t="shared" ref="AL13:AL44" si="49">ROUND((S13*(AVERAGE((U13/B13),(V13/C13),(W13/D13),(X13/E13),(Y13/F13)))),0)</f>
        <v>59</v>
      </c>
      <c r="AM13" s="181">
        <f t="shared" ref="AM13:AM44" si="50">ROUND((T13*(AVERAGE((U13/B13),(V13/C13),(W13/D13),(X13/E13),(Y13/F13)))),0)</f>
        <v>59</v>
      </c>
      <c r="AN13" s="180">
        <f>'All P1 In Catchment'!F12</f>
        <v>61</v>
      </c>
      <c r="AO13" s="180">
        <f>'All P1 In Catchment'!H12</f>
        <v>61</v>
      </c>
      <c r="AP13" s="180">
        <f>'All P1 In Catchment'!J12</f>
        <v>56</v>
      </c>
      <c r="AQ13" s="180">
        <f>'All P1 In Catchment'!L12</f>
        <v>67</v>
      </c>
      <c r="AR13" s="181">
        <f>'All P1 In Catchment'!N12</f>
        <v>49</v>
      </c>
      <c r="AS13" s="180">
        <f t="shared" si="23"/>
        <v>48</v>
      </c>
      <c r="AT13" s="180">
        <f t="shared" si="24"/>
        <v>35</v>
      </c>
      <c r="AU13" s="180">
        <f t="shared" si="25"/>
        <v>54</v>
      </c>
      <c r="AV13" s="180">
        <f t="shared" si="26"/>
        <v>57</v>
      </c>
      <c r="AW13" s="180">
        <f t="shared" si="27"/>
        <v>49</v>
      </c>
      <c r="AX13" s="180">
        <f t="shared" si="28"/>
        <v>50</v>
      </c>
      <c r="AY13" s="180">
        <f t="shared" si="29"/>
        <v>51</v>
      </c>
      <c r="AZ13" s="180">
        <f t="shared" si="30"/>
        <v>51</v>
      </c>
      <c r="BA13" s="180">
        <f t="shared" si="31"/>
        <v>52</v>
      </c>
      <c r="BB13" s="180">
        <f t="shared" si="32"/>
        <v>52</v>
      </c>
      <c r="BC13" s="180">
        <f t="shared" si="33"/>
        <v>52</v>
      </c>
      <c r="BD13" s="180">
        <f t="shared" si="34"/>
        <v>52</v>
      </c>
      <c r="BE13" s="180">
        <f t="shared" si="35"/>
        <v>52</v>
      </c>
      <c r="BF13" s="180">
        <f t="shared" si="36"/>
        <v>52</v>
      </c>
      <c r="BG13" s="191">
        <f>AR13+'Housing Generation'!B12</f>
        <v>49</v>
      </c>
      <c r="BH13" s="180">
        <f>AS13+'Housing Generation'!J12</f>
        <v>49</v>
      </c>
      <c r="BI13" s="180">
        <f>AT13+'Housing Generation'!R12</f>
        <v>36</v>
      </c>
      <c r="BJ13" s="180">
        <f>AU13+'Housing Generation'!Z12</f>
        <v>55</v>
      </c>
      <c r="BK13" s="180">
        <f>AV13+'Housing Generation'!AH12</f>
        <v>58</v>
      </c>
      <c r="BL13" s="180">
        <f>AW13+'Housing Generation'!AP12</f>
        <v>50</v>
      </c>
      <c r="BM13" s="180">
        <f>AX13+'Housing Generation'!AX12</f>
        <v>51</v>
      </c>
      <c r="BN13" s="180">
        <f>AY13+'Housing Generation'!BF12</f>
        <v>52</v>
      </c>
      <c r="BO13" s="180">
        <f>AZ13+'Housing Generation'!BN12</f>
        <v>52</v>
      </c>
      <c r="BP13" s="180">
        <f>BA13+'Housing Generation'!BV12</f>
        <v>53</v>
      </c>
      <c r="BQ13" s="180">
        <f>BB13+'Housing Generation'!CD12</f>
        <v>53</v>
      </c>
      <c r="BR13" s="180">
        <f>BC13+'Housing Generation'!CL12</f>
        <v>53</v>
      </c>
      <c r="BS13" s="180">
        <f>BD13+'Housing Generation'!CT12</f>
        <v>53</v>
      </c>
      <c r="BT13" s="180">
        <f>BE13+'Housing Generation'!DB12</f>
        <v>53</v>
      </c>
      <c r="BU13" s="181">
        <f>BF13+'Housing Generation'!DJ12</f>
        <v>53</v>
      </c>
      <c r="BV13" s="180">
        <f>'P1 Retained'!D12</f>
        <v>31</v>
      </c>
      <c r="BW13" s="192">
        <f>'P1 Retained'!E12</f>
        <v>34</v>
      </c>
      <c r="BX13" s="192">
        <f>'P1 Retained'!F12</f>
        <v>33</v>
      </c>
      <c r="BY13" s="192">
        <f>'P1 Retained'!G12</f>
        <v>43</v>
      </c>
      <c r="BZ13" s="192">
        <f>'P1 Retained'!H12</f>
        <v>31</v>
      </c>
    </row>
    <row r="14" spans="1:78">
      <c r="A14" s="178" t="s">
        <v>18</v>
      </c>
      <c r="B14" s="190">
        <f>'Catchment Births'!O14</f>
        <v>85</v>
      </c>
      <c r="C14" s="190">
        <f>'Catchment Births'!P14</f>
        <v>97</v>
      </c>
      <c r="D14" s="190">
        <f>'Catchment Births'!Q14</f>
        <v>68</v>
      </c>
      <c r="E14" s="190">
        <f>'Catchment Births'!R14</f>
        <v>74</v>
      </c>
      <c r="F14" s="190">
        <f>'Catchment Births'!S14</f>
        <v>80</v>
      </c>
      <c r="G14" s="190">
        <f>'Catchment Births'!T14</f>
        <v>82</v>
      </c>
      <c r="H14" s="190">
        <f>'Catchment Births'!U14</f>
        <v>65</v>
      </c>
      <c r="I14" s="190">
        <f>'Catchment Births'!V14</f>
        <v>65</v>
      </c>
      <c r="J14" s="195">
        <f>'Catchment Births'!W14</f>
        <v>73</v>
      </c>
      <c r="K14" s="190">
        <f t="shared" si="37"/>
        <v>68.405850768376226</v>
      </c>
      <c r="L14" s="190">
        <f t="shared" si="0"/>
        <v>69.383077207924458</v>
      </c>
      <c r="M14" s="190">
        <f t="shared" si="1"/>
        <v>70.222489662408194</v>
      </c>
      <c r="N14" s="190">
        <f t="shared" si="2"/>
        <v>70.886502499537116</v>
      </c>
      <c r="O14" s="190">
        <f t="shared" si="3"/>
        <v>71.400172807504774</v>
      </c>
      <c r="P14" s="190">
        <f t="shared" si="4"/>
        <v>71.7509720422144</v>
      </c>
      <c r="Q14" s="190">
        <f t="shared" si="5"/>
        <v>71.951428747762762</v>
      </c>
      <c r="R14" s="190">
        <f t="shared" si="6"/>
        <v>72.176942541504658</v>
      </c>
      <c r="S14" s="190">
        <f t="shared" si="7"/>
        <v>72.189471085601426</v>
      </c>
      <c r="T14" s="195">
        <f t="shared" si="8"/>
        <v>72.164413997407877</v>
      </c>
      <c r="U14" s="190">
        <f>'All P1 In Catchment'!G13</f>
        <v>73</v>
      </c>
      <c r="V14" s="190">
        <f>'All P1 In Catchment'!I13</f>
        <v>62</v>
      </c>
      <c r="W14" s="190">
        <f>'All P1 In Catchment'!K13</f>
        <v>42</v>
      </c>
      <c r="X14" s="180">
        <f>'All P1 In Catchment'!M13</f>
        <v>78</v>
      </c>
      <c r="Y14" s="180">
        <f>'All P1 In Catchment'!O13</f>
        <v>57</v>
      </c>
      <c r="Z14" s="191">
        <f t="shared" si="9"/>
        <v>64</v>
      </c>
      <c r="AA14" s="180">
        <f t="shared" si="10"/>
        <v>50</v>
      </c>
      <c r="AB14" s="180">
        <f t="shared" si="39"/>
        <v>50</v>
      </c>
      <c r="AC14" s="180">
        <f t="shared" si="40"/>
        <v>57</v>
      </c>
      <c r="AD14" s="180">
        <f t="shared" si="41"/>
        <v>53</v>
      </c>
      <c r="AE14" s="180">
        <f t="shared" si="42"/>
        <v>54</v>
      </c>
      <c r="AF14" s="180">
        <f t="shared" si="43"/>
        <v>55</v>
      </c>
      <c r="AG14" s="180">
        <f t="shared" si="44"/>
        <v>55</v>
      </c>
      <c r="AH14" s="180">
        <f t="shared" si="45"/>
        <v>55</v>
      </c>
      <c r="AI14" s="180">
        <f t="shared" si="46"/>
        <v>56</v>
      </c>
      <c r="AJ14" s="180">
        <f t="shared" si="47"/>
        <v>56</v>
      </c>
      <c r="AK14" s="180">
        <f t="shared" si="48"/>
        <v>56</v>
      </c>
      <c r="AL14" s="180">
        <f t="shared" si="49"/>
        <v>56</v>
      </c>
      <c r="AM14" s="181">
        <f t="shared" si="50"/>
        <v>56</v>
      </c>
      <c r="AN14" s="180">
        <f>'All P1 In Catchment'!F13</f>
        <v>72</v>
      </c>
      <c r="AO14" s="180">
        <f>'All P1 In Catchment'!H13</f>
        <v>61</v>
      </c>
      <c r="AP14" s="180">
        <f>'All P1 In Catchment'!J13</f>
        <v>39</v>
      </c>
      <c r="AQ14" s="180">
        <f>'All P1 In Catchment'!L13</f>
        <v>75</v>
      </c>
      <c r="AR14" s="181">
        <f>'All P1 In Catchment'!N13</f>
        <v>55</v>
      </c>
      <c r="AS14" s="180">
        <f t="shared" si="23"/>
        <v>61</v>
      </c>
      <c r="AT14" s="180">
        <f t="shared" si="24"/>
        <v>48</v>
      </c>
      <c r="AU14" s="180">
        <f t="shared" si="25"/>
        <v>48</v>
      </c>
      <c r="AV14" s="180">
        <f t="shared" si="26"/>
        <v>54</v>
      </c>
      <c r="AW14" s="180">
        <f t="shared" si="27"/>
        <v>50</v>
      </c>
      <c r="AX14" s="180">
        <f t="shared" si="28"/>
        <v>51</v>
      </c>
      <c r="AY14" s="180">
        <f t="shared" si="29"/>
        <v>52</v>
      </c>
      <c r="AZ14" s="180">
        <f t="shared" si="30"/>
        <v>52</v>
      </c>
      <c r="BA14" s="180">
        <f t="shared" si="31"/>
        <v>52</v>
      </c>
      <c r="BB14" s="180">
        <f t="shared" si="32"/>
        <v>53</v>
      </c>
      <c r="BC14" s="180">
        <f t="shared" si="33"/>
        <v>53</v>
      </c>
      <c r="BD14" s="180">
        <f t="shared" si="34"/>
        <v>53</v>
      </c>
      <c r="BE14" s="180">
        <f t="shared" si="35"/>
        <v>53</v>
      </c>
      <c r="BF14" s="180">
        <f t="shared" si="36"/>
        <v>53</v>
      </c>
      <c r="BG14" s="191">
        <f>AR14+'Housing Generation'!B13</f>
        <v>56</v>
      </c>
      <c r="BH14" s="180">
        <f>AS14+'Housing Generation'!J13</f>
        <v>61</v>
      </c>
      <c r="BI14" s="180">
        <f>AT14+'Housing Generation'!R13</f>
        <v>48</v>
      </c>
      <c r="BJ14" s="180">
        <f>AU14+'Housing Generation'!Z13</f>
        <v>48</v>
      </c>
      <c r="BK14" s="180">
        <f>AV14+'Housing Generation'!AH13</f>
        <v>54</v>
      </c>
      <c r="BL14" s="180">
        <f>AW14+'Housing Generation'!AP13</f>
        <v>50</v>
      </c>
      <c r="BM14" s="180">
        <f>AX14+'Housing Generation'!AX13</f>
        <v>51</v>
      </c>
      <c r="BN14" s="180">
        <f>AY14+'Housing Generation'!BF13</f>
        <v>52</v>
      </c>
      <c r="BO14" s="180">
        <f>AZ14+'Housing Generation'!BN13</f>
        <v>52</v>
      </c>
      <c r="BP14" s="180">
        <f>BA14+'Housing Generation'!BV13</f>
        <v>52</v>
      </c>
      <c r="BQ14" s="180">
        <f>BB14+'Housing Generation'!CD13</f>
        <v>53</v>
      </c>
      <c r="BR14" s="180">
        <f>BC14+'Housing Generation'!CL13</f>
        <v>53</v>
      </c>
      <c r="BS14" s="180">
        <f>BD14+'Housing Generation'!CT13</f>
        <v>53</v>
      </c>
      <c r="BT14" s="180">
        <f>BE14+'Housing Generation'!DB13</f>
        <v>53</v>
      </c>
      <c r="BU14" s="181">
        <f>BF14+'Housing Generation'!DJ13</f>
        <v>53</v>
      </c>
      <c r="BV14" s="180">
        <f>'P1 Retained'!D13</f>
        <v>63</v>
      </c>
      <c r="BW14" s="192">
        <f>'P1 Retained'!E13</f>
        <v>51</v>
      </c>
      <c r="BX14" s="192">
        <f>'P1 Retained'!F13</f>
        <v>31</v>
      </c>
      <c r="BY14" s="192">
        <f>'P1 Retained'!G13</f>
        <v>59</v>
      </c>
      <c r="BZ14" s="192">
        <f>'P1 Retained'!H13</f>
        <v>41</v>
      </c>
    </row>
    <row r="15" spans="1:78">
      <c r="A15" s="178" t="s">
        <v>75</v>
      </c>
      <c r="B15" s="190">
        <f>'Catchment Births'!O15</f>
        <v>73</v>
      </c>
      <c r="C15" s="190">
        <f>'Catchment Births'!P15</f>
        <v>62</v>
      </c>
      <c r="D15" s="190">
        <f>'Catchment Births'!Q15</f>
        <v>57</v>
      </c>
      <c r="E15" s="190">
        <f>'Catchment Births'!R15</f>
        <v>71</v>
      </c>
      <c r="F15" s="190">
        <f>'Catchment Births'!S15</f>
        <v>62</v>
      </c>
      <c r="G15" s="190">
        <f>'Catchment Births'!T15</f>
        <v>56</v>
      </c>
      <c r="H15" s="190">
        <f>'Catchment Births'!U15</f>
        <v>66</v>
      </c>
      <c r="I15" s="190">
        <f>'Catchment Births'!V15</f>
        <v>89</v>
      </c>
      <c r="J15" s="195">
        <f>'Catchment Births'!W15</f>
        <v>81</v>
      </c>
      <c r="K15" s="190">
        <f t="shared" si="37"/>
        <v>79.526013701166448</v>
      </c>
      <c r="L15" s="190">
        <f t="shared" si="0"/>
        <v>80.662099611183109</v>
      </c>
      <c r="M15" s="190">
        <f t="shared" si="1"/>
        <v>81.637968277479473</v>
      </c>
      <c r="N15" s="190">
        <f t="shared" si="2"/>
        <v>82.409924088131817</v>
      </c>
      <c r="O15" s="190">
        <f t="shared" si="3"/>
        <v>83.007097451089294</v>
      </c>
      <c r="P15" s="190">
        <f t="shared" si="4"/>
        <v>83.41492316237732</v>
      </c>
      <c r="Q15" s="190">
        <f t="shared" si="5"/>
        <v>83.64796642597048</v>
      </c>
      <c r="R15" s="190">
        <f t="shared" si="6"/>
        <v>83.910140097512794</v>
      </c>
      <c r="S15" s="190">
        <f t="shared" si="7"/>
        <v>83.924705301487364</v>
      </c>
      <c r="T15" s="195">
        <f t="shared" si="8"/>
        <v>83.895574893538225</v>
      </c>
      <c r="U15" s="190">
        <f>'All P1 In Catchment'!G14</f>
        <v>71</v>
      </c>
      <c r="V15" s="190">
        <f>'All P1 In Catchment'!I14</f>
        <v>63</v>
      </c>
      <c r="W15" s="190">
        <f>'All P1 In Catchment'!K14</f>
        <v>74</v>
      </c>
      <c r="X15" s="180">
        <f>'All P1 In Catchment'!M14</f>
        <v>73</v>
      </c>
      <c r="Y15" s="180">
        <f>'All P1 In Catchment'!O14</f>
        <v>79</v>
      </c>
      <c r="Z15" s="191">
        <f t="shared" si="9"/>
        <v>63</v>
      </c>
      <c r="AA15" s="180">
        <f t="shared" si="10"/>
        <v>74</v>
      </c>
      <c r="AB15" s="180">
        <f t="shared" si="39"/>
        <v>99</v>
      </c>
      <c r="AC15" s="180">
        <f t="shared" si="40"/>
        <v>91</v>
      </c>
      <c r="AD15" s="180">
        <f t="shared" si="41"/>
        <v>89</v>
      </c>
      <c r="AE15" s="180">
        <f t="shared" si="42"/>
        <v>90</v>
      </c>
      <c r="AF15" s="180">
        <f t="shared" si="43"/>
        <v>91</v>
      </c>
      <c r="AG15" s="180">
        <f t="shared" si="44"/>
        <v>92</v>
      </c>
      <c r="AH15" s="180">
        <f t="shared" si="45"/>
        <v>93</v>
      </c>
      <c r="AI15" s="180">
        <f t="shared" si="46"/>
        <v>93</v>
      </c>
      <c r="AJ15" s="180">
        <f t="shared" si="47"/>
        <v>94</v>
      </c>
      <c r="AK15" s="180">
        <f t="shared" si="48"/>
        <v>94</v>
      </c>
      <c r="AL15" s="180">
        <f t="shared" si="49"/>
        <v>94</v>
      </c>
      <c r="AM15" s="181">
        <f t="shared" si="50"/>
        <v>94</v>
      </c>
      <c r="AN15" s="180">
        <f>'All P1 In Catchment'!F14</f>
        <v>56</v>
      </c>
      <c r="AO15" s="180">
        <f>'All P1 In Catchment'!H14</f>
        <v>52</v>
      </c>
      <c r="AP15" s="180">
        <f>'All P1 In Catchment'!J14</f>
        <v>68</v>
      </c>
      <c r="AQ15" s="180">
        <f>'All P1 In Catchment'!L14</f>
        <v>53</v>
      </c>
      <c r="AR15" s="181">
        <f>'All P1 In Catchment'!N14</f>
        <v>61</v>
      </c>
      <c r="AS15" s="180">
        <f t="shared" si="23"/>
        <v>51</v>
      </c>
      <c r="AT15" s="180">
        <f t="shared" si="24"/>
        <v>60</v>
      </c>
      <c r="AU15" s="180">
        <f t="shared" si="25"/>
        <v>80</v>
      </c>
      <c r="AV15" s="180">
        <f t="shared" si="26"/>
        <v>73</v>
      </c>
      <c r="AW15" s="180">
        <f t="shared" si="27"/>
        <v>72</v>
      </c>
      <c r="AX15" s="180">
        <f t="shared" si="28"/>
        <v>73</v>
      </c>
      <c r="AY15" s="180">
        <f t="shared" si="29"/>
        <v>73</v>
      </c>
      <c r="AZ15" s="180">
        <f t="shared" si="30"/>
        <v>74</v>
      </c>
      <c r="BA15" s="180">
        <f t="shared" si="31"/>
        <v>75</v>
      </c>
      <c r="BB15" s="180">
        <f t="shared" si="32"/>
        <v>75</v>
      </c>
      <c r="BC15" s="180">
        <f t="shared" si="33"/>
        <v>76</v>
      </c>
      <c r="BD15" s="180">
        <f t="shared" si="34"/>
        <v>76</v>
      </c>
      <c r="BE15" s="180">
        <f t="shared" si="35"/>
        <v>76</v>
      </c>
      <c r="BF15" s="180">
        <f t="shared" si="36"/>
        <v>76</v>
      </c>
      <c r="BG15" s="191">
        <f>AR15+'Housing Generation'!B14</f>
        <v>65</v>
      </c>
      <c r="BH15" s="180">
        <f>AS15+'Housing Generation'!J14</f>
        <v>59</v>
      </c>
      <c r="BI15" s="180">
        <f>AT15+'Housing Generation'!R14</f>
        <v>73</v>
      </c>
      <c r="BJ15" s="180">
        <f>AU15+'Housing Generation'!Z14</f>
        <v>99</v>
      </c>
      <c r="BK15" s="180">
        <f>AV15+'Housing Generation'!AH14</f>
        <v>96</v>
      </c>
      <c r="BL15" s="180">
        <f>AW15+'Housing Generation'!AP14</f>
        <v>100</v>
      </c>
      <c r="BM15" s="180">
        <f>AX15+'Housing Generation'!AX14</f>
        <v>104</v>
      </c>
      <c r="BN15" s="180">
        <f>AY15+'Housing Generation'!BF14</f>
        <v>107</v>
      </c>
      <c r="BO15" s="180">
        <f>AZ15+'Housing Generation'!BN14</f>
        <v>111</v>
      </c>
      <c r="BP15" s="180">
        <f>BA15+'Housing Generation'!BV14</f>
        <v>116</v>
      </c>
      <c r="BQ15" s="180">
        <f>BB15+'Housing Generation'!CD14</f>
        <v>120</v>
      </c>
      <c r="BR15" s="180">
        <f>BC15+'Housing Generation'!CL14</f>
        <v>121</v>
      </c>
      <c r="BS15" s="180">
        <f>BD15+'Housing Generation'!CT14</f>
        <v>122</v>
      </c>
      <c r="BT15" s="180">
        <f>BE15+'Housing Generation'!DB14</f>
        <v>123</v>
      </c>
      <c r="BU15" s="181">
        <f>BF15+'Housing Generation'!DJ14</f>
        <v>123</v>
      </c>
      <c r="BV15" s="180">
        <f>'P1 Retained'!D14</f>
        <v>36</v>
      </c>
      <c r="BW15" s="192">
        <f>'P1 Retained'!E14</f>
        <v>32</v>
      </c>
      <c r="BX15" s="192">
        <f>'P1 Retained'!F14</f>
        <v>53</v>
      </c>
      <c r="BY15" s="192">
        <f>'P1 Retained'!G14</f>
        <v>43</v>
      </c>
      <c r="BZ15" s="192">
        <f>'P1 Retained'!H14</f>
        <v>37</v>
      </c>
    </row>
    <row r="16" spans="1:78">
      <c r="A16" s="178" t="s">
        <v>19</v>
      </c>
      <c r="B16" s="190">
        <f>'Catchment Births'!O16</f>
        <v>98</v>
      </c>
      <c r="C16" s="190">
        <f>'Catchment Births'!P16</f>
        <v>78</v>
      </c>
      <c r="D16" s="190">
        <f>'Catchment Births'!Q16</f>
        <v>92</v>
      </c>
      <c r="E16" s="190">
        <f>'Catchment Births'!R16</f>
        <v>87</v>
      </c>
      <c r="F16" s="190">
        <f>'Catchment Births'!S16</f>
        <v>93</v>
      </c>
      <c r="G16" s="190">
        <f>'Catchment Births'!T16</f>
        <v>84</v>
      </c>
      <c r="H16" s="190">
        <f>'Catchment Births'!U16</f>
        <v>91</v>
      </c>
      <c r="I16" s="190">
        <f>'Catchment Births'!V16</f>
        <v>98</v>
      </c>
      <c r="J16" s="195">
        <f>'Catchment Births'!W16</f>
        <v>75</v>
      </c>
      <c r="K16" s="190">
        <f t="shared" si="37"/>
        <v>88.961303462321794</v>
      </c>
      <c r="L16" s="190">
        <f t="shared" si="0"/>
        <v>90.232179226069249</v>
      </c>
      <c r="M16" s="190">
        <f t="shared" si="1"/>
        <v>91.323828920570264</v>
      </c>
      <c r="N16" s="190">
        <f t="shared" si="2"/>
        <v>92.187372708757636</v>
      </c>
      <c r="O16" s="190">
        <f t="shared" si="3"/>
        <v>92.855397148676175</v>
      </c>
      <c r="P16" s="190">
        <f t="shared" si="4"/>
        <v>93.311608961303463</v>
      </c>
      <c r="Q16" s="190">
        <f t="shared" si="5"/>
        <v>93.572301425661919</v>
      </c>
      <c r="R16" s="190">
        <f t="shared" si="6"/>
        <v>93.865580448065174</v>
      </c>
      <c r="S16" s="190">
        <f t="shared" si="7"/>
        <v>93.88187372708758</v>
      </c>
      <c r="T16" s="195">
        <f t="shared" si="8"/>
        <v>93.849287169042768</v>
      </c>
      <c r="U16" s="190">
        <f>'All P1 In Catchment'!G15</f>
        <v>77</v>
      </c>
      <c r="V16" s="190">
        <f>'All P1 In Catchment'!I15</f>
        <v>83</v>
      </c>
      <c r="W16" s="190">
        <f>'All P1 In Catchment'!K15</f>
        <v>90</v>
      </c>
      <c r="X16" s="180">
        <f>'All P1 In Catchment'!M15</f>
        <v>79</v>
      </c>
      <c r="Y16" s="180">
        <f>'All P1 In Catchment'!O15</f>
        <v>90</v>
      </c>
      <c r="Z16" s="191">
        <f t="shared" si="9"/>
        <v>79</v>
      </c>
      <c r="AA16" s="180">
        <f t="shared" si="10"/>
        <v>86</v>
      </c>
      <c r="AB16" s="180">
        <f t="shared" si="39"/>
        <v>92</v>
      </c>
      <c r="AC16" s="180">
        <f t="shared" si="40"/>
        <v>71</v>
      </c>
      <c r="AD16" s="180">
        <f t="shared" si="41"/>
        <v>84</v>
      </c>
      <c r="AE16" s="180">
        <f t="shared" si="42"/>
        <v>85</v>
      </c>
      <c r="AF16" s="180">
        <f t="shared" si="43"/>
        <v>86</v>
      </c>
      <c r="AG16" s="180">
        <f t="shared" si="44"/>
        <v>87</v>
      </c>
      <c r="AH16" s="180">
        <f t="shared" si="45"/>
        <v>87</v>
      </c>
      <c r="AI16" s="180">
        <f t="shared" si="46"/>
        <v>88</v>
      </c>
      <c r="AJ16" s="180">
        <f t="shared" si="47"/>
        <v>88</v>
      </c>
      <c r="AK16" s="180">
        <f t="shared" si="48"/>
        <v>88</v>
      </c>
      <c r="AL16" s="180">
        <f t="shared" si="49"/>
        <v>88</v>
      </c>
      <c r="AM16" s="181">
        <f t="shared" si="50"/>
        <v>88</v>
      </c>
      <c r="AN16" s="180">
        <f>'All P1 In Catchment'!F15</f>
        <v>69</v>
      </c>
      <c r="AO16" s="180">
        <f>'All P1 In Catchment'!H15</f>
        <v>73</v>
      </c>
      <c r="AP16" s="180">
        <f>'All P1 In Catchment'!J15</f>
        <v>77</v>
      </c>
      <c r="AQ16" s="180">
        <f>'All P1 In Catchment'!L15</f>
        <v>67</v>
      </c>
      <c r="AR16" s="181">
        <f>'All P1 In Catchment'!N15</f>
        <v>77</v>
      </c>
      <c r="AS16" s="180">
        <f t="shared" si="23"/>
        <v>67</v>
      </c>
      <c r="AT16" s="180">
        <f t="shared" si="24"/>
        <v>73</v>
      </c>
      <c r="AU16" s="180">
        <f t="shared" si="25"/>
        <v>78</v>
      </c>
      <c r="AV16" s="180">
        <f t="shared" si="26"/>
        <v>61</v>
      </c>
      <c r="AW16" s="180">
        <f t="shared" si="27"/>
        <v>72</v>
      </c>
      <c r="AX16" s="180">
        <f t="shared" si="28"/>
        <v>73</v>
      </c>
      <c r="AY16" s="180">
        <f t="shared" si="29"/>
        <v>73</v>
      </c>
      <c r="AZ16" s="180">
        <f t="shared" si="30"/>
        <v>74</v>
      </c>
      <c r="BA16" s="180">
        <f t="shared" si="31"/>
        <v>74</v>
      </c>
      <c r="BB16" s="180">
        <f t="shared" si="32"/>
        <v>75</v>
      </c>
      <c r="BC16" s="180">
        <f t="shared" si="33"/>
        <v>75</v>
      </c>
      <c r="BD16" s="180">
        <f t="shared" si="34"/>
        <v>75</v>
      </c>
      <c r="BE16" s="180">
        <f t="shared" si="35"/>
        <v>75</v>
      </c>
      <c r="BF16" s="180">
        <f t="shared" si="36"/>
        <v>75</v>
      </c>
      <c r="BG16" s="191">
        <f>AR16+'Housing Generation'!B15</f>
        <v>77</v>
      </c>
      <c r="BH16" s="180">
        <f>AS16+'Housing Generation'!J15</f>
        <v>68</v>
      </c>
      <c r="BI16" s="180">
        <f>AT16+'Housing Generation'!R15</f>
        <v>74</v>
      </c>
      <c r="BJ16" s="180">
        <f>AU16+'Housing Generation'!Z15</f>
        <v>79</v>
      </c>
      <c r="BK16" s="180">
        <f>AV16+'Housing Generation'!AH15</f>
        <v>62</v>
      </c>
      <c r="BL16" s="180">
        <f>AW16+'Housing Generation'!AP15</f>
        <v>73</v>
      </c>
      <c r="BM16" s="180">
        <f>AX16+'Housing Generation'!AX15</f>
        <v>74</v>
      </c>
      <c r="BN16" s="180">
        <f>AY16+'Housing Generation'!BF15</f>
        <v>74</v>
      </c>
      <c r="BO16" s="180">
        <f>AZ16+'Housing Generation'!BN15</f>
        <v>75</v>
      </c>
      <c r="BP16" s="180">
        <f>BA16+'Housing Generation'!BV15</f>
        <v>75</v>
      </c>
      <c r="BQ16" s="180">
        <f>BB16+'Housing Generation'!CD15</f>
        <v>76</v>
      </c>
      <c r="BR16" s="180">
        <f>BC16+'Housing Generation'!CL15</f>
        <v>76</v>
      </c>
      <c r="BS16" s="180">
        <f>BD16+'Housing Generation'!CT15</f>
        <v>75</v>
      </c>
      <c r="BT16" s="180">
        <f>BE16+'Housing Generation'!DB15</f>
        <v>75</v>
      </c>
      <c r="BU16" s="181">
        <f>BF16+'Housing Generation'!DJ15</f>
        <v>75</v>
      </c>
      <c r="BV16" s="180">
        <f>'P1 Retained'!D15</f>
        <v>60</v>
      </c>
      <c r="BW16" s="192">
        <f>'P1 Retained'!E15</f>
        <v>70</v>
      </c>
      <c r="BX16" s="192">
        <f>'P1 Retained'!F15</f>
        <v>70</v>
      </c>
      <c r="BY16" s="192">
        <f>'P1 Retained'!G15</f>
        <v>58</v>
      </c>
      <c r="BZ16" s="192">
        <f>'P1 Retained'!H15</f>
        <v>69</v>
      </c>
    </row>
    <row r="17" spans="1:78">
      <c r="A17" s="178" t="s">
        <v>20</v>
      </c>
      <c r="B17" s="190">
        <f>'Catchment Births'!O17</f>
        <v>47</v>
      </c>
      <c r="C17" s="190">
        <f>'Catchment Births'!P17</f>
        <v>47</v>
      </c>
      <c r="D17" s="190">
        <f>'Catchment Births'!Q17</f>
        <v>69</v>
      </c>
      <c r="E17" s="190">
        <f>'Catchment Births'!R17</f>
        <v>60</v>
      </c>
      <c r="F17" s="190">
        <f>'Catchment Births'!S17</f>
        <v>44</v>
      </c>
      <c r="G17" s="190">
        <f>'Catchment Births'!T17</f>
        <v>47</v>
      </c>
      <c r="H17" s="190">
        <f>'Catchment Births'!U17</f>
        <v>47</v>
      </c>
      <c r="I17" s="190">
        <f>'Catchment Births'!V17</f>
        <v>44</v>
      </c>
      <c r="J17" s="195">
        <f>'Catchment Births'!W17</f>
        <v>42</v>
      </c>
      <c r="K17" s="190">
        <f t="shared" si="37"/>
        <v>44.817626365487875</v>
      </c>
      <c r="L17" s="190">
        <f t="shared" si="0"/>
        <v>45.45787817070913</v>
      </c>
      <c r="M17" s="190">
        <f t="shared" si="1"/>
        <v>46.007838054681237</v>
      </c>
      <c r="N17" s="190">
        <f t="shared" si="2"/>
        <v>46.442880947972604</v>
      </c>
      <c r="O17" s="190">
        <f t="shared" si="3"/>
        <v>46.77942356353762</v>
      </c>
      <c r="P17" s="190">
        <f t="shared" si="4"/>
        <v>47.009257544899093</v>
      </c>
      <c r="Q17" s="190">
        <f t="shared" si="5"/>
        <v>47.140591248534221</v>
      </c>
      <c r="R17" s="190">
        <f t="shared" si="6"/>
        <v>47.288341665123738</v>
      </c>
      <c r="S17" s="190">
        <f t="shared" si="7"/>
        <v>47.296550021600936</v>
      </c>
      <c r="T17" s="195">
        <f t="shared" si="8"/>
        <v>47.280133308646548</v>
      </c>
      <c r="U17" s="190">
        <f>'All P1 In Catchment'!G16</f>
        <v>51</v>
      </c>
      <c r="V17" s="190">
        <f>'All P1 In Catchment'!I16</f>
        <v>50</v>
      </c>
      <c r="W17" s="190">
        <f>'All P1 In Catchment'!K16</f>
        <v>49</v>
      </c>
      <c r="X17" s="180">
        <f>'All P1 In Catchment'!M16</f>
        <v>47</v>
      </c>
      <c r="Y17" s="180">
        <f>'All P1 In Catchment'!O16</f>
        <v>43</v>
      </c>
      <c r="Z17" s="191">
        <f t="shared" si="9"/>
        <v>43</v>
      </c>
      <c r="AA17" s="180">
        <f t="shared" si="10"/>
        <v>43</v>
      </c>
      <c r="AB17" s="180">
        <f t="shared" si="39"/>
        <v>41</v>
      </c>
      <c r="AC17" s="180">
        <f t="shared" si="40"/>
        <v>39</v>
      </c>
      <c r="AD17" s="180">
        <f t="shared" si="41"/>
        <v>41</v>
      </c>
      <c r="AE17" s="180">
        <f t="shared" si="42"/>
        <v>42</v>
      </c>
      <c r="AF17" s="180">
        <f t="shared" si="43"/>
        <v>43</v>
      </c>
      <c r="AG17" s="180">
        <f t="shared" si="44"/>
        <v>43</v>
      </c>
      <c r="AH17" s="180">
        <f t="shared" si="45"/>
        <v>43</v>
      </c>
      <c r="AI17" s="180">
        <f t="shared" si="46"/>
        <v>43</v>
      </c>
      <c r="AJ17" s="180">
        <f t="shared" si="47"/>
        <v>44</v>
      </c>
      <c r="AK17" s="180">
        <f t="shared" si="48"/>
        <v>44</v>
      </c>
      <c r="AL17" s="180">
        <f t="shared" si="49"/>
        <v>44</v>
      </c>
      <c r="AM17" s="181">
        <f t="shared" si="50"/>
        <v>44</v>
      </c>
      <c r="AN17" s="180">
        <f>'All P1 In Catchment'!F16</f>
        <v>49</v>
      </c>
      <c r="AO17" s="180">
        <f>'All P1 In Catchment'!H16</f>
        <v>42</v>
      </c>
      <c r="AP17" s="180">
        <f>'All P1 In Catchment'!J16</f>
        <v>42</v>
      </c>
      <c r="AQ17" s="180">
        <f>'All P1 In Catchment'!L16</f>
        <v>41</v>
      </c>
      <c r="AR17" s="181">
        <f>'All P1 In Catchment'!N16</f>
        <v>39</v>
      </c>
      <c r="AS17" s="180">
        <f t="shared" si="23"/>
        <v>38</v>
      </c>
      <c r="AT17" s="180">
        <f t="shared" si="24"/>
        <v>38</v>
      </c>
      <c r="AU17" s="180">
        <f t="shared" si="25"/>
        <v>36</v>
      </c>
      <c r="AV17" s="180">
        <f t="shared" si="26"/>
        <v>34</v>
      </c>
      <c r="AW17" s="180">
        <f t="shared" si="27"/>
        <v>36</v>
      </c>
      <c r="AX17" s="180">
        <f t="shared" si="28"/>
        <v>37</v>
      </c>
      <c r="AY17" s="180">
        <f t="shared" si="29"/>
        <v>38</v>
      </c>
      <c r="AZ17" s="180">
        <f t="shared" si="30"/>
        <v>38</v>
      </c>
      <c r="BA17" s="180">
        <f t="shared" si="31"/>
        <v>38</v>
      </c>
      <c r="BB17" s="180">
        <f t="shared" si="32"/>
        <v>38</v>
      </c>
      <c r="BC17" s="180">
        <f t="shared" si="33"/>
        <v>39</v>
      </c>
      <c r="BD17" s="180">
        <f t="shared" si="34"/>
        <v>39</v>
      </c>
      <c r="BE17" s="180">
        <f t="shared" si="35"/>
        <v>39</v>
      </c>
      <c r="BF17" s="180">
        <f t="shared" si="36"/>
        <v>39</v>
      </c>
      <c r="BG17" s="191">
        <f>AR17+'Housing Generation'!B16</f>
        <v>39</v>
      </c>
      <c r="BH17" s="180">
        <f>AS17+'Housing Generation'!J16</f>
        <v>38</v>
      </c>
      <c r="BI17" s="180">
        <f>AT17+'Housing Generation'!R16</f>
        <v>38</v>
      </c>
      <c r="BJ17" s="180">
        <f>AU17+'Housing Generation'!Z16</f>
        <v>36</v>
      </c>
      <c r="BK17" s="180">
        <f>AV17+'Housing Generation'!AH16</f>
        <v>34</v>
      </c>
      <c r="BL17" s="180">
        <f>AW17+'Housing Generation'!AP16</f>
        <v>36</v>
      </c>
      <c r="BM17" s="180">
        <f>AX17+'Housing Generation'!AX16</f>
        <v>37</v>
      </c>
      <c r="BN17" s="180">
        <f>AY17+'Housing Generation'!BF16</f>
        <v>38</v>
      </c>
      <c r="BO17" s="180">
        <f>AZ17+'Housing Generation'!BN16</f>
        <v>38</v>
      </c>
      <c r="BP17" s="180">
        <f>BA17+'Housing Generation'!BV16</f>
        <v>38</v>
      </c>
      <c r="BQ17" s="180">
        <f>BB17+'Housing Generation'!CD16</f>
        <v>38</v>
      </c>
      <c r="BR17" s="180">
        <f>BC17+'Housing Generation'!CL16</f>
        <v>39</v>
      </c>
      <c r="BS17" s="180">
        <f>BD17+'Housing Generation'!CT16</f>
        <v>39</v>
      </c>
      <c r="BT17" s="180">
        <f>BE17+'Housing Generation'!DB16</f>
        <v>39</v>
      </c>
      <c r="BU17" s="181">
        <f>BF17+'Housing Generation'!DJ16</f>
        <v>39</v>
      </c>
      <c r="BV17" s="180">
        <f>'P1 Retained'!D16</f>
        <v>23</v>
      </c>
      <c r="BW17" s="192">
        <f>'P1 Retained'!E16</f>
        <v>30</v>
      </c>
      <c r="BX17" s="192">
        <f>'P1 Retained'!F16</f>
        <v>23</v>
      </c>
      <c r="BY17" s="192">
        <f>'P1 Retained'!G16</f>
        <v>28</v>
      </c>
      <c r="BZ17" s="192">
        <f>'P1 Retained'!H16</f>
        <v>27</v>
      </c>
    </row>
    <row r="18" spans="1:78">
      <c r="A18" s="178" t="s">
        <v>21</v>
      </c>
      <c r="B18" s="190">
        <f>'Catchment Births'!O18</f>
        <v>50</v>
      </c>
      <c r="C18" s="190">
        <f>'Catchment Births'!P18</f>
        <v>55</v>
      </c>
      <c r="D18" s="190">
        <f>'Catchment Births'!Q18</f>
        <v>77</v>
      </c>
      <c r="E18" s="190">
        <f>'Catchment Births'!R18</f>
        <v>54</v>
      </c>
      <c r="F18" s="190">
        <f>'Catchment Births'!S18</f>
        <v>57</v>
      </c>
      <c r="G18" s="190">
        <f>'Catchment Births'!T18</f>
        <v>41</v>
      </c>
      <c r="H18" s="190">
        <f>'Catchment Births'!U18</f>
        <v>40</v>
      </c>
      <c r="I18" s="190">
        <f>'Catchment Births'!V18</f>
        <v>60</v>
      </c>
      <c r="J18" s="195">
        <f>'Catchment Births'!W18</f>
        <v>37</v>
      </c>
      <c r="K18" s="190">
        <f t="shared" si="37"/>
        <v>46.165524902795774</v>
      </c>
      <c r="L18" s="190">
        <f t="shared" si="0"/>
        <v>46.825032401407142</v>
      </c>
      <c r="M18" s="190">
        <f t="shared" si="1"/>
        <v>47.391532432265628</v>
      </c>
      <c r="N18" s="190">
        <f t="shared" si="2"/>
        <v>47.839659322347714</v>
      </c>
      <c r="O18" s="190">
        <f t="shared" si="3"/>
        <v>48.186323520335741</v>
      </c>
      <c r="P18" s="190">
        <f t="shared" si="4"/>
        <v>48.423069801888538</v>
      </c>
      <c r="Q18" s="190">
        <f t="shared" si="5"/>
        <v>48.558353391347282</v>
      </c>
      <c r="R18" s="190">
        <f t="shared" si="6"/>
        <v>48.710547429488365</v>
      </c>
      <c r="S18" s="190">
        <f t="shared" si="7"/>
        <v>48.719002653829534</v>
      </c>
      <c r="T18" s="195">
        <f t="shared" si="8"/>
        <v>48.702092205147189</v>
      </c>
      <c r="U18" s="190">
        <f>'All P1 In Catchment'!G17</f>
        <v>21</v>
      </c>
      <c r="V18" s="190">
        <f>'All P1 In Catchment'!I17</f>
        <v>33</v>
      </c>
      <c r="W18" s="190">
        <f>'All P1 In Catchment'!K17</f>
        <v>30</v>
      </c>
      <c r="X18" s="180">
        <f>'All P1 In Catchment'!M17</f>
        <v>21</v>
      </c>
      <c r="Y18" s="180">
        <f>'All P1 In Catchment'!O17</f>
        <v>27</v>
      </c>
      <c r="Z18" s="191">
        <f t="shared" si="9"/>
        <v>19</v>
      </c>
      <c r="AA18" s="180">
        <f t="shared" si="10"/>
        <v>18</v>
      </c>
      <c r="AB18" s="180">
        <f t="shared" si="39"/>
        <v>27</v>
      </c>
      <c r="AC18" s="180">
        <f t="shared" si="40"/>
        <v>17</v>
      </c>
      <c r="AD18" s="180">
        <f t="shared" si="41"/>
        <v>21</v>
      </c>
      <c r="AE18" s="180">
        <f t="shared" si="42"/>
        <v>21</v>
      </c>
      <c r="AF18" s="180">
        <f t="shared" si="43"/>
        <v>22</v>
      </c>
      <c r="AG18" s="180">
        <f t="shared" si="44"/>
        <v>22</v>
      </c>
      <c r="AH18" s="180">
        <f t="shared" si="45"/>
        <v>22</v>
      </c>
      <c r="AI18" s="180">
        <f t="shared" si="46"/>
        <v>22</v>
      </c>
      <c r="AJ18" s="180">
        <f t="shared" si="47"/>
        <v>22</v>
      </c>
      <c r="AK18" s="180">
        <f t="shared" si="48"/>
        <v>22</v>
      </c>
      <c r="AL18" s="180">
        <f t="shared" si="49"/>
        <v>22</v>
      </c>
      <c r="AM18" s="181">
        <f t="shared" si="50"/>
        <v>22</v>
      </c>
      <c r="AN18" s="180">
        <f>'All P1 In Catchment'!F17</f>
        <v>20</v>
      </c>
      <c r="AO18" s="180">
        <f>'All P1 In Catchment'!H17</f>
        <v>28</v>
      </c>
      <c r="AP18" s="180">
        <f>'All P1 In Catchment'!J17</f>
        <v>27</v>
      </c>
      <c r="AQ18" s="180">
        <f>'All P1 In Catchment'!L17</f>
        <v>20</v>
      </c>
      <c r="AR18" s="181">
        <f>'All P1 In Catchment'!N17</f>
        <v>24</v>
      </c>
      <c r="AS18" s="180">
        <f t="shared" si="23"/>
        <v>17</v>
      </c>
      <c r="AT18" s="180">
        <f t="shared" si="24"/>
        <v>16</v>
      </c>
      <c r="AU18" s="180">
        <f t="shared" si="25"/>
        <v>25</v>
      </c>
      <c r="AV18" s="180">
        <f t="shared" si="26"/>
        <v>16</v>
      </c>
      <c r="AW18" s="180">
        <f t="shared" si="27"/>
        <v>19</v>
      </c>
      <c r="AX18" s="180">
        <f t="shared" si="28"/>
        <v>19</v>
      </c>
      <c r="AY18" s="180">
        <f t="shared" si="29"/>
        <v>20</v>
      </c>
      <c r="AZ18" s="180">
        <f t="shared" si="30"/>
        <v>20</v>
      </c>
      <c r="BA18" s="180">
        <f t="shared" si="31"/>
        <v>20</v>
      </c>
      <c r="BB18" s="180">
        <f t="shared" si="32"/>
        <v>20</v>
      </c>
      <c r="BC18" s="180">
        <f t="shared" si="33"/>
        <v>20</v>
      </c>
      <c r="BD18" s="180">
        <f t="shared" si="34"/>
        <v>20</v>
      </c>
      <c r="BE18" s="180">
        <f t="shared" si="35"/>
        <v>20</v>
      </c>
      <c r="BF18" s="180">
        <f t="shared" si="36"/>
        <v>20</v>
      </c>
      <c r="BG18" s="191">
        <f>AR18+'Housing Generation'!B17</f>
        <v>24</v>
      </c>
      <c r="BH18" s="180">
        <f>AS18+'Housing Generation'!J17</f>
        <v>17</v>
      </c>
      <c r="BI18" s="180">
        <f>AT18+'Housing Generation'!R17</f>
        <v>16</v>
      </c>
      <c r="BJ18" s="180">
        <f>AU18+'Housing Generation'!Z17</f>
        <v>25</v>
      </c>
      <c r="BK18" s="180">
        <f>AV18+'Housing Generation'!AH17</f>
        <v>16</v>
      </c>
      <c r="BL18" s="180">
        <f>AW18+'Housing Generation'!AP17</f>
        <v>19</v>
      </c>
      <c r="BM18" s="180">
        <f>AX18+'Housing Generation'!AX17</f>
        <v>19</v>
      </c>
      <c r="BN18" s="180">
        <f>AY18+'Housing Generation'!BF17</f>
        <v>20</v>
      </c>
      <c r="BO18" s="180">
        <f>AZ18+'Housing Generation'!BN17</f>
        <v>20</v>
      </c>
      <c r="BP18" s="180">
        <f>BA18+'Housing Generation'!BV17</f>
        <v>20</v>
      </c>
      <c r="BQ18" s="180">
        <f>BB18+'Housing Generation'!CD17</f>
        <v>20</v>
      </c>
      <c r="BR18" s="180">
        <f>BC18+'Housing Generation'!CL17</f>
        <v>20</v>
      </c>
      <c r="BS18" s="180">
        <f>BD18+'Housing Generation'!CT17</f>
        <v>20</v>
      </c>
      <c r="BT18" s="180">
        <f>BE18+'Housing Generation'!DB17</f>
        <v>20</v>
      </c>
      <c r="BU18" s="181">
        <f>BF18+'Housing Generation'!DJ17</f>
        <v>20</v>
      </c>
      <c r="BV18" s="180">
        <f>'P1 Retained'!D17</f>
        <v>18</v>
      </c>
      <c r="BW18" s="192">
        <f>'P1 Retained'!E17</f>
        <v>26</v>
      </c>
      <c r="BX18" s="192">
        <f>'P1 Retained'!F17</f>
        <v>21</v>
      </c>
      <c r="BY18" s="192">
        <f>'P1 Retained'!G17</f>
        <v>18</v>
      </c>
      <c r="BZ18" s="192">
        <f>'P1 Retained'!H17</f>
        <v>16</v>
      </c>
    </row>
    <row r="19" spans="1:78">
      <c r="A19" s="178" t="s">
        <v>22</v>
      </c>
      <c r="B19" s="190">
        <f>'Catchment Births'!O19</f>
        <v>67</v>
      </c>
      <c r="C19" s="190">
        <f>'Catchment Births'!P19</f>
        <v>67</v>
      </c>
      <c r="D19" s="190">
        <f>'Catchment Births'!Q19</f>
        <v>75</v>
      </c>
      <c r="E19" s="190">
        <f>'Catchment Births'!R19</f>
        <v>66</v>
      </c>
      <c r="F19" s="190">
        <f>'Catchment Births'!S19</f>
        <v>81</v>
      </c>
      <c r="G19" s="190">
        <f>'Catchment Births'!T19</f>
        <v>63</v>
      </c>
      <c r="H19" s="190">
        <f>'Catchment Births'!U19</f>
        <v>73</v>
      </c>
      <c r="I19" s="190">
        <f>'Catchment Births'!V19</f>
        <v>64</v>
      </c>
      <c r="J19" s="195">
        <f>'Catchment Births'!W19</f>
        <v>60</v>
      </c>
      <c r="K19" s="190">
        <f t="shared" si="37"/>
        <v>66.384002962414371</v>
      </c>
      <c r="L19" s="190">
        <f t="shared" si="0"/>
        <v>67.332345861877428</v>
      </c>
      <c r="M19" s="190">
        <f t="shared" si="1"/>
        <v>68.146948096031593</v>
      </c>
      <c r="N19" s="190">
        <f t="shared" si="2"/>
        <v>68.79133493797444</v>
      </c>
      <c r="O19" s="190">
        <f t="shared" si="3"/>
        <v>69.289822872307582</v>
      </c>
      <c r="P19" s="190">
        <f t="shared" si="4"/>
        <v>69.630253656730218</v>
      </c>
      <c r="Q19" s="190">
        <f t="shared" si="5"/>
        <v>69.82478553354315</v>
      </c>
      <c r="R19" s="190">
        <f t="shared" si="6"/>
        <v>70.043633894957708</v>
      </c>
      <c r="S19" s="190">
        <f t="shared" si="7"/>
        <v>70.055792137258521</v>
      </c>
      <c r="T19" s="195">
        <f t="shared" si="8"/>
        <v>70.031475652656908</v>
      </c>
      <c r="U19" s="190">
        <f>'All P1 In Catchment'!G18</f>
        <v>65</v>
      </c>
      <c r="V19" s="190">
        <f>'All P1 In Catchment'!I18</f>
        <v>87</v>
      </c>
      <c r="W19" s="190">
        <f>'All P1 In Catchment'!K18</f>
        <v>76</v>
      </c>
      <c r="X19" s="180">
        <f>'All P1 In Catchment'!M18</f>
        <v>58</v>
      </c>
      <c r="Y19" s="180">
        <f>'All P1 In Catchment'!O18</f>
        <v>82</v>
      </c>
      <c r="Z19" s="191">
        <f t="shared" si="9"/>
        <v>65</v>
      </c>
      <c r="AA19" s="180">
        <f t="shared" si="10"/>
        <v>76</v>
      </c>
      <c r="AB19" s="180">
        <f t="shared" si="39"/>
        <v>66</v>
      </c>
      <c r="AC19" s="180">
        <f t="shared" si="40"/>
        <v>62</v>
      </c>
      <c r="AD19" s="180">
        <f t="shared" si="41"/>
        <v>69</v>
      </c>
      <c r="AE19" s="180">
        <f t="shared" si="42"/>
        <v>70</v>
      </c>
      <c r="AF19" s="180">
        <f t="shared" si="43"/>
        <v>71</v>
      </c>
      <c r="AG19" s="180">
        <f t="shared" si="44"/>
        <v>71</v>
      </c>
      <c r="AH19" s="180">
        <f t="shared" si="45"/>
        <v>72</v>
      </c>
      <c r="AI19" s="180">
        <f t="shared" si="46"/>
        <v>72</v>
      </c>
      <c r="AJ19" s="180">
        <f t="shared" si="47"/>
        <v>72</v>
      </c>
      <c r="AK19" s="180">
        <f t="shared" si="48"/>
        <v>72</v>
      </c>
      <c r="AL19" s="180">
        <f t="shared" si="49"/>
        <v>72</v>
      </c>
      <c r="AM19" s="181">
        <f t="shared" si="50"/>
        <v>72</v>
      </c>
      <c r="AN19" s="180">
        <f>'All P1 In Catchment'!F18</f>
        <v>64</v>
      </c>
      <c r="AO19" s="180">
        <f>'All P1 In Catchment'!H18</f>
        <v>84</v>
      </c>
      <c r="AP19" s="180">
        <f>'All P1 In Catchment'!J18</f>
        <v>76</v>
      </c>
      <c r="AQ19" s="180">
        <f>'All P1 In Catchment'!L18</f>
        <v>57</v>
      </c>
      <c r="AR19" s="181">
        <f>'All P1 In Catchment'!N18</f>
        <v>82</v>
      </c>
      <c r="AS19" s="180">
        <f t="shared" si="23"/>
        <v>65</v>
      </c>
      <c r="AT19" s="180">
        <f t="shared" si="24"/>
        <v>76</v>
      </c>
      <c r="AU19" s="180">
        <f t="shared" si="25"/>
        <v>66</v>
      </c>
      <c r="AV19" s="180">
        <f t="shared" si="26"/>
        <v>62</v>
      </c>
      <c r="AW19" s="180">
        <f t="shared" si="27"/>
        <v>69</v>
      </c>
      <c r="AX19" s="180">
        <f t="shared" si="28"/>
        <v>70</v>
      </c>
      <c r="AY19" s="180">
        <f t="shared" si="29"/>
        <v>71</v>
      </c>
      <c r="AZ19" s="180">
        <f t="shared" si="30"/>
        <v>71</v>
      </c>
      <c r="BA19" s="180">
        <f t="shared" si="31"/>
        <v>72</v>
      </c>
      <c r="BB19" s="180">
        <f t="shared" si="32"/>
        <v>72</v>
      </c>
      <c r="BC19" s="180">
        <f t="shared" si="33"/>
        <v>72</v>
      </c>
      <c r="BD19" s="180">
        <f t="shared" si="34"/>
        <v>72</v>
      </c>
      <c r="BE19" s="180">
        <f t="shared" si="35"/>
        <v>72</v>
      </c>
      <c r="BF19" s="180">
        <f t="shared" si="36"/>
        <v>72</v>
      </c>
      <c r="BG19" s="191">
        <f>AR19+'Housing Generation'!B18</f>
        <v>82</v>
      </c>
      <c r="BH19" s="180">
        <f>AS19+'Housing Generation'!J18</f>
        <v>66</v>
      </c>
      <c r="BI19" s="180">
        <f>AT19+'Housing Generation'!R18</f>
        <v>77</v>
      </c>
      <c r="BJ19" s="180">
        <f>AU19+'Housing Generation'!Z18</f>
        <v>70</v>
      </c>
      <c r="BK19" s="180">
        <f>AV19+'Housing Generation'!AH18</f>
        <v>73</v>
      </c>
      <c r="BL19" s="180">
        <f>AW19+'Housing Generation'!AP18</f>
        <v>91</v>
      </c>
      <c r="BM19" s="180">
        <f>AX19+'Housing Generation'!AX18</f>
        <v>101</v>
      </c>
      <c r="BN19" s="180">
        <f>AY19+'Housing Generation'!BF18</f>
        <v>109</v>
      </c>
      <c r="BO19" s="180">
        <f>AZ19+'Housing Generation'!BN18</f>
        <v>115</v>
      </c>
      <c r="BP19" s="180">
        <f>BA19+'Housing Generation'!BV18</f>
        <v>121</v>
      </c>
      <c r="BQ19" s="180">
        <f>BB19+'Housing Generation'!CD18</f>
        <v>127</v>
      </c>
      <c r="BR19" s="180">
        <f>BC19+'Housing Generation'!CL18</f>
        <v>130</v>
      </c>
      <c r="BS19" s="180">
        <f>BD19+'Housing Generation'!CT18</f>
        <v>133</v>
      </c>
      <c r="BT19" s="180">
        <f>BE19+'Housing Generation'!DB18</f>
        <v>136</v>
      </c>
      <c r="BU19" s="181">
        <f>BF19+'Housing Generation'!DJ18</f>
        <v>139</v>
      </c>
      <c r="BV19" s="180">
        <f>'P1 Retained'!D18</f>
        <v>62</v>
      </c>
      <c r="BW19" s="192">
        <f>'P1 Retained'!E18</f>
        <v>83</v>
      </c>
      <c r="BX19" s="192">
        <f>'P1 Retained'!F18</f>
        <v>72</v>
      </c>
      <c r="BY19" s="192">
        <f>'P1 Retained'!G18</f>
        <v>54</v>
      </c>
      <c r="BZ19" s="192">
        <f>'P1 Retained'!H18</f>
        <v>78</v>
      </c>
    </row>
    <row r="20" spans="1:78">
      <c r="A20" s="178" t="s">
        <v>23</v>
      </c>
      <c r="B20" s="190">
        <f>'Catchment Births'!O20</f>
        <v>88</v>
      </c>
      <c r="C20" s="190">
        <f>'Catchment Births'!P20</f>
        <v>106</v>
      </c>
      <c r="D20" s="190">
        <f>'Catchment Births'!Q20</f>
        <v>107</v>
      </c>
      <c r="E20" s="190">
        <f>'Catchment Births'!R20</f>
        <v>116</v>
      </c>
      <c r="F20" s="190">
        <f>'Catchment Births'!S20</f>
        <v>105</v>
      </c>
      <c r="G20" s="190">
        <f>'Catchment Births'!T20</f>
        <v>111</v>
      </c>
      <c r="H20" s="190">
        <f>'Catchment Births'!U20</f>
        <v>92</v>
      </c>
      <c r="I20" s="190">
        <f>'Catchment Births'!V20</f>
        <v>101</v>
      </c>
      <c r="J20" s="195">
        <f>'Catchment Births'!W20</f>
        <v>89</v>
      </c>
      <c r="K20" s="190">
        <f t="shared" si="37"/>
        <v>95.026846880207373</v>
      </c>
      <c r="L20" s="190">
        <f t="shared" si="0"/>
        <v>96.384373264210339</v>
      </c>
      <c r="M20" s="190">
        <f t="shared" si="1"/>
        <v>97.550453619700065</v>
      </c>
      <c r="N20" s="190">
        <f t="shared" si="2"/>
        <v>98.472875393445662</v>
      </c>
      <c r="O20" s="190">
        <f t="shared" si="3"/>
        <v>99.186446954267737</v>
      </c>
      <c r="P20" s="190">
        <f t="shared" si="4"/>
        <v>99.673764117755979</v>
      </c>
      <c r="Q20" s="190">
        <f t="shared" si="5"/>
        <v>99.952231068320685</v>
      </c>
      <c r="R20" s="190">
        <f t="shared" si="6"/>
        <v>100.26550638770598</v>
      </c>
      <c r="S20" s="190">
        <f t="shared" si="7"/>
        <v>100.28291057211628</v>
      </c>
      <c r="T20" s="195">
        <f t="shared" si="8"/>
        <v>100.24810220329569</v>
      </c>
      <c r="U20" s="190">
        <f>'All P1 In Catchment'!G19</f>
        <v>76</v>
      </c>
      <c r="V20" s="190">
        <f>'All P1 In Catchment'!I19</f>
        <v>80</v>
      </c>
      <c r="W20" s="190">
        <f>'All P1 In Catchment'!K19</f>
        <v>75</v>
      </c>
      <c r="X20" s="180">
        <f>'All P1 In Catchment'!M19</f>
        <v>72</v>
      </c>
      <c r="Y20" s="180">
        <f>'All P1 In Catchment'!O19</f>
        <v>76</v>
      </c>
      <c r="Z20" s="191">
        <f t="shared" si="9"/>
        <v>81</v>
      </c>
      <c r="AA20" s="180">
        <f t="shared" si="10"/>
        <v>67</v>
      </c>
      <c r="AB20" s="180">
        <f t="shared" si="39"/>
        <v>74</v>
      </c>
      <c r="AC20" s="180">
        <f t="shared" si="40"/>
        <v>65</v>
      </c>
      <c r="AD20" s="180">
        <f t="shared" si="41"/>
        <v>70</v>
      </c>
      <c r="AE20" s="180">
        <f t="shared" si="42"/>
        <v>71</v>
      </c>
      <c r="AF20" s="180">
        <f t="shared" si="43"/>
        <v>71</v>
      </c>
      <c r="AG20" s="180">
        <f t="shared" si="44"/>
        <v>72</v>
      </c>
      <c r="AH20" s="180">
        <f t="shared" si="45"/>
        <v>73</v>
      </c>
      <c r="AI20" s="180">
        <f t="shared" si="46"/>
        <v>73</v>
      </c>
      <c r="AJ20" s="180">
        <f t="shared" si="47"/>
        <v>73</v>
      </c>
      <c r="AK20" s="180">
        <f t="shared" si="48"/>
        <v>73</v>
      </c>
      <c r="AL20" s="180">
        <f t="shared" si="49"/>
        <v>73</v>
      </c>
      <c r="AM20" s="181">
        <f t="shared" si="50"/>
        <v>73</v>
      </c>
      <c r="AN20" s="180">
        <f>'All P1 In Catchment'!F19</f>
        <v>55</v>
      </c>
      <c r="AO20" s="180">
        <f>'All P1 In Catchment'!H19</f>
        <v>52</v>
      </c>
      <c r="AP20" s="180">
        <f>'All P1 In Catchment'!J19</f>
        <v>51</v>
      </c>
      <c r="AQ20" s="180">
        <f>'All P1 In Catchment'!L19</f>
        <v>59</v>
      </c>
      <c r="AR20" s="181">
        <f>'All P1 In Catchment'!N19</f>
        <v>53</v>
      </c>
      <c r="AS20" s="180">
        <f t="shared" si="23"/>
        <v>59</v>
      </c>
      <c r="AT20" s="180">
        <f t="shared" si="24"/>
        <v>49</v>
      </c>
      <c r="AU20" s="180">
        <f t="shared" si="25"/>
        <v>54</v>
      </c>
      <c r="AV20" s="180">
        <f t="shared" si="26"/>
        <v>48</v>
      </c>
      <c r="AW20" s="180">
        <f t="shared" si="27"/>
        <v>51</v>
      </c>
      <c r="AX20" s="180">
        <f t="shared" si="28"/>
        <v>52</v>
      </c>
      <c r="AY20" s="180">
        <f t="shared" si="29"/>
        <v>52</v>
      </c>
      <c r="AZ20" s="180">
        <f t="shared" si="30"/>
        <v>53</v>
      </c>
      <c r="BA20" s="180">
        <f t="shared" si="31"/>
        <v>53</v>
      </c>
      <c r="BB20" s="180">
        <f t="shared" si="32"/>
        <v>53</v>
      </c>
      <c r="BC20" s="180">
        <f t="shared" si="33"/>
        <v>53</v>
      </c>
      <c r="BD20" s="180">
        <f t="shared" si="34"/>
        <v>53</v>
      </c>
      <c r="BE20" s="180">
        <f t="shared" si="35"/>
        <v>53</v>
      </c>
      <c r="BF20" s="180">
        <f t="shared" si="36"/>
        <v>53</v>
      </c>
      <c r="BG20" s="191">
        <f>AR20+'Housing Generation'!B19</f>
        <v>53</v>
      </c>
      <c r="BH20" s="180">
        <f>AS20+'Housing Generation'!J19</f>
        <v>60</v>
      </c>
      <c r="BI20" s="180">
        <f>AT20+'Housing Generation'!R19</f>
        <v>50</v>
      </c>
      <c r="BJ20" s="180">
        <f>AU20+'Housing Generation'!Z19</f>
        <v>55</v>
      </c>
      <c r="BK20" s="180">
        <f>AV20+'Housing Generation'!AH19</f>
        <v>49</v>
      </c>
      <c r="BL20" s="180">
        <f>AW20+'Housing Generation'!AP19</f>
        <v>53</v>
      </c>
      <c r="BM20" s="180">
        <f>AX20+'Housing Generation'!AX19</f>
        <v>54</v>
      </c>
      <c r="BN20" s="180">
        <f>AY20+'Housing Generation'!BF19</f>
        <v>54</v>
      </c>
      <c r="BO20" s="180">
        <f>AZ20+'Housing Generation'!BN19</f>
        <v>55</v>
      </c>
      <c r="BP20" s="180">
        <f>BA20+'Housing Generation'!BV19</f>
        <v>56</v>
      </c>
      <c r="BQ20" s="180">
        <f>BB20+'Housing Generation'!CD19</f>
        <v>56</v>
      </c>
      <c r="BR20" s="180">
        <f>BC20+'Housing Generation'!CL19</f>
        <v>56</v>
      </c>
      <c r="BS20" s="180">
        <f>BD20+'Housing Generation'!CT19</f>
        <v>56</v>
      </c>
      <c r="BT20" s="180">
        <f>BE20+'Housing Generation'!DB19</f>
        <v>56</v>
      </c>
      <c r="BU20" s="181">
        <f>BF20+'Housing Generation'!DJ19</f>
        <v>56</v>
      </c>
      <c r="BV20" s="180">
        <f>'P1 Retained'!D19</f>
        <v>28</v>
      </c>
      <c r="BW20" s="192">
        <f>'P1 Retained'!E19</f>
        <v>33</v>
      </c>
      <c r="BX20" s="192">
        <f>'P1 Retained'!F19</f>
        <v>37</v>
      </c>
      <c r="BY20" s="192">
        <f>'P1 Retained'!G19</f>
        <v>49</v>
      </c>
      <c r="BZ20" s="192">
        <f>'P1 Retained'!H19</f>
        <v>35</v>
      </c>
    </row>
    <row r="21" spans="1:78">
      <c r="A21" s="178" t="s">
        <v>24</v>
      </c>
      <c r="B21" s="190">
        <f>'Catchment Births'!O21</f>
        <v>86</v>
      </c>
      <c r="C21" s="190">
        <f>'Catchment Births'!P21</f>
        <v>90</v>
      </c>
      <c r="D21" s="190">
        <f>'Catchment Births'!Q21</f>
        <v>94</v>
      </c>
      <c r="E21" s="190">
        <f>'Catchment Births'!R21</f>
        <v>109</v>
      </c>
      <c r="F21" s="190">
        <f>'Catchment Births'!S21</f>
        <v>88</v>
      </c>
      <c r="G21" s="190">
        <f>'Catchment Births'!T21</f>
        <v>78</v>
      </c>
      <c r="H21" s="190">
        <f>'Catchment Births'!U21</f>
        <v>80</v>
      </c>
      <c r="I21" s="190">
        <f>'Catchment Births'!V21</f>
        <v>86</v>
      </c>
      <c r="J21" s="195">
        <f>'Catchment Births'!W21</f>
        <v>59</v>
      </c>
      <c r="K21" s="190">
        <f t="shared" si="37"/>
        <v>75.819292723569703</v>
      </c>
      <c r="L21" s="190">
        <f t="shared" si="0"/>
        <v>76.902425476763554</v>
      </c>
      <c r="M21" s="190">
        <f t="shared" si="1"/>
        <v>77.83280873912237</v>
      </c>
      <c r="N21" s="190">
        <f t="shared" si="2"/>
        <v>78.568783558600245</v>
      </c>
      <c r="O21" s="190">
        <f t="shared" si="3"/>
        <v>79.138122569894449</v>
      </c>
      <c r="P21" s="190">
        <f t="shared" si="4"/>
        <v>79.526939455656347</v>
      </c>
      <c r="Q21" s="190">
        <f t="shared" si="5"/>
        <v>79.749120533234574</v>
      </c>
      <c r="R21" s="190">
        <f t="shared" si="6"/>
        <v>79.999074245510073</v>
      </c>
      <c r="S21" s="190">
        <f t="shared" si="7"/>
        <v>80.012960562858709</v>
      </c>
      <c r="T21" s="195">
        <f t="shared" si="8"/>
        <v>79.985187928161437</v>
      </c>
      <c r="U21" s="190">
        <f>'All P1 In Catchment'!G20</f>
        <v>47</v>
      </c>
      <c r="V21" s="190">
        <f>'All P1 In Catchment'!I20</f>
        <v>47</v>
      </c>
      <c r="W21" s="190">
        <f>'All P1 In Catchment'!K20</f>
        <v>61</v>
      </c>
      <c r="X21" s="180">
        <f>'All P1 In Catchment'!M20</f>
        <v>55</v>
      </c>
      <c r="Y21" s="180">
        <f>'All P1 In Catchment'!O20</f>
        <v>44</v>
      </c>
      <c r="Z21" s="191">
        <f t="shared" si="9"/>
        <v>42</v>
      </c>
      <c r="AA21" s="180">
        <f t="shared" si="10"/>
        <v>44</v>
      </c>
      <c r="AB21" s="180">
        <f t="shared" si="39"/>
        <v>47</v>
      </c>
      <c r="AC21" s="180">
        <f t="shared" si="40"/>
        <v>32</v>
      </c>
      <c r="AD21" s="180">
        <f t="shared" si="41"/>
        <v>41</v>
      </c>
      <c r="AE21" s="180">
        <f t="shared" si="42"/>
        <v>42</v>
      </c>
      <c r="AF21" s="180">
        <f t="shared" si="43"/>
        <v>42</v>
      </c>
      <c r="AG21" s="180">
        <f t="shared" si="44"/>
        <v>43</v>
      </c>
      <c r="AH21" s="180">
        <f t="shared" si="45"/>
        <v>43</v>
      </c>
      <c r="AI21" s="180">
        <f t="shared" si="46"/>
        <v>43</v>
      </c>
      <c r="AJ21" s="180">
        <f t="shared" si="47"/>
        <v>43</v>
      </c>
      <c r="AK21" s="180">
        <f t="shared" si="48"/>
        <v>44</v>
      </c>
      <c r="AL21" s="180">
        <f t="shared" si="49"/>
        <v>44</v>
      </c>
      <c r="AM21" s="181">
        <f t="shared" si="50"/>
        <v>44</v>
      </c>
      <c r="AN21" s="180">
        <f>'All P1 In Catchment'!F20</f>
        <v>45</v>
      </c>
      <c r="AO21" s="180">
        <f>'All P1 In Catchment'!H20</f>
        <v>46</v>
      </c>
      <c r="AP21" s="180">
        <f>'All P1 In Catchment'!J20</f>
        <v>60</v>
      </c>
      <c r="AQ21" s="180">
        <f>'All P1 In Catchment'!L20</f>
        <v>53</v>
      </c>
      <c r="AR21" s="181">
        <f>'All P1 In Catchment'!N20</f>
        <v>43</v>
      </c>
      <c r="AS21" s="180">
        <f t="shared" si="23"/>
        <v>41</v>
      </c>
      <c r="AT21" s="180">
        <f t="shared" si="24"/>
        <v>43</v>
      </c>
      <c r="AU21" s="180">
        <f t="shared" si="25"/>
        <v>46</v>
      </c>
      <c r="AV21" s="180">
        <f t="shared" si="26"/>
        <v>31</v>
      </c>
      <c r="AW21" s="180">
        <f t="shared" si="27"/>
        <v>40</v>
      </c>
      <c r="AX21" s="180">
        <f t="shared" si="28"/>
        <v>41</v>
      </c>
      <c r="AY21" s="180">
        <f t="shared" si="29"/>
        <v>41</v>
      </c>
      <c r="AZ21" s="180">
        <f t="shared" si="30"/>
        <v>42</v>
      </c>
      <c r="BA21" s="180">
        <f t="shared" si="31"/>
        <v>42</v>
      </c>
      <c r="BB21" s="180">
        <f t="shared" si="32"/>
        <v>42</v>
      </c>
      <c r="BC21" s="180">
        <f t="shared" si="33"/>
        <v>42</v>
      </c>
      <c r="BD21" s="180">
        <f t="shared" si="34"/>
        <v>43</v>
      </c>
      <c r="BE21" s="180">
        <f t="shared" si="35"/>
        <v>43</v>
      </c>
      <c r="BF21" s="180">
        <f t="shared" si="36"/>
        <v>43</v>
      </c>
      <c r="BG21" s="191">
        <f>AR21+'Housing Generation'!B20</f>
        <v>43</v>
      </c>
      <c r="BH21" s="180">
        <f>AS21+'Housing Generation'!J20</f>
        <v>41</v>
      </c>
      <c r="BI21" s="180">
        <f>AT21+'Housing Generation'!R20</f>
        <v>43</v>
      </c>
      <c r="BJ21" s="180">
        <f>AU21+'Housing Generation'!Z20</f>
        <v>46</v>
      </c>
      <c r="BK21" s="180">
        <f>AV21+'Housing Generation'!AH20</f>
        <v>31</v>
      </c>
      <c r="BL21" s="180">
        <f>AW21+'Housing Generation'!AP20</f>
        <v>40</v>
      </c>
      <c r="BM21" s="180">
        <f>AX21+'Housing Generation'!AX20</f>
        <v>41</v>
      </c>
      <c r="BN21" s="180">
        <f>AY21+'Housing Generation'!BF20</f>
        <v>41</v>
      </c>
      <c r="BO21" s="180">
        <f>AZ21+'Housing Generation'!BN20</f>
        <v>42</v>
      </c>
      <c r="BP21" s="180">
        <f>BA21+'Housing Generation'!BV20</f>
        <v>42</v>
      </c>
      <c r="BQ21" s="180">
        <f>BB21+'Housing Generation'!CD20</f>
        <v>42</v>
      </c>
      <c r="BR21" s="180">
        <f>BC21+'Housing Generation'!CL20</f>
        <v>42</v>
      </c>
      <c r="BS21" s="180">
        <f>BD21+'Housing Generation'!CT20</f>
        <v>43</v>
      </c>
      <c r="BT21" s="180">
        <f>BE21+'Housing Generation'!DB20</f>
        <v>43</v>
      </c>
      <c r="BU21" s="181">
        <f>BF21+'Housing Generation'!DJ20</f>
        <v>43</v>
      </c>
      <c r="BV21" s="180">
        <f>'P1 Retained'!D20</f>
        <v>42</v>
      </c>
      <c r="BW21" s="192">
        <f>'P1 Retained'!E20</f>
        <v>43</v>
      </c>
      <c r="BX21" s="192">
        <f>'P1 Retained'!F20</f>
        <v>56</v>
      </c>
      <c r="BY21" s="192">
        <f>'P1 Retained'!G20</f>
        <v>52</v>
      </c>
      <c r="BZ21" s="192">
        <f>'P1 Retained'!H20</f>
        <v>40</v>
      </c>
    </row>
    <row r="22" spans="1:78">
      <c r="A22" s="178" t="s">
        <v>82</v>
      </c>
      <c r="B22" s="190">
        <f>'Catchment Births'!O22</f>
        <v>101</v>
      </c>
      <c r="C22" s="190">
        <f>'Catchment Births'!P22</f>
        <v>109</v>
      </c>
      <c r="D22" s="190">
        <f>'Catchment Births'!Q22</f>
        <v>91</v>
      </c>
      <c r="E22" s="190">
        <f>'Catchment Births'!R22</f>
        <v>125</v>
      </c>
      <c r="F22" s="190">
        <f>'Catchment Births'!S22</f>
        <v>91</v>
      </c>
      <c r="G22" s="190">
        <f>'Catchment Births'!T22</f>
        <v>106</v>
      </c>
      <c r="H22" s="190">
        <f>'Catchment Births'!U22</f>
        <v>96</v>
      </c>
      <c r="I22" s="190">
        <f>'Catchment Births'!V22</f>
        <v>98</v>
      </c>
      <c r="J22" s="195">
        <f>'Catchment Births'!W22</f>
        <v>80</v>
      </c>
      <c r="K22" s="190">
        <f t="shared" si="37"/>
        <v>92.331049805591547</v>
      </c>
      <c r="L22" s="190">
        <f t="shared" si="0"/>
        <v>93.650064802814285</v>
      </c>
      <c r="M22" s="190">
        <f t="shared" si="1"/>
        <v>94.783064864531255</v>
      </c>
      <c r="N22" s="190">
        <f t="shared" si="2"/>
        <v>95.679318644695428</v>
      </c>
      <c r="O22" s="190">
        <f t="shared" si="3"/>
        <v>96.372647040671481</v>
      </c>
      <c r="P22" s="190">
        <f t="shared" si="4"/>
        <v>96.846139603777075</v>
      </c>
      <c r="Q22" s="190">
        <f t="shared" si="5"/>
        <v>97.116706782694564</v>
      </c>
      <c r="R22" s="190">
        <f t="shared" si="6"/>
        <v>97.42109485897673</v>
      </c>
      <c r="S22" s="190">
        <f t="shared" si="7"/>
        <v>97.438005307659068</v>
      </c>
      <c r="T22" s="195">
        <f t="shared" si="8"/>
        <v>97.404184410294377</v>
      </c>
      <c r="U22" s="190">
        <f>'All P1 In Catchment'!G21</f>
        <v>90</v>
      </c>
      <c r="V22" s="190">
        <f>'All P1 In Catchment'!I21</f>
        <v>85</v>
      </c>
      <c r="W22" s="190">
        <f>'All P1 In Catchment'!K21</f>
        <v>79</v>
      </c>
      <c r="X22" s="180">
        <f>'All P1 In Catchment'!M21</f>
        <v>99</v>
      </c>
      <c r="Y22" s="180">
        <f>'All P1 In Catchment'!O21</f>
        <v>90</v>
      </c>
      <c r="Z22" s="191">
        <f t="shared" si="9"/>
        <v>92</v>
      </c>
      <c r="AA22" s="180">
        <f t="shared" si="10"/>
        <v>83</v>
      </c>
      <c r="AB22" s="180">
        <f t="shared" si="39"/>
        <v>85</v>
      </c>
      <c r="AC22" s="180">
        <f t="shared" si="40"/>
        <v>69</v>
      </c>
      <c r="AD22" s="180">
        <f t="shared" si="41"/>
        <v>80</v>
      </c>
      <c r="AE22" s="180">
        <f t="shared" si="42"/>
        <v>81</v>
      </c>
      <c r="AF22" s="180">
        <f t="shared" si="43"/>
        <v>82</v>
      </c>
      <c r="AG22" s="180">
        <f t="shared" si="44"/>
        <v>83</v>
      </c>
      <c r="AH22" s="180">
        <f t="shared" si="45"/>
        <v>83</v>
      </c>
      <c r="AI22" s="180">
        <f t="shared" si="46"/>
        <v>84</v>
      </c>
      <c r="AJ22" s="180">
        <f t="shared" si="47"/>
        <v>84</v>
      </c>
      <c r="AK22" s="180">
        <f t="shared" si="48"/>
        <v>84</v>
      </c>
      <c r="AL22" s="180">
        <f t="shared" si="49"/>
        <v>84</v>
      </c>
      <c r="AM22" s="181">
        <f t="shared" si="50"/>
        <v>84</v>
      </c>
      <c r="AN22" s="180">
        <f>'All P1 In Catchment'!F21</f>
        <v>75</v>
      </c>
      <c r="AO22" s="180">
        <f>'All P1 In Catchment'!H21</f>
        <v>73</v>
      </c>
      <c r="AP22" s="180">
        <f>'All P1 In Catchment'!J21</f>
        <v>73</v>
      </c>
      <c r="AQ22" s="180">
        <f>'All P1 In Catchment'!L21</f>
        <v>89</v>
      </c>
      <c r="AR22" s="181">
        <f>'All P1 In Catchment'!N21</f>
        <v>78</v>
      </c>
      <c r="AS22" s="180">
        <f t="shared" si="23"/>
        <v>82</v>
      </c>
      <c r="AT22" s="180">
        <f t="shared" si="24"/>
        <v>74</v>
      </c>
      <c r="AU22" s="180">
        <f t="shared" si="25"/>
        <v>76</v>
      </c>
      <c r="AV22" s="180">
        <f t="shared" si="26"/>
        <v>62</v>
      </c>
      <c r="AW22" s="180">
        <f t="shared" si="27"/>
        <v>72</v>
      </c>
      <c r="AX22" s="180">
        <f t="shared" si="28"/>
        <v>73</v>
      </c>
      <c r="AY22" s="180">
        <f t="shared" si="29"/>
        <v>74</v>
      </c>
      <c r="AZ22" s="180">
        <f t="shared" si="30"/>
        <v>74</v>
      </c>
      <c r="BA22" s="180">
        <f t="shared" si="31"/>
        <v>74</v>
      </c>
      <c r="BB22" s="180">
        <f t="shared" si="32"/>
        <v>75</v>
      </c>
      <c r="BC22" s="180">
        <f t="shared" si="33"/>
        <v>75</v>
      </c>
      <c r="BD22" s="180">
        <f t="shared" si="34"/>
        <v>75</v>
      </c>
      <c r="BE22" s="180">
        <f t="shared" si="35"/>
        <v>75</v>
      </c>
      <c r="BF22" s="180">
        <f t="shared" si="36"/>
        <v>75</v>
      </c>
      <c r="BG22" s="191">
        <f>AR22+'Housing Generation'!B21</f>
        <v>78</v>
      </c>
      <c r="BH22" s="180">
        <f>AS22+'Housing Generation'!J21</f>
        <v>82</v>
      </c>
      <c r="BI22" s="180">
        <f>AT22+'Housing Generation'!R21</f>
        <v>75</v>
      </c>
      <c r="BJ22" s="180">
        <f>AU22+'Housing Generation'!Z21</f>
        <v>80</v>
      </c>
      <c r="BK22" s="180">
        <f>AV22+'Housing Generation'!AH21</f>
        <v>70</v>
      </c>
      <c r="BL22" s="180">
        <f>AW22+'Housing Generation'!AP21</f>
        <v>82</v>
      </c>
      <c r="BM22" s="180">
        <f>AX22+'Housing Generation'!AX21</f>
        <v>86</v>
      </c>
      <c r="BN22" s="180">
        <f>AY22+'Housing Generation'!BF21</f>
        <v>90</v>
      </c>
      <c r="BO22" s="180">
        <f>AZ22+'Housing Generation'!BN21</f>
        <v>94</v>
      </c>
      <c r="BP22" s="180">
        <f>BA22+'Housing Generation'!BV21</f>
        <v>96</v>
      </c>
      <c r="BQ22" s="180">
        <f>BB22+'Housing Generation'!CD21</f>
        <v>97</v>
      </c>
      <c r="BR22" s="180">
        <f>BC22+'Housing Generation'!CL21</f>
        <v>97</v>
      </c>
      <c r="BS22" s="180">
        <f>BD22+'Housing Generation'!CT21</f>
        <v>97</v>
      </c>
      <c r="BT22" s="180">
        <f>BE22+'Housing Generation'!DB21</f>
        <v>97</v>
      </c>
      <c r="BU22" s="181">
        <f>BF22+'Housing Generation'!DJ21</f>
        <v>97</v>
      </c>
      <c r="BV22" s="180">
        <f>'P1 Retained'!D21</f>
        <v>63</v>
      </c>
      <c r="BW22" s="192">
        <f>'P1 Retained'!E21</f>
        <v>68</v>
      </c>
      <c r="BX22" s="192">
        <f>'P1 Retained'!F21</f>
        <v>64</v>
      </c>
      <c r="BY22" s="192">
        <f>'P1 Retained'!G21</f>
        <v>79</v>
      </c>
      <c r="BZ22" s="192">
        <f>'P1 Retained'!H21</f>
        <v>59</v>
      </c>
    </row>
    <row r="23" spans="1:78">
      <c r="A23" s="178" t="s">
        <v>76</v>
      </c>
      <c r="B23" s="190">
        <f>'Catchment Births'!O23</f>
        <v>93</v>
      </c>
      <c r="C23" s="190">
        <f>'Catchment Births'!P23</f>
        <v>78</v>
      </c>
      <c r="D23" s="190">
        <f>'Catchment Births'!Q23</f>
        <v>85</v>
      </c>
      <c r="E23" s="190">
        <f>'Catchment Births'!R23</f>
        <v>81</v>
      </c>
      <c r="F23" s="190">
        <f>'Catchment Births'!S23</f>
        <v>85</v>
      </c>
      <c r="G23" s="190">
        <f>'Catchment Births'!T23</f>
        <v>84</v>
      </c>
      <c r="H23" s="190">
        <f>'Catchment Births'!U23</f>
        <v>77</v>
      </c>
      <c r="I23" s="190">
        <f>'Catchment Births'!V23</f>
        <v>89</v>
      </c>
      <c r="J23" s="195">
        <f>'Catchment Births'!W23</f>
        <v>104</v>
      </c>
      <c r="K23" s="190">
        <f t="shared" si="37"/>
        <v>90.983151268283649</v>
      </c>
      <c r="L23" s="190">
        <f t="shared" si="0"/>
        <v>92.282910572116279</v>
      </c>
      <c r="M23" s="190">
        <f t="shared" si="1"/>
        <v>93.399370486946864</v>
      </c>
      <c r="N23" s="190">
        <f t="shared" si="2"/>
        <v>94.282540270320311</v>
      </c>
      <c r="O23" s="190">
        <f t="shared" si="3"/>
        <v>94.965747083873353</v>
      </c>
      <c r="P23" s="190">
        <f t="shared" si="4"/>
        <v>95.432327346787631</v>
      </c>
      <c r="Q23" s="190">
        <f t="shared" si="5"/>
        <v>95.698944639881503</v>
      </c>
      <c r="R23" s="190">
        <f t="shared" si="6"/>
        <v>95.99888909461211</v>
      </c>
      <c r="S23" s="190">
        <f t="shared" si="7"/>
        <v>96.01555267543047</v>
      </c>
      <c r="T23" s="195">
        <f t="shared" si="8"/>
        <v>95.982225513793736</v>
      </c>
      <c r="U23" s="190">
        <f>'All P1 In Catchment'!G22</f>
        <v>72</v>
      </c>
      <c r="V23" s="190">
        <f>'All P1 In Catchment'!I22</f>
        <v>82</v>
      </c>
      <c r="W23" s="190">
        <f>'All P1 In Catchment'!K22</f>
        <v>76</v>
      </c>
      <c r="X23" s="180">
        <f>'All P1 In Catchment'!M22</f>
        <v>71</v>
      </c>
      <c r="Y23" s="180">
        <f>'All P1 In Catchment'!O22</f>
        <v>99</v>
      </c>
      <c r="Z23" s="191">
        <f t="shared" si="9"/>
        <v>80</v>
      </c>
      <c r="AA23" s="180">
        <f t="shared" si="10"/>
        <v>73</v>
      </c>
      <c r="AB23" s="180">
        <f t="shared" si="39"/>
        <v>85</v>
      </c>
      <c r="AC23" s="180">
        <f t="shared" si="40"/>
        <v>99</v>
      </c>
      <c r="AD23" s="180">
        <f t="shared" si="41"/>
        <v>87</v>
      </c>
      <c r="AE23" s="180">
        <f t="shared" si="42"/>
        <v>88</v>
      </c>
      <c r="AF23" s="180">
        <f t="shared" si="43"/>
        <v>89</v>
      </c>
      <c r="AG23" s="180">
        <f t="shared" si="44"/>
        <v>90</v>
      </c>
      <c r="AH23" s="180">
        <f t="shared" si="45"/>
        <v>90</v>
      </c>
      <c r="AI23" s="180">
        <f t="shared" si="46"/>
        <v>91</v>
      </c>
      <c r="AJ23" s="180">
        <f t="shared" si="47"/>
        <v>91</v>
      </c>
      <c r="AK23" s="180">
        <f t="shared" si="48"/>
        <v>91</v>
      </c>
      <c r="AL23" s="180">
        <f t="shared" si="49"/>
        <v>91</v>
      </c>
      <c r="AM23" s="181">
        <f t="shared" si="50"/>
        <v>91</v>
      </c>
      <c r="AN23" s="180">
        <f>'All P1 In Catchment'!F22</f>
        <v>62</v>
      </c>
      <c r="AO23" s="180">
        <f>'All P1 In Catchment'!H22</f>
        <v>60</v>
      </c>
      <c r="AP23" s="180">
        <f>'All P1 In Catchment'!J22</f>
        <v>62</v>
      </c>
      <c r="AQ23" s="180">
        <f>'All P1 In Catchment'!L22</f>
        <v>61</v>
      </c>
      <c r="AR23" s="181">
        <f>'All P1 In Catchment'!N22</f>
        <v>77</v>
      </c>
      <c r="AS23" s="180">
        <f t="shared" si="23"/>
        <v>65</v>
      </c>
      <c r="AT23" s="180">
        <f t="shared" si="24"/>
        <v>60</v>
      </c>
      <c r="AU23" s="180">
        <f t="shared" si="25"/>
        <v>69</v>
      </c>
      <c r="AV23" s="180">
        <f t="shared" si="26"/>
        <v>81</v>
      </c>
      <c r="AW23" s="180">
        <f t="shared" si="27"/>
        <v>71</v>
      </c>
      <c r="AX23" s="180">
        <f t="shared" si="28"/>
        <v>72</v>
      </c>
      <c r="AY23" s="180">
        <f t="shared" si="29"/>
        <v>73</v>
      </c>
      <c r="AZ23" s="180">
        <f t="shared" si="30"/>
        <v>74</v>
      </c>
      <c r="BA23" s="180">
        <f t="shared" si="31"/>
        <v>74</v>
      </c>
      <c r="BB23" s="180">
        <f t="shared" si="32"/>
        <v>74</v>
      </c>
      <c r="BC23" s="180">
        <f t="shared" si="33"/>
        <v>74</v>
      </c>
      <c r="BD23" s="180">
        <f t="shared" si="34"/>
        <v>74</v>
      </c>
      <c r="BE23" s="180">
        <f t="shared" si="35"/>
        <v>74</v>
      </c>
      <c r="BF23" s="180">
        <f t="shared" si="36"/>
        <v>74</v>
      </c>
      <c r="BG23" s="191">
        <f>AR23+'Housing Generation'!B22</f>
        <v>79</v>
      </c>
      <c r="BH23" s="180">
        <f>AS23+'Housing Generation'!J22</f>
        <v>68</v>
      </c>
      <c r="BI23" s="180">
        <f>AT23+'Housing Generation'!R22</f>
        <v>63</v>
      </c>
      <c r="BJ23" s="180">
        <f>AU23+'Housing Generation'!Z22</f>
        <v>73</v>
      </c>
      <c r="BK23" s="180">
        <f>AV23+'Housing Generation'!AH22</f>
        <v>87</v>
      </c>
      <c r="BL23" s="180">
        <f>AW23+'Housing Generation'!AP22</f>
        <v>78</v>
      </c>
      <c r="BM23" s="180">
        <f>AX23+'Housing Generation'!AX22</f>
        <v>80</v>
      </c>
      <c r="BN23" s="180">
        <f>AY23+'Housing Generation'!BF22</f>
        <v>82</v>
      </c>
      <c r="BO23" s="180">
        <f>AZ23+'Housing Generation'!BN22</f>
        <v>84</v>
      </c>
      <c r="BP23" s="180">
        <f>BA23+'Housing Generation'!BV22</f>
        <v>85</v>
      </c>
      <c r="BQ23" s="180">
        <f>BB23+'Housing Generation'!CD22</f>
        <v>85</v>
      </c>
      <c r="BR23" s="180">
        <f>BC23+'Housing Generation'!CL22</f>
        <v>85</v>
      </c>
      <c r="BS23" s="180">
        <f>BD23+'Housing Generation'!CT22</f>
        <v>85</v>
      </c>
      <c r="BT23" s="180">
        <f>BE23+'Housing Generation'!DB22</f>
        <v>85</v>
      </c>
      <c r="BU23" s="181">
        <f>BF23+'Housing Generation'!DJ22</f>
        <v>85</v>
      </c>
      <c r="BV23" s="180">
        <f>'P1 Retained'!D22</f>
        <v>40</v>
      </c>
      <c r="BW23" s="192">
        <f>'P1 Retained'!E22</f>
        <v>39</v>
      </c>
      <c r="BX23" s="192">
        <f>'P1 Retained'!F22</f>
        <v>40</v>
      </c>
      <c r="BY23" s="192">
        <f>'P1 Retained'!G22</f>
        <v>42</v>
      </c>
      <c r="BZ23" s="192">
        <f>'P1 Retained'!H22</f>
        <v>44</v>
      </c>
    </row>
    <row r="24" spans="1:78">
      <c r="A24" s="178" t="s">
        <v>25</v>
      </c>
      <c r="B24" s="190">
        <f>'Catchment Births'!O24</f>
        <v>36</v>
      </c>
      <c r="C24" s="190">
        <f>'Catchment Births'!P24</f>
        <v>44</v>
      </c>
      <c r="D24" s="190">
        <f>'Catchment Births'!Q24</f>
        <v>47</v>
      </c>
      <c r="E24" s="190">
        <f>'Catchment Births'!R24</f>
        <v>44</v>
      </c>
      <c r="F24" s="190">
        <f>'Catchment Births'!S24</f>
        <v>53</v>
      </c>
      <c r="G24" s="190">
        <f>'Catchment Births'!T24</f>
        <v>45</v>
      </c>
      <c r="H24" s="190">
        <f>'Catchment Births'!U24</f>
        <v>46</v>
      </c>
      <c r="I24" s="190">
        <f>'Catchment Births'!V24</f>
        <v>46</v>
      </c>
      <c r="J24" s="195">
        <f>'Catchment Births'!W24</f>
        <v>39</v>
      </c>
      <c r="K24" s="190">
        <f t="shared" si="37"/>
        <v>44.143677096833919</v>
      </c>
      <c r="L24" s="190">
        <f t="shared" si="0"/>
        <v>44.77430105536012</v>
      </c>
      <c r="M24" s="190">
        <f t="shared" si="1"/>
        <v>45.315990865889034</v>
      </c>
      <c r="N24" s="190">
        <f t="shared" si="2"/>
        <v>45.744491760785039</v>
      </c>
      <c r="O24" s="190">
        <f t="shared" si="3"/>
        <v>46.075973585138556</v>
      </c>
      <c r="P24" s="190">
        <f t="shared" si="4"/>
        <v>46.30235141640437</v>
      </c>
      <c r="Q24" s="190">
        <f t="shared" si="5"/>
        <v>46.431710177127691</v>
      </c>
      <c r="R24" s="190">
        <f t="shared" si="6"/>
        <v>46.577238782941428</v>
      </c>
      <c r="S24" s="190">
        <f t="shared" si="7"/>
        <v>46.585323705486637</v>
      </c>
      <c r="T24" s="195">
        <f t="shared" si="8"/>
        <v>46.56915386039622</v>
      </c>
      <c r="U24" s="190">
        <f>'All P1 In Catchment'!G23</f>
        <v>54</v>
      </c>
      <c r="V24" s="190">
        <f>'All P1 In Catchment'!I23</f>
        <v>59</v>
      </c>
      <c r="W24" s="190">
        <f>'All P1 In Catchment'!K23</f>
        <v>57</v>
      </c>
      <c r="X24" s="180">
        <f>'All P1 In Catchment'!M23</f>
        <v>79</v>
      </c>
      <c r="Y24" s="180">
        <f>'All P1 In Catchment'!O23</f>
        <v>56</v>
      </c>
      <c r="Z24" s="191">
        <f t="shared" si="9"/>
        <v>62</v>
      </c>
      <c r="AA24" s="180">
        <f t="shared" si="10"/>
        <v>64</v>
      </c>
      <c r="AB24" s="180">
        <f t="shared" si="39"/>
        <v>64</v>
      </c>
      <c r="AC24" s="180">
        <f t="shared" si="40"/>
        <v>54</v>
      </c>
      <c r="AD24" s="180">
        <f t="shared" si="41"/>
        <v>61</v>
      </c>
      <c r="AE24" s="180">
        <f t="shared" si="42"/>
        <v>62</v>
      </c>
      <c r="AF24" s="180">
        <f t="shared" si="43"/>
        <v>63</v>
      </c>
      <c r="AG24" s="180">
        <f t="shared" si="44"/>
        <v>63</v>
      </c>
      <c r="AH24" s="180">
        <f t="shared" si="45"/>
        <v>64</v>
      </c>
      <c r="AI24" s="180">
        <f t="shared" si="46"/>
        <v>64</v>
      </c>
      <c r="AJ24" s="180">
        <f t="shared" si="47"/>
        <v>64</v>
      </c>
      <c r="AK24" s="180">
        <f t="shared" si="48"/>
        <v>64</v>
      </c>
      <c r="AL24" s="180">
        <f t="shared" si="49"/>
        <v>64</v>
      </c>
      <c r="AM24" s="181">
        <f t="shared" si="50"/>
        <v>64</v>
      </c>
      <c r="AN24" s="180">
        <f>'All P1 In Catchment'!F23</f>
        <v>53</v>
      </c>
      <c r="AO24" s="180">
        <f>'All P1 In Catchment'!H23</f>
        <v>58</v>
      </c>
      <c r="AP24" s="180">
        <f>'All P1 In Catchment'!J23</f>
        <v>57</v>
      </c>
      <c r="AQ24" s="180">
        <f>'All P1 In Catchment'!L23</f>
        <v>79</v>
      </c>
      <c r="AR24" s="181">
        <f>'All P1 In Catchment'!N23</f>
        <v>56</v>
      </c>
      <c r="AS24" s="180">
        <f t="shared" si="23"/>
        <v>62</v>
      </c>
      <c r="AT24" s="180">
        <f t="shared" si="24"/>
        <v>64</v>
      </c>
      <c r="AU24" s="180">
        <f t="shared" si="25"/>
        <v>64</v>
      </c>
      <c r="AV24" s="180">
        <f t="shared" si="26"/>
        <v>54</v>
      </c>
      <c r="AW24" s="180">
        <f t="shared" si="27"/>
        <v>61</v>
      </c>
      <c r="AX24" s="180">
        <f t="shared" si="28"/>
        <v>62</v>
      </c>
      <c r="AY24" s="180">
        <f t="shared" si="29"/>
        <v>63</v>
      </c>
      <c r="AZ24" s="180">
        <f t="shared" si="30"/>
        <v>63</v>
      </c>
      <c r="BA24" s="180">
        <f t="shared" si="31"/>
        <v>64</v>
      </c>
      <c r="BB24" s="180">
        <f t="shared" si="32"/>
        <v>64</v>
      </c>
      <c r="BC24" s="180">
        <f t="shared" si="33"/>
        <v>64</v>
      </c>
      <c r="BD24" s="180">
        <f t="shared" si="34"/>
        <v>64</v>
      </c>
      <c r="BE24" s="180">
        <f t="shared" si="35"/>
        <v>64</v>
      </c>
      <c r="BF24" s="180">
        <f t="shared" si="36"/>
        <v>64</v>
      </c>
      <c r="BG24" s="191">
        <f>AR24+'Housing Generation'!B23</f>
        <v>57</v>
      </c>
      <c r="BH24" s="180">
        <f>AS24+'Housing Generation'!J23</f>
        <v>62</v>
      </c>
      <c r="BI24" s="180">
        <f>AT24+'Housing Generation'!R23</f>
        <v>64</v>
      </c>
      <c r="BJ24" s="180">
        <f>AU24+'Housing Generation'!Z23</f>
        <v>65</v>
      </c>
      <c r="BK24" s="180">
        <f>AV24+'Housing Generation'!AH23</f>
        <v>56</v>
      </c>
      <c r="BL24" s="180">
        <f>AW24+'Housing Generation'!AP23</f>
        <v>65</v>
      </c>
      <c r="BM24" s="180">
        <f>AX24+'Housing Generation'!AX23</f>
        <v>68</v>
      </c>
      <c r="BN24" s="180">
        <f>AY24+'Housing Generation'!BF23</f>
        <v>71</v>
      </c>
      <c r="BO24" s="180">
        <f>AZ24+'Housing Generation'!BN23</f>
        <v>73</v>
      </c>
      <c r="BP24" s="180">
        <f>BA24+'Housing Generation'!BV23</f>
        <v>76</v>
      </c>
      <c r="BQ24" s="180">
        <f>BB24+'Housing Generation'!CD23</f>
        <v>78</v>
      </c>
      <c r="BR24" s="180">
        <f>BC24+'Housing Generation'!CL23</f>
        <v>78</v>
      </c>
      <c r="BS24" s="180">
        <f>BD24+'Housing Generation'!CT23</f>
        <v>78</v>
      </c>
      <c r="BT24" s="180">
        <f>BE24+'Housing Generation'!DB23</f>
        <v>78</v>
      </c>
      <c r="BU24" s="181">
        <f>BF24+'Housing Generation'!DJ23</f>
        <v>78</v>
      </c>
      <c r="BV24" s="180">
        <f>'P1 Retained'!D23</f>
        <v>52</v>
      </c>
      <c r="BW24" s="192">
        <f>'P1 Retained'!E23</f>
        <v>57</v>
      </c>
      <c r="BX24" s="192">
        <f>'P1 Retained'!F23</f>
        <v>56</v>
      </c>
      <c r="BY24" s="192">
        <f>'P1 Retained'!G23</f>
        <v>77</v>
      </c>
      <c r="BZ24" s="192">
        <f>'P1 Retained'!H23</f>
        <v>54</v>
      </c>
    </row>
    <row r="25" spans="1:78">
      <c r="A25" s="178" t="s">
        <v>77</v>
      </c>
      <c r="B25" s="190">
        <f>'Catchment Births'!O25</f>
        <v>48</v>
      </c>
      <c r="C25" s="190">
        <f>'Catchment Births'!P25</f>
        <v>48</v>
      </c>
      <c r="D25" s="190">
        <f>'Catchment Births'!Q25</f>
        <v>40</v>
      </c>
      <c r="E25" s="190">
        <f>'Catchment Births'!R25</f>
        <v>46</v>
      </c>
      <c r="F25" s="190">
        <f>'Catchment Births'!S25</f>
        <v>52</v>
      </c>
      <c r="G25" s="190">
        <f>'Catchment Births'!T25</f>
        <v>63</v>
      </c>
      <c r="H25" s="190">
        <f>'Catchment Births'!U25</f>
        <v>68</v>
      </c>
      <c r="I25" s="190">
        <f>'Catchment Births'!V25</f>
        <v>60</v>
      </c>
      <c r="J25" s="195">
        <f>'Catchment Births'!W25</f>
        <v>57</v>
      </c>
      <c r="K25" s="190">
        <f t="shared" si="37"/>
        <v>62.340307350490647</v>
      </c>
      <c r="L25" s="190">
        <f t="shared" si="0"/>
        <v>63.230883169783368</v>
      </c>
      <c r="M25" s="190">
        <f t="shared" si="1"/>
        <v>63.9958649632784</v>
      </c>
      <c r="N25" s="190">
        <f t="shared" si="2"/>
        <v>64.600999814849104</v>
      </c>
      <c r="O25" s="190">
        <f t="shared" si="3"/>
        <v>65.069123001913226</v>
      </c>
      <c r="P25" s="190">
        <f t="shared" si="4"/>
        <v>65.388816885761898</v>
      </c>
      <c r="Q25" s="190">
        <f t="shared" si="5"/>
        <v>65.571499105103996</v>
      </c>
      <c r="R25" s="190">
        <f t="shared" si="6"/>
        <v>65.777016601863849</v>
      </c>
      <c r="S25" s="190">
        <f t="shared" si="7"/>
        <v>65.788434240572727</v>
      </c>
      <c r="T25" s="195">
        <f t="shared" si="8"/>
        <v>65.765598963154972</v>
      </c>
      <c r="U25" s="190">
        <f>'All P1 In Catchment'!G24</f>
        <v>59</v>
      </c>
      <c r="V25" s="190">
        <f>'All P1 In Catchment'!I24</f>
        <v>67</v>
      </c>
      <c r="W25" s="190">
        <f>'All P1 In Catchment'!K24</f>
        <v>58</v>
      </c>
      <c r="X25" s="180">
        <f>'All P1 In Catchment'!M24</f>
        <v>71</v>
      </c>
      <c r="Y25" s="180">
        <f>'All P1 In Catchment'!O24</f>
        <v>87</v>
      </c>
      <c r="Z25" s="191">
        <f t="shared" si="9"/>
        <v>92</v>
      </c>
      <c r="AA25" s="180">
        <f t="shared" si="10"/>
        <v>99</v>
      </c>
      <c r="AB25" s="180">
        <f t="shared" si="39"/>
        <v>87</v>
      </c>
      <c r="AC25" s="180">
        <f t="shared" si="40"/>
        <v>83</v>
      </c>
      <c r="AD25" s="180">
        <f t="shared" si="41"/>
        <v>91</v>
      </c>
      <c r="AE25" s="180">
        <f t="shared" si="42"/>
        <v>92</v>
      </c>
      <c r="AF25" s="180">
        <f t="shared" si="43"/>
        <v>93</v>
      </c>
      <c r="AG25" s="180">
        <f t="shared" si="44"/>
        <v>94</v>
      </c>
      <c r="AH25" s="180">
        <f t="shared" si="45"/>
        <v>95</v>
      </c>
      <c r="AI25" s="180">
        <f t="shared" si="46"/>
        <v>95</v>
      </c>
      <c r="AJ25" s="180">
        <f t="shared" si="47"/>
        <v>96</v>
      </c>
      <c r="AK25" s="180">
        <f t="shared" si="48"/>
        <v>96</v>
      </c>
      <c r="AL25" s="180">
        <f t="shared" si="49"/>
        <v>96</v>
      </c>
      <c r="AM25" s="181">
        <f t="shared" si="50"/>
        <v>96</v>
      </c>
      <c r="AN25" s="180">
        <f>'All P1 In Catchment'!F24</f>
        <v>58</v>
      </c>
      <c r="AO25" s="180">
        <f>'All P1 In Catchment'!H24</f>
        <v>67</v>
      </c>
      <c r="AP25" s="180">
        <f>'All P1 In Catchment'!J24</f>
        <v>57</v>
      </c>
      <c r="AQ25" s="180">
        <f>'All P1 In Catchment'!L24</f>
        <v>71</v>
      </c>
      <c r="AR25" s="181">
        <f>'All P1 In Catchment'!N24</f>
        <v>87</v>
      </c>
      <c r="AS25" s="180">
        <f t="shared" si="23"/>
        <v>91</v>
      </c>
      <c r="AT25" s="180">
        <f t="shared" si="24"/>
        <v>98</v>
      </c>
      <c r="AU25" s="180">
        <f t="shared" si="25"/>
        <v>87</v>
      </c>
      <c r="AV25" s="180">
        <f t="shared" si="26"/>
        <v>83</v>
      </c>
      <c r="AW25" s="180">
        <f t="shared" si="27"/>
        <v>90</v>
      </c>
      <c r="AX25" s="180">
        <f t="shared" si="28"/>
        <v>91</v>
      </c>
      <c r="AY25" s="180">
        <f t="shared" si="29"/>
        <v>92</v>
      </c>
      <c r="AZ25" s="180">
        <f t="shared" si="30"/>
        <v>93</v>
      </c>
      <c r="BA25" s="180">
        <f t="shared" si="31"/>
        <v>94</v>
      </c>
      <c r="BB25" s="180">
        <f t="shared" si="32"/>
        <v>94</v>
      </c>
      <c r="BC25" s="180">
        <f t="shared" si="33"/>
        <v>95</v>
      </c>
      <c r="BD25" s="180">
        <f t="shared" si="34"/>
        <v>95</v>
      </c>
      <c r="BE25" s="180">
        <f t="shared" si="35"/>
        <v>95</v>
      </c>
      <c r="BF25" s="180">
        <f t="shared" si="36"/>
        <v>95</v>
      </c>
      <c r="BG25" s="191">
        <f>AR25+'Housing Generation'!B24</f>
        <v>89</v>
      </c>
      <c r="BH25" s="180">
        <f>AS25+'Housing Generation'!J24</f>
        <v>94</v>
      </c>
      <c r="BI25" s="180">
        <f>AT25+'Housing Generation'!R24</f>
        <v>102</v>
      </c>
      <c r="BJ25" s="180">
        <f>AU25+'Housing Generation'!Z24</f>
        <v>93</v>
      </c>
      <c r="BK25" s="180">
        <f>AV25+'Housing Generation'!AH24</f>
        <v>90</v>
      </c>
      <c r="BL25" s="180">
        <f>AW25+'Housing Generation'!AP24</f>
        <v>97</v>
      </c>
      <c r="BM25" s="180">
        <f>AX25+'Housing Generation'!AX24</f>
        <v>98</v>
      </c>
      <c r="BN25" s="180">
        <f>AY25+'Housing Generation'!BF24</f>
        <v>99</v>
      </c>
      <c r="BO25" s="180">
        <f>AZ25+'Housing Generation'!BN24</f>
        <v>100</v>
      </c>
      <c r="BP25" s="180">
        <f>BA25+'Housing Generation'!BV24</f>
        <v>101</v>
      </c>
      <c r="BQ25" s="180">
        <f>BB25+'Housing Generation'!CD24</f>
        <v>101</v>
      </c>
      <c r="BR25" s="180">
        <f>BC25+'Housing Generation'!CL24</f>
        <v>102</v>
      </c>
      <c r="BS25" s="180">
        <f>BD25+'Housing Generation'!CT24</f>
        <v>102</v>
      </c>
      <c r="BT25" s="180">
        <f>BE25+'Housing Generation'!DB24</f>
        <v>102</v>
      </c>
      <c r="BU25" s="181">
        <f>BF25+'Housing Generation'!DJ24</f>
        <v>102</v>
      </c>
      <c r="BV25" s="180">
        <f>'P1 Retained'!D24</f>
        <v>48</v>
      </c>
      <c r="BW25" s="192">
        <f>'P1 Retained'!E24</f>
        <v>61</v>
      </c>
      <c r="BX25" s="192">
        <f>'P1 Retained'!F24</f>
        <v>52</v>
      </c>
      <c r="BY25" s="192">
        <f>'P1 Retained'!G24</f>
        <v>67</v>
      </c>
      <c r="BZ25" s="192">
        <f>'P1 Retained'!H24</f>
        <v>81</v>
      </c>
    </row>
    <row r="26" spans="1:78">
      <c r="A26" s="178" t="s">
        <v>26</v>
      </c>
      <c r="B26" s="190">
        <f>'Catchment Births'!O26</f>
        <v>4</v>
      </c>
      <c r="C26" s="190">
        <f>'Catchment Births'!P26</f>
        <v>19</v>
      </c>
      <c r="D26" s="190">
        <f>'Catchment Births'!Q26</f>
        <v>9</v>
      </c>
      <c r="E26" s="190">
        <f>'Catchment Births'!R26</f>
        <v>9</v>
      </c>
      <c r="F26" s="190">
        <f>'Catchment Births'!S26</f>
        <v>11</v>
      </c>
      <c r="G26" s="190">
        <f>'Catchment Births'!T26</f>
        <v>8</v>
      </c>
      <c r="H26" s="190">
        <f>'Catchment Births'!U26</f>
        <v>13</v>
      </c>
      <c r="I26" s="190">
        <f>'Catchment Births'!V26</f>
        <v>18</v>
      </c>
      <c r="J26" s="195">
        <f>'Catchment Births'!W26</f>
        <v>25</v>
      </c>
      <c r="K26" s="190">
        <f t="shared" si="37"/>
        <v>18.870579522310685</v>
      </c>
      <c r="L26" s="190">
        <f t="shared" si="0"/>
        <v>19.140159229772266</v>
      </c>
      <c r="M26" s="190">
        <f t="shared" si="1"/>
        <v>19.371721286181572</v>
      </c>
      <c r="N26" s="190">
        <f t="shared" si="2"/>
        <v>19.55489724125162</v>
      </c>
      <c r="O26" s="190">
        <f t="shared" si="3"/>
        <v>19.696599395173735</v>
      </c>
      <c r="P26" s="190">
        <f t="shared" si="4"/>
        <v>19.79337159785225</v>
      </c>
      <c r="Q26" s="190">
        <f t="shared" si="5"/>
        <v>19.848669999382832</v>
      </c>
      <c r="R26" s="190">
        <f t="shared" si="6"/>
        <v>19.910880701104734</v>
      </c>
      <c r="S26" s="190">
        <f t="shared" si="7"/>
        <v>19.914336851200396</v>
      </c>
      <c r="T26" s="195">
        <f t="shared" si="8"/>
        <v>19.907424551009072</v>
      </c>
      <c r="U26" s="190">
        <f>'All P1 In Catchment'!G25</f>
        <v>11</v>
      </c>
      <c r="V26" s="190">
        <f>'All P1 In Catchment'!I25</f>
        <v>5</v>
      </c>
      <c r="W26" s="190">
        <f>'All P1 In Catchment'!K25</f>
        <v>7</v>
      </c>
      <c r="X26" s="180">
        <f>'All P1 In Catchment'!M25</f>
        <v>6</v>
      </c>
      <c r="Y26" s="180">
        <f>'All P1 In Catchment'!O25</f>
        <v>10</v>
      </c>
      <c r="Z26" s="191">
        <f t="shared" si="9"/>
        <v>9</v>
      </c>
      <c r="AA26" s="180">
        <f t="shared" si="10"/>
        <v>14</v>
      </c>
      <c r="AB26" s="180">
        <f t="shared" si="39"/>
        <v>19</v>
      </c>
      <c r="AC26" s="180">
        <f t="shared" si="40"/>
        <v>27</v>
      </c>
      <c r="AD26" s="180">
        <f t="shared" si="41"/>
        <v>20</v>
      </c>
      <c r="AE26" s="180">
        <f t="shared" si="42"/>
        <v>21</v>
      </c>
      <c r="AF26" s="180">
        <f t="shared" si="43"/>
        <v>21</v>
      </c>
      <c r="AG26" s="180">
        <f t="shared" si="44"/>
        <v>21</v>
      </c>
      <c r="AH26" s="180">
        <f t="shared" si="45"/>
        <v>21</v>
      </c>
      <c r="AI26" s="180">
        <f t="shared" si="46"/>
        <v>21</v>
      </c>
      <c r="AJ26" s="180">
        <f t="shared" si="47"/>
        <v>21</v>
      </c>
      <c r="AK26" s="180">
        <f t="shared" si="48"/>
        <v>21</v>
      </c>
      <c r="AL26" s="180">
        <f t="shared" si="49"/>
        <v>21</v>
      </c>
      <c r="AM26" s="181">
        <f t="shared" si="50"/>
        <v>21</v>
      </c>
      <c r="AN26" s="180">
        <f>'All P1 In Catchment'!F25</f>
        <v>10</v>
      </c>
      <c r="AO26" s="180">
        <f>'All P1 In Catchment'!H25</f>
        <v>5</v>
      </c>
      <c r="AP26" s="180">
        <f>'All P1 In Catchment'!J25</f>
        <v>7</v>
      </c>
      <c r="AQ26" s="180">
        <f>'All P1 In Catchment'!L25</f>
        <v>5</v>
      </c>
      <c r="AR26" s="181">
        <f>'All P1 In Catchment'!N25</f>
        <v>10</v>
      </c>
      <c r="AS26" s="180">
        <f t="shared" si="23"/>
        <v>9</v>
      </c>
      <c r="AT26" s="180">
        <f t="shared" si="24"/>
        <v>13</v>
      </c>
      <c r="AU26" s="180">
        <f t="shared" si="25"/>
        <v>18</v>
      </c>
      <c r="AV26" s="180">
        <f t="shared" si="26"/>
        <v>26</v>
      </c>
      <c r="AW26" s="180">
        <f t="shared" si="27"/>
        <v>19</v>
      </c>
      <c r="AX26" s="180">
        <f t="shared" si="28"/>
        <v>20</v>
      </c>
      <c r="AY26" s="180">
        <f t="shared" si="29"/>
        <v>20</v>
      </c>
      <c r="AZ26" s="180">
        <f t="shared" si="30"/>
        <v>20</v>
      </c>
      <c r="BA26" s="180">
        <f t="shared" si="31"/>
        <v>20</v>
      </c>
      <c r="BB26" s="180">
        <f t="shared" si="32"/>
        <v>20</v>
      </c>
      <c r="BC26" s="180">
        <f t="shared" si="33"/>
        <v>20</v>
      </c>
      <c r="BD26" s="180">
        <f t="shared" si="34"/>
        <v>20</v>
      </c>
      <c r="BE26" s="180">
        <f t="shared" si="35"/>
        <v>20</v>
      </c>
      <c r="BF26" s="180">
        <f t="shared" si="36"/>
        <v>20</v>
      </c>
      <c r="BG26" s="191">
        <f>AR26+'Housing Generation'!B25</f>
        <v>10</v>
      </c>
      <c r="BH26" s="180">
        <f>AS26+'Housing Generation'!J25</f>
        <v>10</v>
      </c>
      <c r="BI26" s="180">
        <f>AT26+'Housing Generation'!R25</f>
        <v>14</v>
      </c>
      <c r="BJ26" s="180">
        <f>AU26+'Housing Generation'!Z25</f>
        <v>19</v>
      </c>
      <c r="BK26" s="180">
        <f>AV26+'Housing Generation'!AH25</f>
        <v>27</v>
      </c>
      <c r="BL26" s="180">
        <f>AW26+'Housing Generation'!AP25</f>
        <v>20</v>
      </c>
      <c r="BM26" s="180">
        <f>AX26+'Housing Generation'!AX25</f>
        <v>21</v>
      </c>
      <c r="BN26" s="180">
        <f>AY26+'Housing Generation'!BF25</f>
        <v>21</v>
      </c>
      <c r="BO26" s="180">
        <f>AZ26+'Housing Generation'!BN25</f>
        <v>21</v>
      </c>
      <c r="BP26" s="180">
        <f>BA26+'Housing Generation'!BV25</f>
        <v>21</v>
      </c>
      <c r="BQ26" s="180">
        <f>BB26+'Housing Generation'!CD25</f>
        <v>21</v>
      </c>
      <c r="BR26" s="180">
        <f>BC26+'Housing Generation'!CL25</f>
        <v>21</v>
      </c>
      <c r="BS26" s="180">
        <f>BD26+'Housing Generation'!CT25</f>
        <v>21</v>
      </c>
      <c r="BT26" s="180">
        <f>BE26+'Housing Generation'!DB25</f>
        <v>21</v>
      </c>
      <c r="BU26" s="181">
        <f>BF26+'Housing Generation'!DJ25</f>
        <v>21</v>
      </c>
      <c r="BV26" s="180">
        <f>'P1 Retained'!D25</f>
        <v>10</v>
      </c>
      <c r="BW26" s="192">
        <f>'P1 Retained'!E25</f>
        <v>3</v>
      </c>
      <c r="BX26" s="192">
        <f>'P1 Retained'!F25</f>
        <v>7</v>
      </c>
      <c r="BY26" s="192">
        <f>'P1 Retained'!G25</f>
        <v>4</v>
      </c>
      <c r="BZ26" s="192">
        <f>'P1 Retained'!H25</f>
        <v>10</v>
      </c>
    </row>
    <row r="27" spans="1:78">
      <c r="A27" s="178" t="s">
        <v>27</v>
      </c>
      <c r="B27" s="190">
        <f>'Catchment Births'!O27</f>
        <v>118</v>
      </c>
      <c r="C27" s="190">
        <f>'Catchment Births'!P27</f>
        <v>145</v>
      </c>
      <c r="D27" s="190">
        <f>'Catchment Births'!Q27</f>
        <v>134</v>
      </c>
      <c r="E27" s="190">
        <f>'Catchment Births'!R27</f>
        <v>142</v>
      </c>
      <c r="F27" s="190">
        <f>'Catchment Births'!S27</f>
        <v>121</v>
      </c>
      <c r="G27" s="190">
        <f>'Catchment Births'!T27</f>
        <v>104</v>
      </c>
      <c r="H27" s="190">
        <f>'Catchment Births'!U27</f>
        <v>141</v>
      </c>
      <c r="I27" s="190">
        <f>'Catchment Births'!V27</f>
        <v>130</v>
      </c>
      <c r="J27" s="195">
        <f>'Catchment Births'!W27</f>
        <v>111</v>
      </c>
      <c r="K27" s="190">
        <f t="shared" si="37"/>
        <v>128.724310312905</v>
      </c>
      <c r="L27" s="190">
        <f t="shared" si="0"/>
        <v>130.5632290316608</v>
      </c>
      <c r="M27" s="190">
        <f t="shared" si="1"/>
        <v>132.14281305930999</v>
      </c>
      <c r="N27" s="190">
        <f t="shared" si="2"/>
        <v>133.39233475282353</v>
      </c>
      <c r="O27" s="190">
        <f t="shared" si="3"/>
        <v>134.35894587422081</v>
      </c>
      <c r="P27" s="190">
        <f t="shared" si="4"/>
        <v>135.0190705424921</v>
      </c>
      <c r="Q27" s="190">
        <f t="shared" si="5"/>
        <v>135.39628463864713</v>
      </c>
      <c r="R27" s="190">
        <f t="shared" si="6"/>
        <v>135.82065049682154</v>
      </c>
      <c r="S27" s="190">
        <f t="shared" si="7"/>
        <v>135.84422637783123</v>
      </c>
      <c r="T27" s="195">
        <f t="shared" si="8"/>
        <v>135.79707461581185</v>
      </c>
      <c r="U27" s="190">
        <f>'All P1 In Catchment'!G26</f>
        <v>51</v>
      </c>
      <c r="V27" s="190">
        <f>'All P1 In Catchment'!I26</f>
        <v>47</v>
      </c>
      <c r="W27" s="190">
        <f>'All P1 In Catchment'!K26</f>
        <v>55</v>
      </c>
      <c r="X27" s="180">
        <f>'All P1 In Catchment'!M26</f>
        <v>57</v>
      </c>
      <c r="Y27" s="180">
        <f>'All P1 In Catchment'!O26</f>
        <v>53</v>
      </c>
      <c r="Z27" s="191">
        <f t="shared" si="9"/>
        <v>42</v>
      </c>
      <c r="AA27" s="180">
        <f t="shared" si="10"/>
        <v>57</v>
      </c>
      <c r="AB27" s="180">
        <f t="shared" si="39"/>
        <v>52</v>
      </c>
      <c r="AC27" s="180">
        <f t="shared" si="40"/>
        <v>45</v>
      </c>
      <c r="AD27" s="180">
        <f t="shared" si="41"/>
        <v>52</v>
      </c>
      <c r="AE27" s="180">
        <f t="shared" si="42"/>
        <v>52</v>
      </c>
      <c r="AF27" s="180">
        <f t="shared" si="43"/>
        <v>53</v>
      </c>
      <c r="AG27" s="180">
        <f t="shared" si="44"/>
        <v>54</v>
      </c>
      <c r="AH27" s="180">
        <f t="shared" si="45"/>
        <v>54</v>
      </c>
      <c r="AI27" s="180">
        <f t="shared" si="46"/>
        <v>54</v>
      </c>
      <c r="AJ27" s="180">
        <f t="shared" si="47"/>
        <v>54</v>
      </c>
      <c r="AK27" s="180">
        <f t="shared" si="48"/>
        <v>54</v>
      </c>
      <c r="AL27" s="180">
        <f t="shared" si="49"/>
        <v>55</v>
      </c>
      <c r="AM27" s="181">
        <f t="shared" si="50"/>
        <v>54</v>
      </c>
      <c r="AN27" s="180">
        <f>'All P1 In Catchment'!F26</f>
        <v>45</v>
      </c>
      <c r="AO27" s="180">
        <f>'All P1 In Catchment'!H26</f>
        <v>43</v>
      </c>
      <c r="AP27" s="180">
        <f>'All P1 In Catchment'!J26</f>
        <v>51</v>
      </c>
      <c r="AQ27" s="180">
        <f>'All P1 In Catchment'!L26</f>
        <v>51</v>
      </c>
      <c r="AR27" s="181">
        <f>'All P1 In Catchment'!N26</f>
        <v>49</v>
      </c>
      <c r="AS27" s="180">
        <f t="shared" si="23"/>
        <v>38</v>
      </c>
      <c r="AT27" s="180">
        <f t="shared" si="24"/>
        <v>52</v>
      </c>
      <c r="AU27" s="180">
        <f t="shared" si="25"/>
        <v>48</v>
      </c>
      <c r="AV27" s="180">
        <f t="shared" si="26"/>
        <v>41</v>
      </c>
      <c r="AW27" s="180">
        <f t="shared" si="27"/>
        <v>48</v>
      </c>
      <c r="AX27" s="180">
        <f t="shared" si="28"/>
        <v>48</v>
      </c>
      <c r="AY27" s="180">
        <f t="shared" si="29"/>
        <v>49</v>
      </c>
      <c r="AZ27" s="180">
        <f t="shared" si="30"/>
        <v>49</v>
      </c>
      <c r="BA27" s="180">
        <f t="shared" si="31"/>
        <v>49</v>
      </c>
      <c r="BB27" s="180">
        <f t="shared" si="32"/>
        <v>49</v>
      </c>
      <c r="BC27" s="180">
        <f t="shared" si="33"/>
        <v>49</v>
      </c>
      <c r="BD27" s="180">
        <f t="shared" si="34"/>
        <v>49</v>
      </c>
      <c r="BE27" s="180">
        <f t="shared" si="35"/>
        <v>50</v>
      </c>
      <c r="BF27" s="180">
        <f t="shared" si="36"/>
        <v>49</v>
      </c>
      <c r="BG27" s="191">
        <f>AR27+'Housing Generation'!B26</f>
        <v>49</v>
      </c>
      <c r="BH27" s="180">
        <f>AS27+'Housing Generation'!J26</f>
        <v>38</v>
      </c>
      <c r="BI27" s="180">
        <f>AT27+'Housing Generation'!R26</f>
        <v>53</v>
      </c>
      <c r="BJ27" s="180">
        <f>AU27+'Housing Generation'!Z26</f>
        <v>49</v>
      </c>
      <c r="BK27" s="180">
        <f>AV27+'Housing Generation'!AH26</f>
        <v>43</v>
      </c>
      <c r="BL27" s="180">
        <f>AW27+'Housing Generation'!AP26</f>
        <v>50</v>
      </c>
      <c r="BM27" s="180">
        <f>AX27+'Housing Generation'!AX26</f>
        <v>51</v>
      </c>
      <c r="BN27" s="180">
        <f>AY27+'Housing Generation'!BF26</f>
        <v>53</v>
      </c>
      <c r="BO27" s="180">
        <f>AZ27+'Housing Generation'!BN26</f>
        <v>53</v>
      </c>
      <c r="BP27" s="180">
        <f>BA27+'Housing Generation'!BV26</f>
        <v>53</v>
      </c>
      <c r="BQ27" s="180">
        <f>BB27+'Housing Generation'!CD26</f>
        <v>53</v>
      </c>
      <c r="BR27" s="180">
        <f>BC27+'Housing Generation'!CL26</f>
        <v>53</v>
      </c>
      <c r="BS27" s="180">
        <f>BD27+'Housing Generation'!CT26</f>
        <v>53</v>
      </c>
      <c r="BT27" s="180">
        <f>BE27+'Housing Generation'!DB26</f>
        <v>54</v>
      </c>
      <c r="BU27" s="181">
        <f>BF27+'Housing Generation'!DJ26</f>
        <v>53</v>
      </c>
      <c r="BV27" s="180">
        <f>'P1 Retained'!D26</f>
        <v>33</v>
      </c>
      <c r="BW27" s="192">
        <f>'P1 Retained'!E26</f>
        <v>35</v>
      </c>
      <c r="BX27" s="192">
        <f>'P1 Retained'!F26</f>
        <v>34</v>
      </c>
      <c r="BY27" s="192">
        <f>'P1 Retained'!G26</f>
        <v>41</v>
      </c>
      <c r="BZ27" s="192">
        <f>'P1 Retained'!H26</f>
        <v>38</v>
      </c>
    </row>
    <row r="28" spans="1:78">
      <c r="A28" s="178" t="s">
        <v>28</v>
      </c>
      <c r="B28" s="190">
        <f>'Catchment Births'!O28</f>
        <v>53</v>
      </c>
      <c r="C28" s="190">
        <f>'Catchment Births'!P28</f>
        <v>54</v>
      </c>
      <c r="D28" s="190">
        <f>'Catchment Births'!Q28</f>
        <v>42</v>
      </c>
      <c r="E28" s="190">
        <f>'Catchment Births'!R28</f>
        <v>46</v>
      </c>
      <c r="F28" s="190">
        <f>'Catchment Births'!S28</f>
        <v>44</v>
      </c>
      <c r="G28" s="190">
        <f>'Catchment Births'!T28</f>
        <v>47</v>
      </c>
      <c r="H28" s="190">
        <f>'Catchment Births'!U28</f>
        <v>46</v>
      </c>
      <c r="I28" s="190">
        <f>'Catchment Births'!V28</f>
        <v>42</v>
      </c>
      <c r="J28" s="195">
        <f>'Catchment Births'!W28</f>
        <v>39</v>
      </c>
      <c r="K28" s="190">
        <f t="shared" si="37"/>
        <v>42.795778559526013</v>
      </c>
      <c r="L28" s="190">
        <f t="shared" si="0"/>
        <v>43.4071468246621</v>
      </c>
      <c r="M28" s="190">
        <f t="shared" si="1"/>
        <v>43.932296488304637</v>
      </c>
      <c r="N28" s="190">
        <f t="shared" si="2"/>
        <v>44.347713386409929</v>
      </c>
      <c r="O28" s="190">
        <f t="shared" si="3"/>
        <v>44.669073628340435</v>
      </c>
      <c r="P28" s="190">
        <f t="shared" si="4"/>
        <v>44.888539159414925</v>
      </c>
      <c r="Q28" s="190">
        <f t="shared" si="5"/>
        <v>45.013948034314637</v>
      </c>
      <c r="R28" s="190">
        <f t="shared" si="6"/>
        <v>45.155033018576809</v>
      </c>
      <c r="S28" s="190">
        <f t="shared" si="7"/>
        <v>45.162871073258039</v>
      </c>
      <c r="T28" s="195">
        <f t="shared" si="8"/>
        <v>45.147194963895572</v>
      </c>
      <c r="U28" s="190">
        <f>'All P1 In Catchment'!G27</f>
        <v>72</v>
      </c>
      <c r="V28" s="190">
        <f>'All P1 In Catchment'!I27</f>
        <v>81</v>
      </c>
      <c r="W28" s="190">
        <f>'All P1 In Catchment'!K27</f>
        <v>63</v>
      </c>
      <c r="X28" s="180">
        <f>'All P1 In Catchment'!M27</f>
        <v>77</v>
      </c>
      <c r="Y28" s="180">
        <f>'All P1 In Catchment'!O27</f>
        <v>61</v>
      </c>
      <c r="Z28" s="191">
        <f t="shared" si="9"/>
        <v>70</v>
      </c>
      <c r="AA28" s="180">
        <f t="shared" si="10"/>
        <v>68</v>
      </c>
      <c r="AB28" s="180">
        <f t="shared" si="39"/>
        <v>62</v>
      </c>
      <c r="AC28" s="180">
        <f t="shared" si="40"/>
        <v>58</v>
      </c>
      <c r="AD28" s="180">
        <f t="shared" si="41"/>
        <v>63</v>
      </c>
      <c r="AE28" s="180">
        <f t="shared" si="42"/>
        <v>64</v>
      </c>
      <c r="AF28" s="180">
        <f t="shared" si="43"/>
        <v>65</v>
      </c>
      <c r="AG28" s="180">
        <f t="shared" si="44"/>
        <v>66</v>
      </c>
      <c r="AH28" s="180">
        <f t="shared" si="45"/>
        <v>66</v>
      </c>
      <c r="AI28" s="180">
        <f t="shared" si="46"/>
        <v>67</v>
      </c>
      <c r="AJ28" s="180">
        <f t="shared" si="47"/>
        <v>67</v>
      </c>
      <c r="AK28" s="180">
        <f t="shared" si="48"/>
        <v>67</v>
      </c>
      <c r="AL28" s="180">
        <f t="shared" si="49"/>
        <v>67</v>
      </c>
      <c r="AM28" s="181">
        <f t="shared" si="50"/>
        <v>67</v>
      </c>
      <c r="AN28" s="180">
        <f>'All P1 In Catchment'!F27</f>
        <v>72</v>
      </c>
      <c r="AO28" s="180">
        <f>'All P1 In Catchment'!H27</f>
        <v>79</v>
      </c>
      <c r="AP28" s="180">
        <f>'All P1 In Catchment'!J27</f>
        <v>63</v>
      </c>
      <c r="AQ28" s="180">
        <f>'All P1 In Catchment'!L27</f>
        <v>77</v>
      </c>
      <c r="AR28" s="181">
        <f>'All P1 In Catchment'!N27</f>
        <v>61</v>
      </c>
      <c r="AS28" s="180">
        <f t="shared" si="23"/>
        <v>70</v>
      </c>
      <c r="AT28" s="180">
        <f t="shared" si="24"/>
        <v>68</v>
      </c>
      <c r="AU28" s="180">
        <f t="shared" si="25"/>
        <v>62</v>
      </c>
      <c r="AV28" s="180">
        <f t="shared" si="26"/>
        <v>58</v>
      </c>
      <c r="AW28" s="180">
        <f t="shared" si="27"/>
        <v>63</v>
      </c>
      <c r="AX28" s="180">
        <f t="shared" si="28"/>
        <v>64</v>
      </c>
      <c r="AY28" s="180">
        <f t="shared" si="29"/>
        <v>65</v>
      </c>
      <c r="AZ28" s="180">
        <f t="shared" si="30"/>
        <v>66</v>
      </c>
      <c r="BA28" s="180">
        <f t="shared" si="31"/>
        <v>66</v>
      </c>
      <c r="BB28" s="180">
        <f t="shared" si="32"/>
        <v>67</v>
      </c>
      <c r="BC28" s="180">
        <f t="shared" si="33"/>
        <v>67</v>
      </c>
      <c r="BD28" s="180">
        <f t="shared" si="34"/>
        <v>67</v>
      </c>
      <c r="BE28" s="180">
        <f t="shared" si="35"/>
        <v>67</v>
      </c>
      <c r="BF28" s="180">
        <f t="shared" si="36"/>
        <v>67</v>
      </c>
      <c r="BG28" s="191">
        <f>AR28+'Housing Generation'!B27</f>
        <v>61</v>
      </c>
      <c r="BH28" s="180">
        <f>AS28+'Housing Generation'!J27</f>
        <v>70</v>
      </c>
      <c r="BI28" s="180">
        <f>AT28+'Housing Generation'!R27</f>
        <v>68</v>
      </c>
      <c r="BJ28" s="180">
        <f>AU28+'Housing Generation'!Z27</f>
        <v>62</v>
      </c>
      <c r="BK28" s="180">
        <f>AV28+'Housing Generation'!AH27</f>
        <v>58</v>
      </c>
      <c r="BL28" s="180">
        <f>AW28+'Housing Generation'!AP27</f>
        <v>63</v>
      </c>
      <c r="BM28" s="180">
        <f>AX28+'Housing Generation'!AX27</f>
        <v>64</v>
      </c>
      <c r="BN28" s="180">
        <f>AY28+'Housing Generation'!BF27</f>
        <v>65</v>
      </c>
      <c r="BO28" s="180">
        <f>AZ28+'Housing Generation'!BN27</f>
        <v>66</v>
      </c>
      <c r="BP28" s="180">
        <f>BA28+'Housing Generation'!BV27</f>
        <v>66</v>
      </c>
      <c r="BQ28" s="180">
        <f>BB28+'Housing Generation'!CD27</f>
        <v>67</v>
      </c>
      <c r="BR28" s="180">
        <f>BC28+'Housing Generation'!CL27</f>
        <v>67</v>
      </c>
      <c r="BS28" s="180">
        <f>BD28+'Housing Generation'!CT27</f>
        <v>67</v>
      </c>
      <c r="BT28" s="180">
        <f>BE28+'Housing Generation'!DB27</f>
        <v>67</v>
      </c>
      <c r="BU28" s="181">
        <f>BF28+'Housing Generation'!DJ27</f>
        <v>67</v>
      </c>
      <c r="BV28" s="180">
        <f>'P1 Retained'!D27</f>
        <v>66</v>
      </c>
      <c r="BW28" s="192">
        <f>'P1 Retained'!E27</f>
        <v>79</v>
      </c>
      <c r="BX28" s="192">
        <f>'P1 Retained'!F27</f>
        <v>62</v>
      </c>
      <c r="BY28" s="192">
        <f>'P1 Retained'!G27</f>
        <v>74</v>
      </c>
      <c r="BZ28" s="192">
        <f>'P1 Retained'!H27</f>
        <v>59</v>
      </c>
    </row>
    <row r="29" spans="1:78">
      <c r="A29" s="178" t="s">
        <v>29</v>
      </c>
      <c r="B29" s="190">
        <f>'Catchment Births'!O29</f>
        <v>42</v>
      </c>
      <c r="C29" s="190">
        <f>'Catchment Births'!P29</f>
        <v>45</v>
      </c>
      <c r="D29" s="190">
        <f>'Catchment Births'!Q29</f>
        <v>46</v>
      </c>
      <c r="E29" s="190">
        <f>'Catchment Births'!R29</f>
        <v>29</v>
      </c>
      <c r="F29" s="190">
        <f>'Catchment Births'!S29</f>
        <v>33</v>
      </c>
      <c r="G29" s="190">
        <f>'Catchment Births'!T29</f>
        <v>49</v>
      </c>
      <c r="H29" s="190">
        <f>'Catchment Births'!U29</f>
        <v>35</v>
      </c>
      <c r="I29" s="190">
        <f>'Catchment Births'!V29</f>
        <v>28</v>
      </c>
      <c r="J29" s="195">
        <f>'Catchment Births'!W29</f>
        <v>33</v>
      </c>
      <c r="K29" s="190">
        <f t="shared" si="37"/>
        <v>32.34956489538974</v>
      </c>
      <c r="L29" s="190">
        <f t="shared" si="0"/>
        <v>32.811701536752452</v>
      </c>
      <c r="M29" s="190">
        <f t="shared" si="1"/>
        <v>33.208665062025553</v>
      </c>
      <c r="N29" s="190">
        <f t="shared" si="2"/>
        <v>33.522680985002779</v>
      </c>
      <c r="O29" s="190">
        <f t="shared" si="3"/>
        <v>33.765598963154972</v>
      </c>
      <c r="P29" s="190">
        <f t="shared" si="4"/>
        <v>33.931494167746713</v>
      </c>
      <c r="Q29" s="190">
        <f t="shared" si="5"/>
        <v>34.026291427513421</v>
      </c>
      <c r="R29" s="190">
        <f t="shared" si="6"/>
        <v>34.132938344750968</v>
      </c>
      <c r="S29" s="190">
        <f t="shared" si="7"/>
        <v>34.138863173486385</v>
      </c>
      <c r="T29" s="195">
        <f t="shared" si="8"/>
        <v>34.127013516015545</v>
      </c>
      <c r="U29" s="190">
        <f>'All P1 In Catchment'!G28</f>
        <v>54</v>
      </c>
      <c r="V29" s="190">
        <f>'All P1 In Catchment'!I28</f>
        <v>54</v>
      </c>
      <c r="W29" s="190">
        <f>'All P1 In Catchment'!K28</f>
        <v>67</v>
      </c>
      <c r="X29" s="180">
        <f>'All P1 In Catchment'!M28</f>
        <v>58</v>
      </c>
      <c r="Y29" s="180">
        <f>'All P1 In Catchment'!O28</f>
        <v>49</v>
      </c>
      <c r="Z29" s="191">
        <f t="shared" si="9"/>
        <v>73</v>
      </c>
      <c r="AA29" s="180">
        <f t="shared" si="10"/>
        <v>52</v>
      </c>
      <c r="AB29" s="180">
        <f t="shared" si="39"/>
        <v>42</v>
      </c>
      <c r="AC29" s="180">
        <f t="shared" si="40"/>
        <v>49</v>
      </c>
      <c r="AD29" s="180">
        <f t="shared" si="41"/>
        <v>48</v>
      </c>
      <c r="AE29" s="180">
        <f t="shared" si="42"/>
        <v>49</v>
      </c>
      <c r="AF29" s="180">
        <f t="shared" si="43"/>
        <v>49</v>
      </c>
      <c r="AG29" s="180">
        <f t="shared" si="44"/>
        <v>50</v>
      </c>
      <c r="AH29" s="180">
        <f t="shared" si="45"/>
        <v>50</v>
      </c>
      <c r="AI29" s="180">
        <f t="shared" si="46"/>
        <v>50</v>
      </c>
      <c r="AJ29" s="180">
        <f t="shared" si="47"/>
        <v>51</v>
      </c>
      <c r="AK29" s="180">
        <f t="shared" si="48"/>
        <v>51</v>
      </c>
      <c r="AL29" s="180">
        <f t="shared" si="49"/>
        <v>51</v>
      </c>
      <c r="AM29" s="181">
        <f t="shared" si="50"/>
        <v>51</v>
      </c>
      <c r="AN29" s="180">
        <f>'All P1 In Catchment'!F28</f>
        <v>54</v>
      </c>
      <c r="AO29" s="180">
        <f>'All P1 In Catchment'!H28</f>
        <v>54</v>
      </c>
      <c r="AP29" s="180">
        <f>'All P1 In Catchment'!J28</f>
        <v>67</v>
      </c>
      <c r="AQ29" s="180">
        <f>'All P1 In Catchment'!L28</f>
        <v>58</v>
      </c>
      <c r="AR29" s="181">
        <f>'All P1 In Catchment'!N28</f>
        <v>49</v>
      </c>
      <c r="AS29" s="180">
        <f t="shared" si="23"/>
        <v>73</v>
      </c>
      <c r="AT29" s="180">
        <f t="shared" si="24"/>
        <v>52</v>
      </c>
      <c r="AU29" s="180">
        <f t="shared" si="25"/>
        <v>42</v>
      </c>
      <c r="AV29" s="180">
        <f t="shared" si="26"/>
        <v>49</v>
      </c>
      <c r="AW29" s="180">
        <f t="shared" si="27"/>
        <v>48</v>
      </c>
      <c r="AX29" s="180">
        <f t="shared" si="28"/>
        <v>49</v>
      </c>
      <c r="AY29" s="180">
        <f t="shared" si="29"/>
        <v>49</v>
      </c>
      <c r="AZ29" s="180">
        <f t="shared" si="30"/>
        <v>50</v>
      </c>
      <c r="BA29" s="180">
        <f t="shared" si="31"/>
        <v>50</v>
      </c>
      <c r="BB29" s="180">
        <f t="shared" si="32"/>
        <v>50</v>
      </c>
      <c r="BC29" s="180">
        <f t="shared" si="33"/>
        <v>51</v>
      </c>
      <c r="BD29" s="180">
        <f t="shared" si="34"/>
        <v>51</v>
      </c>
      <c r="BE29" s="180">
        <f t="shared" si="35"/>
        <v>51</v>
      </c>
      <c r="BF29" s="180">
        <f t="shared" si="36"/>
        <v>51</v>
      </c>
      <c r="BG29" s="191">
        <f>AR29+'Housing Generation'!B28</f>
        <v>49</v>
      </c>
      <c r="BH29" s="180">
        <f>AS29+'Housing Generation'!J28</f>
        <v>75</v>
      </c>
      <c r="BI29" s="180">
        <f>AT29+'Housing Generation'!R28</f>
        <v>55</v>
      </c>
      <c r="BJ29" s="180">
        <f>AU29+'Housing Generation'!Z28</f>
        <v>46</v>
      </c>
      <c r="BK29" s="180">
        <f>AV29+'Housing Generation'!AH28</f>
        <v>54</v>
      </c>
      <c r="BL29" s="180">
        <f>AW29+'Housing Generation'!AP28</f>
        <v>53</v>
      </c>
      <c r="BM29" s="180">
        <f>AX29+'Housing Generation'!AX28</f>
        <v>54</v>
      </c>
      <c r="BN29" s="180">
        <f>AY29+'Housing Generation'!BF28</f>
        <v>54</v>
      </c>
      <c r="BO29" s="180">
        <f>AZ29+'Housing Generation'!BN28</f>
        <v>55</v>
      </c>
      <c r="BP29" s="180">
        <f>BA29+'Housing Generation'!BV28</f>
        <v>55</v>
      </c>
      <c r="BQ29" s="180">
        <f>BB29+'Housing Generation'!CD28</f>
        <v>55</v>
      </c>
      <c r="BR29" s="180">
        <f>BC29+'Housing Generation'!CL28</f>
        <v>56</v>
      </c>
      <c r="BS29" s="180">
        <f>BD29+'Housing Generation'!CT28</f>
        <v>56</v>
      </c>
      <c r="BT29" s="180">
        <f>BE29+'Housing Generation'!DB28</f>
        <v>56</v>
      </c>
      <c r="BU29" s="181">
        <f>BF29+'Housing Generation'!DJ28</f>
        <v>56</v>
      </c>
      <c r="BV29" s="180">
        <f>'P1 Retained'!D28</f>
        <v>52</v>
      </c>
      <c r="BW29" s="192">
        <f>'P1 Retained'!E28</f>
        <v>53</v>
      </c>
      <c r="BX29" s="192">
        <f>'P1 Retained'!F28</f>
        <v>67</v>
      </c>
      <c r="BY29" s="192">
        <f>'P1 Retained'!G28</f>
        <v>57</v>
      </c>
      <c r="BZ29" s="192">
        <f>'P1 Retained'!H28</f>
        <v>47</v>
      </c>
    </row>
    <row r="30" spans="1:78">
      <c r="A30" s="178" t="s">
        <v>30</v>
      </c>
      <c r="B30" s="190">
        <f>'Catchment Births'!O30</f>
        <v>42</v>
      </c>
      <c r="C30" s="190">
        <f>'Catchment Births'!P30</f>
        <v>42</v>
      </c>
      <c r="D30" s="190">
        <f>'Catchment Births'!Q30</f>
        <v>52</v>
      </c>
      <c r="E30" s="190">
        <f>'Catchment Births'!R30</f>
        <v>49</v>
      </c>
      <c r="F30" s="190">
        <f>'Catchment Births'!S30</f>
        <v>51</v>
      </c>
      <c r="G30" s="190">
        <f>'Catchment Births'!T30</f>
        <v>33</v>
      </c>
      <c r="H30" s="190">
        <f>'Catchment Births'!U30</f>
        <v>46</v>
      </c>
      <c r="I30" s="190">
        <f>'Catchment Births'!V30</f>
        <v>49</v>
      </c>
      <c r="J30" s="195">
        <f>'Catchment Births'!W30</f>
        <v>55</v>
      </c>
      <c r="K30" s="190">
        <f t="shared" si="37"/>
        <v>50.546195149046476</v>
      </c>
      <c r="L30" s="190">
        <f t="shared" si="0"/>
        <v>51.268283651175707</v>
      </c>
      <c r="M30" s="190">
        <f t="shared" si="1"/>
        <v>51.888539159414925</v>
      </c>
      <c r="N30" s="190">
        <f t="shared" si="2"/>
        <v>52.379189039066844</v>
      </c>
      <c r="O30" s="190">
        <f t="shared" si="3"/>
        <v>52.758748379929649</v>
      </c>
      <c r="P30" s="190">
        <f t="shared" si="4"/>
        <v>53.017959637104248</v>
      </c>
      <c r="Q30" s="190">
        <f t="shared" si="5"/>
        <v>53.166080355489733</v>
      </c>
      <c r="R30" s="190">
        <f t="shared" si="6"/>
        <v>53.332716163673403</v>
      </c>
      <c r="S30" s="190">
        <f t="shared" si="7"/>
        <v>53.341973708572496</v>
      </c>
      <c r="T30" s="195">
        <f t="shared" si="8"/>
        <v>53.32345861877431</v>
      </c>
      <c r="U30" s="190">
        <f>'All P1 In Catchment'!G29</f>
        <v>46</v>
      </c>
      <c r="V30" s="190">
        <f>'All P1 In Catchment'!I29</f>
        <v>51</v>
      </c>
      <c r="W30" s="190">
        <f>'All P1 In Catchment'!K29</f>
        <v>57</v>
      </c>
      <c r="X30" s="180">
        <f>'All P1 In Catchment'!M29</f>
        <v>68</v>
      </c>
      <c r="Y30" s="180">
        <f>'All P1 In Catchment'!O29</f>
        <v>60</v>
      </c>
      <c r="Z30" s="191">
        <f t="shared" si="9"/>
        <v>39</v>
      </c>
      <c r="AA30" s="180">
        <f t="shared" si="10"/>
        <v>55</v>
      </c>
      <c r="AB30" s="180">
        <f t="shared" si="39"/>
        <v>59</v>
      </c>
      <c r="AC30" s="180">
        <f t="shared" si="40"/>
        <v>66</v>
      </c>
      <c r="AD30" s="180">
        <f t="shared" si="41"/>
        <v>60</v>
      </c>
      <c r="AE30" s="180">
        <f t="shared" si="42"/>
        <v>61</v>
      </c>
      <c r="AF30" s="180">
        <f t="shared" si="43"/>
        <v>62</v>
      </c>
      <c r="AG30" s="180">
        <f t="shared" si="44"/>
        <v>63</v>
      </c>
      <c r="AH30" s="180">
        <f t="shared" si="45"/>
        <v>63</v>
      </c>
      <c r="AI30" s="180">
        <f t="shared" si="46"/>
        <v>63</v>
      </c>
      <c r="AJ30" s="180">
        <f t="shared" si="47"/>
        <v>63</v>
      </c>
      <c r="AK30" s="180">
        <f t="shared" si="48"/>
        <v>64</v>
      </c>
      <c r="AL30" s="180">
        <f t="shared" si="49"/>
        <v>64</v>
      </c>
      <c r="AM30" s="181">
        <f t="shared" si="50"/>
        <v>64</v>
      </c>
      <c r="AN30" s="180">
        <f>'All P1 In Catchment'!F29</f>
        <v>38</v>
      </c>
      <c r="AO30" s="180">
        <f>'All P1 In Catchment'!H29</f>
        <v>43</v>
      </c>
      <c r="AP30" s="180">
        <f>'All P1 In Catchment'!J29</f>
        <v>45</v>
      </c>
      <c r="AQ30" s="180">
        <f>'All P1 In Catchment'!L29</f>
        <v>58</v>
      </c>
      <c r="AR30" s="181">
        <f>'All P1 In Catchment'!N29</f>
        <v>53</v>
      </c>
      <c r="AS30" s="180">
        <f t="shared" si="23"/>
        <v>33</v>
      </c>
      <c r="AT30" s="180">
        <f t="shared" si="24"/>
        <v>46</v>
      </c>
      <c r="AU30" s="180">
        <f t="shared" si="25"/>
        <v>50</v>
      </c>
      <c r="AV30" s="180">
        <f t="shared" si="26"/>
        <v>56</v>
      </c>
      <c r="AW30" s="180">
        <f t="shared" si="27"/>
        <v>51</v>
      </c>
      <c r="AX30" s="180">
        <f t="shared" si="28"/>
        <v>51</v>
      </c>
      <c r="AY30" s="180">
        <f t="shared" si="29"/>
        <v>52</v>
      </c>
      <c r="AZ30" s="180">
        <f t="shared" si="30"/>
        <v>53</v>
      </c>
      <c r="BA30" s="180">
        <f t="shared" si="31"/>
        <v>53</v>
      </c>
      <c r="BB30" s="180">
        <f t="shared" si="32"/>
        <v>53</v>
      </c>
      <c r="BC30" s="180">
        <f t="shared" si="33"/>
        <v>53</v>
      </c>
      <c r="BD30" s="180">
        <f t="shared" si="34"/>
        <v>54</v>
      </c>
      <c r="BE30" s="180">
        <f t="shared" si="35"/>
        <v>54</v>
      </c>
      <c r="BF30" s="180">
        <f t="shared" si="36"/>
        <v>54</v>
      </c>
      <c r="BG30" s="191">
        <f>AR30+'Housing Generation'!B29</f>
        <v>53</v>
      </c>
      <c r="BH30" s="180">
        <f>AS30+'Housing Generation'!J29</f>
        <v>33</v>
      </c>
      <c r="BI30" s="180">
        <f>AT30+'Housing Generation'!R29</f>
        <v>46</v>
      </c>
      <c r="BJ30" s="180">
        <f>AU30+'Housing Generation'!Z29</f>
        <v>50</v>
      </c>
      <c r="BK30" s="180">
        <f>AV30+'Housing Generation'!AH29</f>
        <v>56</v>
      </c>
      <c r="BL30" s="180">
        <f>AW30+'Housing Generation'!AP29</f>
        <v>51</v>
      </c>
      <c r="BM30" s="180">
        <f>AX30+'Housing Generation'!AX29</f>
        <v>51</v>
      </c>
      <c r="BN30" s="180">
        <f>AY30+'Housing Generation'!BF29</f>
        <v>52</v>
      </c>
      <c r="BO30" s="180">
        <f>AZ30+'Housing Generation'!BN29</f>
        <v>53</v>
      </c>
      <c r="BP30" s="180">
        <f>BA30+'Housing Generation'!BV29</f>
        <v>53</v>
      </c>
      <c r="BQ30" s="180">
        <f>BB30+'Housing Generation'!CD29</f>
        <v>53</v>
      </c>
      <c r="BR30" s="180">
        <f>BC30+'Housing Generation'!CL29</f>
        <v>53</v>
      </c>
      <c r="BS30" s="180">
        <f>BD30+'Housing Generation'!CT29</f>
        <v>54</v>
      </c>
      <c r="BT30" s="180">
        <f>BE30+'Housing Generation'!DB29</f>
        <v>54</v>
      </c>
      <c r="BU30" s="181">
        <f>BF30+'Housing Generation'!DJ29</f>
        <v>54</v>
      </c>
      <c r="BV30" s="180">
        <f>'P1 Retained'!D29</f>
        <v>29</v>
      </c>
      <c r="BW30" s="192">
        <f>'P1 Retained'!E29</f>
        <v>37</v>
      </c>
      <c r="BX30" s="192">
        <f>'P1 Retained'!F29</f>
        <v>39</v>
      </c>
      <c r="BY30" s="192">
        <f>'P1 Retained'!G29</f>
        <v>49</v>
      </c>
      <c r="BZ30" s="192">
        <f>'P1 Retained'!H29</f>
        <v>48</v>
      </c>
    </row>
    <row r="31" spans="1:78">
      <c r="A31" s="178" t="s">
        <v>31</v>
      </c>
      <c r="B31" s="190">
        <f>'Catchment Births'!O31</f>
        <v>70</v>
      </c>
      <c r="C31" s="190">
        <f>'Catchment Births'!P31</f>
        <v>62</v>
      </c>
      <c r="D31" s="190">
        <f>'Catchment Births'!Q31</f>
        <v>62</v>
      </c>
      <c r="E31" s="190">
        <f>'Catchment Births'!R31</f>
        <v>60</v>
      </c>
      <c r="F31" s="190">
        <f>'Catchment Births'!S31</f>
        <v>65</v>
      </c>
      <c r="G31" s="190">
        <f>'Catchment Births'!T31</f>
        <v>70</v>
      </c>
      <c r="H31" s="190">
        <f>'Catchment Births'!U31</f>
        <v>63</v>
      </c>
      <c r="I31" s="190">
        <f>'Catchment Births'!V31</f>
        <v>49</v>
      </c>
      <c r="J31" s="195">
        <f>'Catchment Births'!W31</f>
        <v>72</v>
      </c>
      <c r="K31" s="190">
        <f t="shared" si="37"/>
        <v>62.003332716163676</v>
      </c>
      <c r="L31" s="190">
        <f t="shared" si="0"/>
        <v>62.88909461210887</v>
      </c>
      <c r="M31" s="190">
        <f t="shared" si="1"/>
        <v>63.64994136888231</v>
      </c>
      <c r="N31" s="190">
        <f t="shared" si="2"/>
        <v>64.251805221255324</v>
      </c>
      <c r="O31" s="190">
        <f t="shared" si="3"/>
        <v>64.717398012713701</v>
      </c>
      <c r="P31" s="190">
        <f t="shared" si="4"/>
        <v>65.035363821514537</v>
      </c>
      <c r="Q31" s="190">
        <f t="shared" si="5"/>
        <v>65.217058569400734</v>
      </c>
      <c r="R31" s="190">
        <f t="shared" si="6"/>
        <v>65.421465160772698</v>
      </c>
      <c r="S31" s="190">
        <f t="shared" si="7"/>
        <v>65.432821082515588</v>
      </c>
      <c r="T31" s="195">
        <f t="shared" si="8"/>
        <v>65.410109239029808</v>
      </c>
      <c r="U31" s="190">
        <f>'All P1 In Catchment'!G30</f>
        <v>69</v>
      </c>
      <c r="V31" s="190">
        <f>'All P1 In Catchment'!I30</f>
        <v>70</v>
      </c>
      <c r="W31" s="190">
        <f>'All P1 In Catchment'!K30</f>
        <v>74</v>
      </c>
      <c r="X31" s="180">
        <f>'All P1 In Catchment'!M30</f>
        <v>45</v>
      </c>
      <c r="Y31" s="180">
        <f>'All P1 In Catchment'!O30</f>
        <v>58</v>
      </c>
      <c r="Z31" s="191">
        <f t="shared" si="9"/>
        <v>69</v>
      </c>
      <c r="AA31" s="180">
        <f t="shared" si="10"/>
        <v>62</v>
      </c>
      <c r="AB31" s="180">
        <f t="shared" si="39"/>
        <v>49</v>
      </c>
      <c r="AC31" s="180">
        <f t="shared" si="40"/>
        <v>71</v>
      </c>
      <c r="AD31" s="180">
        <f t="shared" si="41"/>
        <v>61</v>
      </c>
      <c r="AE31" s="180">
        <f t="shared" si="42"/>
        <v>62</v>
      </c>
      <c r="AF31" s="180">
        <f t="shared" si="43"/>
        <v>63</v>
      </c>
      <c r="AG31" s="180">
        <f t="shared" si="44"/>
        <v>64</v>
      </c>
      <c r="AH31" s="180">
        <f t="shared" si="45"/>
        <v>64</v>
      </c>
      <c r="AI31" s="180">
        <f t="shared" si="46"/>
        <v>64</v>
      </c>
      <c r="AJ31" s="180">
        <f t="shared" si="47"/>
        <v>65</v>
      </c>
      <c r="AK31" s="180">
        <f t="shared" si="48"/>
        <v>65</v>
      </c>
      <c r="AL31" s="180">
        <f t="shared" si="49"/>
        <v>65</v>
      </c>
      <c r="AM31" s="181">
        <f t="shared" si="50"/>
        <v>65</v>
      </c>
      <c r="AN31" s="180">
        <f>'All P1 In Catchment'!F30</f>
        <v>68</v>
      </c>
      <c r="AO31" s="180">
        <f>'All P1 In Catchment'!H30</f>
        <v>70</v>
      </c>
      <c r="AP31" s="180">
        <f>'All P1 In Catchment'!J30</f>
        <v>72</v>
      </c>
      <c r="AQ31" s="180">
        <f>'All P1 In Catchment'!L30</f>
        <v>44</v>
      </c>
      <c r="AR31" s="181">
        <f>'All P1 In Catchment'!N30</f>
        <v>57</v>
      </c>
      <c r="AS31" s="180">
        <f t="shared" si="23"/>
        <v>67</v>
      </c>
      <c r="AT31" s="180">
        <f t="shared" si="24"/>
        <v>61</v>
      </c>
      <c r="AU31" s="180">
        <f t="shared" si="25"/>
        <v>48</v>
      </c>
      <c r="AV31" s="180">
        <f t="shared" si="26"/>
        <v>69</v>
      </c>
      <c r="AW31" s="180">
        <f t="shared" si="27"/>
        <v>60</v>
      </c>
      <c r="AX31" s="180">
        <f t="shared" si="28"/>
        <v>61</v>
      </c>
      <c r="AY31" s="180">
        <f t="shared" si="29"/>
        <v>62</v>
      </c>
      <c r="AZ31" s="180">
        <f t="shared" si="30"/>
        <v>63</v>
      </c>
      <c r="BA31" s="180">
        <f t="shared" si="31"/>
        <v>63</v>
      </c>
      <c r="BB31" s="180">
        <f t="shared" si="32"/>
        <v>63</v>
      </c>
      <c r="BC31" s="180">
        <f t="shared" si="33"/>
        <v>64</v>
      </c>
      <c r="BD31" s="180">
        <f t="shared" si="34"/>
        <v>64</v>
      </c>
      <c r="BE31" s="180">
        <f t="shared" si="35"/>
        <v>64</v>
      </c>
      <c r="BF31" s="180">
        <f t="shared" si="36"/>
        <v>64</v>
      </c>
      <c r="BG31" s="191">
        <f>AR31+'Housing Generation'!B30</f>
        <v>57</v>
      </c>
      <c r="BH31" s="180">
        <f>AS31+'Housing Generation'!J30</f>
        <v>67</v>
      </c>
      <c r="BI31" s="180">
        <f>AT31+'Housing Generation'!R30</f>
        <v>61</v>
      </c>
      <c r="BJ31" s="180">
        <f>AU31+'Housing Generation'!Z30</f>
        <v>48</v>
      </c>
      <c r="BK31" s="180">
        <f>AV31+'Housing Generation'!AH30</f>
        <v>69</v>
      </c>
      <c r="BL31" s="180">
        <f>AW31+'Housing Generation'!AP30</f>
        <v>60</v>
      </c>
      <c r="BM31" s="180">
        <f>AX31+'Housing Generation'!AX30</f>
        <v>61</v>
      </c>
      <c r="BN31" s="180">
        <f>AY31+'Housing Generation'!BF30</f>
        <v>62</v>
      </c>
      <c r="BO31" s="180">
        <f>AZ31+'Housing Generation'!BN30</f>
        <v>63</v>
      </c>
      <c r="BP31" s="180">
        <f>BA31+'Housing Generation'!BV30</f>
        <v>63</v>
      </c>
      <c r="BQ31" s="180">
        <f>BB31+'Housing Generation'!CD30</f>
        <v>63</v>
      </c>
      <c r="BR31" s="180">
        <f>BC31+'Housing Generation'!CL30</f>
        <v>64</v>
      </c>
      <c r="BS31" s="180">
        <f>BD31+'Housing Generation'!CT30</f>
        <v>64</v>
      </c>
      <c r="BT31" s="180">
        <f>BE31+'Housing Generation'!DB30</f>
        <v>64</v>
      </c>
      <c r="BU31" s="181">
        <f>BF31+'Housing Generation'!DJ30</f>
        <v>64</v>
      </c>
      <c r="BV31" s="180">
        <f>'P1 Retained'!D30</f>
        <v>60</v>
      </c>
      <c r="BW31" s="192">
        <f>'P1 Retained'!E30</f>
        <v>65</v>
      </c>
      <c r="BX31" s="192">
        <f>'P1 Retained'!F30</f>
        <v>64</v>
      </c>
      <c r="BY31" s="192">
        <f>'P1 Retained'!G30</f>
        <v>41</v>
      </c>
      <c r="BZ31" s="192">
        <f>'P1 Retained'!H30</f>
        <v>56</v>
      </c>
    </row>
    <row r="32" spans="1:78">
      <c r="A32" s="178" t="s">
        <v>32</v>
      </c>
      <c r="B32" s="190">
        <f>'Catchment Births'!O32</f>
        <v>48</v>
      </c>
      <c r="C32" s="190">
        <f>'Catchment Births'!P32</f>
        <v>29</v>
      </c>
      <c r="D32" s="190">
        <f>'Catchment Births'!Q32</f>
        <v>38</v>
      </c>
      <c r="E32" s="190">
        <f>'Catchment Births'!R32</f>
        <v>46</v>
      </c>
      <c r="F32" s="190">
        <f>'Catchment Births'!S32</f>
        <v>37</v>
      </c>
      <c r="G32" s="190">
        <f>'Catchment Births'!T32</f>
        <v>45</v>
      </c>
      <c r="H32" s="190">
        <f>'Catchment Births'!U32</f>
        <v>39</v>
      </c>
      <c r="I32" s="190">
        <f>'Catchment Births'!V32</f>
        <v>40</v>
      </c>
      <c r="J32" s="195">
        <f>'Catchment Births'!W32</f>
        <v>36</v>
      </c>
      <c r="K32" s="190">
        <f t="shared" si="37"/>
        <v>38.752082947602297</v>
      </c>
      <c r="L32" s="190">
        <f t="shared" si="0"/>
        <v>39.305684132568047</v>
      </c>
      <c r="M32" s="190">
        <f t="shared" si="1"/>
        <v>39.781213355551444</v>
      </c>
      <c r="N32" s="190">
        <f t="shared" si="2"/>
        <v>40.157378263284578</v>
      </c>
      <c r="O32" s="190">
        <f t="shared" si="3"/>
        <v>40.448373757946058</v>
      </c>
      <c r="P32" s="190">
        <f t="shared" si="4"/>
        <v>40.647102388446584</v>
      </c>
      <c r="Q32" s="190">
        <f t="shared" si="5"/>
        <v>40.760661605875455</v>
      </c>
      <c r="R32" s="190">
        <f t="shared" si="6"/>
        <v>40.888415725482936</v>
      </c>
      <c r="S32" s="190">
        <f t="shared" si="7"/>
        <v>40.895513176572237</v>
      </c>
      <c r="T32" s="195">
        <f t="shared" si="8"/>
        <v>40.881318274393628</v>
      </c>
      <c r="U32" s="190">
        <f>'All P1 In Catchment'!G31</f>
        <v>47</v>
      </c>
      <c r="V32" s="190">
        <f>'All P1 In Catchment'!I31</f>
        <v>29</v>
      </c>
      <c r="W32" s="190">
        <f>'All P1 In Catchment'!K31</f>
        <v>50</v>
      </c>
      <c r="X32" s="180">
        <f>'All P1 In Catchment'!M31</f>
        <v>42</v>
      </c>
      <c r="Y32" s="180">
        <f>'All P1 In Catchment'!O31</f>
        <v>39</v>
      </c>
      <c r="Z32" s="191">
        <f t="shared" si="9"/>
        <v>47</v>
      </c>
      <c r="AA32" s="180">
        <f t="shared" si="10"/>
        <v>41</v>
      </c>
      <c r="AB32" s="180">
        <f t="shared" si="39"/>
        <v>42</v>
      </c>
      <c r="AC32" s="180">
        <f t="shared" si="40"/>
        <v>38</v>
      </c>
      <c r="AD32" s="180">
        <f t="shared" si="41"/>
        <v>41</v>
      </c>
      <c r="AE32" s="180">
        <f t="shared" si="42"/>
        <v>41</v>
      </c>
      <c r="AF32" s="180">
        <f t="shared" si="43"/>
        <v>42</v>
      </c>
      <c r="AG32" s="180">
        <f t="shared" si="44"/>
        <v>42</v>
      </c>
      <c r="AH32" s="180">
        <f t="shared" si="45"/>
        <v>43</v>
      </c>
      <c r="AI32" s="180">
        <f t="shared" si="46"/>
        <v>43</v>
      </c>
      <c r="AJ32" s="180">
        <f t="shared" si="47"/>
        <v>43</v>
      </c>
      <c r="AK32" s="180">
        <f t="shared" si="48"/>
        <v>43</v>
      </c>
      <c r="AL32" s="180">
        <f t="shared" si="49"/>
        <v>43</v>
      </c>
      <c r="AM32" s="181">
        <f t="shared" si="50"/>
        <v>43</v>
      </c>
      <c r="AN32" s="180">
        <f>'All P1 In Catchment'!F31</f>
        <v>46</v>
      </c>
      <c r="AO32" s="180">
        <f>'All P1 In Catchment'!H31</f>
        <v>29</v>
      </c>
      <c r="AP32" s="180">
        <f>'All P1 In Catchment'!J31</f>
        <v>48</v>
      </c>
      <c r="AQ32" s="180">
        <f>'All P1 In Catchment'!L31</f>
        <v>41</v>
      </c>
      <c r="AR32" s="181">
        <f>'All P1 In Catchment'!N31</f>
        <v>36</v>
      </c>
      <c r="AS32" s="180">
        <f t="shared" si="23"/>
        <v>45</v>
      </c>
      <c r="AT32" s="180">
        <f t="shared" si="24"/>
        <v>39</v>
      </c>
      <c r="AU32" s="180">
        <f t="shared" si="25"/>
        <v>40</v>
      </c>
      <c r="AV32" s="180">
        <f t="shared" si="26"/>
        <v>36</v>
      </c>
      <c r="AW32" s="180">
        <f t="shared" si="27"/>
        <v>39</v>
      </c>
      <c r="AX32" s="180">
        <f t="shared" si="28"/>
        <v>39</v>
      </c>
      <c r="AY32" s="180">
        <f t="shared" si="29"/>
        <v>40</v>
      </c>
      <c r="AZ32" s="180">
        <f t="shared" si="30"/>
        <v>40</v>
      </c>
      <c r="BA32" s="180">
        <f t="shared" si="31"/>
        <v>41</v>
      </c>
      <c r="BB32" s="180">
        <f t="shared" si="32"/>
        <v>41</v>
      </c>
      <c r="BC32" s="180">
        <f t="shared" si="33"/>
        <v>41</v>
      </c>
      <c r="BD32" s="180">
        <f t="shared" si="34"/>
        <v>41</v>
      </c>
      <c r="BE32" s="180">
        <f t="shared" si="35"/>
        <v>41</v>
      </c>
      <c r="BF32" s="180">
        <f t="shared" si="36"/>
        <v>41</v>
      </c>
      <c r="BG32" s="191">
        <f>AR32+'Housing Generation'!B31</f>
        <v>36</v>
      </c>
      <c r="BH32" s="180">
        <f>AS32+'Housing Generation'!J31</f>
        <v>45</v>
      </c>
      <c r="BI32" s="180">
        <f>AT32+'Housing Generation'!R31</f>
        <v>39</v>
      </c>
      <c r="BJ32" s="180">
        <f>AU32+'Housing Generation'!Z31</f>
        <v>40</v>
      </c>
      <c r="BK32" s="180">
        <f>AV32+'Housing Generation'!AH31</f>
        <v>37</v>
      </c>
      <c r="BL32" s="180">
        <f>AW32+'Housing Generation'!AP31</f>
        <v>42</v>
      </c>
      <c r="BM32" s="180">
        <f>AX32+'Housing Generation'!AX31</f>
        <v>45</v>
      </c>
      <c r="BN32" s="180">
        <f>AY32+'Housing Generation'!BF31</f>
        <v>51</v>
      </c>
      <c r="BO32" s="180">
        <f>AZ32+'Housing Generation'!BN31</f>
        <v>55</v>
      </c>
      <c r="BP32" s="180">
        <f>BA32+'Housing Generation'!BV31</f>
        <v>60</v>
      </c>
      <c r="BQ32" s="180">
        <f>BB32+'Housing Generation'!CD31</f>
        <v>65</v>
      </c>
      <c r="BR32" s="180">
        <f>BC32+'Housing Generation'!CL31</f>
        <v>67</v>
      </c>
      <c r="BS32" s="180">
        <f>BD32+'Housing Generation'!CT31</f>
        <v>69</v>
      </c>
      <c r="BT32" s="180">
        <f>BE32+'Housing Generation'!DB31</f>
        <v>71</v>
      </c>
      <c r="BU32" s="181">
        <f>BF32+'Housing Generation'!DJ31</f>
        <v>73</v>
      </c>
      <c r="BV32" s="180">
        <f>'P1 Retained'!D31</f>
        <v>45</v>
      </c>
      <c r="BW32" s="192">
        <f>'P1 Retained'!E31</f>
        <v>28</v>
      </c>
      <c r="BX32" s="192">
        <f>'P1 Retained'!F31</f>
        <v>47</v>
      </c>
      <c r="BY32" s="192">
        <f>'P1 Retained'!G31</f>
        <v>41</v>
      </c>
      <c r="BZ32" s="192">
        <f>'P1 Retained'!H31</f>
        <v>35</v>
      </c>
    </row>
    <row r="33" spans="1:78">
      <c r="A33" s="178" t="s">
        <v>33</v>
      </c>
      <c r="B33" s="190">
        <f>'Catchment Births'!O33</f>
        <v>53</v>
      </c>
      <c r="C33" s="190">
        <f>'Catchment Births'!P33</f>
        <v>59</v>
      </c>
      <c r="D33" s="190">
        <f>'Catchment Births'!Q33</f>
        <v>60</v>
      </c>
      <c r="E33" s="190">
        <f>'Catchment Births'!R33</f>
        <v>68</v>
      </c>
      <c r="F33" s="190">
        <f>'Catchment Births'!S33</f>
        <v>68</v>
      </c>
      <c r="G33" s="190">
        <f>'Catchment Births'!T33</f>
        <v>56</v>
      </c>
      <c r="H33" s="190">
        <f>'Catchment Births'!U33</f>
        <v>66</v>
      </c>
      <c r="I33" s="190">
        <f>'Catchment Births'!V33</f>
        <v>51</v>
      </c>
      <c r="J33" s="195">
        <f>'Catchment Births'!W33</f>
        <v>45</v>
      </c>
      <c r="K33" s="190">
        <f t="shared" si="37"/>
        <v>54.589890760970192</v>
      </c>
      <c r="L33" s="190">
        <f t="shared" si="0"/>
        <v>55.369746343269767</v>
      </c>
      <c r="M33" s="190">
        <f t="shared" si="1"/>
        <v>56.039622292168119</v>
      </c>
      <c r="N33" s="190">
        <f t="shared" si="2"/>
        <v>56.569524162192188</v>
      </c>
      <c r="O33" s="190">
        <f t="shared" si="3"/>
        <v>56.979448250324019</v>
      </c>
      <c r="P33" s="190">
        <f t="shared" si="4"/>
        <v>57.259396408072583</v>
      </c>
      <c r="Q33" s="190">
        <f t="shared" si="5"/>
        <v>57.419366783928908</v>
      </c>
      <c r="R33" s="190">
        <f t="shared" si="6"/>
        <v>57.599333456767269</v>
      </c>
      <c r="S33" s="190">
        <f t="shared" si="7"/>
        <v>57.609331605258291</v>
      </c>
      <c r="T33" s="195">
        <f t="shared" si="8"/>
        <v>57.589335308276247</v>
      </c>
      <c r="U33" s="190">
        <f>'All P1 In Catchment'!G32</f>
        <v>68</v>
      </c>
      <c r="V33" s="190">
        <f>'All P1 In Catchment'!I32</f>
        <v>56</v>
      </c>
      <c r="W33" s="190">
        <f>'All P1 In Catchment'!K32</f>
        <v>60</v>
      </c>
      <c r="X33" s="180">
        <f>'All P1 In Catchment'!M32</f>
        <v>66</v>
      </c>
      <c r="Y33" s="180">
        <f>'All P1 In Catchment'!O32</f>
        <v>56</v>
      </c>
      <c r="Z33" s="191">
        <f t="shared" si="9"/>
        <v>56</v>
      </c>
      <c r="AA33" s="180">
        <f t="shared" si="10"/>
        <v>66</v>
      </c>
      <c r="AB33" s="180">
        <f t="shared" si="39"/>
        <v>51</v>
      </c>
      <c r="AC33" s="180">
        <f t="shared" si="40"/>
        <v>45</v>
      </c>
      <c r="AD33" s="180">
        <f t="shared" si="41"/>
        <v>55</v>
      </c>
      <c r="AE33" s="180">
        <f t="shared" si="42"/>
        <v>56</v>
      </c>
      <c r="AF33" s="180">
        <f t="shared" si="43"/>
        <v>56</v>
      </c>
      <c r="AG33" s="180">
        <f t="shared" si="44"/>
        <v>57</v>
      </c>
      <c r="AH33" s="180">
        <f t="shared" si="45"/>
        <v>57</v>
      </c>
      <c r="AI33" s="180">
        <f t="shared" si="46"/>
        <v>58</v>
      </c>
      <c r="AJ33" s="180">
        <f t="shared" si="47"/>
        <v>58</v>
      </c>
      <c r="AK33" s="180">
        <f t="shared" si="48"/>
        <v>58</v>
      </c>
      <c r="AL33" s="180">
        <f t="shared" si="49"/>
        <v>58</v>
      </c>
      <c r="AM33" s="181">
        <f t="shared" si="50"/>
        <v>58</v>
      </c>
      <c r="AN33" s="180">
        <f>'All P1 In Catchment'!F32</f>
        <v>63</v>
      </c>
      <c r="AO33" s="180">
        <f>'All P1 In Catchment'!H32</f>
        <v>54</v>
      </c>
      <c r="AP33" s="180">
        <f>'All P1 In Catchment'!J32</f>
        <v>58</v>
      </c>
      <c r="AQ33" s="180">
        <f>'All P1 In Catchment'!L32</f>
        <v>62</v>
      </c>
      <c r="AR33" s="181">
        <f>'All P1 In Catchment'!N32</f>
        <v>54</v>
      </c>
      <c r="AS33" s="180">
        <f t="shared" si="23"/>
        <v>54</v>
      </c>
      <c r="AT33" s="180">
        <f t="shared" si="24"/>
        <v>63</v>
      </c>
      <c r="AU33" s="180">
        <f t="shared" si="25"/>
        <v>49</v>
      </c>
      <c r="AV33" s="180">
        <f t="shared" si="26"/>
        <v>43</v>
      </c>
      <c r="AW33" s="180">
        <f t="shared" si="27"/>
        <v>53</v>
      </c>
      <c r="AX33" s="180">
        <f t="shared" si="28"/>
        <v>54</v>
      </c>
      <c r="AY33" s="180">
        <f t="shared" si="29"/>
        <v>54</v>
      </c>
      <c r="AZ33" s="180">
        <f t="shared" si="30"/>
        <v>55</v>
      </c>
      <c r="BA33" s="180">
        <f t="shared" si="31"/>
        <v>55</v>
      </c>
      <c r="BB33" s="180">
        <f t="shared" si="32"/>
        <v>55</v>
      </c>
      <c r="BC33" s="180">
        <f t="shared" si="33"/>
        <v>55</v>
      </c>
      <c r="BD33" s="180">
        <f t="shared" si="34"/>
        <v>55</v>
      </c>
      <c r="BE33" s="180">
        <f t="shared" si="35"/>
        <v>55</v>
      </c>
      <c r="BF33" s="180">
        <f t="shared" si="36"/>
        <v>55</v>
      </c>
      <c r="BG33" s="191">
        <f>AR33+'Housing Generation'!B32</f>
        <v>54</v>
      </c>
      <c r="BH33" s="180">
        <f>AS33+'Housing Generation'!J32</f>
        <v>54</v>
      </c>
      <c r="BI33" s="180">
        <f>AT33+'Housing Generation'!R32</f>
        <v>63</v>
      </c>
      <c r="BJ33" s="180">
        <f>AU33+'Housing Generation'!Z32</f>
        <v>49</v>
      </c>
      <c r="BK33" s="180">
        <f>AV33+'Housing Generation'!AH32</f>
        <v>43</v>
      </c>
      <c r="BL33" s="180">
        <f>AW33+'Housing Generation'!AP32</f>
        <v>53</v>
      </c>
      <c r="BM33" s="180">
        <f>AX33+'Housing Generation'!AX32</f>
        <v>54</v>
      </c>
      <c r="BN33" s="180">
        <f>AY33+'Housing Generation'!BF32</f>
        <v>54</v>
      </c>
      <c r="BO33" s="180">
        <f>AZ33+'Housing Generation'!BN32</f>
        <v>55</v>
      </c>
      <c r="BP33" s="180">
        <f>BA33+'Housing Generation'!BV32</f>
        <v>55</v>
      </c>
      <c r="BQ33" s="180">
        <f>BB33+'Housing Generation'!CD32</f>
        <v>55</v>
      </c>
      <c r="BR33" s="180">
        <f>BC33+'Housing Generation'!CL32</f>
        <v>55</v>
      </c>
      <c r="BS33" s="180">
        <f>BD33+'Housing Generation'!CT32</f>
        <v>55</v>
      </c>
      <c r="BT33" s="180">
        <f>BE33+'Housing Generation'!DB32</f>
        <v>55</v>
      </c>
      <c r="BU33" s="181">
        <f>BF33+'Housing Generation'!DJ32</f>
        <v>55</v>
      </c>
      <c r="BV33" s="180">
        <f>'P1 Retained'!D32</f>
        <v>49</v>
      </c>
      <c r="BW33" s="192">
        <f>'P1 Retained'!E32</f>
        <v>48</v>
      </c>
      <c r="BX33" s="192">
        <f>'P1 Retained'!F32</f>
        <v>49</v>
      </c>
      <c r="BY33" s="192">
        <f>'P1 Retained'!G32</f>
        <v>54</v>
      </c>
      <c r="BZ33" s="192">
        <f>'P1 Retained'!H32</f>
        <v>44</v>
      </c>
    </row>
    <row r="34" spans="1:78">
      <c r="A34" s="178" t="s">
        <v>78</v>
      </c>
      <c r="B34" s="190">
        <f>'Catchment Births'!O34</f>
        <v>135</v>
      </c>
      <c r="C34" s="190">
        <f>'Catchment Births'!P34</f>
        <v>166</v>
      </c>
      <c r="D34" s="190">
        <f>'Catchment Births'!Q34</f>
        <v>168</v>
      </c>
      <c r="E34" s="190">
        <f>'Catchment Births'!R34</f>
        <v>133</v>
      </c>
      <c r="F34" s="190">
        <f>'Catchment Births'!S34</f>
        <v>177</v>
      </c>
      <c r="G34" s="190">
        <f>'Catchment Births'!T34</f>
        <v>149</v>
      </c>
      <c r="H34" s="190">
        <f>'Catchment Births'!U34</f>
        <v>149</v>
      </c>
      <c r="I34" s="190">
        <f>'Catchment Births'!V34</f>
        <v>134</v>
      </c>
      <c r="J34" s="195">
        <f>'Catchment Births'!W34</f>
        <v>138</v>
      </c>
      <c r="K34" s="190">
        <f t="shared" si="37"/>
        <v>141.86632105165711</v>
      </c>
      <c r="L34" s="190">
        <f t="shared" si="0"/>
        <v>143.89298278096649</v>
      </c>
      <c r="M34" s="190">
        <f t="shared" si="1"/>
        <v>145.63383324075789</v>
      </c>
      <c r="N34" s="190">
        <f t="shared" si="2"/>
        <v>147.01092390298095</v>
      </c>
      <c r="O34" s="190">
        <f t="shared" si="3"/>
        <v>148.07622045300255</v>
      </c>
      <c r="P34" s="190">
        <f t="shared" si="4"/>
        <v>148.80374004813925</v>
      </c>
      <c r="Q34" s="190">
        <f t="shared" si="5"/>
        <v>149.21946553107452</v>
      </c>
      <c r="R34" s="190">
        <f t="shared" si="6"/>
        <v>149.68715669937669</v>
      </c>
      <c r="S34" s="190">
        <f t="shared" si="7"/>
        <v>149.71313954206013</v>
      </c>
      <c r="T34" s="195">
        <f t="shared" si="8"/>
        <v>149.66117385669324</v>
      </c>
      <c r="U34" s="190">
        <f>'All P1 In Catchment'!G33</f>
        <v>89</v>
      </c>
      <c r="V34" s="190">
        <f>'All P1 In Catchment'!I33</f>
        <v>80</v>
      </c>
      <c r="W34" s="190">
        <f>'All P1 In Catchment'!K33</f>
        <v>84</v>
      </c>
      <c r="X34" s="180">
        <f>'All P1 In Catchment'!M33</f>
        <v>76</v>
      </c>
      <c r="Y34" s="180">
        <f>'All P1 In Catchment'!O33</f>
        <v>92</v>
      </c>
      <c r="Z34" s="191">
        <f t="shared" si="9"/>
        <v>81</v>
      </c>
      <c r="AA34" s="180">
        <f t="shared" si="10"/>
        <v>81</v>
      </c>
      <c r="AB34" s="180">
        <f t="shared" si="39"/>
        <v>73</v>
      </c>
      <c r="AC34" s="180">
        <f t="shared" si="40"/>
        <v>75</v>
      </c>
      <c r="AD34" s="180">
        <f t="shared" si="41"/>
        <v>78</v>
      </c>
      <c r="AE34" s="180">
        <f t="shared" si="42"/>
        <v>79</v>
      </c>
      <c r="AF34" s="180">
        <f t="shared" si="43"/>
        <v>80</v>
      </c>
      <c r="AG34" s="180">
        <f t="shared" si="44"/>
        <v>80</v>
      </c>
      <c r="AH34" s="180">
        <f t="shared" si="45"/>
        <v>81</v>
      </c>
      <c r="AI34" s="180">
        <f t="shared" si="46"/>
        <v>81</v>
      </c>
      <c r="AJ34" s="180">
        <f t="shared" si="47"/>
        <v>82</v>
      </c>
      <c r="AK34" s="180">
        <f t="shared" si="48"/>
        <v>82</v>
      </c>
      <c r="AL34" s="180">
        <f t="shared" si="49"/>
        <v>82</v>
      </c>
      <c r="AM34" s="181">
        <f t="shared" si="50"/>
        <v>82</v>
      </c>
      <c r="AN34" s="180">
        <f>'All P1 In Catchment'!F33</f>
        <v>84</v>
      </c>
      <c r="AO34" s="180">
        <f>'All P1 In Catchment'!H33</f>
        <v>79</v>
      </c>
      <c r="AP34" s="180">
        <f>'All P1 In Catchment'!J33</f>
        <v>82</v>
      </c>
      <c r="AQ34" s="180">
        <f>'All P1 In Catchment'!L33</f>
        <v>74</v>
      </c>
      <c r="AR34" s="181">
        <f>'All P1 In Catchment'!N33</f>
        <v>89</v>
      </c>
      <c r="AS34" s="180">
        <f t="shared" si="23"/>
        <v>79</v>
      </c>
      <c r="AT34" s="180">
        <f t="shared" si="24"/>
        <v>79</v>
      </c>
      <c r="AU34" s="180">
        <f t="shared" si="25"/>
        <v>71</v>
      </c>
      <c r="AV34" s="180">
        <f t="shared" si="26"/>
        <v>73</v>
      </c>
      <c r="AW34" s="180">
        <f t="shared" si="27"/>
        <v>76</v>
      </c>
      <c r="AX34" s="180">
        <f t="shared" si="28"/>
        <v>77</v>
      </c>
      <c r="AY34" s="180">
        <f t="shared" si="29"/>
        <v>78</v>
      </c>
      <c r="AZ34" s="180">
        <f t="shared" si="30"/>
        <v>78</v>
      </c>
      <c r="BA34" s="180">
        <f t="shared" si="31"/>
        <v>79</v>
      </c>
      <c r="BB34" s="180">
        <f t="shared" si="32"/>
        <v>79</v>
      </c>
      <c r="BC34" s="180">
        <f t="shared" si="33"/>
        <v>80</v>
      </c>
      <c r="BD34" s="180">
        <f t="shared" si="34"/>
        <v>80</v>
      </c>
      <c r="BE34" s="180">
        <f t="shared" si="35"/>
        <v>80</v>
      </c>
      <c r="BF34" s="180">
        <f t="shared" si="36"/>
        <v>80</v>
      </c>
      <c r="BG34" s="191">
        <f>AR34+'Housing Generation'!B33</f>
        <v>90</v>
      </c>
      <c r="BH34" s="180">
        <f>AS34+'Housing Generation'!J33</f>
        <v>79</v>
      </c>
      <c r="BI34" s="180">
        <f>AT34+'Housing Generation'!R33</f>
        <v>79</v>
      </c>
      <c r="BJ34" s="180">
        <f>AU34+'Housing Generation'!Z33</f>
        <v>72</v>
      </c>
      <c r="BK34" s="180">
        <f>AV34+'Housing Generation'!AH33</f>
        <v>74</v>
      </c>
      <c r="BL34" s="180">
        <f>AW34+'Housing Generation'!AP33</f>
        <v>77</v>
      </c>
      <c r="BM34" s="180">
        <f>AX34+'Housing Generation'!AX33</f>
        <v>78</v>
      </c>
      <c r="BN34" s="180">
        <f>AY34+'Housing Generation'!BF33</f>
        <v>80</v>
      </c>
      <c r="BO34" s="180">
        <f>AZ34+'Housing Generation'!BN33</f>
        <v>80</v>
      </c>
      <c r="BP34" s="180">
        <f>BA34+'Housing Generation'!BV33</f>
        <v>82</v>
      </c>
      <c r="BQ34" s="180">
        <f>BB34+'Housing Generation'!CD33</f>
        <v>83</v>
      </c>
      <c r="BR34" s="180">
        <f>BC34+'Housing Generation'!CL33</f>
        <v>84</v>
      </c>
      <c r="BS34" s="180">
        <f>BD34+'Housing Generation'!CT33</f>
        <v>84</v>
      </c>
      <c r="BT34" s="180">
        <f>BE34+'Housing Generation'!DB33</f>
        <v>84</v>
      </c>
      <c r="BU34" s="181">
        <f>BF34+'Housing Generation'!DJ33</f>
        <v>84</v>
      </c>
      <c r="BV34" s="180">
        <f>'P1 Retained'!D33</f>
        <v>78</v>
      </c>
      <c r="BW34" s="192">
        <f>'P1 Retained'!E33</f>
        <v>75</v>
      </c>
      <c r="BX34" s="192">
        <f>'P1 Retained'!F33</f>
        <v>80</v>
      </c>
      <c r="BY34" s="192">
        <f>'P1 Retained'!G33</f>
        <v>73</v>
      </c>
      <c r="BZ34" s="192">
        <f>'P1 Retained'!H33</f>
        <v>87</v>
      </c>
    </row>
    <row r="35" spans="1:78">
      <c r="A35" s="178" t="s">
        <v>34</v>
      </c>
      <c r="B35" s="190">
        <f>'Catchment Births'!O35</f>
        <v>85</v>
      </c>
      <c r="C35" s="190">
        <f>'Catchment Births'!P35</f>
        <v>78</v>
      </c>
      <c r="D35" s="190">
        <f>'Catchment Births'!Q35</f>
        <v>96</v>
      </c>
      <c r="E35" s="190">
        <f>'Catchment Births'!R35</f>
        <v>86</v>
      </c>
      <c r="F35" s="190">
        <f>'Catchment Births'!S35</f>
        <v>79</v>
      </c>
      <c r="G35" s="190">
        <f>'Catchment Births'!T35</f>
        <v>102</v>
      </c>
      <c r="H35" s="190">
        <f>'Catchment Births'!U35</f>
        <v>107</v>
      </c>
      <c r="I35" s="190">
        <f>'Catchment Births'!V35</f>
        <v>90</v>
      </c>
      <c r="J35" s="195">
        <f>'Catchment Births'!W35</f>
        <v>102</v>
      </c>
      <c r="K35" s="190">
        <f t="shared" si="37"/>
        <v>100.75541566376597</v>
      </c>
      <c r="L35" s="190">
        <f t="shared" si="0"/>
        <v>102.19477874467691</v>
      </c>
      <c r="M35" s="190">
        <f t="shared" si="1"/>
        <v>103.43115472443374</v>
      </c>
      <c r="N35" s="190">
        <f t="shared" si="2"/>
        <v>104.40918348453989</v>
      </c>
      <c r="O35" s="190">
        <f t="shared" si="3"/>
        <v>105.16577177065975</v>
      </c>
      <c r="P35" s="190">
        <f t="shared" si="4"/>
        <v>105.68246620996111</v>
      </c>
      <c r="Q35" s="190">
        <f t="shared" si="5"/>
        <v>105.97772017527618</v>
      </c>
      <c r="R35" s="190">
        <f t="shared" si="6"/>
        <v>106.30988088625563</v>
      </c>
      <c r="S35" s="190">
        <f t="shared" si="7"/>
        <v>106.32833425908782</v>
      </c>
      <c r="T35" s="195">
        <f t="shared" si="8"/>
        <v>106.29142751342344</v>
      </c>
      <c r="U35" s="190">
        <f>'All P1 In Catchment'!G34</f>
        <v>75</v>
      </c>
      <c r="V35" s="190">
        <f>'All P1 In Catchment'!I34</f>
        <v>82</v>
      </c>
      <c r="W35" s="190">
        <f>'All P1 In Catchment'!K34</f>
        <v>78</v>
      </c>
      <c r="X35" s="180">
        <f>'All P1 In Catchment'!M34</f>
        <v>87</v>
      </c>
      <c r="Y35" s="180">
        <f>'All P1 In Catchment'!O34</f>
        <v>77</v>
      </c>
      <c r="Z35" s="191">
        <f t="shared" si="9"/>
        <v>97</v>
      </c>
      <c r="AA35" s="180">
        <f t="shared" si="10"/>
        <v>101</v>
      </c>
      <c r="AB35" s="180">
        <f t="shared" si="39"/>
        <v>85</v>
      </c>
      <c r="AC35" s="180">
        <f t="shared" si="40"/>
        <v>97</v>
      </c>
      <c r="AD35" s="180">
        <f t="shared" si="41"/>
        <v>95</v>
      </c>
      <c r="AE35" s="180">
        <f t="shared" si="42"/>
        <v>97</v>
      </c>
      <c r="AF35" s="180">
        <f t="shared" si="43"/>
        <v>98</v>
      </c>
      <c r="AG35" s="180">
        <f t="shared" si="44"/>
        <v>99</v>
      </c>
      <c r="AH35" s="180">
        <f t="shared" si="45"/>
        <v>100</v>
      </c>
      <c r="AI35" s="180">
        <f t="shared" si="46"/>
        <v>100</v>
      </c>
      <c r="AJ35" s="180">
        <f t="shared" si="47"/>
        <v>100</v>
      </c>
      <c r="AK35" s="180">
        <f t="shared" si="48"/>
        <v>101</v>
      </c>
      <c r="AL35" s="180">
        <f t="shared" si="49"/>
        <v>101</v>
      </c>
      <c r="AM35" s="181">
        <f t="shared" si="50"/>
        <v>101</v>
      </c>
      <c r="AN35" s="180">
        <f>'All P1 In Catchment'!F34</f>
        <v>66</v>
      </c>
      <c r="AO35" s="180">
        <f>'All P1 In Catchment'!H34</f>
        <v>63</v>
      </c>
      <c r="AP35" s="180">
        <f>'All P1 In Catchment'!J34</f>
        <v>68</v>
      </c>
      <c r="AQ35" s="180">
        <f>'All P1 In Catchment'!L34</f>
        <v>67</v>
      </c>
      <c r="AR35" s="181">
        <f>'All P1 In Catchment'!N34</f>
        <v>69</v>
      </c>
      <c r="AS35" s="180">
        <f t="shared" si="23"/>
        <v>82</v>
      </c>
      <c r="AT35" s="180">
        <f t="shared" si="24"/>
        <v>85</v>
      </c>
      <c r="AU35" s="180">
        <f t="shared" si="25"/>
        <v>72</v>
      </c>
      <c r="AV35" s="180">
        <f t="shared" si="26"/>
        <v>82</v>
      </c>
      <c r="AW35" s="180">
        <f t="shared" si="27"/>
        <v>80</v>
      </c>
      <c r="AX35" s="180">
        <f t="shared" si="28"/>
        <v>82</v>
      </c>
      <c r="AY35" s="180">
        <f t="shared" si="29"/>
        <v>83</v>
      </c>
      <c r="AZ35" s="180">
        <f t="shared" si="30"/>
        <v>84</v>
      </c>
      <c r="BA35" s="180">
        <f t="shared" si="31"/>
        <v>85</v>
      </c>
      <c r="BB35" s="180">
        <f t="shared" si="32"/>
        <v>85</v>
      </c>
      <c r="BC35" s="180">
        <f t="shared" si="33"/>
        <v>85</v>
      </c>
      <c r="BD35" s="180">
        <f t="shared" si="34"/>
        <v>85</v>
      </c>
      <c r="BE35" s="180">
        <f t="shared" si="35"/>
        <v>85</v>
      </c>
      <c r="BF35" s="180">
        <f t="shared" si="36"/>
        <v>85</v>
      </c>
      <c r="BG35" s="191">
        <f>AR35+'Housing Generation'!B34</f>
        <v>70</v>
      </c>
      <c r="BH35" s="180">
        <f>AS35+'Housing Generation'!J34</f>
        <v>83</v>
      </c>
      <c r="BI35" s="180">
        <f>AT35+'Housing Generation'!R34</f>
        <v>86</v>
      </c>
      <c r="BJ35" s="180">
        <f>AU35+'Housing Generation'!Z34</f>
        <v>73</v>
      </c>
      <c r="BK35" s="180">
        <f>AV35+'Housing Generation'!AH34</f>
        <v>83</v>
      </c>
      <c r="BL35" s="180">
        <f>AW35+'Housing Generation'!AP34</f>
        <v>81</v>
      </c>
      <c r="BM35" s="180">
        <f>AX35+'Housing Generation'!AX34</f>
        <v>83</v>
      </c>
      <c r="BN35" s="180">
        <f>AY35+'Housing Generation'!BF34</f>
        <v>84</v>
      </c>
      <c r="BO35" s="180">
        <f>AZ35+'Housing Generation'!BN34</f>
        <v>85</v>
      </c>
      <c r="BP35" s="180">
        <f>BA35+'Housing Generation'!BV34</f>
        <v>87</v>
      </c>
      <c r="BQ35" s="180">
        <f>BB35+'Housing Generation'!CD34</f>
        <v>87</v>
      </c>
      <c r="BR35" s="180">
        <f>BC35+'Housing Generation'!CL34</f>
        <v>87</v>
      </c>
      <c r="BS35" s="180">
        <f>BD35+'Housing Generation'!CT34</f>
        <v>87</v>
      </c>
      <c r="BT35" s="180">
        <f>BE35+'Housing Generation'!DB34</f>
        <v>87</v>
      </c>
      <c r="BU35" s="181">
        <f>BF35+'Housing Generation'!DJ34</f>
        <v>87</v>
      </c>
      <c r="BV35" s="180">
        <f>'P1 Retained'!D34</f>
        <v>44</v>
      </c>
      <c r="BW35" s="192">
        <f>'P1 Retained'!E34</f>
        <v>42</v>
      </c>
      <c r="BX35" s="192">
        <f>'P1 Retained'!F34</f>
        <v>47</v>
      </c>
      <c r="BY35" s="192">
        <f>'P1 Retained'!G34</f>
        <v>49</v>
      </c>
      <c r="BZ35" s="192">
        <f>'P1 Retained'!H34</f>
        <v>52</v>
      </c>
    </row>
    <row r="36" spans="1:78">
      <c r="A36" s="178" t="s">
        <v>83</v>
      </c>
      <c r="B36" s="190">
        <f>'Catchment Births'!O36</f>
        <v>28</v>
      </c>
      <c r="C36" s="190">
        <f>'Catchment Births'!P36</f>
        <v>34</v>
      </c>
      <c r="D36" s="190">
        <f>'Catchment Births'!Q36</f>
        <v>40</v>
      </c>
      <c r="E36" s="190">
        <f>'Catchment Births'!R36</f>
        <v>37</v>
      </c>
      <c r="F36" s="190">
        <f>'Catchment Births'!S36</f>
        <v>45</v>
      </c>
      <c r="G36" s="190">
        <f>'Catchment Births'!T36</f>
        <v>36</v>
      </c>
      <c r="H36" s="190">
        <f>'Catchment Births'!U36</f>
        <v>50</v>
      </c>
      <c r="I36" s="190">
        <f>'Catchment Births'!V36</f>
        <v>41</v>
      </c>
      <c r="J36" s="195">
        <f>'Catchment Births'!W36</f>
        <v>38</v>
      </c>
      <c r="K36" s="190">
        <f t="shared" si="37"/>
        <v>43.46972782817997</v>
      </c>
      <c r="L36" s="190">
        <f t="shared" ref="L36:L67" si="51">K36+($L$2*K36)</f>
        <v>44.09072394001111</v>
      </c>
      <c r="M36" s="190">
        <f t="shared" ref="M36:M67" si="52">L36+($M$2*L36)</f>
        <v>44.624143677096832</v>
      </c>
      <c r="N36" s="190">
        <f t="shared" ref="N36:N67" si="53">M36+($N$2*M36)</f>
        <v>45.04610257359748</v>
      </c>
      <c r="O36" s="190">
        <f t="shared" ref="O36:O67" si="54">N36+($O$2*N36)</f>
        <v>45.372523606739492</v>
      </c>
      <c r="P36" s="190">
        <f t="shared" ref="P36:P67" si="55">O36+($P$2*O36)</f>
        <v>45.595445287909648</v>
      </c>
      <c r="Q36" s="190">
        <f t="shared" ref="Q36:Q67" si="56">P36+($Q$2*P36)</f>
        <v>45.722829105721168</v>
      </c>
      <c r="R36" s="190">
        <f t="shared" ref="R36:R67" si="57">Q36+($R$2*Q36)</f>
        <v>45.866135900759126</v>
      </c>
      <c r="S36" s="190">
        <f t="shared" ref="S36:S67" si="58">R36+($S$2*R36)</f>
        <v>45.874097389372345</v>
      </c>
      <c r="T36" s="195">
        <f t="shared" ref="T36:T67" si="59">S36+($T$2*S36)</f>
        <v>45.858174412145907</v>
      </c>
      <c r="U36" s="190">
        <f>'All P1 In Catchment'!G35</f>
        <v>40</v>
      </c>
      <c r="V36" s="190">
        <f>'All P1 In Catchment'!I35</f>
        <v>41</v>
      </c>
      <c r="W36" s="190">
        <f>'All P1 In Catchment'!K35</f>
        <v>54</v>
      </c>
      <c r="X36" s="180">
        <f>'All P1 In Catchment'!M35</f>
        <v>53</v>
      </c>
      <c r="Y36" s="180">
        <f>'All P1 In Catchment'!O35</f>
        <v>41</v>
      </c>
      <c r="Z36" s="191">
        <f t="shared" ref="Z36:Z67" si="60">ROUND((G36*(AVERAGE((U36/B36),(V36/C36),(W36/D36),(X36/E36),(Y36/F36)))),0)</f>
        <v>46</v>
      </c>
      <c r="AA36" s="180">
        <f t="shared" ref="AA36:AA67" si="61">ROUND((H36*(AVERAGE((U36/B36),(V36/C36),(W36/D36),(X36/E36),(Y36/F36)))),0)</f>
        <v>63</v>
      </c>
      <c r="AB36" s="180">
        <f t="shared" si="39"/>
        <v>52</v>
      </c>
      <c r="AC36" s="180">
        <f t="shared" si="40"/>
        <v>48</v>
      </c>
      <c r="AD36" s="180">
        <f t="shared" si="41"/>
        <v>55</v>
      </c>
      <c r="AE36" s="180">
        <f t="shared" si="42"/>
        <v>56</v>
      </c>
      <c r="AF36" s="180">
        <f t="shared" si="43"/>
        <v>56</v>
      </c>
      <c r="AG36" s="180">
        <f t="shared" si="44"/>
        <v>57</v>
      </c>
      <c r="AH36" s="180">
        <f t="shared" si="45"/>
        <v>57</v>
      </c>
      <c r="AI36" s="180">
        <f t="shared" si="46"/>
        <v>58</v>
      </c>
      <c r="AJ36" s="180">
        <f t="shared" si="47"/>
        <v>58</v>
      </c>
      <c r="AK36" s="180">
        <f t="shared" si="48"/>
        <v>58</v>
      </c>
      <c r="AL36" s="180">
        <f t="shared" si="49"/>
        <v>58</v>
      </c>
      <c r="AM36" s="181">
        <f t="shared" si="50"/>
        <v>58</v>
      </c>
      <c r="AN36" s="180">
        <f>'All P1 In Catchment'!F35</f>
        <v>34</v>
      </c>
      <c r="AO36" s="180">
        <f>'All P1 In Catchment'!H35</f>
        <v>34</v>
      </c>
      <c r="AP36" s="180">
        <f>'All P1 In Catchment'!J35</f>
        <v>47</v>
      </c>
      <c r="AQ36" s="180">
        <f>'All P1 In Catchment'!L35</f>
        <v>45</v>
      </c>
      <c r="AR36" s="181">
        <f>'All P1 In Catchment'!N35</f>
        <v>38</v>
      </c>
      <c r="AS36" s="180">
        <f t="shared" ref="AS36:AS67" si="62">ROUND((Z36*(AVERAGE((AP36/W36),(AQ36/X36),(AR36/Y36)))),0)</f>
        <v>41</v>
      </c>
      <c r="AT36" s="180">
        <f t="shared" ref="AT36:AT67" si="63">ROUND((AA36*(AVERAGE((AP36/W36),(AQ36/X36),(AR36/Y36)))),0)</f>
        <v>56</v>
      </c>
      <c r="AU36" s="180">
        <f t="shared" ref="AU36:AU67" si="64">ROUND((AB36*(AVERAGE((AP36/W36),(AQ36/X36),(AR36/Y36)))),0)</f>
        <v>46</v>
      </c>
      <c r="AV36" s="180">
        <f t="shared" ref="AV36:AV67" si="65">ROUND((AC36*(AVERAGE((AP36/W36),(AQ36/X36),(AR36/Y36)))),0)</f>
        <v>42</v>
      </c>
      <c r="AW36" s="180">
        <f t="shared" ref="AW36:AW67" si="66">ROUND((AD36*(AVERAGE((AP36/W36),(AQ36/X36),(AR36/Y36)))),0)</f>
        <v>49</v>
      </c>
      <c r="AX36" s="180">
        <f t="shared" ref="AX36:AX67" si="67">ROUND((AE36*(AVERAGE((AP36/W36),(AQ36/X36),(AR36/Y36)))),0)</f>
        <v>49</v>
      </c>
      <c r="AY36" s="180">
        <f t="shared" ref="AY36:AY67" si="68">ROUND((AF36*(AVERAGE((AP36/W36),(AQ36/X36),(AR36/Y36)))),0)</f>
        <v>49</v>
      </c>
      <c r="AZ36" s="180">
        <f t="shared" ref="AZ36:AZ67" si="69">ROUND((AG36*(AVERAGE((AP36/W36),(AQ36/X36),(AR36/Y36)))),0)</f>
        <v>50</v>
      </c>
      <c r="BA36" s="180">
        <f t="shared" ref="BA36:BA67" si="70">ROUND((AH36*(AVERAGE((AP36/W36),(AQ36/X36),(AR36/Y36)))),0)</f>
        <v>50</v>
      </c>
      <c r="BB36" s="180">
        <f t="shared" ref="BB36:BB67" si="71">ROUND((AI36*(AVERAGE((AP36/W36),(AQ36/X36),(AR36/Y36)))),0)</f>
        <v>51</v>
      </c>
      <c r="BC36" s="180">
        <f t="shared" ref="BC36:BC67" si="72">ROUND((AJ36*(AVERAGE((AP36/W36),(AQ36/X36),(AR36/Y36)))),0)</f>
        <v>51</v>
      </c>
      <c r="BD36" s="180">
        <f t="shared" ref="BD36:BD67" si="73">ROUND((AK36*(AVERAGE((AP36/W36),(AQ36/X36),(AR36/Y36)))),0)</f>
        <v>51</v>
      </c>
      <c r="BE36" s="180">
        <f t="shared" ref="BE36:BE67" si="74">ROUND((AL36*(AVERAGE((AP36/W36),(AQ36/X36),(AR36/Y36)))),0)</f>
        <v>51</v>
      </c>
      <c r="BF36" s="180">
        <f t="shared" ref="BF36:BF67" si="75">ROUND((AM36*(AVERAGE((AP36/W36),(AQ36/X36),(AR36/Y36)))),0)</f>
        <v>51</v>
      </c>
      <c r="BG36" s="191">
        <f>AR36+'Housing Generation'!B35</f>
        <v>38</v>
      </c>
      <c r="BH36" s="180">
        <f>AS36+'Housing Generation'!J35</f>
        <v>41</v>
      </c>
      <c r="BI36" s="180">
        <f>AT36+'Housing Generation'!R35</f>
        <v>56</v>
      </c>
      <c r="BJ36" s="180">
        <f>AU36+'Housing Generation'!Z35</f>
        <v>46</v>
      </c>
      <c r="BK36" s="180">
        <f>AV36+'Housing Generation'!AH35</f>
        <v>42</v>
      </c>
      <c r="BL36" s="180">
        <f>AW36+'Housing Generation'!AP35</f>
        <v>49</v>
      </c>
      <c r="BM36" s="180">
        <f>AX36+'Housing Generation'!AX35</f>
        <v>49</v>
      </c>
      <c r="BN36" s="180">
        <f>AY36+'Housing Generation'!BF35</f>
        <v>49</v>
      </c>
      <c r="BO36" s="180">
        <f>AZ36+'Housing Generation'!BN35</f>
        <v>50</v>
      </c>
      <c r="BP36" s="180">
        <f>BA36+'Housing Generation'!BV35</f>
        <v>50</v>
      </c>
      <c r="BQ36" s="180">
        <f>BB36+'Housing Generation'!CD35</f>
        <v>51</v>
      </c>
      <c r="BR36" s="180">
        <f>BC36+'Housing Generation'!CL35</f>
        <v>51</v>
      </c>
      <c r="BS36" s="180">
        <f>BD36+'Housing Generation'!CT35</f>
        <v>51</v>
      </c>
      <c r="BT36" s="180">
        <f>BE36+'Housing Generation'!DB35</f>
        <v>51</v>
      </c>
      <c r="BU36" s="181">
        <f>BF36+'Housing Generation'!DJ35</f>
        <v>51</v>
      </c>
      <c r="BV36" s="180">
        <f>'P1 Retained'!D35</f>
        <v>33</v>
      </c>
      <c r="BW36" s="192">
        <f>'P1 Retained'!E35</f>
        <v>29</v>
      </c>
      <c r="BX36" s="192">
        <f>'P1 Retained'!F35</f>
        <v>46</v>
      </c>
      <c r="BY36" s="192">
        <f>'P1 Retained'!G35</f>
        <v>43</v>
      </c>
      <c r="BZ36" s="192">
        <f>'P1 Retained'!H35</f>
        <v>36</v>
      </c>
    </row>
    <row r="37" spans="1:78" s="204" customFormat="1">
      <c r="A37" s="204" t="s">
        <v>79</v>
      </c>
      <c r="B37" s="205">
        <f>'Catchment Births'!O37</f>
        <v>524</v>
      </c>
      <c r="C37" s="205">
        <f>'Catchment Births'!P37</f>
        <v>528</v>
      </c>
      <c r="D37" s="205">
        <f>'Catchment Births'!Q37</f>
        <v>541</v>
      </c>
      <c r="E37" s="205">
        <f>'Catchment Births'!R37</f>
        <v>536</v>
      </c>
      <c r="F37" s="205">
        <f>'Catchment Births'!S37</f>
        <v>566</v>
      </c>
      <c r="G37" s="205">
        <f>'Catchment Births'!T37</f>
        <v>534</v>
      </c>
      <c r="H37" s="205">
        <f>'Catchment Births'!U37</f>
        <v>544</v>
      </c>
      <c r="I37" s="205">
        <f>'Catchment Births'!V37</f>
        <v>511</v>
      </c>
      <c r="J37" s="206">
        <f>'Catchment Births'!W37</f>
        <v>489</v>
      </c>
      <c r="K37" s="205">
        <f t="shared" si="37"/>
        <v>520.28883540085167</v>
      </c>
      <c r="L37" s="205">
        <f t="shared" si="51"/>
        <v>527.72153304943527</v>
      </c>
      <c r="M37" s="205">
        <f t="shared" si="52"/>
        <v>534.10602974757762</v>
      </c>
      <c r="N37" s="205">
        <f t="shared" si="53"/>
        <v>539.1564525087947</v>
      </c>
      <c r="O37" s="205">
        <f t="shared" si="54"/>
        <v>543.06338332407586</v>
      </c>
      <c r="P37" s="205">
        <f t="shared" si="55"/>
        <v>545.73153119792642</v>
      </c>
      <c r="Q37" s="205">
        <f t="shared" si="56"/>
        <v>547.25618712584105</v>
      </c>
      <c r="R37" s="205">
        <f t="shared" si="57"/>
        <v>548.97142504474493</v>
      </c>
      <c r="S37" s="205">
        <f t="shared" si="58"/>
        <v>549.06671604023961</v>
      </c>
      <c r="T37" s="206">
        <f t="shared" si="59"/>
        <v>548.87613404925025</v>
      </c>
      <c r="U37" s="205">
        <f>'All P1 In Catchment'!G36</f>
        <v>551</v>
      </c>
      <c r="V37" s="205">
        <f>'All P1 In Catchment'!I36</f>
        <v>598</v>
      </c>
      <c r="W37" s="205">
        <f>'All P1 In Catchment'!K36</f>
        <v>605</v>
      </c>
      <c r="X37" s="207">
        <f>'All P1 In Catchment'!M36</f>
        <v>582</v>
      </c>
      <c r="Y37" s="207">
        <f>'All P1 In Catchment'!O36</f>
        <v>573</v>
      </c>
      <c r="Z37" s="209">
        <f t="shared" si="60"/>
        <v>577</v>
      </c>
      <c r="AA37" s="207">
        <f t="shared" si="61"/>
        <v>588</v>
      </c>
      <c r="AB37" s="207">
        <f t="shared" si="39"/>
        <v>552</v>
      </c>
      <c r="AC37" s="207">
        <f t="shared" si="40"/>
        <v>528</v>
      </c>
      <c r="AD37" s="207">
        <f t="shared" si="41"/>
        <v>562</v>
      </c>
      <c r="AE37" s="207">
        <f t="shared" si="42"/>
        <v>570</v>
      </c>
      <c r="AF37" s="207">
        <f t="shared" si="43"/>
        <v>577</v>
      </c>
      <c r="AG37" s="207">
        <f t="shared" si="44"/>
        <v>582</v>
      </c>
      <c r="AH37" s="207">
        <f t="shared" si="45"/>
        <v>587</v>
      </c>
      <c r="AI37" s="207">
        <f t="shared" si="46"/>
        <v>589</v>
      </c>
      <c r="AJ37" s="207">
        <f t="shared" si="47"/>
        <v>591</v>
      </c>
      <c r="AK37" s="207">
        <f t="shared" si="48"/>
        <v>593</v>
      </c>
      <c r="AL37" s="207">
        <f t="shared" si="49"/>
        <v>593</v>
      </c>
      <c r="AM37" s="208">
        <f t="shared" si="50"/>
        <v>593</v>
      </c>
      <c r="AN37" s="207">
        <f>'All P1 In Catchment'!F36</f>
        <v>19</v>
      </c>
      <c r="AO37" s="207">
        <f>'All P1 In Catchment'!H36</f>
        <v>27</v>
      </c>
      <c r="AP37" s="207">
        <f>'All P1 In Catchment'!J36</f>
        <v>26</v>
      </c>
      <c r="AQ37" s="207">
        <f>'All P1 In Catchment'!L36</f>
        <v>24</v>
      </c>
      <c r="AR37" s="208">
        <f>'All P1 In Catchment'!N36</f>
        <v>22</v>
      </c>
      <c r="AS37" s="180">
        <f t="shared" si="62"/>
        <v>24</v>
      </c>
      <c r="AT37" s="180">
        <f t="shared" si="63"/>
        <v>24</v>
      </c>
      <c r="AU37" s="180">
        <f t="shared" si="64"/>
        <v>23</v>
      </c>
      <c r="AV37" s="180">
        <f t="shared" si="65"/>
        <v>22</v>
      </c>
      <c r="AW37" s="180">
        <f t="shared" si="66"/>
        <v>23</v>
      </c>
      <c r="AX37" s="180">
        <f t="shared" si="67"/>
        <v>23</v>
      </c>
      <c r="AY37" s="180">
        <f t="shared" si="68"/>
        <v>24</v>
      </c>
      <c r="AZ37" s="180">
        <f t="shared" si="69"/>
        <v>24</v>
      </c>
      <c r="BA37" s="180">
        <f t="shared" si="70"/>
        <v>24</v>
      </c>
      <c r="BB37" s="180">
        <f t="shared" si="71"/>
        <v>24</v>
      </c>
      <c r="BC37" s="180">
        <f t="shared" si="72"/>
        <v>24</v>
      </c>
      <c r="BD37" s="180">
        <f t="shared" si="73"/>
        <v>24</v>
      </c>
      <c r="BE37" s="180">
        <f t="shared" si="74"/>
        <v>24</v>
      </c>
      <c r="BF37" s="180">
        <f t="shared" si="75"/>
        <v>24</v>
      </c>
      <c r="BG37" s="209">
        <v>26</v>
      </c>
      <c r="BH37" s="207">
        <f>AS37+'Housing Generation'!J36</f>
        <v>25</v>
      </c>
      <c r="BI37" s="207">
        <f>AT37+'Housing Generation'!R36</f>
        <v>25</v>
      </c>
      <c r="BJ37" s="207">
        <f>AU37+'Housing Generation'!Z36</f>
        <v>25</v>
      </c>
      <c r="BK37" s="207">
        <f>AV37+'Housing Generation'!AH36</f>
        <v>25</v>
      </c>
      <c r="BL37" s="207">
        <f>AW37+'Housing Generation'!AP36</f>
        <v>28</v>
      </c>
      <c r="BM37" s="207">
        <f>AX37+'Housing Generation'!AX36</f>
        <v>30</v>
      </c>
      <c r="BN37" s="207">
        <f>AY37+'Housing Generation'!BF36</f>
        <v>32</v>
      </c>
      <c r="BO37" s="207">
        <f>AZ37+'Housing Generation'!BN36</f>
        <v>34</v>
      </c>
      <c r="BP37" s="207">
        <f>BA37+'Housing Generation'!BV36</f>
        <v>35</v>
      </c>
      <c r="BQ37" s="207">
        <f>BB37+'Housing Generation'!CD36</f>
        <v>36</v>
      </c>
      <c r="BR37" s="207">
        <f>BC37+'Housing Generation'!CL36</f>
        <v>36</v>
      </c>
      <c r="BS37" s="207">
        <f>BD37+'Housing Generation'!CT36</f>
        <v>37</v>
      </c>
      <c r="BT37" s="207">
        <f>BE37+'Housing Generation'!DB36</f>
        <v>37</v>
      </c>
      <c r="BU37" s="208">
        <f>BF37+'Housing Generation'!DJ36</f>
        <v>37</v>
      </c>
      <c r="BV37" s="207">
        <f>'P1 Retained'!D36</f>
        <v>19</v>
      </c>
      <c r="BW37" s="362">
        <f>'P1 Retained'!E36</f>
        <v>25</v>
      </c>
      <c r="BX37" s="362">
        <f>'P1 Retained'!F36</f>
        <v>25</v>
      </c>
      <c r="BY37" s="362">
        <f>'P1 Retained'!G36</f>
        <v>21</v>
      </c>
      <c r="BZ37" s="362">
        <f>'P1 Retained'!H36</f>
        <v>21</v>
      </c>
    </row>
    <row r="38" spans="1:78">
      <c r="A38" s="178" t="s">
        <v>35</v>
      </c>
      <c r="B38" s="190">
        <f>'Catchment Births'!O38</f>
        <v>112</v>
      </c>
      <c r="C38" s="190">
        <f>'Catchment Births'!P38</f>
        <v>100</v>
      </c>
      <c r="D38" s="190">
        <f>'Catchment Births'!Q38</f>
        <v>92</v>
      </c>
      <c r="E38" s="190">
        <f>'Catchment Births'!R38</f>
        <v>94</v>
      </c>
      <c r="F38" s="190">
        <f>'Catchment Births'!S38</f>
        <v>108</v>
      </c>
      <c r="G38" s="190">
        <f>'Catchment Births'!T38</f>
        <v>105</v>
      </c>
      <c r="H38" s="190">
        <f>'Catchment Births'!U38</f>
        <v>123</v>
      </c>
      <c r="I38" s="190">
        <f>'Catchment Births'!V38</f>
        <v>101</v>
      </c>
      <c r="J38" s="195">
        <f>'Catchment Births'!W38</f>
        <v>105</v>
      </c>
      <c r="K38" s="190">
        <f t="shared" si="37"/>
        <v>110.86465469357528</v>
      </c>
      <c r="L38" s="190">
        <f t="shared" si="51"/>
        <v>112.44843547491206</v>
      </c>
      <c r="M38" s="190">
        <f t="shared" si="52"/>
        <v>113.80886255631674</v>
      </c>
      <c r="N38" s="190">
        <f t="shared" si="53"/>
        <v>114.88502129235327</v>
      </c>
      <c r="O38" s="190">
        <f t="shared" si="54"/>
        <v>115.71752144664569</v>
      </c>
      <c r="P38" s="190">
        <f t="shared" si="55"/>
        <v>116.28605813738197</v>
      </c>
      <c r="Q38" s="190">
        <f t="shared" si="56"/>
        <v>116.61093624637414</v>
      </c>
      <c r="R38" s="190">
        <f t="shared" si="57"/>
        <v>116.97642411899032</v>
      </c>
      <c r="S38" s="190">
        <f t="shared" si="58"/>
        <v>116.99672900080233</v>
      </c>
      <c r="T38" s="195">
        <f t="shared" si="59"/>
        <v>116.95611923717831</v>
      </c>
      <c r="U38" s="190">
        <f>'All P1 In Catchment'!G37</f>
        <v>103</v>
      </c>
      <c r="V38" s="190">
        <f>'All P1 In Catchment'!I37</f>
        <v>95</v>
      </c>
      <c r="W38" s="190">
        <f>'All P1 In Catchment'!K37</f>
        <v>75</v>
      </c>
      <c r="X38" s="180">
        <f>'All P1 In Catchment'!M37</f>
        <v>71</v>
      </c>
      <c r="Y38" s="180">
        <f>'All P1 In Catchment'!O37</f>
        <v>81</v>
      </c>
      <c r="Z38" s="191">
        <f t="shared" si="60"/>
        <v>88</v>
      </c>
      <c r="AA38" s="180">
        <f t="shared" si="61"/>
        <v>103</v>
      </c>
      <c r="AB38" s="180">
        <f t="shared" si="39"/>
        <v>85</v>
      </c>
      <c r="AC38" s="180">
        <f t="shared" si="40"/>
        <v>88</v>
      </c>
      <c r="AD38" s="180">
        <f t="shared" si="41"/>
        <v>93</v>
      </c>
      <c r="AE38" s="180">
        <f t="shared" si="42"/>
        <v>94</v>
      </c>
      <c r="AF38" s="180">
        <f t="shared" si="43"/>
        <v>95</v>
      </c>
      <c r="AG38" s="180">
        <f t="shared" si="44"/>
        <v>96</v>
      </c>
      <c r="AH38" s="180">
        <f t="shared" si="45"/>
        <v>97</v>
      </c>
      <c r="AI38" s="180">
        <f t="shared" si="46"/>
        <v>97</v>
      </c>
      <c r="AJ38" s="180">
        <f t="shared" si="47"/>
        <v>98</v>
      </c>
      <c r="AK38" s="180">
        <f t="shared" si="48"/>
        <v>98</v>
      </c>
      <c r="AL38" s="180">
        <f t="shared" si="49"/>
        <v>98</v>
      </c>
      <c r="AM38" s="181">
        <f t="shared" si="50"/>
        <v>98</v>
      </c>
      <c r="AN38" s="180">
        <f>'All P1 In Catchment'!F37</f>
        <v>93</v>
      </c>
      <c r="AO38" s="180">
        <f>'All P1 In Catchment'!H37</f>
        <v>87</v>
      </c>
      <c r="AP38" s="180">
        <f>'All P1 In Catchment'!J37</f>
        <v>63</v>
      </c>
      <c r="AQ38" s="180">
        <f>'All P1 In Catchment'!L37</f>
        <v>61</v>
      </c>
      <c r="AR38" s="181">
        <f>'All P1 In Catchment'!N37</f>
        <v>71</v>
      </c>
      <c r="AS38" s="180">
        <f t="shared" si="62"/>
        <v>76</v>
      </c>
      <c r="AT38" s="180">
        <f t="shared" si="63"/>
        <v>88</v>
      </c>
      <c r="AU38" s="180">
        <f t="shared" si="64"/>
        <v>73</v>
      </c>
      <c r="AV38" s="180">
        <f t="shared" si="65"/>
        <v>76</v>
      </c>
      <c r="AW38" s="180">
        <f t="shared" si="66"/>
        <v>80</v>
      </c>
      <c r="AX38" s="180">
        <f t="shared" si="67"/>
        <v>81</v>
      </c>
      <c r="AY38" s="180">
        <f t="shared" si="68"/>
        <v>82</v>
      </c>
      <c r="AZ38" s="180">
        <f t="shared" si="69"/>
        <v>82</v>
      </c>
      <c r="BA38" s="180">
        <f t="shared" si="70"/>
        <v>83</v>
      </c>
      <c r="BB38" s="180">
        <f t="shared" si="71"/>
        <v>83</v>
      </c>
      <c r="BC38" s="180">
        <f t="shared" si="72"/>
        <v>84</v>
      </c>
      <c r="BD38" s="180">
        <f t="shared" si="73"/>
        <v>84</v>
      </c>
      <c r="BE38" s="180">
        <f t="shared" si="74"/>
        <v>84</v>
      </c>
      <c r="BF38" s="180">
        <f t="shared" si="75"/>
        <v>84</v>
      </c>
      <c r="BG38" s="191">
        <f>AR38+'Housing Generation'!B37</f>
        <v>74</v>
      </c>
      <c r="BH38" s="180">
        <f>AS38+'Housing Generation'!J37</f>
        <v>81</v>
      </c>
      <c r="BI38" s="180">
        <f>AT38+'Housing Generation'!R37</f>
        <v>102</v>
      </c>
      <c r="BJ38" s="180">
        <f>AU38+'Housing Generation'!Z37</f>
        <v>98</v>
      </c>
      <c r="BK38" s="180">
        <f>AV38+'Housing Generation'!AH37</f>
        <v>111</v>
      </c>
      <c r="BL38" s="180">
        <f>AW38+'Housing Generation'!AP37</f>
        <v>122</v>
      </c>
      <c r="BM38" s="180">
        <f>AX38+'Housing Generation'!AX37</f>
        <v>130</v>
      </c>
      <c r="BN38" s="180">
        <f>AY38+'Housing Generation'!BF37</f>
        <v>136</v>
      </c>
      <c r="BO38" s="180">
        <f>AZ38+'Housing Generation'!BN37</f>
        <v>140</v>
      </c>
      <c r="BP38" s="180">
        <f>BA38+'Housing Generation'!BV37</f>
        <v>144</v>
      </c>
      <c r="BQ38" s="180">
        <f>BB38+'Housing Generation'!CD37</f>
        <v>144</v>
      </c>
      <c r="BR38" s="180">
        <f>BC38+'Housing Generation'!CL37</f>
        <v>145</v>
      </c>
      <c r="BS38" s="180">
        <f>BD38+'Housing Generation'!CT37</f>
        <v>145</v>
      </c>
      <c r="BT38" s="180">
        <f>BE38+'Housing Generation'!DB37</f>
        <v>145</v>
      </c>
      <c r="BU38" s="181">
        <f>BF38+'Housing Generation'!DJ37</f>
        <v>145</v>
      </c>
      <c r="BV38" s="180">
        <f>'P1 Retained'!D37</f>
        <v>79</v>
      </c>
      <c r="BW38" s="192">
        <f>'P1 Retained'!E37</f>
        <v>69</v>
      </c>
      <c r="BX38" s="192">
        <f>'P1 Retained'!F37</f>
        <v>55</v>
      </c>
      <c r="BY38" s="192">
        <f>'P1 Retained'!G37</f>
        <v>52</v>
      </c>
      <c r="BZ38" s="192">
        <f>'P1 Retained'!H37</f>
        <v>64</v>
      </c>
    </row>
    <row r="39" spans="1:78">
      <c r="A39" s="178" t="s">
        <v>36</v>
      </c>
      <c r="B39" s="190">
        <f>'Catchment Births'!O39</f>
        <v>129</v>
      </c>
      <c r="C39" s="190">
        <f>'Catchment Births'!P39</f>
        <v>133</v>
      </c>
      <c r="D39" s="190">
        <f>'Catchment Births'!Q39</f>
        <v>114</v>
      </c>
      <c r="E39" s="190">
        <f>'Catchment Births'!R39</f>
        <v>129</v>
      </c>
      <c r="F39" s="190">
        <f>'Catchment Births'!S39</f>
        <v>138</v>
      </c>
      <c r="G39" s="190">
        <f>'Catchment Births'!T39</f>
        <v>130</v>
      </c>
      <c r="H39" s="190">
        <f>'Catchment Births'!U39</f>
        <v>115</v>
      </c>
      <c r="I39" s="190">
        <f>'Catchment Births'!V39</f>
        <v>144</v>
      </c>
      <c r="J39" s="195">
        <f>'Catchment Births'!W39</f>
        <v>120</v>
      </c>
      <c r="K39" s="190">
        <f t="shared" si="37"/>
        <v>127.71338640992408</v>
      </c>
      <c r="L39" s="190">
        <f t="shared" si="51"/>
        <v>129.53786335863728</v>
      </c>
      <c r="M39" s="190">
        <f t="shared" si="52"/>
        <v>131.10504227612171</v>
      </c>
      <c r="N39" s="190">
        <f t="shared" si="53"/>
        <v>132.34475097204222</v>
      </c>
      <c r="O39" s="190">
        <f t="shared" si="54"/>
        <v>133.30377090662225</v>
      </c>
      <c r="P39" s="190">
        <f t="shared" si="55"/>
        <v>133.95871134975008</v>
      </c>
      <c r="Q39" s="190">
        <f t="shared" si="56"/>
        <v>134.33296303153739</v>
      </c>
      <c r="R39" s="190">
        <f t="shared" si="57"/>
        <v>134.75399617354813</v>
      </c>
      <c r="S39" s="190">
        <f t="shared" si="58"/>
        <v>134.77738690365985</v>
      </c>
      <c r="T39" s="195">
        <f t="shared" si="59"/>
        <v>134.73060544343642</v>
      </c>
      <c r="U39" s="190">
        <f>'All P1 In Catchment'!G38</f>
        <v>108</v>
      </c>
      <c r="V39" s="190">
        <f>'All P1 In Catchment'!I38</f>
        <v>93</v>
      </c>
      <c r="W39" s="190">
        <f>'All P1 In Catchment'!K38</f>
        <v>102</v>
      </c>
      <c r="X39" s="180">
        <f>'All P1 In Catchment'!M38</f>
        <v>120</v>
      </c>
      <c r="Y39" s="180">
        <f>'All P1 In Catchment'!O38</f>
        <v>90</v>
      </c>
      <c r="Z39" s="191">
        <f t="shared" si="60"/>
        <v>104</v>
      </c>
      <c r="AA39" s="180">
        <f t="shared" si="61"/>
        <v>92</v>
      </c>
      <c r="AB39" s="180">
        <f t="shared" si="39"/>
        <v>116</v>
      </c>
      <c r="AC39" s="180">
        <f t="shared" si="40"/>
        <v>96</v>
      </c>
      <c r="AD39" s="180">
        <f t="shared" si="41"/>
        <v>103</v>
      </c>
      <c r="AE39" s="180">
        <f t="shared" si="42"/>
        <v>104</v>
      </c>
      <c r="AF39" s="180">
        <f t="shared" si="43"/>
        <v>105</v>
      </c>
      <c r="AG39" s="180">
        <f t="shared" si="44"/>
        <v>106</v>
      </c>
      <c r="AH39" s="180">
        <f t="shared" si="45"/>
        <v>107</v>
      </c>
      <c r="AI39" s="180">
        <f t="shared" si="46"/>
        <v>108</v>
      </c>
      <c r="AJ39" s="180">
        <f t="shared" si="47"/>
        <v>108</v>
      </c>
      <c r="AK39" s="180">
        <f t="shared" si="48"/>
        <v>108</v>
      </c>
      <c r="AL39" s="180">
        <f t="shared" si="49"/>
        <v>108</v>
      </c>
      <c r="AM39" s="181">
        <f t="shared" si="50"/>
        <v>108</v>
      </c>
      <c r="AN39" s="180">
        <f>'All P1 In Catchment'!F38</f>
        <v>83</v>
      </c>
      <c r="AO39" s="180">
        <f>'All P1 In Catchment'!H38</f>
        <v>65</v>
      </c>
      <c r="AP39" s="180">
        <f>'All P1 In Catchment'!J38</f>
        <v>81</v>
      </c>
      <c r="AQ39" s="180">
        <f>'All P1 In Catchment'!L38</f>
        <v>94</v>
      </c>
      <c r="AR39" s="181">
        <f>'All P1 In Catchment'!N38</f>
        <v>64</v>
      </c>
      <c r="AS39" s="180">
        <f t="shared" si="62"/>
        <v>79</v>
      </c>
      <c r="AT39" s="180">
        <f t="shared" si="63"/>
        <v>70</v>
      </c>
      <c r="AU39" s="180">
        <f t="shared" si="64"/>
        <v>88</v>
      </c>
      <c r="AV39" s="180">
        <f t="shared" si="65"/>
        <v>73</v>
      </c>
      <c r="AW39" s="180">
        <f t="shared" si="66"/>
        <v>79</v>
      </c>
      <c r="AX39" s="180">
        <f t="shared" si="67"/>
        <v>79</v>
      </c>
      <c r="AY39" s="180">
        <f t="shared" si="68"/>
        <v>80</v>
      </c>
      <c r="AZ39" s="180">
        <f t="shared" si="69"/>
        <v>81</v>
      </c>
      <c r="BA39" s="180">
        <f t="shared" si="70"/>
        <v>82</v>
      </c>
      <c r="BB39" s="180">
        <f t="shared" si="71"/>
        <v>82</v>
      </c>
      <c r="BC39" s="180">
        <f t="shared" si="72"/>
        <v>82</v>
      </c>
      <c r="BD39" s="180">
        <f t="shared" si="73"/>
        <v>82</v>
      </c>
      <c r="BE39" s="180">
        <f t="shared" si="74"/>
        <v>82</v>
      </c>
      <c r="BF39" s="180">
        <f t="shared" si="75"/>
        <v>82</v>
      </c>
      <c r="BG39" s="191">
        <f>AR39+'Housing Generation'!B38</f>
        <v>66</v>
      </c>
      <c r="BH39" s="180">
        <f>AS39+'Housing Generation'!J38</f>
        <v>84</v>
      </c>
      <c r="BI39" s="180">
        <f>AT39+'Housing Generation'!R38</f>
        <v>77</v>
      </c>
      <c r="BJ39" s="180">
        <f>AU39+'Housing Generation'!Z38</f>
        <v>96</v>
      </c>
      <c r="BK39" s="180">
        <f>AV39+'Housing Generation'!AH38</f>
        <v>83</v>
      </c>
      <c r="BL39" s="180">
        <f>AW39+'Housing Generation'!AP38</f>
        <v>90</v>
      </c>
      <c r="BM39" s="180">
        <f>AX39+'Housing Generation'!AX38</f>
        <v>94</v>
      </c>
      <c r="BN39" s="180">
        <f>AY39+'Housing Generation'!BF38</f>
        <v>100</v>
      </c>
      <c r="BO39" s="180">
        <f>AZ39+'Housing Generation'!BN38</f>
        <v>105</v>
      </c>
      <c r="BP39" s="180">
        <f>BA39+'Housing Generation'!BV38</f>
        <v>110</v>
      </c>
      <c r="BQ39" s="180">
        <f>BB39+'Housing Generation'!CD38</f>
        <v>112</v>
      </c>
      <c r="BR39" s="180">
        <f>BC39+'Housing Generation'!CL38</f>
        <v>113</v>
      </c>
      <c r="BS39" s="180">
        <f>BD39+'Housing Generation'!CT38</f>
        <v>114</v>
      </c>
      <c r="BT39" s="180">
        <f>BE39+'Housing Generation'!DB38</f>
        <v>115</v>
      </c>
      <c r="BU39" s="181">
        <f>BF39+'Housing Generation'!DJ38</f>
        <v>116</v>
      </c>
      <c r="BV39" s="180">
        <f>'P1 Retained'!D38</f>
        <v>70</v>
      </c>
      <c r="BW39" s="192">
        <f>'P1 Retained'!E38</f>
        <v>56</v>
      </c>
      <c r="BX39" s="192">
        <f>'P1 Retained'!F38</f>
        <v>68</v>
      </c>
      <c r="BY39" s="192">
        <f>'P1 Retained'!G38</f>
        <v>83</v>
      </c>
      <c r="BZ39" s="192">
        <f>'P1 Retained'!H38</f>
        <v>51</v>
      </c>
    </row>
    <row r="40" spans="1:78">
      <c r="A40" s="178" t="s">
        <v>37</v>
      </c>
      <c r="B40" s="190">
        <f>'Catchment Births'!O40</f>
        <v>132</v>
      </c>
      <c r="C40" s="190">
        <f>'Catchment Births'!P40</f>
        <v>139</v>
      </c>
      <c r="D40" s="190">
        <f>'Catchment Births'!Q40</f>
        <v>161</v>
      </c>
      <c r="E40" s="190">
        <f>'Catchment Births'!R40</f>
        <v>155</v>
      </c>
      <c r="F40" s="190">
        <f>'Catchment Births'!S40</f>
        <v>139</v>
      </c>
      <c r="G40" s="190">
        <f>'Catchment Births'!T40</f>
        <v>134</v>
      </c>
      <c r="H40" s="190">
        <f>'Catchment Births'!U40</f>
        <v>148</v>
      </c>
      <c r="I40" s="190">
        <f>'Catchment Births'!V40</f>
        <v>158</v>
      </c>
      <c r="J40" s="195">
        <f>'Catchment Births'!W40</f>
        <v>150</v>
      </c>
      <c r="K40" s="190">
        <f t="shared" si="37"/>
        <v>153.66043325310127</v>
      </c>
      <c r="L40" s="190">
        <f t="shared" si="51"/>
        <v>155.85558229957414</v>
      </c>
      <c r="M40" s="190">
        <f t="shared" si="52"/>
        <v>157.74115904462136</v>
      </c>
      <c r="N40" s="190">
        <f t="shared" si="53"/>
        <v>159.23273467876319</v>
      </c>
      <c r="O40" s="190">
        <f t="shared" si="54"/>
        <v>160.3865950749861</v>
      </c>
      <c r="P40" s="190">
        <f t="shared" si="55"/>
        <v>161.17459729679689</v>
      </c>
      <c r="Q40" s="190">
        <f t="shared" si="56"/>
        <v>161.62488428068878</v>
      </c>
      <c r="R40" s="190">
        <f t="shared" si="57"/>
        <v>162.13145713756714</v>
      </c>
      <c r="S40" s="190">
        <f t="shared" si="58"/>
        <v>162.15960007406039</v>
      </c>
      <c r="T40" s="195">
        <f t="shared" si="59"/>
        <v>162.10331420107391</v>
      </c>
      <c r="U40" s="190">
        <f>'All P1 In Catchment'!G39</f>
        <v>112</v>
      </c>
      <c r="V40" s="190">
        <f>'All P1 In Catchment'!I39</f>
        <v>104</v>
      </c>
      <c r="W40" s="190">
        <f>'All P1 In Catchment'!K39</f>
        <v>130</v>
      </c>
      <c r="X40" s="180">
        <f>'All P1 In Catchment'!M39</f>
        <v>126</v>
      </c>
      <c r="Y40" s="180">
        <f>'All P1 In Catchment'!O39</f>
        <v>109</v>
      </c>
      <c r="Z40" s="191">
        <f t="shared" si="60"/>
        <v>107</v>
      </c>
      <c r="AA40" s="180">
        <f t="shared" si="61"/>
        <v>118</v>
      </c>
      <c r="AB40" s="180">
        <f t="shared" si="39"/>
        <v>126</v>
      </c>
      <c r="AC40" s="180">
        <f t="shared" si="40"/>
        <v>120</v>
      </c>
      <c r="AD40" s="180">
        <f t="shared" si="41"/>
        <v>123</v>
      </c>
      <c r="AE40" s="180">
        <f t="shared" si="42"/>
        <v>125</v>
      </c>
      <c r="AF40" s="180">
        <f t="shared" si="43"/>
        <v>126</v>
      </c>
      <c r="AG40" s="180">
        <f t="shared" si="44"/>
        <v>127</v>
      </c>
      <c r="AH40" s="180">
        <f t="shared" si="45"/>
        <v>128</v>
      </c>
      <c r="AI40" s="180">
        <f t="shared" si="46"/>
        <v>129</v>
      </c>
      <c r="AJ40" s="180">
        <f t="shared" si="47"/>
        <v>129</v>
      </c>
      <c r="AK40" s="180">
        <f t="shared" si="48"/>
        <v>130</v>
      </c>
      <c r="AL40" s="180">
        <f t="shared" si="49"/>
        <v>130</v>
      </c>
      <c r="AM40" s="181">
        <f t="shared" si="50"/>
        <v>130</v>
      </c>
      <c r="AN40" s="180">
        <f>'All P1 In Catchment'!F39</f>
        <v>90</v>
      </c>
      <c r="AO40" s="180">
        <f>'All P1 In Catchment'!H39</f>
        <v>77</v>
      </c>
      <c r="AP40" s="180">
        <f>'All P1 In Catchment'!J39</f>
        <v>103</v>
      </c>
      <c r="AQ40" s="180">
        <f>'All P1 In Catchment'!L39</f>
        <v>100</v>
      </c>
      <c r="AR40" s="181">
        <f>'All P1 In Catchment'!N39</f>
        <v>85</v>
      </c>
      <c r="AS40" s="180">
        <f t="shared" si="62"/>
        <v>84</v>
      </c>
      <c r="AT40" s="180">
        <f t="shared" si="63"/>
        <v>93</v>
      </c>
      <c r="AU40" s="180">
        <f t="shared" si="64"/>
        <v>99</v>
      </c>
      <c r="AV40" s="180">
        <f t="shared" si="65"/>
        <v>95</v>
      </c>
      <c r="AW40" s="180">
        <f t="shared" si="66"/>
        <v>97</v>
      </c>
      <c r="AX40" s="180">
        <f t="shared" si="67"/>
        <v>99</v>
      </c>
      <c r="AY40" s="180">
        <f t="shared" si="68"/>
        <v>99</v>
      </c>
      <c r="AZ40" s="180">
        <f t="shared" si="69"/>
        <v>100</v>
      </c>
      <c r="BA40" s="180">
        <f t="shared" si="70"/>
        <v>101</v>
      </c>
      <c r="BB40" s="180">
        <f t="shared" si="71"/>
        <v>102</v>
      </c>
      <c r="BC40" s="180">
        <f t="shared" si="72"/>
        <v>102</v>
      </c>
      <c r="BD40" s="180">
        <f t="shared" si="73"/>
        <v>103</v>
      </c>
      <c r="BE40" s="180">
        <f t="shared" si="74"/>
        <v>103</v>
      </c>
      <c r="BF40" s="180">
        <f t="shared" si="75"/>
        <v>103</v>
      </c>
      <c r="BG40" s="191">
        <f>AR40+'Housing Generation'!B39</f>
        <v>86</v>
      </c>
      <c r="BH40" s="180">
        <f>AS40+'Housing Generation'!J39</f>
        <v>84</v>
      </c>
      <c r="BI40" s="180">
        <f>AT40+'Housing Generation'!R39</f>
        <v>96</v>
      </c>
      <c r="BJ40" s="180">
        <f>AU40+'Housing Generation'!Z39</f>
        <v>104</v>
      </c>
      <c r="BK40" s="180">
        <f>AV40+'Housing Generation'!AH39</f>
        <v>102</v>
      </c>
      <c r="BL40" s="180">
        <f>AW40+'Housing Generation'!AP39</f>
        <v>105</v>
      </c>
      <c r="BM40" s="180">
        <f>AX40+'Housing Generation'!AX39</f>
        <v>110</v>
      </c>
      <c r="BN40" s="180">
        <f>AY40+'Housing Generation'!BF39</f>
        <v>114</v>
      </c>
      <c r="BO40" s="180">
        <f>AZ40+'Housing Generation'!BN39</f>
        <v>118</v>
      </c>
      <c r="BP40" s="180">
        <f>BA40+'Housing Generation'!BV39</f>
        <v>122</v>
      </c>
      <c r="BQ40" s="180">
        <f>BB40+'Housing Generation'!CD39</f>
        <v>128</v>
      </c>
      <c r="BR40" s="180">
        <f>BC40+'Housing Generation'!CL39</f>
        <v>130</v>
      </c>
      <c r="BS40" s="180">
        <f>BD40+'Housing Generation'!CT39</f>
        <v>133</v>
      </c>
      <c r="BT40" s="180">
        <f>BE40+'Housing Generation'!DB39</f>
        <v>135</v>
      </c>
      <c r="BU40" s="181">
        <f>BF40+'Housing Generation'!DJ39</f>
        <v>137</v>
      </c>
      <c r="BV40" s="180">
        <f>'P1 Retained'!D39</f>
        <v>64</v>
      </c>
      <c r="BW40" s="192">
        <f>'P1 Retained'!E39</f>
        <v>62</v>
      </c>
      <c r="BX40" s="192">
        <f>'P1 Retained'!F39</f>
        <v>94</v>
      </c>
      <c r="BY40" s="192">
        <f>'P1 Retained'!G39</f>
        <v>80</v>
      </c>
      <c r="BZ40" s="192">
        <f>'P1 Retained'!H39</f>
        <v>62</v>
      </c>
    </row>
    <row r="41" spans="1:78">
      <c r="A41" s="178" t="s">
        <v>38</v>
      </c>
      <c r="B41" s="190">
        <f>'Catchment Births'!O41</f>
        <v>81</v>
      </c>
      <c r="C41" s="190">
        <f>'Catchment Births'!P41</f>
        <v>88</v>
      </c>
      <c r="D41" s="190">
        <f>'Catchment Births'!Q41</f>
        <v>81</v>
      </c>
      <c r="E41" s="190">
        <f>'Catchment Births'!R41</f>
        <v>83</v>
      </c>
      <c r="F41" s="190">
        <f>'Catchment Births'!S41</f>
        <v>70</v>
      </c>
      <c r="G41" s="190">
        <f>'Catchment Births'!T41</f>
        <v>71</v>
      </c>
      <c r="H41" s="190">
        <f>'Catchment Births'!U41</f>
        <v>75</v>
      </c>
      <c r="I41" s="190">
        <f>'Catchment Births'!V41</f>
        <v>73</v>
      </c>
      <c r="J41" s="195">
        <f>'Catchment Births'!W41</f>
        <v>81</v>
      </c>
      <c r="K41" s="190">
        <f t="shared" si="37"/>
        <v>77.167191260877615</v>
      </c>
      <c r="L41" s="190">
        <f t="shared" si="51"/>
        <v>78.269579707461588</v>
      </c>
      <c r="M41" s="190">
        <f t="shared" si="52"/>
        <v>79.216503116706789</v>
      </c>
      <c r="N41" s="190">
        <f t="shared" si="53"/>
        <v>79.965561932975376</v>
      </c>
      <c r="O41" s="190">
        <f t="shared" si="54"/>
        <v>80.545022526692591</v>
      </c>
      <c r="P41" s="190">
        <f t="shared" si="55"/>
        <v>80.940751712645806</v>
      </c>
      <c r="Q41" s="190">
        <f t="shared" si="56"/>
        <v>81.166882676047649</v>
      </c>
      <c r="R41" s="190">
        <f t="shared" si="57"/>
        <v>81.421280009874721</v>
      </c>
      <c r="S41" s="190">
        <f t="shared" si="58"/>
        <v>81.435413195087335</v>
      </c>
      <c r="T41" s="195">
        <f t="shared" si="59"/>
        <v>81.407146824662107</v>
      </c>
      <c r="U41" s="190">
        <f>'All P1 In Catchment'!G40</f>
        <v>80</v>
      </c>
      <c r="V41" s="190">
        <f>'All P1 In Catchment'!I40</f>
        <v>74</v>
      </c>
      <c r="W41" s="190">
        <f>'All P1 In Catchment'!K40</f>
        <v>52</v>
      </c>
      <c r="X41" s="180">
        <f>'All P1 In Catchment'!M40</f>
        <v>75</v>
      </c>
      <c r="Y41" s="180">
        <f>'All P1 In Catchment'!O40</f>
        <v>88</v>
      </c>
      <c r="Z41" s="191">
        <f t="shared" si="60"/>
        <v>66</v>
      </c>
      <c r="AA41" s="180">
        <f t="shared" si="61"/>
        <v>69</v>
      </c>
      <c r="AB41" s="180">
        <f t="shared" si="39"/>
        <v>68</v>
      </c>
      <c r="AC41" s="180">
        <f t="shared" si="40"/>
        <v>75</v>
      </c>
      <c r="AD41" s="180">
        <f t="shared" si="41"/>
        <v>71</v>
      </c>
      <c r="AE41" s="180">
        <f t="shared" si="42"/>
        <v>72</v>
      </c>
      <c r="AF41" s="180">
        <f t="shared" si="43"/>
        <v>73</v>
      </c>
      <c r="AG41" s="180">
        <f t="shared" si="44"/>
        <v>74</v>
      </c>
      <c r="AH41" s="180">
        <f t="shared" si="45"/>
        <v>75</v>
      </c>
      <c r="AI41" s="180">
        <f t="shared" si="46"/>
        <v>75</v>
      </c>
      <c r="AJ41" s="180">
        <f t="shared" si="47"/>
        <v>75</v>
      </c>
      <c r="AK41" s="180">
        <f t="shared" si="48"/>
        <v>75</v>
      </c>
      <c r="AL41" s="180">
        <f t="shared" si="49"/>
        <v>75</v>
      </c>
      <c r="AM41" s="181">
        <f t="shared" si="50"/>
        <v>75</v>
      </c>
      <c r="AN41" s="180">
        <f>'All P1 In Catchment'!F40</f>
        <v>79</v>
      </c>
      <c r="AO41" s="180">
        <f>'All P1 In Catchment'!H40</f>
        <v>71</v>
      </c>
      <c r="AP41" s="180">
        <f>'All P1 In Catchment'!J40</f>
        <v>51</v>
      </c>
      <c r="AQ41" s="180">
        <f>'All P1 In Catchment'!L40</f>
        <v>71</v>
      </c>
      <c r="AR41" s="181">
        <f>'All P1 In Catchment'!N40</f>
        <v>86</v>
      </c>
      <c r="AS41" s="180">
        <f t="shared" si="62"/>
        <v>64</v>
      </c>
      <c r="AT41" s="180">
        <f t="shared" si="63"/>
        <v>67</v>
      </c>
      <c r="AU41" s="180">
        <f t="shared" si="64"/>
        <v>66</v>
      </c>
      <c r="AV41" s="180">
        <f t="shared" si="65"/>
        <v>73</v>
      </c>
      <c r="AW41" s="180">
        <f t="shared" si="66"/>
        <v>69</v>
      </c>
      <c r="AX41" s="180">
        <f t="shared" si="67"/>
        <v>70</v>
      </c>
      <c r="AY41" s="180">
        <f t="shared" si="68"/>
        <v>71</v>
      </c>
      <c r="AZ41" s="180">
        <f t="shared" si="69"/>
        <v>72</v>
      </c>
      <c r="BA41" s="180">
        <f t="shared" si="70"/>
        <v>73</v>
      </c>
      <c r="BB41" s="180">
        <f t="shared" si="71"/>
        <v>73</v>
      </c>
      <c r="BC41" s="180">
        <f t="shared" si="72"/>
        <v>73</v>
      </c>
      <c r="BD41" s="180">
        <f t="shared" si="73"/>
        <v>73</v>
      </c>
      <c r="BE41" s="180">
        <f t="shared" si="74"/>
        <v>73</v>
      </c>
      <c r="BF41" s="180">
        <f t="shared" si="75"/>
        <v>73</v>
      </c>
      <c r="BG41" s="191">
        <f>AR41+'Housing Generation'!B40</f>
        <v>90</v>
      </c>
      <c r="BH41" s="180">
        <f>AS41+'Housing Generation'!J40</f>
        <v>66</v>
      </c>
      <c r="BI41" s="180">
        <f>AT41+'Housing Generation'!R40</f>
        <v>69</v>
      </c>
      <c r="BJ41" s="180">
        <f>AU41+'Housing Generation'!Z40</f>
        <v>68</v>
      </c>
      <c r="BK41" s="180">
        <f>AV41+'Housing Generation'!AH40</f>
        <v>75</v>
      </c>
      <c r="BL41" s="180">
        <f>AW41+'Housing Generation'!AP40</f>
        <v>71</v>
      </c>
      <c r="BM41" s="180">
        <f>AX41+'Housing Generation'!AX40</f>
        <v>73</v>
      </c>
      <c r="BN41" s="180">
        <f>AY41+'Housing Generation'!BF40</f>
        <v>75</v>
      </c>
      <c r="BO41" s="180">
        <f>AZ41+'Housing Generation'!BN40</f>
        <v>76</v>
      </c>
      <c r="BP41" s="180">
        <f>BA41+'Housing Generation'!BV40</f>
        <v>78</v>
      </c>
      <c r="BQ41" s="180">
        <f>BB41+'Housing Generation'!CD40</f>
        <v>79</v>
      </c>
      <c r="BR41" s="180">
        <f>BC41+'Housing Generation'!CL40</f>
        <v>79</v>
      </c>
      <c r="BS41" s="180">
        <f>BD41+'Housing Generation'!CT40</f>
        <v>80</v>
      </c>
      <c r="BT41" s="180">
        <f>BE41+'Housing Generation'!DB40</f>
        <v>80</v>
      </c>
      <c r="BU41" s="181">
        <f>BF41+'Housing Generation'!DJ40</f>
        <v>80</v>
      </c>
      <c r="BV41" s="180">
        <f>'P1 Retained'!D40</f>
        <v>74</v>
      </c>
      <c r="BW41" s="192">
        <f>'P1 Retained'!E40</f>
        <v>68</v>
      </c>
      <c r="BX41" s="192">
        <f>'P1 Retained'!F40</f>
        <v>49</v>
      </c>
      <c r="BY41" s="192">
        <f>'P1 Retained'!G40</f>
        <v>67</v>
      </c>
      <c r="BZ41" s="192">
        <f>'P1 Retained'!H40</f>
        <v>81</v>
      </c>
    </row>
    <row r="42" spans="1:78">
      <c r="A42" s="178" t="s">
        <v>39</v>
      </c>
      <c r="B42" s="190">
        <f>'Catchment Births'!O42</f>
        <v>99</v>
      </c>
      <c r="C42" s="190">
        <f>'Catchment Births'!P42</f>
        <v>89</v>
      </c>
      <c r="D42" s="190">
        <f>'Catchment Births'!Q42</f>
        <v>84</v>
      </c>
      <c r="E42" s="190">
        <f>'Catchment Births'!R42</f>
        <v>101</v>
      </c>
      <c r="F42" s="190">
        <f>'Catchment Births'!S42</f>
        <v>101</v>
      </c>
      <c r="G42" s="190">
        <f>'Catchment Births'!T42</f>
        <v>90</v>
      </c>
      <c r="H42" s="190">
        <f>'Catchment Births'!U42</f>
        <v>93</v>
      </c>
      <c r="I42" s="190">
        <f>'Catchment Births'!V42</f>
        <v>89</v>
      </c>
      <c r="J42" s="195">
        <f>'Catchment Births'!W42</f>
        <v>70</v>
      </c>
      <c r="K42" s="190">
        <f t="shared" si="37"/>
        <v>84.91760785039807</v>
      </c>
      <c r="L42" s="190">
        <f t="shared" si="51"/>
        <v>86.130716533975189</v>
      </c>
      <c r="M42" s="190">
        <f t="shared" si="52"/>
        <v>87.172745787817064</v>
      </c>
      <c r="N42" s="190">
        <f t="shared" si="53"/>
        <v>87.997037585632285</v>
      </c>
      <c r="O42" s="190">
        <f t="shared" si="54"/>
        <v>88.634697278281791</v>
      </c>
      <c r="P42" s="190">
        <f t="shared" si="55"/>
        <v>89.070172190335114</v>
      </c>
      <c r="Q42" s="190">
        <f t="shared" si="56"/>
        <v>89.319014997222723</v>
      </c>
      <c r="R42" s="190">
        <f t="shared" si="57"/>
        <v>89.598963154971287</v>
      </c>
      <c r="S42" s="190">
        <f t="shared" si="58"/>
        <v>89.614515830401757</v>
      </c>
      <c r="T42" s="195">
        <f t="shared" si="59"/>
        <v>89.583410479540802</v>
      </c>
      <c r="U42" s="190">
        <f>'All P1 In Catchment'!G41</f>
        <v>71</v>
      </c>
      <c r="V42" s="190">
        <f>'All P1 In Catchment'!I41</f>
        <v>70</v>
      </c>
      <c r="W42" s="190">
        <f>'All P1 In Catchment'!K41</f>
        <v>68</v>
      </c>
      <c r="X42" s="180">
        <f>'All P1 In Catchment'!M41</f>
        <v>65</v>
      </c>
      <c r="Y42" s="180">
        <f>'All P1 In Catchment'!O41</f>
        <v>68</v>
      </c>
      <c r="Z42" s="191">
        <f t="shared" si="60"/>
        <v>65</v>
      </c>
      <c r="AA42" s="180">
        <f t="shared" si="61"/>
        <v>68</v>
      </c>
      <c r="AB42" s="180">
        <f t="shared" si="39"/>
        <v>65</v>
      </c>
      <c r="AC42" s="180">
        <f t="shared" si="40"/>
        <v>51</v>
      </c>
      <c r="AD42" s="180">
        <f t="shared" si="41"/>
        <v>62</v>
      </c>
      <c r="AE42" s="180">
        <f t="shared" si="42"/>
        <v>63</v>
      </c>
      <c r="AF42" s="180">
        <f t="shared" si="43"/>
        <v>63</v>
      </c>
      <c r="AG42" s="180">
        <f t="shared" si="44"/>
        <v>64</v>
      </c>
      <c r="AH42" s="180">
        <f t="shared" si="45"/>
        <v>64</v>
      </c>
      <c r="AI42" s="180">
        <f t="shared" si="46"/>
        <v>65</v>
      </c>
      <c r="AJ42" s="180">
        <f t="shared" si="47"/>
        <v>65</v>
      </c>
      <c r="AK42" s="180">
        <f t="shared" si="48"/>
        <v>65</v>
      </c>
      <c r="AL42" s="180">
        <f t="shared" si="49"/>
        <v>65</v>
      </c>
      <c r="AM42" s="181">
        <f t="shared" si="50"/>
        <v>65</v>
      </c>
      <c r="AN42" s="180">
        <f>'All P1 In Catchment'!F41</f>
        <v>53</v>
      </c>
      <c r="AO42" s="180">
        <f>'All P1 In Catchment'!H41</f>
        <v>50</v>
      </c>
      <c r="AP42" s="180">
        <f>'All P1 In Catchment'!J41</f>
        <v>50</v>
      </c>
      <c r="AQ42" s="180">
        <f>'All P1 In Catchment'!L41</f>
        <v>56</v>
      </c>
      <c r="AR42" s="181">
        <f>'All P1 In Catchment'!N41</f>
        <v>53</v>
      </c>
      <c r="AS42" s="180">
        <f t="shared" si="62"/>
        <v>51</v>
      </c>
      <c r="AT42" s="180">
        <f t="shared" si="63"/>
        <v>54</v>
      </c>
      <c r="AU42" s="180">
        <f t="shared" si="64"/>
        <v>51</v>
      </c>
      <c r="AV42" s="180">
        <f t="shared" si="65"/>
        <v>40</v>
      </c>
      <c r="AW42" s="180">
        <f t="shared" si="66"/>
        <v>49</v>
      </c>
      <c r="AX42" s="180">
        <f t="shared" si="67"/>
        <v>50</v>
      </c>
      <c r="AY42" s="180">
        <f t="shared" si="68"/>
        <v>50</v>
      </c>
      <c r="AZ42" s="180">
        <f t="shared" si="69"/>
        <v>51</v>
      </c>
      <c r="BA42" s="180">
        <f t="shared" si="70"/>
        <v>51</v>
      </c>
      <c r="BB42" s="180">
        <f t="shared" si="71"/>
        <v>51</v>
      </c>
      <c r="BC42" s="180">
        <f t="shared" si="72"/>
        <v>51</v>
      </c>
      <c r="BD42" s="180">
        <f t="shared" si="73"/>
        <v>51</v>
      </c>
      <c r="BE42" s="180">
        <f t="shared" si="74"/>
        <v>51</v>
      </c>
      <c r="BF42" s="180">
        <f t="shared" si="75"/>
        <v>51</v>
      </c>
      <c r="BG42" s="191">
        <f>AR42+'Housing Generation'!B41</f>
        <v>53</v>
      </c>
      <c r="BH42" s="180">
        <f>AS42+'Housing Generation'!J41</f>
        <v>51</v>
      </c>
      <c r="BI42" s="180">
        <f>AT42+'Housing Generation'!R41</f>
        <v>54</v>
      </c>
      <c r="BJ42" s="180">
        <f>AU42+'Housing Generation'!Z41</f>
        <v>52</v>
      </c>
      <c r="BK42" s="180">
        <f>AV42+'Housing Generation'!AH41</f>
        <v>41</v>
      </c>
      <c r="BL42" s="180">
        <f>AW42+'Housing Generation'!AP41</f>
        <v>50</v>
      </c>
      <c r="BM42" s="180">
        <f>AX42+'Housing Generation'!AX41</f>
        <v>51</v>
      </c>
      <c r="BN42" s="180">
        <f>AY42+'Housing Generation'!BF41</f>
        <v>51</v>
      </c>
      <c r="BO42" s="180">
        <f>AZ42+'Housing Generation'!BN41</f>
        <v>52</v>
      </c>
      <c r="BP42" s="180">
        <f>BA42+'Housing Generation'!BV41</f>
        <v>52</v>
      </c>
      <c r="BQ42" s="180">
        <f>BB42+'Housing Generation'!CD41</f>
        <v>52</v>
      </c>
      <c r="BR42" s="180">
        <f>BC42+'Housing Generation'!CL41</f>
        <v>52</v>
      </c>
      <c r="BS42" s="180">
        <f>BD42+'Housing Generation'!CT41</f>
        <v>51</v>
      </c>
      <c r="BT42" s="180">
        <f>BE42+'Housing Generation'!DB41</f>
        <v>51</v>
      </c>
      <c r="BU42" s="181">
        <f>BF42+'Housing Generation'!DJ41</f>
        <v>51</v>
      </c>
      <c r="BV42" s="180">
        <f>'P1 Retained'!D41</f>
        <v>49</v>
      </c>
      <c r="BW42" s="192">
        <f>'P1 Retained'!E41</f>
        <v>43</v>
      </c>
      <c r="BX42" s="192">
        <f>'P1 Retained'!F41</f>
        <v>41</v>
      </c>
      <c r="BY42" s="192">
        <f>'P1 Retained'!G41</f>
        <v>39</v>
      </c>
      <c r="BZ42" s="192">
        <f>'P1 Retained'!H41</f>
        <v>43</v>
      </c>
    </row>
    <row r="43" spans="1:78">
      <c r="A43" s="178" t="s">
        <v>40</v>
      </c>
      <c r="B43" s="190">
        <f>'Catchment Births'!O43</f>
        <v>9</v>
      </c>
      <c r="C43" s="190">
        <f>'Catchment Births'!P43</f>
        <v>10</v>
      </c>
      <c r="D43" s="190">
        <f>'Catchment Births'!Q43</f>
        <v>16</v>
      </c>
      <c r="E43" s="190">
        <f>'Catchment Births'!R43</f>
        <v>16</v>
      </c>
      <c r="F43" s="190">
        <f>'Catchment Births'!S43</f>
        <v>10</v>
      </c>
      <c r="G43" s="190">
        <f>'Catchment Births'!T43</f>
        <v>15</v>
      </c>
      <c r="H43" s="190">
        <f>'Catchment Births'!U43</f>
        <v>8</v>
      </c>
      <c r="I43" s="190">
        <f>'Catchment Births'!V43</f>
        <v>18</v>
      </c>
      <c r="J43" s="195">
        <f>'Catchment Births'!W43</f>
        <v>15</v>
      </c>
      <c r="K43" s="190">
        <f t="shared" si="37"/>
        <v>13.815960007406035</v>
      </c>
      <c r="L43" s="190">
        <f t="shared" si="51"/>
        <v>14.013330864654693</v>
      </c>
      <c r="M43" s="190">
        <f t="shared" si="52"/>
        <v>14.182867370240078</v>
      </c>
      <c r="N43" s="190">
        <f t="shared" si="53"/>
        <v>14.316978337344935</v>
      </c>
      <c r="O43" s="190">
        <f t="shared" si="54"/>
        <v>14.420724557180767</v>
      </c>
      <c r="P43" s="190">
        <f t="shared" si="55"/>
        <v>14.491575634141824</v>
      </c>
      <c r="Q43" s="190">
        <f t="shared" si="56"/>
        <v>14.532061963833856</v>
      </c>
      <c r="R43" s="190">
        <f t="shared" si="57"/>
        <v>14.577609084737393</v>
      </c>
      <c r="S43" s="190">
        <f t="shared" si="58"/>
        <v>14.580139480343146</v>
      </c>
      <c r="T43" s="195">
        <f t="shared" si="59"/>
        <v>14.575078689131642</v>
      </c>
      <c r="U43" s="190">
        <f>'All P1 In Catchment'!G42</f>
        <v>6</v>
      </c>
      <c r="V43" s="190">
        <f>'All P1 In Catchment'!I42</f>
        <v>15</v>
      </c>
      <c r="W43" s="190">
        <f>'All P1 In Catchment'!K42</f>
        <v>15</v>
      </c>
      <c r="X43" s="180">
        <f>'All P1 In Catchment'!M42</f>
        <v>12</v>
      </c>
      <c r="Y43" s="180">
        <f>'All P1 In Catchment'!O42</f>
        <v>7</v>
      </c>
      <c r="Z43" s="191">
        <f t="shared" si="60"/>
        <v>14</v>
      </c>
      <c r="AA43" s="180">
        <f t="shared" si="61"/>
        <v>7</v>
      </c>
      <c r="AB43" s="180">
        <f t="shared" si="39"/>
        <v>16</v>
      </c>
      <c r="AC43" s="180">
        <f t="shared" si="40"/>
        <v>14</v>
      </c>
      <c r="AD43" s="180">
        <f t="shared" si="41"/>
        <v>13</v>
      </c>
      <c r="AE43" s="180">
        <f t="shared" si="42"/>
        <v>13</v>
      </c>
      <c r="AF43" s="180">
        <f t="shared" si="43"/>
        <v>13</v>
      </c>
      <c r="AG43" s="180">
        <f t="shared" si="44"/>
        <v>13</v>
      </c>
      <c r="AH43" s="180">
        <f t="shared" si="45"/>
        <v>13</v>
      </c>
      <c r="AI43" s="180">
        <f t="shared" si="46"/>
        <v>13</v>
      </c>
      <c r="AJ43" s="180">
        <f t="shared" si="47"/>
        <v>13</v>
      </c>
      <c r="AK43" s="180">
        <f t="shared" si="48"/>
        <v>13</v>
      </c>
      <c r="AL43" s="180">
        <f t="shared" si="49"/>
        <v>13</v>
      </c>
      <c r="AM43" s="181">
        <f t="shared" si="50"/>
        <v>13</v>
      </c>
      <c r="AN43" s="180">
        <f>'All P1 In Catchment'!F42</f>
        <v>6</v>
      </c>
      <c r="AO43" s="180">
        <f>'All P1 In Catchment'!H42</f>
        <v>15</v>
      </c>
      <c r="AP43" s="180">
        <f>'All P1 In Catchment'!J42</f>
        <v>15</v>
      </c>
      <c r="AQ43" s="180">
        <f>'All P1 In Catchment'!L42</f>
        <v>12</v>
      </c>
      <c r="AR43" s="181">
        <f>'All P1 In Catchment'!N42</f>
        <v>7</v>
      </c>
      <c r="AS43" s="180">
        <f t="shared" si="62"/>
        <v>14</v>
      </c>
      <c r="AT43" s="180">
        <f t="shared" si="63"/>
        <v>7</v>
      </c>
      <c r="AU43" s="180">
        <f t="shared" si="64"/>
        <v>16</v>
      </c>
      <c r="AV43" s="180">
        <f t="shared" si="65"/>
        <v>14</v>
      </c>
      <c r="AW43" s="180">
        <f t="shared" si="66"/>
        <v>13</v>
      </c>
      <c r="AX43" s="180">
        <f t="shared" si="67"/>
        <v>13</v>
      </c>
      <c r="AY43" s="180">
        <f t="shared" si="68"/>
        <v>13</v>
      </c>
      <c r="AZ43" s="180">
        <f t="shared" si="69"/>
        <v>13</v>
      </c>
      <c r="BA43" s="180">
        <f t="shared" si="70"/>
        <v>13</v>
      </c>
      <c r="BB43" s="180">
        <f t="shared" si="71"/>
        <v>13</v>
      </c>
      <c r="BC43" s="180">
        <f t="shared" si="72"/>
        <v>13</v>
      </c>
      <c r="BD43" s="180">
        <f t="shared" si="73"/>
        <v>13</v>
      </c>
      <c r="BE43" s="180">
        <f t="shared" si="74"/>
        <v>13</v>
      </c>
      <c r="BF43" s="180">
        <f t="shared" si="75"/>
        <v>13</v>
      </c>
      <c r="BG43" s="191">
        <f>AR43+'Housing Generation'!B42</f>
        <v>7</v>
      </c>
      <c r="BH43" s="180">
        <f>AS43+'Housing Generation'!J42</f>
        <v>14</v>
      </c>
      <c r="BI43" s="180">
        <f>AT43+'Housing Generation'!R42</f>
        <v>8</v>
      </c>
      <c r="BJ43" s="180">
        <f>AU43+'Housing Generation'!Z42</f>
        <v>18</v>
      </c>
      <c r="BK43" s="180">
        <f>AV43+'Housing Generation'!AH42</f>
        <v>18</v>
      </c>
      <c r="BL43" s="180">
        <f>AW43+'Housing Generation'!AP42</f>
        <v>18</v>
      </c>
      <c r="BM43" s="180">
        <f>AX43+'Housing Generation'!AX42</f>
        <v>18</v>
      </c>
      <c r="BN43" s="180">
        <f>AY43+'Housing Generation'!BF42</f>
        <v>18</v>
      </c>
      <c r="BO43" s="180">
        <f>AZ43+'Housing Generation'!BN42</f>
        <v>18</v>
      </c>
      <c r="BP43" s="180">
        <f>BA43+'Housing Generation'!BV42</f>
        <v>18</v>
      </c>
      <c r="BQ43" s="180">
        <f>BB43+'Housing Generation'!CD42</f>
        <v>18</v>
      </c>
      <c r="BR43" s="180">
        <f>BC43+'Housing Generation'!CL42</f>
        <v>19</v>
      </c>
      <c r="BS43" s="180">
        <f>BD43+'Housing Generation'!CT42</f>
        <v>21</v>
      </c>
      <c r="BT43" s="180">
        <f>BE43+'Housing Generation'!DB42</f>
        <v>23</v>
      </c>
      <c r="BU43" s="181">
        <f>BF43+'Housing Generation'!DJ42</f>
        <v>26</v>
      </c>
      <c r="BV43" s="180">
        <f>'P1 Retained'!D42</f>
        <v>4</v>
      </c>
      <c r="BW43" s="192">
        <f>'P1 Retained'!E42</f>
        <v>11</v>
      </c>
      <c r="BX43" s="192">
        <f>'P1 Retained'!F42</f>
        <v>13</v>
      </c>
      <c r="BY43" s="192">
        <f>'P1 Retained'!G42</f>
        <v>11</v>
      </c>
      <c r="BZ43" s="192">
        <f>'P1 Retained'!H42</f>
        <v>3</v>
      </c>
    </row>
    <row r="44" spans="1:78" s="204" customFormat="1">
      <c r="A44" s="204" t="s">
        <v>84</v>
      </c>
      <c r="B44" s="205">
        <f>'Catchment Births'!O44</f>
        <v>419</v>
      </c>
      <c r="C44" s="205">
        <f>'Catchment Births'!P44</f>
        <v>446</v>
      </c>
      <c r="D44" s="205">
        <f>'Catchment Births'!Q44</f>
        <v>456</v>
      </c>
      <c r="E44" s="205">
        <f>'Catchment Births'!R44</f>
        <v>419</v>
      </c>
      <c r="F44" s="205">
        <f>'Catchment Births'!S44</f>
        <v>404</v>
      </c>
      <c r="G44" s="205">
        <f>'Catchment Births'!T44</f>
        <v>423</v>
      </c>
      <c r="H44" s="205">
        <f>'Catchment Births'!U44</f>
        <v>403</v>
      </c>
      <c r="I44" s="205">
        <f>'Catchment Births'!V44</f>
        <v>370</v>
      </c>
      <c r="J44" s="206">
        <f>'Catchment Births'!W44</f>
        <v>397</v>
      </c>
      <c r="K44" s="205">
        <f t="shared" si="37"/>
        <v>394.26032216256249</v>
      </c>
      <c r="L44" s="205">
        <f t="shared" si="51"/>
        <v>399.89261247917051</v>
      </c>
      <c r="M44" s="205">
        <f t="shared" si="52"/>
        <v>404.73060544343639</v>
      </c>
      <c r="N44" s="205">
        <f t="shared" si="53"/>
        <v>408.55767450472132</v>
      </c>
      <c r="O44" s="205">
        <f t="shared" si="54"/>
        <v>411.51823736345119</v>
      </c>
      <c r="P44" s="205">
        <f t="shared" si="55"/>
        <v>413.54008516941303</v>
      </c>
      <c r="Q44" s="205">
        <f t="shared" si="56"/>
        <v>414.69542677281981</v>
      </c>
      <c r="R44" s="205">
        <f t="shared" si="57"/>
        <v>415.99518607665243</v>
      </c>
      <c r="S44" s="205">
        <f t="shared" si="58"/>
        <v>416.06739492686535</v>
      </c>
      <c r="T44" s="206">
        <f t="shared" si="59"/>
        <v>415.92297722643951</v>
      </c>
      <c r="U44" s="205">
        <f>'All P1 In Catchment'!G43</f>
        <v>304</v>
      </c>
      <c r="V44" s="205">
        <f>'All P1 In Catchment'!I43</f>
        <v>279</v>
      </c>
      <c r="W44" s="205">
        <f>'All P1 In Catchment'!K43</f>
        <v>323</v>
      </c>
      <c r="X44" s="207">
        <f>'All P1 In Catchment'!M43</f>
        <v>325</v>
      </c>
      <c r="Y44" s="207">
        <f>'All P1 In Catchment'!O43</f>
        <v>303</v>
      </c>
      <c r="Z44" s="209">
        <f t="shared" si="60"/>
        <v>303</v>
      </c>
      <c r="AA44" s="207">
        <f t="shared" si="61"/>
        <v>289</v>
      </c>
      <c r="AB44" s="207">
        <f t="shared" si="39"/>
        <v>265</v>
      </c>
      <c r="AC44" s="207">
        <f t="shared" si="40"/>
        <v>285</v>
      </c>
      <c r="AD44" s="207">
        <f t="shared" si="41"/>
        <v>283</v>
      </c>
      <c r="AE44" s="207">
        <f t="shared" si="42"/>
        <v>287</v>
      </c>
      <c r="AF44" s="207">
        <f t="shared" si="43"/>
        <v>290</v>
      </c>
      <c r="AG44" s="207">
        <f t="shared" si="44"/>
        <v>293</v>
      </c>
      <c r="AH44" s="207">
        <f t="shared" si="45"/>
        <v>295</v>
      </c>
      <c r="AI44" s="207">
        <f t="shared" si="46"/>
        <v>297</v>
      </c>
      <c r="AJ44" s="207">
        <f t="shared" si="47"/>
        <v>297</v>
      </c>
      <c r="AK44" s="207">
        <f t="shared" si="48"/>
        <v>298</v>
      </c>
      <c r="AL44" s="207">
        <f t="shared" si="49"/>
        <v>298</v>
      </c>
      <c r="AM44" s="208">
        <f t="shared" si="50"/>
        <v>298</v>
      </c>
      <c r="AN44" s="207">
        <f>'All P1 In Catchment'!F43</f>
        <v>45</v>
      </c>
      <c r="AO44" s="207">
        <f>'All P1 In Catchment'!H43</f>
        <v>44</v>
      </c>
      <c r="AP44" s="207">
        <f>'All P1 In Catchment'!J43</f>
        <v>47</v>
      </c>
      <c r="AQ44" s="207">
        <f>'All P1 In Catchment'!L43</f>
        <v>57</v>
      </c>
      <c r="AR44" s="208">
        <f>'All P1 In Catchment'!N43</f>
        <v>46</v>
      </c>
      <c r="AS44" s="180">
        <f t="shared" si="62"/>
        <v>48</v>
      </c>
      <c r="AT44" s="180">
        <f t="shared" si="63"/>
        <v>46</v>
      </c>
      <c r="AU44" s="180">
        <f t="shared" si="64"/>
        <v>42</v>
      </c>
      <c r="AV44" s="180">
        <f t="shared" si="65"/>
        <v>45</v>
      </c>
      <c r="AW44" s="180">
        <f t="shared" si="66"/>
        <v>45</v>
      </c>
      <c r="AX44" s="180">
        <f t="shared" si="67"/>
        <v>45</v>
      </c>
      <c r="AY44" s="180">
        <f t="shared" si="68"/>
        <v>46</v>
      </c>
      <c r="AZ44" s="180">
        <f t="shared" si="69"/>
        <v>46</v>
      </c>
      <c r="BA44" s="180">
        <f t="shared" si="70"/>
        <v>46</v>
      </c>
      <c r="BB44" s="180">
        <f t="shared" si="71"/>
        <v>47</v>
      </c>
      <c r="BC44" s="180">
        <f t="shared" si="72"/>
        <v>47</v>
      </c>
      <c r="BD44" s="180">
        <f t="shared" si="73"/>
        <v>47</v>
      </c>
      <c r="BE44" s="180">
        <f t="shared" si="74"/>
        <v>47</v>
      </c>
      <c r="BF44" s="180">
        <f t="shared" si="75"/>
        <v>47</v>
      </c>
      <c r="BG44" s="209">
        <v>47</v>
      </c>
      <c r="BH44" s="207">
        <f>AS44+'Housing Generation'!J43</f>
        <v>49</v>
      </c>
      <c r="BI44" s="207">
        <f>AT44+'Housing Generation'!R43</f>
        <v>47</v>
      </c>
      <c r="BJ44" s="207">
        <f>AU44+'Housing Generation'!Z43</f>
        <v>43</v>
      </c>
      <c r="BK44" s="207">
        <f>AV44+'Housing Generation'!AH43</f>
        <v>47</v>
      </c>
      <c r="BL44" s="207">
        <f>AW44+'Housing Generation'!AP43</f>
        <v>47</v>
      </c>
      <c r="BM44" s="207">
        <f>AX44+'Housing Generation'!AX43</f>
        <v>48</v>
      </c>
      <c r="BN44" s="207">
        <f>AY44+'Housing Generation'!BF43</f>
        <v>50</v>
      </c>
      <c r="BO44" s="207">
        <f>AZ44+'Housing Generation'!BN43</f>
        <v>50</v>
      </c>
      <c r="BP44" s="207">
        <f>BA44+'Housing Generation'!BV43</f>
        <v>51</v>
      </c>
      <c r="BQ44" s="207">
        <f>BB44+'Housing Generation'!CD43</f>
        <v>53</v>
      </c>
      <c r="BR44" s="207">
        <f>BC44+'Housing Generation'!CL43</f>
        <v>53</v>
      </c>
      <c r="BS44" s="207">
        <f>BD44+'Housing Generation'!CT43</f>
        <v>54</v>
      </c>
      <c r="BT44" s="207">
        <f>BE44+'Housing Generation'!DB43</f>
        <v>54</v>
      </c>
      <c r="BU44" s="208">
        <f>BF44+'Housing Generation'!DJ43</f>
        <v>54</v>
      </c>
      <c r="BV44" s="207">
        <f>'P1 Retained'!D43</f>
        <v>42</v>
      </c>
      <c r="BW44" s="362">
        <f>'P1 Retained'!E43</f>
        <v>43</v>
      </c>
      <c r="BX44" s="362">
        <f>'P1 Retained'!F43</f>
        <v>46</v>
      </c>
      <c r="BY44" s="362">
        <f>'P1 Retained'!G43</f>
        <v>55</v>
      </c>
      <c r="BZ44" s="362">
        <f>'P1 Retained'!H43</f>
        <v>45</v>
      </c>
    </row>
    <row r="45" spans="1:78">
      <c r="A45" s="178" t="s">
        <v>41</v>
      </c>
      <c r="B45" s="190">
        <f>'Catchment Births'!O45</f>
        <v>96</v>
      </c>
      <c r="C45" s="190">
        <f>'Catchment Births'!P45</f>
        <v>101</v>
      </c>
      <c r="D45" s="190">
        <f>'Catchment Births'!Q45</f>
        <v>62</v>
      </c>
      <c r="E45" s="190">
        <f>'Catchment Births'!R45</f>
        <v>84</v>
      </c>
      <c r="F45" s="190">
        <f>'Catchment Births'!S45</f>
        <v>90</v>
      </c>
      <c r="G45" s="190">
        <f>'Catchment Births'!T45</f>
        <v>93</v>
      </c>
      <c r="H45" s="190">
        <f>'Catchment Births'!U45</f>
        <v>90</v>
      </c>
      <c r="I45" s="190">
        <f>'Catchment Births'!V45</f>
        <v>59</v>
      </c>
      <c r="J45" s="195">
        <f>'Catchment Births'!W45</f>
        <v>63</v>
      </c>
      <c r="K45" s="190">
        <f t="shared" si="37"/>
        <v>71.438622477319015</v>
      </c>
      <c r="L45" s="190">
        <f t="shared" si="51"/>
        <v>72.459174226995003</v>
      </c>
      <c r="M45" s="190">
        <f t="shared" si="52"/>
        <v>73.335802011973101</v>
      </c>
      <c r="N45" s="190">
        <f t="shared" si="53"/>
        <v>74.029253841881143</v>
      </c>
      <c r="O45" s="190">
        <f t="shared" si="54"/>
        <v>74.565697710300569</v>
      </c>
      <c r="P45" s="190">
        <f t="shared" si="55"/>
        <v>74.932049620440665</v>
      </c>
      <c r="Q45" s="190">
        <f t="shared" si="56"/>
        <v>75.141393569092145</v>
      </c>
      <c r="R45" s="190">
        <f t="shared" si="57"/>
        <v>75.376905511325063</v>
      </c>
      <c r="S45" s="190">
        <f t="shared" si="58"/>
        <v>75.389989508115775</v>
      </c>
      <c r="T45" s="195">
        <f t="shared" si="59"/>
        <v>75.363821514534337</v>
      </c>
      <c r="U45" s="190">
        <f>'All P1 In Catchment'!G44</f>
        <v>89</v>
      </c>
      <c r="V45" s="190">
        <f>'All P1 In Catchment'!I44</f>
        <v>96</v>
      </c>
      <c r="W45" s="190">
        <f>'All P1 In Catchment'!K44</f>
        <v>72</v>
      </c>
      <c r="X45" s="180">
        <f>'All P1 In Catchment'!M44</f>
        <v>95</v>
      </c>
      <c r="Y45" s="180">
        <f>'All P1 In Catchment'!O44</f>
        <v>90</v>
      </c>
      <c r="Z45" s="191">
        <f t="shared" si="60"/>
        <v>96</v>
      </c>
      <c r="AA45" s="180">
        <f t="shared" si="61"/>
        <v>93</v>
      </c>
      <c r="AB45" s="180">
        <f t="shared" ref="AB45:AB76" si="76">ROUND((I45*(AVERAGE((U45/B45),(V45/C45),(W45/D45),(X45/E45),(Y45/F45)))),0)</f>
        <v>61</v>
      </c>
      <c r="AC45" s="180">
        <f t="shared" ref="AC45:AC76" si="77">ROUND((J45*(AVERAGE((U45/B45),(V45/C45),(W45/D45),(X45/E45),(Y45/F45)))),0)</f>
        <v>65</v>
      </c>
      <c r="AD45" s="180">
        <f t="shared" ref="AD45:AD76" si="78">ROUND((K45*(AVERAGE((U45/B45),(V45/C45),(W45/D45),(X45/E45),(Y45/F45)))),0)</f>
        <v>74</v>
      </c>
      <c r="AE45" s="180">
        <f t="shared" ref="AE45:AE76" si="79">ROUND((L45*(AVERAGE((U45/B45),(V45/C45),(W45/D45),(X45/E45),(Y45/F45)))),0)</f>
        <v>75</v>
      </c>
      <c r="AF45" s="180">
        <f t="shared" ref="AF45:AF76" si="80">ROUND((M45*(AVERAGE((U45/B45),(V45/C45),(W45/D45),(X45/E45),(Y45/F45)))),0)</f>
        <v>76</v>
      </c>
      <c r="AG45" s="180">
        <f t="shared" ref="AG45:AG76" si="81">ROUND((N45*(AVERAGE((U45/B45),(V45/C45),(W45/D45),(X45/E45),(Y45/F45)))),0)</f>
        <v>77</v>
      </c>
      <c r="AH45" s="180">
        <f t="shared" ref="AH45:AH76" si="82">ROUND((O45*(AVERAGE((U45/B45),(V45/C45),(W45/D45),(X45/E45),(Y45/F45)))),0)</f>
        <v>77</v>
      </c>
      <c r="AI45" s="180">
        <f t="shared" ref="AI45:AI76" si="83">ROUND((P45*(AVERAGE((U45/B45),(V45/C45),(W45/D45),(X45/E45),(Y45/F45)))),0)</f>
        <v>77</v>
      </c>
      <c r="AJ45" s="180">
        <f t="shared" ref="AJ45:AJ76" si="84">ROUND((Q45*(AVERAGE((U45/B45),(V45/C45),(W45/D45),(X45/E45),(Y45/F45)))),0)</f>
        <v>78</v>
      </c>
      <c r="AK45" s="180">
        <f t="shared" ref="AK45:AK76" si="85">ROUND((R45*(AVERAGE((U45/B45),(V45/C45),(W45/D45),(X45/E45),(Y45/F45)))),0)</f>
        <v>78</v>
      </c>
      <c r="AL45" s="180">
        <f t="shared" ref="AL45:AL76" si="86">ROUND((S45*(AVERAGE((U45/B45),(V45/C45),(W45/D45),(X45/E45),(Y45/F45)))),0)</f>
        <v>78</v>
      </c>
      <c r="AM45" s="181">
        <f t="shared" ref="AM45:AM76" si="87">ROUND((T45*(AVERAGE((U45/B45),(V45/C45),(W45/D45),(X45/E45),(Y45/F45)))),0)</f>
        <v>78</v>
      </c>
      <c r="AN45" s="180">
        <f>'All P1 In Catchment'!F44</f>
        <v>85</v>
      </c>
      <c r="AO45" s="180">
        <f>'All P1 In Catchment'!H44</f>
        <v>93</v>
      </c>
      <c r="AP45" s="180">
        <f>'All P1 In Catchment'!J44</f>
        <v>70</v>
      </c>
      <c r="AQ45" s="180">
        <f>'All P1 In Catchment'!L44</f>
        <v>89</v>
      </c>
      <c r="AR45" s="181">
        <f>'All P1 In Catchment'!N44</f>
        <v>86</v>
      </c>
      <c r="AS45" s="180">
        <f t="shared" si="62"/>
        <v>92</v>
      </c>
      <c r="AT45" s="180">
        <f t="shared" si="63"/>
        <v>89</v>
      </c>
      <c r="AU45" s="180">
        <f t="shared" si="64"/>
        <v>58</v>
      </c>
      <c r="AV45" s="180">
        <f t="shared" si="65"/>
        <v>62</v>
      </c>
      <c r="AW45" s="180">
        <f t="shared" si="66"/>
        <v>71</v>
      </c>
      <c r="AX45" s="180">
        <f t="shared" si="67"/>
        <v>72</v>
      </c>
      <c r="AY45" s="180">
        <f t="shared" si="68"/>
        <v>73</v>
      </c>
      <c r="AZ45" s="180">
        <f t="shared" si="69"/>
        <v>74</v>
      </c>
      <c r="BA45" s="180">
        <f t="shared" si="70"/>
        <v>74</v>
      </c>
      <c r="BB45" s="180">
        <f t="shared" si="71"/>
        <v>74</v>
      </c>
      <c r="BC45" s="180">
        <f t="shared" si="72"/>
        <v>74</v>
      </c>
      <c r="BD45" s="180">
        <f t="shared" si="73"/>
        <v>74</v>
      </c>
      <c r="BE45" s="180">
        <f t="shared" si="74"/>
        <v>74</v>
      </c>
      <c r="BF45" s="180">
        <f t="shared" si="75"/>
        <v>74</v>
      </c>
      <c r="BG45" s="191">
        <f>AR45+'Housing Generation'!B44</f>
        <v>86</v>
      </c>
      <c r="BH45" s="180">
        <f>AS45+'Housing Generation'!J44</f>
        <v>92</v>
      </c>
      <c r="BI45" s="180">
        <f>AT45+'Housing Generation'!R44</f>
        <v>89</v>
      </c>
      <c r="BJ45" s="180">
        <f>AU45+'Housing Generation'!Z44</f>
        <v>58</v>
      </c>
      <c r="BK45" s="180">
        <f>AV45+'Housing Generation'!AH44</f>
        <v>62</v>
      </c>
      <c r="BL45" s="180">
        <f>AW45+'Housing Generation'!AP44</f>
        <v>71</v>
      </c>
      <c r="BM45" s="180">
        <f>AX45+'Housing Generation'!AX44</f>
        <v>74</v>
      </c>
      <c r="BN45" s="180">
        <f>AY45+'Housing Generation'!BF44</f>
        <v>77</v>
      </c>
      <c r="BO45" s="180">
        <f>AZ45+'Housing Generation'!BN44</f>
        <v>79</v>
      </c>
      <c r="BP45" s="180">
        <f>BA45+'Housing Generation'!BV44</f>
        <v>81</v>
      </c>
      <c r="BQ45" s="180">
        <f>BB45+'Housing Generation'!CD44</f>
        <v>82</v>
      </c>
      <c r="BR45" s="180">
        <f>BC45+'Housing Generation'!CL44</f>
        <v>82</v>
      </c>
      <c r="BS45" s="180">
        <f>BD45+'Housing Generation'!CT44</f>
        <v>83</v>
      </c>
      <c r="BT45" s="180">
        <f>BE45+'Housing Generation'!DB44</f>
        <v>83</v>
      </c>
      <c r="BU45" s="181">
        <f>BF45+'Housing Generation'!DJ44</f>
        <v>83</v>
      </c>
      <c r="BV45" s="180">
        <f>'P1 Retained'!D44</f>
        <v>79</v>
      </c>
      <c r="BW45" s="192">
        <f>'P1 Retained'!E44</f>
        <v>84</v>
      </c>
      <c r="BX45" s="192">
        <f>'P1 Retained'!F44</f>
        <v>67</v>
      </c>
      <c r="BY45" s="192">
        <f>'P1 Retained'!G44</f>
        <v>83</v>
      </c>
      <c r="BZ45" s="192">
        <f>'P1 Retained'!H44</f>
        <v>84</v>
      </c>
    </row>
    <row r="46" spans="1:78">
      <c r="A46" s="178" t="s">
        <v>42</v>
      </c>
      <c r="B46" s="190">
        <f>'Catchment Births'!O46</f>
        <v>55</v>
      </c>
      <c r="C46" s="190">
        <f>'Catchment Births'!P46</f>
        <v>36</v>
      </c>
      <c r="D46" s="190">
        <f>'Catchment Births'!Q46</f>
        <v>39</v>
      </c>
      <c r="E46" s="190">
        <f>'Catchment Births'!R46</f>
        <v>45</v>
      </c>
      <c r="F46" s="190">
        <f>'Catchment Births'!S46</f>
        <v>41</v>
      </c>
      <c r="G46" s="190">
        <f>'Catchment Births'!T46</f>
        <v>58</v>
      </c>
      <c r="H46" s="190">
        <f>'Catchment Births'!U46</f>
        <v>41</v>
      </c>
      <c r="I46" s="190">
        <f>'Catchment Births'!V46</f>
        <v>36</v>
      </c>
      <c r="J46" s="195">
        <f>'Catchment Births'!W46</f>
        <v>53</v>
      </c>
      <c r="K46" s="190">
        <f t="shared" si="37"/>
        <v>43.806702462506948</v>
      </c>
      <c r="L46" s="190">
        <f t="shared" si="51"/>
        <v>44.432512497685622</v>
      </c>
      <c r="M46" s="190">
        <f t="shared" si="52"/>
        <v>44.970067271492944</v>
      </c>
      <c r="N46" s="190">
        <f t="shared" si="53"/>
        <v>45.395297167191274</v>
      </c>
      <c r="O46" s="190">
        <f t="shared" si="54"/>
        <v>45.724248595939038</v>
      </c>
      <c r="P46" s="190">
        <f t="shared" si="55"/>
        <v>45.948898352157023</v>
      </c>
      <c r="Q46" s="190">
        <f t="shared" si="56"/>
        <v>46.077269641424444</v>
      </c>
      <c r="R46" s="190">
        <f t="shared" si="57"/>
        <v>46.221687341850291</v>
      </c>
      <c r="S46" s="190">
        <f t="shared" si="58"/>
        <v>46.229710547429505</v>
      </c>
      <c r="T46" s="195">
        <f t="shared" si="59"/>
        <v>46.213664136271078</v>
      </c>
      <c r="U46" s="190">
        <f>'All P1 In Catchment'!G45</f>
        <v>49</v>
      </c>
      <c r="V46" s="190">
        <f>'All P1 In Catchment'!I45</f>
        <v>64</v>
      </c>
      <c r="W46" s="190">
        <f>'All P1 In Catchment'!K45</f>
        <v>54</v>
      </c>
      <c r="X46" s="180">
        <f>'All P1 In Catchment'!M45</f>
        <v>54</v>
      </c>
      <c r="Y46" s="180">
        <f>'All P1 In Catchment'!O45</f>
        <v>40</v>
      </c>
      <c r="Z46" s="191">
        <f t="shared" si="60"/>
        <v>72</v>
      </c>
      <c r="AA46" s="180">
        <f t="shared" si="61"/>
        <v>51</v>
      </c>
      <c r="AB46" s="180">
        <f t="shared" si="76"/>
        <v>45</v>
      </c>
      <c r="AC46" s="180">
        <f t="shared" si="77"/>
        <v>66</v>
      </c>
      <c r="AD46" s="180">
        <f t="shared" si="78"/>
        <v>55</v>
      </c>
      <c r="AE46" s="180">
        <f t="shared" si="79"/>
        <v>55</v>
      </c>
      <c r="AF46" s="180">
        <f t="shared" si="80"/>
        <v>56</v>
      </c>
      <c r="AG46" s="180">
        <f t="shared" si="81"/>
        <v>57</v>
      </c>
      <c r="AH46" s="180">
        <f t="shared" si="82"/>
        <v>57</v>
      </c>
      <c r="AI46" s="180">
        <f t="shared" si="83"/>
        <v>57</v>
      </c>
      <c r="AJ46" s="180">
        <f t="shared" si="84"/>
        <v>57</v>
      </c>
      <c r="AK46" s="180">
        <f t="shared" si="85"/>
        <v>58</v>
      </c>
      <c r="AL46" s="180">
        <f t="shared" si="86"/>
        <v>58</v>
      </c>
      <c r="AM46" s="181">
        <f t="shared" si="87"/>
        <v>58</v>
      </c>
      <c r="AN46" s="180">
        <f>'All P1 In Catchment'!F45</f>
        <v>49</v>
      </c>
      <c r="AO46" s="180">
        <f>'All P1 In Catchment'!H45</f>
        <v>62</v>
      </c>
      <c r="AP46" s="180">
        <f>'All P1 In Catchment'!J45</f>
        <v>54</v>
      </c>
      <c r="AQ46" s="180">
        <f>'All P1 In Catchment'!L45</f>
        <v>53</v>
      </c>
      <c r="AR46" s="181">
        <f>'All P1 In Catchment'!N45</f>
        <v>39</v>
      </c>
      <c r="AS46" s="180">
        <f t="shared" si="62"/>
        <v>71</v>
      </c>
      <c r="AT46" s="180">
        <f t="shared" si="63"/>
        <v>50</v>
      </c>
      <c r="AU46" s="180">
        <f t="shared" si="64"/>
        <v>44</v>
      </c>
      <c r="AV46" s="180">
        <f t="shared" si="65"/>
        <v>65</v>
      </c>
      <c r="AW46" s="180">
        <f t="shared" si="66"/>
        <v>54</v>
      </c>
      <c r="AX46" s="180">
        <f t="shared" si="67"/>
        <v>54</v>
      </c>
      <c r="AY46" s="180">
        <f t="shared" si="68"/>
        <v>55</v>
      </c>
      <c r="AZ46" s="180">
        <f t="shared" si="69"/>
        <v>56</v>
      </c>
      <c r="BA46" s="180">
        <f t="shared" si="70"/>
        <v>56</v>
      </c>
      <c r="BB46" s="180">
        <f t="shared" si="71"/>
        <v>56</v>
      </c>
      <c r="BC46" s="180">
        <f t="shared" si="72"/>
        <v>56</v>
      </c>
      <c r="BD46" s="180">
        <f t="shared" si="73"/>
        <v>57</v>
      </c>
      <c r="BE46" s="180">
        <f t="shared" si="74"/>
        <v>57</v>
      </c>
      <c r="BF46" s="180">
        <f t="shared" si="75"/>
        <v>57</v>
      </c>
      <c r="BG46" s="191">
        <f>AR46+'Housing Generation'!B45</f>
        <v>40</v>
      </c>
      <c r="BH46" s="180">
        <f>AS46+'Housing Generation'!J45</f>
        <v>71</v>
      </c>
      <c r="BI46" s="180">
        <f>AT46+'Housing Generation'!R45</f>
        <v>50</v>
      </c>
      <c r="BJ46" s="180">
        <f>AU46+'Housing Generation'!Z45</f>
        <v>44</v>
      </c>
      <c r="BK46" s="180">
        <f>AV46+'Housing Generation'!AH45</f>
        <v>66</v>
      </c>
      <c r="BL46" s="180">
        <f>AW46+'Housing Generation'!AP45</f>
        <v>57</v>
      </c>
      <c r="BM46" s="180">
        <f>AX46+'Housing Generation'!AX45</f>
        <v>58</v>
      </c>
      <c r="BN46" s="180">
        <f>AY46+'Housing Generation'!BF45</f>
        <v>61</v>
      </c>
      <c r="BO46" s="180">
        <f>AZ46+'Housing Generation'!BN45</f>
        <v>62</v>
      </c>
      <c r="BP46" s="180">
        <f>BA46+'Housing Generation'!BV45</f>
        <v>62</v>
      </c>
      <c r="BQ46" s="180">
        <f>BB46+'Housing Generation'!CD45</f>
        <v>62</v>
      </c>
      <c r="BR46" s="180">
        <f>BC46+'Housing Generation'!CL45</f>
        <v>62</v>
      </c>
      <c r="BS46" s="180">
        <f>BD46+'Housing Generation'!CT45</f>
        <v>63</v>
      </c>
      <c r="BT46" s="180">
        <f>BE46+'Housing Generation'!DB45</f>
        <v>63</v>
      </c>
      <c r="BU46" s="181">
        <f>BF46+'Housing Generation'!DJ45</f>
        <v>63</v>
      </c>
      <c r="BV46" s="180">
        <f>'P1 Retained'!D45</f>
        <v>47</v>
      </c>
      <c r="BW46" s="192">
        <f>'P1 Retained'!E45</f>
        <v>61</v>
      </c>
      <c r="BX46" s="192">
        <f>'P1 Retained'!F45</f>
        <v>53</v>
      </c>
      <c r="BY46" s="192">
        <f>'P1 Retained'!G45</f>
        <v>50</v>
      </c>
      <c r="BZ46" s="192">
        <f>'P1 Retained'!H45</f>
        <v>38</v>
      </c>
    </row>
    <row r="47" spans="1:78">
      <c r="A47" s="178" t="s">
        <v>43</v>
      </c>
      <c r="B47" s="190">
        <f>'Catchment Births'!O47</f>
        <v>48</v>
      </c>
      <c r="C47" s="190">
        <f>'Catchment Births'!P47</f>
        <v>41</v>
      </c>
      <c r="D47" s="190">
        <f>'Catchment Births'!Q47</f>
        <v>50</v>
      </c>
      <c r="E47" s="190">
        <f>'Catchment Births'!R47</f>
        <v>58</v>
      </c>
      <c r="F47" s="190">
        <f>'Catchment Births'!S47</f>
        <v>70</v>
      </c>
      <c r="G47" s="190">
        <f>'Catchment Births'!T47</f>
        <v>69</v>
      </c>
      <c r="H47" s="190">
        <f>'Catchment Births'!U47</f>
        <v>80</v>
      </c>
      <c r="I47" s="190">
        <f>'Catchment Births'!V47</f>
        <v>84</v>
      </c>
      <c r="J47" s="195">
        <f>'Catchment Births'!W47</f>
        <v>99</v>
      </c>
      <c r="K47" s="190">
        <f t="shared" si="37"/>
        <v>88.624328827994816</v>
      </c>
      <c r="L47" s="190">
        <f t="shared" si="51"/>
        <v>89.890390668394744</v>
      </c>
      <c r="M47" s="190">
        <f t="shared" si="52"/>
        <v>90.977905326174167</v>
      </c>
      <c r="N47" s="190">
        <f t="shared" si="53"/>
        <v>91.838178115163856</v>
      </c>
      <c r="O47" s="190">
        <f t="shared" si="54"/>
        <v>92.503672159476636</v>
      </c>
      <c r="P47" s="190">
        <f t="shared" si="55"/>
        <v>92.958155897056102</v>
      </c>
      <c r="Q47" s="190">
        <f t="shared" si="56"/>
        <v>93.217860889958658</v>
      </c>
      <c r="R47" s="190">
        <f t="shared" si="57"/>
        <v>93.510029006974023</v>
      </c>
      <c r="S47" s="190">
        <f t="shared" si="58"/>
        <v>93.526260569030427</v>
      </c>
      <c r="T47" s="195">
        <f t="shared" si="59"/>
        <v>93.493797444917604</v>
      </c>
      <c r="U47" s="190">
        <f>'All P1 In Catchment'!G46</f>
        <v>90</v>
      </c>
      <c r="V47" s="190">
        <f>'All P1 In Catchment'!I46</f>
        <v>70</v>
      </c>
      <c r="W47" s="190">
        <f>'All P1 In Catchment'!K46</f>
        <v>102</v>
      </c>
      <c r="X47" s="180">
        <f>'All P1 In Catchment'!M46</f>
        <v>104</v>
      </c>
      <c r="Y47" s="180">
        <f>'All P1 In Catchment'!O46</f>
        <v>111</v>
      </c>
      <c r="Z47" s="191">
        <f t="shared" si="60"/>
        <v>124</v>
      </c>
      <c r="AA47" s="180">
        <f t="shared" si="61"/>
        <v>144</v>
      </c>
      <c r="AB47" s="180">
        <f t="shared" si="76"/>
        <v>151</v>
      </c>
      <c r="AC47" s="180">
        <f t="shared" si="77"/>
        <v>178</v>
      </c>
      <c r="AD47" s="180">
        <f t="shared" si="78"/>
        <v>160</v>
      </c>
      <c r="AE47" s="180">
        <f t="shared" si="79"/>
        <v>162</v>
      </c>
      <c r="AF47" s="180">
        <f t="shared" si="80"/>
        <v>164</v>
      </c>
      <c r="AG47" s="180">
        <f t="shared" si="81"/>
        <v>165</v>
      </c>
      <c r="AH47" s="180">
        <f t="shared" si="82"/>
        <v>167</v>
      </c>
      <c r="AI47" s="180">
        <f t="shared" si="83"/>
        <v>167</v>
      </c>
      <c r="AJ47" s="180">
        <f t="shared" si="84"/>
        <v>168</v>
      </c>
      <c r="AK47" s="180">
        <f t="shared" si="85"/>
        <v>168</v>
      </c>
      <c r="AL47" s="180">
        <f t="shared" si="86"/>
        <v>168</v>
      </c>
      <c r="AM47" s="181">
        <f t="shared" si="87"/>
        <v>168</v>
      </c>
      <c r="AN47" s="180">
        <f>'All P1 In Catchment'!F46</f>
        <v>86</v>
      </c>
      <c r="AO47" s="180">
        <f>'All P1 In Catchment'!H46</f>
        <v>67</v>
      </c>
      <c r="AP47" s="180">
        <f>'All P1 In Catchment'!J46</f>
        <v>96</v>
      </c>
      <c r="AQ47" s="180">
        <f>'All P1 In Catchment'!L46</f>
        <v>98</v>
      </c>
      <c r="AR47" s="181">
        <f>'All P1 In Catchment'!N46</f>
        <v>106</v>
      </c>
      <c r="AS47" s="180">
        <f t="shared" si="62"/>
        <v>117</v>
      </c>
      <c r="AT47" s="180">
        <f t="shared" si="63"/>
        <v>136</v>
      </c>
      <c r="AU47" s="180">
        <f t="shared" si="64"/>
        <v>143</v>
      </c>
      <c r="AV47" s="180">
        <f t="shared" si="65"/>
        <v>168</v>
      </c>
      <c r="AW47" s="180">
        <f t="shared" si="66"/>
        <v>151</v>
      </c>
      <c r="AX47" s="180">
        <f t="shared" si="67"/>
        <v>153</v>
      </c>
      <c r="AY47" s="180">
        <f t="shared" si="68"/>
        <v>155</v>
      </c>
      <c r="AZ47" s="180">
        <f t="shared" si="69"/>
        <v>156</v>
      </c>
      <c r="BA47" s="180">
        <f t="shared" si="70"/>
        <v>158</v>
      </c>
      <c r="BB47" s="180">
        <f t="shared" si="71"/>
        <v>158</v>
      </c>
      <c r="BC47" s="180">
        <f t="shared" si="72"/>
        <v>159</v>
      </c>
      <c r="BD47" s="180">
        <f t="shared" si="73"/>
        <v>159</v>
      </c>
      <c r="BE47" s="180">
        <f t="shared" si="74"/>
        <v>159</v>
      </c>
      <c r="BF47" s="180">
        <f t="shared" si="75"/>
        <v>159</v>
      </c>
      <c r="BG47" s="191">
        <f>AR47+'Housing Generation'!B46</f>
        <v>109</v>
      </c>
      <c r="BH47" s="180">
        <f>AS47+'Housing Generation'!J46</f>
        <v>119</v>
      </c>
      <c r="BI47" s="180">
        <f>AT47+'Housing Generation'!R46</f>
        <v>138</v>
      </c>
      <c r="BJ47" s="180">
        <f>AU47+'Housing Generation'!Z46</f>
        <v>145</v>
      </c>
      <c r="BK47" s="180">
        <f>AV47+'Housing Generation'!AH46</f>
        <v>170</v>
      </c>
      <c r="BL47" s="180">
        <f>AW47+'Housing Generation'!AP46</f>
        <v>153</v>
      </c>
      <c r="BM47" s="180">
        <f>AX47+'Housing Generation'!AX46</f>
        <v>155</v>
      </c>
      <c r="BN47" s="180">
        <f>AY47+'Housing Generation'!BF46</f>
        <v>158</v>
      </c>
      <c r="BO47" s="180">
        <f>AZ47+'Housing Generation'!BN46</f>
        <v>160</v>
      </c>
      <c r="BP47" s="180">
        <f>BA47+'Housing Generation'!BV46</f>
        <v>163</v>
      </c>
      <c r="BQ47" s="180">
        <f>BB47+'Housing Generation'!CD46</f>
        <v>163</v>
      </c>
      <c r="BR47" s="180">
        <f>BC47+'Housing Generation'!CL46</f>
        <v>164</v>
      </c>
      <c r="BS47" s="180">
        <f>BD47+'Housing Generation'!CT46</f>
        <v>164</v>
      </c>
      <c r="BT47" s="180">
        <f>BE47+'Housing Generation'!DB46</f>
        <v>164</v>
      </c>
      <c r="BU47" s="181">
        <f>BF47+'Housing Generation'!DJ46</f>
        <v>164</v>
      </c>
      <c r="BV47" s="180">
        <f>'P1 Retained'!D46</f>
        <v>80</v>
      </c>
      <c r="BW47" s="192">
        <f>'P1 Retained'!E46</f>
        <v>63</v>
      </c>
      <c r="BX47" s="192">
        <f>'P1 Retained'!F46</f>
        <v>93</v>
      </c>
      <c r="BY47" s="192">
        <f>'P1 Retained'!G46</f>
        <v>95</v>
      </c>
      <c r="BZ47" s="192">
        <f>'P1 Retained'!H46</f>
        <v>105</v>
      </c>
    </row>
    <row r="48" spans="1:78">
      <c r="A48" s="178" t="s">
        <v>44</v>
      </c>
      <c r="B48" s="190">
        <f>'Catchment Births'!O48</f>
        <v>181</v>
      </c>
      <c r="C48" s="190">
        <f>'Catchment Births'!P48</f>
        <v>181</v>
      </c>
      <c r="D48" s="190">
        <f>'Catchment Births'!Q48</f>
        <v>168</v>
      </c>
      <c r="E48" s="190">
        <f>'Catchment Births'!R48</f>
        <v>207</v>
      </c>
      <c r="F48" s="190">
        <f>'Catchment Births'!S48</f>
        <v>162</v>
      </c>
      <c r="G48" s="190">
        <f>'Catchment Births'!T48</f>
        <v>175</v>
      </c>
      <c r="H48" s="190">
        <f>'Catchment Births'!U48</f>
        <v>146</v>
      </c>
      <c r="I48" s="190">
        <f>'Catchment Births'!V48</f>
        <v>155</v>
      </c>
      <c r="J48" s="195">
        <f>'Catchment Births'!W48</f>
        <v>168</v>
      </c>
      <c r="K48" s="190">
        <f t="shared" si="37"/>
        <v>158.04110349935198</v>
      </c>
      <c r="L48" s="190">
        <f t="shared" si="51"/>
        <v>160.29883354934273</v>
      </c>
      <c r="M48" s="190">
        <f t="shared" si="52"/>
        <v>162.23816577177067</v>
      </c>
      <c r="N48" s="190">
        <f t="shared" si="53"/>
        <v>163.77226439548232</v>
      </c>
      <c r="O48" s="190">
        <f t="shared" si="54"/>
        <v>164.95901993458003</v>
      </c>
      <c r="P48" s="190">
        <f t="shared" si="55"/>
        <v>165.76948713201261</v>
      </c>
      <c r="Q48" s="190">
        <f t="shared" si="56"/>
        <v>166.23261124483122</v>
      </c>
      <c r="R48" s="190">
        <f t="shared" si="57"/>
        <v>166.75362587175215</v>
      </c>
      <c r="S48" s="190">
        <f t="shared" si="58"/>
        <v>166.78257112880331</v>
      </c>
      <c r="T48" s="195">
        <f t="shared" si="59"/>
        <v>166.72468061470099</v>
      </c>
      <c r="U48" s="190">
        <f>'All P1 In Catchment'!G47</f>
        <v>119</v>
      </c>
      <c r="V48" s="190">
        <f>'All P1 In Catchment'!I47</f>
        <v>108</v>
      </c>
      <c r="W48" s="190">
        <f>'All P1 In Catchment'!K47</f>
        <v>97</v>
      </c>
      <c r="X48" s="180">
        <f>'All P1 In Catchment'!M47</f>
        <v>100</v>
      </c>
      <c r="Y48" s="180">
        <f>'All P1 In Catchment'!O47</f>
        <v>106</v>
      </c>
      <c r="Z48" s="191">
        <f t="shared" si="60"/>
        <v>104</v>
      </c>
      <c r="AA48" s="180">
        <f t="shared" si="61"/>
        <v>87</v>
      </c>
      <c r="AB48" s="180">
        <f t="shared" si="76"/>
        <v>92</v>
      </c>
      <c r="AC48" s="180">
        <f t="shared" si="77"/>
        <v>100</v>
      </c>
      <c r="AD48" s="180">
        <f t="shared" si="78"/>
        <v>94</v>
      </c>
      <c r="AE48" s="180">
        <f t="shared" si="79"/>
        <v>95</v>
      </c>
      <c r="AF48" s="180">
        <f t="shared" si="80"/>
        <v>96</v>
      </c>
      <c r="AG48" s="180">
        <f t="shared" si="81"/>
        <v>97</v>
      </c>
      <c r="AH48" s="180">
        <f t="shared" si="82"/>
        <v>98</v>
      </c>
      <c r="AI48" s="180">
        <f t="shared" si="83"/>
        <v>98</v>
      </c>
      <c r="AJ48" s="180">
        <f t="shared" si="84"/>
        <v>99</v>
      </c>
      <c r="AK48" s="180">
        <f t="shared" si="85"/>
        <v>99</v>
      </c>
      <c r="AL48" s="180">
        <f t="shared" si="86"/>
        <v>99</v>
      </c>
      <c r="AM48" s="181">
        <f t="shared" si="87"/>
        <v>99</v>
      </c>
      <c r="AN48" s="180">
        <f>'All P1 In Catchment'!F47</f>
        <v>83</v>
      </c>
      <c r="AO48" s="180">
        <f>'All P1 In Catchment'!H47</f>
        <v>70</v>
      </c>
      <c r="AP48" s="180">
        <f>'All P1 In Catchment'!J47</f>
        <v>55</v>
      </c>
      <c r="AQ48" s="180">
        <f>'All P1 In Catchment'!L47</f>
        <v>61</v>
      </c>
      <c r="AR48" s="181">
        <f>'All P1 In Catchment'!N47</f>
        <v>72</v>
      </c>
      <c r="AS48" s="180">
        <f t="shared" si="62"/>
        <v>64</v>
      </c>
      <c r="AT48" s="180">
        <f t="shared" si="63"/>
        <v>54</v>
      </c>
      <c r="AU48" s="180">
        <f t="shared" si="64"/>
        <v>57</v>
      </c>
      <c r="AV48" s="180">
        <f t="shared" si="65"/>
        <v>62</v>
      </c>
      <c r="AW48" s="180">
        <f t="shared" si="66"/>
        <v>58</v>
      </c>
      <c r="AX48" s="180">
        <f t="shared" si="67"/>
        <v>59</v>
      </c>
      <c r="AY48" s="180">
        <f t="shared" si="68"/>
        <v>59</v>
      </c>
      <c r="AZ48" s="180">
        <f t="shared" si="69"/>
        <v>60</v>
      </c>
      <c r="BA48" s="180">
        <f t="shared" si="70"/>
        <v>61</v>
      </c>
      <c r="BB48" s="180">
        <f t="shared" si="71"/>
        <v>61</v>
      </c>
      <c r="BC48" s="180">
        <f t="shared" si="72"/>
        <v>61</v>
      </c>
      <c r="BD48" s="180">
        <f t="shared" si="73"/>
        <v>61</v>
      </c>
      <c r="BE48" s="180">
        <f t="shared" si="74"/>
        <v>61</v>
      </c>
      <c r="BF48" s="180">
        <f t="shared" si="75"/>
        <v>61</v>
      </c>
      <c r="BG48" s="191">
        <f>AR48+'Housing Generation'!B47</f>
        <v>73</v>
      </c>
      <c r="BH48" s="180">
        <f>AS48+'Housing Generation'!J47</f>
        <v>65</v>
      </c>
      <c r="BI48" s="180">
        <f>AT48+'Housing Generation'!R47</f>
        <v>56</v>
      </c>
      <c r="BJ48" s="180">
        <f>AU48+'Housing Generation'!Z47</f>
        <v>60</v>
      </c>
      <c r="BK48" s="180">
        <f>AV48+'Housing Generation'!AH47</f>
        <v>67</v>
      </c>
      <c r="BL48" s="180">
        <f>AW48+'Housing Generation'!AP47</f>
        <v>64</v>
      </c>
      <c r="BM48" s="180">
        <f>AX48+'Housing Generation'!AX47</f>
        <v>67</v>
      </c>
      <c r="BN48" s="180">
        <f>AY48+'Housing Generation'!BF47</f>
        <v>70</v>
      </c>
      <c r="BO48" s="180">
        <f>AZ48+'Housing Generation'!BN47</f>
        <v>73</v>
      </c>
      <c r="BP48" s="180">
        <f>BA48+'Housing Generation'!BV47</f>
        <v>77</v>
      </c>
      <c r="BQ48" s="180">
        <f>BB48+'Housing Generation'!CD47</f>
        <v>79</v>
      </c>
      <c r="BR48" s="180">
        <f>BC48+'Housing Generation'!CL47</f>
        <v>81</v>
      </c>
      <c r="BS48" s="180">
        <f>BD48+'Housing Generation'!CT47</f>
        <v>82</v>
      </c>
      <c r="BT48" s="180">
        <f>BE48+'Housing Generation'!DB47</f>
        <v>84</v>
      </c>
      <c r="BU48" s="181">
        <f>BF48+'Housing Generation'!DJ47</f>
        <v>86</v>
      </c>
      <c r="BV48" s="180">
        <f>'P1 Retained'!D47</f>
        <v>63</v>
      </c>
      <c r="BW48" s="192">
        <f>'P1 Retained'!E47</f>
        <v>59</v>
      </c>
      <c r="BX48" s="192">
        <f>'P1 Retained'!F47</f>
        <v>37</v>
      </c>
      <c r="BY48" s="192">
        <f>'P1 Retained'!G47</f>
        <v>40</v>
      </c>
      <c r="BZ48" s="192">
        <f>'P1 Retained'!H47</f>
        <v>53</v>
      </c>
    </row>
    <row r="49" spans="1:78">
      <c r="A49" s="178" t="s">
        <v>45</v>
      </c>
      <c r="B49" s="190">
        <f>'Catchment Births'!O49</f>
        <v>155</v>
      </c>
      <c r="C49" s="190">
        <f>'Catchment Births'!P49</f>
        <v>145</v>
      </c>
      <c r="D49" s="190">
        <f>'Catchment Births'!Q49</f>
        <v>150</v>
      </c>
      <c r="E49" s="190">
        <f>'Catchment Births'!R49</f>
        <v>133</v>
      </c>
      <c r="F49" s="190">
        <f>'Catchment Births'!S49</f>
        <v>146</v>
      </c>
      <c r="G49" s="190">
        <f>'Catchment Births'!T49</f>
        <v>137</v>
      </c>
      <c r="H49" s="190">
        <f>'Catchment Births'!U49</f>
        <v>112</v>
      </c>
      <c r="I49" s="190">
        <f>'Catchment Births'!V49</f>
        <v>128</v>
      </c>
      <c r="J49" s="195">
        <f>'Catchment Births'!W49</f>
        <v>99</v>
      </c>
      <c r="K49" s="190">
        <f t="shared" si="37"/>
        <v>114.23440103684503</v>
      </c>
      <c r="L49" s="190">
        <f t="shared" si="51"/>
        <v>115.8663210516571</v>
      </c>
      <c r="M49" s="190">
        <f t="shared" si="52"/>
        <v>117.26809850027772</v>
      </c>
      <c r="N49" s="190">
        <f t="shared" si="53"/>
        <v>118.37696722829105</v>
      </c>
      <c r="O49" s="190">
        <f t="shared" si="54"/>
        <v>119.23477133864098</v>
      </c>
      <c r="P49" s="190">
        <f t="shared" si="55"/>
        <v>119.82058877985557</v>
      </c>
      <c r="Q49" s="190">
        <f t="shared" si="56"/>
        <v>120.15534160340677</v>
      </c>
      <c r="R49" s="190">
        <f t="shared" si="57"/>
        <v>120.53193852990186</v>
      </c>
      <c r="S49" s="190">
        <f t="shared" si="58"/>
        <v>120.55286058137382</v>
      </c>
      <c r="T49" s="195">
        <f t="shared" si="59"/>
        <v>120.51101647842992</v>
      </c>
      <c r="U49" s="190">
        <f>'All P1 In Catchment'!G48</f>
        <v>70</v>
      </c>
      <c r="V49" s="190">
        <f>'All P1 In Catchment'!I48</f>
        <v>59</v>
      </c>
      <c r="W49" s="190">
        <f>'All P1 In Catchment'!K48</f>
        <v>50</v>
      </c>
      <c r="X49" s="180">
        <f>'All P1 In Catchment'!M48</f>
        <v>63</v>
      </c>
      <c r="Y49" s="180">
        <f>'All P1 In Catchment'!O48</f>
        <v>58</v>
      </c>
      <c r="Z49" s="191">
        <f t="shared" si="60"/>
        <v>57</v>
      </c>
      <c r="AA49" s="180">
        <f t="shared" si="61"/>
        <v>46</v>
      </c>
      <c r="AB49" s="180">
        <f t="shared" si="76"/>
        <v>53</v>
      </c>
      <c r="AC49" s="180">
        <f t="shared" si="77"/>
        <v>41</v>
      </c>
      <c r="AD49" s="180">
        <f t="shared" si="78"/>
        <v>47</v>
      </c>
      <c r="AE49" s="180">
        <f t="shared" si="79"/>
        <v>48</v>
      </c>
      <c r="AF49" s="180">
        <f t="shared" si="80"/>
        <v>48</v>
      </c>
      <c r="AG49" s="180">
        <f t="shared" si="81"/>
        <v>49</v>
      </c>
      <c r="AH49" s="180">
        <f t="shared" si="82"/>
        <v>49</v>
      </c>
      <c r="AI49" s="180">
        <f t="shared" si="83"/>
        <v>49</v>
      </c>
      <c r="AJ49" s="180">
        <f t="shared" si="84"/>
        <v>50</v>
      </c>
      <c r="AK49" s="180">
        <f t="shared" si="85"/>
        <v>50</v>
      </c>
      <c r="AL49" s="180">
        <f t="shared" si="86"/>
        <v>50</v>
      </c>
      <c r="AM49" s="181">
        <f t="shared" si="87"/>
        <v>50</v>
      </c>
      <c r="AN49" s="180">
        <f>'All P1 In Catchment'!F48</f>
        <v>48</v>
      </c>
      <c r="AO49" s="180">
        <f>'All P1 In Catchment'!H48</f>
        <v>43</v>
      </c>
      <c r="AP49" s="180">
        <f>'All P1 In Catchment'!J48</f>
        <v>33</v>
      </c>
      <c r="AQ49" s="180">
        <f>'All P1 In Catchment'!L48</f>
        <v>47</v>
      </c>
      <c r="AR49" s="181">
        <f>'All P1 In Catchment'!N48</f>
        <v>41</v>
      </c>
      <c r="AS49" s="180">
        <f t="shared" si="62"/>
        <v>40</v>
      </c>
      <c r="AT49" s="180">
        <f t="shared" si="63"/>
        <v>32</v>
      </c>
      <c r="AU49" s="180">
        <f t="shared" si="64"/>
        <v>37</v>
      </c>
      <c r="AV49" s="180">
        <f t="shared" si="65"/>
        <v>29</v>
      </c>
      <c r="AW49" s="180">
        <f t="shared" si="66"/>
        <v>33</v>
      </c>
      <c r="AX49" s="180">
        <f t="shared" si="67"/>
        <v>34</v>
      </c>
      <c r="AY49" s="180">
        <f t="shared" si="68"/>
        <v>34</v>
      </c>
      <c r="AZ49" s="180">
        <f t="shared" si="69"/>
        <v>35</v>
      </c>
      <c r="BA49" s="180">
        <f t="shared" si="70"/>
        <v>35</v>
      </c>
      <c r="BB49" s="180">
        <f t="shared" si="71"/>
        <v>35</v>
      </c>
      <c r="BC49" s="180">
        <f t="shared" si="72"/>
        <v>35</v>
      </c>
      <c r="BD49" s="180">
        <f t="shared" si="73"/>
        <v>35</v>
      </c>
      <c r="BE49" s="180">
        <f t="shared" si="74"/>
        <v>35</v>
      </c>
      <c r="BF49" s="180">
        <f t="shared" si="75"/>
        <v>35</v>
      </c>
      <c r="BG49" s="191">
        <f>AR49+'Housing Generation'!B48</f>
        <v>42</v>
      </c>
      <c r="BH49" s="180">
        <f>AS49+'Housing Generation'!J48</f>
        <v>41</v>
      </c>
      <c r="BI49" s="180">
        <f>AT49+'Housing Generation'!R48</f>
        <v>33</v>
      </c>
      <c r="BJ49" s="180">
        <f>AU49+'Housing Generation'!Z48</f>
        <v>38</v>
      </c>
      <c r="BK49" s="180">
        <f>AV49+'Housing Generation'!AH48</f>
        <v>30</v>
      </c>
      <c r="BL49" s="180">
        <f>AW49+'Housing Generation'!AP48</f>
        <v>34</v>
      </c>
      <c r="BM49" s="180">
        <f>AX49+'Housing Generation'!AX48</f>
        <v>35</v>
      </c>
      <c r="BN49" s="180">
        <f>AY49+'Housing Generation'!BF48</f>
        <v>35</v>
      </c>
      <c r="BO49" s="180">
        <f>AZ49+'Housing Generation'!BN48</f>
        <v>36</v>
      </c>
      <c r="BP49" s="180">
        <f>BA49+'Housing Generation'!BV48</f>
        <v>36</v>
      </c>
      <c r="BQ49" s="180">
        <f>BB49+'Housing Generation'!CD48</f>
        <v>36</v>
      </c>
      <c r="BR49" s="180">
        <f>BC49+'Housing Generation'!CL48</f>
        <v>36</v>
      </c>
      <c r="BS49" s="180">
        <f>BD49+'Housing Generation'!CT48</f>
        <v>36</v>
      </c>
      <c r="BT49" s="180">
        <f>BE49+'Housing Generation'!DB48</f>
        <v>36</v>
      </c>
      <c r="BU49" s="181">
        <f>BF49+'Housing Generation'!DJ48</f>
        <v>36</v>
      </c>
      <c r="BV49" s="180">
        <f>'P1 Retained'!D48</f>
        <v>41</v>
      </c>
      <c r="BW49" s="192">
        <f>'P1 Retained'!E48</f>
        <v>29</v>
      </c>
      <c r="BX49" s="192">
        <f>'P1 Retained'!F48</f>
        <v>27</v>
      </c>
      <c r="BY49" s="192">
        <f>'P1 Retained'!G48</f>
        <v>30</v>
      </c>
      <c r="BZ49" s="192">
        <f>'P1 Retained'!H48</f>
        <v>27</v>
      </c>
    </row>
    <row r="50" spans="1:78">
      <c r="A50" s="178" t="s">
        <v>46</v>
      </c>
      <c r="B50" s="190">
        <f>'Catchment Births'!O50</f>
        <v>85</v>
      </c>
      <c r="C50" s="190">
        <f>'Catchment Births'!P50</f>
        <v>115</v>
      </c>
      <c r="D50" s="190">
        <f>'Catchment Births'!Q50</f>
        <v>99</v>
      </c>
      <c r="E50" s="190">
        <f>'Catchment Births'!R50</f>
        <v>102</v>
      </c>
      <c r="F50" s="190">
        <f>'Catchment Births'!S50</f>
        <v>98</v>
      </c>
      <c r="G50" s="190">
        <f>'Catchment Births'!T50</f>
        <v>96</v>
      </c>
      <c r="H50" s="190">
        <f>'Catchment Births'!U50</f>
        <v>100</v>
      </c>
      <c r="I50" s="190">
        <f>'Catchment Births'!V50</f>
        <v>107</v>
      </c>
      <c r="J50" s="195">
        <f>'Catchment Births'!W50</f>
        <v>106</v>
      </c>
      <c r="K50" s="190">
        <f t="shared" si="37"/>
        <v>105.47306054434364</v>
      </c>
      <c r="L50" s="190">
        <f t="shared" si="51"/>
        <v>106.97981855211998</v>
      </c>
      <c r="M50" s="190">
        <f t="shared" si="52"/>
        <v>108.27408504597915</v>
      </c>
      <c r="N50" s="190">
        <f t="shared" si="53"/>
        <v>109.29790779485282</v>
      </c>
      <c r="O50" s="190">
        <f t="shared" si="54"/>
        <v>110.08992161945321</v>
      </c>
      <c r="P50" s="190">
        <f t="shared" si="55"/>
        <v>110.63080910942421</v>
      </c>
      <c r="Q50" s="190">
        <f t="shared" si="56"/>
        <v>110.93988767512191</v>
      </c>
      <c r="R50" s="190">
        <f t="shared" si="57"/>
        <v>111.28760106153183</v>
      </c>
      <c r="S50" s="190">
        <f t="shared" si="58"/>
        <v>111.30691847188794</v>
      </c>
      <c r="T50" s="195">
        <f t="shared" si="59"/>
        <v>111.26828365117572</v>
      </c>
      <c r="U50" s="190">
        <f>'All P1 In Catchment'!G49</f>
        <v>80</v>
      </c>
      <c r="V50" s="190">
        <f>'All P1 In Catchment'!I49</f>
        <v>96</v>
      </c>
      <c r="W50" s="190">
        <f>'All P1 In Catchment'!K49</f>
        <v>87</v>
      </c>
      <c r="X50" s="180">
        <f>'All P1 In Catchment'!M49</f>
        <v>77</v>
      </c>
      <c r="Y50" s="180">
        <f>'All P1 In Catchment'!O49</f>
        <v>89</v>
      </c>
      <c r="Z50" s="191">
        <f t="shared" si="60"/>
        <v>83</v>
      </c>
      <c r="AA50" s="180">
        <f t="shared" si="61"/>
        <v>86</v>
      </c>
      <c r="AB50" s="180">
        <f t="shared" si="76"/>
        <v>92</v>
      </c>
      <c r="AC50" s="180">
        <f t="shared" si="77"/>
        <v>92</v>
      </c>
      <c r="AD50" s="180">
        <f t="shared" si="78"/>
        <v>91</v>
      </c>
      <c r="AE50" s="180">
        <f t="shared" si="79"/>
        <v>92</v>
      </c>
      <c r="AF50" s="180">
        <f t="shared" si="80"/>
        <v>94</v>
      </c>
      <c r="AG50" s="180">
        <f t="shared" si="81"/>
        <v>94</v>
      </c>
      <c r="AH50" s="180">
        <f t="shared" si="82"/>
        <v>95</v>
      </c>
      <c r="AI50" s="180">
        <f t="shared" si="83"/>
        <v>96</v>
      </c>
      <c r="AJ50" s="180">
        <f t="shared" si="84"/>
        <v>96</v>
      </c>
      <c r="AK50" s="180">
        <f t="shared" si="85"/>
        <v>96</v>
      </c>
      <c r="AL50" s="180">
        <f t="shared" si="86"/>
        <v>96</v>
      </c>
      <c r="AM50" s="181">
        <f t="shared" si="87"/>
        <v>96</v>
      </c>
      <c r="AN50" s="180">
        <f>'All P1 In Catchment'!F49</f>
        <v>64</v>
      </c>
      <c r="AO50" s="180">
        <f>'All P1 In Catchment'!H49</f>
        <v>86</v>
      </c>
      <c r="AP50" s="180">
        <f>'All P1 In Catchment'!J49</f>
        <v>73</v>
      </c>
      <c r="AQ50" s="180">
        <f>'All P1 In Catchment'!L49</f>
        <v>66</v>
      </c>
      <c r="AR50" s="181">
        <f>'All P1 In Catchment'!N49</f>
        <v>61</v>
      </c>
      <c r="AS50" s="180">
        <f t="shared" si="62"/>
        <v>66</v>
      </c>
      <c r="AT50" s="180">
        <f t="shared" si="63"/>
        <v>68</v>
      </c>
      <c r="AU50" s="180">
        <f t="shared" si="64"/>
        <v>73</v>
      </c>
      <c r="AV50" s="180">
        <f t="shared" si="65"/>
        <v>73</v>
      </c>
      <c r="AW50" s="180">
        <f t="shared" si="66"/>
        <v>72</v>
      </c>
      <c r="AX50" s="180">
        <f t="shared" si="67"/>
        <v>73</v>
      </c>
      <c r="AY50" s="180">
        <f t="shared" si="68"/>
        <v>75</v>
      </c>
      <c r="AZ50" s="180">
        <f t="shared" si="69"/>
        <v>75</v>
      </c>
      <c r="BA50" s="180">
        <f t="shared" si="70"/>
        <v>75</v>
      </c>
      <c r="BB50" s="180">
        <f t="shared" si="71"/>
        <v>76</v>
      </c>
      <c r="BC50" s="180">
        <f t="shared" si="72"/>
        <v>76</v>
      </c>
      <c r="BD50" s="180">
        <f t="shared" si="73"/>
        <v>76</v>
      </c>
      <c r="BE50" s="180">
        <f t="shared" si="74"/>
        <v>76</v>
      </c>
      <c r="BF50" s="180">
        <f t="shared" si="75"/>
        <v>76</v>
      </c>
      <c r="BG50" s="191">
        <f>AR50+'Housing Generation'!B49</f>
        <v>61</v>
      </c>
      <c r="BH50" s="180">
        <f>AS50+'Housing Generation'!J49</f>
        <v>66</v>
      </c>
      <c r="BI50" s="180">
        <f>AT50+'Housing Generation'!R49</f>
        <v>69</v>
      </c>
      <c r="BJ50" s="180">
        <f>AU50+'Housing Generation'!Z49</f>
        <v>74</v>
      </c>
      <c r="BK50" s="180">
        <f>AV50+'Housing Generation'!AH49</f>
        <v>74</v>
      </c>
      <c r="BL50" s="180">
        <f>AW50+'Housing Generation'!AP49</f>
        <v>73</v>
      </c>
      <c r="BM50" s="180">
        <f>AX50+'Housing Generation'!AX49</f>
        <v>74</v>
      </c>
      <c r="BN50" s="180">
        <f>AY50+'Housing Generation'!BF49</f>
        <v>76</v>
      </c>
      <c r="BO50" s="180">
        <f>AZ50+'Housing Generation'!BN49</f>
        <v>76</v>
      </c>
      <c r="BP50" s="180">
        <f>BA50+'Housing Generation'!BV49</f>
        <v>76</v>
      </c>
      <c r="BQ50" s="180">
        <f>BB50+'Housing Generation'!CD49</f>
        <v>77</v>
      </c>
      <c r="BR50" s="180">
        <f>BC50+'Housing Generation'!CL49</f>
        <v>77</v>
      </c>
      <c r="BS50" s="180">
        <f>BD50+'Housing Generation'!CT49</f>
        <v>77</v>
      </c>
      <c r="BT50" s="180">
        <f>BE50+'Housing Generation'!DB49</f>
        <v>77</v>
      </c>
      <c r="BU50" s="181">
        <f>BF50+'Housing Generation'!DJ49</f>
        <v>77</v>
      </c>
      <c r="BV50" s="180">
        <f>'P1 Retained'!D49</f>
        <v>55</v>
      </c>
      <c r="BW50" s="192">
        <f>'P1 Retained'!E49</f>
        <v>81</v>
      </c>
      <c r="BX50" s="192">
        <f>'P1 Retained'!F49</f>
        <v>72</v>
      </c>
      <c r="BY50" s="192">
        <f>'P1 Retained'!G49</f>
        <v>61</v>
      </c>
      <c r="BZ50" s="192">
        <f>'P1 Retained'!H49</f>
        <v>57</v>
      </c>
    </row>
    <row r="51" spans="1:78">
      <c r="A51" s="178" t="s">
        <v>47</v>
      </c>
      <c r="B51" s="190">
        <f>'Catchment Births'!O51</f>
        <v>50</v>
      </c>
      <c r="C51" s="190">
        <f>'Catchment Births'!P51</f>
        <v>52</v>
      </c>
      <c r="D51" s="190">
        <f>'Catchment Births'!Q51</f>
        <v>54</v>
      </c>
      <c r="E51" s="190">
        <f>'Catchment Births'!R51</f>
        <v>45</v>
      </c>
      <c r="F51" s="190">
        <f>'Catchment Births'!S51</f>
        <v>40</v>
      </c>
      <c r="G51" s="190">
        <f>'Catchment Births'!T51</f>
        <v>48</v>
      </c>
      <c r="H51" s="190">
        <f>'Catchment Births'!U51</f>
        <v>28</v>
      </c>
      <c r="I51" s="190">
        <f>'Catchment Births'!V51</f>
        <v>32</v>
      </c>
      <c r="J51" s="195">
        <f>'Catchment Births'!W51</f>
        <v>34</v>
      </c>
      <c r="K51" s="190">
        <f t="shared" si="37"/>
        <v>31.675615626735787</v>
      </c>
      <c r="L51" s="190">
        <f t="shared" si="51"/>
        <v>32.128124421403442</v>
      </c>
      <c r="M51" s="190">
        <f t="shared" si="52"/>
        <v>32.51681787323335</v>
      </c>
      <c r="N51" s="190">
        <f t="shared" si="53"/>
        <v>32.824291797815221</v>
      </c>
      <c r="O51" s="190">
        <f t="shared" si="54"/>
        <v>33.062148984755908</v>
      </c>
      <c r="P51" s="190">
        <f t="shared" si="55"/>
        <v>33.224588039251991</v>
      </c>
      <c r="Q51" s="190">
        <f t="shared" si="56"/>
        <v>33.317410356106897</v>
      </c>
      <c r="R51" s="190">
        <f t="shared" si="57"/>
        <v>33.421835462568666</v>
      </c>
      <c r="S51" s="190">
        <f t="shared" si="58"/>
        <v>33.4276368573721</v>
      </c>
      <c r="T51" s="195">
        <f t="shared" si="59"/>
        <v>33.416034067765239</v>
      </c>
      <c r="U51" s="190">
        <f>'All P1 In Catchment'!G50</f>
        <v>37</v>
      </c>
      <c r="V51" s="190">
        <f>'All P1 In Catchment'!I50</f>
        <v>40</v>
      </c>
      <c r="W51" s="190">
        <f>'All P1 In Catchment'!K50</f>
        <v>52</v>
      </c>
      <c r="X51" s="180">
        <f>'All P1 In Catchment'!M50</f>
        <v>34</v>
      </c>
      <c r="Y51" s="180">
        <f>'All P1 In Catchment'!O50</f>
        <v>29</v>
      </c>
      <c r="Z51" s="191">
        <f t="shared" si="60"/>
        <v>38</v>
      </c>
      <c r="AA51" s="180">
        <f t="shared" si="61"/>
        <v>22</v>
      </c>
      <c r="AB51" s="180">
        <f t="shared" si="76"/>
        <v>25</v>
      </c>
      <c r="AC51" s="180">
        <f t="shared" si="77"/>
        <v>27</v>
      </c>
      <c r="AD51" s="180">
        <f t="shared" si="78"/>
        <v>25</v>
      </c>
      <c r="AE51" s="180">
        <f t="shared" si="79"/>
        <v>25</v>
      </c>
      <c r="AF51" s="180">
        <f t="shared" si="80"/>
        <v>26</v>
      </c>
      <c r="AG51" s="180">
        <f t="shared" si="81"/>
        <v>26</v>
      </c>
      <c r="AH51" s="180">
        <f t="shared" si="82"/>
        <v>26</v>
      </c>
      <c r="AI51" s="180">
        <f t="shared" si="83"/>
        <v>26</v>
      </c>
      <c r="AJ51" s="180">
        <f t="shared" si="84"/>
        <v>26</v>
      </c>
      <c r="AK51" s="180">
        <f t="shared" si="85"/>
        <v>26</v>
      </c>
      <c r="AL51" s="180">
        <f t="shared" si="86"/>
        <v>26</v>
      </c>
      <c r="AM51" s="181">
        <f t="shared" si="87"/>
        <v>26</v>
      </c>
      <c r="AN51" s="180">
        <f>'All P1 In Catchment'!F50</f>
        <v>34</v>
      </c>
      <c r="AO51" s="180">
        <f>'All P1 In Catchment'!H50</f>
        <v>37</v>
      </c>
      <c r="AP51" s="180">
        <f>'All P1 In Catchment'!J50</f>
        <v>51</v>
      </c>
      <c r="AQ51" s="180">
        <f>'All P1 In Catchment'!L50</f>
        <v>33</v>
      </c>
      <c r="AR51" s="181">
        <f>'All P1 In Catchment'!N50</f>
        <v>28</v>
      </c>
      <c r="AS51" s="180">
        <f t="shared" si="62"/>
        <v>37</v>
      </c>
      <c r="AT51" s="180">
        <f t="shared" si="63"/>
        <v>21</v>
      </c>
      <c r="AU51" s="180">
        <f t="shared" si="64"/>
        <v>24</v>
      </c>
      <c r="AV51" s="180">
        <f t="shared" si="65"/>
        <v>26</v>
      </c>
      <c r="AW51" s="180">
        <f t="shared" si="66"/>
        <v>24</v>
      </c>
      <c r="AX51" s="180">
        <f t="shared" si="67"/>
        <v>24</v>
      </c>
      <c r="AY51" s="180">
        <f t="shared" si="68"/>
        <v>25</v>
      </c>
      <c r="AZ51" s="180">
        <f t="shared" si="69"/>
        <v>25</v>
      </c>
      <c r="BA51" s="180">
        <f t="shared" si="70"/>
        <v>25</v>
      </c>
      <c r="BB51" s="180">
        <f t="shared" si="71"/>
        <v>25</v>
      </c>
      <c r="BC51" s="180">
        <f t="shared" si="72"/>
        <v>25</v>
      </c>
      <c r="BD51" s="180">
        <f t="shared" si="73"/>
        <v>25</v>
      </c>
      <c r="BE51" s="180">
        <f t="shared" si="74"/>
        <v>25</v>
      </c>
      <c r="BF51" s="180">
        <f t="shared" si="75"/>
        <v>25</v>
      </c>
      <c r="BG51" s="191">
        <f>AR51+'Housing Generation'!B50</f>
        <v>29</v>
      </c>
      <c r="BH51" s="180">
        <f>AS51+'Housing Generation'!J50</f>
        <v>37</v>
      </c>
      <c r="BI51" s="180">
        <f>AT51+'Housing Generation'!R50</f>
        <v>21</v>
      </c>
      <c r="BJ51" s="180">
        <f>AU51+'Housing Generation'!Z50</f>
        <v>24</v>
      </c>
      <c r="BK51" s="180">
        <f>AV51+'Housing Generation'!AH50</f>
        <v>26</v>
      </c>
      <c r="BL51" s="180">
        <f>AW51+'Housing Generation'!AP50</f>
        <v>24</v>
      </c>
      <c r="BM51" s="180">
        <f>AX51+'Housing Generation'!AX50</f>
        <v>24</v>
      </c>
      <c r="BN51" s="180">
        <f>AY51+'Housing Generation'!BF50</f>
        <v>25</v>
      </c>
      <c r="BO51" s="180">
        <f>AZ51+'Housing Generation'!BN50</f>
        <v>25</v>
      </c>
      <c r="BP51" s="180">
        <f>BA51+'Housing Generation'!BV50</f>
        <v>25</v>
      </c>
      <c r="BQ51" s="180">
        <f>BB51+'Housing Generation'!CD50</f>
        <v>25</v>
      </c>
      <c r="BR51" s="180">
        <f>BC51+'Housing Generation'!CL50</f>
        <v>25</v>
      </c>
      <c r="BS51" s="180">
        <f>BD51+'Housing Generation'!CT50</f>
        <v>25</v>
      </c>
      <c r="BT51" s="180">
        <f>BE51+'Housing Generation'!DB50</f>
        <v>25</v>
      </c>
      <c r="BU51" s="181">
        <f>BF51+'Housing Generation'!DJ50</f>
        <v>25</v>
      </c>
      <c r="BV51" s="180">
        <f>'P1 Retained'!D50</f>
        <v>30</v>
      </c>
      <c r="BW51" s="192">
        <f>'P1 Retained'!E50</f>
        <v>30</v>
      </c>
      <c r="BX51" s="192">
        <f>'P1 Retained'!F50</f>
        <v>46</v>
      </c>
      <c r="BY51" s="192">
        <f>'P1 Retained'!G50</f>
        <v>31</v>
      </c>
      <c r="BZ51" s="192">
        <f>'P1 Retained'!H50</f>
        <v>28</v>
      </c>
    </row>
    <row r="52" spans="1:78">
      <c r="A52" s="178" t="s">
        <v>48</v>
      </c>
      <c r="B52" s="190">
        <f>'Catchment Births'!O52</f>
        <v>78</v>
      </c>
      <c r="C52" s="190">
        <f>'Catchment Births'!P52</f>
        <v>90</v>
      </c>
      <c r="D52" s="190">
        <f>'Catchment Births'!Q52</f>
        <v>101</v>
      </c>
      <c r="E52" s="190">
        <f>'Catchment Births'!R52</f>
        <v>84</v>
      </c>
      <c r="F52" s="190">
        <f>'Catchment Births'!S52</f>
        <v>84</v>
      </c>
      <c r="G52" s="190">
        <f>'Catchment Births'!T52</f>
        <v>95</v>
      </c>
      <c r="H52" s="190">
        <f>'Catchment Births'!U52</f>
        <v>77</v>
      </c>
      <c r="I52" s="190">
        <f>'Catchment Births'!V52</f>
        <v>73</v>
      </c>
      <c r="J52" s="195">
        <f>'Catchment Births'!W52</f>
        <v>65</v>
      </c>
      <c r="K52" s="190">
        <f t="shared" si="37"/>
        <v>72.44954638029995</v>
      </c>
      <c r="L52" s="190">
        <f t="shared" si="51"/>
        <v>73.484539900018518</v>
      </c>
      <c r="M52" s="190">
        <f t="shared" si="52"/>
        <v>74.373572795161394</v>
      </c>
      <c r="N52" s="190">
        <f t="shared" si="53"/>
        <v>75.076837622662481</v>
      </c>
      <c r="O52" s="190">
        <f t="shared" si="54"/>
        <v>75.620872677899172</v>
      </c>
      <c r="P52" s="190">
        <f t="shared" si="55"/>
        <v>75.992408813182763</v>
      </c>
      <c r="Q52" s="190">
        <f t="shared" si="56"/>
        <v>76.204715176201958</v>
      </c>
      <c r="R52" s="190">
        <f t="shared" si="57"/>
        <v>76.443559834598545</v>
      </c>
      <c r="S52" s="190">
        <f t="shared" si="58"/>
        <v>76.456828982287249</v>
      </c>
      <c r="T52" s="195">
        <f t="shared" si="59"/>
        <v>76.430290686909856</v>
      </c>
      <c r="U52" s="190">
        <f>'All P1 In Catchment'!G51</f>
        <v>39</v>
      </c>
      <c r="V52" s="190">
        <f>'All P1 In Catchment'!I51</f>
        <v>37</v>
      </c>
      <c r="W52" s="190">
        <f>'All P1 In Catchment'!K51</f>
        <v>29</v>
      </c>
      <c r="X52" s="180">
        <f>'All P1 In Catchment'!M51</f>
        <v>38</v>
      </c>
      <c r="Y52" s="180">
        <f>'All P1 In Catchment'!O51</f>
        <v>37</v>
      </c>
      <c r="Z52" s="191">
        <f t="shared" si="60"/>
        <v>40</v>
      </c>
      <c r="AA52" s="180">
        <f t="shared" si="61"/>
        <v>32</v>
      </c>
      <c r="AB52" s="180">
        <f t="shared" si="76"/>
        <v>31</v>
      </c>
      <c r="AC52" s="180">
        <f t="shared" si="77"/>
        <v>27</v>
      </c>
      <c r="AD52" s="180">
        <f t="shared" si="78"/>
        <v>30</v>
      </c>
      <c r="AE52" s="180">
        <f t="shared" si="79"/>
        <v>31</v>
      </c>
      <c r="AF52" s="180">
        <f t="shared" si="80"/>
        <v>31</v>
      </c>
      <c r="AG52" s="180">
        <f t="shared" si="81"/>
        <v>31</v>
      </c>
      <c r="AH52" s="180">
        <f t="shared" si="82"/>
        <v>32</v>
      </c>
      <c r="AI52" s="180">
        <f t="shared" si="83"/>
        <v>32</v>
      </c>
      <c r="AJ52" s="180">
        <f t="shared" si="84"/>
        <v>32</v>
      </c>
      <c r="AK52" s="180">
        <f t="shared" si="85"/>
        <v>32</v>
      </c>
      <c r="AL52" s="180">
        <f t="shared" si="86"/>
        <v>32</v>
      </c>
      <c r="AM52" s="181">
        <f t="shared" si="87"/>
        <v>32</v>
      </c>
      <c r="AN52" s="180">
        <f>'All P1 In Catchment'!F51</f>
        <v>30</v>
      </c>
      <c r="AO52" s="180">
        <f>'All P1 In Catchment'!H51</f>
        <v>31</v>
      </c>
      <c r="AP52" s="180">
        <f>'All P1 In Catchment'!J51</f>
        <v>27</v>
      </c>
      <c r="AQ52" s="180">
        <f>'All P1 In Catchment'!L51</f>
        <v>32</v>
      </c>
      <c r="AR52" s="181">
        <f>'All P1 In Catchment'!N51</f>
        <v>33</v>
      </c>
      <c r="AS52" s="180">
        <f t="shared" si="62"/>
        <v>36</v>
      </c>
      <c r="AT52" s="180">
        <f t="shared" si="63"/>
        <v>28</v>
      </c>
      <c r="AU52" s="180">
        <f t="shared" si="64"/>
        <v>28</v>
      </c>
      <c r="AV52" s="180">
        <f t="shared" si="65"/>
        <v>24</v>
      </c>
      <c r="AW52" s="180">
        <f t="shared" si="66"/>
        <v>27</v>
      </c>
      <c r="AX52" s="180">
        <f t="shared" si="67"/>
        <v>28</v>
      </c>
      <c r="AY52" s="180">
        <f t="shared" si="68"/>
        <v>28</v>
      </c>
      <c r="AZ52" s="180">
        <f t="shared" si="69"/>
        <v>28</v>
      </c>
      <c r="BA52" s="180">
        <f t="shared" si="70"/>
        <v>28</v>
      </c>
      <c r="BB52" s="180">
        <f t="shared" si="71"/>
        <v>28</v>
      </c>
      <c r="BC52" s="180">
        <f t="shared" si="72"/>
        <v>28</v>
      </c>
      <c r="BD52" s="180">
        <f t="shared" si="73"/>
        <v>28</v>
      </c>
      <c r="BE52" s="180">
        <f t="shared" si="74"/>
        <v>28</v>
      </c>
      <c r="BF52" s="180">
        <f t="shared" si="75"/>
        <v>28</v>
      </c>
      <c r="BG52" s="191">
        <f>AR52+'Housing Generation'!B51</f>
        <v>33</v>
      </c>
      <c r="BH52" s="180">
        <f>AS52+'Housing Generation'!J51</f>
        <v>36</v>
      </c>
      <c r="BI52" s="180">
        <f>AT52+'Housing Generation'!R51</f>
        <v>28</v>
      </c>
      <c r="BJ52" s="180">
        <f>AU52+'Housing Generation'!Z51</f>
        <v>28</v>
      </c>
      <c r="BK52" s="180">
        <f>AV52+'Housing Generation'!AH51</f>
        <v>24</v>
      </c>
      <c r="BL52" s="180">
        <f>AW52+'Housing Generation'!AP51</f>
        <v>27</v>
      </c>
      <c r="BM52" s="180">
        <f>AX52+'Housing Generation'!AX51</f>
        <v>28</v>
      </c>
      <c r="BN52" s="180">
        <f>AY52+'Housing Generation'!BF51</f>
        <v>28</v>
      </c>
      <c r="BO52" s="180">
        <f>AZ52+'Housing Generation'!BN51</f>
        <v>28</v>
      </c>
      <c r="BP52" s="180">
        <f>BA52+'Housing Generation'!BV51</f>
        <v>28</v>
      </c>
      <c r="BQ52" s="180">
        <f>BB52+'Housing Generation'!CD51</f>
        <v>28</v>
      </c>
      <c r="BR52" s="180">
        <f>BC52+'Housing Generation'!CL51</f>
        <v>28</v>
      </c>
      <c r="BS52" s="180">
        <f>BD52+'Housing Generation'!CT51</f>
        <v>28</v>
      </c>
      <c r="BT52" s="180">
        <f>BE52+'Housing Generation'!DB51</f>
        <v>28</v>
      </c>
      <c r="BU52" s="181">
        <f>BF52+'Housing Generation'!DJ51</f>
        <v>28</v>
      </c>
      <c r="BV52" s="180">
        <f>'P1 Retained'!D51</f>
        <v>20</v>
      </c>
      <c r="BW52" s="192">
        <f>'P1 Retained'!E51</f>
        <v>26</v>
      </c>
      <c r="BX52" s="192">
        <f>'P1 Retained'!F51</f>
        <v>21</v>
      </c>
      <c r="BY52" s="192">
        <f>'P1 Retained'!G51</f>
        <v>22</v>
      </c>
      <c r="BZ52" s="192">
        <f>'P1 Retained'!H51</f>
        <v>26</v>
      </c>
    </row>
    <row r="53" spans="1:78">
      <c r="A53" s="178" t="s">
        <v>49</v>
      </c>
      <c r="B53" s="190">
        <f>'Catchment Births'!O53</f>
        <v>56</v>
      </c>
      <c r="C53" s="190">
        <f>'Catchment Births'!P53</f>
        <v>44</v>
      </c>
      <c r="D53" s="190">
        <f>'Catchment Births'!Q53</f>
        <v>52</v>
      </c>
      <c r="E53" s="190">
        <f>'Catchment Births'!R53</f>
        <v>54</v>
      </c>
      <c r="F53" s="190">
        <f>'Catchment Births'!S53</f>
        <v>55</v>
      </c>
      <c r="G53" s="190">
        <f>'Catchment Births'!T53</f>
        <v>64</v>
      </c>
      <c r="H53" s="190">
        <f>'Catchment Births'!U53</f>
        <v>53</v>
      </c>
      <c r="I53" s="190">
        <f>'Catchment Births'!V53</f>
        <v>38</v>
      </c>
      <c r="J53" s="195">
        <f>'Catchment Births'!W53</f>
        <v>57</v>
      </c>
      <c r="K53" s="190">
        <f t="shared" si="37"/>
        <v>49.872245880392519</v>
      </c>
      <c r="L53" s="190">
        <f t="shared" si="51"/>
        <v>50.584706535826697</v>
      </c>
      <c r="M53" s="190">
        <f t="shared" si="52"/>
        <v>51.196691970622723</v>
      </c>
      <c r="N53" s="190">
        <f t="shared" si="53"/>
        <v>51.680799851879279</v>
      </c>
      <c r="O53" s="190">
        <f t="shared" si="54"/>
        <v>52.055298401530578</v>
      </c>
      <c r="P53" s="190">
        <f t="shared" si="55"/>
        <v>52.311053508609511</v>
      </c>
      <c r="Q53" s="190">
        <f t="shared" si="56"/>
        <v>52.457199284083188</v>
      </c>
      <c r="R53" s="190">
        <f t="shared" si="57"/>
        <v>52.621613281491072</v>
      </c>
      <c r="S53" s="190">
        <f t="shared" si="58"/>
        <v>52.630747392458176</v>
      </c>
      <c r="T53" s="195">
        <f t="shared" si="59"/>
        <v>52.612479170523969</v>
      </c>
      <c r="U53" s="190">
        <f>'All P1 In Catchment'!G52</f>
        <v>60</v>
      </c>
      <c r="V53" s="190">
        <f>'All P1 In Catchment'!I52</f>
        <v>42</v>
      </c>
      <c r="W53" s="190">
        <f>'All P1 In Catchment'!K52</f>
        <v>51</v>
      </c>
      <c r="X53" s="180">
        <f>'All P1 In Catchment'!M52</f>
        <v>48</v>
      </c>
      <c r="Y53" s="180">
        <f>'All P1 In Catchment'!O52</f>
        <v>46</v>
      </c>
      <c r="Z53" s="191">
        <f t="shared" si="60"/>
        <v>61</v>
      </c>
      <c r="AA53" s="180">
        <f t="shared" si="61"/>
        <v>50</v>
      </c>
      <c r="AB53" s="180">
        <f t="shared" si="76"/>
        <v>36</v>
      </c>
      <c r="AC53" s="180">
        <f t="shared" si="77"/>
        <v>54</v>
      </c>
      <c r="AD53" s="180">
        <f t="shared" si="78"/>
        <v>47</v>
      </c>
      <c r="AE53" s="180">
        <f t="shared" si="79"/>
        <v>48</v>
      </c>
      <c r="AF53" s="180">
        <f t="shared" si="80"/>
        <v>48</v>
      </c>
      <c r="AG53" s="180">
        <f t="shared" si="81"/>
        <v>49</v>
      </c>
      <c r="AH53" s="180">
        <f t="shared" si="82"/>
        <v>49</v>
      </c>
      <c r="AI53" s="180">
        <f t="shared" si="83"/>
        <v>50</v>
      </c>
      <c r="AJ53" s="180">
        <f t="shared" si="84"/>
        <v>50</v>
      </c>
      <c r="AK53" s="180">
        <f t="shared" si="85"/>
        <v>50</v>
      </c>
      <c r="AL53" s="180">
        <f t="shared" si="86"/>
        <v>50</v>
      </c>
      <c r="AM53" s="181">
        <f t="shared" si="87"/>
        <v>50</v>
      </c>
      <c r="AN53" s="180">
        <f>'All P1 In Catchment'!F52</f>
        <v>56</v>
      </c>
      <c r="AO53" s="180">
        <f>'All P1 In Catchment'!H52</f>
        <v>38</v>
      </c>
      <c r="AP53" s="180">
        <f>'All P1 In Catchment'!J52</f>
        <v>45</v>
      </c>
      <c r="AQ53" s="180">
        <f>'All P1 In Catchment'!L52</f>
        <v>41</v>
      </c>
      <c r="AR53" s="181">
        <f>'All P1 In Catchment'!N52</f>
        <v>45</v>
      </c>
      <c r="AS53" s="180">
        <f t="shared" si="62"/>
        <v>55</v>
      </c>
      <c r="AT53" s="180">
        <f t="shared" si="63"/>
        <v>45</v>
      </c>
      <c r="AU53" s="180">
        <f t="shared" si="64"/>
        <v>33</v>
      </c>
      <c r="AV53" s="180">
        <f t="shared" si="65"/>
        <v>49</v>
      </c>
      <c r="AW53" s="180">
        <f t="shared" si="66"/>
        <v>43</v>
      </c>
      <c r="AX53" s="180">
        <f t="shared" si="67"/>
        <v>43</v>
      </c>
      <c r="AY53" s="180">
        <f t="shared" si="68"/>
        <v>43</v>
      </c>
      <c r="AZ53" s="180">
        <f t="shared" si="69"/>
        <v>44</v>
      </c>
      <c r="BA53" s="180">
        <f t="shared" si="70"/>
        <v>44</v>
      </c>
      <c r="BB53" s="180">
        <f t="shared" si="71"/>
        <v>45</v>
      </c>
      <c r="BC53" s="180">
        <f t="shared" si="72"/>
        <v>45</v>
      </c>
      <c r="BD53" s="180">
        <f t="shared" si="73"/>
        <v>45</v>
      </c>
      <c r="BE53" s="180">
        <f t="shared" si="74"/>
        <v>45</v>
      </c>
      <c r="BF53" s="180">
        <f t="shared" si="75"/>
        <v>45</v>
      </c>
      <c r="BG53" s="191">
        <f>AR53+'Housing Generation'!B52</f>
        <v>45</v>
      </c>
      <c r="BH53" s="180">
        <f>AS53+'Housing Generation'!J52</f>
        <v>55</v>
      </c>
      <c r="BI53" s="180">
        <f>AT53+'Housing Generation'!R52</f>
        <v>45</v>
      </c>
      <c r="BJ53" s="180">
        <f>AU53+'Housing Generation'!Z52</f>
        <v>33</v>
      </c>
      <c r="BK53" s="180">
        <f>AV53+'Housing Generation'!AH52</f>
        <v>49</v>
      </c>
      <c r="BL53" s="180">
        <f>AW53+'Housing Generation'!AP52</f>
        <v>43</v>
      </c>
      <c r="BM53" s="180">
        <f>AX53+'Housing Generation'!AX52</f>
        <v>43</v>
      </c>
      <c r="BN53" s="180">
        <f>AY53+'Housing Generation'!BF52</f>
        <v>43</v>
      </c>
      <c r="BO53" s="180">
        <f>AZ53+'Housing Generation'!BN52</f>
        <v>44</v>
      </c>
      <c r="BP53" s="180">
        <f>BA53+'Housing Generation'!BV52</f>
        <v>44</v>
      </c>
      <c r="BQ53" s="180">
        <f>BB53+'Housing Generation'!CD52</f>
        <v>45</v>
      </c>
      <c r="BR53" s="180">
        <f>BC53+'Housing Generation'!CL52</f>
        <v>45</v>
      </c>
      <c r="BS53" s="180">
        <f>BD53+'Housing Generation'!CT52</f>
        <v>45</v>
      </c>
      <c r="BT53" s="180">
        <f>BE53+'Housing Generation'!DB52</f>
        <v>45</v>
      </c>
      <c r="BU53" s="181">
        <f>BF53+'Housing Generation'!DJ52</f>
        <v>45</v>
      </c>
      <c r="BV53" s="180">
        <f>'P1 Retained'!D52</f>
        <v>48</v>
      </c>
      <c r="BW53" s="192">
        <f>'P1 Retained'!E52</f>
        <v>33</v>
      </c>
      <c r="BX53" s="192">
        <f>'P1 Retained'!F52</f>
        <v>35</v>
      </c>
      <c r="BY53" s="192">
        <f>'P1 Retained'!G52</f>
        <v>37</v>
      </c>
      <c r="BZ53" s="192">
        <f>'P1 Retained'!H52</f>
        <v>39</v>
      </c>
    </row>
    <row r="54" spans="1:78">
      <c r="A54" s="178" t="s">
        <v>50</v>
      </c>
      <c r="B54" s="190">
        <f>'Catchment Births'!O54</f>
        <v>9</v>
      </c>
      <c r="C54" s="190">
        <f>'Catchment Births'!P54</f>
        <v>8</v>
      </c>
      <c r="D54" s="190">
        <f>'Catchment Births'!Q54</f>
        <v>9</v>
      </c>
      <c r="E54" s="190">
        <f>'Catchment Births'!R54</f>
        <v>8</v>
      </c>
      <c r="F54" s="190">
        <f>'Catchment Births'!S54</f>
        <v>9</v>
      </c>
      <c r="G54" s="190">
        <f>'Catchment Births'!T54</f>
        <v>11</v>
      </c>
      <c r="H54" s="190">
        <f>'Catchment Births'!U54</f>
        <v>9</v>
      </c>
      <c r="I54" s="190">
        <f>'Catchment Births'!V54</f>
        <v>9</v>
      </c>
      <c r="J54" s="195">
        <f>'Catchment Births'!W54</f>
        <v>13</v>
      </c>
      <c r="K54" s="190">
        <f t="shared" si="37"/>
        <v>10.446213664136272</v>
      </c>
      <c r="L54" s="190">
        <f t="shared" si="51"/>
        <v>10.595445287909646</v>
      </c>
      <c r="M54" s="190">
        <f t="shared" si="52"/>
        <v>10.723631426279084</v>
      </c>
      <c r="N54" s="190">
        <f t="shared" si="53"/>
        <v>10.825032401407148</v>
      </c>
      <c r="O54" s="190">
        <f t="shared" si="54"/>
        <v>10.90347466518546</v>
      </c>
      <c r="P54" s="190">
        <f t="shared" si="55"/>
        <v>10.95704499166821</v>
      </c>
      <c r="Q54" s="190">
        <f t="shared" si="56"/>
        <v>10.987656606801211</v>
      </c>
      <c r="R54" s="190">
        <f t="shared" si="57"/>
        <v>11.022094673825837</v>
      </c>
      <c r="S54" s="190">
        <f t="shared" si="58"/>
        <v>11.02400789977165</v>
      </c>
      <c r="T54" s="195">
        <f t="shared" si="59"/>
        <v>11.020181447880026</v>
      </c>
      <c r="U54" s="190">
        <f>'All P1 In Catchment'!G53</f>
        <v>19</v>
      </c>
      <c r="V54" s="190">
        <f>'All P1 In Catchment'!I53</f>
        <v>6</v>
      </c>
      <c r="W54" s="190">
        <f>'All P1 In Catchment'!K53</f>
        <v>17</v>
      </c>
      <c r="X54" s="180">
        <f>'All P1 In Catchment'!M53</f>
        <v>11</v>
      </c>
      <c r="Y54" s="180">
        <f>'All P1 In Catchment'!O53</f>
        <v>19</v>
      </c>
      <c r="Z54" s="191">
        <f t="shared" si="60"/>
        <v>18</v>
      </c>
      <c r="AA54" s="180">
        <f t="shared" si="61"/>
        <v>15</v>
      </c>
      <c r="AB54" s="180">
        <f t="shared" si="76"/>
        <v>15</v>
      </c>
      <c r="AC54" s="180">
        <f t="shared" si="77"/>
        <v>21</v>
      </c>
      <c r="AD54" s="180">
        <f t="shared" si="78"/>
        <v>17</v>
      </c>
      <c r="AE54" s="180">
        <f t="shared" si="79"/>
        <v>17</v>
      </c>
      <c r="AF54" s="180">
        <f t="shared" si="80"/>
        <v>18</v>
      </c>
      <c r="AG54" s="180">
        <f t="shared" si="81"/>
        <v>18</v>
      </c>
      <c r="AH54" s="180">
        <f t="shared" si="82"/>
        <v>18</v>
      </c>
      <c r="AI54" s="180">
        <f t="shared" si="83"/>
        <v>18</v>
      </c>
      <c r="AJ54" s="180">
        <f t="shared" si="84"/>
        <v>18</v>
      </c>
      <c r="AK54" s="180">
        <f t="shared" si="85"/>
        <v>18</v>
      </c>
      <c r="AL54" s="180">
        <f t="shared" si="86"/>
        <v>18</v>
      </c>
      <c r="AM54" s="181">
        <f t="shared" si="87"/>
        <v>18</v>
      </c>
      <c r="AN54" s="180">
        <f>'All P1 In Catchment'!F53</f>
        <v>19</v>
      </c>
      <c r="AO54" s="180">
        <f>'All P1 In Catchment'!H53</f>
        <v>6</v>
      </c>
      <c r="AP54" s="180">
        <f>'All P1 In Catchment'!J53</f>
        <v>17</v>
      </c>
      <c r="AQ54" s="180">
        <f>'All P1 In Catchment'!L53</f>
        <v>11</v>
      </c>
      <c r="AR54" s="181">
        <f>'All P1 In Catchment'!N53</f>
        <v>19</v>
      </c>
      <c r="AS54" s="180">
        <f t="shared" si="62"/>
        <v>18</v>
      </c>
      <c r="AT54" s="180">
        <f t="shared" si="63"/>
        <v>15</v>
      </c>
      <c r="AU54" s="180">
        <f t="shared" si="64"/>
        <v>15</v>
      </c>
      <c r="AV54" s="180">
        <f t="shared" si="65"/>
        <v>21</v>
      </c>
      <c r="AW54" s="180">
        <f t="shared" si="66"/>
        <v>17</v>
      </c>
      <c r="AX54" s="180">
        <f t="shared" si="67"/>
        <v>17</v>
      </c>
      <c r="AY54" s="180">
        <f t="shared" si="68"/>
        <v>18</v>
      </c>
      <c r="AZ54" s="180">
        <f t="shared" si="69"/>
        <v>18</v>
      </c>
      <c r="BA54" s="180">
        <f t="shared" si="70"/>
        <v>18</v>
      </c>
      <c r="BB54" s="180">
        <f t="shared" si="71"/>
        <v>18</v>
      </c>
      <c r="BC54" s="180">
        <f t="shared" si="72"/>
        <v>18</v>
      </c>
      <c r="BD54" s="180">
        <f t="shared" si="73"/>
        <v>18</v>
      </c>
      <c r="BE54" s="180">
        <f t="shared" si="74"/>
        <v>18</v>
      </c>
      <c r="BF54" s="180">
        <f t="shared" si="75"/>
        <v>18</v>
      </c>
      <c r="BG54" s="191">
        <f>AR54+'Housing Generation'!B53</f>
        <v>19</v>
      </c>
      <c r="BH54" s="180">
        <f>AS54+'Housing Generation'!J53</f>
        <v>18</v>
      </c>
      <c r="BI54" s="180">
        <f>AT54+'Housing Generation'!R53</f>
        <v>15</v>
      </c>
      <c r="BJ54" s="180">
        <f>AU54+'Housing Generation'!Z53</f>
        <v>15</v>
      </c>
      <c r="BK54" s="180">
        <f>AV54+'Housing Generation'!AH53</f>
        <v>21</v>
      </c>
      <c r="BL54" s="180">
        <f>AW54+'Housing Generation'!AP53</f>
        <v>17</v>
      </c>
      <c r="BM54" s="180">
        <f>AX54+'Housing Generation'!AX53</f>
        <v>17</v>
      </c>
      <c r="BN54" s="180">
        <f>AY54+'Housing Generation'!BF53</f>
        <v>18</v>
      </c>
      <c r="BO54" s="180">
        <f>AZ54+'Housing Generation'!BN53</f>
        <v>18</v>
      </c>
      <c r="BP54" s="180">
        <f>BA54+'Housing Generation'!BV53</f>
        <v>18</v>
      </c>
      <c r="BQ54" s="180">
        <f>BB54+'Housing Generation'!CD53</f>
        <v>18</v>
      </c>
      <c r="BR54" s="180">
        <f>BC54+'Housing Generation'!CL53</f>
        <v>18</v>
      </c>
      <c r="BS54" s="180">
        <f>BD54+'Housing Generation'!CT53</f>
        <v>18</v>
      </c>
      <c r="BT54" s="180">
        <f>BE54+'Housing Generation'!DB53</f>
        <v>18</v>
      </c>
      <c r="BU54" s="181">
        <f>BF54+'Housing Generation'!DJ53</f>
        <v>18</v>
      </c>
      <c r="BV54" s="180">
        <f>'P1 Retained'!D53</f>
        <v>18</v>
      </c>
      <c r="BW54" s="192">
        <f>'P1 Retained'!E53</f>
        <v>6</v>
      </c>
      <c r="BX54" s="192">
        <f>'P1 Retained'!F53</f>
        <v>17</v>
      </c>
      <c r="BY54" s="192">
        <f>'P1 Retained'!G53</f>
        <v>11</v>
      </c>
      <c r="BZ54" s="192">
        <f>'P1 Retained'!H53</f>
        <v>18</v>
      </c>
    </row>
    <row r="55" spans="1:78">
      <c r="A55" s="178" t="s">
        <v>51</v>
      </c>
      <c r="B55" s="190">
        <f>'Catchment Births'!O55</f>
        <v>20</v>
      </c>
      <c r="C55" s="190">
        <f>'Catchment Births'!P55</f>
        <v>19</v>
      </c>
      <c r="D55" s="190">
        <f>'Catchment Births'!Q55</f>
        <v>14</v>
      </c>
      <c r="E55" s="190">
        <f>'Catchment Births'!R55</f>
        <v>14</v>
      </c>
      <c r="F55" s="190">
        <f>'Catchment Births'!S55</f>
        <v>14</v>
      </c>
      <c r="G55" s="190">
        <f>'Catchment Births'!T55</f>
        <v>9</v>
      </c>
      <c r="H55" s="190">
        <f>'Catchment Births'!U55</f>
        <v>20</v>
      </c>
      <c r="I55" s="190">
        <f>'Catchment Births'!V55</f>
        <v>14</v>
      </c>
      <c r="J55" s="195">
        <f>'Catchment Births'!W55</f>
        <v>21</v>
      </c>
      <c r="K55" s="190">
        <f t="shared" si="37"/>
        <v>18.533604887983707</v>
      </c>
      <c r="L55" s="190">
        <f>K55+($L$2*K55)</f>
        <v>18.798370672097761</v>
      </c>
      <c r="M55" s="190">
        <f t="shared" si="52"/>
        <v>19.025797691785474</v>
      </c>
      <c r="N55" s="190">
        <f t="shared" si="53"/>
        <v>19.205702647657844</v>
      </c>
      <c r="O55" s="190">
        <f t="shared" si="54"/>
        <v>19.344874405974206</v>
      </c>
      <c r="P55" s="190">
        <f t="shared" si="55"/>
        <v>19.439918533604892</v>
      </c>
      <c r="Q55" s="190">
        <f t="shared" si="56"/>
        <v>19.49422946367957</v>
      </c>
      <c r="R55" s="190">
        <f t="shared" si="57"/>
        <v>19.555329260013583</v>
      </c>
      <c r="S55" s="190">
        <f t="shared" si="58"/>
        <v>19.55872369314325</v>
      </c>
      <c r="T55" s="195">
        <f t="shared" si="59"/>
        <v>19.551934826883915</v>
      </c>
      <c r="U55" s="190">
        <f>'All P1 In Catchment'!G54</f>
        <v>19</v>
      </c>
      <c r="V55" s="190">
        <f>'All P1 In Catchment'!I54</f>
        <v>17</v>
      </c>
      <c r="W55" s="190">
        <f>'All P1 In Catchment'!K54</f>
        <v>10</v>
      </c>
      <c r="X55" s="180">
        <f>'All P1 In Catchment'!M54</f>
        <v>20</v>
      </c>
      <c r="Y55" s="180">
        <f>'All P1 In Catchment'!O54</f>
        <v>17</v>
      </c>
      <c r="Z55" s="191">
        <f t="shared" si="60"/>
        <v>9</v>
      </c>
      <c r="AA55" s="180">
        <f t="shared" si="61"/>
        <v>21</v>
      </c>
      <c r="AB55" s="180">
        <f t="shared" si="76"/>
        <v>15</v>
      </c>
      <c r="AC55" s="180">
        <f t="shared" si="77"/>
        <v>22</v>
      </c>
      <c r="AD55" s="180">
        <f t="shared" si="78"/>
        <v>19</v>
      </c>
      <c r="AE55" s="180">
        <f t="shared" si="79"/>
        <v>20</v>
      </c>
      <c r="AF55" s="180">
        <f t="shared" si="80"/>
        <v>20</v>
      </c>
      <c r="AG55" s="180">
        <f t="shared" si="81"/>
        <v>20</v>
      </c>
      <c r="AH55" s="180">
        <f t="shared" si="82"/>
        <v>20</v>
      </c>
      <c r="AI55" s="180">
        <f t="shared" si="83"/>
        <v>20</v>
      </c>
      <c r="AJ55" s="180">
        <f t="shared" si="84"/>
        <v>20</v>
      </c>
      <c r="AK55" s="180">
        <f t="shared" si="85"/>
        <v>20</v>
      </c>
      <c r="AL55" s="180">
        <f t="shared" si="86"/>
        <v>20</v>
      </c>
      <c r="AM55" s="181">
        <f t="shared" si="87"/>
        <v>20</v>
      </c>
      <c r="AN55" s="180">
        <f>'All P1 In Catchment'!F54</f>
        <v>15</v>
      </c>
      <c r="AO55" s="180">
        <f>'All P1 In Catchment'!H54</f>
        <v>13</v>
      </c>
      <c r="AP55" s="180">
        <f>'All P1 In Catchment'!J54</f>
        <v>8</v>
      </c>
      <c r="AQ55" s="180">
        <f>'All P1 In Catchment'!L54</f>
        <v>15</v>
      </c>
      <c r="AR55" s="181">
        <f>'All P1 In Catchment'!N54</f>
        <v>14</v>
      </c>
      <c r="AS55" s="180">
        <f t="shared" si="62"/>
        <v>7</v>
      </c>
      <c r="AT55" s="180">
        <f t="shared" si="63"/>
        <v>17</v>
      </c>
      <c r="AU55" s="180">
        <f t="shared" si="64"/>
        <v>12</v>
      </c>
      <c r="AV55" s="180">
        <f t="shared" si="65"/>
        <v>17</v>
      </c>
      <c r="AW55" s="180">
        <f t="shared" si="66"/>
        <v>15</v>
      </c>
      <c r="AX55" s="180">
        <f t="shared" si="67"/>
        <v>16</v>
      </c>
      <c r="AY55" s="180">
        <f t="shared" si="68"/>
        <v>16</v>
      </c>
      <c r="AZ55" s="180">
        <f t="shared" si="69"/>
        <v>16</v>
      </c>
      <c r="BA55" s="180">
        <f t="shared" si="70"/>
        <v>16</v>
      </c>
      <c r="BB55" s="180">
        <f t="shared" si="71"/>
        <v>16</v>
      </c>
      <c r="BC55" s="180">
        <f t="shared" si="72"/>
        <v>16</v>
      </c>
      <c r="BD55" s="180">
        <f t="shared" si="73"/>
        <v>16</v>
      </c>
      <c r="BE55" s="180">
        <f t="shared" si="74"/>
        <v>16</v>
      </c>
      <c r="BF55" s="180">
        <f t="shared" si="75"/>
        <v>16</v>
      </c>
      <c r="BG55" s="191">
        <f>AR55+'Housing Generation'!B54</f>
        <v>16</v>
      </c>
      <c r="BH55" s="180">
        <f>AS55+'Housing Generation'!J54</f>
        <v>11</v>
      </c>
      <c r="BI55" s="180">
        <f>AT55+'Housing Generation'!R54</f>
        <v>24</v>
      </c>
      <c r="BJ55" s="180">
        <f>AU55+'Housing Generation'!Z54</f>
        <v>21</v>
      </c>
      <c r="BK55" s="180">
        <f>AV55+'Housing Generation'!AH54</f>
        <v>28</v>
      </c>
      <c r="BL55" s="180">
        <f>AW55+'Housing Generation'!AP54</f>
        <v>31</v>
      </c>
      <c r="BM55" s="180">
        <f>AX55+'Housing Generation'!AX54</f>
        <v>37</v>
      </c>
      <c r="BN55" s="180">
        <f>AY55+'Housing Generation'!BF54</f>
        <v>41</v>
      </c>
      <c r="BO55" s="180">
        <f>AZ55+'Housing Generation'!BN54</f>
        <v>46</v>
      </c>
      <c r="BP55" s="180">
        <f>BA55+'Housing Generation'!BV54</f>
        <v>50</v>
      </c>
      <c r="BQ55" s="180">
        <f>BB55+'Housing Generation'!CD54</f>
        <v>55</v>
      </c>
      <c r="BR55" s="180">
        <f>BC55+'Housing Generation'!CL54</f>
        <v>58</v>
      </c>
      <c r="BS55" s="180">
        <f>BD55+'Housing Generation'!CT54</f>
        <v>61</v>
      </c>
      <c r="BT55" s="180">
        <f>BE55+'Housing Generation'!DB54</f>
        <v>65</v>
      </c>
      <c r="BU55" s="181">
        <f>BF55+'Housing Generation'!DJ54</f>
        <v>68</v>
      </c>
      <c r="BV55" s="180">
        <f>'P1 Retained'!D54</f>
        <v>13</v>
      </c>
      <c r="BW55" s="192">
        <f>'P1 Retained'!E54</f>
        <v>10</v>
      </c>
      <c r="BX55" s="192">
        <f>'P1 Retained'!F54</f>
        <v>7</v>
      </c>
      <c r="BY55" s="192">
        <f>'P1 Retained'!G54</f>
        <v>15</v>
      </c>
      <c r="BZ55" s="192">
        <f>'P1 Retained'!H54</f>
        <v>11</v>
      </c>
    </row>
    <row r="56" spans="1:78">
      <c r="A56" s="178" t="s">
        <v>52</v>
      </c>
      <c r="B56" s="190">
        <f>'Catchment Births'!O56</f>
        <v>112</v>
      </c>
      <c r="C56" s="190">
        <f>'Catchment Births'!P56</f>
        <v>99</v>
      </c>
      <c r="D56" s="190">
        <f>'Catchment Births'!Q56</f>
        <v>102</v>
      </c>
      <c r="E56" s="190">
        <f>'Catchment Births'!R56</f>
        <v>104</v>
      </c>
      <c r="F56" s="190">
        <f>'Catchment Births'!S56</f>
        <v>126</v>
      </c>
      <c r="G56" s="190">
        <f>'Catchment Births'!T56</f>
        <v>114</v>
      </c>
      <c r="H56" s="190">
        <f>'Catchment Births'!U56</f>
        <v>103</v>
      </c>
      <c r="I56" s="190">
        <f>'Catchment Births'!V56</f>
        <v>106</v>
      </c>
      <c r="J56" s="195">
        <f>'Catchment Births'!W56</f>
        <v>131</v>
      </c>
      <c r="K56" s="190">
        <f t="shared" si="37"/>
        <v>114.57137567117201</v>
      </c>
      <c r="L56" s="190">
        <f t="shared" si="51"/>
        <v>116.2081096093316</v>
      </c>
      <c r="M56" s="190">
        <f t="shared" si="52"/>
        <v>117.61402209467383</v>
      </c>
      <c r="N56" s="190">
        <f t="shared" si="53"/>
        <v>118.72616182188484</v>
      </c>
      <c r="O56" s="190">
        <f t="shared" si="54"/>
        <v>119.58649632784054</v>
      </c>
      <c r="P56" s="190">
        <f t="shared" si="55"/>
        <v>120.17404184410296</v>
      </c>
      <c r="Q56" s="190">
        <f t="shared" si="56"/>
        <v>120.50978213911006</v>
      </c>
      <c r="R56" s="190">
        <f t="shared" si="57"/>
        <v>120.88748997099304</v>
      </c>
      <c r="S56" s="190">
        <f t="shared" si="58"/>
        <v>120.90847373943099</v>
      </c>
      <c r="T56" s="195">
        <f t="shared" si="59"/>
        <v>120.8665062025551</v>
      </c>
      <c r="U56" s="190">
        <f>'All P1 In Catchment'!G55</f>
        <v>100</v>
      </c>
      <c r="V56" s="190">
        <f>'All P1 In Catchment'!I55</f>
        <v>85</v>
      </c>
      <c r="W56" s="190">
        <f>'All P1 In Catchment'!K55</f>
        <v>94</v>
      </c>
      <c r="X56" s="180">
        <f>'All P1 In Catchment'!M55</f>
        <v>96</v>
      </c>
      <c r="Y56" s="180">
        <f>'All P1 In Catchment'!O55</f>
        <v>108</v>
      </c>
      <c r="Z56" s="191">
        <f t="shared" si="60"/>
        <v>102</v>
      </c>
      <c r="AA56" s="180">
        <f t="shared" si="61"/>
        <v>92</v>
      </c>
      <c r="AB56" s="180">
        <f t="shared" si="76"/>
        <v>94</v>
      </c>
      <c r="AC56" s="180">
        <f t="shared" si="77"/>
        <v>117</v>
      </c>
      <c r="AD56" s="180">
        <f t="shared" si="78"/>
        <v>102</v>
      </c>
      <c r="AE56" s="180">
        <f t="shared" si="79"/>
        <v>104</v>
      </c>
      <c r="AF56" s="180">
        <f t="shared" si="80"/>
        <v>105</v>
      </c>
      <c r="AG56" s="180">
        <f t="shared" si="81"/>
        <v>106</v>
      </c>
      <c r="AH56" s="180">
        <f t="shared" si="82"/>
        <v>107</v>
      </c>
      <c r="AI56" s="180">
        <f t="shared" si="83"/>
        <v>107</v>
      </c>
      <c r="AJ56" s="180">
        <f t="shared" si="84"/>
        <v>107</v>
      </c>
      <c r="AK56" s="180">
        <f t="shared" si="85"/>
        <v>108</v>
      </c>
      <c r="AL56" s="180">
        <f t="shared" si="86"/>
        <v>108</v>
      </c>
      <c r="AM56" s="181">
        <f t="shared" si="87"/>
        <v>108</v>
      </c>
      <c r="AN56" s="180">
        <f>'All P1 In Catchment'!F55</f>
        <v>72</v>
      </c>
      <c r="AO56" s="180">
        <f>'All P1 In Catchment'!H55</f>
        <v>62</v>
      </c>
      <c r="AP56" s="180">
        <f>'All P1 In Catchment'!J55</f>
        <v>68</v>
      </c>
      <c r="AQ56" s="180">
        <f>'All P1 In Catchment'!L55</f>
        <v>63</v>
      </c>
      <c r="AR56" s="181">
        <f>'All P1 In Catchment'!N55</f>
        <v>64</v>
      </c>
      <c r="AS56" s="180">
        <f t="shared" si="62"/>
        <v>67</v>
      </c>
      <c r="AT56" s="180">
        <f t="shared" si="63"/>
        <v>60</v>
      </c>
      <c r="AU56" s="180">
        <f t="shared" si="64"/>
        <v>62</v>
      </c>
      <c r="AV56" s="180">
        <f t="shared" si="65"/>
        <v>77</v>
      </c>
      <c r="AW56" s="180">
        <f t="shared" si="66"/>
        <v>67</v>
      </c>
      <c r="AX56" s="180">
        <f t="shared" si="67"/>
        <v>68</v>
      </c>
      <c r="AY56" s="180">
        <f t="shared" si="68"/>
        <v>69</v>
      </c>
      <c r="AZ56" s="180">
        <f t="shared" si="69"/>
        <v>70</v>
      </c>
      <c r="BA56" s="180">
        <f t="shared" si="70"/>
        <v>70</v>
      </c>
      <c r="BB56" s="180">
        <f t="shared" si="71"/>
        <v>70</v>
      </c>
      <c r="BC56" s="180">
        <f t="shared" si="72"/>
        <v>70</v>
      </c>
      <c r="BD56" s="180">
        <f t="shared" si="73"/>
        <v>71</v>
      </c>
      <c r="BE56" s="180">
        <f t="shared" si="74"/>
        <v>71</v>
      </c>
      <c r="BF56" s="180">
        <f t="shared" si="75"/>
        <v>71</v>
      </c>
      <c r="BG56" s="191">
        <f>AR56+'Housing Generation'!B55</f>
        <v>66</v>
      </c>
      <c r="BH56" s="180">
        <f>AS56+'Housing Generation'!J55</f>
        <v>71</v>
      </c>
      <c r="BI56" s="180">
        <f>AT56+'Housing Generation'!R55</f>
        <v>67</v>
      </c>
      <c r="BJ56" s="180">
        <f>AU56+'Housing Generation'!Z55</f>
        <v>70</v>
      </c>
      <c r="BK56" s="180">
        <f>AV56+'Housing Generation'!AH55</f>
        <v>86</v>
      </c>
      <c r="BL56" s="180">
        <f>AW56+'Housing Generation'!AP55</f>
        <v>76</v>
      </c>
      <c r="BM56" s="180">
        <f>AX56+'Housing Generation'!AX55</f>
        <v>77</v>
      </c>
      <c r="BN56" s="180">
        <f>AY56+'Housing Generation'!BF55</f>
        <v>78</v>
      </c>
      <c r="BO56" s="180">
        <f>AZ56+'Housing Generation'!BN55</f>
        <v>79</v>
      </c>
      <c r="BP56" s="180">
        <f>BA56+'Housing Generation'!BV55</f>
        <v>79</v>
      </c>
      <c r="BQ56" s="180">
        <f>BB56+'Housing Generation'!CD55</f>
        <v>79</v>
      </c>
      <c r="BR56" s="180">
        <f>BC56+'Housing Generation'!CL55</f>
        <v>79</v>
      </c>
      <c r="BS56" s="180">
        <f>BD56+'Housing Generation'!CT55</f>
        <v>80</v>
      </c>
      <c r="BT56" s="180">
        <f>BE56+'Housing Generation'!DB55</f>
        <v>80</v>
      </c>
      <c r="BU56" s="181">
        <f>BF56+'Housing Generation'!DJ55</f>
        <v>80</v>
      </c>
      <c r="BV56" s="180">
        <f>'P1 Retained'!D55</f>
        <v>40</v>
      </c>
      <c r="BW56" s="192">
        <f>'P1 Retained'!E55</f>
        <v>30</v>
      </c>
      <c r="BX56" s="192">
        <f>'P1 Retained'!F55</f>
        <v>42</v>
      </c>
      <c r="BY56" s="192">
        <f>'P1 Retained'!G55</f>
        <v>33</v>
      </c>
      <c r="BZ56" s="192">
        <f>'P1 Retained'!H55</f>
        <v>38</v>
      </c>
    </row>
    <row r="57" spans="1:78">
      <c r="A57" s="178" t="s">
        <v>53</v>
      </c>
      <c r="B57" s="190">
        <f>'Catchment Births'!O57</f>
        <v>91</v>
      </c>
      <c r="C57" s="190">
        <f>'Catchment Births'!P57</f>
        <v>107</v>
      </c>
      <c r="D57" s="190">
        <f>'Catchment Births'!Q57</f>
        <v>89</v>
      </c>
      <c r="E57" s="190">
        <f>'Catchment Births'!R57</f>
        <v>104</v>
      </c>
      <c r="F57" s="190">
        <f>'Catchment Births'!S57</f>
        <v>76</v>
      </c>
      <c r="G57" s="190">
        <f>'Catchment Births'!T57</f>
        <v>86</v>
      </c>
      <c r="H57" s="190">
        <f>'Catchment Births'!U57</f>
        <v>85</v>
      </c>
      <c r="I57" s="190">
        <f>'Catchment Births'!V57</f>
        <v>94</v>
      </c>
      <c r="J57" s="195">
        <f>'Catchment Births'!W57</f>
        <v>76</v>
      </c>
      <c r="K57" s="190">
        <f t="shared" si="37"/>
        <v>85.928531753379005</v>
      </c>
      <c r="L57" s="190">
        <f t="shared" si="51"/>
        <v>87.156082206998704</v>
      </c>
      <c r="M57" s="190">
        <f t="shared" si="52"/>
        <v>88.210516571005371</v>
      </c>
      <c r="N57" s="190">
        <f t="shared" si="53"/>
        <v>89.044621366413622</v>
      </c>
      <c r="O57" s="190">
        <f t="shared" si="54"/>
        <v>89.689872245880395</v>
      </c>
      <c r="P57" s="190">
        <f t="shared" si="55"/>
        <v>90.130531383077212</v>
      </c>
      <c r="Q57" s="190">
        <f t="shared" si="56"/>
        <v>90.382336604332536</v>
      </c>
      <c r="R57" s="190">
        <f t="shared" si="57"/>
        <v>90.665617478244769</v>
      </c>
      <c r="S57" s="190">
        <f t="shared" si="58"/>
        <v>90.681355304573231</v>
      </c>
      <c r="T57" s="195">
        <f t="shared" si="59"/>
        <v>90.649879651916322</v>
      </c>
      <c r="U57" s="190">
        <f>'All P1 In Catchment'!G56</f>
        <v>78</v>
      </c>
      <c r="V57" s="190">
        <f>'All P1 In Catchment'!I56</f>
        <v>79</v>
      </c>
      <c r="W57" s="190">
        <f>'All P1 In Catchment'!K56</f>
        <v>68</v>
      </c>
      <c r="X57" s="180">
        <f>'All P1 In Catchment'!M56</f>
        <v>71</v>
      </c>
      <c r="Y57" s="180">
        <f>'All P1 In Catchment'!O56</f>
        <v>65</v>
      </c>
      <c r="Z57" s="191">
        <f t="shared" si="60"/>
        <v>67</v>
      </c>
      <c r="AA57" s="180">
        <f t="shared" si="61"/>
        <v>66</v>
      </c>
      <c r="AB57" s="180">
        <f t="shared" si="76"/>
        <v>73</v>
      </c>
      <c r="AC57" s="180">
        <f t="shared" si="77"/>
        <v>59</v>
      </c>
      <c r="AD57" s="180">
        <f t="shared" si="78"/>
        <v>67</v>
      </c>
      <c r="AE57" s="180">
        <f t="shared" si="79"/>
        <v>68</v>
      </c>
      <c r="AF57" s="180">
        <f t="shared" si="80"/>
        <v>69</v>
      </c>
      <c r="AG57" s="180">
        <f t="shared" si="81"/>
        <v>69</v>
      </c>
      <c r="AH57" s="180">
        <f t="shared" si="82"/>
        <v>70</v>
      </c>
      <c r="AI57" s="180">
        <f t="shared" si="83"/>
        <v>70</v>
      </c>
      <c r="AJ57" s="180">
        <f t="shared" si="84"/>
        <v>70</v>
      </c>
      <c r="AK57" s="180">
        <f t="shared" si="85"/>
        <v>71</v>
      </c>
      <c r="AL57" s="180">
        <f t="shared" si="86"/>
        <v>71</v>
      </c>
      <c r="AM57" s="181">
        <f t="shared" si="87"/>
        <v>71</v>
      </c>
      <c r="AN57" s="180">
        <f>'All P1 In Catchment'!F56</f>
        <v>64</v>
      </c>
      <c r="AO57" s="180">
        <f>'All P1 In Catchment'!H56</f>
        <v>65</v>
      </c>
      <c r="AP57" s="180">
        <f>'All P1 In Catchment'!J56</f>
        <v>59</v>
      </c>
      <c r="AQ57" s="180">
        <f>'All P1 In Catchment'!L56</f>
        <v>60</v>
      </c>
      <c r="AR57" s="181">
        <f>'All P1 In Catchment'!N56</f>
        <v>56</v>
      </c>
      <c r="AS57" s="180">
        <f t="shared" si="62"/>
        <v>57</v>
      </c>
      <c r="AT57" s="180">
        <f t="shared" si="63"/>
        <v>57</v>
      </c>
      <c r="AU57" s="180">
        <f t="shared" si="64"/>
        <v>63</v>
      </c>
      <c r="AV57" s="180">
        <f t="shared" si="65"/>
        <v>51</v>
      </c>
      <c r="AW57" s="180">
        <f t="shared" si="66"/>
        <v>57</v>
      </c>
      <c r="AX57" s="180">
        <f t="shared" si="67"/>
        <v>58</v>
      </c>
      <c r="AY57" s="180">
        <f t="shared" si="68"/>
        <v>59</v>
      </c>
      <c r="AZ57" s="180">
        <f t="shared" si="69"/>
        <v>59</v>
      </c>
      <c r="BA57" s="180">
        <f t="shared" si="70"/>
        <v>60</v>
      </c>
      <c r="BB57" s="180">
        <f t="shared" si="71"/>
        <v>60</v>
      </c>
      <c r="BC57" s="180">
        <f t="shared" si="72"/>
        <v>60</v>
      </c>
      <c r="BD57" s="180">
        <f t="shared" si="73"/>
        <v>61</v>
      </c>
      <c r="BE57" s="180">
        <f t="shared" si="74"/>
        <v>61</v>
      </c>
      <c r="BF57" s="180">
        <f t="shared" si="75"/>
        <v>61</v>
      </c>
      <c r="BG57" s="191">
        <f>AR57+'Housing Generation'!B56</f>
        <v>56</v>
      </c>
      <c r="BH57" s="180">
        <f>AS57+'Housing Generation'!J56</f>
        <v>57</v>
      </c>
      <c r="BI57" s="180">
        <f>AT57+'Housing Generation'!R56</f>
        <v>58</v>
      </c>
      <c r="BJ57" s="180">
        <f>AU57+'Housing Generation'!Z56</f>
        <v>64</v>
      </c>
      <c r="BK57" s="180">
        <f>AV57+'Housing Generation'!AH56</f>
        <v>52</v>
      </c>
      <c r="BL57" s="180">
        <f>AW57+'Housing Generation'!AP56</f>
        <v>58</v>
      </c>
      <c r="BM57" s="180">
        <f>AX57+'Housing Generation'!AX56</f>
        <v>59</v>
      </c>
      <c r="BN57" s="180">
        <f>AY57+'Housing Generation'!BF56</f>
        <v>60</v>
      </c>
      <c r="BO57" s="180">
        <f>AZ57+'Housing Generation'!BN56</f>
        <v>60</v>
      </c>
      <c r="BP57" s="180">
        <f>BA57+'Housing Generation'!BV56</f>
        <v>61</v>
      </c>
      <c r="BQ57" s="180">
        <f>BB57+'Housing Generation'!CD56</f>
        <v>61</v>
      </c>
      <c r="BR57" s="180">
        <f>BC57+'Housing Generation'!CL56</f>
        <v>61</v>
      </c>
      <c r="BS57" s="180">
        <f>BD57+'Housing Generation'!CT56</f>
        <v>62</v>
      </c>
      <c r="BT57" s="180">
        <f>BE57+'Housing Generation'!DB56</f>
        <v>62</v>
      </c>
      <c r="BU57" s="181">
        <f>BF57+'Housing Generation'!DJ56</f>
        <v>62</v>
      </c>
      <c r="BV57" s="180">
        <f>'P1 Retained'!D56</f>
        <v>50</v>
      </c>
      <c r="BW57" s="192">
        <f>'P1 Retained'!E56</f>
        <v>55</v>
      </c>
      <c r="BX57" s="192">
        <f>'P1 Retained'!F56</f>
        <v>53</v>
      </c>
      <c r="BY57" s="192">
        <f>'P1 Retained'!G56</f>
        <v>50</v>
      </c>
      <c r="BZ57" s="192">
        <f>'P1 Retained'!H56</f>
        <v>48</v>
      </c>
    </row>
    <row r="58" spans="1:78">
      <c r="A58" s="178" t="s">
        <v>54</v>
      </c>
      <c r="B58" s="190">
        <f>'Catchment Births'!O58</f>
        <v>62</v>
      </c>
      <c r="C58" s="190">
        <f>'Catchment Births'!P58</f>
        <v>83</v>
      </c>
      <c r="D58" s="190">
        <f>'Catchment Births'!Q58</f>
        <v>52</v>
      </c>
      <c r="E58" s="190">
        <f>'Catchment Births'!R58</f>
        <v>64</v>
      </c>
      <c r="F58" s="190">
        <f>'Catchment Births'!S58</f>
        <v>72</v>
      </c>
      <c r="G58" s="190">
        <f>'Catchment Births'!T58</f>
        <v>62</v>
      </c>
      <c r="H58" s="190">
        <f>'Catchment Births'!U58</f>
        <v>38</v>
      </c>
      <c r="I58" s="190">
        <f>'Catchment Births'!V58</f>
        <v>58</v>
      </c>
      <c r="J58" s="195">
        <f>'Catchment Births'!W58</f>
        <v>55</v>
      </c>
      <c r="K58" s="190">
        <f t="shared" si="37"/>
        <v>50.883169783373454</v>
      </c>
      <c r="L58" s="190">
        <f t="shared" si="51"/>
        <v>51.61007220885022</v>
      </c>
      <c r="M58" s="190">
        <f t="shared" si="52"/>
        <v>52.23446275381103</v>
      </c>
      <c r="N58" s="190">
        <f t="shared" si="53"/>
        <v>52.728383632660623</v>
      </c>
      <c r="O58" s="190">
        <f t="shared" si="54"/>
        <v>53.110473369129181</v>
      </c>
      <c r="P58" s="190">
        <f t="shared" si="55"/>
        <v>53.371412701351609</v>
      </c>
      <c r="Q58" s="190">
        <f t="shared" si="56"/>
        <v>53.520520891192994</v>
      </c>
      <c r="R58" s="190">
        <f t="shared" si="57"/>
        <v>53.688267604764555</v>
      </c>
      <c r="S58" s="190">
        <f t="shared" si="58"/>
        <v>53.697586866629642</v>
      </c>
      <c r="T58" s="195">
        <f t="shared" si="59"/>
        <v>53.678948342899467</v>
      </c>
      <c r="U58" s="190">
        <f>'All P1 In Catchment'!G57</f>
        <v>52</v>
      </c>
      <c r="V58" s="190">
        <f>'All P1 In Catchment'!I57</f>
        <v>61</v>
      </c>
      <c r="W58" s="190">
        <f>'All P1 In Catchment'!K57</f>
        <v>51</v>
      </c>
      <c r="X58" s="180">
        <f>'All P1 In Catchment'!M57</f>
        <v>49</v>
      </c>
      <c r="Y58" s="180">
        <f>'All P1 In Catchment'!O57</f>
        <v>40</v>
      </c>
      <c r="Z58" s="191">
        <f t="shared" si="60"/>
        <v>48</v>
      </c>
      <c r="AA58" s="180">
        <f t="shared" si="61"/>
        <v>29</v>
      </c>
      <c r="AB58" s="180">
        <f t="shared" si="76"/>
        <v>45</v>
      </c>
      <c r="AC58" s="180">
        <f t="shared" si="77"/>
        <v>43</v>
      </c>
      <c r="AD58" s="180">
        <f t="shared" si="78"/>
        <v>39</v>
      </c>
      <c r="AE58" s="180">
        <f t="shared" si="79"/>
        <v>40</v>
      </c>
      <c r="AF58" s="180">
        <f t="shared" si="80"/>
        <v>40</v>
      </c>
      <c r="AG58" s="180">
        <f t="shared" si="81"/>
        <v>41</v>
      </c>
      <c r="AH58" s="180">
        <f t="shared" si="82"/>
        <v>41</v>
      </c>
      <c r="AI58" s="180">
        <f t="shared" si="83"/>
        <v>41</v>
      </c>
      <c r="AJ58" s="180">
        <f t="shared" si="84"/>
        <v>41</v>
      </c>
      <c r="AK58" s="180">
        <f t="shared" si="85"/>
        <v>42</v>
      </c>
      <c r="AL58" s="180">
        <f t="shared" si="86"/>
        <v>42</v>
      </c>
      <c r="AM58" s="181">
        <f t="shared" si="87"/>
        <v>42</v>
      </c>
      <c r="AN58" s="180">
        <f>'All P1 In Catchment'!F57</f>
        <v>49</v>
      </c>
      <c r="AO58" s="180">
        <f>'All P1 In Catchment'!H57</f>
        <v>57</v>
      </c>
      <c r="AP58" s="180">
        <f>'All P1 In Catchment'!J57</f>
        <v>47</v>
      </c>
      <c r="AQ58" s="180">
        <f>'All P1 In Catchment'!L57</f>
        <v>47</v>
      </c>
      <c r="AR58" s="181">
        <f>'All P1 In Catchment'!N57</f>
        <v>38</v>
      </c>
      <c r="AS58" s="180">
        <f t="shared" si="62"/>
        <v>45</v>
      </c>
      <c r="AT58" s="180">
        <f t="shared" si="63"/>
        <v>27</v>
      </c>
      <c r="AU58" s="180">
        <f t="shared" si="64"/>
        <v>42</v>
      </c>
      <c r="AV58" s="180">
        <f t="shared" si="65"/>
        <v>41</v>
      </c>
      <c r="AW58" s="180">
        <f t="shared" si="66"/>
        <v>37</v>
      </c>
      <c r="AX58" s="180">
        <f t="shared" si="67"/>
        <v>38</v>
      </c>
      <c r="AY58" s="180">
        <f t="shared" si="68"/>
        <v>38</v>
      </c>
      <c r="AZ58" s="180">
        <f t="shared" si="69"/>
        <v>39</v>
      </c>
      <c r="BA58" s="180">
        <f t="shared" si="70"/>
        <v>39</v>
      </c>
      <c r="BB58" s="180">
        <f t="shared" si="71"/>
        <v>39</v>
      </c>
      <c r="BC58" s="180">
        <f t="shared" si="72"/>
        <v>39</v>
      </c>
      <c r="BD58" s="180">
        <f t="shared" si="73"/>
        <v>40</v>
      </c>
      <c r="BE58" s="180">
        <f t="shared" si="74"/>
        <v>40</v>
      </c>
      <c r="BF58" s="180">
        <f t="shared" si="75"/>
        <v>40</v>
      </c>
      <c r="BG58" s="191">
        <f>AR58+'Housing Generation'!B57</f>
        <v>38</v>
      </c>
      <c r="BH58" s="180">
        <f>AS58+'Housing Generation'!J57</f>
        <v>45</v>
      </c>
      <c r="BI58" s="180">
        <f>AT58+'Housing Generation'!R57</f>
        <v>27</v>
      </c>
      <c r="BJ58" s="180">
        <f>AU58+'Housing Generation'!Z57</f>
        <v>42</v>
      </c>
      <c r="BK58" s="180">
        <f>AV58+'Housing Generation'!AH57</f>
        <v>41</v>
      </c>
      <c r="BL58" s="180">
        <f>AW58+'Housing Generation'!AP57</f>
        <v>37</v>
      </c>
      <c r="BM58" s="180">
        <f>AX58+'Housing Generation'!AX57</f>
        <v>38</v>
      </c>
      <c r="BN58" s="180">
        <f>AY58+'Housing Generation'!BF57</f>
        <v>38</v>
      </c>
      <c r="BO58" s="180">
        <f>AZ58+'Housing Generation'!BN57</f>
        <v>39</v>
      </c>
      <c r="BP58" s="180">
        <f>BA58+'Housing Generation'!BV57</f>
        <v>39</v>
      </c>
      <c r="BQ58" s="180">
        <f>BB58+'Housing Generation'!CD57</f>
        <v>39</v>
      </c>
      <c r="BR58" s="180">
        <f>BC58+'Housing Generation'!CL57</f>
        <v>39</v>
      </c>
      <c r="BS58" s="180">
        <f>BD58+'Housing Generation'!CT57</f>
        <v>40</v>
      </c>
      <c r="BT58" s="180">
        <f>BE58+'Housing Generation'!DB57</f>
        <v>40</v>
      </c>
      <c r="BU58" s="181">
        <f>BF58+'Housing Generation'!DJ57</f>
        <v>40</v>
      </c>
      <c r="BV58" s="180">
        <f>'P1 Retained'!D57</f>
        <v>45</v>
      </c>
      <c r="BW58" s="192">
        <f>'P1 Retained'!E57</f>
        <v>54</v>
      </c>
      <c r="BX58" s="192">
        <f>'P1 Retained'!F57</f>
        <v>40</v>
      </c>
      <c r="BY58" s="192">
        <f>'P1 Retained'!G57</f>
        <v>43</v>
      </c>
      <c r="BZ58" s="192">
        <f>'P1 Retained'!H57</f>
        <v>35</v>
      </c>
    </row>
    <row r="59" spans="1:78">
      <c r="A59" s="178" t="s">
        <v>80</v>
      </c>
      <c r="B59" s="190">
        <f>'Catchment Births'!O59</f>
        <v>83</v>
      </c>
      <c r="C59" s="190">
        <f>'Catchment Births'!P59</f>
        <v>92</v>
      </c>
      <c r="D59" s="190">
        <f>'Catchment Births'!Q59</f>
        <v>78</v>
      </c>
      <c r="E59" s="190">
        <f>'Catchment Births'!R59</f>
        <v>83</v>
      </c>
      <c r="F59" s="190">
        <f>'Catchment Births'!S59</f>
        <v>64</v>
      </c>
      <c r="G59" s="190">
        <f>'Catchment Births'!T59</f>
        <v>77</v>
      </c>
      <c r="H59" s="190">
        <f>'Catchment Births'!U59</f>
        <v>87</v>
      </c>
      <c r="I59" s="190">
        <f>'Catchment Births'!V59</f>
        <v>89</v>
      </c>
      <c r="J59" s="195">
        <f>'Catchment Births'!W59</f>
        <v>74</v>
      </c>
      <c r="K59" s="190">
        <f t="shared" si="37"/>
        <v>84.243658581744114</v>
      </c>
      <c r="L59" s="190">
        <f t="shared" si="51"/>
        <v>85.447139418626179</v>
      </c>
      <c r="M59" s="190">
        <f t="shared" si="52"/>
        <v>86.480898599024869</v>
      </c>
      <c r="N59" s="190">
        <f t="shared" si="53"/>
        <v>87.298648398444726</v>
      </c>
      <c r="O59" s="190">
        <f t="shared" si="54"/>
        <v>87.931247299882727</v>
      </c>
      <c r="P59" s="190">
        <f t="shared" si="55"/>
        <v>88.363266061840392</v>
      </c>
      <c r="Q59" s="190">
        <f t="shared" si="56"/>
        <v>88.6101339258162</v>
      </c>
      <c r="R59" s="190">
        <f t="shared" si="57"/>
        <v>88.887860272788984</v>
      </c>
      <c r="S59" s="190">
        <f t="shared" si="58"/>
        <v>88.903289514287465</v>
      </c>
      <c r="T59" s="195">
        <f t="shared" si="59"/>
        <v>88.872431031290489</v>
      </c>
      <c r="U59" s="190">
        <f>'All P1 In Catchment'!G58</f>
        <v>85</v>
      </c>
      <c r="V59" s="190">
        <f>'All P1 In Catchment'!I58</f>
        <v>89</v>
      </c>
      <c r="W59" s="190">
        <f>'All P1 In Catchment'!K58</f>
        <v>79</v>
      </c>
      <c r="X59" s="180">
        <f>'All P1 In Catchment'!M58</f>
        <v>82</v>
      </c>
      <c r="Y59" s="180">
        <f>'All P1 In Catchment'!O58</f>
        <v>73</v>
      </c>
      <c r="Z59" s="191">
        <f t="shared" si="60"/>
        <v>79</v>
      </c>
      <c r="AA59" s="180">
        <f t="shared" si="61"/>
        <v>89</v>
      </c>
      <c r="AB59" s="180">
        <f t="shared" si="76"/>
        <v>91</v>
      </c>
      <c r="AC59" s="180">
        <f t="shared" si="77"/>
        <v>76</v>
      </c>
      <c r="AD59" s="180">
        <f t="shared" si="78"/>
        <v>86</v>
      </c>
      <c r="AE59" s="180">
        <f t="shared" si="79"/>
        <v>88</v>
      </c>
      <c r="AF59" s="180">
        <f t="shared" si="80"/>
        <v>89</v>
      </c>
      <c r="AG59" s="180">
        <f t="shared" si="81"/>
        <v>90</v>
      </c>
      <c r="AH59" s="180">
        <f t="shared" si="82"/>
        <v>90</v>
      </c>
      <c r="AI59" s="180">
        <f t="shared" si="83"/>
        <v>91</v>
      </c>
      <c r="AJ59" s="180">
        <f t="shared" si="84"/>
        <v>91</v>
      </c>
      <c r="AK59" s="180">
        <f t="shared" si="85"/>
        <v>91</v>
      </c>
      <c r="AL59" s="180">
        <f t="shared" si="86"/>
        <v>91</v>
      </c>
      <c r="AM59" s="181">
        <f t="shared" si="87"/>
        <v>91</v>
      </c>
      <c r="AN59" s="180">
        <f>'All P1 In Catchment'!F58</f>
        <v>75</v>
      </c>
      <c r="AO59" s="180">
        <f>'All P1 In Catchment'!H58</f>
        <v>74</v>
      </c>
      <c r="AP59" s="180">
        <f>'All P1 In Catchment'!J58</f>
        <v>66</v>
      </c>
      <c r="AQ59" s="180">
        <f>'All P1 In Catchment'!L58</f>
        <v>67</v>
      </c>
      <c r="AR59" s="181">
        <f>'All P1 In Catchment'!N58</f>
        <v>65</v>
      </c>
      <c r="AS59" s="180">
        <f t="shared" si="62"/>
        <v>67</v>
      </c>
      <c r="AT59" s="180">
        <f t="shared" si="63"/>
        <v>75</v>
      </c>
      <c r="AU59" s="180">
        <f t="shared" si="64"/>
        <v>77</v>
      </c>
      <c r="AV59" s="180">
        <f t="shared" si="65"/>
        <v>64</v>
      </c>
      <c r="AW59" s="180">
        <f t="shared" si="66"/>
        <v>73</v>
      </c>
      <c r="AX59" s="180">
        <f t="shared" si="67"/>
        <v>75</v>
      </c>
      <c r="AY59" s="180">
        <f t="shared" si="68"/>
        <v>75</v>
      </c>
      <c r="AZ59" s="180">
        <f t="shared" si="69"/>
        <v>76</v>
      </c>
      <c r="BA59" s="180">
        <f t="shared" si="70"/>
        <v>76</v>
      </c>
      <c r="BB59" s="180">
        <f t="shared" si="71"/>
        <v>77</v>
      </c>
      <c r="BC59" s="180">
        <f t="shared" si="72"/>
        <v>77</v>
      </c>
      <c r="BD59" s="180">
        <f t="shared" si="73"/>
        <v>77</v>
      </c>
      <c r="BE59" s="180">
        <f t="shared" si="74"/>
        <v>77</v>
      </c>
      <c r="BF59" s="180">
        <f t="shared" si="75"/>
        <v>77</v>
      </c>
      <c r="BG59" s="191">
        <f>AR59+'Housing Generation'!B58</f>
        <v>65</v>
      </c>
      <c r="BH59" s="180">
        <f>AS59+'Housing Generation'!J58</f>
        <v>67</v>
      </c>
      <c r="BI59" s="180">
        <f>AT59+'Housing Generation'!R58</f>
        <v>75</v>
      </c>
      <c r="BJ59" s="180">
        <f>AU59+'Housing Generation'!Z58</f>
        <v>77</v>
      </c>
      <c r="BK59" s="180">
        <f>AV59+'Housing Generation'!AH58</f>
        <v>64</v>
      </c>
      <c r="BL59" s="180">
        <f>AW59+'Housing Generation'!AP58</f>
        <v>73</v>
      </c>
      <c r="BM59" s="180">
        <f>AX59+'Housing Generation'!AX58</f>
        <v>76</v>
      </c>
      <c r="BN59" s="180">
        <f>AY59+'Housing Generation'!BF58</f>
        <v>76</v>
      </c>
      <c r="BO59" s="180">
        <f>AZ59+'Housing Generation'!BN58</f>
        <v>77</v>
      </c>
      <c r="BP59" s="180">
        <f>BA59+'Housing Generation'!BV58</f>
        <v>77</v>
      </c>
      <c r="BQ59" s="180">
        <f>BB59+'Housing Generation'!CD58</f>
        <v>78</v>
      </c>
      <c r="BR59" s="180">
        <f>BC59+'Housing Generation'!CL58</f>
        <v>78</v>
      </c>
      <c r="BS59" s="180">
        <f>BD59+'Housing Generation'!CT58</f>
        <v>78</v>
      </c>
      <c r="BT59" s="180">
        <f>BE59+'Housing Generation'!DB58</f>
        <v>78</v>
      </c>
      <c r="BU59" s="181">
        <f>BF59+'Housing Generation'!DJ58</f>
        <v>78</v>
      </c>
      <c r="BV59" s="180">
        <f>'P1 Retained'!D58</f>
        <v>64</v>
      </c>
      <c r="BW59" s="192">
        <f>'P1 Retained'!E58</f>
        <v>66</v>
      </c>
      <c r="BX59" s="192">
        <f>'P1 Retained'!F58</f>
        <v>58</v>
      </c>
      <c r="BY59" s="192">
        <f>'P1 Retained'!G58</f>
        <v>63</v>
      </c>
      <c r="BZ59" s="192">
        <f>'P1 Retained'!H58</f>
        <v>59</v>
      </c>
    </row>
    <row r="60" spans="1:78">
      <c r="A60" s="178" t="s">
        <v>55</v>
      </c>
      <c r="B60" s="190">
        <f>'Catchment Births'!O60</f>
        <v>53</v>
      </c>
      <c r="C60" s="190">
        <f>'Catchment Births'!P60</f>
        <v>51</v>
      </c>
      <c r="D60" s="190">
        <f>'Catchment Births'!Q60</f>
        <v>84</v>
      </c>
      <c r="E60" s="190">
        <f>'Catchment Births'!R60</f>
        <v>61</v>
      </c>
      <c r="F60" s="190">
        <f>'Catchment Births'!S60</f>
        <v>68</v>
      </c>
      <c r="G60" s="190">
        <f>'Catchment Births'!T60</f>
        <v>58</v>
      </c>
      <c r="H60" s="190">
        <f>'Catchment Births'!U60</f>
        <v>82</v>
      </c>
      <c r="I60" s="190">
        <f>'Catchment Births'!V60</f>
        <v>63</v>
      </c>
      <c r="J60" s="195">
        <f>'Catchment Births'!W60</f>
        <v>80</v>
      </c>
      <c r="K60" s="190">
        <f t="shared" si="37"/>
        <v>75.819292723569703</v>
      </c>
      <c r="L60" s="190">
        <f t="shared" si="51"/>
        <v>76.902425476763554</v>
      </c>
      <c r="M60" s="190">
        <f t="shared" si="52"/>
        <v>77.83280873912237</v>
      </c>
      <c r="N60" s="190">
        <f t="shared" si="53"/>
        <v>78.568783558600245</v>
      </c>
      <c r="O60" s="190">
        <f t="shared" si="54"/>
        <v>79.138122569894449</v>
      </c>
      <c r="P60" s="190">
        <f t="shared" si="55"/>
        <v>79.526939455656347</v>
      </c>
      <c r="Q60" s="190">
        <f t="shared" si="56"/>
        <v>79.749120533234574</v>
      </c>
      <c r="R60" s="190">
        <f t="shared" si="57"/>
        <v>79.999074245510073</v>
      </c>
      <c r="S60" s="190">
        <f t="shared" si="58"/>
        <v>80.012960562858709</v>
      </c>
      <c r="T60" s="195">
        <f t="shared" si="59"/>
        <v>79.985187928161437</v>
      </c>
      <c r="U60" s="190">
        <f>'All P1 In Catchment'!G59</f>
        <v>36</v>
      </c>
      <c r="V60" s="190">
        <f>'All P1 In Catchment'!I59</f>
        <v>38</v>
      </c>
      <c r="W60" s="190">
        <f>'All P1 In Catchment'!K59</f>
        <v>60</v>
      </c>
      <c r="X60" s="180">
        <f>'All P1 In Catchment'!M59</f>
        <v>47</v>
      </c>
      <c r="Y60" s="180">
        <f>'All P1 In Catchment'!O59</f>
        <v>59</v>
      </c>
      <c r="Z60" s="191">
        <f t="shared" si="60"/>
        <v>44</v>
      </c>
      <c r="AA60" s="180">
        <f t="shared" si="61"/>
        <v>62</v>
      </c>
      <c r="AB60" s="180">
        <f t="shared" si="76"/>
        <v>48</v>
      </c>
      <c r="AC60" s="180">
        <f t="shared" si="77"/>
        <v>60</v>
      </c>
      <c r="AD60" s="180">
        <f t="shared" si="78"/>
        <v>57</v>
      </c>
      <c r="AE60" s="180">
        <f t="shared" si="79"/>
        <v>58</v>
      </c>
      <c r="AF60" s="180">
        <f t="shared" si="80"/>
        <v>59</v>
      </c>
      <c r="AG60" s="180">
        <f t="shared" si="81"/>
        <v>59</v>
      </c>
      <c r="AH60" s="180">
        <f t="shared" si="82"/>
        <v>60</v>
      </c>
      <c r="AI60" s="180">
        <f t="shared" si="83"/>
        <v>60</v>
      </c>
      <c r="AJ60" s="180">
        <f t="shared" si="84"/>
        <v>60</v>
      </c>
      <c r="AK60" s="180">
        <f t="shared" si="85"/>
        <v>60</v>
      </c>
      <c r="AL60" s="180">
        <f t="shared" si="86"/>
        <v>60</v>
      </c>
      <c r="AM60" s="181">
        <f t="shared" si="87"/>
        <v>60</v>
      </c>
      <c r="AN60" s="180">
        <f>'All P1 In Catchment'!F59</f>
        <v>28</v>
      </c>
      <c r="AO60" s="180">
        <f>'All P1 In Catchment'!H59</f>
        <v>26</v>
      </c>
      <c r="AP60" s="180">
        <f>'All P1 In Catchment'!J59</f>
        <v>42</v>
      </c>
      <c r="AQ60" s="180">
        <f>'All P1 In Catchment'!L59</f>
        <v>31</v>
      </c>
      <c r="AR60" s="181">
        <f>'All P1 In Catchment'!N59</f>
        <v>48</v>
      </c>
      <c r="AS60" s="180">
        <f t="shared" si="62"/>
        <v>32</v>
      </c>
      <c r="AT60" s="180">
        <f t="shared" si="63"/>
        <v>45</v>
      </c>
      <c r="AU60" s="180">
        <f t="shared" si="64"/>
        <v>35</v>
      </c>
      <c r="AV60" s="180">
        <f t="shared" si="65"/>
        <v>43</v>
      </c>
      <c r="AW60" s="180">
        <f t="shared" si="66"/>
        <v>41</v>
      </c>
      <c r="AX60" s="180">
        <f t="shared" si="67"/>
        <v>42</v>
      </c>
      <c r="AY60" s="180">
        <f t="shared" si="68"/>
        <v>43</v>
      </c>
      <c r="AZ60" s="180">
        <f t="shared" si="69"/>
        <v>43</v>
      </c>
      <c r="BA60" s="180">
        <f t="shared" si="70"/>
        <v>43</v>
      </c>
      <c r="BB60" s="180">
        <f t="shared" si="71"/>
        <v>43</v>
      </c>
      <c r="BC60" s="180">
        <f t="shared" si="72"/>
        <v>43</v>
      </c>
      <c r="BD60" s="180">
        <f t="shared" si="73"/>
        <v>43</v>
      </c>
      <c r="BE60" s="180">
        <f t="shared" si="74"/>
        <v>43</v>
      </c>
      <c r="BF60" s="180">
        <f t="shared" si="75"/>
        <v>43</v>
      </c>
      <c r="BG60" s="191">
        <f>AR60+'Housing Generation'!B59</f>
        <v>48</v>
      </c>
      <c r="BH60" s="180">
        <f>AS60+'Housing Generation'!J59</f>
        <v>32</v>
      </c>
      <c r="BI60" s="180">
        <f>AT60+'Housing Generation'!R59</f>
        <v>45</v>
      </c>
      <c r="BJ60" s="180">
        <f>AU60+'Housing Generation'!Z59</f>
        <v>35</v>
      </c>
      <c r="BK60" s="180">
        <f>AV60+'Housing Generation'!AH59</f>
        <v>44</v>
      </c>
      <c r="BL60" s="180">
        <f>AW60+'Housing Generation'!AP59</f>
        <v>43</v>
      </c>
      <c r="BM60" s="180">
        <f>AX60+'Housing Generation'!AX59</f>
        <v>47</v>
      </c>
      <c r="BN60" s="180">
        <f>AY60+'Housing Generation'!BF59</f>
        <v>52</v>
      </c>
      <c r="BO60" s="180">
        <f>AZ60+'Housing Generation'!BN59</f>
        <v>55</v>
      </c>
      <c r="BP60" s="180">
        <f>BA60+'Housing Generation'!BV59</f>
        <v>58</v>
      </c>
      <c r="BQ60" s="180">
        <f>BB60+'Housing Generation'!CD59</f>
        <v>61</v>
      </c>
      <c r="BR60" s="180">
        <f>BC60+'Housing Generation'!CL59</f>
        <v>62</v>
      </c>
      <c r="BS60" s="180">
        <f>BD60+'Housing Generation'!CT59</f>
        <v>63</v>
      </c>
      <c r="BT60" s="180">
        <f>BE60+'Housing Generation'!DB59</f>
        <v>64</v>
      </c>
      <c r="BU60" s="181">
        <f>BF60+'Housing Generation'!DJ59</f>
        <v>65</v>
      </c>
      <c r="BV60" s="180">
        <f>'P1 Retained'!D59</f>
        <v>16</v>
      </c>
      <c r="BW60" s="192">
        <f>'P1 Retained'!E59</f>
        <v>20</v>
      </c>
      <c r="BX60" s="192">
        <f>'P1 Retained'!F59</f>
        <v>30</v>
      </c>
      <c r="BY60" s="192">
        <f>'P1 Retained'!G59</f>
        <v>23</v>
      </c>
      <c r="BZ60" s="192">
        <f>'P1 Retained'!H59</f>
        <v>34</v>
      </c>
    </row>
    <row r="61" spans="1:78">
      <c r="A61" s="178" t="s">
        <v>56</v>
      </c>
      <c r="B61" s="190">
        <f>'Catchment Births'!O61</f>
        <v>83</v>
      </c>
      <c r="C61" s="190">
        <f>'Catchment Births'!P61</f>
        <v>70</v>
      </c>
      <c r="D61" s="190">
        <f>'Catchment Births'!Q61</f>
        <v>65</v>
      </c>
      <c r="E61" s="190">
        <f>'Catchment Births'!R61</f>
        <v>63</v>
      </c>
      <c r="F61" s="190">
        <f>'Catchment Births'!S61</f>
        <v>72</v>
      </c>
      <c r="G61" s="190">
        <f>'Catchment Births'!T61</f>
        <v>66</v>
      </c>
      <c r="H61" s="190">
        <f>'Catchment Births'!U61</f>
        <v>63</v>
      </c>
      <c r="I61" s="190">
        <f>'Catchment Births'!V61</f>
        <v>55</v>
      </c>
      <c r="J61" s="195">
        <f>'Catchment Births'!W61</f>
        <v>45</v>
      </c>
      <c r="K61" s="190">
        <f t="shared" si="37"/>
        <v>54.92686539529717</v>
      </c>
      <c r="L61" s="190">
        <f t="shared" si="51"/>
        <v>55.711534900944272</v>
      </c>
      <c r="M61" s="190">
        <f t="shared" si="52"/>
        <v>56.385545886564216</v>
      </c>
      <c r="N61" s="190">
        <f t="shared" si="53"/>
        <v>56.918718755785967</v>
      </c>
      <c r="O61" s="190">
        <f t="shared" si="54"/>
        <v>57.331173239523544</v>
      </c>
      <c r="P61" s="190">
        <f t="shared" si="55"/>
        <v>57.612849472319937</v>
      </c>
      <c r="Q61" s="190">
        <f t="shared" si="56"/>
        <v>57.773807319632162</v>
      </c>
      <c r="R61" s="190">
        <f t="shared" si="57"/>
        <v>57.954884897858413</v>
      </c>
      <c r="S61" s="190">
        <f t="shared" si="58"/>
        <v>57.96494476331543</v>
      </c>
      <c r="T61" s="195">
        <f t="shared" si="59"/>
        <v>57.944825032401404</v>
      </c>
      <c r="U61" s="190">
        <f>'All P1 In Catchment'!G60</f>
        <v>51</v>
      </c>
      <c r="V61" s="190">
        <f>'All P1 In Catchment'!I60</f>
        <v>47</v>
      </c>
      <c r="W61" s="190">
        <f>'All P1 In Catchment'!K60</f>
        <v>33</v>
      </c>
      <c r="X61" s="180">
        <f>'All P1 In Catchment'!M60</f>
        <v>43</v>
      </c>
      <c r="Y61" s="180">
        <f>'All P1 In Catchment'!O60</f>
        <v>38</v>
      </c>
      <c r="Z61" s="191">
        <f t="shared" si="60"/>
        <v>40</v>
      </c>
      <c r="AA61" s="180">
        <f t="shared" si="61"/>
        <v>38</v>
      </c>
      <c r="AB61" s="180">
        <f t="shared" si="76"/>
        <v>33</v>
      </c>
      <c r="AC61" s="180">
        <f t="shared" si="77"/>
        <v>27</v>
      </c>
      <c r="AD61" s="180">
        <f t="shared" si="78"/>
        <v>33</v>
      </c>
      <c r="AE61" s="180">
        <f t="shared" si="79"/>
        <v>33</v>
      </c>
      <c r="AF61" s="180">
        <f t="shared" si="80"/>
        <v>34</v>
      </c>
      <c r="AG61" s="180">
        <f t="shared" si="81"/>
        <v>34</v>
      </c>
      <c r="AH61" s="180">
        <f t="shared" si="82"/>
        <v>34</v>
      </c>
      <c r="AI61" s="180">
        <f t="shared" si="83"/>
        <v>35</v>
      </c>
      <c r="AJ61" s="180">
        <f t="shared" si="84"/>
        <v>35</v>
      </c>
      <c r="AK61" s="180">
        <f t="shared" si="85"/>
        <v>35</v>
      </c>
      <c r="AL61" s="180">
        <f t="shared" si="86"/>
        <v>35</v>
      </c>
      <c r="AM61" s="181">
        <f t="shared" si="87"/>
        <v>35</v>
      </c>
      <c r="AN61" s="180">
        <f>'All P1 In Catchment'!F60</f>
        <v>46</v>
      </c>
      <c r="AO61" s="180">
        <f>'All P1 In Catchment'!H60</f>
        <v>41</v>
      </c>
      <c r="AP61" s="180">
        <f>'All P1 In Catchment'!J60</f>
        <v>30</v>
      </c>
      <c r="AQ61" s="180">
        <f>'All P1 In Catchment'!L60</f>
        <v>35</v>
      </c>
      <c r="AR61" s="181">
        <f>'All P1 In Catchment'!N60</f>
        <v>34</v>
      </c>
      <c r="AS61" s="180">
        <f t="shared" si="62"/>
        <v>35</v>
      </c>
      <c r="AT61" s="180">
        <f t="shared" si="63"/>
        <v>33</v>
      </c>
      <c r="AU61" s="180">
        <f t="shared" si="64"/>
        <v>29</v>
      </c>
      <c r="AV61" s="180">
        <f t="shared" si="65"/>
        <v>24</v>
      </c>
      <c r="AW61" s="180">
        <f t="shared" si="66"/>
        <v>29</v>
      </c>
      <c r="AX61" s="180">
        <f t="shared" si="67"/>
        <v>29</v>
      </c>
      <c r="AY61" s="180">
        <f t="shared" si="68"/>
        <v>30</v>
      </c>
      <c r="AZ61" s="180">
        <f t="shared" si="69"/>
        <v>30</v>
      </c>
      <c r="BA61" s="180">
        <f t="shared" si="70"/>
        <v>30</v>
      </c>
      <c r="BB61" s="180">
        <f t="shared" si="71"/>
        <v>31</v>
      </c>
      <c r="BC61" s="180">
        <f t="shared" si="72"/>
        <v>31</v>
      </c>
      <c r="BD61" s="180">
        <f t="shared" si="73"/>
        <v>31</v>
      </c>
      <c r="BE61" s="180">
        <f t="shared" si="74"/>
        <v>31</v>
      </c>
      <c r="BF61" s="180">
        <f t="shared" si="75"/>
        <v>31</v>
      </c>
      <c r="BG61" s="191">
        <f>AR61+'Housing Generation'!B60</f>
        <v>34</v>
      </c>
      <c r="BH61" s="180">
        <f>AS61+'Housing Generation'!J60</f>
        <v>36</v>
      </c>
      <c r="BI61" s="180">
        <f>AT61+'Housing Generation'!R60</f>
        <v>34</v>
      </c>
      <c r="BJ61" s="180">
        <f>AU61+'Housing Generation'!Z60</f>
        <v>30</v>
      </c>
      <c r="BK61" s="180">
        <f>AV61+'Housing Generation'!AH60</f>
        <v>25</v>
      </c>
      <c r="BL61" s="180">
        <f>AW61+'Housing Generation'!AP60</f>
        <v>30</v>
      </c>
      <c r="BM61" s="180">
        <f>AX61+'Housing Generation'!AX60</f>
        <v>30</v>
      </c>
      <c r="BN61" s="180">
        <f>AY61+'Housing Generation'!BF60</f>
        <v>31</v>
      </c>
      <c r="BO61" s="180">
        <f>AZ61+'Housing Generation'!BN60</f>
        <v>31</v>
      </c>
      <c r="BP61" s="180">
        <f>BA61+'Housing Generation'!BV60</f>
        <v>31</v>
      </c>
      <c r="BQ61" s="180">
        <f>BB61+'Housing Generation'!CD60</f>
        <v>32</v>
      </c>
      <c r="BR61" s="180">
        <f>BC61+'Housing Generation'!CL60</f>
        <v>32</v>
      </c>
      <c r="BS61" s="180">
        <f>BD61+'Housing Generation'!CT60</f>
        <v>32</v>
      </c>
      <c r="BT61" s="180">
        <f>BE61+'Housing Generation'!DB60</f>
        <v>32</v>
      </c>
      <c r="BU61" s="181">
        <f>BF61+'Housing Generation'!DJ60</f>
        <v>32</v>
      </c>
      <c r="BV61" s="180">
        <f>'P1 Retained'!D60</f>
        <v>39</v>
      </c>
      <c r="BW61" s="192">
        <f>'P1 Retained'!E60</f>
        <v>39</v>
      </c>
      <c r="BX61" s="192">
        <f>'P1 Retained'!F60</f>
        <v>26</v>
      </c>
      <c r="BY61" s="192">
        <f>'P1 Retained'!G60</f>
        <v>34</v>
      </c>
      <c r="BZ61" s="192">
        <f>'P1 Retained'!H60</f>
        <v>29</v>
      </c>
    </row>
    <row r="62" spans="1:78">
      <c r="A62" s="178" t="s">
        <v>57</v>
      </c>
      <c r="B62" s="190">
        <f>'Catchment Births'!O62</f>
        <v>29</v>
      </c>
      <c r="C62" s="190">
        <f>'Catchment Births'!P62</f>
        <v>32</v>
      </c>
      <c r="D62" s="190">
        <f>'Catchment Births'!Q62</f>
        <v>28</v>
      </c>
      <c r="E62" s="190">
        <f>'Catchment Births'!R62</f>
        <v>34</v>
      </c>
      <c r="F62" s="190">
        <f>'Catchment Births'!S62</f>
        <v>32</v>
      </c>
      <c r="G62" s="190">
        <f>'Catchment Births'!T62</f>
        <v>44</v>
      </c>
      <c r="H62" s="190">
        <f>'Catchment Births'!U62</f>
        <v>37</v>
      </c>
      <c r="I62" s="190">
        <f>'Catchment Births'!V62</f>
        <v>21</v>
      </c>
      <c r="J62" s="195">
        <f>'Catchment Births'!W62</f>
        <v>18</v>
      </c>
      <c r="K62" s="190">
        <f t="shared" si="37"/>
        <v>25.610072208850212</v>
      </c>
      <c r="L62" s="190">
        <f t="shared" si="51"/>
        <v>25.975930383262359</v>
      </c>
      <c r="M62" s="190">
        <f t="shared" si="52"/>
        <v>26.29019317410356</v>
      </c>
      <c r="N62" s="190">
        <f t="shared" si="53"/>
        <v>26.538789113127198</v>
      </c>
      <c r="O62" s="190">
        <f t="shared" si="54"/>
        <v>26.731099179164353</v>
      </c>
      <c r="P62" s="190">
        <f t="shared" si="55"/>
        <v>26.862432882799482</v>
      </c>
      <c r="Q62" s="190">
        <f t="shared" si="56"/>
        <v>26.937480713448128</v>
      </c>
      <c r="R62" s="190">
        <f t="shared" si="57"/>
        <v>27.021909522927853</v>
      </c>
      <c r="S62" s="190">
        <f t="shared" si="58"/>
        <v>27.026600012343394</v>
      </c>
      <c r="T62" s="195">
        <f t="shared" si="59"/>
        <v>27.017219033512312</v>
      </c>
      <c r="U62" s="190">
        <f>'All P1 In Catchment'!G61</f>
        <v>25</v>
      </c>
      <c r="V62" s="190">
        <f>'All P1 In Catchment'!I61</f>
        <v>21</v>
      </c>
      <c r="W62" s="190">
        <f>'All P1 In Catchment'!K61</f>
        <v>30</v>
      </c>
      <c r="X62" s="180">
        <f>'All P1 In Catchment'!M61</f>
        <v>18</v>
      </c>
      <c r="Y62" s="180">
        <f>'All P1 In Catchment'!O61</f>
        <v>18</v>
      </c>
      <c r="Z62" s="191">
        <f t="shared" si="60"/>
        <v>32</v>
      </c>
      <c r="AA62" s="180">
        <f t="shared" si="61"/>
        <v>27</v>
      </c>
      <c r="AB62" s="180">
        <f t="shared" si="76"/>
        <v>15</v>
      </c>
      <c r="AC62" s="180">
        <f t="shared" si="77"/>
        <v>13</v>
      </c>
      <c r="AD62" s="180">
        <f t="shared" si="78"/>
        <v>19</v>
      </c>
      <c r="AE62" s="180">
        <f t="shared" si="79"/>
        <v>19</v>
      </c>
      <c r="AF62" s="180">
        <f t="shared" si="80"/>
        <v>19</v>
      </c>
      <c r="AG62" s="180">
        <f t="shared" si="81"/>
        <v>20</v>
      </c>
      <c r="AH62" s="180">
        <f t="shared" si="82"/>
        <v>20</v>
      </c>
      <c r="AI62" s="180">
        <f t="shared" si="83"/>
        <v>20</v>
      </c>
      <c r="AJ62" s="180">
        <f t="shared" si="84"/>
        <v>20</v>
      </c>
      <c r="AK62" s="180">
        <f t="shared" si="85"/>
        <v>20</v>
      </c>
      <c r="AL62" s="180">
        <f t="shared" si="86"/>
        <v>20</v>
      </c>
      <c r="AM62" s="181">
        <f t="shared" si="87"/>
        <v>20</v>
      </c>
      <c r="AN62" s="180">
        <f>'All P1 In Catchment'!F61</f>
        <v>20</v>
      </c>
      <c r="AO62" s="180">
        <f>'All P1 In Catchment'!H61</f>
        <v>20</v>
      </c>
      <c r="AP62" s="180">
        <f>'All P1 In Catchment'!J61</f>
        <v>25</v>
      </c>
      <c r="AQ62" s="180">
        <f>'All P1 In Catchment'!L61</f>
        <v>17</v>
      </c>
      <c r="AR62" s="181">
        <f>'All P1 In Catchment'!N61</f>
        <v>16</v>
      </c>
      <c r="AS62" s="180">
        <f t="shared" si="62"/>
        <v>28</v>
      </c>
      <c r="AT62" s="180">
        <f t="shared" si="63"/>
        <v>24</v>
      </c>
      <c r="AU62" s="180">
        <f t="shared" si="64"/>
        <v>13</v>
      </c>
      <c r="AV62" s="180">
        <f t="shared" si="65"/>
        <v>12</v>
      </c>
      <c r="AW62" s="180">
        <f t="shared" si="66"/>
        <v>17</v>
      </c>
      <c r="AX62" s="180">
        <f t="shared" si="67"/>
        <v>17</v>
      </c>
      <c r="AY62" s="180">
        <f t="shared" si="68"/>
        <v>17</v>
      </c>
      <c r="AZ62" s="180">
        <f t="shared" si="69"/>
        <v>18</v>
      </c>
      <c r="BA62" s="180">
        <f t="shared" si="70"/>
        <v>18</v>
      </c>
      <c r="BB62" s="180">
        <f t="shared" si="71"/>
        <v>18</v>
      </c>
      <c r="BC62" s="180">
        <f t="shared" si="72"/>
        <v>18</v>
      </c>
      <c r="BD62" s="180">
        <f t="shared" si="73"/>
        <v>18</v>
      </c>
      <c r="BE62" s="180">
        <f t="shared" si="74"/>
        <v>18</v>
      </c>
      <c r="BF62" s="180">
        <f t="shared" si="75"/>
        <v>18</v>
      </c>
      <c r="BG62" s="191">
        <f>AR62+'Housing Generation'!B61</f>
        <v>16</v>
      </c>
      <c r="BH62" s="180">
        <f>AS62+'Housing Generation'!J61</f>
        <v>28</v>
      </c>
      <c r="BI62" s="180">
        <f>AT62+'Housing Generation'!R61</f>
        <v>25</v>
      </c>
      <c r="BJ62" s="180">
        <f>AU62+'Housing Generation'!Z61</f>
        <v>14</v>
      </c>
      <c r="BK62" s="180">
        <f>AV62+'Housing Generation'!AH61</f>
        <v>13</v>
      </c>
      <c r="BL62" s="180">
        <f>AW62+'Housing Generation'!AP61</f>
        <v>18</v>
      </c>
      <c r="BM62" s="180">
        <f>AX62+'Housing Generation'!AX61</f>
        <v>18</v>
      </c>
      <c r="BN62" s="180">
        <f>AY62+'Housing Generation'!BF61</f>
        <v>18</v>
      </c>
      <c r="BO62" s="180">
        <f>AZ62+'Housing Generation'!BN61</f>
        <v>19</v>
      </c>
      <c r="BP62" s="180">
        <f>BA62+'Housing Generation'!BV61</f>
        <v>19</v>
      </c>
      <c r="BQ62" s="180">
        <f>BB62+'Housing Generation'!CD61</f>
        <v>19</v>
      </c>
      <c r="BR62" s="180">
        <f>BC62+'Housing Generation'!CL61</f>
        <v>19</v>
      </c>
      <c r="BS62" s="180">
        <f>BD62+'Housing Generation'!CT61</f>
        <v>19</v>
      </c>
      <c r="BT62" s="180">
        <f>BE62+'Housing Generation'!DB61</f>
        <v>19</v>
      </c>
      <c r="BU62" s="181">
        <f>BF62+'Housing Generation'!DJ61</f>
        <v>19</v>
      </c>
      <c r="BV62" s="180">
        <f>'P1 Retained'!D61</f>
        <v>18</v>
      </c>
      <c r="BW62" s="192">
        <f>'P1 Retained'!E61</f>
        <v>15</v>
      </c>
      <c r="BX62" s="192">
        <f>'P1 Retained'!F61</f>
        <v>23</v>
      </c>
      <c r="BY62" s="192">
        <f>'P1 Retained'!G61</f>
        <v>17</v>
      </c>
      <c r="BZ62" s="192">
        <f>'P1 Retained'!H61</f>
        <v>13</v>
      </c>
    </row>
    <row r="63" spans="1:78">
      <c r="A63" s="178" t="s">
        <v>58</v>
      </c>
      <c r="B63" s="190">
        <f>'Catchment Births'!O63</f>
        <v>66</v>
      </c>
      <c r="C63" s="190">
        <f>'Catchment Births'!P63</f>
        <v>64</v>
      </c>
      <c r="D63" s="190">
        <f>'Catchment Births'!Q63</f>
        <v>63</v>
      </c>
      <c r="E63" s="190">
        <f>'Catchment Births'!R63</f>
        <v>53</v>
      </c>
      <c r="F63" s="190">
        <f>'Catchment Births'!S63</f>
        <v>60</v>
      </c>
      <c r="G63" s="190">
        <f>'Catchment Births'!T63</f>
        <v>60</v>
      </c>
      <c r="H63" s="190">
        <f>'Catchment Births'!U63</f>
        <v>59</v>
      </c>
      <c r="I63" s="190">
        <f>'Catchment Births'!V63</f>
        <v>61</v>
      </c>
      <c r="J63" s="195">
        <f>'Catchment Births'!W63</f>
        <v>69</v>
      </c>
      <c r="K63" s="190">
        <f t="shared" si="37"/>
        <v>63.688205887798553</v>
      </c>
      <c r="L63" s="190">
        <f t="shared" si="51"/>
        <v>64.598037400481388</v>
      </c>
      <c r="M63" s="190">
        <f t="shared" si="52"/>
        <v>65.379559340862798</v>
      </c>
      <c r="N63" s="190">
        <f t="shared" si="53"/>
        <v>65.997778189224206</v>
      </c>
      <c r="O63" s="190">
        <f t="shared" si="54"/>
        <v>66.47602295871134</v>
      </c>
      <c r="P63" s="190">
        <f t="shared" si="55"/>
        <v>66.802629142751329</v>
      </c>
      <c r="Q63" s="190">
        <f t="shared" si="56"/>
        <v>66.989261247917042</v>
      </c>
      <c r="R63" s="190">
        <f t="shared" si="57"/>
        <v>67.199222366228469</v>
      </c>
      <c r="S63" s="190">
        <f t="shared" si="58"/>
        <v>67.210886872801325</v>
      </c>
      <c r="T63" s="195">
        <f t="shared" si="59"/>
        <v>67.187557859655612</v>
      </c>
      <c r="U63" s="190">
        <f>'All P1 In Catchment'!G62</f>
        <v>68</v>
      </c>
      <c r="V63" s="190">
        <f>'All P1 In Catchment'!I62</f>
        <v>74</v>
      </c>
      <c r="W63" s="190">
        <f>'All P1 In Catchment'!K62</f>
        <v>68</v>
      </c>
      <c r="X63" s="180">
        <f>'All P1 In Catchment'!M62</f>
        <v>76</v>
      </c>
      <c r="Y63" s="180">
        <f>'All P1 In Catchment'!O62</f>
        <v>89</v>
      </c>
      <c r="Z63" s="191">
        <f t="shared" si="60"/>
        <v>74</v>
      </c>
      <c r="AA63" s="180">
        <f t="shared" si="61"/>
        <v>73</v>
      </c>
      <c r="AB63" s="180">
        <f t="shared" si="76"/>
        <v>75</v>
      </c>
      <c r="AC63" s="180">
        <f t="shared" si="77"/>
        <v>85</v>
      </c>
      <c r="AD63" s="180">
        <f t="shared" si="78"/>
        <v>79</v>
      </c>
      <c r="AE63" s="180">
        <f t="shared" si="79"/>
        <v>80</v>
      </c>
      <c r="AF63" s="180">
        <f t="shared" si="80"/>
        <v>81</v>
      </c>
      <c r="AG63" s="180">
        <f t="shared" si="81"/>
        <v>82</v>
      </c>
      <c r="AH63" s="180">
        <f t="shared" si="82"/>
        <v>82</v>
      </c>
      <c r="AI63" s="180">
        <f t="shared" si="83"/>
        <v>83</v>
      </c>
      <c r="AJ63" s="180">
        <f t="shared" si="84"/>
        <v>83</v>
      </c>
      <c r="AK63" s="180">
        <f t="shared" si="85"/>
        <v>83</v>
      </c>
      <c r="AL63" s="180">
        <f t="shared" si="86"/>
        <v>83</v>
      </c>
      <c r="AM63" s="181">
        <f t="shared" si="87"/>
        <v>83</v>
      </c>
      <c r="AN63" s="180">
        <f>'All P1 In Catchment'!F62</f>
        <v>62</v>
      </c>
      <c r="AO63" s="180">
        <f>'All P1 In Catchment'!H62</f>
        <v>67</v>
      </c>
      <c r="AP63" s="180">
        <f>'All P1 In Catchment'!J62</f>
        <v>61</v>
      </c>
      <c r="AQ63" s="180">
        <f>'All P1 In Catchment'!L62</f>
        <v>68</v>
      </c>
      <c r="AR63" s="181">
        <f>'All P1 In Catchment'!N62</f>
        <v>80</v>
      </c>
      <c r="AS63" s="180">
        <f t="shared" si="62"/>
        <v>66</v>
      </c>
      <c r="AT63" s="180">
        <f t="shared" si="63"/>
        <v>65</v>
      </c>
      <c r="AU63" s="180">
        <f t="shared" si="64"/>
        <v>67</v>
      </c>
      <c r="AV63" s="180">
        <f t="shared" si="65"/>
        <v>76</v>
      </c>
      <c r="AW63" s="180">
        <f t="shared" si="66"/>
        <v>71</v>
      </c>
      <c r="AX63" s="180">
        <f t="shared" si="67"/>
        <v>72</v>
      </c>
      <c r="AY63" s="180">
        <f t="shared" si="68"/>
        <v>73</v>
      </c>
      <c r="AZ63" s="180">
        <f t="shared" si="69"/>
        <v>74</v>
      </c>
      <c r="BA63" s="180">
        <f t="shared" si="70"/>
        <v>74</v>
      </c>
      <c r="BB63" s="180">
        <f t="shared" si="71"/>
        <v>74</v>
      </c>
      <c r="BC63" s="180">
        <f t="shared" si="72"/>
        <v>74</v>
      </c>
      <c r="BD63" s="180">
        <f t="shared" si="73"/>
        <v>74</v>
      </c>
      <c r="BE63" s="180">
        <f t="shared" si="74"/>
        <v>74</v>
      </c>
      <c r="BF63" s="180">
        <f t="shared" si="75"/>
        <v>74</v>
      </c>
      <c r="BG63" s="191">
        <f>AR63+'Housing Generation'!B62</f>
        <v>83</v>
      </c>
      <c r="BH63" s="180">
        <f>AS63+'Housing Generation'!J62</f>
        <v>68</v>
      </c>
      <c r="BI63" s="180">
        <f>AT63+'Housing Generation'!R62</f>
        <v>67</v>
      </c>
      <c r="BJ63" s="180">
        <f>AU63+'Housing Generation'!Z62</f>
        <v>72</v>
      </c>
      <c r="BK63" s="180">
        <f>AV63+'Housing Generation'!AH62</f>
        <v>84</v>
      </c>
      <c r="BL63" s="180">
        <f>AW63+'Housing Generation'!AP62</f>
        <v>81</v>
      </c>
      <c r="BM63" s="180">
        <f>AX63+'Housing Generation'!AX62</f>
        <v>84</v>
      </c>
      <c r="BN63" s="180">
        <f>AY63+'Housing Generation'!BF62</f>
        <v>86</v>
      </c>
      <c r="BO63" s="180">
        <f>AZ63+'Housing Generation'!BN62</f>
        <v>89</v>
      </c>
      <c r="BP63" s="180">
        <f>BA63+'Housing Generation'!BV62</f>
        <v>90</v>
      </c>
      <c r="BQ63" s="180">
        <f>BB63+'Housing Generation'!CD62</f>
        <v>90</v>
      </c>
      <c r="BR63" s="180">
        <f>BC63+'Housing Generation'!CL62</f>
        <v>91</v>
      </c>
      <c r="BS63" s="180">
        <f>BD63+'Housing Generation'!CT62</f>
        <v>92</v>
      </c>
      <c r="BT63" s="180">
        <f>BE63+'Housing Generation'!DB62</f>
        <v>93</v>
      </c>
      <c r="BU63" s="181">
        <f>BF63+'Housing Generation'!DJ62</f>
        <v>93</v>
      </c>
      <c r="BV63" s="180">
        <f>'P1 Retained'!D62</f>
        <v>55</v>
      </c>
      <c r="BW63" s="192">
        <f>'P1 Retained'!E62</f>
        <v>54</v>
      </c>
      <c r="BX63" s="192">
        <f>'P1 Retained'!F62</f>
        <v>59</v>
      </c>
      <c r="BY63" s="192">
        <f>'P1 Retained'!G62</f>
        <v>64</v>
      </c>
      <c r="BZ63" s="192">
        <f>'P1 Retained'!H62</f>
        <v>67</v>
      </c>
    </row>
    <row r="64" spans="1:78">
      <c r="A64" s="178" t="s">
        <v>59</v>
      </c>
      <c r="B64" s="190">
        <f>'Catchment Births'!O64</f>
        <v>24</v>
      </c>
      <c r="C64" s="190">
        <f>'Catchment Births'!P64</f>
        <v>20</v>
      </c>
      <c r="D64" s="190">
        <f>'Catchment Births'!Q64</f>
        <v>16</v>
      </c>
      <c r="E64" s="190">
        <f>'Catchment Births'!R64</f>
        <v>28</v>
      </c>
      <c r="F64" s="190">
        <f>'Catchment Births'!S64</f>
        <v>28</v>
      </c>
      <c r="G64" s="190">
        <f>'Catchment Births'!T64</f>
        <v>32</v>
      </c>
      <c r="H64" s="190">
        <f>'Catchment Births'!U64</f>
        <v>29</v>
      </c>
      <c r="I64" s="190">
        <f>'Catchment Births'!V64</f>
        <v>28</v>
      </c>
      <c r="J64" s="195">
        <f>'Catchment Births'!W64</f>
        <v>28</v>
      </c>
      <c r="K64" s="190">
        <f t="shared" si="37"/>
        <v>28.642843917793002</v>
      </c>
      <c r="L64" s="190">
        <f t="shared" si="51"/>
        <v>29.0520274023329</v>
      </c>
      <c r="M64" s="190">
        <f t="shared" si="52"/>
        <v>29.403505523668457</v>
      </c>
      <c r="N64" s="190">
        <f t="shared" si="53"/>
        <v>29.681540455471211</v>
      </c>
      <c r="O64" s="190">
        <f t="shared" si="54"/>
        <v>29.896624081960134</v>
      </c>
      <c r="P64" s="190">
        <f t="shared" si="55"/>
        <v>30.04351046102574</v>
      </c>
      <c r="Q64" s="190">
        <f t="shared" si="56"/>
        <v>30.127445534777515</v>
      </c>
      <c r="R64" s="190">
        <f t="shared" si="57"/>
        <v>30.221872492748261</v>
      </c>
      <c r="S64" s="190">
        <f t="shared" si="58"/>
        <v>30.227118434857747</v>
      </c>
      <c r="T64" s="195">
        <f t="shared" si="59"/>
        <v>30.216626550638775</v>
      </c>
      <c r="U64" s="190">
        <f>'All P1 In Catchment'!G63</f>
        <v>42</v>
      </c>
      <c r="V64" s="190">
        <f>'All P1 In Catchment'!I63</f>
        <v>25</v>
      </c>
      <c r="W64" s="190">
        <f>'All P1 In Catchment'!K63</f>
        <v>38</v>
      </c>
      <c r="X64" s="180">
        <f>'All P1 In Catchment'!M63</f>
        <v>34</v>
      </c>
      <c r="Y64" s="180">
        <f>'All P1 In Catchment'!O63</f>
        <v>37</v>
      </c>
      <c r="Z64" s="191">
        <f t="shared" si="60"/>
        <v>51</v>
      </c>
      <c r="AA64" s="180">
        <f t="shared" si="61"/>
        <v>46</v>
      </c>
      <c r="AB64" s="180">
        <f t="shared" si="76"/>
        <v>44</v>
      </c>
      <c r="AC64" s="180">
        <f t="shared" si="77"/>
        <v>44</v>
      </c>
      <c r="AD64" s="180">
        <f t="shared" si="78"/>
        <v>45</v>
      </c>
      <c r="AE64" s="180">
        <f t="shared" si="79"/>
        <v>46</v>
      </c>
      <c r="AF64" s="180">
        <f t="shared" si="80"/>
        <v>47</v>
      </c>
      <c r="AG64" s="180">
        <f t="shared" si="81"/>
        <v>47</v>
      </c>
      <c r="AH64" s="180">
        <f t="shared" si="82"/>
        <v>47</v>
      </c>
      <c r="AI64" s="180">
        <f t="shared" si="83"/>
        <v>48</v>
      </c>
      <c r="AJ64" s="180">
        <f t="shared" si="84"/>
        <v>48</v>
      </c>
      <c r="AK64" s="180">
        <f t="shared" si="85"/>
        <v>48</v>
      </c>
      <c r="AL64" s="180">
        <f t="shared" si="86"/>
        <v>48</v>
      </c>
      <c r="AM64" s="181">
        <f t="shared" si="87"/>
        <v>48</v>
      </c>
      <c r="AN64" s="180">
        <f>'All P1 In Catchment'!F63</f>
        <v>42</v>
      </c>
      <c r="AO64" s="180">
        <f>'All P1 In Catchment'!H63</f>
        <v>25</v>
      </c>
      <c r="AP64" s="180">
        <f>'All P1 In Catchment'!J63</f>
        <v>38</v>
      </c>
      <c r="AQ64" s="180">
        <f>'All P1 In Catchment'!L63</f>
        <v>34</v>
      </c>
      <c r="AR64" s="181">
        <f>'All P1 In Catchment'!N63</f>
        <v>37</v>
      </c>
      <c r="AS64" s="180">
        <f t="shared" si="62"/>
        <v>51</v>
      </c>
      <c r="AT64" s="180">
        <f t="shared" si="63"/>
        <v>46</v>
      </c>
      <c r="AU64" s="180">
        <f t="shared" si="64"/>
        <v>44</v>
      </c>
      <c r="AV64" s="180">
        <f t="shared" si="65"/>
        <v>44</v>
      </c>
      <c r="AW64" s="180">
        <f t="shared" si="66"/>
        <v>45</v>
      </c>
      <c r="AX64" s="180">
        <f t="shared" si="67"/>
        <v>46</v>
      </c>
      <c r="AY64" s="180">
        <f t="shared" si="68"/>
        <v>47</v>
      </c>
      <c r="AZ64" s="180">
        <f t="shared" si="69"/>
        <v>47</v>
      </c>
      <c r="BA64" s="180">
        <f t="shared" si="70"/>
        <v>47</v>
      </c>
      <c r="BB64" s="180">
        <f t="shared" si="71"/>
        <v>48</v>
      </c>
      <c r="BC64" s="180">
        <f t="shared" si="72"/>
        <v>48</v>
      </c>
      <c r="BD64" s="180">
        <f t="shared" si="73"/>
        <v>48</v>
      </c>
      <c r="BE64" s="180">
        <f t="shared" si="74"/>
        <v>48</v>
      </c>
      <c r="BF64" s="180">
        <f t="shared" si="75"/>
        <v>48</v>
      </c>
      <c r="BG64" s="191">
        <f>AR64+'Housing Generation'!B63</f>
        <v>38</v>
      </c>
      <c r="BH64" s="180">
        <f>AS64+'Housing Generation'!J63</f>
        <v>53</v>
      </c>
      <c r="BI64" s="180">
        <f>AT64+'Housing Generation'!R63</f>
        <v>48</v>
      </c>
      <c r="BJ64" s="180">
        <f>AU64+'Housing Generation'!Z63</f>
        <v>46</v>
      </c>
      <c r="BK64" s="180">
        <f>AV64+'Housing Generation'!AH63</f>
        <v>46</v>
      </c>
      <c r="BL64" s="180">
        <f>AW64+'Housing Generation'!AP63</f>
        <v>47</v>
      </c>
      <c r="BM64" s="180">
        <f>AX64+'Housing Generation'!AX63</f>
        <v>48</v>
      </c>
      <c r="BN64" s="180">
        <f>AY64+'Housing Generation'!BF63</f>
        <v>49</v>
      </c>
      <c r="BO64" s="180">
        <f>AZ64+'Housing Generation'!BN63</f>
        <v>49</v>
      </c>
      <c r="BP64" s="180">
        <f>BA64+'Housing Generation'!BV63</f>
        <v>49</v>
      </c>
      <c r="BQ64" s="180">
        <f>BB64+'Housing Generation'!CD63</f>
        <v>50</v>
      </c>
      <c r="BR64" s="180">
        <f>BC64+'Housing Generation'!CL63</f>
        <v>50</v>
      </c>
      <c r="BS64" s="180">
        <f>BD64+'Housing Generation'!CT63</f>
        <v>50</v>
      </c>
      <c r="BT64" s="180">
        <f>BE64+'Housing Generation'!DB63</f>
        <v>50</v>
      </c>
      <c r="BU64" s="181">
        <f>BF64+'Housing Generation'!DJ63</f>
        <v>50</v>
      </c>
      <c r="BV64" s="180">
        <f>'P1 Retained'!D63</f>
        <v>40</v>
      </c>
      <c r="BW64" s="192">
        <f>'P1 Retained'!E63</f>
        <v>25</v>
      </c>
      <c r="BX64" s="192">
        <f>'P1 Retained'!F63</f>
        <v>37</v>
      </c>
      <c r="BY64" s="192">
        <f>'P1 Retained'!G63</f>
        <v>34</v>
      </c>
      <c r="BZ64" s="192">
        <f>'P1 Retained'!H63</f>
        <v>36</v>
      </c>
    </row>
    <row r="65" spans="1:78">
      <c r="A65" s="178" t="s">
        <v>60</v>
      </c>
      <c r="B65" s="190">
        <f>'Catchment Births'!O65</f>
        <v>86</v>
      </c>
      <c r="C65" s="190">
        <f>'Catchment Births'!P65</f>
        <v>79</v>
      </c>
      <c r="D65" s="190">
        <f>'Catchment Births'!Q65</f>
        <v>69</v>
      </c>
      <c r="E65" s="190">
        <f>'Catchment Births'!R65</f>
        <v>85</v>
      </c>
      <c r="F65" s="190">
        <f>'Catchment Births'!S65</f>
        <v>74</v>
      </c>
      <c r="G65" s="190">
        <f>'Catchment Births'!T65</f>
        <v>75</v>
      </c>
      <c r="H65" s="190">
        <f>'Catchment Births'!U65</f>
        <v>63</v>
      </c>
      <c r="I65" s="190">
        <f>'Catchment Births'!V65</f>
        <v>81</v>
      </c>
      <c r="J65" s="195">
        <f>'Catchment Births'!W65</f>
        <v>48</v>
      </c>
      <c r="K65" s="190">
        <f t="shared" si="37"/>
        <v>64.69912979077948</v>
      </c>
      <c r="L65" s="190">
        <f t="shared" si="51"/>
        <v>65.623403073504903</v>
      </c>
      <c r="M65" s="190">
        <f t="shared" si="52"/>
        <v>66.417330124051105</v>
      </c>
      <c r="N65" s="190">
        <f t="shared" si="53"/>
        <v>67.045361970005558</v>
      </c>
      <c r="O65" s="190">
        <f t="shared" si="54"/>
        <v>67.531197926309943</v>
      </c>
      <c r="P65" s="190">
        <f t="shared" si="55"/>
        <v>67.862988335493426</v>
      </c>
      <c r="Q65" s="190">
        <f t="shared" si="56"/>
        <v>68.052582855026841</v>
      </c>
      <c r="R65" s="190">
        <f t="shared" si="57"/>
        <v>68.265876689501937</v>
      </c>
      <c r="S65" s="190">
        <f t="shared" si="58"/>
        <v>68.27772634697277</v>
      </c>
      <c r="T65" s="195">
        <f t="shared" si="59"/>
        <v>68.25402703203109</v>
      </c>
      <c r="U65" s="190">
        <f>'All P1 In Catchment'!G64</f>
        <v>34</v>
      </c>
      <c r="V65" s="190">
        <f>'All P1 In Catchment'!I64</f>
        <v>41</v>
      </c>
      <c r="W65" s="190">
        <f>'All P1 In Catchment'!K64</f>
        <v>34</v>
      </c>
      <c r="X65" s="180">
        <f>'All P1 In Catchment'!M64</f>
        <v>29</v>
      </c>
      <c r="Y65" s="180">
        <f>'All P1 In Catchment'!O64</f>
        <v>34</v>
      </c>
      <c r="Z65" s="191">
        <f t="shared" si="60"/>
        <v>33</v>
      </c>
      <c r="AA65" s="180">
        <f t="shared" si="61"/>
        <v>28</v>
      </c>
      <c r="AB65" s="180">
        <f t="shared" si="76"/>
        <v>36</v>
      </c>
      <c r="AC65" s="180">
        <f t="shared" si="77"/>
        <v>21</v>
      </c>
      <c r="AD65" s="180">
        <f t="shared" si="78"/>
        <v>29</v>
      </c>
      <c r="AE65" s="180">
        <f t="shared" si="79"/>
        <v>29</v>
      </c>
      <c r="AF65" s="180">
        <f t="shared" si="80"/>
        <v>29</v>
      </c>
      <c r="AG65" s="180">
        <f t="shared" si="81"/>
        <v>30</v>
      </c>
      <c r="AH65" s="180">
        <f t="shared" si="82"/>
        <v>30</v>
      </c>
      <c r="AI65" s="180">
        <f t="shared" si="83"/>
        <v>30</v>
      </c>
      <c r="AJ65" s="180">
        <f t="shared" si="84"/>
        <v>30</v>
      </c>
      <c r="AK65" s="180">
        <f t="shared" si="85"/>
        <v>30</v>
      </c>
      <c r="AL65" s="180">
        <f t="shared" si="86"/>
        <v>30</v>
      </c>
      <c r="AM65" s="181">
        <f t="shared" si="87"/>
        <v>30</v>
      </c>
      <c r="AN65" s="180">
        <f>'All P1 In Catchment'!F64</f>
        <v>34</v>
      </c>
      <c r="AO65" s="180">
        <f>'All P1 In Catchment'!H64</f>
        <v>39</v>
      </c>
      <c r="AP65" s="180">
        <f>'All P1 In Catchment'!J64</f>
        <v>33</v>
      </c>
      <c r="AQ65" s="180">
        <f>'All P1 In Catchment'!L64</f>
        <v>28</v>
      </c>
      <c r="AR65" s="181">
        <f>'All P1 In Catchment'!N64</f>
        <v>33</v>
      </c>
      <c r="AS65" s="180">
        <f t="shared" si="62"/>
        <v>32</v>
      </c>
      <c r="AT65" s="180">
        <f t="shared" si="63"/>
        <v>27</v>
      </c>
      <c r="AU65" s="180">
        <f t="shared" si="64"/>
        <v>35</v>
      </c>
      <c r="AV65" s="180">
        <f t="shared" si="65"/>
        <v>20</v>
      </c>
      <c r="AW65" s="180">
        <f t="shared" si="66"/>
        <v>28</v>
      </c>
      <c r="AX65" s="180">
        <f t="shared" si="67"/>
        <v>28</v>
      </c>
      <c r="AY65" s="180">
        <f t="shared" si="68"/>
        <v>28</v>
      </c>
      <c r="AZ65" s="180">
        <f t="shared" si="69"/>
        <v>29</v>
      </c>
      <c r="BA65" s="180">
        <f t="shared" si="70"/>
        <v>29</v>
      </c>
      <c r="BB65" s="180">
        <f t="shared" si="71"/>
        <v>29</v>
      </c>
      <c r="BC65" s="180">
        <f t="shared" si="72"/>
        <v>29</v>
      </c>
      <c r="BD65" s="180">
        <f t="shared" si="73"/>
        <v>29</v>
      </c>
      <c r="BE65" s="180">
        <f t="shared" si="74"/>
        <v>29</v>
      </c>
      <c r="BF65" s="180">
        <f t="shared" si="75"/>
        <v>29</v>
      </c>
      <c r="BG65" s="191">
        <f>AR65+'Housing Generation'!B64</f>
        <v>33</v>
      </c>
      <c r="BH65" s="180">
        <f>AS65+'Housing Generation'!J64</f>
        <v>33</v>
      </c>
      <c r="BI65" s="180">
        <f>AT65+'Housing Generation'!R64</f>
        <v>28</v>
      </c>
      <c r="BJ65" s="180">
        <f>AU65+'Housing Generation'!Z64</f>
        <v>37</v>
      </c>
      <c r="BK65" s="180">
        <f>AV65+'Housing Generation'!AH64</f>
        <v>22</v>
      </c>
      <c r="BL65" s="180">
        <f>AW65+'Housing Generation'!AP64</f>
        <v>31</v>
      </c>
      <c r="BM65" s="180">
        <f>AX65+'Housing Generation'!AX64</f>
        <v>31</v>
      </c>
      <c r="BN65" s="180">
        <f>AY65+'Housing Generation'!BF64</f>
        <v>31</v>
      </c>
      <c r="BO65" s="180">
        <f>AZ65+'Housing Generation'!BN64</f>
        <v>32</v>
      </c>
      <c r="BP65" s="180">
        <f>BA65+'Housing Generation'!BV64</f>
        <v>32</v>
      </c>
      <c r="BQ65" s="180">
        <f>BB65+'Housing Generation'!CD64</f>
        <v>32</v>
      </c>
      <c r="BR65" s="180">
        <f>BC65+'Housing Generation'!CL64</f>
        <v>32</v>
      </c>
      <c r="BS65" s="180">
        <f>BD65+'Housing Generation'!CT64</f>
        <v>32</v>
      </c>
      <c r="BT65" s="180">
        <f>BE65+'Housing Generation'!DB64</f>
        <v>32</v>
      </c>
      <c r="BU65" s="181">
        <f>BF65+'Housing Generation'!DJ64</f>
        <v>32</v>
      </c>
      <c r="BV65" s="180">
        <f>'P1 Retained'!D64</f>
        <v>34</v>
      </c>
      <c r="BW65" s="192">
        <f>'P1 Retained'!E64</f>
        <v>36</v>
      </c>
      <c r="BX65" s="192">
        <f>'P1 Retained'!F64</f>
        <v>31</v>
      </c>
      <c r="BY65" s="192">
        <f>'P1 Retained'!G64</f>
        <v>26</v>
      </c>
      <c r="BZ65" s="192">
        <f>'P1 Retained'!H64</f>
        <v>33</v>
      </c>
    </row>
    <row r="66" spans="1:78">
      <c r="A66" s="178" t="s">
        <v>61</v>
      </c>
      <c r="B66" s="190">
        <f>'Catchment Births'!O66</f>
        <v>55</v>
      </c>
      <c r="C66" s="190">
        <f>'Catchment Births'!P66</f>
        <v>60</v>
      </c>
      <c r="D66" s="190">
        <f>'Catchment Births'!Q66</f>
        <v>51</v>
      </c>
      <c r="E66" s="190">
        <f>'Catchment Births'!R66</f>
        <v>46</v>
      </c>
      <c r="F66" s="190">
        <f>'Catchment Births'!S66</f>
        <v>54</v>
      </c>
      <c r="G66" s="190">
        <f>'Catchment Births'!T66</f>
        <v>43</v>
      </c>
      <c r="H66" s="190">
        <f>'Catchment Births'!U66</f>
        <v>34</v>
      </c>
      <c r="I66" s="190">
        <f>'Catchment Births'!V66</f>
        <v>40</v>
      </c>
      <c r="J66" s="195">
        <f>'Catchment Births'!W66</f>
        <v>35</v>
      </c>
      <c r="K66" s="190">
        <f t="shared" si="37"/>
        <v>36.730235141640442</v>
      </c>
      <c r="L66" s="190">
        <f t="shared" si="51"/>
        <v>37.254952786521017</v>
      </c>
      <c r="M66" s="190">
        <f t="shared" si="52"/>
        <v>37.705671789174843</v>
      </c>
      <c r="N66" s="190">
        <f t="shared" si="53"/>
        <v>38.062210701721902</v>
      </c>
      <c r="O66" s="190">
        <f t="shared" si="54"/>
        <v>38.338023822748873</v>
      </c>
      <c r="P66" s="190">
        <f t="shared" si="55"/>
        <v>38.526384002962416</v>
      </c>
      <c r="Q66" s="190">
        <f t="shared" si="56"/>
        <v>38.634018391655871</v>
      </c>
      <c r="R66" s="190">
        <f t="shared" si="57"/>
        <v>38.755107078936007</v>
      </c>
      <c r="S66" s="190">
        <f t="shared" si="58"/>
        <v>38.761834228229347</v>
      </c>
      <c r="T66" s="195">
        <f t="shared" si="59"/>
        <v>38.748379929642667</v>
      </c>
      <c r="U66" s="190">
        <f>'All P1 In Catchment'!G65</f>
        <v>26</v>
      </c>
      <c r="V66" s="190">
        <f>'All P1 In Catchment'!I65</f>
        <v>26</v>
      </c>
      <c r="W66" s="190">
        <f>'All P1 In Catchment'!K65</f>
        <v>25</v>
      </c>
      <c r="X66" s="180">
        <f>'All P1 In Catchment'!M65</f>
        <v>27</v>
      </c>
      <c r="Y66" s="180">
        <f>'All P1 In Catchment'!O65</f>
        <v>31</v>
      </c>
      <c r="Z66" s="191">
        <f t="shared" si="60"/>
        <v>22</v>
      </c>
      <c r="AA66" s="180">
        <f t="shared" si="61"/>
        <v>17</v>
      </c>
      <c r="AB66" s="180">
        <f t="shared" si="76"/>
        <v>20</v>
      </c>
      <c r="AC66" s="180">
        <f t="shared" si="77"/>
        <v>18</v>
      </c>
      <c r="AD66" s="180">
        <f t="shared" si="78"/>
        <v>19</v>
      </c>
      <c r="AE66" s="180">
        <f t="shared" si="79"/>
        <v>19</v>
      </c>
      <c r="AF66" s="180">
        <f t="shared" si="80"/>
        <v>19</v>
      </c>
      <c r="AG66" s="180">
        <f t="shared" si="81"/>
        <v>19</v>
      </c>
      <c r="AH66" s="180">
        <f t="shared" si="82"/>
        <v>20</v>
      </c>
      <c r="AI66" s="180">
        <f t="shared" si="83"/>
        <v>20</v>
      </c>
      <c r="AJ66" s="180">
        <f t="shared" si="84"/>
        <v>20</v>
      </c>
      <c r="AK66" s="180">
        <f t="shared" si="85"/>
        <v>20</v>
      </c>
      <c r="AL66" s="180">
        <f t="shared" si="86"/>
        <v>20</v>
      </c>
      <c r="AM66" s="181">
        <f t="shared" si="87"/>
        <v>20</v>
      </c>
      <c r="AN66" s="180">
        <f>'All P1 In Catchment'!F65</f>
        <v>26</v>
      </c>
      <c r="AO66" s="180">
        <f>'All P1 In Catchment'!H65</f>
        <v>24</v>
      </c>
      <c r="AP66" s="180">
        <f>'All P1 In Catchment'!J65</f>
        <v>25</v>
      </c>
      <c r="AQ66" s="180">
        <f>'All P1 In Catchment'!L65</f>
        <v>26</v>
      </c>
      <c r="AR66" s="181">
        <f>'All P1 In Catchment'!N65</f>
        <v>29</v>
      </c>
      <c r="AS66" s="180">
        <f t="shared" si="62"/>
        <v>21</v>
      </c>
      <c r="AT66" s="180">
        <f t="shared" si="63"/>
        <v>16</v>
      </c>
      <c r="AU66" s="180">
        <f t="shared" si="64"/>
        <v>19</v>
      </c>
      <c r="AV66" s="180">
        <f t="shared" si="65"/>
        <v>17</v>
      </c>
      <c r="AW66" s="180">
        <f t="shared" si="66"/>
        <v>18</v>
      </c>
      <c r="AX66" s="180">
        <f t="shared" si="67"/>
        <v>18</v>
      </c>
      <c r="AY66" s="180">
        <f t="shared" si="68"/>
        <v>18</v>
      </c>
      <c r="AZ66" s="180">
        <f t="shared" si="69"/>
        <v>18</v>
      </c>
      <c r="BA66" s="180">
        <f t="shared" si="70"/>
        <v>19</v>
      </c>
      <c r="BB66" s="180">
        <f t="shared" si="71"/>
        <v>19</v>
      </c>
      <c r="BC66" s="180">
        <f t="shared" si="72"/>
        <v>19</v>
      </c>
      <c r="BD66" s="180">
        <f t="shared" si="73"/>
        <v>19</v>
      </c>
      <c r="BE66" s="180">
        <f t="shared" si="74"/>
        <v>19</v>
      </c>
      <c r="BF66" s="180">
        <f t="shared" si="75"/>
        <v>19</v>
      </c>
      <c r="BG66" s="191">
        <f>AR66+'Housing Generation'!B65</f>
        <v>29</v>
      </c>
      <c r="BH66" s="180">
        <f>AS66+'Housing Generation'!J65</f>
        <v>21</v>
      </c>
      <c r="BI66" s="180">
        <f>AT66+'Housing Generation'!R65</f>
        <v>16</v>
      </c>
      <c r="BJ66" s="180">
        <f>AU66+'Housing Generation'!Z65</f>
        <v>20</v>
      </c>
      <c r="BK66" s="180">
        <f>AV66+'Housing Generation'!AH65</f>
        <v>18</v>
      </c>
      <c r="BL66" s="180">
        <f>AW66+'Housing Generation'!AP65</f>
        <v>20</v>
      </c>
      <c r="BM66" s="180">
        <f>AX66+'Housing Generation'!AX65</f>
        <v>21</v>
      </c>
      <c r="BN66" s="180">
        <f>AY66+'Housing Generation'!BF65</f>
        <v>21</v>
      </c>
      <c r="BO66" s="180">
        <f>AZ66+'Housing Generation'!BN65</f>
        <v>21</v>
      </c>
      <c r="BP66" s="180">
        <f>BA66+'Housing Generation'!BV65</f>
        <v>22</v>
      </c>
      <c r="BQ66" s="180">
        <f>BB66+'Housing Generation'!CD65</f>
        <v>22</v>
      </c>
      <c r="BR66" s="180">
        <f>BC66+'Housing Generation'!CL65</f>
        <v>22</v>
      </c>
      <c r="BS66" s="180">
        <f>BD66+'Housing Generation'!CT65</f>
        <v>22</v>
      </c>
      <c r="BT66" s="180">
        <f>BE66+'Housing Generation'!DB65</f>
        <v>22</v>
      </c>
      <c r="BU66" s="181">
        <f>BF66+'Housing Generation'!DJ65</f>
        <v>22</v>
      </c>
      <c r="BV66" s="180">
        <f>'P1 Retained'!D65</f>
        <v>15</v>
      </c>
      <c r="BW66" s="192">
        <f>'P1 Retained'!E65</f>
        <v>20</v>
      </c>
      <c r="BX66" s="192">
        <f>'P1 Retained'!F65</f>
        <v>15</v>
      </c>
      <c r="BY66" s="192">
        <f>'P1 Retained'!G65</f>
        <v>21</v>
      </c>
      <c r="BZ66" s="192">
        <f>'P1 Retained'!H65</f>
        <v>20</v>
      </c>
    </row>
    <row r="67" spans="1:78">
      <c r="A67" s="178" t="s">
        <v>62</v>
      </c>
      <c r="B67" s="190">
        <f>'Catchment Births'!O67</f>
        <v>83</v>
      </c>
      <c r="C67" s="190">
        <f>'Catchment Births'!P67</f>
        <v>79</v>
      </c>
      <c r="D67" s="190">
        <f>'Catchment Births'!Q67</f>
        <v>77</v>
      </c>
      <c r="E67" s="190">
        <f>'Catchment Births'!R67</f>
        <v>78</v>
      </c>
      <c r="F67" s="190">
        <f>'Catchment Births'!S67</f>
        <v>85</v>
      </c>
      <c r="G67" s="190">
        <f>'Catchment Births'!T67</f>
        <v>90</v>
      </c>
      <c r="H67" s="190">
        <f>'Catchment Births'!U67</f>
        <v>64</v>
      </c>
      <c r="I67" s="190">
        <f>'Catchment Births'!V67</f>
        <v>81</v>
      </c>
      <c r="J67" s="195">
        <f>'Catchment Births'!W67</f>
        <v>69</v>
      </c>
      <c r="K67" s="190">
        <f t="shared" si="37"/>
        <v>72.112571745972957</v>
      </c>
      <c r="L67" s="190">
        <f t="shared" si="51"/>
        <v>73.142751342343999</v>
      </c>
      <c r="M67" s="190">
        <f t="shared" si="52"/>
        <v>74.027649200765282</v>
      </c>
      <c r="N67" s="190">
        <f t="shared" si="53"/>
        <v>74.727643029068687</v>
      </c>
      <c r="O67" s="190">
        <f t="shared" si="54"/>
        <v>75.269147688699618</v>
      </c>
      <c r="P67" s="190">
        <f t="shared" si="55"/>
        <v>75.638955748935373</v>
      </c>
      <c r="Q67" s="190">
        <f t="shared" si="56"/>
        <v>75.850274640498668</v>
      </c>
      <c r="R67" s="190">
        <f t="shared" si="57"/>
        <v>76.088008393507366</v>
      </c>
      <c r="S67" s="190">
        <f t="shared" si="58"/>
        <v>76.101215824230067</v>
      </c>
      <c r="T67" s="195">
        <f t="shared" si="59"/>
        <v>76.07480096278465</v>
      </c>
      <c r="U67" s="190">
        <f>'All P1 In Catchment'!G66</f>
        <v>80</v>
      </c>
      <c r="V67" s="190">
        <f>'All P1 In Catchment'!I66</f>
        <v>83</v>
      </c>
      <c r="W67" s="190">
        <f>'All P1 In Catchment'!K66</f>
        <v>79</v>
      </c>
      <c r="X67" s="180">
        <f>'All P1 In Catchment'!M66</f>
        <v>97</v>
      </c>
      <c r="Y67" s="180">
        <f>'All P1 In Catchment'!O66</f>
        <v>83</v>
      </c>
      <c r="Z67" s="191">
        <f t="shared" si="60"/>
        <v>95</v>
      </c>
      <c r="AA67" s="180">
        <f t="shared" si="61"/>
        <v>67</v>
      </c>
      <c r="AB67" s="180">
        <f t="shared" si="76"/>
        <v>85</v>
      </c>
      <c r="AC67" s="180">
        <f t="shared" si="77"/>
        <v>73</v>
      </c>
      <c r="AD67" s="180">
        <f t="shared" si="78"/>
        <v>76</v>
      </c>
      <c r="AE67" s="180">
        <f t="shared" si="79"/>
        <v>77</v>
      </c>
      <c r="AF67" s="180">
        <f t="shared" si="80"/>
        <v>78</v>
      </c>
      <c r="AG67" s="180">
        <f t="shared" si="81"/>
        <v>79</v>
      </c>
      <c r="AH67" s="180">
        <f t="shared" si="82"/>
        <v>79</v>
      </c>
      <c r="AI67" s="180">
        <f t="shared" si="83"/>
        <v>80</v>
      </c>
      <c r="AJ67" s="180">
        <f t="shared" si="84"/>
        <v>80</v>
      </c>
      <c r="AK67" s="180">
        <f t="shared" si="85"/>
        <v>80</v>
      </c>
      <c r="AL67" s="180">
        <f t="shared" si="86"/>
        <v>80</v>
      </c>
      <c r="AM67" s="181">
        <f t="shared" si="87"/>
        <v>80</v>
      </c>
      <c r="AN67" s="180">
        <f>'All P1 In Catchment'!F66</f>
        <v>76</v>
      </c>
      <c r="AO67" s="180">
        <f>'All P1 In Catchment'!H66</f>
        <v>74</v>
      </c>
      <c r="AP67" s="180">
        <f>'All P1 In Catchment'!J66</f>
        <v>75</v>
      </c>
      <c r="AQ67" s="180">
        <f>'All P1 In Catchment'!L66</f>
        <v>93</v>
      </c>
      <c r="AR67" s="181">
        <f>'All P1 In Catchment'!N66</f>
        <v>79</v>
      </c>
      <c r="AS67" s="180">
        <f t="shared" si="62"/>
        <v>91</v>
      </c>
      <c r="AT67" s="180">
        <f t="shared" si="63"/>
        <v>64</v>
      </c>
      <c r="AU67" s="180">
        <f t="shared" si="64"/>
        <v>81</v>
      </c>
      <c r="AV67" s="180">
        <f t="shared" si="65"/>
        <v>70</v>
      </c>
      <c r="AW67" s="180">
        <f t="shared" si="66"/>
        <v>72</v>
      </c>
      <c r="AX67" s="180">
        <f t="shared" si="67"/>
        <v>73</v>
      </c>
      <c r="AY67" s="180">
        <f t="shared" si="68"/>
        <v>74</v>
      </c>
      <c r="AZ67" s="180">
        <f t="shared" si="69"/>
        <v>75</v>
      </c>
      <c r="BA67" s="180">
        <f t="shared" si="70"/>
        <v>75</v>
      </c>
      <c r="BB67" s="180">
        <f t="shared" si="71"/>
        <v>76</v>
      </c>
      <c r="BC67" s="180">
        <f t="shared" si="72"/>
        <v>76</v>
      </c>
      <c r="BD67" s="180">
        <f t="shared" si="73"/>
        <v>76</v>
      </c>
      <c r="BE67" s="180">
        <f t="shared" si="74"/>
        <v>76</v>
      </c>
      <c r="BF67" s="180">
        <f t="shared" si="75"/>
        <v>76</v>
      </c>
      <c r="BG67" s="191">
        <f>AR67+'Housing Generation'!B66</f>
        <v>79</v>
      </c>
      <c r="BH67" s="180">
        <f>AS67+'Housing Generation'!J66</f>
        <v>91</v>
      </c>
      <c r="BI67" s="180">
        <f>AT67+'Housing Generation'!R66</f>
        <v>64</v>
      </c>
      <c r="BJ67" s="180">
        <f>AU67+'Housing Generation'!Z66</f>
        <v>81</v>
      </c>
      <c r="BK67" s="180">
        <f>AV67+'Housing Generation'!AH66</f>
        <v>70</v>
      </c>
      <c r="BL67" s="180">
        <f>AW67+'Housing Generation'!AP66</f>
        <v>72</v>
      </c>
      <c r="BM67" s="180">
        <f>AX67+'Housing Generation'!AX66</f>
        <v>74</v>
      </c>
      <c r="BN67" s="180">
        <f>AY67+'Housing Generation'!BF66</f>
        <v>76</v>
      </c>
      <c r="BO67" s="180">
        <f>AZ67+'Housing Generation'!BN66</f>
        <v>77</v>
      </c>
      <c r="BP67" s="180">
        <f>BA67+'Housing Generation'!BV66</f>
        <v>77</v>
      </c>
      <c r="BQ67" s="180">
        <f>BB67+'Housing Generation'!CD66</f>
        <v>78</v>
      </c>
      <c r="BR67" s="180">
        <f>BC67+'Housing Generation'!CL66</f>
        <v>78</v>
      </c>
      <c r="BS67" s="180">
        <f>BD67+'Housing Generation'!CT66</f>
        <v>78</v>
      </c>
      <c r="BT67" s="180">
        <f>BE67+'Housing Generation'!DB66</f>
        <v>78</v>
      </c>
      <c r="BU67" s="181">
        <f>BF67+'Housing Generation'!DJ66</f>
        <v>78</v>
      </c>
      <c r="BV67" s="180">
        <f>'P1 Retained'!D66</f>
        <v>73</v>
      </c>
      <c r="BW67" s="192">
        <f>'P1 Retained'!E66</f>
        <v>73</v>
      </c>
      <c r="BX67" s="192">
        <f>'P1 Retained'!F66</f>
        <v>72</v>
      </c>
      <c r="BY67" s="192">
        <f>'P1 Retained'!G66</f>
        <v>93</v>
      </c>
      <c r="BZ67" s="192">
        <f>'P1 Retained'!H66</f>
        <v>77</v>
      </c>
    </row>
    <row r="68" spans="1:78">
      <c r="A68" s="178" t="s">
        <v>63</v>
      </c>
      <c r="B68" s="190">
        <f>'Catchment Births'!O68</f>
        <v>77</v>
      </c>
      <c r="C68" s="190">
        <f>'Catchment Births'!P68</f>
        <v>81</v>
      </c>
      <c r="D68" s="190">
        <f>'Catchment Births'!Q68</f>
        <v>75</v>
      </c>
      <c r="E68" s="190">
        <f>'Catchment Births'!R68</f>
        <v>85</v>
      </c>
      <c r="F68" s="190">
        <f>'Catchment Births'!S68</f>
        <v>85</v>
      </c>
      <c r="G68" s="190">
        <f>'Catchment Births'!T68</f>
        <v>71</v>
      </c>
      <c r="H68" s="190">
        <f>'Catchment Births'!U68</f>
        <v>78</v>
      </c>
      <c r="I68" s="190">
        <f>'Catchment Births'!V68</f>
        <v>51</v>
      </c>
      <c r="J68" s="195">
        <f>'Catchment Births'!W68</f>
        <v>56</v>
      </c>
      <c r="K68" s="190">
        <f t="shared" si="37"/>
        <v>62.340307350490647</v>
      </c>
      <c r="L68" s="190">
        <f t="shared" ref="L68:L90" si="88">K68+($L$2*K68)</f>
        <v>63.230883169783368</v>
      </c>
      <c r="M68" s="190">
        <f t="shared" ref="M68:M90" si="89">L68+($M$2*L68)</f>
        <v>63.9958649632784</v>
      </c>
      <c r="N68" s="190">
        <f t="shared" ref="N68:N90" si="90">M68+($N$2*M68)</f>
        <v>64.600999814849104</v>
      </c>
      <c r="O68" s="190">
        <f t="shared" ref="O68:O90" si="91">N68+($O$2*N68)</f>
        <v>65.069123001913226</v>
      </c>
      <c r="P68" s="190">
        <f t="shared" ref="P68:P90" si="92">O68+($P$2*O68)</f>
        <v>65.388816885761898</v>
      </c>
      <c r="Q68" s="190">
        <f t="shared" ref="Q68:Q90" si="93">P68+($Q$2*P68)</f>
        <v>65.571499105103996</v>
      </c>
      <c r="R68" s="190">
        <f t="shared" ref="R68:R90" si="94">Q68+($R$2*Q68)</f>
        <v>65.777016601863849</v>
      </c>
      <c r="S68" s="190">
        <f t="shared" ref="S68:S90" si="95">R68+($S$2*R68)</f>
        <v>65.788434240572727</v>
      </c>
      <c r="T68" s="195">
        <f t="shared" ref="T68:T90" si="96">S68+($T$2*S68)</f>
        <v>65.765598963154972</v>
      </c>
      <c r="U68" s="190">
        <f>'All P1 In Catchment'!G67</f>
        <v>61</v>
      </c>
      <c r="V68" s="190">
        <f>'All P1 In Catchment'!I67</f>
        <v>67</v>
      </c>
      <c r="W68" s="190">
        <f>'All P1 In Catchment'!K67</f>
        <v>57</v>
      </c>
      <c r="X68" s="180">
        <f>'All P1 In Catchment'!M67</f>
        <v>66</v>
      </c>
      <c r="Y68" s="180">
        <f>'All P1 In Catchment'!O67</f>
        <v>70</v>
      </c>
      <c r="Z68" s="191">
        <f t="shared" ref="Z68:Z90" si="97">ROUND((G68*(AVERAGE((U68/B68),(V68/C68),(W68/D68),(X68/E68),(Y68/F68)))),0)</f>
        <v>57</v>
      </c>
      <c r="AA68" s="180">
        <f t="shared" ref="AA68:AA90" si="98">ROUND((H68*(AVERAGE((U68/B68),(V68/C68),(W68/D68),(X68/E68),(Y68/F68)))),0)</f>
        <v>62</v>
      </c>
      <c r="AB68" s="180">
        <f t="shared" si="76"/>
        <v>41</v>
      </c>
      <c r="AC68" s="180">
        <f t="shared" si="77"/>
        <v>45</v>
      </c>
      <c r="AD68" s="180">
        <f t="shared" si="78"/>
        <v>50</v>
      </c>
      <c r="AE68" s="180">
        <f t="shared" si="79"/>
        <v>50</v>
      </c>
      <c r="AF68" s="180">
        <f t="shared" si="80"/>
        <v>51</v>
      </c>
      <c r="AG68" s="180">
        <f t="shared" si="81"/>
        <v>51</v>
      </c>
      <c r="AH68" s="180">
        <f t="shared" si="82"/>
        <v>52</v>
      </c>
      <c r="AI68" s="180">
        <f t="shared" si="83"/>
        <v>52</v>
      </c>
      <c r="AJ68" s="180">
        <f t="shared" si="84"/>
        <v>52</v>
      </c>
      <c r="AK68" s="180">
        <f t="shared" si="85"/>
        <v>52</v>
      </c>
      <c r="AL68" s="180">
        <f t="shared" si="86"/>
        <v>52</v>
      </c>
      <c r="AM68" s="181">
        <f t="shared" si="87"/>
        <v>52</v>
      </c>
      <c r="AN68" s="180">
        <f>'All P1 In Catchment'!F67</f>
        <v>58</v>
      </c>
      <c r="AO68" s="180">
        <f>'All P1 In Catchment'!H67</f>
        <v>60</v>
      </c>
      <c r="AP68" s="180">
        <f>'All P1 In Catchment'!J67</f>
        <v>53</v>
      </c>
      <c r="AQ68" s="180">
        <f>'All P1 In Catchment'!L67</f>
        <v>60</v>
      </c>
      <c r="AR68" s="181">
        <f>'All P1 In Catchment'!N67</f>
        <v>57</v>
      </c>
      <c r="AS68" s="180">
        <f t="shared" ref="AS68:AS90" si="99">ROUND((Z68*(AVERAGE((AP68/W68),(AQ68/X68),(AR68/Y68)))),0)</f>
        <v>50</v>
      </c>
      <c r="AT68" s="180">
        <f t="shared" ref="AT68:AT90" si="100">ROUND((AA68*(AVERAGE((AP68/W68),(AQ68/X68),(AR68/Y68)))),0)</f>
        <v>55</v>
      </c>
      <c r="AU68" s="180">
        <f t="shared" ref="AU68:AU90" si="101">ROUND((AB68*(AVERAGE((AP68/W68),(AQ68/X68),(AR68/Y68)))),0)</f>
        <v>36</v>
      </c>
      <c r="AV68" s="180">
        <f t="shared" ref="AV68:AV90" si="102">ROUND((AC68*(AVERAGE((AP68/W68),(AQ68/X68),(AR68/Y68)))),0)</f>
        <v>40</v>
      </c>
      <c r="AW68" s="180">
        <f t="shared" ref="AW68:AW90" si="103">ROUND((AD68*(AVERAGE((AP68/W68),(AQ68/X68),(AR68/Y68)))),0)</f>
        <v>44</v>
      </c>
      <c r="AX68" s="180">
        <f t="shared" ref="AX68:AX90" si="104">ROUND((AE68*(AVERAGE((AP68/W68),(AQ68/X68),(AR68/Y68)))),0)</f>
        <v>44</v>
      </c>
      <c r="AY68" s="180">
        <f t="shared" ref="AY68:AY90" si="105">ROUND((AF68*(AVERAGE((AP68/W68),(AQ68/X68),(AR68/Y68)))),0)</f>
        <v>45</v>
      </c>
      <c r="AZ68" s="180">
        <f t="shared" ref="AZ68:AZ90" si="106">ROUND((AG68*(AVERAGE((AP68/W68),(AQ68/X68),(AR68/Y68)))),0)</f>
        <v>45</v>
      </c>
      <c r="BA68" s="180">
        <f t="shared" ref="BA68:BA90" si="107">ROUND((AH68*(AVERAGE((AP68/W68),(AQ68/X68),(AR68/Y68)))),0)</f>
        <v>46</v>
      </c>
      <c r="BB68" s="180">
        <f t="shared" ref="BB68:BB90" si="108">ROUND((AI68*(AVERAGE((AP68/W68),(AQ68/X68),(AR68/Y68)))),0)</f>
        <v>46</v>
      </c>
      <c r="BC68" s="180">
        <f t="shared" ref="BC68:BC90" si="109">ROUND((AJ68*(AVERAGE((AP68/W68),(AQ68/X68),(AR68/Y68)))),0)</f>
        <v>46</v>
      </c>
      <c r="BD68" s="180">
        <f t="shared" ref="BD68:BD90" si="110">ROUND((AK68*(AVERAGE((AP68/W68),(AQ68/X68),(AR68/Y68)))),0)</f>
        <v>46</v>
      </c>
      <c r="BE68" s="180">
        <f t="shared" ref="BE68:BE90" si="111">ROUND((AL68*(AVERAGE((AP68/W68),(AQ68/X68),(AR68/Y68)))),0)</f>
        <v>46</v>
      </c>
      <c r="BF68" s="180">
        <f t="shared" ref="BF68:BF90" si="112">ROUND((AM68*(AVERAGE((AP68/W68),(AQ68/X68),(AR68/Y68)))),0)</f>
        <v>46</v>
      </c>
      <c r="BG68" s="191">
        <f>AR68+'Housing Generation'!B67</f>
        <v>57</v>
      </c>
      <c r="BH68" s="180">
        <f>AS68+'Housing Generation'!J67</f>
        <v>51</v>
      </c>
      <c r="BI68" s="180">
        <f>AT68+'Housing Generation'!R67</f>
        <v>56</v>
      </c>
      <c r="BJ68" s="180">
        <f>AU68+'Housing Generation'!Z67</f>
        <v>37</v>
      </c>
      <c r="BK68" s="180">
        <f>AV68+'Housing Generation'!AH67</f>
        <v>41</v>
      </c>
      <c r="BL68" s="180">
        <f>AW68+'Housing Generation'!AP67</f>
        <v>45</v>
      </c>
      <c r="BM68" s="180">
        <f>AX68+'Housing Generation'!AX67</f>
        <v>45</v>
      </c>
      <c r="BN68" s="180">
        <f>AY68+'Housing Generation'!BF67</f>
        <v>46</v>
      </c>
      <c r="BO68" s="180">
        <f>AZ68+'Housing Generation'!BN67</f>
        <v>46</v>
      </c>
      <c r="BP68" s="180">
        <f>BA68+'Housing Generation'!BV67</f>
        <v>47</v>
      </c>
      <c r="BQ68" s="180">
        <f>BB68+'Housing Generation'!CD67</f>
        <v>47</v>
      </c>
      <c r="BR68" s="180">
        <f>BC68+'Housing Generation'!CL67</f>
        <v>47</v>
      </c>
      <c r="BS68" s="180">
        <f>BD68+'Housing Generation'!CT67</f>
        <v>47</v>
      </c>
      <c r="BT68" s="180">
        <f>BE68+'Housing Generation'!DB67</f>
        <v>47</v>
      </c>
      <c r="BU68" s="181">
        <f>BF68+'Housing Generation'!DJ67</f>
        <v>47</v>
      </c>
      <c r="BV68" s="180">
        <f>'P1 Retained'!D67</f>
        <v>41</v>
      </c>
      <c r="BW68" s="192">
        <f>'P1 Retained'!E67</f>
        <v>41</v>
      </c>
      <c r="BX68" s="192">
        <f>'P1 Retained'!F67</f>
        <v>32</v>
      </c>
      <c r="BY68" s="192">
        <f>'P1 Retained'!G67</f>
        <v>42</v>
      </c>
      <c r="BZ68" s="192">
        <f>'P1 Retained'!H67</f>
        <v>42</v>
      </c>
    </row>
    <row r="69" spans="1:78">
      <c r="A69" s="178" t="s">
        <v>64</v>
      </c>
      <c r="B69" s="190">
        <f>'Catchment Births'!O69</f>
        <v>129</v>
      </c>
      <c r="C69" s="190">
        <f>'Catchment Births'!P69</f>
        <v>105</v>
      </c>
      <c r="D69" s="190">
        <f>'Catchment Births'!Q69</f>
        <v>93</v>
      </c>
      <c r="E69" s="190">
        <f>'Catchment Births'!R69</f>
        <v>108</v>
      </c>
      <c r="F69" s="190">
        <f>'Catchment Births'!S69</f>
        <v>98</v>
      </c>
      <c r="G69" s="190">
        <f>'Catchment Births'!T69</f>
        <v>97</v>
      </c>
      <c r="H69" s="190">
        <f>'Catchment Births'!U69</f>
        <v>96</v>
      </c>
      <c r="I69" s="190">
        <f>'Catchment Births'!V69</f>
        <v>116</v>
      </c>
      <c r="J69" s="195">
        <f>'Catchment Births'!W69</f>
        <v>91</v>
      </c>
      <c r="K69" s="190">
        <f t="shared" ref="K69:K90" si="113">(AVERAGE(H69:J69))+($K$2*(AVERAGE(H69:J69)))</f>
        <v>102.10331420107387</v>
      </c>
      <c r="L69" s="190">
        <f t="shared" si="88"/>
        <v>103.56193297537493</v>
      </c>
      <c r="M69" s="190">
        <f t="shared" si="89"/>
        <v>104.81484910201814</v>
      </c>
      <c r="N69" s="190">
        <f t="shared" si="90"/>
        <v>105.80596185891501</v>
      </c>
      <c r="O69" s="190">
        <f t="shared" si="91"/>
        <v>106.57267172745787</v>
      </c>
      <c r="P69" s="190">
        <f t="shared" si="92"/>
        <v>107.09627846695057</v>
      </c>
      <c r="Q69" s="190">
        <f t="shared" si="93"/>
        <v>107.39548231808924</v>
      </c>
      <c r="R69" s="190">
        <f t="shared" si="94"/>
        <v>107.73208665062025</v>
      </c>
      <c r="S69" s="190">
        <f t="shared" si="95"/>
        <v>107.75078689131641</v>
      </c>
      <c r="T69" s="195">
        <f t="shared" si="96"/>
        <v>107.71338640992407</v>
      </c>
      <c r="U69" s="190">
        <f>'All P1 In Catchment'!G68</f>
        <v>116</v>
      </c>
      <c r="V69" s="190">
        <f>'All P1 In Catchment'!I68</f>
        <v>117</v>
      </c>
      <c r="W69" s="190">
        <f>'All P1 In Catchment'!K68</f>
        <v>105</v>
      </c>
      <c r="X69" s="180">
        <f>'All P1 In Catchment'!M68</f>
        <v>102</v>
      </c>
      <c r="Y69" s="180">
        <f>'All P1 In Catchment'!O68</f>
        <v>117</v>
      </c>
      <c r="Z69" s="191">
        <f t="shared" si="97"/>
        <v>102</v>
      </c>
      <c r="AA69" s="180">
        <f t="shared" si="98"/>
        <v>101</v>
      </c>
      <c r="AB69" s="180">
        <f t="shared" si="76"/>
        <v>123</v>
      </c>
      <c r="AC69" s="180">
        <f t="shared" si="77"/>
        <v>96</v>
      </c>
      <c r="AD69" s="180">
        <f t="shared" si="78"/>
        <v>108</v>
      </c>
      <c r="AE69" s="180">
        <f t="shared" si="79"/>
        <v>109</v>
      </c>
      <c r="AF69" s="180">
        <f t="shared" si="80"/>
        <v>111</v>
      </c>
      <c r="AG69" s="180">
        <f t="shared" si="81"/>
        <v>112</v>
      </c>
      <c r="AH69" s="180">
        <f t="shared" si="82"/>
        <v>113</v>
      </c>
      <c r="AI69" s="180">
        <f t="shared" si="83"/>
        <v>113</v>
      </c>
      <c r="AJ69" s="180">
        <f t="shared" si="84"/>
        <v>113</v>
      </c>
      <c r="AK69" s="180">
        <f t="shared" si="85"/>
        <v>114</v>
      </c>
      <c r="AL69" s="180">
        <f t="shared" si="86"/>
        <v>114</v>
      </c>
      <c r="AM69" s="181">
        <f t="shared" si="87"/>
        <v>114</v>
      </c>
      <c r="AN69" s="180">
        <f>'All P1 In Catchment'!F68</f>
        <v>96</v>
      </c>
      <c r="AO69" s="180">
        <f>'All P1 In Catchment'!H68</f>
        <v>95</v>
      </c>
      <c r="AP69" s="180">
        <f>'All P1 In Catchment'!J68</f>
        <v>85</v>
      </c>
      <c r="AQ69" s="180">
        <f>'All P1 In Catchment'!L68</f>
        <v>86</v>
      </c>
      <c r="AR69" s="181">
        <f>'All P1 In Catchment'!N68</f>
        <v>105</v>
      </c>
      <c r="AS69" s="180">
        <f t="shared" si="99"/>
        <v>87</v>
      </c>
      <c r="AT69" s="180">
        <f t="shared" si="100"/>
        <v>86</v>
      </c>
      <c r="AU69" s="180">
        <f t="shared" si="101"/>
        <v>105</v>
      </c>
      <c r="AV69" s="180">
        <f t="shared" si="102"/>
        <v>82</v>
      </c>
      <c r="AW69" s="180">
        <f t="shared" si="103"/>
        <v>92</v>
      </c>
      <c r="AX69" s="180">
        <f t="shared" si="104"/>
        <v>93</v>
      </c>
      <c r="AY69" s="180">
        <f t="shared" si="105"/>
        <v>94</v>
      </c>
      <c r="AZ69" s="180">
        <f t="shared" si="106"/>
        <v>95</v>
      </c>
      <c r="BA69" s="180">
        <f t="shared" si="107"/>
        <v>96</v>
      </c>
      <c r="BB69" s="180">
        <f t="shared" si="108"/>
        <v>96</v>
      </c>
      <c r="BC69" s="180">
        <f t="shared" si="109"/>
        <v>96</v>
      </c>
      <c r="BD69" s="180">
        <f t="shared" si="110"/>
        <v>97</v>
      </c>
      <c r="BE69" s="180">
        <f t="shared" si="111"/>
        <v>97</v>
      </c>
      <c r="BF69" s="180">
        <f t="shared" si="112"/>
        <v>97</v>
      </c>
      <c r="BG69" s="191">
        <f>AR69+'Housing Generation'!B68</f>
        <v>105</v>
      </c>
      <c r="BH69" s="180">
        <f>AS69+'Housing Generation'!J68</f>
        <v>88</v>
      </c>
      <c r="BI69" s="180">
        <f>AT69+'Housing Generation'!R68</f>
        <v>88</v>
      </c>
      <c r="BJ69" s="180">
        <f>AU69+'Housing Generation'!Z68</f>
        <v>108</v>
      </c>
      <c r="BK69" s="180">
        <f>AV69+'Housing Generation'!AH68</f>
        <v>85</v>
      </c>
      <c r="BL69" s="180">
        <f>AW69+'Housing Generation'!AP68</f>
        <v>95</v>
      </c>
      <c r="BM69" s="180">
        <f>AX69+'Housing Generation'!AX68</f>
        <v>96</v>
      </c>
      <c r="BN69" s="180">
        <f>AY69+'Housing Generation'!BF68</f>
        <v>97</v>
      </c>
      <c r="BO69" s="180">
        <f>AZ69+'Housing Generation'!BN68</f>
        <v>98</v>
      </c>
      <c r="BP69" s="180">
        <f>BA69+'Housing Generation'!BV68</f>
        <v>99</v>
      </c>
      <c r="BQ69" s="180">
        <f>BB69+'Housing Generation'!CD68</f>
        <v>99</v>
      </c>
      <c r="BR69" s="180">
        <f>BC69+'Housing Generation'!CL68</f>
        <v>99</v>
      </c>
      <c r="BS69" s="180">
        <f>BD69+'Housing Generation'!CT68</f>
        <v>100</v>
      </c>
      <c r="BT69" s="180">
        <f>BE69+'Housing Generation'!DB68</f>
        <v>100</v>
      </c>
      <c r="BU69" s="181">
        <f>BF69+'Housing Generation'!DJ68</f>
        <v>100</v>
      </c>
      <c r="BV69" s="180">
        <f>'P1 Retained'!D68</f>
        <v>95</v>
      </c>
      <c r="BW69" s="192">
        <f>'P1 Retained'!E68</f>
        <v>91</v>
      </c>
      <c r="BX69" s="192">
        <f>'P1 Retained'!F68</f>
        <v>85</v>
      </c>
      <c r="BY69" s="192">
        <f>'P1 Retained'!G68</f>
        <v>85</v>
      </c>
      <c r="BZ69" s="192">
        <f>'P1 Retained'!H68</f>
        <v>102</v>
      </c>
    </row>
    <row r="70" spans="1:78" s="204" customFormat="1">
      <c r="A70" s="204" t="s">
        <v>65</v>
      </c>
      <c r="B70" s="205">
        <f>'Catchment Births'!O70</f>
        <v>164</v>
      </c>
      <c r="C70" s="205">
        <f>'Catchment Births'!P70</f>
        <v>185</v>
      </c>
      <c r="D70" s="205">
        <f>'Catchment Births'!Q70</f>
        <v>159</v>
      </c>
      <c r="E70" s="205">
        <f>'Catchment Births'!R70</f>
        <v>163</v>
      </c>
      <c r="F70" s="205">
        <f>'Catchment Births'!S70</f>
        <v>184</v>
      </c>
      <c r="G70" s="205">
        <f>'Catchment Births'!T70</f>
        <v>175</v>
      </c>
      <c r="H70" s="205">
        <f>'Catchment Births'!U70</f>
        <v>173</v>
      </c>
      <c r="I70" s="205">
        <f>'Catchment Births'!V70</f>
        <v>197</v>
      </c>
      <c r="J70" s="206">
        <f>'Catchment Births'!W70</f>
        <v>169</v>
      </c>
      <c r="K70" s="205">
        <f t="shared" si="113"/>
        <v>181.62932790224031</v>
      </c>
      <c r="L70" s="205">
        <f t="shared" si="88"/>
        <v>184.22403258655802</v>
      </c>
      <c r="M70" s="205">
        <f t="shared" si="89"/>
        <v>186.45281737949762</v>
      </c>
      <c r="N70" s="205">
        <f t="shared" si="90"/>
        <v>188.21588594704684</v>
      </c>
      <c r="O70" s="205">
        <f t="shared" si="91"/>
        <v>189.5797691785472</v>
      </c>
      <c r="P70" s="205">
        <f t="shared" si="92"/>
        <v>190.51120162932793</v>
      </c>
      <c r="Q70" s="205">
        <f t="shared" si="93"/>
        <v>191.04344874405976</v>
      </c>
      <c r="R70" s="205">
        <f t="shared" si="94"/>
        <v>191.64222674813308</v>
      </c>
      <c r="S70" s="205">
        <f t="shared" si="95"/>
        <v>191.67549219280383</v>
      </c>
      <c r="T70" s="206">
        <f t="shared" si="96"/>
        <v>191.60896130346234</v>
      </c>
      <c r="U70" s="205">
        <f>'All P1 In Catchment'!G69</f>
        <v>137</v>
      </c>
      <c r="V70" s="205">
        <f>'All P1 In Catchment'!I69</f>
        <v>128</v>
      </c>
      <c r="W70" s="205">
        <f>'All P1 In Catchment'!K69</f>
        <v>137</v>
      </c>
      <c r="X70" s="207">
        <f>'All P1 In Catchment'!M69</f>
        <v>150</v>
      </c>
      <c r="Y70" s="207">
        <f>'All P1 In Catchment'!O69</f>
        <v>118</v>
      </c>
      <c r="Z70" s="209">
        <f t="shared" si="97"/>
        <v>138</v>
      </c>
      <c r="AA70" s="207">
        <f t="shared" si="98"/>
        <v>137</v>
      </c>
      <c r="AB70" s="207">
        <f t="shared" si="76"/>
        <v>156</v>
      </c>
      <c r="AC70" s="207">
        <f t="shared" si="77"/>
        <v>134</v>
      </c>
      <c r="AD70" s="207">
        <f t="shared" si="78"/>
        <v>144</v>
      </c>
      <c r="AE70" s="207">
        <f t="shared" si="79"/>
        <v>146</v>
      </c>
      <c r="AF70" s="207">
        <f t="shared" si="80"/>
        <v>147</v>
      </c>
      <c r="AG70" s="207">
        <f t="shared" si="81"/>
        <v>149</v>
      </c>
      <c r="AH70" s="207">
        <f t="shared" si="82"/>
        <v>150</v>
      </c>
      <c r="AI70" s="207">
        <f t="shared" si="83"/>
        <v>151</v>
      </c>
      <c r="AJ70" s="207">
        <f t="shared" si="84"/>
        <v>151</v>
      </c>
      <c r="AK70" s="207">
        <f t="shared" si="85"/>
        <v>151</v>
      </c>
      <c r="AL70" s="207">
        <f t="shared" si="86"/>
        <v>151</v>
      </c>
      <c r="AM70" s="208">
        <f t="shared" si="87"/>
        <v>151</v>
      </c>
      <c r="AN70" s="207">
        <f>'All P1 In Catchment'!F69</f>
        <v>26</v>
      </c>
      <c r="AO70" s="207">
        <f>'All P1 In Catchment'!H69</f>
        <v>30</v>
      </c>
      <c r="AP70" s="207">
        <f>'All P1 In Catchment'!J69</f>
        <v>25</v>
      </c>
      <c r="AQ70" s="207">
        <f>'All P1 In Catchment'!L69</f>
        <v>27</v>
      </c>
      <c r="AR70" s="208">
        <f>'All P1 In Catchment'!N69</f>
        <v>29</v>
      </c>
      <c r="AS70" s="180">
        <f t="shared" si="99"/>
        <v>28</v>
      </c>
      <c r="AT70" s="180">
        <f t="shared" si="100"/>
        <v>28</v>
      </c>
      <c r="AU70" s="180">
        <f t="shared" si="101"/>
        <v>32</v>
      </c>
      <c r="AV70" s="180">
        <f t="shared" si="102"/>
        <v>27</v>
      </c>
      <c r="AW70" s="180">
        <f t="shared" si="103"/>
        <v>29</v>
      </c>
      <c r="AX70" s="180">
        <f t="shared" si="104"/>
        <v>30</v>
      </c>
      <c r="AY70" s="180">
        <f t="shared" si="105"/>
        <v>30</v>
      </c>
      <c r="AZ70" s="180">
        <f t="shared" si="106"/>
        <v>30</v>
      </c>
      <c r="BA70" s="180">
        <f t="shared" si="107"/>
        <v>30</v>
      </c>
      <c r="BB70" s="180">
        <f t="shared" si="108"/>
        <v>31</v>
      </c>
      <c r="BC70" s="180">
        <f t="shared" si="109"/>
        <v>31</v>
      </c>
      <c r="BD70" s="180">
        <f t="shared" si="110"/>
        <v>31</v>
      </c>
      <c r="BE70" s="180">
        <f t="shared" si="111"/>
        <v>31</v>
      </c>
      <c r="BF70" s="180">
        <f t="shared" si="112"/>
        <v>31</v>
      </c>
      <c r="BG70" s="312">
        <v>25</v>
      </c>
      <c r="BH70" s="207">
        <f>AS70+'Housing Generation'!J69</f>
        <v>30</v>
      </c>
      <c r="BI70" s="207">
        <f>AT70+'Housing Generation'!R69</f>
        <v>30</v>
      </c>
      <c r="BJ70" s="207">
        <f>AU70+'Housing Generation'!Z69</f>
        <v>35</v>
      </c>
      <c r="BK70" s="207">
        <f>AV70+'Housing Generation'!AH69</f>
        <v>31</v>
      </c>
      <c r="BL70" s="207">
        <f>AW70+'Housing Generation'!AP69</f>
        <v>34</v>
      </c>
      <c r="BM70" s="207">
        <f>AX70+'Housing Generation'!AX69</f>
        <v>35</v>
      </c>
      <c r="BN70" s="207">
        <f>AY70+'Housing Generation'!BF69</f>
        <v>36</v>
      </c>
      <c r="BO70" s="207">
        <f>AZ70+'Housing Generation'!BN69</f>
        <v>37</v>
      </c>
      <c r="BP70" s="207">
        <f>BA70+'Housing Generation'!BV69</f>
        <v>37</v>
      </c>
      <c r="BQ70" s="207">
        <f>BB70+'Housing Generation'!CD69</f>
        <v>39</v>
      </c>
      <c r="BR70" s="207">
        <f>BC70+'Housing Generation'!CL69</f>
        <v>39</v>
      </c>
      <c r="BS70" s="207">
        <f>BD70+'Housing Generation'!CT69</f>
        <v>39</v>
      </c>
      <c r="BT70" s="207">
        <f>BE70+'Housing Generation'!DB69</f>
        <v>39</v>
      </c>
      <c r="BU70" s="208">
        <f>BF70+'Housing Generation'!DJ69</f>
        <v>39</v>
      </c>
      <c r="BV70" s="207">
        <f>'P1 Retained'!D69</f>
        <v>26</v>
      </c>
      <c r="BW70" s="362">
        <f>'P1 Retained'!E69</f>
        <v>29</v>
      </c>
      <c r="BX70" s="362">
        <f>'P1 Retained'!F69</f>
        <v>24</v>
      </c>
      <c r="BY70" s="362">
        <f>'P1 Retained'!G69</f>
        <v>26</v>
      </c>
      <c r="BZ70" s="362">
        <f>'P1 Retained'!H69</f>
        <v>25</v>
      </c>
    </row>
    <row r="71" spans="1:78" s="204" customFormat="1">
      <c r="A71" s="204" t="s">
        <v>85</v>
      </c>
      <c r="B71" s="205">
        <f>'Catchment Births'!O71</f>
        <v>591</v>
      </c>
      <c r="C71" s="205">
        <f>'Catchment Births'!P71</f>
        <v>633</v>
      </c>
      <c r="D71" s="205">
        <f>'Catchment Births'!Q71</f>
        <v>596</v>
      </c>
      <c r="E71" s="205">
        <f>'Catchment Births'!R71</f>
        <v>659</v>
      </c>
      <c r="F71" s="205">
        <f>'Catchment Births'!S71</f>
        <v>575</v>
      </c>
      <c r="G71" s="205">
        <f>'Catchment Births'!T71</f>
        <v>616</v>
      </c>
      <c r="H71" s="205">
        <f>'Catchment Births'!U71</f>
        <v>597</v>
      </c>
      <c r="I71" s="205">
        <f>'Catchment Births'!V71</f>
        <v>546</v>
      </c>
      <c r="J71" s="206">
        <f>'Catchment Births'!W71</f>
        <v>525</v>
      </c>
      <c r="K71" s="205">
        <f t="shared" si="113"/>
        <v>562.07369005739679</v>
      </c>
      <c r="L71" s="205">
        <f t="shared" si="88"/>
        <v>570.10331420107389</v>
      </c>
      <c r="M71" s="205">
        <f t="shared" si="89"/>
        <v>577.0005554526939</v>
      </c>
      <c r="N71" s="205">
        <f t="shared" si="90"/>
        <v>582.45658211442321</v>
      </c>
      <c r="O71" s="205">
        <f t="shared" si="91"/>
        <v>586.67728198481757</v>
      </c>
      <c r="P71" s="205">
        <f t="shared" si="92"/>
        <v>589.55971116459909</v>
      </c>
      <c r="Q71" s="205">
        <f t="shared" si="93"/>
        <v>591.20681355304566</v>
      </c>
      <c r="R71" s="205">
        <f t="shared" si="94"/>
        <v>593.0598037400481</v>
      </c>
      <c r="S71" s="205">
        <f t="shared" si="95"/>
        <v>593.16274763932597</v>
      </c>
      <c r="T71" s="206">
        <f t="shared" si="96"/>
        <v>592.95685984077011</v>
      </c>
      <c r="U71" s="205">
        <f>'All P1 In Catchment'!G70</f>
        <v>442</v>
      </c>
      <c r="V71" s="205">
        <f>'All P1 In Catchment'!I70</f>
        <v>442</v>
      </c>
      <c r="W71" s="205">
        <f>'All P1 In Catchment'!K70</f>
        <v>499</v>
      </c>
      <c r="X71" s="207">
        <f>'All P1 In Catchment'!M70</f>
        <v>462</v>
      </c>
      <c r="Y71" s="207">
        <f>'All P1 In Catchment'!O70</f>
        <v>458</v>
      </c>
      <c r="Z71" s="209">
        <f t="shared" si="97"/>
        <v>466</v>
      </c>
      <c r="AA71" s="207">
        <f t="shared" si="98"/>
        <v>451</v>
      </c>
      <c r="AB71" s="207">
        <f t="shared" si="76"/>
        <v>413</v>
      </c>
      <c r="AC71" s="207">
        <f t="shared" si="77"/>
        <v>397</v>
      </c>
      <c r="AD71" s="207">
        <f t="shared" si="78"/>
        <v>425</v>
      </c>
      <c r="AE71" s="207">
        <f t="shared" si="79"/>
        <v>431</v>
      </c>
      <c r="AF71" s="207">
        <f t="shared" si="80"/>
        <v>436</v>
      </c>
      <c r="AG71" s="207">
        <f t="shared" si="81"/>
        <v>440</v>
      </c>
      <c r="AH71" s="207">
        <f t="shared" si="82"/>
        <v>444</v>
      </c>
      <c r="AI71" s="207">
        <f t="shared" si="83"/>
        <v>446</v>
      </c>
      <c r="AJ71" s="207">
        <f t="shared" si="84"/>
        <v>447</v>
      </c>
      <c r="AK71" s="207">
        <f t="shared" si="85"/>
        <v>448</v>
      </c>
      <c r="AL71" s="207">
        <f t="shared" si="86"/>
        <v>449</v>
      </c>
      <c r="AM71" s="208">
        <f t="shared" si="87"/>
        <v>448</v>
      </c>
      <c r="AN71" s="207">
        <f>'All P1 In Catchment'!F70</f>
        <v>26</v>
      </c>
      <c r="AO71" s="207">
        <f>'All P1 In Catchment'!H70</f>
        <v>28</v>
      </c>
      <c r="AP71" s="207">
        <f>'All P1 In Catchment'!J70</f>
        <v>32</v>
      </c>
      <c r="AQ71" s="207">
        <f>'All P1 In Catchment'!L70</f>
        <v>24</v>
      </c>
      <c r="AR71" s="208">
        <f>'All P1 In Catchment'!N70</f>
        <v>29</v>
      </c>
      <c r="AS71" s="180">
        <f t="shared" si="99"/>
        <v>28</v>
      </c>
      <c r="AT71" s="180">
        <f t="shared" si="100"/>
        <v>27</v>
      </c>
      <c r="AU71" s="180">
        <f t="shared" si="101"/>
        <v>25</v>
      </c>
      <c r="AV71" s="180">
        <f t="shared" si="102"/>
        <v>24</v>
      </c>
      <c r="AW71" s="180">
        <f t="shared" si="103"/>
        <v>25</v>
      </c>
      <c r="AX71" s="180">
        <f t="shared" si="104"/>
        <v>26</v>
      </c>
      <c r="AY71" s="180">
        <f t="shared" si="105"/>
        <v>26</v>
      </c>
      <c r="AZ71" s="180">
        <f t="shared" si="106"/>
        <v>26</v>
      </c>
      <c r="BA71" s="180">
        <f t="shared" si="107"/>
        <v>27</v>
      </c>
      <c r="BB71" s="180">
        <f t="shared" si="108"/>
        <v>27</v>
      </c>
      <c r="BC71" s="180">
        <f t="shared" si="109"/>
        <v>27</v>
      </c>
      <c r="BD71" s="180">
        <f t="shared" si="110"/>
        <v>27</v>
      </c>
      <c r="BE71" s="180">
        <f t="shared" si="111"/>
        <v>27</v>
      </c>
      <c r="BF71" s="180">
        <f t="shared" si="112"/>
        <v>27</v>
      </c>
      <c r="BG71" s="209">
        <v>32</v>
      </c>
      <c r="BH71" s="207">
        <f>AS71+'Housing Generation'!J70</f>
        <v>29</v>
      </c>
      <c r="BI71" s="207">
        <f>AT71+'Housing Generation'!R70</f>
        <v>28</v>
      </c>
      <c r="BJ71" s="207">
        <f>AU71+'Housing Generation'!Z70</f>
        <v>27</v>
      </c>
      <c r="BK71" s="207">
        <f>AV71+'Housing Generation'!AH70</f>
        <v>27</v>
      </c>
      <c r="BL71" s="207">
        <f>AW71+'Housing Generation'!AP70</f>
        <v>28</v>
      </c>
      <c r="BM71" s="207">
        <f>AX71+'Housing Generation'!AX70</f>
        <v>30</v>
      </c>
      <c r="BN71" s="207">
        <f>AY71+'Housing Generation'!BF70</f>
        <v>30</v>
      </c>
      <c r="BO71" s="207">
        <f>AZ71+'Housing Generation'!BN70</f>
        <v>31</v>
      </c>
      <c r="BP71" s="207">
        <f>BA71+'Housing Generation'!BV70</f>
        <v>32</v>
      </c>
      <c r="BQ71" s="207">
        <f>BB71+'Housing Generation'!CD70</f>
        <v>32</v>
      </c>
      <c r="BR71" s="207">
        <f>BC71+'Housing Generation'!CL70</f>
        <v>32</v>
      </c>
      <c r="BS71" s="207">
        <f>BD71+'Housing Generation'!CT70</f>
        <v>32</v>
      </c>
      <c r="BT71" s="207">
        <f>BE71+'Housing Generation'!DB70</f>
        <v>32</v>
      </c>
      <c r="BU71" s="208">
        <f>BF71+'Housing Generation'!DJ70</f>
        <v>32</v>
      </c>
      <c r="BV71" s="207">
        <f>'P1 Retained'!D70</f>
        <v>25</v>
      </c>
      <c r="BW71" s="362">
        <f>'P1 Retained'!E70</f>
        <v>23</v>
      </c>
      <c r="BX71" s="362">
        <f>'P1 Retained'!F70</f>
        <v>28</v>
      </c>
      <c r="BY71" s="362">
        <f>'P1 Retained'!G70</f>
        <v>24</v>
      </c>
      <c r="BZ71" s="362">
        <f>'P1 Retained'!H70</f>
        <v>28</v>
      </c>
    </row>
    <row r="72" spans="1:78" s="204" customFormat="1">
      <c r="A72" s="204" t="s">
        <v>86</v>
      </c>
      <c r="B72" s="205">
        <f>'Catchment Births'!O72</f>
        <v>348</v>
      </c>
      <c r="C72" s="205">
        <f>'Catchment Births'!P72</f>
        <v>337</v>
      </c>
      <c r="D72" s="205">
        <f>'Catchment Births'!Q72</f>
        <v>400</v>
      </c>
      <c r="E72" s="205">
        <f>'Catchment Births'!R72</f>
        <v>378</v>
      </c>
      <c r="F72" s="205">
        <f>'Catchment Births'!S72</f>
        <v>383</v>
      </c>
      <c r="G72" s="205">
        <f>'Catchment Births'!T72</f>
        <v>358</v>
      </c>
      <c r="H72" s="205">
        <f>'Catchment Births'!U72</f>
        <v>416</v>
      </c>
      <c r="I72" s="205">
        <f>'Catchment Births'!V72</f>
        <v>353</v>
      </c>
      <c r="J72" s="206">
        <f>'Catchment Births'!W72</f>
        <v>394</v>
      </c>
      <c r="K72" s="205">
        <f t="shared" si="113"/>
        <v>391.90149972227368</v>
      </c>
      <c r="L72" s="205">
        <f t="shared" si="88"/>
        <v>397.500092575449</v>
      </c>
      <c r="M72" s="205">
        <f t="shared" si="89"/>
        <v>402.30914028266369</v>
      </c>
      <c r="N72" s="205">
        <f t="shared" si="90"/>
        <v>406.11331234956486</v>
      </c>
      <c r="O72" s="205">
        <f t="shared" si="91"/>
        <v>409.05616243905445</v>
      </c>
      <c r="P72" s="205">
        <f t="shared" si="92"/>
        <v>411.06591371968148</v>
      </c>
      <c r="Q72" s="205">
        <f t="shared" si="93"/>
        <v>412.21434302289691</v>
      </c>
      <c r="R72" s="205">
        <f t="shared" si="94"/>
        <v>413.50632598901427</v>
      </c>
      <c r="S72" s="205">
        <f t="shared" si="95"/>
        <v>413.57810282046523</v>
      </c>
      <c r="T72" s="206">
        <f t="shared" si="96"/>
        <v>413.43454915756331</v>
      </c>
      <c r="U72" s="205">
        <f>'All P1 In Catchment'!G71</f>
        <v>305</v>
      </c>
      <c r="V72" s="205">
        <f>'All P1 In Catchment'!I71</f>
        <v>313</v>
      </c>
      <c r="W72" s="205">
        <f>'All P1 In Catchment'!K71</f>
        <v>342</v>
      </c>
      <c r="X72" s="207">
        <f>'All P1 In Catchment'!M71</f>
        <v>325</v>
      </c>
      <c r="Y72" s="207">
        <f>'All P1 In Catchment'!O71</f>
        <v>347</v>
      </c>
      <c r="Z72" s="209">
        <f t="shared" si="97"/>
        <v>317</v>
      </c>
      <c r="AA72" s="207">
        <f t="shared" si="98"/>
        <v>368</v>
      </c>
      <c r="AB72" s="207">
        <f t="shared" si="76"/>
        <v>312</v>
      </c>
      <c r="AC72" s="207">
        <f t="shared" si="77"/>
        <v>349</v>
      </c>
      <c r="AD72" s="207">
        <f t="shared" si="78"/>
        <v>347</v>
      </c>
      <c r="AE72" s="207">
        <f t="shared" si="79"/>
        <v>352</v>
      </c>
      <c r="AF72" s="207">
        <f t="shared" si="80"/>
        <v>356</v>
      </c>
      <c r="AG72" s="207">
        <f t="shared" si="81"/>
        <v>359</v>
      </c>
      <c r="AH72" s="207">
        <f t="shared" si="82"/>
        <v>362</v>
      </c>
      <c r="AI72" s="207">
        <f t="shared" si="83"/>
        <v>364</v>
      </c>
      <c r="AJ72" s="207">
        <f t="shared" si="84"/>
        <v>365</v>
      </c>
      <c r="AK72" s="207">
        <f t="shared" si="85"/>
        <v>366</v>
      </c>
      <c r="AL72" s="207">
        <f t="shared" si="86"/>
        <v>366</v>
      </c>
      <c r="AM72" s="208">
        <f t="shared" si="87"/>
        <v>366</v>
      </c>
      <c r="AN72" s="207">
        <f>'All P1 In Catchment'!F71</f>
        <v>35</v>
      </c>
      <c r="AO72" s="207">
        <f>'All P1 In Catchment'!H71</f>
        <v>59</v>
      </c>
      <c r="AP72" s="207">
        <f>'All P1 In Catchment'!J71</f>
        <v>51</v>
      </c>
      <c r="AQ72" s="207">
        <f>'All P1 In Catchment'!L71</f>
        <v>55</v>
      </c>
      <c r="AR72" s="208">
        <f>'All P1 In Catchment'!N71</f>
        <v>46</v>
      </c>
      <c r="AS72" s="180">
        <f t="shared" si="99"/>
        <v>48</v>
      </c>
      <c r="AT72" s="180">
        <f t="shared" si="100"/>
        <v>55</v>
      </c>
      <c r="AU72" s="180">
        <f t="shared" si="101"/>
        <v>47</v>
      </c>
      <c r="AV72" s="180">
        <f t="shared" si="102"/>
        <v>52</v>
      </c>
      <c r="AW72" s="180">
        <f t="shared" si="103"/>
        <v>52</v>
      </c>
      <c r="AX72" s="180">
        <f t="shared" si="104"/>
        <v>53</v>
      </c>
      <c r="AY72" s="180">
        <f t="shared" si="105"/>
        <v>54</v>
      </c>
      <c r="AZ72" s="180">
        <f t="shared" si="106"/>
        <v>54</v>
      </c>
      <c r="BA72" s="180">
        <f t="shared" si="107"/>
        <v>54</v>
      </c>
      <c r="BB72" s="180">
        <f t="shared" si="108"/>
        <v>55</v>
      </c>
      <c r="BC72" s="180">
        <f t="shared" si="109"/>
        <v>55</v>
      </c>
      <c r="BD72" s="180">
        <f t="shared" si="110"/>
        <v>55</v>
      </c>
      <c r="BE72" s="180">
        <f t="shared" si="111"/>
        <v>55</v>
      </c>
      <c r="BF72" s="180">
        <f t="shared" si="112"/>
        <v>55</v>
      </c>
      <c r="BG72" s="209">
        <v>51</v>
      </c>
      <c r="BH72" s="207">
        <f>AS72+'Housing Generation'!J71</f>
        <v>49</v>
      </c>
      <c r="BI72" s="207">
        <f>AT72+'Housing Generation'!R71</f>
        <v>56</v>
      </c>
      <c r="BJ72" s="207">
        <f>AU72+'Housing Generation'!Z71</f>
        <v>48</v>
      </c>
      <c r="BK72" s="207">
        <f>AV72+'Housing Generation'!AH71</f>
        <v>54</v>
      </c>
      <c r="BL72" s="207">
        <f>AW72+'Housing Generation'!AP71</f>
        <v>54</v>
      </c>
      <c r="BM72" s="207">
        <f>AX72+'Housing Generation'!AX71</f>
        <v>56</v>
      </c>
      <c r="BN72" s="207">
        <f>AY72+'Housing Generation'!BF71</f>
        <v>58</v>
      </c>
      <c r="BO72" s="207">
        <f>AZ72+'Housing Generation'!BN71</f>
        <v>59</v>
      </c>
      <c r="BP72" s="207">
        <f>BA72+'Housing Generation'!BV71</f>
        <v>59</v>
      </c>
      <c r="BQ72" s="207">
        <f>BB72+'Housing Generation'!CD71</f>
        <v>61</v>
      </c>
      <c r="BR72" s="207">
        <f>BC72+'Housing Generation'!CL71</f>
        <v>62</v>
      </c>
      <c r="BS72" s="207">
        <f>BD72+'Housing Generation'!CT71</f>
        <v>62</v>
      </c>
      <c r="BT72" s="207">
        <f>BE72+'Housing Generation'!DB71</f>
        <v>63</v>
      </c>
      <c r="BU72" s="208">
        <f>BF72+'Housing Generation'!DJ71</f>
        <v>63</v>
      </c>
      <c r="BV72" s="207">
        <f>'P1 Retained'!D71</f>
        <v>29</v>
      </c>
      <c r="BW72" s="362">
        <f>'P1 Retained'!E71</f>
        <v>50</v>
      </c>
      <c r="BX72" s="362">
        <f>'P1 Retained'!F71</f>
        <v>47</v>
      </c>
      <c r="BY72" s="362">
        <f>'P1 Retained'!G71</f>
        <v>55</v>
      </c>
      <c r="BZ72" s="362">
        <f>'P1 Retained'!H71</f>
        <v>44</v>
      </c>
    </row>
    <row r="73" spans="1:78" s="204" customFormat="1">
      <c r="A73" s="204" t="s">
        <v>87</v>
      </c>
      <c r="B73" s="205">
        <f>'Catchment Births'!O73</f>
        <v>177</v>
      </c>
      <c r="C73" s="205">
        <f>'Catchment Births'!P73</f>
        <v>150</v>
      </c>
      <c r="D73" s="205">
        <f>'Catchment Births'!Q73</f>
        <v>153</v>
      </c>
      <c r="E73" s="205">
        <f>'Catchment Births'!R73</f>
        <v>161</v>
      </c>
      <c r="F73" s="205">
        <f>'Catchment Births'!S73</f>
        <v>181</v>
      </c>
      <c r="G73" s="205">
        <f>'Catchment Births'!T73</f>
        <v>160</v>
      </c>
      <c r="H73" s="205">
        <f>'Catchment Births'!U73</f>
        <v>165</v>
      </c>
      <c r="I73" s="205">
        <f>'Catchment Births'!V73</f>
        <v>178</v>
      </c>
      <c r="J73" s="206">
        <f>'Catchment Births'!W73</f>
        <v>186</v>
      </c>
      <c r="K73" s="205">
        <f t="shared" si="113"/>
        <v>178.25958155897058</v>
      </c>
      <c r="L73" s="205">
        <f t="shared" si="88"/>
        <v>180.80614700981303</v>
      </c>
      <c r="M73" s="205">
        <f t="shared" si="89"/>
        <v>182.99358143553667</v>
      </c>
      <c r="N73" s="205">
        <f t="shared" si="90"/>
        <v>184.72394001110911</v>
      </c>
      <c r="O73" s="205">
        <f t="shared" si="91"/>
        <v>186.06251928655192</v>
      </c>
      <c r="P73" s="205">
        <f t="shared" si="92"/>
        <v>186.97667098685434</v>
      </c>
      <c r="Q73" s="205">
        <f t="shared" si="93"/>
        <v>187.49904338702714</v>
      </c>
      <c r="R73" s="205">
        <f t="shared" si="94"/>
        <v>188.08671233722154</v>
      </c>
      <c r="S73" s="205">
        <f t="shared" si="95"/>
        <v>188.11936061223236</v>
      </c>
      <c r="T73" s="206">
        <f t="shared" si="96"/>
        <v>188.05406406221076</v>
      </c>
      <c r="U73" s="205">
        <f>'All P1 In Catchment'!G72</f>
        <v>167</v>
      </c>
      <c r="V73" s="205">
        <f>'All P1 In Catchment'!I72</f>
        <v>140</v>
      </c>
      <c r="W73" s="205">
        <f>'All P1 In Catchment'!K72</f>
        <v>166</v>
      </c>
      <c r="X73" s="207">
        <f>'All P1 In Catchment'!M72</f>
        <v>158</v>
      </c>
      <c r="Y73" s="207">
        <f>'All P1 In Catchment'!O72</f>
        <v>167</v>
      </c>
      <c r="Z73" s="209">
        <f t="shared" si="97"/>
        <v>156</v>
      </c>
      <c r="AA73" s="207">
        <f t="shared" si="98"/>
        <v>161</v>
      </c>
      <c r="AB73" s="207">
        <f t="shared" si="76"/>
        <v>173</v>
      </c>
      <c r="AC73" s="207">
        <f t="shared" si="77"/>
        <v>181</v>
      </c>
      <c r="AD73" s="207">
        <f t="shared" si="78"/>
        <v>173</v>
      </c>
      <c r="AE73" s="207">
        <f t="shared" si="79"/>
        <v>176</v>
      </c>
      <c r="AF73" s="207">
        <f t="shared" si="80"/>
        <v>178</v>
      </c>
      <c r="AG73" s="207">
        <f t="shared" si="81"/>
        <v>180</v>
      </c>
      <c r="AH73" s="207">
        <f t="shared" si="82"/>
        <v>181</v>
      </c>
      <c r="AI73" s="207">
        <f t="shared" si="83"/>
        <v>182</v>
      </c>
      <c r="AJ73" s="207">
        <f t="shared" si="84"/>
        <v>182</v>
      </c>
      <c r="AK73" s="207">
        <f t="shared" si="85"/>
        <v>183</v>
      </c>
      <c r="AL73" s="207">
        <f t="shared" si="86"/>
        <v>183</v>
      </c>
      <c r="AM73" s="208">
        <f t="shared" si="87"/>
        <v>183</v>
      </c>
      <c r="AN73" s="207">
        <f>'All P1 In Catchment'!F72</f>
        <v>37</v>
      </c>
      <c r="AO73" s="207">
        <f>'All P1 In Catchment'!H72</f>
        <v>27</v>
      </c>
      <c r="AP73" s="207">
        <f>'All P1 In Catchment'!J72</f>
        <v>28</v>
      </c>
      <c r="AQ73" s="207">
        <f>'All P1 In Catchment'!L72</f>
        <v>47</v>
      </c>
      <c r="AR73" s="208">
        <f>'All P1 In Catchment'!N72</f>
        <v>54</v>
      </c>
      <c r="AS73" s="180">
        <f t="shared" si="99"/>
        <v>41</v>
      </c>
      <c r="AT73" s="180">
        <f t="shared" si="100"/>
        <v>42</v>
      </c>
      <c r="AU73" s="180">
        <f t="shared" si="101"/>
        <v>46</v>
      </c>
      <c r="AV73" s="180">
        <f t="shared" si="102"/>
        <v>48</v>
      </c>
      <c r="AW73" s="180">
        <f t="shared" si="103"/>
        <v>46</v>
      </c>
      <c r="AX73" s="180">
        <f t="shared" si="104"/>
        <v>46</v>
      </c>
      <c r="AY73" s="180">
        <f t="shared" si="105"/>
        <v>47</v>
      </c>
      <c r="AZ73" s="180">
        <f t="shared" si="106"/>
        <v>47</v>
      </c>
      <c r="BA73" s="180">
        <f t="shared" si="107"/>
        <v>48</v>
      </c>
      <c r="BB73" s="180">
        <f t="shared" si="108"/>
        <v>48</v>
      </c>
      <c r="BC73" s="180">
        <f t="shared" si="109"/>
        <v>48</v>
      </c>
      <c r="BD73" s="180">
        <f t="shared" si="110"/>
        <v>48</v>
      </c>
      <c r="BE73" s="180">
        <f t="shared" si="111"/>
        <v>48</v>
      </c>
      <c r="BF73" s="180">
        <f t="shared" si="112"/>
        <v>48</v>
      </c>
      <c r="BG73" s="209">
        <v>28</v>
      </c>
      <c r="BH73" s="207">
        <f>AS73+'Housing Generation'!J72</f>
        <v>43</v>
      </c>
      <c r="BI73" s="207">
        <f>AT73+'Housing Generation'!R72</f>
        <v>45</v>
      </c>
      <c r="BJ73" s="207">
        <f>AU73+'Housing Generation'!Z72</f>
        <v>50</v>
      </c>
      <c r="BK73" s="207">
        <f>AV73+'Housing Generation'!AH72</f>
        <v>52</v>
      </c>
      <c r="BL73" s="207">
        <f>AW73+'Housing Generation'!AP72</f>
        <v>51</v>
      </c>
      <c r="BM73" s="207">
        <f>AX73+'Housing Generation'!AX72</f>
        <v>52</v>
      </c>
      <c r="BN73" s="207">
        <f>AY73+'Housing Generation'!BF72</f>
        <v>53</v>
      </c>
      <c r="BO73" s="207">
        <f>AZ73+'Housing Generation'!BN72</f>
        <v>53</v>
      </c>
      <c r="BP73" s="207">
        <f>BA73+'Housing Generation'!BV72</f>
        <v>55</v>
      </c>
      <c r="BQ73" s="207">
        <f>BB73+'Housing Generation'!CD72</f>
        <v>55</v>
      </c>
      <c r="BR73" s="207">
        <f>BC73+'Housing Generation'!CL72</f>
        <v>55</v>
      </c>
      <c r="BS73" s="207">
        <f>BD73+'Housing Generation'!CT72</f>
        <v>55</v>
      </c>
      <c r="BT73" s="207">
        <f>BE73+'Housing Generation'!DB72</f>
        <v>55</v>
      </c>
      <c r="BU73" s="208">
        <f>BF73+'Housing Generation'!DJ72</f>
        <v>55</v>
      </c>
      <c r="BV73" s="207">
        <f>'P1 Retained'!D72</f>
        <v>33</v>
      </c>
      <c r="BW73" s="362">
        <f>'P1 Retained'!E72</f>
        <v>22</v>
      </c>
      <c r="BX73" s="362">
        <f>'P1 Retained'!F72</f>
        <v>27</v>
      </c>
      <c r="BY73" s="362">
        <f>'P1 Retained'!G72</f>
        <v>43</v>
      </c>
      <c r="BZ73" s="362">
        <f>'P1 Retained'!H72</f>
        <v>46</v>
      </c>
    </row>
    <row r="74" spans="1:78" s="204" customFormat="1">
      <c r="A74" s="204" t="s">
        <v>88</v>
      </c>
      <c r="B74" s="205">
        <f>'Catchment Births'!O74</f>
        <v>260</v>
      </c>
      <c r="C74" s="205">
        <f>'Catchment Births'!P74</f>
        <v>271</v>
      </c>
      <c r="D74" s="205">
        <f>'Catchment Births'!Q74</f>
        <v>237</v>
      </c>
      <c r="E74" s="205">
        <f>'Catchment Births'!R74</f>
        <v>289</v>
      </c>
      <c r="F74" s="205">
        <f>'Catchment Births'!S74</f>
        <v>257</v>
      </c>
      <c r="G74" s="205">
        <f>'Catchment Births'!T74</f>
        <v>265</v>
      </c>
      <c r="H74" s="205">
        <f>'Catchment Births'!U74</f>
        <v>265</v>
      </c>
      <c r="I74" s="205">
        <f>'Catchment Births'!V74</f>
        <v>256</v>
      </c>
      <c r="J74" s="206">
        <f>'Catchment Births'!W74</f>
        <v>265</v>
      </c>
      <c r="K74" s="205">
        <f t="shared" si="113"/>
        <v>264.8620625810035</v>
      </c>
      <c r="L74" s="205">
        <f t="shared" si="88"/>
        <v>268.6458063321607</v>
      </c>
      <c r="M74" s="205">
        <f t="shared" si="89"/>
        <v>271.89594519533421</v>
      </c>
      <c r="N74" s="205">
        <f t="shared" si="90"/>
        <v>274.46695056471026</v>
      </c>
      <c r="O74" s="205">
        <f t="shared" si="91"/>
        <v>276.45584151083136</v>
      </c>
      <c r="P74" s="205">
        <f t="shared" si="92"/>
        <v>277.81410849842626</v>
      </c>
      <c r="Q74" s="205">
        <f t="shared" si="93"/>
        <v>278.59026106276622</v>
      </c>
      <c r="R74" s="205">
        <f t="shared" si="94"/>
        <v>279.46343269764867</v>
      </c>
      <c r="S74" s="205">
        <f t="shared" si="95"/>
        <v>279.51194223291992</v>
      </c>
      <c r="T74" s="206">
        <f t="shared" si="96"/>
        <v>279.41492316237742</v>
      </c>
      <c r="U74" s="205">
        <f>'All P1 In Catchment'!G73</f>
        <v>240</v>
      </c>
      <c r="V74" s="205">
        <f>'All P1 In Catchment'!I73</f>
        <v>243</v>
      </c>
      <c r="W74" s="205">
        <f>'All P1 In Catchment'!K73</f>
        <v>210</v>
      </c>
      <c r="X74" s="207">
        <f>'All P1 In Catchment'!M73</f>
        <v>222</v>
      </c>
      <c r="Y74" s="207">
        <f>'All P1 In Catchment'!O73</f>
        <v>253</v>
      </c>
      <c r="Z74" s="209">
        <f t="shared" si="97"/>
        <v>236</v>
      </c>
      <c r="AA74" s="207">
        <f t="shared" si="98"/>
        <v>236</v>
      </c>
      <c r="AB74" s="207">
        <f t="shared" si="76"/>
        <v>228</v>
      </c>
      <c r="AC74" s="207">
        <f t="shared" si="77"/>
        <v>236</v>
      </c>
      <c r="AD74" s="207">
        <f t="shared" si="78"/>
        <v>236</v>
      </c>
      <c r="AE74" s="207">
        <f t="shared" si="79"/>
        <v>240</v>
      </c>
      <c r="AF74" s="207">
        <f t="shared" si="80"/>
        <v>242</v>
      </c>
      <c r="AG74" s="207">
        <f t="shared" si="81"/>
        <v>245</v>
      </c>
      <c r="AH74" s="207">
        <f t="shared" si="82"/>
        <v>247</v>
      </c>
      <c r="AI74" s="207">
        <f t="shared" si="83"/>
        <v>248</v>
      </c>
      <c r="AJ74" s="207">
        <f t="shared" si="84"/>
        <v>248</v>
      </c>
      <c r="AK74" s="207">
        <f t="shared" si="85"/>
        <v>249</v>
      </c>
      <c r="AL74" s="207">
        <f t="shared" si="86"/>
        <v>249</v>
      </c>
      <c r="AM74" s="208">
        <f t="shared" si="87"/>
        <v>249</v>
      </c>
      <c r="AN74" s="207">
        <f>'All P1 In Catchment'!F73</f>
        <v>39</v>
      </c>
      <c r="AO74" s="207">
        <f>'All P1 In Catchment'!H73</f>
        <v>28</v>
      </c>
      <c r="AP74" s="207">
        <f>'All P1 In Catchment'!J73</f>
        <v>28</v>
      </c>
      <c r="AQ74" s="207">
        <f>'All P1 In Catchment'!L73</f>
        <v>31</v>
      </c>
      <c r="AR74" s="208">
        <f>'All P1 In Catchment'!N73</f>
        <v>50</v>
      </c>
      <c r="AS74" s="180">
        <f t="shared" si="99"/>
        <v>37</v>
      </c>
      <c r="AT74" s="180">
        <f t="shared" si="100"/>
        <v>37</v>
      </c>
      <c r="AU74" s="180">
        <f t="shared" si="101"/>
        <v>36</v>
      </c>
      <c r="AV74" s="180">
        <f t="shared" si="102"/>
        <v>37</v>
      </c>
      <c r="AW74" s="180">
        <f t="shared" si="103"/>
        <v>37</v>
      </c>
      <c r="AX74" s="180">
        <f t="shared" si="104"/>
        <v>38</v>
      </c>
      <c r="AY74" s="180">
        <f t="shared" si="105"/>
        <v>38</v>
      </c>
      <c r="AZ74" s="180">
        <f t="shared" si="106"/>
        <v>38</v>
      </c>
      <c r="BA74" s="180">
        <f t="shared" si="107"/>
        <v>39</v>
      </c>
      <c r="BB74" s="180">
        <f t="shared" si="108"/>
        <v>39</v>
      </c>
      <c r="BC74" s="180">
        <f t="shared" si="109"/>
        <v>39</v>
      </c>
      <c r="BD74" s="180">
        <f t="shared" si="110"/>
        <v>39</v>
      </c>
      <c r="BE74" s="180">
        <f t="shared" si="111"/>
        <v>39</v>
      </c>
      <c r="BF74" s="180">
        <f t="shared" si="112"/>
        <v>39</v>
      </c>
      <c r="BG74" s="209">
        <v>28</v>
      </c>
      <c r="BH74" s="207">
        <f>AS74+'Housing Generation'!J73</f>
        <v>39</v>
      </c>
      <c r="BI74" s="207">
        <f>AT74+'Housing Generation'!R73</f>
        <v>40</v>
      </c>
      <c r="BJ74" s="207">
        <f>AU74+'Housing Generation'!Z73</f>
        <v>40</v>
      </c>
      <c r="BK74" s="207">
        <f>AV74+'Housing Generation'!AH73</f>
        <v>43</v>
      </c>
      <c r="BL74" s="207">
        <f>AW74+'Housing Generation'!AP73</f>
        <v>45</v>
      </c>
      <c r="BM74" s="207">
        <f>AX74+'Housing Generation'!AX73</f>
        <v>47</v>
      </c>
      <c r="BN74" s="207">
        <f>AY74+'Housing Generation'!BF73</f>
        <v>49</v>
      </c>
      <c r="BO74" s="207">
        <f>AZ74+'Housing Generation'!BN73</f>
        <v>50</v>
      </c>
      <c r="BP74" s="207">
        <f>BA74+'Housing Generation'!BV73</f>
        <v>52</v>
      </c>
      <c r="BQ74" s="207">
        <f>BB74+'Housing Generation'!CD73</f>
        <v>52</v>
      </c>
      <c r="BR74" s="207">
        <f>BC74+'Housing Generation'!CL73</f>
        <v>53</v>
      </c>
      <c r="BS74" s="207">
        <f>BD74+'Housing Generation'!CT73</f>
        <v>53</v>
      </c>
      <c r="BT74" s="207">
        <f>BE74+'Housing Generation'!DB73</f>
        <v>53</v>
      </c>
      <c r="BU74" s="208">
        <f>BF74+'Housing Generation'!DJ73</f>
        <v>53</v>
      </c>
      <c r="BV74" s="207">
        <f>'P1 Retained'!D73</f>
        <v>36</v>
      </c>
      <c r="BW74" s="362">
        <f>'P1 Retained'!E73</f>
        <v>26</v>
      </c>
      <c r="BX74" s="362">
        <f>'P1 Retained'!F73</f>
        <v>24</v>
      </c>
      <c r="BY74" s="362">
        <f>'P1 Retained'!G73</f>
        <v>29</v>
      </c>
      <c r="BZ74" s="362">
        <f>'P1 Retained'!H73</f>
        <v>43</v>
      </c>
    </row>
    <row r="75" spans="1:78" s="204" customFormat="1">
      <c r="A75" s="204" t="s">
        <v>89</v>
      </c>
      <c r="B75" s="205">
        <f>'Catchment Births'!O75</f>
        <v>280</v>
      </c>
      <c r="C75" s="205">
        <f>'Catchment Births'!P75</f>
        <v>295</v>
      </c>
      <c r="D75" s="205">
        <f>'Catchment Births'!Q75</f>
        <v>302</v>
      </c>
      <c r="E75" s="205">
        <f>'Catchment Births'!R75</f>
        <v>287</v>
      </c>
      <c r="F75" s="205">
        <f>'Catchment Births'!S75</f>
        <v>294</v>
      </c>
      <c r="G75" s="205">
        <f>'Catchment Births'!T75</f>
        <v>266</v>
      </c>
      <c r="H75" s="205">
        <f>'Catchment Births'!U75</f>
        <v>261</v>
      </c>
      <c r="I75" s="205">
        <f>'Catchment Births'!V75</f>
        <v>290</v>
      </c>
      <c r="J75" s="206">
        <f>'Catchment Births'!W75</f>
        <v>277</v>
      </c>
      <c r="K75" s="205">
        <f t="shared" si="113"/>
        <v>279.01499722273655</v>
      </c>
      <c r="L75" s="205">
        <f t="shared" si="88"/>
        <v>283.00092575448991</v>
      </c>
      <c r="M75" s="205">
        <f t="shared" si="89"/>
        <v>286.42473615997039</v>
      </c>
      <c r="N75" s="205">
        <f t="shared" si="90"/>
        <v>289.13312349564899</v>
      </c>
      <c r="O75" s="205">
        <f t="shared" si="91"/>
        <v>291.22829105721166</v>
      </c>
      <c r="P75" s="205">
        <f t="shared" si="92"/>
        <v>292.65913719681544</v>
      </c>
      <c r="Q75" s="205">
        <f t="shared" si="93"/>
        <v>293.47676356230329</v>
      </c>
      <c r="R75" s="205">
        <f t="shared" si="94"/>
        <v>294.39659322347717</v>
      </c>
      <c r="S75" s="205">
        <f t="shared" si="95"/>
        <v>294.44769487132015</v>
      </c>
      <c r="T75" s="206">
        <f t="shared" si="96"/>
        <v>294.34549157563418</v>
      </c>
      <c r="U75" s="205">
        <f>'All P1 In Catchment'!G74</f>
        <v>283</v>
      </c>
      <c r="V75" s="205">
        <f>'All P1 In Catchment'!I74</f>
        <v>299</v>
      </c>
      <c r="W75" s="205">
        <f>'All P1 In Catchment'!K74</f>
        <v>276</v>
      </c>
      <c r="X75" s="207">
        <f>'All P1 In Catchment'!M74</f>
        <v>305</v>
      </c>
      <c r="Y75" s="207">
        <f>'All P1 In Catchment'!O74</f>
        <v>282</v>
      </c>
      <c r="Z75" s="209">
        <f t="shared" si="97"/>
        <v>264</v>
      </c>
      <c r="AA75" s="207">
        <f t="shared" si="98"/>
        <v>259</v>
      </c>
      <c r="AB75" s="207">
        <f t="shared" si="76"/>
        <v>288</v>
      </c>
      <c r="AC75" s="207">
        <f t="shared" si="77"/>
        <v>275</v>
      </c>
      <c r="AD75" s="207">
        <f t="shared" si="78"/>
        <v>277</v>
      </c>
      <c r="AE75" s="207">
        <f t="shared" si="79"/>
        <v>281</v>
      </c>
      <c r="AF75" s="207">
        <f t="shared" si="80"/>
        <v>284</v>
      </c>
      <c r="AG75" s="207">
        <f t="shared" si="81"/>
        <v>287</v>
      </c>
      <c r="AH75" s="207">
        <f t="shared" si="82"/>
        <v>289</v>
      </c>
      <c r="AI75" s="207">
        <f t="shared" si="83"/>
        <v>290</v>
      </c>
      <c r="AJ75" s="207">
        <f t="shared" si="84"/>
        <v>291</v>
      </c>
      <c r="AK75" s="207">
        <f t="shared" si="85"/>
        <v>292</v>
      </c>
      <c r="AL75" s="207">
        <f t="shared" si="86"/>
        <v>292</v>
      </c>
      <c r="AM75" s="208">
        <f t="shared" si="87"/>
        <v>292</v>
      </c>
      <c r="AN75" s="207">
        <f>'All P1 In Catchment'!F74</f>
        <v>45</v>
      </c>
      <c r="AO75" s="207">
        <f>'All P1 In Catchment'!H74</f>
        <v>51</v>
      </c>
      <c r="AP75" s="207">
        <f>'All P1 In Catchment'!J74</f>
        <v>49</v>
      </c>
      <c r="AQ75" s="207">
        <f>'All P1 In Catchment'!L74</f>
        <v>55</v>
      </c>
      <c r="AR75" s="208">
        <f>'All P1 In Catchment'!N74</f>
        <v>41</v>
      </c>
      <c r="AS75" s="180">
        <f t="shared" si="99"/>
        <v>44</v>
      </c>
      <c r="AT75" s="180">
        <f t="shared" si="100"/>
        <v>43</v>
      </c>
      <c r="AU75" s="180">
        <f t="shared" si="101"/>
        <v>48</v>
      </c>
      <c r="AV75" s="180">
        <f t="shared" si="102"/>
        <v>46</v>
      </c>
      <c r="AW75" s="180">
        <f t="shared" si="103"/>
        <v>46</v>
      </c>
      <c r="AX75" s="180">
        <f t="shared" si="104"/>
        <v>47</v>
      </c>
      <c r="AY75" s="180">
        <f t="shared" si="105"/>
        <v>48</v>
      </c>
      <c r="AZ75" s="180">
        <f t="shared" si="106"/>
        <v>48</v>
      </c>
      <c r="BA75" s="180">
        <f t="shared" si="107"/>
        <v>48</v>
      </c>
      <c r="BB75" s="180">
        <f t="shared" si="108"/>
        <v>49</v>
      </c>
      <c r="BC75" s="180">
        <f t="shared" si="109"/>
        <v>49</v>
      </c>
      <c r="BD75" s="180">
        <f t="shared" si="110"/>
        <v>49</v>
      </c>
      <c r="BE75" s="180">
        <f t="shared" si="111"/>
        <v>49</v>
      </c>
      <c r="BF75" s="180">
        <f t="shared" si="112"/>
        <v>49</v>
      </c>
      <c r="BG75" s="209">
        <v>49</v>
      </c>
      <c r="BH75" s="207">
        <f>AS75+'Housing Generation'!J74</f>
        <v>45</v>
      </c>
      <c r="BI75" s="207">
        <f>AT75+'Housing Generation'!R74</f>
        <v>44</v>
      </c>
      <c r="BJ75" s="207">
        <f>AU75+'Housing Generation'!Z74</f>
        <v>50</v>
      </c>
      <c r="BK75" s="207">
        <f>AV75+'Housing Generation'!AH74</f>
        <v>48</v>
      </c>
      <c r="BL75" s="207">
        <f>AW75+'Housing Generation'!AP74</f>
        <v>49</v>
      </c>
      <c r="BM75" s="207">
        <f>AX75+'Housing Generation'!AX74</f>
        <v>50</v>
      </c>
      <c r="BN75" s="207">
        <f>AY75+'Housing Generation'!BF74</f>
        <v>52</v>
      </c>
      <c r="BO75" s="207">
        <f>AZ75+'Housing Generation'!BN74</f>
        <v>53</v>
      </c>
      <c r="BP75" s="207">
        <f>BA75+'Housing Generation'!BV74</f>
        <v>54</v>
      </c>
      <c r="BQ75" s="207">
        <f>BB75+'Housing Generation'!CD74</f>
        <v>56</v>
      </c>
      <c r="BR75" s="207">
        <f>BC75+'Housing Generation'!CL74</f>
        <v>56</v>
      </c>
      <c r="BS75" s="207">
        <f>BD75+'Housing Generation'!CT74</f>
        <v>57</v>
      </c>
      <c r="BT75" s="207">
        <f>BE75+'Housing Generation'!DB74</f>
        <v>57</v>
      </c>
      <c r="BU75" s="208">
        <f>BF75+'Housing Generation'!DJ74</f>
        <v>58</v>
      </c>
      <c r="BV75" s="207">
        <f>'P1 Retained'!D74</f>
        <v>45</v>
      </c>
      <c r="BW75" s="362">
        <f>'P1 Retained'!E74</f>
        <v>51</v>
      </c>
      <c r="BX75" s="362">
        <f>'P1 Retained'!F74</f>
        <v>49</v>
      </c>
      <c r="BY75" s="362">
        <f>'P1 Retained'!G74</f>
        <v>51</v>
      </c>
      <c r="BZ75" s="362">
        <f>'P1 Retained'!H74</f>
        <v>41</v>
      </c>
    </row>
    <row r="76" spans="1:78" s="204" customFormat="1">
      <c r="A76" s="204" t="s">
        <v>90</v>
      </c>
      <c r="B76" s="205">
        <f>'Catchment Births'!O76</f>
        <v>510</v>
      </c>
      <c r="C76" s="205">
        <f>'Catchment Births'!P76</f>
        <v>520</v>
      </c>
      <c r="D76" s="205">
        <f>'Catchment Births'!Q76</f>
        <v>475</v>
      </c>
      <c r="E76" s="205">
        <f>'Catchment Births'!R76</f>
        <v>507</v>
      </c>
      <c r="F76" s="205">
        <f>'Catchment Births'!S76</f>
        <v>486</v>
      </c>
      <c r="G76" s="205">
        <f>'Catchment Births'!T76</f>
        <v>460</v>
      </c>
      <c r="H76" s="205">
        <f>'Catchment Births'!U76</f>
        <v>419</v>
      </c>
      <c r="I76" s="205">
        <f>'Catchment Births'!V76</f>
        <v>420</v>
      </c>
      <c r="J76" s="206">
        <f>'Catchment Births'!W76</f>
        <v>435</v>
      </c>
      <c r="K76" s="205">
        <f t="shared" si="113"/>
        <v>429.30568413256805</v>
      </c>
      <c r="L76" s="205">
        <f t="shared" si="88"/>
        <v>435.43862247731903</v>
      </c>
      <c r="M76" s="205">
        <f t="shared" si="89"/>
        <v>440.70665926063077</v>
      </c>
      <c r="N76" s="205">
        <f t="shared" si="90"/>
        <v>444.87391223847436</v>
      </c>
      <c r="O76" s="205">
        <f t="shared" si="91"/>
        <v>448.09763624020246</v>
      </c>
      <c r="P76" s="205">
        <f t="shared" si="92"/>
        <v>450.29920385113871</v>
      </c>
      <c r="Q76" s="205">
        <f t="shared" si="93"/>
        <v>451.55724248595942</v>
      </c>
      <c r="R76" s="205">
        <f t="shared" si="94"/>
        <v>452.97253595013274</v>
      </c>
      <c r="S76" s="205">
        <f t="shared" si="95"/>
        <v>453.05116336480904</v>
      </c>
      <c r="T76" s="206">
        <f t="shared" si="96"/>
        <v>452.89390853545643</v>
      </c>
      <c r="U76" s="205">
        <f>'All P1 In Catchment'!G75</f>
        <v>459</v>
      </c>
      <c r="V76" s="205">
        <f>'All P1 In Catchment'!I75</f>
        <v>411</v>
      </c>
      <c r="W76" s="205">
        <f>'All P1 In Catchment'!K75</f>
        <v>377</v>
      </c>
      <c r="X76" s="207">
        <f>'All P1 In Catchment'!M75</f>
        <v>440</v>
      </c>
      <c r="Y76" s="207">
        <f>'All P1 In Catchment'!O75</f>
        <v>413</v>
      </c>
      <c r="Z76" s="209">
        <f t="shared" si="97"/>
        <v>387</v>
      </c>
      <c r="AA76" s="207">
        <f t="shared" si="98"/>
        <v>352</v>
      </c>
      <c r="AB76" s="207">
        <f t="shared" si="76"/>
        <v>353</v>
      </c>
      <c r="AC76" s="207">
        <f t="shared" si="77"/>
        <v>366</v>
      </c>
      <c r="AD76" s="207">
        <f t="shared" si="78"/>
        <v>361</v>
      </c>
      <c r="AE76" s="207">
        <f t="shared" si="79"/>
        <v>366</v>
      </c>
      <c r="AF76" s="207">
        <f t="shared" si="80"/>
        <v>370</v>
      </c>
      <c r="AG76" s="207">
        <f t="shared" si="81"/>
        <v>374</v>
      </c>
      <c r="AH76" s="207">
        <f t="shared" si="82"/>
        <v>377</v>
      </c>
      <c r="AI76" s="207">
        <f t="shared" si="83"/>
        <v>378</v>
      </c>
      <c r="AJ76" s="207">
        <f t="shared" si="84"/>
        <v>379</v>
      </c>
      <c r="AK76" s="207">
        <f t="shared" si="85"/>
        <v>381</v>
      </c>
      <c r="AL76" s="207">
        <f t="shared" si="86"/>
        <v>381</v>
      </c>
      <c r="AM76" s="208">
        <f t="shared" si="87"/>
        <v>381</v>
      </c>
      <c r="AN76" s="207">
        <f>'All P1 In Catchment'!F75</f>
        <v>36</v>
      </c>
      <c r="AO76" s="207">
        <f>'All P1 In Catchment'!H75</f>
        <v>46</v>
      </c>
      <c r="AP76" s="207">
        <f>'All P1 In Catchment'!J75</f>
        <v>46</v>
      </c>
      <c r="AQ76" s="207">
        <f>'All P1 In Catchment'!L75</f>
        <v>57</v>
      </c>
      <c r="AR76" s="208">
        <f>'All P1 In Catchment'!N75</f>
        <v>48</v>
      </c>
      <c r="AS76" s="180">
        <f t="shared" si="99"/>
        <v>47</v>
      </c>
      <c r="AT76" s="180">
        <f t="shared" si="100"/>
        <v>43</v>
      </c>
      <c r="AU76" s="180">
        <f t="shared" si="101"/>
        <v>43</v>
      </c>
      <c r="AV76" s="180">
        <f t="shared" si="102"/>
        <v>45</v>
      </c>
      <c r="AW76" s="180">
        <f t="shared" si="103"/>
        <v>44</v>
      </c>
      <c r="AX76" s="180">
        <f t="shared" si="104"/>
        <v>45</v>
      </c>
      <c r="AY76" s="180">
        <f t="shared" si="105"/>
        <v>45</v>
      </c>
      <c r="AZ76" s="180">
        <f t="shared" si="106"/>
        <v>46</v>
      </c>
      <c r="BA76" s="180">
        <f t="shared" si="107"/>
        <v>46</v>
      </c>
      <c r="BB76" s="180">
        <f t="shared" si="108"/>
        <v>46</v>
      </c>
      <c r="BC76" s="180">
        <f t="shared" si="109"/>
        <v>46</v>
      </c>
      <c r="BD76" s="180">
        <f t="shared" si="110"/>
        <v>47</v>
      </c>
      <c r="BE76" s="180">
        <f t="shared" si="111"/>
        <v>47</v>
      </c>
      <c r="BF76" s="180">
        <f t="shared" si="112"/>
        <v>47</v>
      </c>
      <c r="BG76" s="209">
        <v>46</v>
      </c>
      <c r="BH76" s="207">
        <f>AS76+'Housing Generation'!J75</f>
        <v>48</v>
      </c>
      <c r="BI76" s="207">
        <f>AT76+'Housing Generation'!R75</f>
        <v>45</v>
      </c>
      <c r="BJ76" s="207">
        <f>AU76+'Housing Generation'!Z75</f>
        <v>45</v>
      </c>
      <c r="BK76" s="207">
        <f>AV76+'Housing Generation'!AH75</f>
        <v>47</v>
      </c>
      <c r="BL76" s="207">
        <f>AW76+'Housing Generation'!AP75</f>
        <v>46</v>
      </c>
      <c r="BM76" s="207">
        <f>AX76+'Housing Generation'!AX75</f>
        <v>47</v>
      </c>
      <c r="BN76" s="207">
        <f>AY76+'Housing Generation'!BF75</f>
        <v>48</v>
      </c>
      <c r="BO76" s="207">
        <f>AZ76+'Housing Generation'!BN75</f>
        <v>49</v>
      </c>
      <c r="BP76" s="207">
        <f>BA76+'Housing Generation'!BV75</f>
        <v>49</v>
      </c>
      <c r="BQ76" s="207">
        <f>BB76+'Housing Generation'!CD75</f>
        <v>49</v>
      </c>
      <c r="BR76" s="207">
        <f>BC76+'Housing Generation'!CL75</f>
        <v>49</v>
      </c>
      <c r="BS76" s="207">
        <f>BD76+'Housing Generation'!CT75</f>
        <v>50</v>
      </c>
      <c r="BT76" s="207">
        <f>BE76+'Housing Generation'!DB75</f>
        <v>50</v>
      </c>
      <c r="BU76" s="208">
        <f>BF76+'Housing Generation'!DJ75</f>
        <v>50</v>
      </c>
      <c r="BV76" s="207">
        <f>'P1 Retained'!D75</f>
        <v>35</v>
      </c>
      <c r="BW76" s="362">
        <f>'P1 Retained'!E75</f>
        <v>46</v>
      </c>
      <c r="BX76" s="362">
        <f>'P1 Retained'!F75</f>
        <v>44</v>
      </c>
      <c r="BY76" s="362">
        <f>'P1 Retained'!G75</f>
        <v>54</v>
      </c>
      <c r="BZ76" s="362">
        <f>'P1 Retained'!H75</f>
        <v>47</v>
      </c>
    </row>
    <row r="77" spans="1:78" s="204" customFormat="1">
      <c r="A77" s="204" t="s">
        <v>81</v>
      </c>
      <c r="B77" s="205">
        <f>'Catchment Births'!O77</f>
        <v>166</v>
      </c>
      <c r="C77" s="205">
        <f>'Catchment Births'!P77</f>
        <v>154</v>
      </c>
      <c r="D77" s="205">
        <f>'Catchment Births'!Q77</f>
        <v>161</v>
      </c>
      <c r="E77" s="205">
        <f>'Catchment Births'!R77</f>
        <v>166</v>
      </c>
      <c r="F77" s="205">
        <f>'Catchment Births'!S77</f>
        <v>178</v>
      </c>
      <c r="G77" s="205">
        <f>'Catchment Births'!T77</f>
        <v>182</v>
      </c>
      <c r="H77" s="205">
        <f>'Catchment Births'!U77</f>
        <v>191</v>
      </c>
      <c r="I77" s="205">
        <f>'Catchment Births'!V77</f>
        <v>203</v>
      </c>
      <c r="J77" s="206">
        <f>'Catchment Births'!W77</f>
        <v>229</v>
      </c>
      <c r="K77" s="205">
        <f t="shared" si="113"/>
        <v>209.93519718570633</v>
      </c>
      <c r="L77" s="205">
        <f t="shared" si="88"/>
        <v>212.93427143121642</v>
      </c>
      <c r="M77" s="205">
        <f t="shared" si="89"/>
        <v>215.51039930876996</v>
      </c>
      <c r="N77" s="205">
        <f t="shared" si="90"/>
        <v>217.54823180892424</v>
      </c>
      <c r="O77" s="205">
        <f t="shared" si="91"/>
        <v>219.12466827130774</v>
      </c>
      <c r="P77" s="205">
        <f t="shared" si="92"/>
        <v>220.20125902610624</v>
      </c>
      <c r="Q77" s="205">
        <f t="shared" si="93"/>
        <v>220.81645374313396</v>
      </c>
      <c r="R77" s="205">
        <f t="shared" si="94"/>
        <v>221.50854779979014</v>
      </c>
      <c r="S77" s="205">
        <f t="shared" si="95"/>
        <v>221.54699746960438</v>
      </c>
      <c r="T77" s="206">
        <f t="shared" si="96"/>
        <v>221.47009812997592</v>
      </c>
      <c r="U77" s="205">
        <f>'All P1 In Catchment'!G76</f>
        <v>216</v>
      </c>
      <c r="V77" s="205">
        <f>'All P1 In Catchment'!I76</f>
        <v>179</v>
      </c>
      <c r="W77" s="205">
        <f>'All P1 In Catchment'!K76</f>
        <v>227</v>
      </c>
      <c r="X77" s="207">
        <f>'All P1 In Catchment'!M76</f>
        <v>228</v>
      </c>
      <c r="Y77" s="207">
        <f>'All P1 In Catchment'!O76</f>
        <v>249</v>
      </c>
      <c r="Z77" s="209">
        <f t="shared" si="97"/>
        <v>242</v>
      </c>
      <c r="AA77" s="207">
        <f t="shared" si="98"/>
        <v>254</v>
      </c>
      <c r="AB77" s="207">
        <f t="shared" ref="AB77:AB90" si="114">ROUND((I77*(AVERAGE((U77/B77),(V77/C77),(W77/D77),(X77/E77),(Y77/F77)))),0)</f>
        <v>270</v>
      </c>
      <c r="AC77" s="207">
        <f t="shared" ref="AC77:AC90" si="115">ROUND((J77*(AVERAGE((U77/B77),(V77/C77),(W77/D77),(X77/E77),(Y77/F77)))),0)</f>
        <v>304</v>
      </c>
      <c r="AD77" s="207">
        <f t="shared" ref="AD77:AD90" si="116">ROUND((K77*(AVERAGE((U77/B77),(V77/C77),(W77/D77),(X77/E77),(Y77/F77)))),0)</f>
        <v>279</v>
      </c>
      <c r="AE77" s="207">
        <f t="shared" ref="AE77:AE90" si="117">ROUND((L77*(AVERAGE((U77/B77),(V77/C77),(W77/D77),(X77/E77),(Y77/F77)))),0)</f>
        <v>283</v>
      </c>
      <c r="AF77" s="207">
        <f t="shared" ref="AF77:AF90" si="118">ROUND((M77*(AVERAGE((U77/B77),(V77/C77),(W77/D77),(X77/E77),(Y77/F77)))),0)</f>
        <v>286</v>
      </c>
      <c r="AG77" s="207">
        <f t="shared" ref="AG77:AG90" si="119">ROUND((N77*(AVERAGE((U77/B77),(V77/C77),(W77/D77),(X77/E77),(Y77/F77)))),0)</f>
        <v>289</v>
      </c>
      <c r="AH77" s="207">
        <f t="shared" ref="AH77:AH90" si="120">ROUND((O77*(AVERAGE((U77/B77),(V77/C77),(W77/D77),(X77/E77),(Y77/F77)))),0)</f>
        <v>291</v>
      </c>
      <c r="AI77" s="207">
        <f t="shared" ref="AI77:AI90" si="121">ROUND((P77*(AVERAGE((U77/B77),(V77/C77),(W77/D77),(X77/E77),(Y77/F77)))),0)</f>
        <v>293</v>
      </c>
      <c r="AJ77" s="207">
        <f t="shared" ref="AJ77:AJ90" si="122">ROUND((Q77*(AVERAGE((U77/B77),(V77/C77),(W77/D77),(X77/E77),(Y77/F77)))),0)</f>
        <v>294</v>
      </c>
      <c r="AK77" s="207">
        <f t="shared" ref="AK77:AK90" si="123">ROUND((R77*(AVERAGE((U77/B77),(V77/C77),(W77/D77),(X77/E77),(Y77/F77)))),0)</f>
        <v>294</v>
      </c>
      <c r="AL77" s="207">
        <f t="shared" ref="AL77:AL90" si="124">ROUND((S77*(AVERAGE((U77/B77),(V77/C77),(W77/D77),(X77/E77),(Y77/F77)))),0)</f>
        <v>294</v>
      </c>
      <c r="AM77" s="208">
        <f t="shared" ref="AM77:AM90" si="125">ROUND((T77*(AVERAGE((U77/B77),(V77/C77),(W77/D77),(X77/E77),(Y77/F77)))),0)</f>
        <v>294</v>
      </c>
      <c r="AN77" s="207">
        <f>'All P1 In Catchment'!F76</f>
        <v>12</v>
      </c>
      <c r="AO77" s="207">
        <f>'All P1 In Catchment'!H76</f>
        <v>10</v>
      </c>
      <c r="AP77" s="207">
        <f>'All P1 In Catchment'!J76</f>
        <v>15</v>
      </c>
      <c r="AQ77" s="207">
        <f>'All P1 In Catchment'!L76</f>
        <v>16</v>
      </c>
      <c r="AR77" s="208">
        <f>'All P1 In Catchment'!N76</f>
        <v>17</v>
      </c>
      <c r="AS77" s="180">
        <f t="shared" si="99"/>
        <v>16</v>
      </c>
      <c r="AT77" s="180">
        <f t="shared" si="100"/>
        <v>17</v>
      </c>
      <c r="AU77" s="180">
        <f t="shared" si="101"/>
        <v>18</v>
      </c>
      <c r="AV77" s="180">
        <f t="shared" si="102"/>
        <v>21</v>
      </c>
      <c r="AW77" s="180">
        <f t="shared" si="103"/>
        <v>19</v>
      </c>
      <c r="AX77" s="180">
        <f t="shared" si="104"/>
        <v>19</v>
      </c>
      <c r="AY77" s="180">
        <f t="shared" si="105"/>
        <v>19</v>
      </c>
      <c r="AZ77" s="180">
        <f t="shared" si="106"/>
        <v>20</v>
      </c>
      <c r="BA77" s="180">
        <f t="shared" si="107"/>
        <v>20</v>
      </c>
      <c r="BB77" s="180">
        <f t="shared" si="108"/>
        <v>20</v>
      </c>
      <c r="BC77" s="180">
        <f t="shared" si="109"/>
        <v>20</v>
      </c>
      <c r="BD77" s="180">
        <f t="shared" si="110"/>
        <v>20</v>
      </c>
      <c r="BE77" s="180">
        <f t="shared" si="111"/>
        <v>20</v>
      </c>
      <c r="BF77" s="180">
        <f t="shared" si="112"/>
        <v>20</v>
      </c>
      <c r="BG77" s="209">
        <v>15</v>
      </c>
      <c r="BH77" s="207">
        <f>AS77+'Housing Generation'!J76</f>
        <v>17</v>
      </c>
      <c r="BI77" s="207">
        <f>AT77+'Housing Generation'!R76</f>
        <v>18</v>
      </c>
      <c r="BJ77" s="207">
        <f>AU77+'Housing Generation'!Z76</f>
        <v>19</v>
      </c>
      <c r="BK77" s="207">
        <f>AV77+'Housing Generation'!AH76</f>
        <v>23</v>
      </c>
      <c r="BL77" s="207">
        <f>AW77+'Housing Generation'!AP76</f>
        <v>22</v>
      </c>
      <c r="BM77" s="207">
        <f>AX77+'Housing Generation'!AX76</f>
        <v>22</v>
      </c>
      <c r="BN77" s="207">
        <f>AY77+'Housing Generation'!BF76</f>
        <v>23</v>
      </c>
      <c r="BO77" s="207">
        <f>AZ77+'Housing Generation'!BN76</f>
        <v>25</v>
      </c>
      <c r="BP77" s="207">
        <f>BA77+'Housing Generation'!BV76</f>
        <v>26</v>
      </c>
      <c r="BQ77" s="207">
        <f>BB77+'Housing Generation'!CD76</f>
        <v>27</v>
      </c>
      <c r="BR77" s="207">
        <f>BC77+'Housing Generation'!CL76</f>
        <v>28</v>
      </c>
      <c r="BS77" s="207">
        <f>BD77+'Housing Generation'!CT76</f>
        <v>28</v>
      </c>
      <c r="BT77" s="207">
        <f>BE77+'Housing Generation'!DB76</f>
        <v>28</v>
      </c>
      <c r="BU77" s="208">
        <f>BF77+'Housing Generation'!DJ76</f>
        <v>29</v>
      </c>
      <c r="BV77" s="207">
        <f>'P1 Retained'!D76</f>
        <v>12</v>
      </c>
      <c r="BW77" s="362">
        <f>'P1 Retained'!E76</f>
        <v>10</v>
      </c>
      <c r="BX77" s="362">
        <f>'P1 Retained'!F76</f>
        <v>15</v>
      </c>
      <c r="BY77" s="362">
        <f>'P1 Retained'!G76</f>
        <v>16</v>
      </c>
      <c r="BZ77" s="362">
        <f>'P1 Retained'!H76</f>
        <v>17</v>
      </c>
    </row>
    <row r="78" spans="1:78" s="204" customFormat="1">
      <c r="A78" s="204" t="s">
        <v>91</v>
      </c>
      <c r="B78" s="205">
        <f>'Catchment Births'!O78</f>
        <v>203</v>
      </c>
      <c r="C78" s="205">
        <f>'Catchment Births'!P78</f>
        <v>230</v>
      </c>
      <c r="D78" s="205">
        <f>'Catchment Births'!Q78</f>
        <v>245</v>
      </c>
      <c r="E78" s="205">
        <f>'Catchment Births'!R78</f>
        <v>230</v>
      </c>
      <c r="F78" s="205">
        <f>'Catchment Births'!S78</f>
        <v>214</v>
      </c>
      <c r="G78" s="205">
        <f>'Catchment Births'!T78</f>
        <v>205</v>
      </c>
      <c r="H78" s="205">
        <f>'Catchment Births'!U78</f>
        <v>214</v>
      </c>
      <c r="I78" s="205">
        <f>'Catchment Births'!V78</f>
        <v>246</v>
      </c>
      <c r="J78" s="206">
        <f>'Catchment Births'!W78</f>
        <v>186</v>
      </c>
      <c r="K78" s="205">
        <f t="shared" si="113"/>
        <v>217.68561377522681</v>
      </c>
      <c r="L78" s="205">
        <f t="shared" si="88"/>
        <v>220.79540825773006</v>
      </c>
      <c r="M78" s="205">
        <f t="shared" si="89"/>
        <v>223.46664197988028</v>
      </c>
      <c r="N78" s="205">
        <f t="shared" si="90"/>
        <v>225.57970746158119</v>
      </c>
      <c r="O78" s="205">
        <f t="shared" si="91"/>
        <v>227.214343022897</v>
      </c>
      <c r="P78" s="205">
        <f t="shared" si="92"/>
        <v>228.33067950379561</v>
      </c>
      <c r="Q78" s="205">
        <f t="shared" si="93"/>
        <v>228.96858606430908</v>
      </c>
      <c r="R78" s="205">
        <f t="shared" si="94"/>
        <v>229.68623094488674</v>
      </c>
      <c r="S78" s="205">
        <f t="shared" si="95"/>
        <v>229.72610010491883</v>
      </c>
      <c r="T78" s="206">
        <f t="shared" si="96"/>
        <v>229.64636178485463</v>
      </c>
      <c r="U78" s="205">
        <f>'All P1 In Catchment'!G77</f>
        <v>196</v>
      </c>
      <c r="V78" s="205">
        <f>'All P1 In Catchment'!I77</f>
        <v>225</v>
      </c>
      <c r="W78" s="205">
        <f>'All P1 In Catchment'!K77</f>
        <v>208</v>
      </c>
      <c r="X78" s="207">
        <f>'All P1 In Catchment'!M77</f>
        <v>208</v>
      </c>
      <c r="Y78" s="207">
        <f>'All P1 In Catchment'!O77</f>
        <v>211</v>
      </c>
      <c r="Z78" s="209">
        <f t="shared" si="97"/>
        <v>192</v>
      </c>
      <c r="AA78" s="207">
        <f t="shared" si="98"/>
        <v>200</v>
      </c>
      <c r="AB78" s="207">
        <f t="shared" si="114"/>
        <v>230</v>
      </c>
      <c r="AC78" s="207">
        <f t="shared" si="115"/>
        <v>174</v>
      </c>
      <c r="AD78" s="207">
        <f t="shared" si="116"/>
        <v>204</v>
      </c>
      <c r="AE78" s="207">
        <f t="shared" si="117"/>
        <v>207</v>
      </c>
      <c r="AF78" s="207">
        <f t="shared" si="118"/>
        <v>209</v>
      </c>
      <c r="AG78" s="207">
        <f t="shared" si="119"/>
        <v>211</v>
      </c>
      <c r="AH78" s="207">
        <f t="shared" si="120"/>
        <v>213</v>
      </c>
      <c r="AI78" s="207">
        <f t="shared" si="121"/>
        <v>214</v>
      </c>
      <c r="AJ78" s="207">
        <f t="shared" si="122"/>
        <v>214</v>
      </c>
      <c r="AK78" s="207">
        <f t="shared" si="123"/>
        <v>215</v>
      </c>
      <c r="AL78" s="207">
        <f t="shared" si="124"/>
        <v>215</v>
      </c>
      <c r="AM78" s="208">
        <f t="shared" si="125"/>
        <v>215</v>
      </c>
      <c r="AN78" s="207">
        <f>'All P1 In Catchment'!F77</f>
        <v>19</v>
      </c>
      <c r="AO78" s="207">
        <f>'All P1 In Catchment'!H77</f>
        <v>29</v>
      </c>
      <c r="AP78" s="207">
        <f>'All P1 In Catchment'!J77</f>
        <v>22</v>
      </c>
      <c r="AQ78" s="207">
        <f>'All P1 In Catchment'!L77</f>
        <v>23</v>
      </c>
      <c r="AR78" s="208">
        <f>'All P1 In Catchment'!N77</f>
        <v>18</v>
      </c>
      <c r="AS78" s="180">
        <f t="shared" si="99"/>
        <v>19</v>
      </c>
      <c r="AT78" s="180">
        <f t="shared" si="100"/>
        <v>20</v>
      </c>
      <c r="AU78" s="180">
        <f t="shared" si="101"/>
        <v>23</v>
      </c>
      <c r="AV78" s="180">
        <f t="shared" si="102"/>
        <v>17</v>
      </c>
      <c r="AW78" s="180">
        <f t="shared" si="103"/>
        <v>21</v>
      </c>
      <c r="AX78" s="180">
        <f t="shared" si="104"/>
        <v>21</v>
      </c>
      <c r="AY78" s="180">
        <f t="shared" si="105"/>
        <v>21</v>
      </c>
      <c r="AZ78" s="180">
        <f t="shared" si="106"/>
        <v>21</v>
      </c>
      <c r="BA78" s="180">
        <f t="shared" si="107"/>
        <v>21</v>
      </c>
      <c r="BB78" s="180">
        <f t="shared" si="108"/>
        <v>22</v>
      </c>
      <c r="BC78" s="180">
        <f t="shared" si="109"/>
        <v>22</v>
      </c>
      <c r="BD78" s="180">
        <f t="shared" si="110"/>
        <v>22</v>
      </c>
      <c r="BE78" s="180">
        <f t="shared" si="111"/>
        <v>22</v>
      </c>
      <c r="BF78" s="180">
        <f t="shared" si="112"/>
        <v>22</v>
      </c>
      <c r="BG78" s="209">
        <v>22</v>
      </c>
      <c r="BH78" s="207">
        <f>AS78+'Housing Generation'!J77</f>
        <v>19</v>
      </c>
      <c r="BI78" s="207">
        <f>AT78+'Housing Generation'!R77</f>
        <v>20</v>
      </c>
      <c r="BJ78" s="207">
        <f>AU78+'Housing Generation'!Z77</f>
        <v>23</v>
      </c>
      <c r="BK78" s="207">
        <f>AV78+'Housing Generation'!AH77</f>
        <v>17</v>
      </c>
      <c r="BL78" s="207">
        <f>AW78+'Housing Generation'!AP77</f>
        <v>21</v>
      </c>
      <c r="BM78" s="207">
        <f>AX78+'Housing Generation'!AX77</f>
        <v>22</v>
      </c>
      <c r="BN78" s="207">
        <f>AY78+'Housing Generation'!BF77</f>
        <v>22</v>
      </c>
      <c r="BO78" s="207">
        <f>AZ78+'Housing Generation'!BN77</f>
        <v>22</v>
      </c>
      <c r="BP78" s="207">
        <f>BA78+'Housing Generation'!BV77</f>
        <v>22</v>
      </c>
      <c r="BQ78" s="207">
        <f>BB78+'Housing Generation'!CD77</f>
        <v>23</v>
      </c>
      <c r="BR78" s="207">
        <f>BC78+'Housing Generation'!CL77</f>
        <v>23</v>
      </c>
      <c r="BS78" s="207">
        <f>BD78+'Housing Generation'!CT77</f>
        <v>23</v>
      </c>
      <c r="BT78" s="207">
        <f>BE78+'Housing Generation'!DB77</f>
        <v>23</v>
      </c>
      <c r="BU78" s="208">
        <f>BF78+'Housing Generation'!DJ77</f>
        <v>23</v>
      </c>
      <c r="BV78" s="207">
        <f>'P1 Retained'!D77</f>
        <v>19</v>
      </c>
      <c r="BW78" s="362">
        <f>'P1 Retained'!E77</f>
        <v>28</v>
      </c>
      <c r="BX78" s="362">
        <f>'P1 Retained'!F77</f>
        <v>21</v>
      </c>
      <c r="BY78" s="362">
        <f>'P1 Retained'!G77</f>
        <v>20</v>
      </c>
      <c r="BZ78" s="362">
        <f>'P1 Retained'!H77</f>
        <v>18</v>
      </c>
    </row>
    <row r="79" spans="1:78" s="204" customFormat="1">
      <c r="A79" s="204" t="s">
        <v>92</v>
      </c>
      <c r="B79" s="205">
        <f>'Catchment Births'!O79</f>
        <v>602</v>
      </c>
      <c r="C79" s="205">
        <f>'Catchment Births'!P79</f>
        <v>623</v>
      </c>
      <c r="D79" s="205">
        <f>'Catchment Births'!Q79</f>
        <v>588</v>
      </c>
      <c r="E79" s="205">
        <f>'Catchment Births'!R79</f>
        <v>573</v>
      </c>
      <c r="F79" s="205">
        <f>'Catchment Births'!S79</f>
        <v>605</v>
      </c>
      <c r="G79" s="205">
        <f>'Catchment Births'!T79</f>
        <v>549</v>
      </c>
      <c r="H79" s="205">
        <f>'Catchment Births'!U79</f>
        <v>515</v>
      </c>
      <c r="I79" s="205">
        <f>'Catchment Births'!V79</f>
        <v>538</v>
      </c>
      <c r="J79" s="206">
        <f>'Catchment Births'!W79</f>
        <v>483</v>
      </c>
      <c r="K79" s="205">
        <f t="shared" si="113"/>
        <v>517.59303832623584</v>
      </c>
      <c r="L79" s="205">
        <f t="shared" si="88"/>
        <v>524.98722458803923</v>
      </c>
      <c r="M79" s="205">
        <f t="shared" si="89"/>
        <v>531.33864099240884</v>
      </c>
      <c r="N79" s="205">
        <f t="shared" si="90"/>
        <v>536.36289576004447</v>
      </c>
      <c r="O79" s="205">
        <f t="shared" si="91"/>
        <v>540.24958341047954</v>
      </c>
      <c r="P79" s="205">
        <f t="shared" si="92"/>
        <v>542.90390668394741</v>
      </c>
      <c r="Q79" s="205">
        <f t="shared" si="93"/>
        <v>544.42066284021473</v>
      </c>
      <c r="R79" s="205">
        <f t="shared" si="94"/>
        <v>546.1270135160155</v>
      </c>
      <c r="S79" s="205">
        <f t="shared" si="95"/>
        <v>546.22181077578216</v>
      </c>
      <c r="T79" s="206">
        <f t="shared" si="96"/>
        <v>546.03221625624872</v>
      </c>
      <c r="U79" s="205">
        <f>'All P1 In Catchment'!G78</f>
        <v>269</v>
      </c>
      <c r="V79" s="205">
        <f>'All P1 In Catchment'!I78</f>
        <v>262</v>
      </c>
      <c r="W79" s="205">
        <f>'All P1 In Catchment'!K78</f>
        <v>244</v>
      </c>
      <c r="X79" s="207">
        <f>'All P1 In Catchment'!M78</f>
        <v>261</v>
      </c>
      <c r="Y79" s="207">
        <f>'All P1 In Catchment'!O78</f>
        <v>245</v>
      </c>
      <c r="Z79" s="209">
        <f t="shared" si="97"/>
        <v>235</v>
      </c>
      <c r="AA79" s="207">
        <f t="shared" si="98"/>
        <v>221</v>
      </c>
      <c r="AB79" s="207">
        <f t="shared" si="114"/>
        <v>231</v>
      </c>
      <c r="AC79" s="207">
        <f t="shared" si="115"/>
        <v>207</v>
      </c>
      <c r="AD79" s="207">
        <f t="shared" si="116"/>
        <v>222</v>
      </c>
      <c r="AE79" s="207">
        <f t="shared" si="117"/>
        <v>225</v>
      </c>
      <c r="AF79" s="207">
        <f t="shared" si="118"/>
        <v>228</v>
      </c>
      <c r="AG79" s="207">
        <f t="shared" si="119"/>
        <v>230</v>
      </c>
      <c r="AH79" s="207">
        <f t="shared" si="120"/>
        <v>232</v>
      </c>
      <c r="AI79" s="207">
        <f t="shared" si="121"/>
        <v>233</v>
      </c>
      <c r="AJ79" s="207">
        <f t="shared" si="122"/>
        <v>233</v>
      </c>
      <c r="AK79" s="207">
        <f t="shared" si="123"/>
        <v>234</v>
      </c>
      <c r="AL79" s="207">
        <f t="shared" si="124"/>
        <v>234</v>
      </c>
      <c r="AM79" s="208">
        <f t="shared" si="125"/>
        <v>234</v>
      </c>
      <c r="AN79" s="207">
        <f>'All P1 In Catchment'!F78</f>
        <v>46</v>
      </c>
      <c r="AO79" s="207">
        <f>'All P1 In Catchment'!H78</f>
        <v>53</v>
      </c>
      <c r="AP79" s="207">
        <f>'All P1 In Catchment'!J78</f>
        <v>45</v>
      </c>
      <c r="AQ79" s="207">
        <f>'All P1 In Catchment'!L78</f>
        <v>52</v>
      </c>
      <c r="AR79" s="208">
        <f>'All P1 In Catchment'!N78</f>
        <v>40</v>
      </c>
      <c r="AS79" s="180">
        <f t="shared" si="99"/>
        <v>43</v>
      </c>
      <c r="AT79" s="180">
        <f t="shared" si="100"/>
        <v>40</v>
      </c>
      <c r="AU79" s="180">
        <f t="shared" si="101"/>
        <v>42</v>
      </c>
      <c r="AV79" s="180">
        <f t="shared" si="102"/>
        <v>38</v>
      </c>
      <c r="AW79" s="180">
        <f t="shared" si="103"/>
        <v>40</v>
      </c>
      <c r="AX79" s="180">
        <f t="shared" si="104"/>
        <v>41</v>
      </c>
      <c r="AY79" s="180">
        <f t="shared" si="105"/>
        <v>42</v>
      </c>
      <c r="AZ79" s="180">
        <f t="shared" si="106"/>
        <v>42</v>
      </c>
      <c r="BA79" s="180">
        <f t="shared" si="107"/>
        <v>42</v>
      </c>
      <c r="BB79" s="180">
        <f t="shared" si="108"/>
        <v>42</v>
      </c>
      <c r="BC79" s="180">
        <f t="shared" si="109"/>
        <v>42</v>
      </c>
      <c r="BD79" s="180">
        <f t="shared" si="110"/>
        <v>43</v>
      </c>
      <c r="BE79" s="180">
        <f t="shared" si="111"/>
        <v>43</v>
      </c>
      <c r="BF79" s="180">
        <f t="shared" si="112"/>
        <v>43</v>
      </c>
      <c r="BG79" s="209">
        <v>45</v>
      </c>
      <c r="BH79" s="207">
        <f>AS79+'Housing Generation'!J78</f>
        <v>44</v>
      </c>
      <c r="BI79" s="207">
        <f>AT79+'Housing Generation'!R78</f>
        <v>41</v>
      </c>
      <c r="BJ79" s="207">
        <f>AU79+'Housing Generation'!Z78</f>
        <v>44</v>
      </c>
      <c r="BK79" s="207">
        <f>AV79+'Housing Generation'!AH78</f>
        <v>40</v>
      </c>
      <c r="BL79" s="207">
        <f>AW79+'Housing Generation'!AP78</f>
        <v>42</v>
      </c>
      <c r="BM79" s="207">
        <f>AX79+'Housing Generation'!AX78</f>
        <v>43</v>
      </c>
      <c r="BN79" s="207">
        <f>AY79+'Housing Generation'!BF78</f>
        <v>44</v>
      </c>
      <c r="BO79" s="207">
        <f>AZ79+'Housing Generation'!BN78</f>
        <v>45</v>
      </c>
      <c r="BP79" s="207">
        <f>BA79+'Housing Generation'!BV78</f>
        <v>45</v>
      </c>
      <c r="BQ79" s="207">
        <f>BB79+'Housing Generation'!CD78</f>
        <v>45</v>
      </c>
      <c r="BR79" s="207">
        <f>BC79+'Housing Generation'!CL78</f>
        <v>45</v>
      </c>
      <c r="BS79" s="207">
        <f>BD79+'Housing Generation'!CT78</f>
        <v>46</v>
      </c>
      <c r="BT79" s="207">
        <f>BE79+'Housing Generation'!DB78</f>
        <v>46</v>
      </c>
      <c r="BU79" s="208">
        <f>BF79+'Housing Generation'!DJ78</f>
        <v>46</v>
      </c>
      <c r="BV79" s="207">
        <f>'P1 Retained'!D78</f>
        <v>45</v>
      </c>
      <c r="BW79" s="362">
        <f>'P1 Retained'!E78</f>
        <v>52</v>
      </c>
      <c r="BX79" s="362">
        <f>'P1 Retained'!F78</f>
        <v>45</v>
      </c>
      <c r="BY79" s="362">
        <f>'P1 Retained'!G78</f>
        <v>52</v>
      </c>
      <c r="BZ79" s="362">
        <f>'P1 Retained'!H78</f>
        <v>38</v>
      </c>
    </row>
    <row r="80" spans="1:78" s="204" customFormat="1">
      <c r="A80" s="204" t="s">
        <v>93</v>
      </c>
      <c r="B80" s="205">
        <f>'Catchment Births'!O80</f>
        <v>349</v>
      </c>
      <c r="C80" s="205">
        <f>'Catchment Births'!P80</f>
        <v>374</v>
      </c>
      <c r="D80" s="205">
        <f>'Catchment Births'!Q80</f>
        <v>376</v>
      </c>
      <c r="E80" s="205">
        <f>'Catchment Births'!R80</f>
        <v>385</v>
      </c>
      <c r="F80" s="205">
        <f>'Catchment Births'!S80</f>
        <v>350</v>
      </c>
      <c r="G80" s="205">
        <f>'Catchment Births'!T80</f>
        <v>366</v>
      </c>
      <c r="H80" s="205">
        <f>'Catchment Births'!U80</f>
        <v>307</v>
      </c>
      <c r="I80" s="205">
        <f>'Catchment Births'!V80</f>
        <v>314</v>
      </c>
      <c r="J80" s="206">
        <f>'Catchment Births'!W80</f>
        <v>320</v>
      </c>
      <c r="K80" s="205">
        <f t="shared" si="113"/>
        <v>317.0931309016849</v>
      </c>
      <c r="L80" s="205">
        <f t="shared" si="88"/>
        <v>321.62303277170895</v>
      </c>
      <c r="M80" s="205">
        <f t="shared" si="89"/>
        <v>325.51410232672964</v>
      </c>
      <c r="N80" s="205">
        <f t="shared" si="90"/>
        <v>328.59211257174599</v>
      </c>
      <c r="O80" s="205">
        <f t="shared" si="91"/>
        <v>330.97321483675864</v>
      </c>
      <c r="P80" s="205">
        <f t="shared" si="92"/>
        <v>332.59933345676728</v>
      </c>
      <c r="Q80" s="205">
        <f t="shared" si="93"/>
        <v>333.52854409677224</v>
      </c>
      <c r="R80" s="205">
        <f t="shared" si="94"/>
        <v>334.57390606677779</v>
      </c>
      <c r="S80" s="205">
        <f t="shared" si="95"/>
        <v>334.63198173177813</v>
      </c>
      <c r="T80" s="206">
        <f t="shared" si="96"/>
        <v>334.51583040177752</v>
      </c>
      <c r="U80" s="205">
        <f>'All P1 In Catchment'!G79</f>
        <v>228</v>
      </c>
      <c r="V80" s="205">
        <f>'All P1 In Catchment'!I79</f>
        <v>200</v>
      </c>
      <c r="W80" s="205">
        <f>'All P1 In Catchment'!K79</f>
        <v>176</v>
      </c>
      <c r="X80" s="207">
        <f>'All P1 In Catchment'!M79</f>
        <v>191</v>
      </c>
      <c r="Y80" s="207">
        <f>'All P1 In Catchment'!O79</f>
        <v>186</v>
      </c>
      <c r="Z80" s="209">
        <f t="shared" si="97"/>
        <v>196</v>
      </c>
      <c r="AA80" s="207">
        <f t="shared" si="98"/>
        <v>165</v>
      </c>
      <c r="AB80" s="207">
        <f t="shared" si="114"/>
        <v>169</v>
      </c>
      <c r="AC80" s="207">
        <f t="shared" si="115"/>
        <v>172</v>
      </c>
      <c r="AD80" s="207">
        <f t="shared" si="116"/>
        <v>170</v>
      </c>
      <c r="AE80" s="207">
        <f t="shared" si="117"/>
        <v>173</v>
      </c>
      <c r="AF80" s="207">
        <f t="shared" si="118"/>
        <v>175</v>
      </c>
      <c r="AG80" s="207">
        <f t="shared" si="119"/>
        <v>176</v>
      </c>
      <c r="AH80" s="207">
        <f t="shared" si="120"/>
        <v>178</v>
      </c>
      <c r="AI80" s="207">
        <f t="shared" si="121"/>
        <v>179</v>
      </c>
      <c r="AJ80" s="207">
        <f t="shared" si="122"/>
        <v>179</v>
      </c>
      <c r="AK80" s="207">
        <f t="shared" si="123"/>
        <v>180</v>
      </c>
      <c r="AL80" s="207">
        <f t="shared" si="124"/>
        <v>180</v>
      </c>
      <c r="AM80" s="208">
        <f t="shared" si="125"/>
        <v>180</v>
      </c>
      <c r="AN80" s="207">
        <f>'All P1 In Catchment'!F79</f>
        <v>55</v>
      </c>
      <c r="AO80" s="207">
        <f>'All P1 In Catchment'!H79</f>
        <v>51</v>
      </c>
      <c r="AP80" s="207">
        <f>'All P1 In Catchment'!J79</f>
        <v>50</v>
      </c>
      <c r="AQ80" s="207">
        <f>'All P1 In Catchment'!L79</f>
        <v>49</v>
      </c>
      <c r="AR80" s="208">
        <f>'All P1 In Catchment'!N79</f>
        <v>43</v>
      </c>
      <c r="AS80" s="180">
        <f t="shared" si="99"/>
        <v>50</v>
      </c>
      <c r="AT80" s="180">
        <f t="shared" si="100"/>
        <v>42</v>
      </c>
      <c r="AU80" s="180">
        <f t="shared" si="101"/>
        <v>43</v>
      </c>
      <c r="AV80" s="180">
        <f t="shared" si="102"/>
        <v>44</v>
      </c>
      <c r="AW80" s="180">
        <f t="shared" si="103"/>
        <v>44</v>
      </c>
      <c r="AX80" s="180">
        <f t="shared" si="104"/>
        <v>45</v>
      </c>
      <c r="AY80" s="180">
        <f t="shared" si="105"/>
        <v>45</v>
      </c>
      <c r="AZ80" s="180">
        <f t="shared" si="106"/>
        <v>45</v>
      </c>
      <c r="BA80" s="180">
        <f t="shared" si="107"/>
        <v>46</v>
      </c>
      <c r="BB80" s="180">
        <f t="shared" si="108"/>
        <v>46</v>
      </c>
      <c r="BC80" s="180">
        <f t="shared" si="109"/>
        <v>46</v>
      </c>
      <c r="BD80" s="180">
        <f t="shared" si="110"/>
        <v>46</v>
      </c>
      <c r="BE80" s="180">
        <f t="shared" si="111"/>
        <v>46</v>
      </c>
      <c r="BF80" s="180">
        <f t="shared" si="112"/>
        <v>46</v>
      </c>
      <c r="BG80" s="209">
        <v>50</v>
      </c>
      <c r="BH80" s="207">
        <f>AS80+'Housing Generation'!J79</f>
        <v>51</v>
      </c>
      <c r="BI80" s="207">
        <f>AT80+'Housing Generation'!R79</f>
        <v>43</v>
      </c>
      <c r="BJ80" s="207">
        <f>AU80+'Housing Generation'!Z79</f>
        <v>44</v>
      </c>
      <c r="BK80" s="207">
        <f>AV80+'Housing Generation'!AH79</f>
        <v>46</v>
      </c>
      <c r="BL80" s="207">
        <f>AW80+'Housing Generation'!AP79</f>
        <v>46</v>
      </c>
      <c r="BM80" s="207">
        <f>AX80+'Housing Generation'!AX79</f>
        <v>48</v>
      </c>
      <c r="BN80" s="207">
        <f>AY80+'Housing Generation'!BF79</f>
        <v>49</v>
      </c>
      <c r="BO80" s="207">
        <f>AZ80+'Housing Generation'!BN79</f>
        <v>49</v>
      </c>
      <c r="BP80" s="207">
        <f>BA80+'Housing Generation'!BV79</f>
        <v>51</v>
      </c>
      <c r="BQ80" s="207">
        <f>BB80+'Housing Generation'!CD79</f>
        <v>52</v>
      </c>
      <c r="BR80" s="207">
        <f>BC80+'Housing Generation'!CL79</f>
        <v>52</v>
      </c>
      <c r="BS80" s="207">
        <f>BD80+'Housing Generation'!CT79</f>
        <v>53</v>
      </c>
      <c r="BT80" s="207">
        <f>BE80+'Housing Generation'!DB79</f>
        <v>54</v>
      </c>
      <c r="BU80" s="208">
        <f>BF80+'Housing Generation'!DJ79</f>
        <v>54</v>
      </c>
      <c r="BV80" s="207">
        <f>'P1 Retained'!D79</f>
        <v>48</v>
      </c>
      <c r="BW80" s="362">
        <f>'P1 Retained'!E79</f>
        <v>49</v>
      </c>
      <c r="BX80" s="362">
        <f>'P1 Retained'!F79</f>
        <v>48</v>
      </c>
      <c r="BY80" s="362">
        <f>'P1 Retained'!G79</f>
        <v>47</v>
      </c>
      <c r="BZ80" s="362">
        <f>'P1 Retained'!H79</f>
        <v>42</v>
      </c>
    </row>
    <row r="81" spans="1:78" s="204" customFormat="1">
      <c r="A81" s="204" t="s">
        <v>94</v>
      </c>
      <c r="B81" s="205">
        <f>'Catchment Births'!O81</f>
        <v>275</v>
      </c>
      <c r="C81" s="205">
        <f>'Catchment Births'!P81</f>
        <v>265</v>
      </c>
      <c r="D81" s="205">
        <f>'Catchment Births'!Q81</f>
        <v>277</v>
      </c>
      <c r="E81" s="205">
        <f>'Catchment Births'!R81</f>
        <v>296</v>
      </c>
      <c r="F81" s="205">
        <f>'Catchment Births'!S81</f>
        <v>278</v>
      </c>
      <c r="G81" s="205">
        <f>'Catchment Births'!T81</f>
        <v>285</v>
      </c>
      <c r="H81" s="205">
        <f>'Catchment Births'!U81</f>
        <v>250</v>
      </c>
      <c r="I81" s="205">
        <f>'Catchment Births'!V81</f>
        <v>273</v>
      </c>
      <c r="J81" s="206">
        <f>'Catchment Births'!W81</f>
        <v>216</v>
      </c>
      <c r="K81" s="205">
        <f t="shared" si="113"/>
        <v>249.02425476763563</v>
      </c>
      <c r="L81" s="205">
        <f t="shared" si="88"/>
        <v>252.581744121459</v>
      </c>
      <c r="M81" s="205">
        <f t="shared" si="89"/>
        <v>255.63753625871752</v>
      </c>
      <c r="N81" s="205">
        <f t="shared" si="90"/>
        <v>258.05480466580264</v>
      </c>
      <c r="O81" s="205">
        <f t="shared" si="91"/>
        <v>259.92476701845339</v>
      </c>
      <c r="P81" s="205">
        <f t="shared" si="92"/>
        <v>261.20181447880026</v>
      </c>
      <c r="Q81" s="205">
        <f t="shared" si="93"/>
        <v>261.93155588471274</v>
      </c>
      <c r="R81" s="205">
        <f t="shared" si="94"/>
        <v>262.75251496636429</v>
      </c>
      <c r="S81" s="205">
        <f t="shared" si="95"/>
        <v>262.7981238042338</v>
      </c>
      <c r="T81" s="206">
        <f t="shared" si="96"/>
        <v>262.70690612849472</v>
      </c>
      <c r="U81" s="205">
        <f>'All P1 In Catchment'!G80</f>
        <v>181</v>
      </c>
      <c r="V81" s="205">
        <f>'All P1 In Catchment'!I80</f>
        <v>193</v>
      </c>
      <c r="W81" s="205">
        <f>'All P1 In Catchment'!K80</f>
        <v>175</v>
      </c>
      <c r="X81" s="207">
        <f>'All P1 In Catchment'!M80</f>
        <v>160</v>
      </c>
      <c r="Y81" s="207">
        <f>'All P1 In Catchment'!O80</f>
        <v>163</v>
      </c>
      <c r="Z81" s="209">
        <f t="shared" si="97"/>
        <v>179</v>
      </c>
      <c r="AA81" s="207">
        <f t="shared" si="98"/>
        <v>157</v>
      </c>
      <c r="AB81" s="207">
        <f t="shared" si="114"/>
        <v>172</v>
      </c>
      <c r="AC81" s="207">
        <f t="shared" si="115"/>
        <v>136</v>
      </c>
      <c r="AD81" s="207">
        <f t="shared" si="116"/>
        <v>157</v>
      </c>
      <c r="AE81" s="207">
        <f t="shared" si="117"/>
        <v>159</v>
      </c>
      <c r="AF81" s="207">
        <f t="shared" si="118"/>
        <v>161</v>
      </c>
      <c r="AG81" s="207">
        <f t="shared" si="119"/>
        <v>162</v>
      </c>
      <c r="AH81" s="207">
        <f t="shared" si="120"/>
        <v>163</v>
      </c>
      <c r="AI81" s="207">
        <f t="shared" si="121"/>
        <v>164</v>
      </c>
      <c r="AJ81" s="207">
        <f t="shared" si="122"/>
        <v>165</v>
      </c>
      <c r="AK81" s="207">
        <f t="shared" si="123"/>
        <v>165</v>
      </c>
      <c r="AL81" s="207">
        <f t="shared" si="124"/>
        <v>165</v>
      </c>
      <c r="AM81" s="208">
        <f t="shared" si="125"/>
        <v>165</v>
      </c>
      <c r="AN81" s="207">
        <f>'All P1 In Catchment'!F80</f>
        <v>44</v>
      </c>
      <c r="AO81" s="207">
        <f>'All P1 In Catchment'!H80</f>
        <v>51</v>
      </c>
      <c r="AP81" s="207">
        <f>'All P1 In Catchment'!J80</f>
        <v>50</v>
      </c>
      <c r="AQ81" s="207">
        <f>'All P1 In Catchment'!L80</f>
        <v>26</v>
      </c>
      <c r="AR81" s="208">
        <f>'All P1 In Catchment'!N80</f>
        <v>43</v>
      </c>
      <c r="AS81" s="180">
        <f t="shared" si="99"/>
        <v>42</v>
      </c>
      <c r="AT81" s="180">
        <f t="shared" si="100"/>
        <v>37</v>
      </c>
      <c r="AU81" s="180">
        <f t="shared" si="101"/>
        <v>41</v>
      </c>
      <c r="AV81" s="180">
        <f t="shared" si="102"/>
        <v>32</v>
      </c>
      <c r="AW81" s="180">
        <f t="shared" si="103"/>
        <v>37</v>
      </c>
      <c r="AX81" s="180">
        <f t="shared" si="104"/>
        <v>38</v>
      </c>
      <c r="AY81" s="180">
        <f t="shared" si="105"/>
        <v>38</v>
      </c>
      <c r="AZ81" s="180">
        <f t="shared" si="106"/>
        <v>38</v>
      </c>
      <c r="BA81" s="180">
        <f t="shared" si="107"/>
        <v>39</v>
      </c>
      <c r="BB81" s="180">
        <f t="shared" si="108"/>
        <v>39</v>
      </c>
      <c r="BC81" s="180">
        <f t="shared" si="109"/>
        <v>39</v>
      </c>
      <c r="BD81" s="180">
        <f t="shared" si="110"/>
        <v>39</v>
      </c>
      <c r="BE81" s="180">
        <f t="shared" si="111"/>
        <v>39</v>
      </c>
      <c r="BF81" s="180">
        <f t="shared" si="112"/>
        <v>39</v>
      </c>
      <c r="BG81" s="209">
        <v>50</v>
      </c>
      <c r="BH81" s="207">
        <f>AS81+'Housing Generation'!J80</f>
        <v>43</v>
      </c>
      <c r="BI81" s="207">
        <f>AT81+'Housing Generation'!R80</f>
        <v>38</v>
      </c>
      <c r="BJ81" s="207">
        <f>AU81+'Housing Generation'!Z80</f>
        <v>42</v>
      </c>
      <c r="BK81" s="207">
        <f>AV81+'Housing Generation'!AH80</f>
        <v>33</v>
      </c>
      <c r="BL81" s="207">
        <f>AW81+'Housing Generation'!AP80</f>
        <v>38</v>
      </c>
      <c r="BM81" s="207">
        <f>AX81+'Housing Generation'!AX80</f>
        <v>39</v>
      </c>
      <c r="BN81" s="207">
        <f>AY81+'Housing Generation'!BF80</f>
        <v>39</v>
      </c>
      <c r="BO81" s="207">
        <f>AZ81+'Housing Generation'!BN80</f>
        <v>39</v>
      </c>
      <c r="BP81" s="207">
        <f>BA81+'Housing Generation'!BV80</f>
        <v>40</v>
      </c>
      <c r="BQ81" s="207">
        <f>BB81+'Housing Generation'!CD80</f>
        <v>40</v>
      </c>
      <c r="BR81" s="207">
        <f>BC81+'Housing Generation'!CL80</f>
        <v>40</v>
      </c>
      <c r="BS81" s="207">
        <f>BD81+'Housing Generation'!CT80</f>
        <v>40</v>
      </c>
      <c r="BT81" s="207">
        <f>BE81+'Housing Generation'!DB80</f>
        <v>40</v>
      </c>
      <c r="BU81" s="208">
        <f>BF81+'Housing Generation'!DJ80</f>
        <v>40</v>
      </c>
      <c r="BV81" s="207">
        <f>'P1 Retained'!D80</f>
        <v>42</v>
      </c>
      <c r="BW81" s="362">
        <f>'P1 Retained'!E80</f>
        <v>50</v>
      </c>
      <c r="BX81" s="362">
        <f>'P1 Retained'!F80</f>
        <v>49</v>
      </c>
      <c r="BY81" s="362">
        <f>'P1 Retained'!G80</f>
        <v>26</v>
      </c>
      <c r="BZ81" s="362">
        <f>'P1 Retained'!H80</f>
        <v>40</v>
      </c>
    </row>
    <row r="82" spans="1:78" s="204" customFormat="1">
      <c r="A82" s="204" t="s">
        <v>95</v>
      </c>
      <c r="B82" s="205">
        <f>'Catchment Births'!O82</f>
        <v>623</v>
      </c>
      <c r="C82" s="205">
        <f>'Catchment Births'!P82</f>
        <v>563</v>
      </c>
      <c r="D82" s="205">
        <f>'Catchment Births'!Q82</f>
        <v>519</v>
      </c>
      <c r="E82" s="205">
        <f>'Catchment Births'!R82</f>
        <v>544</v>
      </c>
      <c r="F82" s="205">
        <f>'Catchment Births'!S82</f>
        <v>555</v>
      </c>
      <c r="G82" s="205">
        <f>'Catchment Births'!T82</f>
        <v>579</v>
      </c>
      <c r="H82" s="205">
        <f>'Catchment Births'!U82</f>
        <v>546</v>
      </c>
      <c r="I82" s="205">
        <f>'Catchment Births'!V82</f>
        <v>502</v>
      </c>
      <c r="J82" s="206">
        <f>'Catchment Births'!W82</f>
        <v>487</v>
      </c>
      <c r="K82" s="205">
        <f t="shared" si="113"/>
        <v>517.25606369190893</v>
      </c>
      <c r="L82" s="205">
        <f t="shared" si="88"/>
        <v>524.64543603036475</v>
      </c>
      <c r="M82" s="205">
        <f t="shared" si="89"/>
        <v>530.9927173980127</v>
      </c>
      <c r="N82" s="205">
        <f t="shared" si="90"/>
        <v>536.01370116645069</v>
      </c>
      <c r="O82" s="205">
        <f t="shared" si="91"/>
        <v>539.89785842128003</v>
      </c>
      <c r="P82" s="205">
        <f t="shared" si="92"/>
        <v>542.55045361970008</v>
      </c>
      <c r="Q82" s="205">
        <f t="shared" si="93"/>
        <v>544.06622230451148</v>
      </c>
      <c r="R82" s="205">
        <f t="shared" si="94"/>
        <v>545.77146207492433</v>
      </c>
      <c r="S82" s="205">
        <f t="shared" si="95"/>
        <v>545.86619761772499</v>
      </c>
      <c r="T82" s="206">
        <f t="shared" si="96"/>
        <v>545.67672653212355</v>
      </c>
      <c r="U82" s="205">
        <f>'All P1 In Catchment'!G81</f>
        <v>526</v>
      </c>
      <c r="V82" s="205">
        <f>'All P1 In Catchment'!I81</f>
        <v>519</v>
      </c>
      <c r="W82" s="205">
        <f>'All P1 In Catchment'!K81</f>
        <v>468</v>
      </c>
      <c r="X82" s="207">
        <f>'All P1 In Catchment'!M81</f>
        <v>508</v>
      </c>
      <c r="Y82" s="207">
        <f>'All P1 In Catchment'!O81</f>
        <v>494</v>
      </c>
      <c r="Z82" s="209">
        <f t="shared" si="97"/>
        <v>520</v>
      </c>
      <c r="AA82" s="207">
        <f t="shared" si="98"/>
        <v>491</v>
      </c>
      <c r="AB82" s="207">
        <f t="shared" si="114"/>
        <v>451</v>
      </c>
      <c r="AC82" s="207">
        <f t="shared" si="115"/>
        <v>438</v>
      </c>
      <c r="AD82" s="207">
        <f t="shared" si="116"/>
        <v>465</v>
      </c>
      <c r="AE82" s="207">
        <f t="shared" si="117"/>
        <v>471</v>
      </c>
      <c r="AF82" s="207">
        <f t="shared" si="118"/>
        <v>477</v>
      </c>
      <c r="AG82" s="207">
        <f t="shared" si="119"/>
        <v>482</v>
      </c>
      <c r="AH82" s="207">
        <f t="shared" si="120"/>
        <v>485</v>
      </c>
      <c r="AI82" s="207">
        <f t="shared" si="121"/>
        <v>487</v>
      </c>
      <c r="AJ82" s="207">
        <f t="shared" si="122"/>
        <v>489</v>
      </c>
      <c r="AK82" s="207">
        <f t="shared" si="123"/>
        <v>490</v>
      </c>
      <c r="AL82" s="207">
        <f t="shared" si="124"/>
        <v>490</v>
      </c>
      <c r="AM82" s="208">
        <f t="shared" si="125"/>
        <v>490</v>
      </c>
      <c r="AN82" s="207">
        <f>'All P1 In Catchment'!F81</f>
        <v>61</v>
      </c>
      <c r="AO82" s="207">
        <f>'All P1 In Catchment'!H81</f>
        <v>59</v>
      </c>
      <c r="AP82" s="207">
        <f>'All P1 In Catchment'!J81</f>
        <v>48</v>
      </c>
      <c r="AQ82" s="207">
        <f>'All P1 In Catchment'!L81</f>
        <v>56</v>
      </c>
      <c r="AR82" s="208">
        <f>'All P1 In Catchment'!N81</f>
        <v>41</v>
      </c>
      <c r="AS82" s="180">
        <f t="shared" si="99"/>
        <v>51</v>
      </c>
      <c r="AT82" s="180">
        <f t="shared" si="100"/>
        <v>48</v>
      </c>
      <c r="AU82" s="180">
        <f t="shared" si="101"/>
        <v>44</v>
      </c>
      <c r="AV82" s="180">
        <f t="shared" si="102"/>
        <v>43</v>
      </c>
      <c r="AW82" s="180">
        <f t="shared" si="103"/>
        <v>46</v>
      </c>
      <c r="AX82" s="180">
        <f t="shared" si="104"/>
        <v>46</v>
      </c>
      <c r="AY82" s="180">
        <f t="shared" si="105"/>
        <v>47</v>
      </c>
      <c r="AZ82" s="180">
        <f t="shared" si="106"/>
        <v>48</v>
      </c>
      <c r="BA82" s="180">
        <f t="shared" si="107"/>
        <v>48</v>
      </c>
      <c r="BB82" s="180">
        <f t="shared" si="108"/>
        <v>48</v>
      </c>
      <c r="BC82" s="180">
        <f t="shared" si="109"/>
        <v>48</v>
      </c>
      <c r="BD82" s="180">
        <f t="shared" si="110"/>
        <v>48</v>
      </c>
      <c r="BE82" s="180">
        <f t="shared" si="111"/>
        <v>48</v>
      </c>
      <c r="BF82" s="180">
        <f t="shared" si="112"/>
        <v>48</v>
      </c>
      <c r="BG82" s="209">
        <v>48</v>
      </c>
      <c r="BH82" s="207">
        <f>AS82+'Housing Generation'!J81</f>
        <v>52</v>
      </c>
      <c r="BI82" s="207">
        <f>AT82+'Housing Generation'!R81</f>
        <v>49</v>
      </c>
      <c r="BJ82" s="207">
        <f>AU82+'Housing Generation'!Z81</f>
        <v>45</v>
      </c>
      <c r="BK82" s="207">
        <f>AV82+'Housing Generation'!AH81</f>
        <v>44</v>
      </c>
      <c r="BL82" s="207">
        <f>AW82+'Housing Generation'!AP81</f>
        <v>47</v>
      </c>
      <c r="BM82" s="207">
        <f>AX82+'Housing Generation'!AX81</f>
        <v>48</v>
      </c>
      <c r="BN82" s="207">
        <f>AY82+'Housing Generation'!BF81</f>
        <v>49</v>
      </c>
      <c r="BO82" s="207">
        <f>AZ82+'Housing Generation'!BN81</f>
        <v>50</v>
      </c>
      <c r="BP82" s="207">
        <f>BA82+'Housing Generation'!BV81</f>
        <v>50</v>
      </c>
      <c r="BQ82" s="207">
        <f>BB82+'Housing Generation'!CD81</f>
        <v>51</v>
      </c>
      <c r="BR82" s="207">
        <f>BC82+'Housing Generation'!CL81</f>
        <v>51</v>
      </c>
      <c r="BS82" s="207">
        <f>BD82+'Housing Generation'!CT81</f>
        <v>51</v>
      </c>
      <c r="BT82" s="207">
        <f>BE82+'Housing Generation'!DB81</f>
        <v>51</v>
      </c>
      <c r="BU82" s="208">
        <f>BF82+'Housing Generation'!DJ81</f>
        <v>51</v>
      </c>
      <c r="BV82" s="207">
        <f>'P1 Retained'!D81</f>
        <v>61</v>
      </c>
      <c r="BW82" s="362">
        <f>'P1 Retained'!E81</f>
        <v>59</v>
      </c>
      <c r="BX82" s="362">
        <f>'P1 Retained'!F81</f>
        <v>48</v>
      </c>
      <c r="BY82" s="362">
        <f>'P1 Retained'!G81</f>
        <v>56</v>
      </c>
      <c r="BZ82" s="362">
        <f>'P1 Retained'!H81</f>
        <v>40</v>
      </c>
    </row>
    <row r="83" spans="1:78">
      <c r="A83" s="178" t="s">
        <v>66</v>
      </c>
      <c r="B83" s="190">
        <f>'Catchment Births'!O83</f>
        <v>83</v>
      </c>
      <c r="C83" s="190">
        <f>'Catchment Births'!P83</f>
        <v>85</v>
      </c>
      <c r="D83" s="190">
        <f>'Catchment Births'!Q83</f>
        <v>71</v>
      </c>
      <c r="E83" s="190">
        <f>'Catchment Births'!R83</f>
        <v>97</v>
      </c>
      <c r="F83" s="190">
        <f>'Catchment Births'!S83</f>
        <v>71</v>
      </c>
      <c r="G83" s="190">
        <f>'Catchment Births'!T83</f>
        <v>74</v>
      </c>
      <c r="H83" s="190">
        <f>'Catchment Births'!U83</f>
        <v>69</v>
      </c>
      <c r="I83" s="190">
        <f>'Catchment Births'!V83</f>
        <v>66</v>
      </c>
      <c r="J83" s="195">
        <f>'Catchment Births'!W83</f>
        <v>68</v>
      </c>
      <c r="K83" s="190">
        <f t="shared" si="113"/>
        <v>68.405850768376226</v>
      </c>
      <c r="L83" s="190">
        <f t="shared" si="88"/>
        <v>69.383077207924458</v>
      </c>
      <c r="M83" s="190">
        <f t="shared" si="89"/>
        <v>70.222489662408194</v>
      </c>
      <c r="N83" s="190">
        <f t="shared" si="90"/>
        <v>70.886502499537116</v>
      </c>
      <c r="O83" s="190">
        <f t="shared" si="91"/>
        <v>71.400172807504774</v>
      </c>
      <c r="P83" s="190">
        <f t="shared" si="92"/>
        <v>71.7509720422144</v>
      </c>
      <c r="Q83" s="190">
        <f t="shared" si="93"/>
        <v>71.951428747762762</v>
      </c>
      <c r="R83" s="190">
        <f t="shared" si="94"/>
        <v>72.176942541504658</v>
      </c>
      <c r="S83" s="190">
        <f t="shared" si="95"/>
        <v>72.189471085601426</v>
      </c>
      <c r="T83" s="195">
        <f t="shared" si="96"/>
        <v>72.164413997407877</v>
      </c>
      <c r="U83" s="190">
        <f>'All P1 In Catchment'!G82</f>
        <v>78</v>
      </c>
      <c r="V83" s="190">
        <f>'All P1 In Catchment'!I82</f>
        <v>50</v>
      </c>
      <c r="W83" s="190">
        <f>'All P1 In Catchment'!K82</f>
        <v>54</v>
      </c>
      <c r="X83" s="180">
        <f>'All P1 In Catchment'!M82</f>
        <v>62</v>
      </c>
      <c r="Y83" s="180">
        <f>'All P1 In Catchment'!O82</f>
        <v>68</v>
      </c>
      <c r="Z83" s="191">
        <f t="shared" si="97"/>
        <v>58</v>
      </c>
      <c r="AA83" s="180">
        <f t="shared" si="98"/>
        <v>54</v>
      </c>
      <c r="AB83" s="180">
        <f t="shared" si="114"/>
        <v>51</v>
      </c>
      <c r="AC83" s="180">
        <f t="shared" si="115"/>
        <v>53</v>
      </c>
      <c r="AD83" s="180">
        <f t="shared" si="116"/>
        <v>53</v>
      </c>
      <c r="AE83" s="180">
        <f t="shared" si="117"/>
        <v>54</v>
      </c>
      <c r="AF83" s="180">
        <f t="shared" si="118"/>
        <v>55</v>
      </c>
      <c r="AG83" s="180">
        <f t="shared" si="119"/>
        <v>55</v>
      </c>
      <c r="AH83" s="180">
        <f t="shared" si="120"/>
        <v>55</v>
      </c>
      <c r="AI83" s="180">
        <f t="shared" si="121"/>
        <v>56</v>
      </c>
      <c r="AJ83" s="180">
        <f t="shared" si="122"/>
        <v>56</v>
      </c>
      <c r="AK83" s="180">
        <f t="shared" si="123"/>
        <v>56</v>
      </c>
      <c r="AL83" s="180">
        <f t="shared" si="124"/>
        <v>56</v>
      </c>
      <c r="AM83" s="181">
        <f t="shared" si="125"/>
        <v>56</v>
      </c>
      <c r="AN83" s="180">
        <f>'All P1 In Catchment'!F82</f>
        <v>67</v>
      </c>
      <c r="AO83" s="180">
        <f>'All P1 In Catchment'!H82</f>
        <v>44</v>
      </c>
      <c r="AP83" s="180">
        <f>'All P1 In Catchment'!J82</f>
        <v>46</v>
      </c>
      <c r="AQ83" s="180">
        <f>'All P1 In Catchment'!L82</f>
        <v>53</v>
      </c>
      <c r="AR83" s="181">
        <f>'All P1 In Catchment'!N82</f>
        <v>58</v>
      </c>
      <c r="AS83" s="180">
        <f t="shared" si="99"/>
        <v>49</v>
      </c>
      <c r="AT83" s="180">
        <f t="shared" si="100"/>
        <v>46</v>
      </c>
      <c r="AU83" s="180">
        <f t="shared" si="101"/>
        <v>44</v>
      </c>
      <c r="AV83" s="180">
        <f t="shared" si="102"/>
        <v>45</v>
      </c>
      <c r="AW83" s="180">
        <f t="shared" si="103"/>
        <v>45</v>
      </c>
      <c r="AX83" s="180">
        <f t="shared" si="104"/>
        <v>46</v>
      </c>
      <c r="AY83" s="180">
        <f t="shared" si="105"/>
        <v>47</v>
      </c>
      <c r="AZ83" s="180">
        <f t="shared" si="106"/>
        <v>47</v>
      </c>
      <c r="BA83" s="180">
        <f t="shared" si="107"/>
        <v>47</v>
      </c>
      <c r="BB83" s="180">
        <f t="shared" si="108"/>
        <v>48</v>
      </c>
      <c r="BC83" s="180">
        <f t="shared" si="109"/>
        <v>48</v>
      </c>
      <c r="BD83" s="180">
        <f t="shared" si="110"/>
        <v>48</v>
      </c>
      <c r="BE83" s="180">
        <f t="shared" si="111"/>
        <v>48</v>
      </c>
      <c r="BF83" s="180">
        <f t="shared" si="112"/>
        <v>48</v>
      </c>
      <c r="BG83" s="191">
        <f>AR83+'Housing Generation'!B82</f>
        <v>58</v>
      </c>
      <c r="BH83" s="180">
        <f>AS83+'Housing Generation'!J82</f>
        <v>50</v>
      </c>
      <c r="BI83" s="180">
        <f>AT83+'Housing Generation'!R82</f>
        <v>48</v>
      </c>
      <c r="BJ83" s="180">
        <f>AU83+'Housing Generation'!Z82</f>
        <v>47</v>
      </c>
      <c r="BK83" s="180">
        <f>AV83+'Housing Generation'!AH82</f>
        <v>48</v>
      </c>
      <c r="BL83" s="180">
        <f>AW83+'Housing Generation'!AP82</f>
        <v>48</v>
      </c>
      <c r="BM83" s="180">
        <f>AX83+'Housing Generation'!AX82</f>
        <v>49</v>
      </c>
      <c r="BN83" s="180">
        <f>AY83+'Housing Generation'!BF82</f>
        <v>50</v>
      </c>
      <c r="BO83" s="180">
        <f>AZ83+'Housing Generation'!BN82</f>
        <v>50</v>
      </c>
      <c r="BP83" s="180">
        <f>BA83+'Housing Generation'!BV82</f>
        <v>50</v>
      </c>
      <c r="BQ83" s="180">
        <f>BB83+'Housing Generation'!CD82</f>
        <v>51</v>
      </c>
      <c r="BR83" s="180">
        <f>BC83+'Housing Generation'!CL82</f>
        <v>51</v>
      </c>
      <c r="BS83" s="180">
        <f>BD83+'Housing Generation'!CT82</f>
        <v>51</v>
      </c>
      <c r="BT83" s="180">
        <f>BE83+'Housing Generation'!DB82</f>
        <v>51</v>
      </c>
      <c r="BU83" s="181">
        <f>BF83+'Housing Generation'!DJ82</f>
        <v>51</v>
      </c>
      <c r="BV83" s="180">
        <f>'P1 Retained'!D82</f>
        <v>41</v>
      </c>
      <c r="BW83" s="192">
        <f>'P1 Retained'!E82</f>
        <v>32</v>
      </c>
      <c r="BX83" s="192">
        <f>'P1 Retained'!F82</f>
        <v>33</v>
      </c>
      <c r="BY83" s="192">
        <f>'P1 Retained'!G82</f>
        <v>42</v>
      </c>
      <c r="BZ83" s="192">
        <f>'P1 Retained'!H82</f>
        <v>45</v>
      </c>
    </row>
    <row r="84" spans="1:78">
      <c r="A84" s="178" t="s">
        <v>67</v>
      </c>
      <c r="B84" s="190">
        <f>'Catchment Births'!O84</f>
        <v>77</v>
      </c>
      <c r="C84" s="190">
        <f>'Catchment Births'!P84</f>
        <v>91</v>
      </c>
      <c r="D84" s="190">
        <f>'Catchment Births'!Q84</f>
        <v>87</v>
      </c>
      <c r="E84" s="190">
        <f>'Catchment Births'!R84</f>
        <v>82</v>
      </c>
      <c r="F84" s="190">
        <f>'Catchment Births'!S84</f>
        <v>103</v>
      </c>
      <c r="G84" s="190">
        <f>'Catchment Births'!T84</f>
        <v>92</v>
      </c>
      <c r="H84" s="190">
        <f>'Catchment Births'!U84</f>
        <v>72</v>
      </c>
      <c r="I84" s="190">
        <f>'Catchment Births'!V84</f>
        <v>83</v>
      </c>
      <c r="J84" s="195">
        <f>'Catchment Births'!W84</f>
        <v>62</v>
      </c>
      <c r="K84" s="190">
        <f t="shared" si="113"/>
        <v>73.123495648953892</v>
      </c>
      <c r="L84" s="190">
        <f t="shared" si="88"/>
        <v>74.168117015367514</v>
      </c>
      <c r="M84" s="190">
        <f t="shared" si="89"/>
        <v>75.065419983953575</v>
      </c>
      <c r="N84" s="190">
        <f t="shared" si="90"/>
        <v>75.775226809850011</v>
      </c>
      <c r="O84" s="190">
        <f t="shared" si="91"/>
        <v>76.324322656298193</v>
      </c>
      <c r="P84" s="190">
        <f t="shared" si="92"/>
        <v>76.699314941677443</v>
      </c>
      <c r="Q84" s="190">
        <f t="shared" si="93"/>
        <v>76.913596247608439</v>
      </c>
      <c r="R84" s="190">
        <f t="shared" si="94"/>
        <v>77.15466271678082</v>
      </c>
      <c r="S84" s="190">
        <f t="shared" si="95"/>
        <v>77.168055298401512</v>
      </c>
      <c r="T84" s="195">
        <f t="shared" si="96"/>
        <v>77.141270135160141</v>
      </c>
      <c r="U84" s="190">
        <f>'All P1 In Catchment'!G83</f>
        <v>33</v>
      </c>
      <c r="V84" s="190">
        <f>'All P1 In Catchment'!I83</f>
        <v>41</v>
      </c>
      <c r="W84" s="190">
        <f>'All P1 In Catchment'!K83</f>
        <v>37</v>
      </c>
      <c r="X84" s="180">
        <f>'All P1 In Catchment'!M83</f>
        <v>44</v>
      </c>
      <c r="Y84" s="180">
        <f>'All P1 In Catchment'!O83</f>
        <v>36</v>
      </c>
      <c r="Z84" s="191">
        <f t="shared" si="97"/>
        <v>40</v>
      </c>
      <c r="AA84" s="180">
        <f t="shared" si="98"/>
        <v>32</v>
      </c>
      <c r="AB84" s="180">
        <f t="shared" si="114"/>
        <v>36</v>
      </c>
      <c r="AC84" s="180">
        <f t="shared" si="115"/>
        <v>27</v>
      </c>
      <c r="AD84" s="180">
        <f t="shared" si="116"/>
        <v>32</v>
      </c>
      <c r="AE84" s="180">
        <f t="shared" si="117"/>
        <v>32</v>
      </c>
      <c r="AF84" s="180">
        <f t="shared" si="118"/>
        <v>33</v>
      </c>
      <c r="AG84" s="180">
        <f t="shared" si="119"/>
        <v>33</v>
      </c>
      <c r="AH84" s="180">
        <f t="shared" si="120"/>
        <v>33</v>
      </c>
      <c r="AI84" s="180">
        <f t="shared" si="121"/>
        <v>34</v>
      </c>
      <c r="AJ84" s="180">
        <f t="shared" si="122"/>
        <v>34</v>
      </c>
      <c r="AK84" s="180">
        <f t="shared" si="123"/>
        <v>34</v>
      </c>
      <c r="AL84" s="180">
        <f t="shared" si="124"/>
        <v>34</v>
      </c>
      <c r="AM84" s="181">
        <f t="shared" si="125"/>
        <v>34</v>
      </c>
      <c r="AN84" s="180">
        <f>'All P1 In Catchment'!F83</f>
        <v>33</v>
      </c>
      <c r="AO84" s="180">
        <f>'All P1 In Catchment'!H83</f>
        <v>40</v>
      </c>
      <c r="AP84" s="180">
        <f>'All P1 In Catchment'!J83</f>
        <v>32</v>
      </c>
      <c r="AQ84" s="180">
        <f>'All P1 In Catchment'!L83</f>
        <v>42</v>
      </c>
      <c r="AR84" s="181">
        <f>'All P1 In Catchment'!N83</f>
        <v>33</v>
      </c>
      <c r="AS84" s="180">
        <f t="shared" si="99"/>
        <v>36</v>
      </c>
      <c r="AT84" s="180">
        <f t="shared" si="100"/>
        <v>29</v>
      </c>
      <c r="AU84" s="180">
        <f t="shared" si="101"/>
        <v>33</v>
      </c>
      <c r="AV84" s="180">
        <f t="shared" si="102"/>
        <v>25</v>
      </c>
      <c r="AW84" s="180">
        <f t="shared" si="103"/>
        <v>29</v>
      </c>
      <c r="AX84" s="180">
        <f t="shared" si="104"/>
        <v>29</v>
      </c>
      <c r="AY84" s="180">
        <f t="shared" si="105"/>
        <v>30</v>
      </c>
      <c r="AZ84" s="180">
        <f t="shared" si="106"/>
        <v>30</v>
      </c>
      <c r="BA84" s="180">
        <f t="shared" si="107"/>
        <v>30</v>
      </c>
      <c r="BB84" s="180">
        <f t="shared" si="108"/>
        <v>31</v>
      </c>
      <c r="BC84" s="180">
        <f t="shared" si="109"/>
        <v>31</v>
      </c>
      <c r="BD84" s="180">
        <f t="shared" si="110"/>
        <v>31</v>
      </c>
      <c r="BE84" s="180">
        <f t="shared" si="111"/>
        <v>31</v>
      </c>
      <c r="BF84" s="180">
        <f t="shared" si="112"/>
        <v>31</v>
      </c>
      <c r="BG84" s="191">
        <f>AR84+'Housing Generation'!B83</f>
        <v>33</v>
      </c>
      <c r="BH84" s="180">
        <f>AS84+'Housing Generation'!J83</f>
        <v>36</v>
      </c>
      <c r="BI84" s="180">
        <f>AT84+'Housing Generation'!R83</f>
        <v>29</v>
      </c>
      <c r="BJ84" s="180">
        <f>AU84+'Housing Generation'!Z83</f>
        <v>34</v>
      </c>
      <c r="BK84" s="180">
        <f>AV84+'Housing Generation'!AH83</f>
        <v>26</v>
      </c>
      <c r="BL84" s="180">
        <f>AW84+'Housing Generation'!AP83</f>
        <v>30</v>
      </c>
      <c r="BM84" s="180">
        <f>AX84+'Housing Generation'!AX83</f>
        <v>30</v>
      </c>
      <c r="BN84" s="180">
        <f>AY84+'Housing Generation'!BF83</f>
        <v>31</v>
      </c>
      <c r="BO84" s="180">
        <f>AZ84+'Housing Generation'!BN83</f>
        <v>31</v>
      </c>
      <c r="BP84" s="180">
        <f>BA84+'Housing Generation'!BV83</f>
        <v>31</v>
      </c>
      <c r="BQ84" s="180">
        <f>BB84+'Housing Generation'!CD83</f>
        <v>32</v>
      </c>
      <c r="BR84" s="180">
        <f>BC84+'Housing Generation'!CL83</f>
        <v>32</v>
      </c>
      <c r="BS84" s="180">
        <f>BD84+'Housing Generation'!CT83</f>
        <v>32</v>
      </c>
      <c r="BT84" s="180">
        <f>BE84+'Housing Generation'!DB83</f>
        <v>32</v>
      </c>
      <c r="BU84" s="181">
        <f>BF84+'Housing Generation'!DJ83</f>
        <v>32</v>
      </c>
      <c r="BV84" s="180">
        <f>'P1 Retained'!D83</f>
        <v>33</v>
      </c>
      <c r="BW84" s="192">
        <f>'P1 Retained'!E83</f>
        <v>40</v>
      </c>
      <c r="BX84" s="192">
        <f>'P1 Retained'!F83</f>
        <v>31</v>
      </c>
      <c r="BY84" s="192">
        <f>'P1 Retained'!G83</f>
        <v>41</v>
      </c>
      <c r="BZ84" s="192">
        <f>'P1 Retained'!H83</f>
        <v>32</v>
      </c>
    </row>
    <row r="85" spans="1:78">
      <c r="A85" s="178" t="s">
        <v>68</v>
      </c>
      <c r="B85" s="190">
        <f>'Catchment Births'!O85</f>
        <v>39</v>
      </c>
      <c r="C85" s="190">
        <f>'Catchment Births'!P85</f>
        <v>49</v>
      </c>
      <c r="D85" s="190">
        <f>'Catchment Births'!Q85</f>
        <v>37</v>
      </c>
      <c r="E85" s="190">
        <f>'Catchment Births'!R85</f>
        <v>40</v>
      </c>
      <c r="F85" s="190">
        <f>'Catchment Births'!S85</f>
        <v>38</v>
      </c>
      <c r="G85" s="190">
        <f>'Catchment Births'!T85</f>
        <v>49</v>
      </c>
      <c r="H85" s="190">
        <f>'Catchment Births'!U85</f>
        <v>34</v>
      </c>
      <c r="I85" s="190">
        <f>'Catchment Births'!V85</f>
        <v>53</v>
      </c>
      <c r="J85" s="195">
        <f>'Catchment Births'!W85</f>
        <v>49</v>
      </c>
      <c r="K85" s="190">
        <f t="shared" si="113"/>
        <v>45.828550268468803</v>
      </c>
      <c r="L85" s="190">
        <f t="shared" si="88"/>
        <v>46.483243843732645</v>
      </c>
      <c r="M85" s="190">
        <f t="shared" si="89"/>
        <v>47.04560883786953</v>
      </c>
      <c r="N85" s="190">
        <f t="shared" si="90"/>
        <v>47.490464728753935</v>
      </c>
      <c r="O85" s="190">
        <f t="shared" si="91"/>
        <v>47.834598531136209</v>
      </c>
      <c r="P85" s="190">
        <f t="shared" si="92"/>
        <v>48.069616737641176</v>
      </c>
      <c r="Q85" s="190">
        <f t="shared" si="93"/>
        <v>48.203912855644013</v>
      </c>
      <c r="R85" s="190">
        <f t="shared" si="94"/>
        <v>48.354995988397206</v>
      </c>
      <c r="S85" s="190">
        <f t="shared" si="95"/>
        <v>48.363389495772381</v>
      </c>
      <c r="T85" s="195">
        <f t="shared" si="96"/>
        <v>48.346602481022025</v>
      </c>
      <c r="U85" s="190">
        <f>'All P1 In Catchment'!G84</f>
        <v>36</v>
      </c>
      <c r="V85" s="190">
        <f>'All P1 In Catchment'!I84</f>
        <v>41</v>
      </c>
      <c r="W85" s="190">
        <f>'All P1 In Catchment'!K84</f>
        <v>40</v>
      </c>
      <c r="X85" s="180">
        <f>'All P1 In Catchment'!M84</f>
        <v>45</v>
      </c>
      <c r="Y85" s="180">
        <f>'All P1 In Catchment'!O84</f>
        <v>33</v>
      </c>
      <c r="Z85" s="191">
        <f t="shared" si="97"/>
        <v>47</v>
      </c>
      <c r="AA85" s="180">
        <f t="shared" si="98"/>
        <v>33</v>
      </c>
      <c r="AB85" s="180">
        <f t="shared" si="114"/>
        <v>51</v>
      </c>
      <c r="AC85" s="180">
        <f t="shared" si="115"/>
        <v>47</v>
      </c>
      <c r="AD85" s="180">
        <f t="shared" si="116"/>
        <v>44</v>
      </c>
      <c r="AE85" s="180">
        <f t="shared" si="117"/>
        <v>45</v>
      </c>
      <c r="AF85" s="180">
        <f t="shared" si="118"/>
        <v>45</v>
      </c>
      <c r="AG85" s="180">
        <f t="shared" si="119"/>
        <v>46</v>
      </c>
      <c r="AH85" s="180">
        <f t="shared" si="120"/>
        <v>46</v>
      </c>
      <c r="AI85" s="180">
        <f t="shared" si="121"/>
        <v>46</v>
      </c>
      <c r="AJ85" s="180">
        <f t="shared" si="122"/>
        <v>47</v>
      </c>
      <c r="AK85" s="180">
        <f t="shared" si="123"/>
        <v>47</v>
      </c>
      <c r="AL85" s="180">
        <f t="shared" si="124"/>
        <v>47</v>
      </c>
      <c r="AM85" s="181">
        <f t="shared" si="125"/>
        <v>47</v>
      </c>
      <c r="AN85" s="180">
        <f>'All P1 In Catchment'!F84</f>
        <v>31</v>
      </c>
      <c r="AO85" s="180">
        <f>'All P1 In Catchment'!H84</f>
        <v>36</v>
      </c>
      <c r="AP85" s="180">
        <f>'All P1 In Catchment'!J84</f>
        <v>33</v>
      </c>
      <c r="AQ85" s="180">
        <f>'All P1 In Catchment'!L84</f>
        <v>40</v>
      </c>
      <c r="AR85" s="181">
        <f>'All P1 In Catchment'!N84</f>
        <v>31</v>
      </c>
      <c r="AS85" s="180">
        <f t="shared" si="99"/>
        <v>42</v>
      </c>
      <c r="AT85" s="180">
        <f t="shared" si="100"/>
        <v>29</v>
      </c>
      <c r="AU85" s="180">
        <f t="shared" si="101"/>
        <v>45</v>
      </c>
      <c r="AV85" s="180">
        <f t="shared" si="102"/>
        <v>42</v>
      </c>
      <c r="AW85" s="180">
        <f t="shared" si="103"/>
        <v>39</v>
      </c>
      <c r="AX85" s="180">
        <f t="shared" si="104"/>
        <v>40</v>
      </c>
      <c r="AY85" s="180">
        <f t="shared" si="105"/>
        <v>40</v>
      </c>
      <c r="AZ85" s="180">
        <f t="shared" si="106"/>
        <v>41</v>
      </c>
      <c r="BA85" s="180">
        <f t="shared" si="107"/>
        <v>41</v>
      </c>
      <c r="BB85" s="180">
        <f t="shared" si="108"/>
        <v>41</v>
      </c>
      <c r="BC85" s="180">
        <f t="shared" si="109"/>
        <v>42</v>
      </c>
      <c r="BD85" s="180">
        <f t="shared" si="110"/>
        <v>42</v>
      </c>
      <c r="BE85" s="180">
        <f t="shared" si="111"/>
        <v>42</v>
      </c>
      <c r="BF85" s="180">
        <f t="shared" si="112"/>
        <v>42</v>
      </c>
      <c r="BG85" s="191">
        <f>AR85+'Housing Generation'!B84</f>
        <v>33</v>
      </c>
      <c r="BH85" s="180">
        <f>AS85+'Housing Generation'!J84</f>
        <v>45</v>
      </c>
      <c r="BI85" s="180">
        <f>AT85+'Housing Generation'!R84</f>
        <v>32</v>
      </c>
      <c r="BJ85" s="180">
        <f>AU85+'Housing Generation'!Z84</f>
        <v>48</v>
      </c>
      <c r="BK85" s="180">
        <f>AV85+'Housing Generation'!AH84</f>
        <v>46</v>
      </c>
      <c r="BL85" s="180">
        <f>AW85+'Housing Generation'!AP84</f>
        <v>44</v>
      </c>
      <c r="BM85" s="180">
        <f>AX85+'Housing Generation'!AX84</f>
        <v>47</v>
      </c>
      <c r="BN85" s="180">
        <f>AY85+'Housing Generation'!BF84</f>
        <v>48</v>
      </c>
      <c r="BO85" s="180">
        <f>AZ85+'Housing Generation'!BN84</f>
        <v>50</v>
      </c>
      <c r="BP85" s="180">
        <f>BA85+'Housing Generation'!BV84</f>
        <v>50</v>
      </c>
      <c r="BQ85" s="180">
        <f>BB85+'Housing Generation'!CD84</f>
        <v>50</v>
      </c>
      <c r="BR85" s="180">
        <f>BC85+'Housing Generation'!CL84</f>
        <v>51</v>
      </c>
      <c r="BS85" s="180">
        <f>BD85+'Housing Generation'!CT84</f>
        <v>51</v>
      </c>
      <c r="BT85" s="180">
        <f>BE85+'Housing Generation'!DB84</f>
        <v>51</v>
      </c>
      <c r="BU85" s="181">
        <f>BF85+'Housing Generation'!DJ84</f>
        <v>51</v>
      </c>
      <c r="BV85" s="180">
        <f>'P1 Retained'!D84</f>
        <v>23</v>
      </c>
      <c r="BW85" s="192">
        <f>'P1 Retained'!E84</f>
        <v>33</v>
      </c>
      <c r="BX85" s="192">
        <f>'P1 Retained'!F84</f>
        <v>23</v>
      </c>
      <c r="BY85" s="192">
        <f>'P1 Retained'!G84</f>
        <v>36</v>
      </c>
      <c r="BZ85" s="192">
        <f>'P1 Retained'!H84</f>
        <v>28</v>
      </c>
    </row>
    <row r="86" spans="1:78">
      <c r="A86" s="178" t="s">
        <v>69</v>
      </c>
      <c r="B86" s="190">
        <f>'Catchment Births'!O86</f>
        <v>43</v>
      </c>
      <c r="C86" s="190">
        <f>'Catchment Births'!P86</f>
        <v>49</v>
      </c>
      <c r="D86" s="190">
        <f>'Catchment Births'!Q86</f>
        <v>41</v>
      </c>
      <c r="E86" s="190">
        <f>'Catchment Births'!R86</f>
        <v>53</v>
      </c>
      <c r="F86" s="190">
        <f>'Catchment Births'!S86</f>
        <v>50</v>
      </c>
      <c r="G86" s="190">
        <f>'Catchment Births'!T86</f>
        <v>57</v>
      </c>
      <c r="H86" s="190">
        <f>'Catchment Births'!U86</f>
        <v>68</v>
      </c>
      <c r="I86" s="190">
        <f>'Catchment Births'!V86</f>
        <v>41</v>
      </c>
      <c r="J86" s="195">
        <f>'Catchment Births'!W86</f>
        <v>37</v>
      </c>
      <c r="K86" s="190">
        <f t="shared" si="113"/>
        <v>49.198296611738563</v>
      </c>
      <c r="L86" s="190">
        <f t="shared" si="88"/>
        <v>49.901129420477687</v>
      </c>
      <c r="M86" s="190">
        <f t="shared" si="89"/>
        <v>50.504844781830521</v>
      </c>
      <c r="N86" s="190">
        <f t="shared" si="90"/>
        <v>50.98241066469172</v>
      </c>
      <c r="O86" s="190">
        <f t="shared" si="91"/>
        <v>51.351848423131514</v>
      </c>
      <c r="P86" s="190">
        <f t="shared" si="92"/>
        <v>51.604147380114789</v>
      </c>
      <c r="Q86" s="190">
        <f t="shared" si="93"/>
        <v>51.748318212676658</v>
      </c>
      <c r="R86" s="190">
        <f t="shared" si="94"/>
        <v>51.910510399308762</v>
      </c>
      <c r="S86" s="190">
        <f t="shared" si="95"/>
        <v>51.919521076343877</v>
      </c>
      <c r="T86" s="195">
        <f t="shared" si="96"/>
        <v>51.901499722273641</v>
      </c>
      <c r="U86" s="190">
        <f>'All P1 In Catchment'!G85</f>
        <v>25</v>
      </c>
      <c r="V86" s="190">
        <f>'All P1 In Catchment'!I85</f>
        <v>20</v>
      </c>
      <c r="W86" s="190">
        <f>'All P1 In Catchment'!K85</f>
        <v>27</v>
      </c>
      <c r="X86" s="180">
        <f>'All P1 In Catchment'!M85</f>
        <v>28</v>
      </c>
      <c r="Y86" s="180">
        <f>'All P1 In Catchment'!O85</f>
        <v>32</v>
      </c>
      <c r="Z86" s="191">
        <f t="shared" si="97"/>
        <v>32</v>
      </c>
      <c r="AA86" s="180">
        <f t="shared" si="98"/>
        <v>38</v>
      </c>
      <c r="AB86" s="180">
        <f t="shared" si="114"/>
        <v>23</v>
      </c>
      <c r="AC86" s="180">
        <f t="shared" si="115"/>
        <v>21</v>
      </c>
      <c r="AD86" s="180">
        <f t="shared" si="116"/>
        <v>28</v>
      </c>
      <c r="AE86" s="180">
        <f t="shared" si="117"/>
        <v>28</v>
      </c>
      <c r="AF86" s="180">
        <f t="shared" si="118"/>
        <v>28</v>
      </c>
      <c r="AG86" s="180">
        <f t="shared" si="119"/>
        <v>29</v>
      </c>
      <c r="AH86" s="180">
        <f t="shared" si="120"/>
        <v>29</v>
      </c>
      <c r="AI86" s="180">
        <f t="shared" si="121"/>
        <v>29</v>
      </c>
      <c r="AJ86" s="180">
        <f t="shared" si="122"/>
        <v>29</v>
      </c>
      <c r="AK86" s="180">
        <f t="shared" si="123"/>
        <v>29</v>
      </c>
      <c r="AL86" s="180">
        <f t="shared" si="124"/>
        <v>29</v>
      </c>
      <c r="AM86" s="181">
        <f t="shared" si="125"/>
        <v>29</v>
      </c>
      <c r="AN86" s="180">
        <f>'All P1 In Catchment'!F85</f>
        <v>24</v>
      </c>
      <c r="AO86" s="180">
        <f>'All P1 In Catchment'!H85</f>
        <v>20</v>
      </c>
      <c r="AP86" s="180">
        <f>'All P1 In Catchment'!J85</f>
        <v>26</v>
      </c>
      <c r="AQ86" s="180">
        <f>'All P1 In Catchment'!L85</f>
        <v>25</v>
      </c>
      <c r="AR86" s="181">
        <f>'All P1 In Catchment'!N85</f>
        <v>30</v>
      </c>
      <c r="AS86" s="180">
        <f t="shared" si="99"/>
        <v>30</v>
      </c>
      <c r="AT86" s="180">
        <f t="shared" si="100"/>
        <v>35</v>
      </c>
      <c r="AU86" s="180">
        <f t="shared" si="101"/>
        <v>21</v>
      </c>
      <c r="AV86" s="180">
        <f t="shared" si="102"/>
        <v>20</v>
      </c>
      <c r="AW86" s="180">
        <f t="shared" si="103"/>
        <v>26</v>
      </c>
      <c r="AX86" s="180">
        <f t="shared" si="104"/>
        <v>26</v>
      </c>
      <c r="AY86" s="180">
        <f t="shared" si="105"/>
        <v>26</v>
      </c>
      <c r="AZ86" s="180">
        <f t="shared" si="106"/>
        <v>27</v>
      </c>
      <c r="BA86" s="180">
        <f t="shared" si="107"/>
        <v>27</v>
      </c>
      <c r="BB86" s="180">
        <f t="shared" si="108"/>
        <v>27</v>
      </c>
      <c r="BC86" s="180">
        <f t="shared" si="109"/>
        <v>27</v>
      </c>
      <c r="BD86" s="180">
        <f t="shared" si="110"/>
        <v>27</v>
      </c>
      <c r="BE86" s="180">
        <f t="shared" si="111"/>
        <v>27</v>
      </c>
      <c r="BF86" s="180">
        <f t="shared" si="112"/>
        <v>27</v>
      </c>
      <c r="BG86" s="191">
        <f>AR86+'Housing Generation'!B85</f>
        <v>32</v>
      </c>
      <c r="BH86" s="180">
        <f>AS86+'Housing Generation'!J85</f>
        <v>30</v>
      </c>
      <c r="BI86" s="180">
        <f>AT86+'Housing Generation'!R85</f>
        <v>36</v>
      </c>
      <c r="BJ86" s="180">
        <f>AU86+'Housing Generation'!Z85</f>
        <v>22</v>
      </c>
      <c r="BK86" s="180">
        <f>AV86+'Housing Generation'!AH85</f>
        <v>21</v>
      </c>
      <c r="BL86" s="180">
        <f>AW86+'Housing Generation'!AP85</f>
        <v>27</v>
      </c>
      <c r="BM86" s="180">
        <f>AX86+'Housing Generation'!AX85</f>
        <v>28</v>
      </c>
      <c r="BN86" s="180">
        <f>AY86+'Housing Generation'!BF85</f>
        <v>28</v>
      </c>
      <c r="BO86" s="180">
        <f>AZ86+'Housing Generation'!BN85</f>
        <v>29</v>
      </c>
      <c r="BP86" s="180">
        <f>BA86+'Housing Generation'!BV85</f>
        <v>29</v>
      </c>
      <c r="BQ86" s="180">
        <f>BB86+'Housing Generation'!CD85</f>
        <v>29</v>
      </c>
      <c r="BR86" s="180">
        <f>BC86+'Housing Generation'!CL85</f>
        <v>29</v>
      </c>
      <c r="BS86" s="180">
        <f>BD86+'Housing Generation'!CT85</f>
        <v>29</v>
      </c>
      <c r="BT86" s="180">
        <f>BE86+'Housing Generation'!DB85</f>
        <v>29</v>
      </c>
      <c r="BU86" s="181">
        <f>BF86+'Housing Generation'!DJ85</f>
        <v>29</v>
      </c>
      <c r="BV86" s="180">
        <f>'P1 Retained'!D85</f>
        <v>21</v>
      </c>
      <c r="BW86" s="192">
        <f>'P1 Retained'!E85</f>
        <v>18</v>
      </c>
      <c r="BX86" s="192">
        <f>'P1 Retained'!F85</f>
        <v>21</v>
      </c>
      <c r="BY86" s="192">
        <f>'P1 Retained'!G85</f>
        <v>22</v>
      </c>
      <c r="BZ86" s="192">
        <f>'P1 Retained'!H85</f>
        <v>25</v>
      </c>
    </row>
    <row r="87" spans="1:78">
      <c r="A87" s="178" t="s">
        <v>70</v>
      </c>
      <c r="B87" s="190">
        <f>'Catchment Births'!O87</f>
        <v>104</v>
      </c>
      <c r="C87" s="190">
        <f>'Catchment Births'!P87</f>
        <v>91</v>
      </c>
      <c r="D87" s="190">
        <f>'Catchment Births'!Q87</f>
        <v>114</v>
      </c>
      <c r="E87" s="190">
        <f>'Catchment Births'!R87</f>
        <v>76</v>
      </c>
      <c r="F87" s="190">
        <f>'Catchment Births'!S87</f>
        <v>101</v>
      </c>
      <c r="G87" s="190">
        <f>'Catchment Births'!T87</f>
        <v>81</v>
      </c>
      <c r="H87" s="190">
        <f>'Catchment Births'!U87</f>
        <v>60</v>
      </c>
      <c r="I87" s="190">
        <f>'Catchment Births'!V87</f>
        <v>59</v>
      </c>
      <c r="J87" s="195">
        <f>'Catchment Births'!W87</f>
        <v>63</v>
      </c>
      <c r="K87" s="190">
        <f t="shared" si="113"/>
        <v>61.32938344750972</v>
      </c>
      <c r="L87" s="190">
        <f t="shared" si="88"/>
        <v>62.20551749675986</v>
      </c>
      <c r="M87" s="190">
        <f t="shared" si="89"/>
        <v>62.958094180090107</v>
      </c>
      <c r="N87" s="190">
        <f t="shared" si="90"/>
        <v>63.553416034067766</v>
      </c>
      <c r="O87" s="190">
        <f t="shared" si="91"/>
        <v>64.013948034314637</v>
      </c>
      <c r="P87" s="190">
        <f t="shared" si="92"/>
        <v>64.328457693019814</v>
      </c>
      <c r="Q87" s="190">
        <f t="shared" si="93"/>
        <v>64.508177497994197</v>
      </c>
      <c r="R87" s="190">
        <f t="shared" si="94"/>
        <v>64.710362278590381</v>
      </c>
      <c r="S87" s="190">
        <f t="shared" si="95"/>
        <v>64.721594766401282</v>
      </c>
      <c r="T87" s="195">
        <f t="shared" si="96"/>
        <v>64.69912979077948</v>
      </c>
      <c r="U87" s="190">
        <f>'All P1 In Catchment'!G86</f>
        <v>112</v>
      </c>
      <c r="V87" s="190">
        <f>'All P1 In Catchment'!I86</f>
        <v>101</v>
      </c>
      <c r="W87" s="190">
        <f>'All P1 In Catchment'!K86</f>
        <v>72</v>
      </c>
      <c r="X87" s="180">
        <f>'All P1 In Catchment'!M86</f>
        <v>66</v>
      </c>
      <c r="Y87" s="180">
        <f>'All P1 In Catchment'!O86</f>
        <v>93</v>
      </c>
      <c r="Z87" s="191">
        <f t="shared" si="97"/>
        <v>75</v>
      </c>
      <c r="AA87" s="180">
        <f t="shared" si="98"/>
        <v>55</v>
      </c>
      <c r="AB87" s="180">
        <f t="shared" si="114"/>
        <v>54</v>
      </c>
      <c r="AC87" s="180">
        <f t="shared" si="115"/>
        <v>58</v>
      </c>
      <c r="AD87" s="180">
        <f t="shared" si="116"/>
        <v>57</v>
      </c>
      <c r="AE87" s="180">
        <f t="shared" si="117"/>
        <v>57</v>
      </c>
      <c r="AF87" s="180">
        <f t="shared" si="118"/>
        <v>58</v>
      </c>
      <c r="AG87" s="180">
        <f t="shared" si="119"/>
        <v>59</v>
      </c>
      <c r="AH87" s="180">
        <f t="shared" si="120"/>
        <v>59</v>
      </c>
      <c r="AI87" s="180">
        <f t="shared" si="121"/>
        <v>59</v>
      </c>
      <c r="AJ87" s="180">
        <f t="shared" si="122"/>
        <v>59</v>
      </c>
      <c r="AK87" s="180">
        <f t="shared" si="123"/>
        <v>60</v>
      </c>
      <c r="AL87" s="180">
        <f t="shared" si="124"/>
        <v>60</v>
      </c>
      <c r="AM87" s="181">
        <f t="shared" si="125"/>
        <v>60</v>
      </c>
      <c r="AN87" s="180">
        <f>'All P1 In Catchment'!F86</f>
        <v>103</v>
      </c>
      <c r="AO87" s="180">
        <f>'All P1 In Catchment'!H86</f>
        <v>94</v>
      </c>
      <c r="AP87" s="180">
        <f>'All P1 In Catchment'!J86</f>
        <v>70</v>
      </c>
      <c r="AQ87" s="180">
        <f>'All P1 In Catchment'!L86</f>
        <v>64</v>
      </c>
      <c r="AR87" s="181">
        <f>'All P1 In Catchment'!N86</f>
        <v>91</v>
      </c>
      <c r="AS87" s="180">
        <f t="shared" si="99"/>
        <v>73</v>
      </c>
      <c r="AT87" s="180">
        <f t="shared" si="100"/>
        <v>54</v>
      </c>
      <c r="AU87" s="180">
        <f t="shared" si="101"/>
        <v>53</v>
      </c>
      <c r="AV87" s="180">
        <f t="shared" si="102"/>
        <v>56</v>
      </c>
      <c r="AW87" s="180">
        <f t="shared" si="103"/>
        <v>55</v>
      </c>
      <c r="AX87" s="180">
        <f t="shared" si="104"/>
        <v>55</v>
      </c>
      <c r="AY87" s="180">
        <f t="shared" si="105"/>
        <v>56</v>
      </c>
      <c r="AZ87" s="180">
        <f t="shared" si="106"/>
        <v>57</v>
      </c>
      <c r="BA87" s="180">
        <f t="shared" si="107"/>
        <v>57</v>
      </c>
      <c r="BB87" s="180">
        <f t="shared" si="108"/>
        <v>57</v>
      </c>
      <c r="BC87" s="180">
        <f t="shared" si="109"/>
        <v>57</v>
      </c>
      <c r="BD87" s="180">
        <f t="shared" si="110"/>
        <v>58</v>
      </c>
      <c r="BE87" s="180">
        <f t="shared" si="111"/>
        <v>58</v>
      </c>
      <c r="BF87" s="180">
        <f t="shared" si="112"/>
        <v>58</v>
      </c>
      <c r="BG87" s="191">
        <f>AR87+'Housing Generation'!B86</f>
        <v>92</v>
      </c>
      <c r="BH87" s="180">
        <f>AS87+'Housing Generation'!J86</f>
        <v>73</v>
      </c>
      <c r="BI87" s="180">
        <f>AT87+'Housing Generation'!R86</f>
        <v>54</v>
      </c>
      <c r="BJ87" s="180">
        <f>AU87+'Housing Generation'!Z86</f>
        <v>53</v>
      </c>
      <c r="BK87" s="180">
        <f>AV87+'Housing Generation'!AH86</f>
        <v>56</v>
      </c>
      <c r="BL87" s="180">
        <f>AW87+'Housing Generation'!AP86</f>
        <v>55</v>
      </c>
      <c r="BM87" s="180">
        <f>AX87+'Housing Generation'!AX86</f>
        <v>55</v>
      </c>
      <c r="BN87" s="180">
        <f>AY87+'Housing Generation'!BF86</f>
        <v>56</v>
      </c>
      <c r="BO87" s="180">
        <f>AZ87+'Housing Generation'!BN86</f>
        <v>57</v>
      </c>
      <c r="BP87" s="180">
        <f>BA87+'Housing Generation'!BV86</f>
        <v>58</v>
      </c>
      <c r="BQ87" s="180">
        <f>BB87+'Housing Generation'!CD86</f>
        <v>58</v>
      </c>
      <c r="BR87" s="180">
        <f>BC87+'Housing Generation'!CL86</f>
        <v>58</v>
      </c>
      <c r="BS87" s="180">
        <f>BD87+'Housing Generation'!CT86</f>
        <v>59</v>
      </c>
      <c r="BT87" s="180">
        <f>BE87+'Housing Generation'!DB86</f>
        <v>59</v>
      </c>
      <c r="BU87" s="181">
        <f>BF87+'Housing Generation'!DJ86</f>
        <v>59</v>
      </c>
      <c r="BV87" s="180">
        <f>'P1 Retained'!D86</f>
        <v>100</v>
      </c>
      <c r="BW87" s="192">
        <f>'P1 Retained'!E86</f>
        <v>94</v>
      </c>
      <c r="BX87" s="192">
        <f>'P1 Retained'!F86</f>
        <v>69</v>
      </c>
      <c r="BY87" s="192">
        <f>'P1 Retained'!G86</f>
        <v>63</v>
      </c>
      <c r="BZ87" s="192">
        <f>'P1 Retained'!H86</f>
        <v>90</v>
      </c>
    </row>
    <row r="88" spans="1:78">
      <c r="A88" s="178" t="s">
        <v>71</v>
      </c>
      <c r="B88" s="190">
        <f>'Catchment Births'!O88</f>
        <v>155</v>
      </c>
      <c r="C88" s="190">
        <f>'Catchment Births'!P88</f>
        <v>158</v>
      </c>
      <c r="D88" s="190">
        <f>'Catchment Births'!Q88</f>
        <v>146</v>
      </c>
      <c r="E88" s="190">
        <f>'Catchment Births'!R88</f>
        <v>143</v>
      </c>
      <c r="F88" s="190">
        <f>'Catchment Births'!S88</f>
        <v>156</v>
      </c>
      <c r="G88" s="190">
        <f>'Catchment Births'!T88</f>
        <v>136</v>
      </c>
      <c r="H88" s="190">
        <f>'Catchment Births'!U88</f>
        <v>147</v>
      </c>
      <c r="I88" s="190">
        <f>'Catchment Births'!V88</f>
        <v>120</v>
      </c>
      <c r="J88" s="195">
        <f>'Catchment Births'!W88</f>
        <v>134</v>
      </c>
      <c r="K88" s="190">
        <f t="shared" si="113"/>
        <v>135.12682836511758</v>
      </c>
      <c r="L88" s="190">
        <f t="shared" si="88"/>
        <v>137.05721162747639</v>
      </c>
      <c r="M88" s="190">
        <f t="shared" si="89"/>
        <v>138.71536135283588</v>
      </c>
      <c r="N88" s="190">
        <f t="shared" si="90"/>
        <v>140.02703203110534</v>
      </c>
      <c r="O88" s="190">
        <f t="shared" si="91"/>
        <v>141.04172066901191</v>
      </c>
      <c r="P88" s="190">
        <f t="shared" si="92"/>
        <v>141.73467876319199</v>
      </c>
      <c r="Q88" s="190">
        <f t="shared" si="93"/>
        <v>142.1306548170092</v>
      </c>
      <c r="R88" s="190">
        <f t="shared" si="94"/>
        <v>142.57612787755355</v>
      </c>
      <c r="S88" s="190">
        <f t="shared" si="95"/>
        <v>142.60087638091713</v>
      </c>
      <c r="T88" s="195">
        <f t="shared" si="96"/>
        <v>142.55137937418999</v>
      </c>
      <c r="U88" s="190">
        <f>'All P1 In Catchment'!G87</f>
        <v>89</v>
      </c>
      <c r="V88" s="190">
        <f>'All P1 In Catchment'!I87</f>
        <v>81</v>
      </c>
      <c r="W88" s="190">
        <f>'All P1 In Catchment'!K87</f>
        <v>101</v>
      </c>
      <c r="X88" s="180">
        <f>'All P1 In Catchment'!M87</f>
        <v>98</v>
      </c>
      <c r="Y88" s="180">
        <f>'All P1 In Catchment'!O87</f>
        <v>112</v>
      </c>
      <c r="Z88" s="191">
        <f t="shared" si="97"/>
        <v>87</v>
      </c>
      <c r="AA88" s="180">
        <f t="shared" si="98"/>
        <v>94</v>
      </c>
      <c r="AB88" s="180">
        <f t="shared" si="114"/>
        <v>76</v>
      </c>
      <c r="AC88" s="180">
        <f t="shared" si="115"/>
        <v>85</v>
      </c>
      <c r="AD88" s="180">
        <f t="shared" si="116"/>
        <v>86</v>
      </c>
      <c r="AE88" s="180">
        <f t="shared" si="117"/>
        <v>87</v>
      </c>
      <c r="AF88" s="180">
        <f t="shared" si="118"/>
        <v>88</v>
      </c>
      <c r="AG88" s="180">
        <f t="shared" si="119"/>
        <v>89</v>
      </c>
      <c r="AH88" s="180">
        <f t="shared" si="120"/>
        <v>90</v>
      </c>
      <c r="AI88" s="180">
        <f t="shared" si="121"/>
        <v>90</v>
      </c>
      <c r="AJ88" s="180">
        <f t="shared" si="122"/>
        <v>90</v>
      </c>
      <c r="AK88" s="180">
        <f t="shared" si="123"/>
        <v>91</v>
      </c>
      <c r="AL88" s="180">
        <f t="shared" si="124"/>
        <v>91</v>
      </c>
      <c r="AM88" s="181">
        <f t="shared" si="125"/>
        <v>91</v>
      </c>
      <c r="AN88" s="180">
        <f>'All P1 In Catchment'!F87</f>
        <v>75</v>
      </c>
      <c r="AO88" s="180">
        <f>'All P1 In Catchment'!H87</f>
        <v>77</v>
      </c>
      <c r="AP88" s="180">
        <f>'All P1 In Catchment'!J87</f>
        <v>85</v>
      </c>
      <c r="AQ88" s="180">
        <f>'All P1 In Catchment'!L87</f>
        <v>79</v>
      </c>
      <c r="AR88" s="181">
        <f>'All P1 In Catchment'!N87</f>
        <v>98</v>
      </c>
      <c r="AS88" s="180">
        <f t="shared" si="99"/>
        <v>73</v>
      </c>
      <c r="AT88" s="180">
        <f t="shared" si="100"/>
        <v>79</v>
      </c>
      <c r="AU88" s="180">
        <f t="shared" si="101"/>
        <v>64</v>
      </c>
      <c r="AV88" s="180">
        <f t="shared" si="102"/>
        <v>71</v>
      </c>
      <c r="AW88" s="180">
        <f t="shared" si="103"/>
        <v>72</v>
      </c>
      <c r="AX88" s="180">
        <f t="shared" si="104"/>
        <v>73</v>
      </c>
      <c r="AY88" s="180">
        <f t="shared" si="105"/>
        <v>74</v>
      </c>
      <c r="AZ88" s="180">
        <f t="shared" si="106"/>
        <v>75</v>
      </c>
      <c r="BA88" s="180">
        <f t="shared" si="107"/>
        <v>76</v>
      </c>
      <c r="BB88" s="180">
        <f t="shared" si="108"/>
        <v>76</v>
      </c>
      <c r="BC88" s="180">
        <f t="shared" si="109"/>
        <v>76</v>
      </c>
      <c r="BD88" s="180">
        <f t="shared" si="110"/>
        <v>77</v>
      </c>
      <c r="BE88" s="180">
        <f t="shared" si="111"/>
        <v>77</v>
      </c>
      <c r="BF88" s="180">
        <f t="shared" si="112"/>
        <v>77</v>
      </c>
      <c r="BG88" s="191">
        <f>AR88+'Housing Generation'!B87</f>
        <v>99</v>
      </c>
      <c r="BH88" s="180">
        <f>AS88+'Housing Generation'!J87</f>
        <v>74</v>
      </c>
      <c r="BI88" s="180">
        <f>AT88+'Housing Generation'!R87</f>
        <v>80</v>
      </c>
      <c r="BJ88" s="180">
        <f>AU88+'Housing Generation'!Z87</f>
        <v>67</v>
      </c>
      <c r="BK88" s="180">
        <f>AV88+'Housing Generation'!AH87</f>
        <v>75</v>
      </c>
      <c r="BL88" s="180">
        <f>AW88+'Housing Generation'!AP87</f>
        <v>78</v>
      </c>
      <c r="BM88" s="180">
        <f>AX88+'Housing Generation'!AX87</f>
        <v>81</v>
      </c>
      <c r="BN88" s="180">
        <f>AY88+'Housing Generation'!BF87</f>
        <v>84</v>
      </c>
      <c r="BO88" s="180">
        <f>AZ88+'Housing Generation'!BN87</f>
        <v>87</v>
      </c>
      <c r="BP88" s="180">
        <f>BA88+'Housing Generation'!BV87</f>
        <v>90</v>
      </c>
      <c r="BQ88" s="180">
        <f>BB88+'Housing Generation'!CD87</f>
        <v>92</v>
      </c>
      <c r="BR88" s="180">
        <f>BC88+'Housing Generation'!CL87</f>
        <v>94</v>
      </c>
      <c r="BS88" s="180">
        <f>BD88+'Housing Generation'!CT87</f>
        <v>97</v>
      </c>
      <c r="BT88" s="180">
        <f>BE88+'Housing Generation'!DB87</f>
        <v>99</v>
      </c>
      <c r="BU88" s="181">
        <f>BF88+'Housing Generation'!DJ87</f>
        <v>101</v>
      </c>
      <c r="BV88" s="180">
        <f>'P1 Retained'!D87</f>
        <v>64</v>
      </c>
      <c r="BW88" s="192">
        <f>'P1 Retained'!E87</f>
        <v>64</v>
      </c>
      <c r="BX88" s="192">
        <f>'P1 Retained'!F87</f>
        <v>80</v>
      </c>
      <c r="BY88" s="192">
        <f>'P1 Retained'!G87</f>
        <v>78</v>
      </c>
      <c r="BZ88" s="192">
        <f>'P1 Retained'!H87</f>
        <v>87</v>
      </c>
    </row>
    <row r="89" spans="1:78">
      <c r="A89" s="178" t="s">
        <v>72</v>
      </c>
      <c r="B89" s="190">
        <f>'Catchment Births'!O89</f>
        <v>68</v>
      </c>
      <c r="C89" s="190">
        <f>'Catchment Births'!P89</f>
        <v>77</v>
      </c>
      <c r="D89" s="190">
        <f>'Catchment Births'!Q89</f>
        <v>74</v>
      </c>
      <c r="E89" s="190">
        <f>'Catchment Births'!R89</f>
        <v>84</v>
      </c>
      <c r="F89" s="190">
        <f>'Catchment Births'!S89</f>
        <v>70</v>
      </c>
      <c r="G89" s="190">
        <f>'Catchment Births'!T89</f>
        <v>75</v>
      </c>
      <c r="H89" s="190">
        <f>'Catchment Births'!U89</f>
        <v>66</v>
      </c>
      <c r="I89" s="190">
        <f>'Catchment Births'!V89</f>
        <v>62</v>
      </c>
      <c r="J89" s="195">
        <f>'Catchment Births'!W89</f>
        <v>72</v>
      </c>
      <c r="K89" s="190">
        <f t="shared" si="113"/>
        <v>67.394926865395306</v>
      </c>
      <c r="L89" s="190">
        <f t="shared" si="88"/>
        <v>68.357711534900957</v>
      </c>
      <c r="M89" s="190">
        <f t="shared" si="89"/>
        <v>69.184718879219915</v>
      </c>
      <c r="N89" s="190">
        <f t="shared" si="90"/>
        <v>69.838918718755806</v>
      </c>
      <c r="O89" s="190">
        <f t="shared" si="91"/>
        <v>70.344997839906213</v>
      </c>
      <c r="P89" s="190">
        <f t="shared" si="92"/>
        <v>70.690612849472345</v>
      </c>
      <c r="Q89" s="190">
        <f t="shared" si="93"/>
        <v>70.888107140652991</v>
      </c>
      <c r="R89" s="190">
        <f t="shared" si="94"/>
        <v>71.110288218231219</v>
      </c>
      <c r="S89" s="190">
        <f t="shared" si="95"/>
        <v>71.122631611430009</v>
      </c>
      <c r="T89" s="195">
        <f t="shared" si="96"/>
        <v>71.097944825032428</v>
      </c>
      <c r="U89" s="190">
        <f>'All P1 In Catchment'!G88</f>
        <v>48</v>
      </c>
      <c r="V89" s="190">
        <f>'All P1 In Catchment'!I88</f>
        <v>34</v>
      </c>
      <c r="W89" s="190">
        <f>'All P1 In Catchment'!K88</f>
        <v>42</v>
      </c>
      <c r="X89" s="180">
        <f>'All P1 In Catchment'!M88</f>
        <v>52</v>
      </c>
      <c r="Y89" s="180">
        <f>'All P1 In Catchment'!O88</f>
        <v>40</v>
      </c>
      <c r="Z89" s="191">
        <f t="shared" si="97"/>
        <v>44</v>
      </c>
      <c r="AA89" s="180">
        <f t="shared" si="98"/>
        <v>38</v>
      </c>
      <c r="AB89" s="180">
        <f t="shared" si="114"/>
        <v>36</v>
      </c>
      <c r="AC89" s="180">
        <f t="shared" si="115"/>
        <v>42</v>
      </c>
      <c r="AD89" s="180">
        <f t="shared" si="116"/>
        <v>39</v>
      </c>
      <c r="AE89" s="180">
        <f t="shared" si="117"/>
        <v>40</v>
      </c>
      <c r="AF89" s="180">
        <f t="shared" si="118"/>
        <v>40</v>
      </c>
      <c r="AG89" s="180">
        <f t="shared" si="119"/>
        <v>41</v>
      </c>
      <c r="AH89" s="180">
        <f t="shared" si="120"/>
        <v>41</v>
      </c>
      <c r="AI89" s="180">
        <f t="shared" si="121"/>
        <v>41</v>
      </c>
      <c r="AJ89" s="180">
        <f t="shared" si="122"/>
        <v>41</v>
      </c>
      <c r="AK89" s="180">
        <f t="shared" si="123"/>
        <v>41</v>
      </c>
      <c r="AL89" s="180">
        <f t="shared" si="124"/>
        <v>41</v>
      </c>
      <c r="AM89" s="181">
        <f t="shared" si="125"/>
        <v>41</v>
      </c>
      <c r="AN89" s="180">
        <f>'All P1 In Catchment'!F88</f>
        <v>44</v>
      </c>
      <c r="AO89" s="180">
        <f>'All P1 In Catchment'!H88</f>
        <v>28</v>
      </c>
      <c r="AP89" s="180">
        <f>'All P1 In Catchment'!J88</f>
        <v>36</v>
      </c>
      <c r="AQ89" s="180">
        <f>'All P1 In Catchment'!L88</f>
        <v>42</v>
      </c>
      <c r="AR89" s="181">
        <f>'All P1 In Catchment'!N88</f>
        <v>33</v>
      </c>
      <c r="AS89" s="180">
        <f t="shared" si="99"/>
        <v>37</v>
      </c>
      <c r="AT89" s="180">
        <f t="shared" si="100"/>
        <v>32</v>
      </c>
      <c r="AU89" s="180">
        <f t="shared" si="101"/>
        <v>30</v>
      </c>
      <c r="AV89" s="180">
        <f t="shared" si="102"/>
        <v>35</v>
      </c>
      <c r="AW89" s="180">
        <f t="shared" si="103"/>
        <v>32</v>
      </c>
      <c r="AX89" s="180">
        <f t="shared" si="104"/>
        <v>33</v>
      </c>
      <c r="AY89" s="180">
        <f t="shared" si="105"/>
        <v>33</v>
      </c>
      <c r="AZ89" s="180">
        <f t="shared" si="106"/>
        <v>34</v>
      </c>
      <c r="BA89" s="180">
        <f t="shared" si="107"/>
        <v>34</v>
      </c>
      <c r="BB89" s="180">
        <f t="shared" si="108"/>
        <v>34</v>
      </c>
      <c r="BC89" s="180">
        <f t="shared" si="109"/>
        <v>34</v>
      </c>
      <c r="BD89" s="180">
        <f t="shared" si="110"/>
        <v>34</v>
      </c>
      <c r="BE89" s="180">
        <f t="shared" si="111"/>
        <v>34</v>
      </c>
      <c r="BF89" s="180">
        <f t="shared" si="112"/>
        <v>34</v>
      </c>
      <c r="BG89" s="191">
        <f>AR89+'Housing Generation'!B88</f>
        <v>34</v>
      </c>
      <c r="BH89" s="180">
        <f>AS89+'Housing Generation'!J88</f>
        <v>38</v>
      </c>
      <c r="BI89" s="180">
        <f>AT89+'Housing Generation'!R88</f>
        <v>34</v>
      </c>
      <c r="BJ89" s="180">
        <f>AU89+'Housing Generation'!Z88</f>
        <v>32</v>
      </c>
      <c r="BK89" s="180">
        <f>AV89+'Housing Generation'!AH88</f>
        <v>37</v>
      </c>
      <c r="BL89" s="180">
        <f>AW89+'Housing Generation'!AP88</f>
        <v>34</v>
      </c>
      <c r="BM89" s="180">
        <f>AX89+'Housing Generation'!AX88</f>
        <v>36</v>
      </c>
      <c r="BN89" s="180">
        <f>AY89+'Housing Generation'!BF88</f>
        <v>38</v>
      </c>
      <c r="BO89" s="180">
        <f>AZ89+'Housing Generation'!BN88</f>
        <v>40</v>
      </c>
      <c r="BP89" s="180">
        <f>BA89+'Housing Generation'!BV88</f>
        <v>42</v>
      </c>
      <c r="BQ89" s="180">
        <f>BB89+'Housing Generation'!CD88</f>
        <v>43</v>
      </c>
      <c r="BR89" s="180">
        <f>BC89+'Housing Generation'!CL88</f>
        <v>45</v>
      </c>
      <c r="BS89" s="180">
        <f>BD89+'Housing Generation'!CT88</f>
        <v>46</v>
      </c>
      <c r="BT89" s="180">
        <f>BE89+'Housing Generation'!DB88</f>
        <v>47</v>
      </c>
      <c r="BU89" s="181">
        <f>BF89+'Housing Generation'!DJ88</f>
        <v>49</v>
      </c>
      <c r="BV89" s="180">
        <f>'P1 Retained'!D88</f>
        <v>38</v>
      </c>
      <c r="BW89" s="192">
        <f>'P1 Retained'!E88</f>
        <v>24</v>
      </c>
      <c r="BX89" s="192">
        <f>'P1 Retained'!F88</f>
        <v>33</v>
      </c>
      <c r="BY89" s="192">
        <f>'P1 Retained'!G88</f>
        <v>35</v>
      </c>
      <c r="BZ89" s="192">
        <f>'P1 Retained'!H88</f>
        <v>29</v>
      </c>
    </row>
    <row r="90" spans="1:78">
      <c r="A90" s="178" t="s">
        <v>73</v>
      </c>
      <c r="B90" s="190">
        <f>'Catchment Births'!O90</f>
        <v>97</v>
      </c>
      <c r="C90" s="190">
        <f>'Catchment Births'!P90</f>
        <v>101</v>
      </c>
      <c r="D90" s="190">
        <f>'Catchment Births'!Q90</f>
        <v>113</v>
      </c>
      <c r="E90" s="190">
        <f>'Catchment Births'!R90</f>
        <v>75</v>
      </c>
      <c r="F90" s="190">
        <f>'Catchment Births'!S90</f>
        <v>75</v>
      </c>
      <c r="G90" s="190">
        <f>'Catchment Births'!T90</f>
        <v>95</v>
      </c>
      <c r="H90" s="190">
        <f>'Catchment Births'!U90</f>
        <v>88</v>
      </c>
      <c r="I90" s="190">
        <f>'Catchment Births'!V90</f>
        <v>67</v>
      </c>
      <c r="J90" s="195">
        <f>'Catchment Births'!W90</f>
        <v>70</v>
      </c>
      <c r="K90" s="190">
        <f t="shared" si="113"/>
        <v>75.819292723569703</v>
      </c>
      <c r="L90" s="190">
        <f t="shared" si="88"/>
        <v>76.902425476763554</v>
      </c>
      <c r="M90" s="190">
        <f t="shared" si="89"/>
        <v>77.83280873912237</v>
      </c>
      <c r="N90" s="190">
        <f t="shared" si="90"/>
        <v>78.568783558600245</v>
      </c>
      <c r="O90" s="190">
        <f t="shared" si="91"/>
        <v>79.138122569894449</v>
      </c>
      <c r="P90" s="190">
        <f t="shared" si="92"/>
        <v>79.526939455656347</v>
      </c>
      <c r="Q90" s="190">
        <f t="shared" si="93"/>
        <v>79.749120533234574</v>
      </c>
      <c r="R90" s="190">
        <f t="shared" si="94"/>
        <v>79.999074245510073</v>
      </c>
      <c r="S90" s="190">
        <f t="shared" si="95"/>
        <v>80.012960562858709</v>
      </c>
      <c r="T90" s="195">
        <f t="shared" si="96"/>
        <v>79.985187928161437</v>
      </c>
      <c r="U90" s="190">
        <f>'All P1 In Catchment'!G89</f>
        <v>71</v>
      </c>
      <c r="V90" s="190">
        <f>'All P1 In Catchment'!I89</f>
        <v>87</v>
      </c>
      <c r="W90" s="190">
        <f>'All P1 In Catchment'!K89</f>
        <v>92</v>
      </c>
      <c r="X90" s="180">
        <f>'All P1 In Catchment'!M89</f>
        <v>75</v>
      </c>
      <c r="Y90" s="180">
        <f>'All P1 In Catchment'!O89</f>
        <v>62</v>
      </c>
      <c r="Z90" s="191">
        <f t="shared" si="97"/>
        <v>80</v>
      </c>
      <c r="AA90" s="180">
        <f t="shared" si="98"/>
        <v>75</v>
      </c>
      <c r="AB90" s="180">
        <f t="shared" si="114"/>
        <v>57</v>
      </c>
      <c r="AC90" s="180">
        <f t="shared" si="115"/>
        <v>59</v>
      </c>
      <c r="AD90" s="180">
        <f t="shared" si="116"/>
        <v>64</v>
      </c>
      <c r="AE90" s="180">
        <f t="shared" si="117"/>
        <v>65</v>
      </c>
      <c r="AF90" s="180">
        <f t="shared" si="118"/>
        <v>66</v>
      </c>
      <c r="AG90" s="180">
        <f t="shared" si="119"/>
        <v>67</v>
      </c>
      <c r="AH90" s="180">
        <f t="shared" si="120"/>
        <v>67</v>
      </c>
      <c r="AI90" s="180">
        <f t="shared" si="121"/>
        <v>67</v>
      </c>
      <c r="AJ90" s="180">
        <f t="shared" si="122"/>
        <v>68</v>
      </c>
      <c r="AK90" s="180">
        <f t="shared" si="123"/>
        <v>68</v>
      </c>
      <c r="AL90" s="180">
        <f t="shared" si="124"/>
        <v>68</v>
      </c>
      <c r="AM90" s="181">
        <f t="shared" si="125"/>
        <v>68</v>
      </c>
      <c r="AN90" s="180">
        <f>'All P1 In Catchment'!F89</f>
        <v>69</v>
      </c>
      <c r="AO90" s="180">
        <f>'All P1 In Catchment'!H89</f>
        <v>79</v>
      </c>
      <c r="AP90" s="180">
        <f>'All P1 In Catchment'!J89</f>
        <v>84</v>
      </c>
      <c r="AQ90" s="180">
        <f>'All P1 In Catchment'!L89</f>
        <v>68</v>
      </c>
      <c r="AR90" s="181">
        <f>'All P1 In Catchment'!N89</f>
        <v>58</v>
      </c>
      <c r="AS90" s="180">
        <f t="shared" si="99"/>
        <v>73</v>
      </c>
      <c r="AT90" s="180">
        <f t="shared" si="100"/>
        <v>69</v>
      </c>
      <c r="AU90" s="180">
        <f t="shared" si="101"/>
        <v>52</v>
      </c>
      <c r="AV90" s="180">
        <f t="shared" si="102"/>
        <v>54</v>
      </c>
      <c r="AW90" s="180">
        <f t="shared" si="103"/>
        <v>59</v>
      </c>
      <c r="AX90" s="180">
        <f t="shared" si="104"/>
        <v>60</v>
      </c>
      <c r="AY90" s="180">
        <f t="shared" si="105"/>
        <v>61</v>
      </c>
      <c r="AZ90" s="180">
        <f t="shared" si="106"/>
        <v>62</v>
      </c>
      <c r="BA90" s="180">
        <f t="shared" si="107"/>
        <v>62</v>
      </c>
      <c r="BB90" s="180">
        <f t="shared" si="108"/>
        <v>62</v>
      </c>
      <c r="BC90" s="180">
        <f t="shared" si="109"/>
        <v>62</v>
      </c>
      <c r="BD90" s="180">
        <f t="shared" si="110"/>
        <v>62</v>
      </c>
      <c r="BE90" s="180">
        <f t="shared" si="111"/>
        <v>62</v>
      </c>
      <c r="BF90" s="180">
        <f t="shared" si="112"/>
        <v>62</v>
      </c>
      <c r="BG90" s="191">
        <f>AR90+'Housing Generation'!B89</f>
        <v>58</v>
      </c>
      <c r="BH90" s="180">
        <f>AS90+'Housing Generation'!J89</f>
        <v>74</v>
      </c>
      <c r="BI90" s="180">
        <f>AT90+'Housing Generation'!R89</f>
        <v>70</v>
      </c>
      <c r="BJ90" s="180">
        <f>AU90+'Housing Generation'!Z89</f>
        <v>53</v>
      </c>
      <c r="BK90" s="180">
        <f>AV90+'Housing Generation'!AH89</f>
        <v>55</v>
      </c>
      <c r="BL90" s="180">
        <f>AW90+'Housing Generation'!AP89</f>
        <v>60</v>
      </c>
      <c r="BM90" s="180">
        <f>AX90+'Housing Generation'!AX89</f>
        <v>61</v>
      </c>
      <c r="BN90" s="180">
        <f>AY90+'Housing Generation'!BF89</f>
        <v>62</v>
      </c>
      <c r="BO90" s="180">
        <f>AZ90+'Housing Generation'!BN89</f>
        <v>63</v>
      </c>
      <c r="BP90" s="180">
        <f>BA90+'Housing Generation'!BV89</f>
        <v>63</v>
      </c>
      <c r="BQ90" s="180">
        <f>BB90+'Housing Generation'!CD89</f>
        <v>63</v>
      </c>
      <c r="BR90" s="180">
        <f>BC90+'Housing Generation'!CL89</f>
        <v>63</v>
      </c>
      <c r="BS90" s="180">
        <f>BD90+'Housing Generation'!CT89</f>
        <v>63</v>
      </c>
      <c r="BT90" s="180">
        <f>BE90+'Housing Generation'!DB89</f>
        <v>63</v>
      </c>
      <c r="BU90" s="181">
        <f>BF90+'Housing Generation'!DJ89</f>
        <v>63</v>
      </c>
      <c r="BV90" s="180">
        <f>'P1 Retained'!D89</f>
        <v>65</v>
      </c>
      <c r="BW90" s="192">
        <f>'P1 Retained'!E89</f>
        <v>79</v>
      </c>
      <c r="BX90" s="192">
        <f>'P1 Retained'!F89</f>
        <v>83</v>
      </c>
      <c r="BY90" s="192">
        <f>'P1 Retained'!G89</f>
        <v>65</v>
      </c>
      <c r="BZ90" s="192">
        <f>'P1 Retained'!H89</f>
        <v>57</v>
      </c>
    </row>
    <row r="91" spans="1:78">
      <c r="B91" s="263">
        <f t="shared" ref="B91:H91" si="126">((SUM(B83:B90))+(SUM(B45:B69))+(SUM(B38:B43))+(SUM(B4:B36)))</f>
        <v>5494</v>
      </c>
      <c r="C91" s="263">
        <f t="shared" si="126"/>
        <v>5576</v>
      </c>
      <c r="D91" s="263">
        <f t="shared" si="126"/>
        <v>5486</v>
      </c>
      <c r="E91" s="263">
        <f t="shared" si="126"/>
        <v>5593</v>
      </c>
      <c r="F91" s="263">
        <f t="shared" si="126"/>
        <v>5510</v>
      </c>
      <c r="G91" s="263">
        <f t="shared" si="126"/>
        <v>5424</v>
      </c>
      <c r="H91" s="263">
        <f t="shared" si="126"/>
        <v>5266</v>
      </c>
      <c r="I91" s="263">
        <f>((SUM(I83:I90))+(SUM(I45:I69))+(SUM(I38:I43))+(SUM(I4:I36)))</f>
        <v>5197</v>
      </c>
      <c r="J91" s="263">
        <f>((SUM(J83:J90))+(SUM(J45:J69))+(SUM(J38:J43))+(SUM(J4:J36)))</f>
        <v>5058</v>
      </c>
      <c r="U91" s="301">
        <f t="shared" ref="U91:V91" si="127">SUM(U4:U90)</f>
        <v>9008</v>
      </c>
      <c r="V91" s="301">
        <f t="shared" si="127"/>
        <v>8862</v>
      </c>
      <c r="W91" s="301">
        <f>SUM(W4:W90)</f>
        <v>8866</v>
      </c>
      <c r="X91" s="194">
        <f>SUM(X4:X90)</f>
        <v>9050</v>
      </c>
      <c r="Y91" s="301">
        <f t="shared" ref="Y91:AJ91" si="128">SUM(Y4:Y90)</f>
        <v>8929</v>
      </c>
      <c r="Z91" s="201">
        <f t="shared" si="128"/>
        <v>8903</v>
      </c>
      <c r="AA91" s="194">
        <f t="shared" si="128"/>
        <v>8762</v>
      </c>
      <c r="AB91" s="194">
        <f t="shared" si="128"/>
        <v>8571</v>
      </c>
      <c r="AC91" s="194">
        <f t="shared" si="128"/>
        <v>8452</v>
      </c>
      <c r="AD91" s="194">
        <f t="shared" si="128"/>
        <v>8674</v>
      </c>
      <c r="AE91" s="194">
        <f t="shared" si="128"/>
        <v>8798</v>
      </c>
      <c r="AF91" s="194">
        <f t="shared" si="128"/>
        <v>8901</v>
      </c>
      <c r="AG91" s="194">
        <f t="shared" si="128"/>
        <v>8987</v>
      </c>
      <c r="AH91" s="194">
        <f t="shared" si="128"/>
        <v>9052</v>
      </c>
      <c r="AI91" s="194">
        <f t="shared" si="128"/>
        <v>9096</v>
      </c>
      <c r="AJ91" s="194">
        <f t="shared" si="128"/>
        <v>9119</v>
      </c>
      <c r="AK91" s="194">
        <f t="shared" ref="AK91:AO91" si="129">SUM(AK4:AK90)</f>
        <v>9146</v>
      </c>
      <c r="AL91" s="194">
        <f t="shared" si="129"/>
        <v>9148</v>
      </c>
      <c r="AM91" s="194">
        <f t="shared" si="129"/>
        <v>9146</v>
      </c>
      <c r="AN91" s="301">
        <f t="shared" si="129"/>
        <v>4504</v>
      </c>
      <c r="AO91" s="301">
        <f t="shared" si="129"/>
        <v>4431</v>
      </c>
      <c r="AP91" s="301">
        <f>SUM(AP4:AP90)</f>
        <v>4433</v>
      </c>
      <c r="AQ91" s="301">
        <f>SUM(AQ4:AQ90)</f>
        <v>4525</v>
      </c>
      <c r="AR91" s="301">
        <f t="shared" ref="AR91:BF91" si="130">SUM(AR4:AR90)</f>
        <v>4466</v>
      </c>
      <c r="AS91" s="194">
        <f t="shared" si="130"/>
        <v>4493</v>
      </c>
      <c r="AT91" s="194">
        <f t="shared" si="130"/>
        <v>4412</v>
      </c>
      <c r="AU91" s="194">
        <f t="shared" si="130"/>
        <v>4294</v>
      </c>
      <c r="AV91" s="194">
        <f t="shared" si="130"/>
        <v>4254</v>
      </c>
      <c r="AW91" s="194">
        <f t="shared" si="130"/>
        <v>4353</v>
      </c>
      <c r="AX91" s="194">
        <f t="shared" si="130"/>
        <v>4418</v>
      </c>
      <c r="AY91" s="194">
        <f t="shared" si="130"/>
        <v>4473</v>
      </c>
      <c r="AZ91" s="194">
        <f t="shared" si="130"/>
        <v>4515</v>
      </c>
      <c r="BA91" s="194">
        <f t="shared" si="130"/>
        <v>4544</v>
      </c>
      <c r="BB91" s="194">
        <f t="shared" si="130"/>
        <v>4566</v>
      </c>
      <c r="BC91" s="194">
        <f t="shared" si="130"/>
        <v>4575</v>
      </c>
      <c r="BD91" s="194">
        <f t="shared" si="130"/>
        <v>4588</v>
      </c>
      <c r="BE91" s="194">
        <f t="shared" si="130"/>
        <v>4589</v>
      </c>
      <c r="BF91" s="194">
        <f t="shared" si="130"/>
        <v>4588</v>
      </c>
      <c r="BG91" s="194">
        <f>SUM(BG4:BG90)</f>
        <v>4514</v>
      </c>
      <c r="BH91" s="194">
        <f t="shared" ref="BH91:BQ91" si="131">SUM(BH4:BH90)</f>
        <v>4579</v>
      </c>
      <c r="BI91" s="194">
        <f t="shared" si="131"/>
        <v>4544</v>
      </c>
      <c r="BJ91" s="194">
        <f t="shared" si="131"/>
        <v>4485</v>
      </c>
      <c r="BK91" s="194">
        <f t="shared" si="131"/>
        <v>4509</v>
      </c>
      <c r="BL91" s="194">
        <f t="shared" si="131"/>
        <v>4668</v>
      </c>
      <c r="BM91" s="194">
        <f t="shared" si="131"/>
        <v>4808</v>
      </c>
      <c r="BN91" s="194">
        <f t="shared" si="131"/>
        <v>4934</v>
      </c>
      <c r="BO91" s="194">
        <f t="shared" si="131"/>
        <v>5036</v>
      </c>
      <c r="BP91" s="194">
        <f t="shared" si="131"/>
        <v>5126</v>
      </c>
      <c r="BQ91" s="194">
        <f t="shared" si="131"/>
        <v>5196</v>
      </c>
      <c r="BR91" s="194">
        <f t="shared" ref="BR91:BZ91" si="132">SUM(BR4:BR90)</f>
        <v>5229</v>
      </c>
      <c r="BS91" s="194">
        <f t="shared" si="132"/>
        <v>5266</v>
      </c>
      <c r="BT91" s="194">
        <f t="shared" si="132"/>
        <v>5291</v>
      </c>
      <c r="BU91" s="194">
        <f t="shared" si="132"/>
        <v>5313</v>
      </c>
      <c r="BV91" s="194">
        <f t="shared" si="132"/>
        <v>3823</v>
      </c>
      <c r="BW91" s="194">
        <f t="shared" si="132"/>
        <v>3887</v>
      </c>
      <c r="BX91" s="194">
        <f t="shared" si="132"/>
        <v>3892</v>
      </c>
      <c r="BY91" s="194">
        <f t="shared" si="132"/>
        <v>4018</v>
      </c>
      <c r="BZ91" s="194">
        <f t="shared" si="132"/>
        <v>3892</v>
      </c>
    </row>
    <row r="92" spans="1:78">
      <c r="Y92" s="301"/>
      <c r="Z92" s="194"/>
      <c r="AA92" s="194"/>
      <c r="AB92" s="194"/>
      <c r="AC92" s="194"/>
      <c r="AD92" s="194"/>
      <c r="AE92" s="194"/>
      <c r="AF92" s="194"/>
      <c r="AG92" s="194"/>
      <c r="AH92" s="194"/>
      <c r="AI92" s="194"/>
      <c r="AJ92" s="194"/>
      <c r="AK92" s="194"/>
      <c r="AL92" s="194"/>
      <c r="AM92" s="194"/>
      <c r="AN92" s="194"/>
      <c r="AO92" s="194"/>
      <c r="AR92" s="364"/>
      <c r="AS92" s="224"/>
      <c r="AT92" s="224"/>
      <c r="AU92" s="224"/>
      <c r="AV92" s="224"/>
      <c r="AW92" s="224"/>
      <c r="AX92" s="224"/>
      <c r="AY92" s="224"/>
      <c r="AZ92" s="224"/>
      <c r="BA92" s="224"/>
      <c r="BB92" s="224"/>
      <c r="BC92" s="224"/>
      <c r="BD92" s="224"/>
      <c r="BE92" s="224"/>
      <c r="BF92" s="224"/>
      <c r="BG92" s="194"/>
      <c r="BH92" s="194"/>
      <c r="BI92" s="194"/>
      <c r="BJ92" s="194"/>
      <c r="BK92" s="194"/>
      <c r="BL92" s="194"/>
      <c r="BM92" s="194"/>
      <c r="BN92" s="194"/>
      <c r="BO92" s="194"/>
      <c r="BP92" s="194"/>
      <c r="BQ92" s="194"/>
      <c r="BR92" s="194"/>
      <c r="BS92" s="194"/>
      <c r="BT92" s="194"/>
      <c r="BU92" s="194"/>
    </row>
    <row r="93" spans="1:78">
      <c r="A93" s="347" t="s">
        <v>303</v>
      </c>
      <c r="AR93" s="364"/>
      <c r="AS93" s="224"/>
      <c r="AT93" s="224"/>
      <c r="AU93" s="224"/>
      <c r="AV93" s="224"/>
      <c r="AW93" s="224"/>
      <c r="AX93" s="224"/>
      <c r="AY93" s="224"/>
      <c r="AZ93" s="224"/>
      <c r="BA93" s="224"/>
      <c r="BB93" s="224"/>
      <c r="BC93" s="224"/>
      <c r="BD93" s="224"/>
      <c r="BE93" s="224"/>
      <c r="BF93" s="224"/>
    </row>
    <row r="94" spans="1:78" ht="15">
      <c r="A94" s="347" t="s">
        <v>302</v>
      </c>
      <c r="B94" s="193"/>
      <c r="C94" s="193"/>
      <c r="Z94" s="178">
        <f>AVERAGE((U89/B89),(V89/C89),(W89/D89),(X89/E89),(Y89/F89))</f>
        <v>0.58109691050867518</v>
      </c>
      <c r="AR94" s="364">
        <f>AR62+AR50+AR38+AR22</f>
        <v>226</v>
      </c>
      <c r="AS94" s="224">
        <f t="shared" ref="AS94:BF94" si="133">AS62+AS50+AS38+AS22</f>
        <v>252</v>
      </c>
      <c r="AT94" s="224">
        <f t="shared" si="133"/>
        <v>254</v>
      </c>
      <c r="AU94" s="224">
        <f t="shared" si="133"/>
        <v>235</v>
      </c>
      <c r="AV94" s="224">
        <f t="shared" si="133"/>
        <v>223</v>
      </c>
      <c r="AW94" s="224">
        <f t="shared" si="133"/>
        <v>241</v>
      </c>
      <c r="AX94" s="224">
        <f t="shared" si="133"/>
        <v>244</v>
      </c>
      <c r="AY94" s="224">
        <f t="shared" si="133"/>
        <v>248</v>
      </c>
      <c r="AZ94" s="224">
        <f t="shared" si="133"/>
        <v>249</v>
      </c>
      <c r="BA94" s="224">
        <f t="shared" si="133"/>
        <v>250</v>
      </c>
      <c r="BB94" s="224">
        <f t="shared" si="133"/>
        <v>252</v>
      </c>
      <c r="BC94" s="224">
        <f t="shared" si="133"/>
        <v>253</v>
      </c>
      <c r="BD94" s="224">
        <f t="shared" si="133"/>
        <v>253</v>
      </c>
      <c r="BE94" s="224">
        <f t="shared" si="133"/>
        <v>253</v>
      </c>
      <c r="BF94" s="224">
        <f t="shared" si="133"/>
        <v>253</v>
      </c>
    </row>
    <row r="96" spans="1:78">
      <c r="AR96" s="364"/>
      <c r="AS96" s="224"/>
      <c r="AT96" s="224"/>
      <c r="AU96" s="224"/>
      <c r="AV96" s="224"/>
      <c r="AW96" s="224"/>
      <c r="AX96" s="224"/>
      <c r="AY96" s="224"/>
      <c r="AZ96" s="224"/>
      <c r="BA96" s="224"/>
      <c r="BB96" s="224"/>
      <c r="BC96" s="224"/>
      <c r="BD96" s="224"/>
      <c r="BE96" s="224"/>
      <c r="BF96" s="224"/>
    </row>
    <row r="97" spans="1:69">
      <c r="A97" s="178" t="s">
        <v>225</v>
      </c>
      <c r="AS97" s="192"/>
      <c r="AT97" s="192"/>
      <c r="AU97" s="192"/>
      <c r="AV97" s="192"/>
      <c r="AW97" s="192"/>
      <c r="AX97" s="192"/>
      <c r="AY97" s="192"/>
      <c r="AZ97" s="192"/>
      <c r="BA97" s="192"/>
      <c r="BB97" s="192"/>
      <c r="BH97" s="192"/>
      <c r="BI97" s="192"/>
      <c r="BJ97" s="192"/>
      <c r="BK97" s="192"/>
      <c r="BL97" s="192"/>
      <c r="BM97" s="192"/>
      <c r="BN97" s="192"/>
      <c r="BO97" s="192"/>
      <c r="BP97" s="192"/>
      <c r="BQ97" s="192"/>
    </row>
    <row r="98" spans="1:69">
      <c r="A98" s="178" t="s">
        <v>226</v>
      </c>
      <c r="AS98" s="192"/>
      <c r="AT98" s="192"/>
      <c r="AU98" s="192"/>
      <c r="AV98" s="192"/>
      <c r="AW98" s="192"/>
      <c r="AX98" s="192"/>
      <c r="AY98" s="192"/>
      <c r="AZ98" s="192"/>
      <c r="BA98" s="192"/>
      <c r="BB98" s="192"/>
      <c r="BH98" s="192"/>
      <c r="BI98" s="192"/>
      <c r="BJ98" s="192"/>
      <c r="BK98" s="192"/>
      <c r="BL98" s="192"/>
      <c r="BM98" s="192"/>
      <c r="BN98" s="192"/>
      <c r="BO98" s="192"/>
      <c r="BP98" s="192"/>
      <c r="BQ98" s="192"/>
    </row>
    <row r="99" spans="1:69">
      <c r="A99" s="178" t="s">
        <v>227</v>
      </c>
      <c r="AS99" s="192"/>
      <c r="AT99" s="192"/>
      <c r="AU99" s="192"/>
      <c r="AV99" s="192"/>
      <c r="AW99" s="192"/>
      <c r="AX99" s="192"/>
      <c r="AY99" s="192"/>
      <c r="AZ99" s="192"/>
      <c r="BA99" s="192"/>
      <c r="BB99" s="192"/>
      <c r="BH99" s="192"/>
      <c r="BI99" s="192"/>
      <c r="BJ99" s="192"/>
      <c r="BK99" s="192"/>
      <c r="BL99" s="192"/>
      <c r="BM99" s="192"/>
      <c r="BN99" s="192"/>
      <c r="BO99" s="192"/>
      <c r="BP99" s="192"/>
      <c r="BQ99" s="192"/>
    </row>
    <row r="100" spans="1:69">
      <c r="A100" s="178" t="s">
        <v>228</v>
      </c>
      <c r="AS100" s="192"/>
      <c r="AT100" s="192"/>
      <c r="AU100" s="192"/>
      <c r="AV100" s="192"/>
      <c r="AW100" s="192"/>
      <c r="AX100" s="192"/>
      <c r="AY100" s="192"/>
      <c r="AZ100" s="192"/>
      <c r="BA100" s="192"/>
      <c r="BB100" s="192"/>
      <c r="BH100" s="192"/>
      <c r="BI100" s="192"/>
      <c r="BJ100" s="192"/>
      <c r="BK100" s="192"/>
      <c r="BL100" s="192"/>
      <c r="BM100" s="192"/>
      <c r="BN100" s="192"/>
      <c r="BO100" s="192"/>
      <c r="BP100" s="192"/>
      <c r="BQ100" s="192"/>
    </row>
    <row r="101" spans="1:69">
      <c r="A101" s="178" t="s">
        <v>229</v>
      </c>
      <c r="AR101" s="301"/>
      <c r="AS101" s="194"/>
      <c r="AT101" s="194"/>
      <c r="AU101" s="194"/>
      <c r="AV101" s="194"/>
      <c r="AW101" s="194"/>
      <c r="AX101" s="194"/>
      <c r="AY101" s="194"/>
      <c r="AZ101" s="194"/>
      <c r="BA101" s="194"/>
      <c r="BB101" s="194"/>
      <c r="BG101" s="194"/>
      <c r="BH101" s="194"/>
      <c r="BI101" s="194"/>
      <c r="BJ101" s="194"/>
      <c r="BK101" s="194"/>
      <c r="BL101" s="194"/>
      <c r="BM101" s="194"/>
      <c r="BN101" s="194"/>
      <c r="BO101" s="194"/>
      <c r="BP101" s="194"/>
      <c r="BQ101" s="194"/>
    </row>
    <row r="102" spans="1:69">
      <c r="A102" s="178" t="s">
        <v>230</v>
      </c>
    </row>
    <row r="103" spans="1:69">
      <c r="A103" s="178" t="s">
        <v>231</v>
      </c>
      <c r="BH103" s="192"/>
      <c r="BI103" s="192"/>
      <c r="BJ103" s="192"/>
      <c r="BK103" s="192"/>
      <c r="BL103" s="192"/>
      <c r="BM103" s="192"/>
      <c r="BN103" s="192"/>
      <c r="BO103" s="192"/>
      <c r="BP103" s="192"/>
      <c r="BQ103" s="192"/>
    </row>
    <row r="104" spans="1:69">
      <c r="A104" s="178" t="s">
        <v>232</v>
      </c>
    </row>
    <row r="105" spans="1:69">
      <c r="A105" s="178" t="s">
        <v>233</v>
      </c>
      <c r="BH105" s="192"/>
      <c r="BI105" s="192"/>
      <c r="BJ105" s="192"/>
      <c r="BK105" s="192"/>
      <c r="BL105" s="192"/>
      <c r="BM105" s="192"/>
      <c r="BN105" s="192"/>
      <c r="BO105" s="192"/>
      <c r="BP105" s="192"/>
      <c r="BQ105" s="192"/>
    </row>
    <row r="106" spans="1:69">
      <c r="A106" s="178" t="s">
        <v>234</v>
      </c>
    </row>
    <row r="107" spans="1:69">
      <c r="A107" s="178" t="s">
        <v>235</v>
      </c>
    </row>
    <row r="108" spans="1:69">
      <c r="A108" s="178" t="s">
        <v>236</v>
      </c>
    </row>
    <row r="109" spans="1:69">
      <c r="A109" s="178" t="s">
        <v>237</v>
      </c>
    </row>
    <row r="110" spans="1:69">
      <c r="A110" s="178" t="s">
        <v>238</v>
      </c>
    </row>
    <row r="111" spans="1:69">
      <c r="A111" s="178" t="s">
        <v>239</v>
      </c>
    </row>
    <row r="112" spans="1:69">
      <c r="A112" s="178" t="s">
        <v>240</v>
      </c>
    </row>
    <row r="113" spans="1:1">
      <c r="A113" s="178" t="s">
        <v>241</v>
      </c>
    </row>
    <row r="114" spans="1:1">
      <c r="A114" s="178" t="s">
        <v>242</v>
      </c>
    </row>
    <row r="115" spans="1:1">
      <c r="A115" s="178" t="s">
        <v>243</v>
      </c>
    </row>
    <row r="116" spans="1:1">
      <c r="A116" s="178" t="s">
        <v>244</v>
      </c>
    </row>
    <row r="117" spans="1:1">
      <c r="A117" s="178" t="s">
        <v>245</v>
      </c>
    </row>
    <row r="118" spans="1:1">
      <c r="A118" s="178" t="s">
        <v>246</v>
      </c>
    </row>
    <row r="119" spans="1:1">
      <c r="A119" s="178" t="s">
        <v>247</v>
      </c>
    </row>
  </sheetData>
  <pageMargins left="0.7" right="0.7" top="0.75" bottom="0.75" header="0.3" footer="0.3"/>
  <pageSetup paperSize="9" orientation="portrait" r:id="rId1"/>
  <legacyDrawing r:id="rId2"/>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3"/>
  <dimension ref="A1:BE90"/>
  <sheetViews>
    <sheetView workbookViewId="0">
      <pane xSplit="1" ySplit="2" topLeftCell="B3" activePane="bottomRight" state="frozen"/>
      <selection pane="topRight" activeCell="B1" sqref="B1"/>
      <selection pane="bottomLeft" activeCell="A3" sqref="A3"/>
      <selection pane="bottomRight" activeCell="BD12" sqref="AX12:BD12"/>
    </sheetView>
  </sheetViews>
  <sheetFormatPr defaultRowHeight="12.75"/>
  <cols>
    <col min="1" max="1" width="32" bestFit="1" customWidth="1"/>
    <col min="2" max="2" width="5" style="368" bestFit="1" customWidth="1"/>
    <col min="3" max="8" width="3.140625" style="368" bestFit="1" customWidth="1"/>
    <col min="9" max="9" width="4.85546875" style="368" bestFit="1" customWidth="1"/>
    <col min="10" max="10" width="5" style="368" bestFit="1" customWidth="1"/>
    <col min="11" max="16" width="3.140625" style="368" bestFit="1" customWidth="1"/>
    <col min="17" max="17" width="4.85546875" style="368" bestFit="1" customWidth="1"/>
    <col min="18" max="18" width="5" style="368" bestFit="1" customWidth="1"/>
    <col min="19" max="24" width="3.140625" style="368" bestFit="1" customWidth="1"/>
    <col min="25" max="25" width="4.85546875" style="368" bestFit="1" customWidth="1"/>
    <col min="26" max="26" width="5" style="368" bestFit="1" customWidth="1"/>
    <col min="27" max="27" width="4" style="368" bestFit="1" customWidth="1"/>
    <col min="28" max="32" width="3.140625" style="368" bestFit="1" customWidth="1"/>
    <col min="33" max="33" width="4.85546875" style="368" bestFit="1" customWidth="1"/>
    <col min="34" max="34" width="5" style="1" bestFit="1" customWidth="1"/>
    <col min="35" max="35" width="3.140625" style="1" bestFit="1" customWidth="1"/>
    <col min="36" max="36" width="4" style="1" bestFit="1" customWidth="1"/>
    <col min="37" max="40" width="3.140625" style="1" bestFit="1" customWidth="1"/>
    <col min="41" max="41" width="4.85546875" style="1" bestFit="1" customWidth="1"/>
    <col min="42" max="42" width="5" style="368" bestFit="1" customWidth="1"/>
    <col min="43" max="43" width="4" style="368" bestFit="1" customWidth="1"/>
    <col min="44" max="44" width="3.140625" style="368" bestFit="1" customWidth="1"/>
    <col min="45" max="45" width="4" style="368" bestFit="1" customWidth="1"/>
    <col min="46" max="48" width="3.140625" style="368" bestFit="1" customWidth="1"/>
    <col min="49" max="49" width="4.85546875" style="368" bestFit="1" customWidth="1"/>
    <col min="50" max="50" width="5" bestFit="1" customWidth="1"/>
    <col min="51" max="52" width="4" bestFit="1" customWidth="1"/>
    <col min="53" max="53" width="3.140625" bestFit="1" customWidth="1"/>
    <col min="54" max="54" width="4" bestFit="1" customWidth="1"/>
    <col min="55" max="56" width="3.140625" bestFit="1" customWidth="1"/>
    <col min="57" max="57" width="4.85546875" bestFit="1" customWidth="1"/>
  </cols>
  <sheetData>
    <row r="1" spans="1:57">
      <c r="B1" s="367">
        <v>2012</v>
      </c>
      <c r="J1" s="367">
        <v>2013</v>
      </c>
      <c r="R1" s="367">
        <v>2014</v>
      </c>
      <c r="Z1" s="367">
        <v>2015</v>
      </c>
      <c r="AH1" s="367">
        <v>2016</v>
      </c>
      <c r="AP1" s="367">
        <v>2017</v>
      </c>
      <c r="AX1" s="367">
        <v>2018</v>
      </c>
      <c r="AY1" s="368"/>
      <c r="AZ1" s="368"/>
      <c r="BA1" s="368"/>
      <c r="BB1" s="368"/>
      <c r="BC1" s="368"/>
      <c r="BD1" s="368"/>
      <c r="BE1" s="368"/>
    </row>
    <row r="2" spans="1:57">
      <c r="A2" s="185" t="s">
        <v>0</v>
      </c>
      <c r="B2" s="367" t="s">
        <v>1</v>
      </c>
      <c r="C2" s="367" t="s">
        <v>2</v>
      </c>
      <c r="D2" s="367" t="s">
        <v>3</v>
      </c>
      <c r="E2" s="367" t="s">
        <v>4</v>
      </c>
      <c r="F2" s="367" t="s">
        <v>5</v>
      </c>
      <c r="G2" s="367" t="s">
        <v>6</v>
      </c>
      <c r="H2" s="367" t="s">
        <v>7</v>
      </c>
      <c r="I2" s="367" t="s">
        <v>8</v>
      </c>
      <c r="J2" s="369" t="s">
        <v>1</v>
      </c>
      <c r="K2" s="369" t="s">
        <v>2</v>
      </c>
      <c r="L2" s="369" t="s">
        <v>3</v>
      </c>
      <c r="M2" s="369" t="s">
        <v>4</v>
      </c>
      <c r="N2" s="369" t="s">
        <v>5</v>
      </c>
      <c r="O2" s="369" t="s">
        <v>6</v>
      </c>
      <c r="P2" s="369" t="s">
        <v>7</v>
      </c>
      <c r="Q2" s="369" t="s">
        <v>8</v>
      </c>
      <c r="R2" s="370" t="s">
        <v>1</v>
      </c>
      <c r="S2" s="370" t="s">
        <v>2</v>
      </c>
      <c r="T2" s="370" t="s">
        <v>3</v>
      </c>
      <c r="U2" s="370" t="s">
        <v>4</v>
      </c>
      <c r="V2" s="370" t="s">
        <v>5</v>
      </c>
      <c r="W2" s="370" t="s">
        <v>6</v>
      </c>
      <c r="X2" s="370" t="s">
        <v>7</v>
      </c>
      <c r="Y2" s="370" t="s">
        <v>8</v>
      </c>
      <c r="Z2" s="370" t="s">
        <v>1</v>
      </c>
      <c r="AA2" s="370" t="s">
        <v>2</v>
      </c>
      <c r="AB2" s="370" t="s">
        <v>3</v>
      </c>
      <c r="AC2" s="370" t="s">
        <v>4</v>
      </c>
      <c r="AD2" s="370" t="s">
        <v>5</v>
      </c>
      <c r="AE2" s="370" t="s">
        <v>6</v>
      </c>
      <c r="AF2" s="370" t="s">
        <v>7</v>
      </c>
      <c r="AG2" s="370" t="s">
        <v>8</v>
      </c>
      <c r="AH2" s="370" t="s">
        <v>1</v>
      </c>
      <c r="AI2" s="370" t="s">
        <v>2</v>
      </c>
      <c r="AJ2" s="370" t="s">
        <v>3</v>
      </c>
      <c r="AK2" s="370" t="s">
        <v>4</v>
      </c>
      <c r="AL2" s="370" t="s">
        <v>5</v>
      </c>
      <c r="AM2" s="370" t="s">
        <v>6</v>
      </c>
      <c r="AN2" s="370" t="s">
        <v>7</v>
      </c>
      <c r="AO2" s="370" t="s">
        <v>8</v>
      </c>
      <c r="AP2" s="370" t="s">
        <v>1</v>
      </c>
      <c r="AQ2" s="370" t="s">
        <v>2</v>
      </c>
      <c r="AR2" s="370" t="s">
        <v>3</v>
      </c>
      <c r="AS2" s="370" t="s">
        <v>4</v>
      </c>
      <c r="AT2" s="370" t="s">
        <v>5</v>
      </c>
      <c r="AU2" s="370" t="s">
        <v>6</v>
      </c>
      <c r="AV2" s="370" t="s">
        <v>7</v>
      </c>
      <c r="AW2" s="370" t="s">
        <v>8</v>
      </c>
      <c r="AX2" s="370" t="s">
        <v>1</v>
      </c>
      <c r="AY2" s="370" t="s">
        <v>2</v>
      </c>
      <c r="AZ2" s="370" t="s">
        <v>3</v>
      </c>
      <c r="BA2" s="370" t="s">
        <v>4</v>
      </c>
      <c r="BB2" s="370" t="s">
        <v>5</v>
      </c>
      <c r="BC2" s="370" t="s">
        <v>6</v>
      </c>
      <c r="BD2" s="370" t="s">
        <v>7</v>
      </c>
      <c r="BE2" s="370" t="s">
        <v>8</v>
      </c>
    </row>
    <row r="3" spans="1:57">
      <c r="A3" s="178" t="s">
        <v>9</v>
      </c>
      <c r="B3" s="367">
        <v>30</v>
      </c>
      <c r="C3" s="367">
        <v>17</v>
      </c>
      <c r="D3" s="367">
        <v>27</v>
      </c>
      <c r="E3" s="367">
        <v>17</v>
      </c>
      <c r="F3" s="367">
        <v>19</v>
      </c>
      <c r="G3" s="367">
        <v>9</v>
      </c>
      <c r="H3" s="367">
        <v>26</v>
      </c>
      <c r="I3" s="367">
        <v>145</v>
      </c>
      <c r="J3" s="367">
        <v>49</v>
      </c>
      <c r="K3" s="367">
        <v>28</v>
      </c>
      <c r="L3" s="367">
        <v>17</v>
      </c>
      <c r="M3" s="367">
        <v>28</v>
      </c>
      <c r="N3" s="367">
        <v>15</v>
      </c>
      <c r="O3" s="367">
        <v>16</v>
      </c>
      <c r="P3" s="367">
        <v>10</v>
      </c>
      <c r="Q3" s="369">
        <v>163</v>
      </c>
      <c r="R3" s="371">
        <v>30</v>
      </c>
      <c r="S3" s="371">
        <v>43</v>
      </c>
      <c r="T3" s="371">
        <v>27</v>
      </c>
      <c r="U3" s="371">
        <v>17</v>
      </c>
      <c r="V3" s="371">
        <v>30</v>
      </c>
      <c r="W3" s="371">
        <v>16</v>
      </c>
      <c r="X3" s="371">
        <v>17</v>
      </c>
      <c r="Y3" s="372">
        <v>180</v>
      </c>
      <c r="Z3" s="371">
        <v>31</v>
      </c>
      <c r="AA3" s="371">
        <v>28</v>
      </c>
      <c r="AB3" s="371">
        <v>44</v>
      </c>
      <c r="AC3" s="371">
        <v>22</v>
      </c>
      <c r="AD3" s="371">
        <v>22</v>
      </c>
      <c r="AE3" s="371">
        <v>27</v>
      </c>
      <c r="AF3" s="371">
        <v>17</v>
      </c>
      <c r="AG3" s="372">
        <v>191</v>
      </c>
      <c r="AH3" s="369">
        <v>24</v>
      </c>
      <c r="AI3" s="369">
        <v>29</v>
      </c>
      <c r="AJ3" s="369">
        <v>28</v>
      </c>
      <c r="AK3" s="369">
        <v>28</v>
      </c>
      <c r="AL3" s="369">
        <v>20</v>
      </c>
      <c r="AM3" s="369">
        <v>18</v>
      </c>
      <c r="AN3" s="369">
        <v>26</v>
      </c>
      <c r="AO3" s="369">
        <v>173</v>
      </c>
      <c r="AP3" s="369">
        <v>23</v>
      </c>
      <c r="AQ3" s="369">
        <v>25</v>
      </c>
      <c r="AR3" s="369">
        <v>22</v>
      </c>
      <c r="AS3" s="369">
        <v>27</v>
      </c>
      <c r="AT3" s="369">
        <v>27</v>
      </c>
      <c r="AU3" s="369">
        <v>18</v>
      </c>
      <c r="AV3" s="369">
        <v>17</v>
      </c>
      <c r="AW3" s="369">
        <v>159</v>
      </c>
      <c r="AX3" s="369">
        <v>25</v>
      </c>
      <c r="AY3" s="369">
        <v>21</v>
      </c>
      <c r="AZ3" s="369">
        <v>25</v>
      </c>
      <c r="BA3" s="369">
        <v>18</v>
      </c>
      <c r="BB3" s="369">
        <v>24</v>
      </c>
      <c r="BC3" s="369">
        <v>27</v>
      </c>
      <c r="BD3" s="369">
        <v>17</v>
      </c>
      <c r="BE3" s="369">
        <v>157</v>
      </c>
    </row>
    <row r="4" spans="1:57">
      <c r="A4" s="178" t="s">
        <v>10</v>
      </c>
      <c r="B4" s="367">
        <v>60</v>
      </c>
      <c r="C4" s="367">
        <v>64</v>
      </c>
      <c r="D4" s="367">
        <v>50</v>
      </c>
      <c r="E4" s="367">
        <v>47</v>
      </c>
      <c r="F4" s="367">
        <v>45</v>
      </c>
      <c r="G4" s="367">
        <v>48</v>
      </c>
      <c r="H4" s="367">
        <v>53</v>
      </c>
      <c r="I4" s="367">
        <v>367</v>
      </c>
      <c r="J4" s="367">
        <v>59</v>
      </c>
      <c r="K4" s="367">
        <v>54</v>
      </c>
      <c r="L4" s="367">
        <v>63</v>
      </c>
      <c r="M4" s="367">
        <v>49</v>
      </c>
      <c r="N4" s="367">
        <v>43</v>
      </c>
      <c r="O4" s="367">
        <v>44</v>
      </c>
      <c r="P4" s="367">
        <v>42</v>
      </c>
      <c r="Q4" s="369">
        <v>354</v>
      </c>
      <c r="R4" s="371">
        <v>60</v>
      </c>
      <c r="S4" s="371">
        <v>54</v>
      </c>
      <c r="T4" s="371">
        <v>49</v>
      </c>
      <c r="U4" s="371">
        <v>60</v>
      </c>
      <c r="V4" s="371">
        <v>50</v>
      </c>
      <c r="W4" s="371">
        <v>40</v>
      </c>
      <c r="X4" s="371">
        <v>42</v>
      </c>
      <c r="Y4" s="372">
        <v>355</v>
      </c>
      <c r="Z4" s="371">
        <v>64</v>
      </c>
      <c r="AA4" s="371">
        <v>58</v>
      </c>
      <c r="AB4" s="371">
        <v>51</v>
      </c>
      <c r="AC4" s="371">
        <v>44</v>
      </c>
      <c r="AD4" s="371">
        <v>58</v>
      </c>
      <c r="AE4" s="371">
        <v>45</v>
      </c>
      <c r="AF4" s="371">
        <v>36</v>
      </c>
      <c r="AG4" s="372">
        <v>356</v>
      </c>
      <c r="AH4" s="369">
        <v>56</v>
      </c>
      <c r="AI4" s="369">
        <v>59</v>
      </c>
      <c r="AJ4" s="369">
        <v>54</v>
      </c>
      <c r="AK4" s="369">
        <v>48</v>
      </c>
      <c r="AL4" s="369">
        <v>37</v>
      </c>
      <c r="AM4" s="369">
        <v>58</v>
      </c>
      <c r="AN4" s="369">
        <v>45</v>
      </c>
      <c r="AO4" s="369">
        <v>357</v>
      </c>
      <c r="AP4" s="369">
        <v>60</v>
      </c>
      <c r="AQ4" s="369">
        <v>50</v>
      </c>
      <c r="AR4" s="369">
        <v>58</v>
      </c>
      <c r="AS4" s="369">
        <v>49</v>
      </c>
      <c r="AT4" s="369">
        <v>45</v>
      </c>
      <c r="AU4" s="369">
        <v>32</v>
      </c>
      <c r="AV4" s="369">
        <v>54</v>
      </c>
      <c r="AW4" s="369">
        <v>348</v>
      </c>
      <c r="AX4" s="369">
        <v>60</v>
      </c>
      <c r="AY4" s="369">
        <v>55</v>
      </c>
      <c r="AZ4" s="369">
        <v>55</v>
      </c>
      <c r="BA4" s="369">
        <v>55</v>
      </c>
      <c r="BB4" s="369">
        <v>50</v>
      </c>
      <c r="BC4" s="369">
        <v>50</v>
      </c>
      <c r="BD4" s="369">
        <v>33</v>
      </c>
      <c r="BE4" s="369">
        <v>358</v>
      </c>
    </row>
    <row r="5" spans="1:57">
      <c r="A5" s="178" t="s">
        <v>11</v>
      </c>
      <c r="B5" s="367">
        <v>60</v>
      </c>
      <c r="C5" s="367">
        <v>60</v>
      </c>
      <c r="D5" s="367">
        <v>59</v>
      </c>
      <c r="E5" s="367">
        <v>61</v>
      </c>
      <c r="F5" s="367">
        <v>66</v>
      </c>
      <c r="G5" s="367">
        <v>53</v>
      </c>
      <c r="H5" s="367">
        <v>58</v>
      </c>
      <c r="I5" s="367">
        <v>417</v>
      </c>
      <c r="J5" s="367">
        <v>80</v>
      </c>
      <c r="K5" s="367">
        <v>62</v>
      </c>
      <c r="L5" s="367">
        <v>59</v>
      </c>
      <c r="M5" s="367">
        <v>63</v>
      </c>
      <c r="N5" s="367">
        <v>63</v>
      </c>
      <c r="O5" s="367">
        <v>65</v>
      </c>
      <c r="P5" s="367">
        <v>56</v>
      </c>
      <c r="Q5" s="369">
        <v>448</v>
      </c>
      <c r="R5" s="371">
        <v>59</v>
      </c>
      <c r="S5" s="371">
        <v>83</v>
      </c>
      <c r="T5" s="371">
        <v>61</v>
      </c>
      <c r="U5" s="371">
        <v>59</v>
      </c>
      <c r="V5" s="371">
        <v>64</v>
      </c>
      <c r="W5" s="371">
        <v>62</v>
      </c>
      <c r="X5" s="371">
        <v>62</v>
      </c>
      <c r="Y5" s="372">
        <v>450</v>
      </c>
      <c r="Z5" s="371">
        <v>59</v>
      </c>
      <c r="AA5" s="371">
        <v>58</v>
      </c>
      <c r="AB5" s="371">
        <v>84</v>
      </c>
      <c r="AC5" s="371">
        <v>60</v>
      </c>
      <c r="AD5" s="371">
        <v>61</v>
      </c>
      <c r="AE5" s="371">
        <v>62</v>
      </c>
      <c r="AF5" s="371">
        <v>59</v>
      </c>
      <c r="AG5" s="372">
        <v>443</v>
      </c>
      <c r="AH5" s="369">
        <v>73</v>
      </c>
      <c r="AI5" s="369">
        <v>60</v>
      </c>
      <c r="AJ5" s="369">
        <v>55</v>
      </c>
      <c r="AK5" s="369">
        <v>85</v>
      </c>
      <c r="AL5" s="369">
        <v>60</v>
      </c>
      <c r="AM5" s="369">
        <v>55</v>
      </c>
      <c r="AN5" s="369">
        <v>59</v>
      </c>
      <c r="AO5" s="369">
        <v>447</v>
      </c>
      <c r="AP5" s="369">
        <v>69</v>
      </c>
      <c r="AQ5" s="369">
        <v>75</v>
      </c>
      <c r="AR5" s="369">
        <v>63</v>
      </c>
      <c r="AS5" s="369">
        <v>55</v>
      </c>
      <c r="AT5" s="369">
        <v>87</v>
      </c>
      <c r="AU5" s="369">
        <v>58</v>
      </c>
      <c r="AV5" s="369">
        <v>53</v>
      </c>
      <c r="AW5" s="369">
        <v>460</v>
      </c>
      <c r="AX5" s="369">
        <v>67</v>
      </c>
      <c r="AY5" s="369">
        <v>67</v>
      </c>
      <c r="AZ5" s="369">
        <v>75</v>
      </c>
      <c r="BA5" s="369">
        <v>58</v>
      </c>
      <c r="BB5" s="369">
        <v>49</v>
      </c>
      <c r="BC5" s="369">
        <v>80</v>
      </c>
      <c r="BD5" s="369">
        <v>57</v>
      </c>
      <c r="BE5" s="369">
        <v>453</v>
      </c>
    </row>
    <row r="6" spans="1:57">
      <c r="A6" s="178" t="s">
        <v>12</v>
      </c>
      <c r="B6" s="367">
        <v>58</v>
      </c>
      <c r="C6" s="367">
        <v>61</v>
      </c>
      <c r="D6" s="367">
        <v>63</v>
      </c>
      <c r="E6" s="367">
        <v>49</v>
      </c>
      <c r="F6" s="367">
        <v>57</v>
      </c>
      <c r="G6" s="367">
        <v>52</v>
      </c>
      <c r="H6" s="367">
        <v>53</v>
      </c>
      <c r="I6" s="367">
        <v>393</v>
      </c>
      <c r="J6" s="367">
        <v>59</v>
      </c>
      <c r="K6" s="367">
        <v>60</v>
      </c>
      <c r="L6" s="367">
        <v>60</v>
      </c>
      <c r="M6" s="367">
        <v>63</v>
      </c>
      <c r="N6" s="367">
        <v>48</v>
      </c>
      <c r="O6" s="367">
        <v>57</v>
      </c>
      <c r="P6" s="367">
        <v>48</v>
      </c>
      <c r="Q6" s="369">
        <v>395</v>
      </c>
      <c r="R6" s="371">
        <v>60</v>
      </c>
      <c r="S6" s="371">
        <v>60</v>
      </c>
      <c r="T6" s="371">
        <v>60</v>
      </c>
      <c r="U6" s="371">
        <v>62</v>
      </c>
      <c r="V6" s="371">
        <v>65</v>
      </c>
      <c r="W6" s="371">
        <v>43</v>
      </c>
      <c r="X6" s="371">
        <v>49</v>
      </c>
      <c r="Y6" s="372">
        <v>399</v>
      </c>
      <c r="Z6" s="371">
        <v>57</v>
      </c>
      <c r="AA6" s="371">
        <v>60</v>
      </c>
      <c r="AB6" s="371">
        <v>60</v>
      </c>
      <c r="AC6" s="371">
        <v>62</v>
      </c>
      <c r="AD6" s="371">
        <v>63</v>
      </c>
      <c r="AE6" s="371">
        <v>60</v>
      </c>
      <c r="AF6" s="371">
        <v>35</v>
      </c>
      <c r="AG6" s="372">
        <v>397</v>
      </c>
      <c r="AH6" s="369">
        <v>70</v>
      </c>
      <c r="AI6" s="369">
        <v>60</v>
      </c>
      <c r="AJ6" s="369">
        <v>60</v>
      </c>
      <c r="AK6" s="369">
        <v>63</v>
      </c>
      <c r="AL6" s="369">
        <v>64</v>
      </c>
      <c r="AM6" s="369">
        <v>58</v>
      </c>
      <c r="AN6" s="369">
        <v>49</v>
      </c>
      <c r="AO6" s="369">
        <v>424</v>
      </c>
      <c r="AP6" s="369">
        <v>66</v>
      </c>
      <c r="AQ6" s="369">
        <v>68</v>
      </c>
      <c r="AR6" s="369">
        <v>60</v>
      </c>
      <c r="AS6" s="369">
        <v>63</v>
      </c>
      <c r="AT6" s="369">
        <v>64</v>
      </c>
      <c r="AU6" s="369">
        <v>55</v>
      </c>
      <c r="AV6" s="369">
        <v>47</v>
      </c>
      <c r="AW6" s="369">
        <v>423</v>
      </c>
      <c r="AX6" s="369">
        <v>75</v>
      </c>
      <c r="AY6" s="369">
        <v>67</v>
      </c>
      <c r="AZ6" s="369">
        <v>65</v>
      </c>
      <c r="BA6" s="369">
        <v>60</v>
      </c>
      <c r="BB6" s="369">
        <v>62</v>
      </c>
      <c r="BC6" s="369">
        <v>61</v>
      </c>
      <c r="BD6" s="369">
        <v>51</v>
      </c>
      <c r="BE6" s="369">
        <v>441</v>
      </c>
    </row>
    <row r="7" spans="1:57">
      <c r="A7" s="178" t="s">
        <v>13</v>
      </c>
      <c r="B7" s="367">
        <v>28</v>
      </c>
      <c r="C7" s="367">
        <v>23</v>
      </c>
      <c r="D7" s="367">
        <v>29</v>
      </c>
      <c r="E7" s="367">
        <v>11</v>
      </c>
      <c r="F7" s="367">
        <v>23</v>
      </c>
      <c r="G7" s="367">
        <v>18</v>
      </c>
      <c r="H7" s="367">
        <v>19</v>
      </c>
      <c r="I7" s="367">
        <v>151</v>
      </c>
      <c r="J7" s="367">
        <v>34</v>
      </c>
      <c r="K7" s="367">
        <v>30</v>
      </c>
      <c r="L7" s="367">
        <v>23</v>
      </c>
      <c r="M7" s="367">
        <v>28</v>
      </c>
      <c r="N7" s="367">
        <v>12</v>
      </c>
      <c r="O7" s="367">
        <v>24</v>
      </c>
      <c r="P7" s="367">
        <v>17</v>
      </c>
      <c r="Q7" s="369">
        <v>168</v>
      </c>
      <c r="R7" s="371">
        <v>41</v>
      </c>
      <c r="S7" s="371">
        <v>30</v>
      </c>
      <c r="T7" s="371">
        <v>30</v>
      </c>
      <c r="U7" s="371">
        <v>23</v>
      </c>
      <c r="V7" s="371">
        <v>26</v>
      </c>
      <c r="W7" s="371">
        <v>14</v>
      </c>
      <c r="X7" s="371">
        <v>23</v>
      </c>
      <c r="Y7" s="372">
        <v>187</v>
      </c>
      <c r="Z7" s="371">
        <v>40</v>
      </c>
      <c r="AA7" s="371">
        <v>39</v>
      </c>
      <c r="AB7" s="371">
        <v>32</v>
      </c>
      <c r="AC7" s="371">
        <v>28</v>
      </c>
      <c r="AD7" s="371">
        <v>28</v>
      </c>
      <c r="AE7" s="371">
        <v>27</v>
      </c>
      <c r="AF7" s="371">
        <v>12</v>
      </c>
      <c r="AG7" s="372">
        <v>206</v>
      </c>
      <c r="AH7" s="369">
        <v>30</v>
      </c>
      <c r="AI7" s="369">
        <v>40</v>
      </c>
      <c r="AJ7" s="369">
        <v>38</v>
      </c>
      <c r="AK7" s="369">
        <v>34</v>
      </c>
      <c r="AL7" s="369">
        <v>29</v>
      </c>
      <c r="AM7" s="369">
        <v>28</v>
      </c>
      <c r="AN7" s="369">
        <v>25</v>
      </c>
      <c r="AO7" s="369">
        <v>224</v>
      </c>
      <c r="AP7" s="369">
        <v>26</v>
      </c>
      <c r="AQ7" s="369">
        <v>25</v>
      </c>
      <c r="AR7" s="369">
        <v>37</v>
      </c>
      <c r="AS7" s="369">
        <v>41</v>
      </c>
      <c r="AT7" s="369">
        <v>31</v>
      </c>
      <c r="AU7" s="369">
        <v>29</v>
      </c>
      <c r="AV7" s="369">
        <v>26</v>
      </c>
      <c r="AW7" s="369">
        <v>215</v>
      </c>
      <c r="AX7" s="369">
        <v>27</v>
      </c>
      <c r="AY7" s="369">
        <v>27</v>
      </c>
      <c r="AZ7" s="369">
        <v>25</v>
      </c>
      <c r="BA7" s="369">
        <v>37</v>
      </c>
      <c r="BB7" s="369">
        <v>41</v>
      </c>
      <c r="BC7" s="369">
        <v>31</v>
      </c>
      <c r="BD7" s="369">
        <v>27</v>
      </c>
      <c r="BE7" s="369">
        <v>215</v>
      </c>
    </row>
    <row r="8" spans="1:57">
      <c r="A8" s="178" t="s">
        <v>14</v>
      </c>
      <c r="B8" s="367">
        <v>59</v>
      </c>
      <c r="C8" s="367">
        <v>60</v>
      </c>
      <c r="D8" s="367">
        <v>42</v>
      </c>
      <c r="E8" s="367">
        <v>58</v>
      </c>
      <c r="F8" s="367">
        <v>47</v>
      </c>
      <c r="G8" s="367">
        <v>50</v>
      </c>
      <c r="H8" s="367">
        <v>30</v>
      </c>
      <c r="I8" s="367">
        <v>346</v>
      </c>
      <c r="J8" s="367">
        <v>69</v>
      </c>
      <c r="K8" s="367">
        <v>60</v>
      </c>
      <c r="L8" s="367">
        <v>66</v>
      </c>
      <c r="M8" s="367">
        <v>39</v>
      </c>
      <c r="N8" s="367">
        <v>54</v>
      </c>
      <c r="O8" s="367">
        <v>45</v>
      </c>
      <c r="P8" s="367">
        <v>51</v>
      </c>
      <c r="Q8" s="369">
        <v>384</v>
      </c>
      <c r="R8" s="371">
        <v>65</v>
      </c>
      <c r="S8" s="371">
        <v>64</v>
      </c>
      <c r="T8" s="371">
        <v>55</v>
      </c>
      <c r="U8" s="371">
        <v>58</v>
      </c>
      <c r="V8" s="371">
        <v>37</v>
      </c>
      <c r="W8" s="371">
        <v>45</v>
      </c>
      <c r="X8" s="371">
        <v>37</v>
      </c>
      <c r="Y8" s="372">
        <v>361</v>
      </c>
      <c r="Z8" s="371">
        <v>49</v>
      </c>
      <c r="AA8" s="371">
        <v>60</v>
      </c>
      <c r="AB8" s="371">
        <v>61</v>
      </c>
      <c r="AC8" s="371">
        <v>50</v>
      </c>
      <c r="AD8" s="371">
        <v>53</v>
      </c>
      <c r="AE8" s="371">
        <v>37</v>
      </c>
      <c r="AF8" s="371">
        <v>45</v>
      </c>
      <c r="AG8" s="372">
        <v>355</v>
      </c>
      <c r="AH8" s="369">
        <v>58</v>
      </c>
      <c r="AI8" s="369">
        <v>50</v>
      </c>
      <c r="AJ8" s="369">
        <v>63</v>
      </c>
      <c r="AK8" s="369">
        <v>59</v>
      </c>
      <c r="AL8" s="369">
        <v>52</v>
      </c>
      <c r="AM8" s="369">
        <v>50</v>
      </c>
      <c r="AN8" s="369">
        <v>37</v>
      </c>
      <c r="AO8" s="369">
        <v>369</v>
      </c>
      <c r="AP8" s="369">
        <v>63</v>
      </c>
      <c r="AQ8" s="369">
        <v>52</v>
      </c>
      <c r="AR8" s="369">
        <v>50</v>
      </c>
      <c r="AS8" s="369">
        <v>60</v>
      </c>
      <c r="AT8" s="369">
        <v>66</v>
      </c>
      <c r="AU8" s="369">
        <v>55</v>
      </c>
      <c r="AV8" s="369">
        <v>46</v>
      </c>
      <c r="AW8" s="369">
        <v>392</v>
      </c>
      <c r="AX8" s="369">
        <v>57</v>
      </c>
      <c r="AY8" s="369">
        <v>57</v>
      </c>
      <c r="AZ8" s="369">
        <v>49</v>
      </c>
      <c r="BA8" s="369">
        <v>52</v>
      </c>
      <c r="BB8" s="369">
        <v>62</v>
      </c>
      <c r="BC8" s="369">
        <v>65</v>
      </c>
      <c r="BD8" s="369">
        <v>50</v>
      </c>
      <c r="BE8" s="369">
        <v>392</v>
      </c>
    </row>
    <row r="9" spans="1:57">
      <c r="A9" s="178" t="s">
        <v>15</v>
      </c>
      <c r="B9" s="367">
        <v>33</v>
      </c>
      <c r="C9" s="367">
        <v>20</v>
      </c>
      <c r="D9" s="367">
        <v>17</v>
      </c>
      <c r="E9" s="367">
        <v>31</v>
      </c>
      <c r="F9" s="367">
        <v>19</v>
      </c>
      <c r="G9" s="367">
        <v>23</v>
      </c>
      <c r="H9" s="367">
        <v>29</v>
      </c>
      <c r="I9" s="367">
        <v>172</v>
      </c>
      <c r="J9" s="367">
        <v>38</v>
      </c>
      <c r="K9" s="367">
        <v>31</v>
      </c>
      <c r="L9" s="367">
        <v>23</v>
      </c>
      <c r="M9" s="367">
        <v>18</v>
      </c>
      <c r="N9" s="367">
        <v>26</v>
      </c>
      <c r="O9" s="367">
        <v>25</v>
      </c>
      <c r="P9" s="367">
        <v>25</v>
      </c>
      <c r="Q9" s="369">
        <v>186</v>
      </c>
      <c r="R9" s="371">
        <v>31</v>
      </c>
      <c r="S9" s="371">
        <v>33</v>
      </c>
      <c r="T9" s="371">
        <v>33</v>
      </c>
      <c r="U9" s="371">
        <v>23</v>
      </c>
      <c r="V9" s="371">
        <v>16</v>
      </c>
      <c r="W9" s="371">
        <v>22</v>
      </c>
      <c r="X9" s="371">
        <v>19</v>
      </c>
      <c r="Y9" s="372">
        <v>177</v>
      </c>
      <c r="Z9" s="371">
        <v>24</v>
      </c>
      <c r="AA9" s="371">
        <v>32</v>
      </c>
      <c r="AB9" s="371">
        <v>31</v>
      </c>
      <c r="AC9" s="371">
        <v>28</v>
      </c>
      <c r="AD9" s="371">
        <v>21</v>
      </c>
      <c r="AE9" s="371">
        <v>16</v>
      </c>
      <c r="AF9" s="371">
        <v>23</v>
      </c>
      <c r="AG9" s="372">
        <v>175</v>
      </c>
      <c r="AH9" s="369">
        <v>37</v>
      </c>
      <c r="AI9" s="369">
        <v>25</v>
      </c>
      <c r="AJ9" s="369">
        <v>32</v>
      </c>
      <c r="AK9" s="369">
        <v>32</v>
      </c>
      <c r="AL9" s="369">
        <v>33</v>
      </c>
      <c r="AM9" s="369">
        <v>22</v>
      </c>
      <c r="AN9" s="369">
        <v>17</v>
      </c>
      <c r="AO9" s="369">
        <v>198</v>
      </c>
      <c r="AP9" s="369">
        <v>38</v>
      </c>
      <c r="AQ9" s="369">
        <v>37</v>
      </c>
      <c r="AR9" s="369">
        <v>25</v>
      </c>
      <c r="AS9" s="369">
        <v>31</v>
      </c>
      <c r="AT9" s="369">
        <v>32</v>
      </c>
      <c r="AU9" s="369">
        <v>30</v>
      </c>
      <c r="AV9" s="369">
        <v>21</v>
      </c>
      <c r="AW9" s="369">
        <v>214</v>
      </c>
      <c r="AX9" s="369">
        <v>24</v>
      </c>
      <c r="AY9" s="369">
        <v>37</v>
      </c>
      <c r="AZ9" s="369">
        <v>33</v>
      </c>
      <c r="BA9" s="369">
        <v>25</v>
      </c>
      <c r="BB9" s="369">
        <v>31</v>
      </c>
      <c r="BC9" s="369">
        <v>31</v>
      </c>
      <c r="BD9" s="369">
        <v>33</v>
      </c>
      <c r="BE9" s="369">
        <v>214</v>
      </c>
    </row>
    <row r="10" spans="1:57">
      <c r="A10" s="178" t="s">
        <v>16</v>
      </c>
      <c r="B10" s="367">
        <v>91</v>
      </c>
      <c r="C10" s="367">
        <v>86</v>
      </c>
      <c r="D10" s="367">
        <v>59</v>
      </c>
      <c r="E10" s="367">
        <v>65</v>
      </c>
      <c r="F10" s="367">
        <v>77</v>
      </c>
      <c r="G10" s="367">
        <v>52</v>
      </c>
      <c r="H10" s="367">
        <v>59</v>
      </c>
      <c r="I10" s="367">
        <v>489</v>
      </c>
      <c r="J10" s="367">
        <v>74</v>
      </c>
      <c r="K10" s="367">
        <v>90</v>
      </c>
      <c r="L10" s="367">
        <v>90</v>
      </c>
      <c r="M10" s="367">
        <v>62</v>
      </c>
      <c r="N10" s="367">
        <v>73</v>
      </c>
      <c r="O10" s="367">
        <v>78</v>
      </c>
      <c r="P10" s="367">
        <v>55</v>
      </c>
      <c r="Q10" s="369">
        <v>522</v>
      </c>
      <c r="R10" s="371">
        <v>83</v>
      </c>
      <c r="S10" s="371">
        <v>76</v>
      </c>
      <c r="T10" s="371">
        <v>90</v>
      </c>
      <c r="U10" s="371">
        <v>95</v>
      </c>
      <c r="V10" s="371">
        <v>66</v>
      </c>
      <c r="W10" s="371">
        <v>72</v>
      </c>
      <c r="X10" s="371">
        <v>79</v>
      </c>
      <c r="Y10" s="372">
        <v>561</v>
      </c>
      <c r="Z10" s="371">
        <v>71</v>
      </c>
      <c r="AA10" s="371">
        <v>82</v>
      </c>
      <c r="AB10" s="371">
        <v>74</v>
      </c>
      <c r="AC10" s="371">
        <v>93</v>
      </c>
      <c r="AD10" s="371">
        <v>98</v>
      </c>
      <c r="AE10" s="371">
        <v>66</v>
      </c>
      <c r="AF10" s="371">
        <v>70</v>
      </c>
      <c r="AG10" s="372">
        <v>554</v>
      </c>
      <c r="AH10" s="369">
        <v>84</v>
      </c>
      <c r="AI10" s="369">
        <v>74</v>
      </c>
      <c r="AJ10" s="369">
        <v>90</v>
      </c>
      <c r="AK10" s="369">
        <v>83</v>
      </c>
      <c r="AL10" s="369">
        <v>94</v>
      </c>
      <c r="AM10" s="369">
        <v>99</v>
      </c>
      <c r="AN10" s="369">
        <v>65</v>
      </c>
      <c r="AO10" s="369">
        <v>589</v>
      </c>
      <c r="AP10" s="369">
        <v>85</v>
      </c>
      <c r="AQ10" s="369">
        <v>83</v>
      </c>
      <c r="AR10" s="369">
        <v>80</v>
      </c>
      <c r="AS10" s="369">
        <v>95</v>
      </c>
      <c r="AT10" s="369">
        <v>86</v>
      </c>
      <c r="AU10" s="369">
        <v>97</v>
      </c>
      <c r="AV10" s="369">
        <v>96</v>
      </c>
      <c r="AW10" s="369">
        <v>622</v>
      </c>
      <c r="AX10" s="369">
        <v>72</v>
      </c>
      <c r="AY10" s="369">
        <v>77</v>
      </c>
      <c r="AZ10" s="369">
        <v>83</v>
      </c>
      <c r="BA10" s="369">
        <v>87</v>
      </c>
      <c r="BB10" s="369">
        <v>97</v>
      </c>
      <c r="BC10" s="369">
        <v>90</v>
      </c>
      <c r="BD10" s="369">
        <v>99</v>
      </c>
      <c r="BE10" s="369">
        <v>605</v>
      </c>
    </row>
    <row r="11" spans="1:57">
      <c r="A11" s="178" t="s">
        <v>17</v>
      </c>
      <c r="B11" s="367">
        <v>65</v>
      </c>
      <c r="C11" s="367">
        <v>49</v>
      </c>
      <c r="D11" s="367">
        <v>66</v>
      </c>
      <c r="E11" s="367">
        <v>52</v>
      </c>
      <c r="F11" s="367">
        <v>57</v>
      </c>
      <c r="G11" s="367">
        <v>51</v>
      </c>
      <c r="H11" s="367">
        <v>56</v>
      </c>
      <c r="I11" s="367">
        <v>396</v>
      </c>
      <c r="J11" s="367">
        <v>51</v>
      </c>
      <c r="K11" s="367">
        <v>66</v>
      </c>
      <c r="L11" s="367">
        <v>49</v>
      </c>
      <c r="M11" s="367">
        <v>66</v>
      </c>
      <c r="N11" s="367">
        <v>48</v>
      </c>
      <c r="O11" s="367">
        <v>55</v>
      </c>
      <c r="P11" s="367">
        <v>49</v>
      </c>
      <c r="Q11" s="369">
        <v>384</v>
      </c>
      <c r="R11" s="371">
        <v>49</v>
      </c>
      <c r="S11" s="371">
        <v>57</v>
      </c>
      <c r="T11" s="371">
        <v>70</v>
      </c>
      <c r="U11" s="371">
        <v>52</v>
      </c>
      <c r="V11" s="371">
        <v>73</v>
      </c>
      <c r="W11" s="371">
        <v>51</v>
      </c>
      <c r="X11" s="371">
        <v>57</v>
      </c>
      <c r="Y11" s="372">
        <v>409</v>
      </c>
      <c r="Z11" s="371">
        <v>66</v>
      </c>
      <c r="AA11" s="371">
        <v>53</v>
      </c>
      <c r="AB11" s="371">
        <v>60</v>
      </c>
      <c r="AC11" s="371">
        <v>71</v>
      </c>
      <c r="AD11" s="371">
        <v>53</v>
      </c>
      <c r="AE11" s="371">
        <v>70</v>
      </c>
      <c r="AF11" s="371">
        <v>48</v>
      </c>
      <c r="AG11" s="372">
        <v>421</v>
      </c>
      <c r="AH11" s="369">
        <v>56</v>
      </c>
      <c r="AI11" s="369">
        <v>71</v>
      </c>
      <c r="AJ11" s="369">
        <v>57</v>
      </c>
      <c r="AK11" s="369">
        <v>60</v>
      </c>
      <c r="AL11" s="369">
        <v>69</v>
      </c>
      <c r="AM11" s="369">
        <v>56</v>
      </c>
      <c r="AN11" s="369">
        <v>71</v>
      </c>
      <c r="AO11" s="369">
        <v>440</v>
      </c>
      <c r="AP11" s="369">
        <v>53</v>
      </c>
      <c r="AQ11" s="369">
        <v>60</v>
      </c>
      <c r="AR11" s="369">
        <v>78</v>
      </c>
      <c r="AS11" s="369">
        <v>58</v>
      </c>
      <c r="AT11" s="369">
        <v>62</v>
      </c>
      <c r="AU11" s="369">
        <v>73</v>
      </c>
      <c r="AV11" s="369">
        <v>54</v>
      </c>
      <c r="AW11" s="369">
        <v>438</v>
      </c>
      <c r="AX11" s="369">
        <v>63</v>
      </c>
      <c r="AY11" s="369">
        <v>54</v>
      </c>
      <c r="AZ11" s="369">
        <v>57</v>
      </c>
      <c r="BA11" s="369">
        <v>79</v>
      </c>
      <c r="BB11" s="369">
        <v>51</v>
      </c>
      <c r="BC11" s="369">
        <v>58</v>
      </c>
      <c r="BD11" s="369">
        <v>67</v>
      </c>
      <c r="BE11" s="369">
        <v>429</v>
      </c>
    </row>
    <row r="12" spans="1:57">
      <c r="A12" s="366" t="s">
        <v>396</v>
      </c>
      <c r="B12" s="367"/>
      <c r="C12" s="367"/>
      <c r="D12" s="367"/>
      <c r="E12" s="367"/>
      <c r="F12" s="367"/>
      <c r="G12" s="367"/>
      <c r="H12" s="367"/>
      <c r="I12" s="367"/>
      <c r="J12" s="367">
        <v>57</v>
      </c>
      <c r="K12" s="367">
        <v>36</v>
      </c>
      <c r="L12" s="367">
        <v>26</v>
      </c>
      <c r="M12" s="367">
        <v>31</v>
      </c>
      <c r="N12" s="367">
        <v>24</v>
      </c>
      <c r="O12" s="367">
        <v>21</v>
      </c>
      <c r="P12" s="367">
        <v>18</v>
      </c>
      <c r="Q12" s="369">
        <v>213</v>
      </c>
      <c r="R12" s="371">
        <v>63</v>
      </c>
      <c r="S12" s="371">
        <v>58</v>
      </c>
      <c r="T12" s="371">
        <v>34</v>
      </c>
      <c r="U12" s="371">
        <v>25</v>
      </c>
      <c r="V12" s="371">
        <v>28</v>
      </c>
      <c r="W12" s="371">
        <v>25</v>
      </c>
      <c r="X12" s="371">
        <v>20</v>
      </c>
      <c r="Y12" s="372">
        <v>253</v>
      </c>
      <c r="Z12" s="371">
        <v>57</v>
      </c>
      <c r="AA12" s="371">
        <v>63</v>
      </c>
      <c r="AB12" s="371">
        <v>56</v>
      </c>
      <c r="AC12" s="371">
        <v>33</v>
      </c>
      <c r="AD12" s="371">
        <v>25</v>
      </c>
      <c r="AE12" s="371">
        <v>29</v>
      </c>
      <c r="AF12" s="371">
        <v>24</v>
      </c>
      <c r="AG12" s="372">
        <v>287</v>
      </c>
      <c r="AH12" s="369">
        <v>58</v>
      </c>
      <c r="AI12" s="369">
        <v>54</v>
      </c>
      <c r="AJ12" s="369">
        <v>61</v>
      </c>
      <c r="AK12" s="369">
        <v>54</v>
      </c>
      <c r="AL12" s="369">
        <v>31</v>
      </c>
      <c r="AM12" s="369">
        <v>25</v>
      </c>
      <c r="AN12" s="369">
        <v>28</v>
      </c>
      <c r="AO12" s="369">
        <v>311</v>
      </c>
      <c r="AP12" s="369">
        <v>77</v>
      </c>
      <c r="AQ12" s="369">
        <v>57</v>
      </c>
      <c r="AR12" s="369">
        <v>50</v>
      </c>
      <c r="AS12" s="369">
        <v>61</v>
      </c>
      <c r="AT12" s="369">
        <v>48</v>
      </c>
      <c r="AU12" s="369">
        <v>31</v>
      </c>
      <c r="AV12" s="369">
        <v>24</v>
      </c>
      <c r="AW12" s="369">
        <v>348</v>
      </c>
      <c r="AX12" s="369">
        <v>63</v>
      </c>
      <c r="AY12" s="369">
        <v>76</v>
      </c>
      <c r="AZ12" s="369">
        <v>55</v>
      </c>
      <c r="BA12" s="369">
        <v>49</v>
      </c>
      <c r="BB12" s="369">
        <v>61</v>
      </c>
      <c r="BC12" s="369">
        <v>45</v>
      </c>
      <c r="BD12" s="369">
        <v>27</v>
      </c>
      <c r="BE12" s="369">
        <v>376</v>
      </c>
    </row>
    <row r="13" spans="1:57">
      <c r="A13" s="178" t="s">
        <v>74</v>
      </c>
      <c r="B13" s="367">
        <v>46</v>
      </c>
      <c r="C13" s="367">
        <v>42</v>
      </c>
      <c r="D13" s="367">
        <v>36</v>
      </c>
      <c r="E13" s="367">
        <v>20</v>
      </c>
      <c r="F13" s="367">
        <v>32</v>
      </c>
      <c r="G13" s="367">
        <v>26</v>
      </c>
      <c r="H13" s="367">
        <v>25</v>
      </c>
      <c r="I13" s="367">
        <v>227</v>
      </c>
      <c r="J13" s="367">
        <v>58</v>
      </c>
      <c r="K13" s="367">
        <v>52</v>
      </c>
      <c r="L13" s="367">
        <v>43</v>
      </c>
      <c r="M13" s="367">
        <v>37</v>
      </c>
      <c r="N13" s="367">
        <v>20</v>
      </c>
      <c r="O13" s="367">
        <v>31</v>
      </c>
      <c r="P13" s="367">
        <v>29</v>
      </c>
      <c r="Q13" s="369">
        <v>270</v>
      </c>
      <c r="R13" s="371">
        <v>53</v>
      </c>
      <c r="S13" s="371">
        <v>63</v>
      </c>
      <c r="T13" s="371">
        <v>48</v>
      </c>
      <c r="U13" s="371">
        <v>48</v>
      </c>
      <c r="V13" s="371">
        <v>37</v>
      </c>
      <c r="W13" s="371">
        <v>20</v>
      </c>
      <c r="X13" s="371">
        <v>29</v>
      </c>
      <c r="Y13" s="372">
        <v>298</v>
      </c>
      <c r="Z13" s="371">
        <v>46</v>
      </c>
      <c r="AA13" s="371">
        <v>55</v>
      </c>
      <c r="AB13" s="371">
        <v>66</v>
      </c>
      <c r="AC13" s="371">
        <v>48</v>
      </c>
      <c r="AD13" s="371">
        <v>46</v>
      </c>
      <c r="AE13" s="371">
        <v>33</v>
      </c>
      <c r="AF13" s="371">
        <v>24</v>
      </c>
      <c r="AG13" s="372">
        <v>318</v>
      </c>
      <c r="AH13" s="369">
        <v>49</v>
      </c>
      <c r="AI13" s="369">
        <v>46</v>
      </c>
      <c r="AJ13" s="369">
        <v>60</v>
      </c>
      <c r="AK13" s="369">
        <v>63</v>
      </c>
      <c r="AL13" s="369">
        <v>44</v>
      </c>
      <c r="AM13" s="369">
        <v>49</v>
      </c>
      <c r="AN13" s="369">
        <v>36</v>
      </c>
      <c r="AO13" s="369">
        <v>347</v>
      </c>
      <c r="AP13" s="369">
        <v>55</v>
      </c>
      <c r="AQ13" s="369">
        <v>50</v>
      </c>
      <c r="AR13" s="369">
        <v>43</v>
      </c>
      <c r="AS13" s="369">
        <v>61</v>
      </c>
      <c r="AT13" s="369">
        <v>59</v>
      </c>
      <c r="AU13" s="369">
        <v>41</v>
      </c>
      <c r="AV13" s="369">
        <v>48</v>
      </c>
      <c r="AW13" s="369">
        <v>357</v>
      </c>
      <c r="AX13" s="369">
        <v>43</v>
      </c>
      <c r="AY13" s="369">
        <v>58</v>
      </c>
      <c r="AZ13" s="369">
        <v>47</v>
      </c>
      <c r="BA13" s="369">
        <v>44</v>
      </c>
      <c r="BB13" s="369">
        <v>60</v>
      </c>
      <c r="BC13" s="369">
        <v>57</v>
      </c>
      <c r="BD13" s="369">
        <v>43</v>
      </c>
      <c r="BE13" s="369">
        <v>352</v>
      </c>
    </row>
    <row r="14" spans="1:57">
      <c r="A14" s="178" t="s">
        <v>18</v>
      </c>
      <c r="B14" s="367">
        <v>55</v>
      </c>
      <c r="C14" s="367">
        <v>59</v>
      </c>
      <c r="D14" s="367">
        <v>50</v>
      </c>
      <c r="E14" s="367">
        <v>54</v>
      </c>
      <c r="F14" s="367">
        <v>59</v>
      </c>
      <c r="G14" s="367">
        <v>50</v>
      </c>
      <c r="H14" s="367">
        <v>43</v>
      </c>
      <c r="I14" s="367">
        <v>370</v>
      </c>
      <c r="J14" s="367">
        <v>73</v>
      </c>
      <c r="K14" s="367">
        <v>52</v>
      </c>
      <c r="L14" s="367">
        <v>60</v>
      </c>
      <c r="M14" s="367">
        <v>47</v>
      </c>
      <c r="N14" s="367">
        <v>55</v>
      </c>
      <c r="O14" s="367">
        <v>59</v>
      </c>
      <c r="P14" s="367">
        <v>48</v>
      </c>
      <c r="Q14" s="369">
        <v>394</v>
      </c>
      <c r="R14" s="371">
        <v>79</v>
      </c>
      <c r="S14" s="371">
        <v>66</v>
      </c>
      <c r="T14" s="371">
        <v>51</v>
      </c>
      <c r="U14" s="371">
        <v>57</v>
      </c>
      <c r="V14" s="371">
        <v>47</v>
      </c>
      <c r="W14" s="371">
        <v>52</v>
      </c>
      <c r="X14" s="371">
        <v>56</v>
      </c>
      <c r="Y14" s="372">
        <v>408</v>
      </c>
      <c r="Z14" s="371">
        <v>62</v>
      </c>
      <c r="AA14" s="371">
        <v>74</v>
      </c>
      <c r="AB14" s="371">
        <v>62</v>
      </c>
      <c r="AC14" s="371">
        <v>52</v>
      </c>
      <c r="AD14" s="371">
        <v>50</v>
      </c>
      <c r="AE14" s="371">
        <v>48</v>
      </c>
      <c r="AF14" s="371">
        <v>49</v>
      </c>
      <c r="AG14" s="372">
        <v>397</v>
      </c>
      <c r="AH14" s="369">
        <v>39</v>
      </c>
      <c r="AI14" s="369">
        <v>55</v>
      </c>
      <c r="AJ14" s="369">
        <v>70</v>
      </c>
      <c r="AK14" s="369">
        <v>53</v>
      </c>
      <c r="AL14" s="369">
        <v>52</v>
      </c>
      <c r="AM14" s="369">
        <v>45</v>
      </c>
      <c r="AN14" s="369">
        <v>47</v>
      </c>
      <c r="AO14" s="369">
        <v>361</v>
      </c>
      <c r="AP14" s="369">
        <v>64</v>
      </c>
      <c r="AQ14" s="369">
        <v>37</v>
      </c>
      <c r="AR14" s="369">
        <v>53</v>
      </c>
      <c r="AS14" s="369">
        <v>69</v>
      </c>
      <c r="AT14" s="369">
        <v>50</v>
      </c>
      <c r="AU14" s="369">
        <v>51</v>
      </c>
      <c r="AV14" s="369">
        <v>44</v>
      </c>
      <c r="AW14" s="369">
        <v>368</v>
      </c>
      <c r="AX14" s="369">
        <v>48</v>
      </c>
      <c r="AY14" s="369">
        <v>60</v>
      </c>
      <c r="AZ14" s="369">
        <v>37</v>
      </c>
      <c r="BA14" s="369">
        <v>51</v>
      </c>
      <c r="BB14" s="369">
        <v>69</v>
      </c>
      <c r="BC14" s="369">
        <v>47</v>
      </c>
      <c r="BD14" s="369">
        <v>51</v>
      </c>
      <c r="BE14" s="369">
        <v>363</v>
      </c>
    </row>
    <row r="15" spans="1:57">
      <c r="A15" s="178" t="s">
        <v>75</v>
      </c>
      <c r="B15" s="367">
        <v>38</v>
      </c>
      <c r="C15" s="367">
        <v>36</v>
      </c>
      <c r="D15" s="367">
        <v>28</v>
      </c>
      <c r="E15" s="367">
        <v>32</v>
      </c>
      <c r="F15" s="367">
        <v>24</v>
      </c>
      <c r="G15" s="367">
        <v>28</v>
      </c>
      <c r="H15" s="367">
        <v>18</v>
      </c>
      <c r="I15" s="367">
        <v>204</v>
      </c>
      <c r="J15" s="367">
        <v>40</v>
      </c>
      <c r="K15" s="367">
        <v>41</v>
      </c>
      <c r="L15" s="367">
        <v>35</v>
      </c>
      <c r="M15" s="367">
        <v>24</v>
      </c>
      <c r="N15" s="367">
        <v>32</v>
      </c>
      <c r="O15" s="367">
        <v>23</v>
      </c>
      <c r="P15" s="367">
        <v>29</v>
      </c>
      <c r="Q15" s="369">
        <v>224</v>
      </c>
      <c r="R15" s="371">
        <v>43</v>
      </c>
      <c r="S15" s="371">
        <v>37</v>
      </c>
      <c r="T15" s="371">
        <v>46</v>
      </c>
      <c r="U15" s="371">
        <v>33</v>
      </c>
      <c r="V15" s="371">
        <v>28</v>
      </c>
      <c r="W15" s="371">
        <v>33</v>
      </c>
      <c r="X15" s="371">
        <v>27</v>
      </c>
      <c r="Y15" s="372">
        <v>247</v>
      </c>
      <c r="Z15" s="371">
        <v>45</v>
      </c>
      <c r="AA15" s="371">
        <v>46</v>
      </c>
      <c r="AB15" s="371">
        <v>36</v>
      </c>
      <c r="AC15" s="371">
        <v>44</v>
      </c>
      <c r="AD15" s="371">
        <v>32</v>
      </c>
      <c r="AE15" s="371">
        <v>28</v>
      </c>
      <c r="AF15" s="371">
        <v>33</v>
      </c>
      <c r="AG15" s="372">
        <v>264</v>
      </c>
      <c r="AH15" s="369">
        <v>57</v>
      </c>
      <c r="AI15" s="369">
        <v>46</v>
      </c>
      <c r="AJ15" s="369">
        <v>40</v>
      </c>
      <c r="AK15" s="369">
        <v>37</v>
      </c>
      <c r="AL15" s="369">
        <v>47</v>
      </c>
      <c r="AM15" s="369">
        <v>34</v>
      </c>
      <c r="AN15" s="369">
        <v>28</v>
      </c>
      <c r="AO15" s="369">
        <v>289</v>
      </c>
      <c r="AP15" s="369">
        <v>49</v>
      </c>
      <c r="AQ15" s="369">
        <v>60</v>
      </c>
      <c r="AR15" s="369">
        <v>43</v>
      </c>
      <c r="AS15" s="369">
        <v>43</v>
      </c>
      <c r="AT15" s="369">
        <v>40</v>
      </c>
      <c r="AU15" s="369">
        <v>41</v>
      </c>
      <c r="AV15" s="369">
        <v>33</v>
      </c>
      <c r="AW15" s="369">
        <v>309</v>
      </c>
      <c r="AX15" s="369">
        <v>46</v>
      </c>
      <c r="AY15" s="369">
        <v>45</v>
      </c>
      <c r="AZ15" s="369">
        <v>59</v>
      </c>
      <c r="BA15" s="369">
        <v>41</v>
      </c>
      <c r="BB15" s="369">
        <v>40</v>
      </c>
      <c r="BC15" s="369">
        <v>40</v>
      </c>
      <c r="BD15" s="369">
        <v>38</v>
      </c>
      <c r="BE15" s="369">
        <v>309</v>
      </c>
    </row>
    <row r="16" spans="1:57">
      <c r="A16" s="178" t="s">
        <v>19</v>
      </c>
      <c r="B16" s="367">
        <v>55</v>
      </c>
      <c r="C16" s="367">
        <v>68</v>
      </c>
      <c r="D16" s="367">
        <v>39</v>
      </c>
      <c r="E16" s="367">
        <v>40</v>
      </c>
      <c r="F16" s="367">
        <v>34</v>
      </c>
      <c r="G16" s="367">
        <v>25</v>
      </c>
      <c r="H16" s="367">
        <v>45</v>
      </c>
      <c r="I16" s="367">
        <v>306</v>
      </c>
      <c r="J16" s="367">
        <v>58</v>
      </c>
      <c r="K16" s="367">
        <v>57</v>
      </c>
      <c r="L16" s="367">
        <v>65</v>
      </c>
      <c r="M16" s="367">
        <v>40</v>
      </c>
      <c r="N16" s="367">
        <v>38</v>
      </c>
      <c r="O16" s="367">
        <v>33</v>
      </c>
      <c r="P16" s="367">
        <v>24</v>
      </c>
      <c r="Q16" s="369">
        <v>315</v>
      </c>
      <c r="R16" s="371">
        <v>60</v>
      </c>
      <c r="S16" s="371">
        <v>59</v>
      </c>
      <c r="T16" s="371">
        <v>56</v>
      </c>
      <c r="U16" s="371">
        <v>64</v>
      </c>
      <c r="V16" s="371">
        <v>43</v>
      </c>
      <c r="W16" s="371">
        <v>37</v>
      </c>
      <c r="X16" s="371">
        <v>36</v>
      </c>
      <c r="Y16" s="372">
        <v>355</v>
      </c>
      <c r="Z16" s="371">
        <v>72</v>
      </c>
      <c r="AA16" s="371">
        <v>60</v>
      </c>
      <c r="AB16" s="371">
        <v>59</v>
      </c>
      <c r="AC16" s="371">
        <v>61</v>
      </c>
      <c r="AD16" s="371">
        <v>61</v>
      </c>
      <c r="AE16" s="371">
        <v>45</v>
      </c>
      <c r="AF16" s="371">
        <v>38</v>
      </c>
      <c r="AG16" s="372">
        <v>396</v>
      </c>
      <c r="AH16" s="369">
        <v>77</v>
      </c>
      <c r="AI16" s="369">
        <v>70</v>
      </c>
      <c r="AJ16" s="369">
        <v>59</v>
      </c>
      <c r="AK16" s="369">
        <v>59</v>
      </c>
      <c r="AL16" s="369">
        <v>59</v>
      </c>
      <c r="AM16" s="369">
        <v>61</v>
      </c>
      <c r="AN16" s="369">
        <v>44</v>
      </c>
      <c r="AO16" s="369">
        <v>429</v>
      </c>
      <c r="AP16" s="369">
        <v>66</v>
      </c>
      <c r="AQ16" s="369">
        <v>82</v>
      </c>
      <c r="AR16" s="369">
        <v>71</v>
      </c>
      <c r="AS16" s="369">
        <v>57</v>
      </c>
      <c r="AT16" s="369">
        <v>57</v>
      </c>
      <c r="AU16" s="369">
        <v>60</v>
      </c>
      <c r="AV16" s="369">
        <v>62</v>
      </c>
      <c r="AW16" s="369">
        <v>455</v>
      </c>
      <c r="AX16" s="369">
        <v>70</v>
      </c>
      <c r="AY16" s="369">
        <v>69</v>
      </c>
      <c r="AZ16" s="369">
        <v>81</v>
      </c>
      <c r="BA16" s="369">
        <v>68</v>
      </c>
      <c r="BB16" s="369">
        <v>56</v>
      </c>
      <c r="BC16" s="369">
        <v>57</v>
      </c>
      <c r="BD16" s="369">
        <v>60</v>
      </c>
      <c r="BE16" s="369">
        <v>461</v>
      </c>
    </row>
    <row r="17" spans="1:57">
      <c r="A17" s="178" t="s">
        <v>20</v>
      </c>
      <c r="B17" s="367">
        <v>28</v>
      </c>
      <c r="C17" s="367">
        <v>31</v>
      </c>
      <c r="D17" s="367">
        <v>20</v>
      </c>
      <c r="E17" s="367">
        <v>25</v>
      </c>
      <c r="F17" s="367">
        <v>29</v>
      </c>
      <c r="G17" s="367">
        <v>25</v>
      </c>
      <c r="H17" s="367">
        <v>19</v>
      </c>
      <c r="I17" s="367">
        <v>177</v>
      </c>
      <c r="J17" s="367">
        <v>29</v>
      </c>
      <c r="K17" s="367">
        <v>28</v>
      </c>
      <c r="L17" s="367">
        <v>30</v>
      </c>
      <c r="M17" s="367">
        <v>24</v>
      </c>
      <c r="N17" s="367">
        <v>24</v>
      </c>
      <c r="O17" s="367">
        <v>30</v>
      </c>
      <c r="P17" s="367">
        <v>25</v>
      </c>
      <c r="Q17" s="369">
        <v>190</v>
      </c>
      <c r="R17" s="371">
        <v>29</v>
      </c>
      <c r="S17" s="371">
        <v>32</v>
      </c>
      <c r="T17" s="371">
        <v>28</v>
      </c>
      <c r="U17" s="371">
        <v>31</v>
      </c>
      <c r="V17" s="371">
        <v>29</v>
      </c>
      <c r="W17" s="371">
        <v>26</v>
      </c>
      <c r="X17" s="371">
        <v>28</v>
      </c>
      <c r="Y17" s="372">
        <v>203</v>
      </c>
      <c r="Z17" s="371">
        <v>39</v>
      </c>
      <c r="AA17" s="371">
        <v>30</v>
      </c>
      <c r="AB17" s="371">
        <v>30</v>
      </c>
      <c r="AC17" s="371">
        <v>27</v>
      </c>
      <c r="AD17" s="371">
        <v>29</v>
      </c>
      <c r="AE17" s="371">
        <v>30</v>
      </c>
      <c r="AF17" s="371">
        <v>23</v>
      </c>
      <c r="AG17" s="372">
        <v>208</v>
      </c>
      <c r="AH17" s="369">
        <v>32</v>
      </c>
      <c r="AI17" s="369">
        <v>40</v>
      </c>
      <c r="AJ17" s="369">
        <v>33</v>
      </c>
      <c r="AK17" s="369">
        <v>29</v>
      </c>
      <c r="AL17" s="369">
        <v>30</v>
      </c>
      <c r="AM17" s="369">
        <v>29</v>
      </c>
      <c r="AN17" s="369">
        <v>29</v>
      </c>
      <c r="AO17" s="369">
        <v>222</v>
      </c>
      <c r="AP17" s="369">
        <v>35</v>
      </c>
      <c r="AQ17" s="369">
        <v>33</v>
      </c>
      <c r="AR17" s="369">
        <v>37</v>
      </c>
      <c r="AS17" s="369">
        <v>35</v>
      </c>
      <c r="AT17" s="369">
        <v>31</v>
      </c>
      <c r="AU17" s="369">
        <v>28</v>
      </c>
      <c r="AV17" s="369">
        <v>27</v>
      </c>
      <c r="AW17" s="369">
        <v>226</v>
      </c>
      <c r="AX17" s="369">
        <v>34</v>
      </c>
      <c r="AY17" s="369">
        <v>33</v>
      </c>
      <c r="AZ17" s="369">
        <v>31</v>
      </c>
      <c r="BA17" s="369">
        <v>37</v>
      </c>
      <c r="BB17" s="369">
        <v>38</v>
      </c>
      <c r="BC17" s="369">
        <v>30</v>
      </c>
      <c r="BD17" s="369">
        <v>29</v>
      </c>
      <c r="BE17" s="369">
        <v>232</v>
      </c>
    </row>
    <row r="18" spans="1:57">
      <c r="A18" s="178" t="s">
        <v>21</v>
      </c>
      <c r="B18" s="367">
        <v>31</v>
      </c>
      <c r="C18" s="367">
        <v>32</v>
      </c>
      <c r="D18" s="367">
        <v>26</v>
      </c>
      <c r="E18" s="367">
        <v>16</v>
      </c>
      <c r="F18" s="367">
        <v>17</v>
      </c>
      <c r="G18" s="367">
        <v>17</v>
      </c>
      <c r="H18" s="367">
        <v>16</v>
      </c>
      <c r="I18" s="367">
        <v>155</v>
      </c>
      <c r="J18" s="367">
        <v>27</v>
      </c>
      <c r="K18" s="367">
        <v>22</v>
      </c>
      <c r="L18" s="367">
        <v>33</v>
      </c>
      <c r="M18" s="367">
        <v>22</v>
      </c>
      <c r="N18" s="367">
        <v>17</v>
      </c>
      <c r="O18" s="367">
        <v>17</v>
      </c>
      <c r="P18" s="367">
        <v>14</v>
      </c>
      <c r="Q18" s="369">
        <v>152</v>
      </c>
      <c r="R18" s="371">
        <v>26</v>
      </c>
      <c r="S18" s="371">
        <v>25</v>
      </c>
      <c r="T18" s="371">
        <v>23</v>
      </c>
      <c r="U18" s="371">
        <v>20</v>
      </c>
      <c r="V18" s="371">
        <v>17</v>
      </c>
      <c r="W18" s="371">
        <v>15</v>
      </c>
      <c r="X18" s="371">
        <v>11</v>
      </c>
      <c r="Y18" s="372">
        <v>137</v>
      </c>
      <c r="Z18" s="371">
        <v>42</v>
      </c>
      <c r="AA18" s="371">
        <v>23</v>
      </c>
      <c r="AB18" s="371">
        <v>24</v>
      </c>
      <c r="AC18" s="371">
        <v>20</v>
      </c>
      <c r="AD18" s="371">
        <v>23</v>
      </c>
      <c r="AE18" s="371">
        <v>14</v>
      </c>
      <c r="AF18" s="371">
        <v>12</v>
      </c>
      <c r="AG18" s="372">
        <v>158</v>
      </c>
      <c r="AH18" s="369">
        <v>28</v>
      </c>
      <c r="AI18" s="369">
        <v>33</v>
      </c>
      <c r="AJ18" s="369">
        <v>22</v>
      </c>
      <c r="AK18" s="369">
        <v>16</v>
      </c>
      <c r="AL18" s="369">
        <v>18</v>
      </c>
      <c r="AM18" s="369">
        <v>21</v>
      </c>
      <c r="AN18" s="369">
        <v>11</v>
      </c>
      <c r="AO18" s="369">
        <v>149</v>
      </c>
      <c r="AP18" s="369">
        <v>25</v>
      </c>
      <c r="AQ18" s="369">
        <v>24</v>
      </c>
      <c r="AR18" s="369">
        <v>31</v>
      </c>
      <c r="AS18" s="369">
        <v>18</v>
      </c>
      <c r="AT18" s="369">
        <v>15</v>
      </c>
      <c r="AU18" s="369">
        <v>22</v>
      </c>
      <c r="AV18" s="369">
        <v>18</v>
      </c>
      <c r="AW18" s="369">
        <v>153</v>
      </c>
      <c r="AX18" s="369">
        <v>23</v>
      </c>
      <c r="AY18" s="369">
        <v>32</v>
      </c>
      <c r="AZ18" s="369">
        <v>24</v>
      </c>
      <c r="BA18" s="369">
        <v>30</v>
      </c>
      <c r="BB18" s="369">
        <v>15</v>
      </c>
      <c r="BC18" s="369">
        <v>13</v>
      </c>
      <c r="BD18" s="369">
        <v>22</v>
      </c>
      <c r="BE18" s="369">
        <v>159</v>
      </c>
    </row>
    <row r="19" spans="1:57">
      <c r="A19" s="178" t="s">
        <v>22</v>
      </c>
      <c r="B19" s="367">
        <v>86</v>
      </c>
      <c r="C19" s="367">
        <v>69</v>
      </c>
      <c r="D19" s="367">
        <v>59</v>
      </c>
      <c r="E19" s="367">
        <v>63</v>
      </c>
      <c r="F19" s="367">
        <v>77</v>
      </c>
      <c r="G19" s="367">
        <v>55</v>
      </c>
      <c r="H19" s="367">
        <v>65</v>
      </c>
      <c r="I19" s="367">
        <v>474</v>
      </c>
      <c r="J19" s="367">
        <v>75</v>
      </c>
      <c r="K19" s="367">
        <v>85</v>
      </c>
      <c r="L19" s="367">
        <v>69</v>
      </c>
      <c r="M19" s="367">
        <v>58</v>
      </c>
      <c r="N19" s="367">
        <v>60</v>
      </c>
      <c r="O19" s="367">
        <v>71</v>
      </c>
      <c r="P19" s="367">
        <v>56</v>
      </c>
      <c r="Q19" s="369">
        <v>474</v>
      </c>
      <c r="R19" s="371">
        <v>70</v>
      </c>
      <c r="S19" s="371">
        <v>75</v>
      </c>
      <c r="T19" s="371">
        <v>87</v>
      </c>
      <c r="U19" s="371">
        <v>70</v>
      </c>
      <c r="V19" s="371">
        <v>58</v>
      </c>
      <c r="W19" s="371">
        <v>60</v>
      </c>
      <c r="X19" s="371">
        <v>74</v>
      </c>
      <c r="Y19" s="372">
        <v>494</v>
      </c>
      <c r="Z19" s="371">
        <v>87</v>
      </c>
      <c r="AA19" s="371">
        <v>70</v>
      </c>
      <c r="AB19" s="371">
        <v>74</v>
      </c>
      <c r="AC19" s="371">
        <v>87</v>
      </c>
      <c r="AD19" s="371">
        <v>74</v>
      </c>
      <c r="AE19" s="371">
        <v>62</v>
      </c>
      <c r="AF19" s="371">
        <v>62</v>
      </c>
      <c r="AG19" s="372">
        <v>516</v>
      </c>
      <c r="AH19" s="369">
        <v>84</v>
      </c>
      <c r="AI19" s="369">
        <v>90</v>
      </c>
      <c r="AJ19" s="369">
        <v>70</v>
      </c>
      <c r="AK19" s="369">
        <v>80</v>
      </c>
      <c r="AL19" s="369">
        <v>95</v>
      </c>
      <c r="AM19" s="369">
        <v>71</v>
      </c>
      <c r="AN19" s="369">
        <v>64</v>
      </c>
      <c r="AO19" s="369">
        <v>554</v>
      </c>
      <c r="AP19" s="369">
        <v>68</v>
      </c>
      <c r="AQ19" s="369">
        <v>82</v>
      </c>
      <c r="AR19" s="369">
        <v>87</v>
      </c>
      <c r="AS19" s="369">
        <v>72</v>
      </c>
      <c r="AT19" s="369">
        <v>80</v>
      </c>
      <c r="AU19" s="369">
        <v>95</v>
      </c>
      <c r="AV19" s="369">
        <v>67</v>
      </c>
      <c r="AW19" s="369">
        <v>551</v>
      </c>
      <c r="AX19" s="369">
        <v>87</v>
      </c>
      <c r="AY19" s="369">
        <v>69</v>
      </c>
      <c r="AZ19" s="369">
        <v>80</v>
      </c>
      <c r="BA19" s="369">
        <v>88</v>
      </c>
      <c r="BB19" s="369">
        <v>72</v>
      </c>
      <c r="BC19" s="369">
        <v>76</v>
      </c>
      <c r="BD19" s="369">
        <v>90</v>
      </c>
      <c r="BE19" s="369">
        <v>562</v>
      </c>
    </row>
    <row r="20" spans="1:57">
      <c r="A20" s="178" t="s">
        <v>23</v>
      </c>
      <c r="B20" s="367">
        <v>46</v>
      </c>
      <c r="C20" s="367">
        <v>20</v>
      </c>
      <c r="D20" s="367">
        <v>29</v>
      </c>
      <c r="E20" s="367">
        <v>21</v>
      </c>
      <c r="F20" s="367">
        <v>15</v>
      </c>
      <c r="G20" s="367">
        <v>24</v>
      </c>
      <c r="H20" s="367">
        <v>20</v>
      </c>
      <c r="I20" s="367">
        <v>175</v>
      </c>
      <c r="J20" s="367">
        <v>43</v>
      </c>
      <c r="K20" s="367">
        <v>39</v>
      </c>
      <c r="L20" s="367">
        <v>20</v>
      </c>
      <c r="M20" s="367">
        <v>30</v>
      </c>
      <c r="N20" s="367">
        <v>18</v>
      </c>
      <c r="O20" s="367">
        <v>15</v>
      </c>
      <c r="P20" s="367">
        <v>22</v>
      </c>
      <c r="Q20" s="369">
        <v>187</v>
      </c>
      <c r="R20" s="371">
        <v>33</v>
      </c>
      <c r="S20" s="371">
        <v>41</v>
      </c>
      <c r="T20" s="371">
        <v>37</v>
      </c>
      <c r="U20" s="371">
        <v>23</v>
      </c>
      <c r="V20" s="371">
        <v>34</v>
      </c>
      <c r="W20" s="371">
        <v>23</v>
      </c>
      <c r="X20" s="371">
        <v>13</v>
      </c>
      <c r="Y20" s="372">
        <v>204</v>
      </c>
      <c r="Z20" s="371">
        <v>37</v>
      </c>
      <c r="AA20" s="371">
        <v>33</v>
      </c>
      <c r="AB20" s="371">
        <v>41</v>
      </c>
      <c r="AC20" s="371">
        <v>36</v>
      </c>
      <c r="AD20" s="371">
        <v>22</v>
      </c>
      <c r="AE20" s="371">
        <v>29</v>
      </c>
      <c r="AF20" s="371">
        <v>20</v>
      </c>
      <c r="AG20" s="372">
        <v>218</v>
      </c>
      <c r="AH20" s="369">
        <v>45</v>
      </c>
      <c r="AI20" s="369">
        <v>42</v>
      </c>
      <c r="AJ20" s="369">
        <v>32</v>
      </c>
      <c r="AK20" s="369">
        <v>38</v>
      </c>
      <c r="AL20" s="369">
        <v>42</v>
      </c>
      <c r="AM20" s="369">
        <v>22</v>
      </c>
      <c r="AN20" s="369">
        <v>31</v>
      </c>
      <c r="AO20" s="369">
        <v>252</v>
      </c>
      <c r="AP20" s="369">
        <v>59</v>
      </c>
      <c r="AQ20" s="369">
        <v>39</v>
      </c>
      <c r="AR20" s="369">
        <v>40</v>
      </c>
      <c r="AS20" s="369">
        <v>27</v>
      </c>
      <c r="AT20" s="369">
        <v>39</v>
      </c>
      <c r="AU20" s="369">
        <v>43</v>
      </c>
      <c r="AV20" s="369">
        <v>21</v>
      </c>
      <c r="AW20" s="369">
        <v>268</v>
      </c>
      <c r="AX20" s="369">
        <v>43</v>
      </c>
      <c r="AY20" s="369">
        <v>48</v>
      </c>
      <c r="AZ20" s="369">
        <v>39</v>
      </c>
      <c r="BA20" s="369">
        <v>35</v>
      </c>
      <c r="BB20" s="369">
        <v>24</v>
      </c>
      <c r="BC20" s="369">
        <v>40</v>
      </c>
      <c r="BD20" s="369">
        <v>43</v>
      </c>
      <c r="BE20" s="369">
        <v>272</v>
      </c>
    </row>
    <row r="21" spans="1:57">
      <c r="A21" s="178" t="s">
        <v>24</v>
      </c>
      <c r="B21" s="367">
        <v>60</v>
      </c>
      <c r="C21" s="367">
        <v>60</v>
      </c>
      <c r="D21" s="367">
        <v>55</v>
      </c>
      <c r="E21" s="367">
        <v>50</v>
      </c>
      <c r="F21" s="367">
        <v>50</v>
      </c>
      <c r="G21" s="367">
        <v>49</v>
      </c>
      <c r="H21" s="367">
        <v>29</v>
      </c>
      <c r="I21" s="367">
        <v>353</v>
      </c>
      <c r="J21" s="367">
        <v>60</v>
      </c>
      <c r="K21" s="367">
        <v>61</v>
      </c>
      <c r="L21" s="367">
        <v>61</v>
      </c>
      <c r="M21" s="367">
        <v>56</v>
      </c>
      <c r="N21" s="367">
        <v>47</v>
      </c>
      <c r="O21" s="367">
        <v>49</v>
      </c>
      <c r="P21" s="367">
        <v>46</v>
      </c>
      <c r="Q21" s="369">
        <v>380</v>
      </c>
      <c r="R21" s="371">
        <v>60</v>
      </c>
      <c r="S21" s="371">
        <v>60</v>
      </c>
      <c r="T21" s="371">
        <v>58</v>
      </c>
      <c r="U21" s="371">
        <v>64</v>
      </c>
      <c r="V21" s="371">
        <v>55</v>
      </c>
      <c r="W21" s="371">
        <v>44</v>
      </c>
      <c r="X21" s="371">
        <v>47</v>
      </c>
      <c r="Y21" s="372">
        <v>388</v>
      </c>
      <c r="Z21" s="371">
        <v>48</v>
      </c>
      <c r="AA21" s="371">
        <v>60</v>
      </c>
      <c r="AB21" s="371">
        <v>60</v>
      </c>
      <c r="AC21" s="371">
        <v>58</v>
      </c>
      <c r="AD21" s="371">
        <v>61</v>
      </c>
      <c r="AE21" s="371">
        <v>54</v>
      </c>
      <c r="AF21" s="371">
        <v>43</v>
      </c>
      <c r="AG21" s="372">
        <v>384</v>
      </c>
      <c r="AH21" s="369">
        <v>77</v>
      </c>
      <c r="AI21" s="369">
        <v>47</v>
      </c>
      <c r="AJ21" s="369">
        <v>55</v>
      </c>
      <c r="AK21" s="369">
        <v>60</v>
      </c>
      <c r="AL21" s="369">
        <v>57</v>
      </c>
      <c r="AM21" s="369">
        <v>57</v>
      </c>
      <c r="AN21" s="369">
        <v>51</v>
      </c>
      <c r="AO21" s="369">
        <v>404</v>
      </c>
      <c r="AP21" s="369">
        <v>58</v>
      </c>
      <c r="AQ21" s="369">
        <v>74</v>
      </c>
      <c r="AR21" s="369">
        <v>49</v>
      </c>
      <c r="AS21" s="369">
        <v>54</v>
      </c>
      <c r="AT21" s="369">
        <v>64</v>
      </c>
      <c r="AU21" s="369">
        <v>58</v>
      </c>
      <c r="AV21" s="369">
        <v>59</v>
      </c>
      <c r="AW21" s="369">
        <v>416</v>
      </c>
      <c r="AX21" s="369">
        <v>48</v>
      </c>
      <c r="AY21" s="369">
        <v>59</v>
      </c>
      <c r="AZ21" s="369">
        <v>73</v>
      </c>
      <c r="BA21" s="369">
        <v>47</v>
      </c>
      <c r="BB21" s="369">
        <v>55</v>
      </c>
      <c r="BC21" s="369">
        <v>63</v>
      </c>
      <c r="BD21" s="369">
        <v>56</v>
      </c>
      <c r="BE21" s="369">
        <v>401</v>
      </c>
    </row>
    <row r="22" spans="1:57">
      <c r="A22" s="178" t="s">
        <v>82</v>
      </c>
      <c r="B22" s="367">
        <v>60</v>
      </c>
      <c r="C22" s="367">
        <v>74</v>
      </c>
      <c r="D22" s="367">
        <v>60</v>
      </c>
      <c r="E22" s="367">
        <v>42</v>
      </c>
      <c r="F22" s="367">
        <v>42</v>
      </c>
      <c r="G22" s="367">
        <v>34</v>
      </c>
      <c r="H22" s="367">
        <v>48</v>
      </c>
      <c r="I22" s="367">
        <v>360</v>
      </c>
      <c r="J22" s="367">
        <v>88</v>
      </c>
      <c r="K22" s="367">
        <v>60</v>
      </c>
      <c r="L22" s="367">
        <v>67</v>
      </c>
      <c r="M22" s="367">
        <v>56</v>
      </c>
      <c r="N22" s="367">
        <v>45</v>
      </c>
      <c r="O22" s="367">
        <v>40</v>
      </c>
      <c r="P22" s="367">
        <v>32</v>
      </c>
      <c r="Q22" s="369">
        <v>388</v>
      </c>
      <c r="R22" s="371">
        <v>69</v>
      </c>
      <c r="S22" s="371">
        <v>87</v>
      </c>
      <c r="T22" s="371">
        <v>59</v>
      </c>
      <c r="U22" s="371">
        <v>65</v>
      </c>
      <c r="V22" s="371">
        <v>60</v>
      </c>
      <c r="W22" s="371">
        <v>43</v>
      </c>
      <c r="X22" s="371">
        <v>39</v>
      </c>
      <c r="Y22" s="372">
        <v>422</v>
      </c>
      <c r="Z22" s="371">
        <v>77</v>
      </c>
      <c r="AA22" s="371">
        <v>65</v>
      </c>
      <c r="AB22" s="371">
        <v>88</v>
      </c>
      <c r="AC22" s="371">
        <v>65</v>
      </c>
      <c r="AD22" s="371">
        <v>60</v>
      </c>
      <c r="AE22" s="371">
        <v>62</v>
      </c>
      <c r="AF22" s="371">
        <v>46</v>
      </c>
      <c r="AG22" s="372">
        <v>463</v>
      </c>
      <c r="AH22" s="369">
        <v>67</v>
      </c>
      <c r="AI22" s="369">
        <v>71</v>
      </c>
      <c r="AJ22" s="369">
        <v>65</v>
      </c>
      <c r="AK22" s="369">
        <v>86</v>
      </c>
      <c r="AL22" s="369">
        <v>62</v>
      </c>
      <c r="AM22" s="369">
        <v>61</v>
      </c>
      <c r="AN22" s="369">
        <v>59</v>
      </c>
      <c r="AO22" s="369">
        <v>471</v>
      </c>
      <c r="AP22" s="369">
        <v>85</v>
      </c>
      <c r="AQ22" s="369">
        <v>68</v>
      </c>
      <c r="AR22" s="369">
        <v>68</v>
      </c>
      <c r="AS22" s="369">
        <v>64</v>
      </c>
      <c r="AT22" s="369">
        <v>84</v>
      </c>
      <c r="AU22" s="369">
        <v>64</v>
      </c>
      <c r="AV22" s="369">
        <v>62</v>
      </c>
      <c r="AW22" s="369">
        <v>495</v>
      </c>
      <c r="AX22" s="369">
        <v>61</v>
      </c>
      <c r="AY22" s="369">
        <v>80</v>
      </c>
      <c r="AZ22" s="369">
        <v>60</v>
      </c>
      <c r="BA22" s="369">
        <v>65</v>
      </c>
      <c r="BB22" s="369">
        <v>62</v>
      </c>
      <c r="BC22" s="369">
        <v>87</v>
      </c>
      <c r="BD22" s="369">
        <v>62</v>
      </c>
      <c r="BE22" s="369">
        <v>477</v>
      </c>
    </row>
    <row r="23" spans="1:57">
      <c r="A23" s="178" t="s">
        <v>76</v>
      </c>
      <c r="B23" s="367">
        <v>43</v>
      </c>
      <c r="C23" s="367">
        <v>27</v>
      </c>
      <c r="D23" s="367">
        <v>21</v>
      </c>
      <c r="E23" s="367">
        <v>20</v>
      </c>
      <c r="F23" s="367">
        <v>36</v>
      </c>
      <c r="G23" s="367">
        <v>17</v>
      </c>
      <c r="H23" s="367">
        <v>24</v>
      </c>
      <c r="I23" s="367">
        <v>188</v>
      </c>
      <c r="J23" s="367">
        <v>36</v>
      </c>
      <c r="K23" s="367">
        <v>38</v>
      </c>
      <c r="L23" s="367">
        <v>30</v>
      </c>
      <c r="M23" s="367">
        <v>19</v>
      </c>
      <c r="N23" s="367">
        <v>24</v>
      </c>
      <c r="O23" s="367">
        <v>34</v>
      </c>
      <c r="P23" s="367">
        <v>14</v>
      </c>
      <c r="Q23" s="369">
        <v>195</v>
      </c>
      <c r="R23" s="371">
        <v>50</v>
      </c>
      <c r="S23" s="371">
        <v>41</v>
      </c>
      <c r="T23" s="371">
        <v>38</v>
      </c>
      <c r="U23" s="371">
        <v>29</v>
      </c>
      <c r="V23" s="371">
        <v>18</v>
      </c>
      <c r="W23" s="371">
        <v>24</v>
      </c>
      <c r="X23" s="371">
        <v>34</v>
      </c>
      <c r="Y23" s="372">
        <v>234</v>
      </c>
      <c r="Z23" s="371">
        <v>41</v>
      </c>
      <c r="AA23" s="371">
        <v>45</v>
      </c>
      <c r="AB23" s="371">
        <v>38</v>
      </c>
      <c r="AC23" s="371">
        <v>31</v>
      </c>
      <c r="AD23" s="371">
        <v>25</v>
      </c>
      <c r="AE23" s="371">
        <v>18</v>
      </c>
      <c r="AF23" s="371">
        <v>23</v>
      </c>
      <c r="AG23" s="372">
        <v>221</v>
      </c>
      <c r="AH23" s="369">
        <v>49</v>
      </c>
      <c r="AI23" s="369">
        <v>46</v>
      </c>
      <c r="AJ23" s="369">
        <v>41</v>
      </c>
      <c r="AK23" s="369">
        <v>36</v>
      </c>
      <c r="AL23" s="369">
        <v>29</v>
      </c>
      <c r="AM23" s="369">
        <v>29</v>
      </c>
      <c r="AN23" s="369">
        <v>20</v>
      </c>
      <c r="AO23" s="369">
        <v>250</v>
      </c>
      <c r="AP23" s="369">
        <v>51</v>
      </c>
      <c r="AQ23" s="369">
        <v>47</v>
      </c>
      <c r="AR23" s="369">
        <v>41</v>
      </c>
      <c r="AS23" s="369">
        <v>42</v>
      </c>
      <c r="AT23" s="369">
        <v>39</v>
      </c>
      <c r="AU23" s="369">
        <v>30</v>
      </c>
      <c r="AV23" s="369">
        <v>31</v>
      </c>
      <c r="AW23" s="369">
        <v>281</v>
      </c>
      <c r="AX23" s="369">
        <v>50</v>
      </c>
      <c r="AY23" s="369">
        <v>43</v>
      </c>
      <c r="AZ23" s="369">
        <v>48</v>
      </c>
      <c r="BA23" s="369">
        <v>37</v>
      </c>
      <c r="BB23" s="369">
        <v>42</v>
      </c>
      <c r="BC23" s="369">
        <v>33</v>
      </c>
      <c r="BD23" s="369">
        <v>30</v>
      </c>
      <c r="BE23" s="369">
        <v>283</v>
      </c>
    </row>
    <row r="24" spans="1:57">
      <c r="A24" s="178" t="s">
        <v>25</v>
      </c>
      <c r="B24" s="367">
        <v>60</v>
      </c>
      <c r="C24" s="367">
        <v>57</v>
      </c>
      <c r="D24" s="367">
        <v>58</v>
      </c>
      <c r="E24" s="367">
        <v>58</v>
      </c>
      <c r="F24" s="367">
        <v>59</v>
      </c>
      <c r="G24" s="367">
        <v>47</v>
      </c>
      <c r="H24" s="367">
        <v>57</v>
      </c>
      <c r="I24" s="367">
        <v>396</v>
      </c>
      <c r="J24" s="367">
        <v>60</v>
      </c>
      <c r="K24" s="367">
        <v>60</v>
      </c>
      <c r="L24" s="367">
        <v>59</v>
      </c>
      <c r="M24" s="367">
        <v>60</v>
      </c>
      <c r="N24" s="367">
        <v>54</v>
      </c>
      <c r="O24" s="367">
        <v>52</v>
      </c>
      <c r="P24" s="367">
        <v>49</v>
      </c>
      <c r="Q24" s="369">
        <v>394</v>
      </c>
      <c r="R24" s="371">
        <v>60</v>
      </c>
      <c r="S24" s="371">
        <v>61</v>
      </c>
      <c r="T24" s="371">
        <v>60</v>
      </c>
      <c r="U24" s="371">
        <v>58</v>
      </c>
      <c r="V24" s="371">
        <v>62</v>
      </c>
      <c r="W24" s="371">
        <v>50</v>
      </c>
      <c r="X24" s="371">
        <v>49</v>
      </c>
      <c r="Y24" s="372">
        <v>400</v>
      </c>
      <c r="Z24" s="371">
        <v>59</v>
      </c>
      <c r="AA24" s="371">
        <v>60</v>
      </c>
      <c r="AB24" s="371">
        <v>59</v>
      </c>
      <c r="AC24" s="371">
        <v>61</v>
      </c>
      <c r="AD24" s="371">
        <v>56</v>
      </c>
      <c r="AE24" s="371">
        <v>53</v>
      </c>
      <c r="AF24" s="371">
        <v>48</v>
      </c>
      <c r="AG24" s="372">
        <v>396</v>
      </c>
      <c r="AH24" s="369">
        <v>58</v>
      </c>
      <c r="AI24" s="369">
        <v>59</v>
      </c>
      <c r="AJ24" s="369">
        <v>56</v>
      </c>
      <c r="AK24" s="369">
        <v>61</v>
      </c>
      <c r="AL24" s="369">
        <v>63</v>
      </c>
      <c r="AM24" s="369">
        <v>51</v>
      </c>
      <c r="AN24" s="369">
        <v>54</v>
      </c>
      <c r="AO24" s="369">
        <v>402</v>
      </c>
      <c r="AP24" s="369">
        <v>84</v>
      </c>
      <c r="AQ24" s="369">
        <v>60</v>
      </c>
      <c r="AR24" s="369">
        <v>60</v>
      </c>
      <c r="AS24" s="369">
        <v>61</v>
      </c>
      <c r="AT24" s="369">
        <v>59</v>
      </c>
      <c r="AU24" s="369">
        <v>61</v>
      </c>
      <c r="AV24" s="369">
        <v>51</v>
      </c>
      <c r="AW24" s="369">
        <v>436</v>
      </c>
      <c r="AX24" s="369">
        <v>60</v>
      </c>
      <c r="AY24" s="369">
        <v>83</v>
      </c>
      <c r="AZ24" s="369">
        <v>58</v>
      </c>
      <c r="BA24" s="369">
        <v>62</v>
      </c>
      <c r="BB24" s="369">
        <v>58</v>
      </c>
      <c r="BC24" s="369">
        <v>58</v>
      </c>
      <c r="BD24" s="369">
        <v>62</v>
      </c>
      <c r="BE24" s="369">
        <v>441</v>
      </c>
    </row>
    <row r="25" spans="1:57">
      <c r="A25" s="178" t="s">
        <v>77</v>
      </c>
      <c r="B25" s="367">
        <v>57</v>
      </c>
      <c r="C25" s="367">
        <v>58</v>
      </c>
      <c r="D25" s="367">
        <v>62</v>
      </c>
      <c r="E25" s="367">
        <v>39</v>
      </c>
      <c r="F25" s="367">
        <v>46</v>
      </c>
      <c r="G25" s="367">
        <v>43</v>
      </c>
      <c r="H25" s="367">
        <v>49</v>
      </c>
      <c r="I25" s="367">
        <v>354</v>
      </c>
      <c r="J25" s="367">
        <v>63</v>
      </c>
      <c r="K25" s="367">
        <v>59</v>
      </c>
      <c r="L25" s="367">
        <v>60</v>
      </c>
      <c r="M25" s="367">
        <v>60</v>
      </c>
      <c r="N25" s="367">
        <v>41</v>
      </c>
      <c r="O25" s="367">
        <v>47</v>
      </c>
      <c r="P25" s="367">
        <v>43</v>
      </c>
      <c r="Q25" s="369">
        <v>373</v>
      </c>
      <c r="R25" s="371">
        <v>57</v>
      </c>
      <c r="S25" s="371">
        <v>65</v>
      </c>
      <c r="T25" s="371">
        <v>59</v>
      </c>
      <c r="U25" s="371">
        <v>60</v>
      </c>
      <c r="V25" s="371">
        <v>60</v>
      </c>
      <c r="W25" s="371">
        <v>40</v>
      </c>
      <c r="X25" s="371">
        <v>47</v>
      </c>
      <c r="Y25" s="372">
        <v>388</v>
      </c>
      <c r="Z25" s="371">
        <v>64</v>
      </c>
      <c r="AA25" s="371">
        <v>53</v>
      </c>
      <c r="AB25" s="371">
        <v>63</v>
      </c>
      <c r="AC25" s="371">
        <v>61</v>
      </c>
      <c r="AD25" s="371">
        <v>58</v>
      </c>
      <c r="AE25" s="371">
        <v>62</v>
      </c>
      <c r="AF25" s="371">
        <v>45</v>
      </c>
      <c r="AG25" s="372">
        <v>406</v>
      </c>
      <c r="AH25" s="369">
        <v>63</v>
      </c>
      <c r="AI25" s="369">
        <v>66</v>
      </c>
      <c r="AJ25" s="369">
        <v>53</v>
      </c>
      <c r="AK25" s="369">
        <v>64</v>
      </c>
      <c r="AL25" s="369">
        <v>63</v>
      </c>
      <c r="AM25" s="369">
        <v>58</v>
      </c>
      <c r="AN25" s="369">
        <v>59</v>
      </c>
      <c r="AO25" s="369">
        <v>426</v>
      </c>
      <c r="AP25" s="369">
        <v>69</v>
      </c>
      <c r="AQ25" s="369">
        <v>61</v>
      </c>
      <c r="AR25" s="369">
        <v>68</v>
      </c>
      <c r="AS25" s="369">
        <v>57</v>
      </c>
      <c r="AT25" s="369">
        <v>64</v>
      </c>
      <c r="AU25" s="369">
        <v>65</v>
      </c>
      <c r="AV25" s="369">
        <v>55</v>
      </c>
      <c r="AW25" s="369">
        <v>439</v>
      </c>
      <c r="AX25" s="369">
        <v>87</v>
      </c>
      <c r="AY25" s="369">
        <v>70</v>
      </c>
      <c r="AZ25" s="369">
        <v>63</v>
      </c>
      <c r="BA25" s="369">
        <v>75</v>
      </c>
      <c r="BB25" s="369">
        <v>61</v>
      </c>
      <c r="BC25" s="369">
        <v>65</v>
      </c>
      <c r="BD25" s="369">
        <v>63</v>
      </c>
      <c r="BE25" s="369">
        <v>484</v>
      </c>
    </row>
    <row r="26" spans="1:57">
      <c r="A26" s="178" t="s">
        <v>26</v>
      </c>
      <c r="B26" s="367">
        <v>18</v>
      </c>
      <c r="C26" s="367">
        <v>21</v>
      </c>
      <c r="D26" s="367">
        <v>13</v>
      </c>
      <c r="E26" s="367">
        <v>18</v>
      </c>
      <c r="F26" s="367">
        <v>12</v>
      </c>
      <c r="G26" s="367">
        <v>8</v>
      </c>
      <c r="H26" s="367">
        <v>15</v>
      </c>
      <c r="I26" s="367">
        <v>105</v>
      </c>
      <c r="J26" s="367">
        <v>15</v>
      </c>
      <c r="K26" s="367">
        <v>19</v>
      </c>
      <c r="L26" s="367">
        <v>18</v>
      </c>
      <c r="M26" s="367">
        <v>11</v>
      </c>
      <c r="N26" s="367">
        <v>16</v>
      </c>
      <c r="O26" s="367">
        <v>11</v>
      </c>
      <c r="P26" s="367">
        <v>8</v>
      </c>
      <c r="Q26" s="369">
        <v>98</v>
      </c>
      <c r="R26" s="371">
        <v>17</v>
      </c>
      <c r="S26" s="371">
        <v>11</v>
      </c>
      <c r="T26" s="371">
        <v>21</v>
      </c>
      <c r="U26" s="371">
        <v>18</v>
      </c>
      <c r="V26" s="371">
        <v>12</v>
      </c>
      <c r="W26" s="371">
        <v>16</v>
      </c>
      <c r="X26" s="371">
        <v>13</v>
      </c>
      <c r="Y26" s="372">
        <v>108</v>
      </c>
      <c r="Z26" s="371">
        <v>13</v>
      </c>
      <c r="AA26" s="371">
        <v>14</v>
      </c>
      <c r="AB26" s="371">
        <v>9</v>
      </c>
      <c r="AC26" s="371">
        <v>19</v>
      </c>
      <c r="AD26" s="371">
        <v>19</v>
      </c>
      <c r="AE26" s="371">
        <v>15</v>
      </c>
      <c r="AF26" s="371">
        <v>15</v>
      </c>
      <c r="AG26" s="372">
        <v>104</v>
      </c>
      <c r="AH26" s="369">
        <v>10</v>
      </c>
      <c r="AI26" s="369">
        <v>15</v>
      </c>
      <c r="AJ26" s="369">
        <v>15</v>
      </c>
      <c r="AK26" s="369">
        <v>11</v>
      </c>
      <c r="AL26" s="369">
        <v>14</v>
      </c>
      <c r="AM26" s="369">
        <v>18</v>
      </c>
      <c r="AN26" s="369">
        <v>12</v>
      </c>
      <c r="AO26" s="369">
        <v>95</v>
      </c>
      <c r="AP26" s="369">
        <v>7</v>
      </c>
      <c r="AQ26" s="369">
        <v>11</v>
      </c>
      <c r="AR26" s="369">
        <v>15</v>
      </c>
      <c r="AS26" s="369">
        <v>13</v>
      </c>
      <c r="AT26" s="369">
        <v>10</v>
      </c>
      <c r="AU26" s="369">
        <v>10</v>
      </c>
      <c r="AV26" s="369">
        <v>13</v>
      </c>
      <c r="AW26" s="369">
        <v>79</v>
      </c>
      <c r="AX26" s="369">
        <v>24</v>
      </c>
      <c r="AY26" s="369">
        <v>7</v>
      </c>
      <c r="AZ26" s="369">
        <v>10</v>
      </c>
      <c r="BA26" s="369">
        <v>15</v>
      </c>
      <c r="BB26" s="369">
        <v>12</v>
      </c>
      <c r="BC26" s="369">
        <v>13</v>
      </c>
      <c r="BD26" s="369">
        <v>10</v>
      </c>
      <c r="BE26" s="369">
        <v>91</v>
      </c>
    </row>
    <row r="27" spans="1:57">
      <c r="A27" s="178" t="s">
        <v>27</v>
      </c>
      <c r="B27" s="367">
        <v>41</v>
      </c>
      <c r="C27" s="367">
        <v>57</v>
      </c>
      <c r="D27" s="367">
        <v>45</v>
      </c>
      <c r="E27" s="367">
        <v>38</v>
      </c>
      <c r="F27" s="367">
        <v>39</v>
      </c>
      <c r="G27" s="367">
        <v>28</v>
      </c>
      <c r="H27" s="367">
        <v>29</v>
      </c>
      <c r="I27" s="367">
        <v>277</v>
      </c>
      <c r="J27" s="367">
        <v>44</v>
      </c>
      <c r="K27" s="367">
        <v>38</v>
      </c>
      <c r="L27" s="367">
        <v>50</v>
      </c>
      <c r="M27" s="367">
        <v>40</v>
      </c>
      <c r="N27" s="367">
        <v>38</v>
      </c>
      <c r="O27" s="367">
        <v>39</v>
      </c>
      <c r="P27" s="367">
        <v>28</v>
      </c>
      <c r="Q27" s="369">
        <v>277</v>
      </c>
      <c r="R27" s="371">
        <v>42</v>
      </c>
      <c r="S27" s="371">
        <v>42</v>
      </c>
      <c r="T27" s="371">
        <v>27</v>
      </c>
      <c r="U27" s="371">
        <v>46</v>
      </c>
      <c r="V27" s="371">
        <v>38</v>
      </c>
      <c r="W27" s="371">
        <v>29</v>
      </c>
      <c r="X27" s="371">
        <v>39</v>
      </c>
      <c r="Y27" s="372">
        <v>263</v>
      </c>
      <c r="Z27" s="371">
        <v>49</v>
      </c>
      <c r="AA27" s="371">
        <v>36</v>
      </c>
      <c r="AB27" s="371">
        <v>44</v>
      </c>
      <c r="AC27" s="371">
        <v>24</v>
      </c>
      <c r="AD27" s="371">
        <v>46</v>
      </c>
      <c r="AE27" s="371">
        <v>35</v>
      </c>
      <c r="AF27" s="371">
        <v>30</v>
      </c>
      <c r="AG27" s="372">
        <v>264</v>
      </c>
      <c r="AH27" s="369">
        <v>42</v>
      </c>
      <c r="AI27" s="369">
        <v>52</v>
      </c>
      <c r="AJ27" s="369">
        <v>33</v>
      </c>
      <c r="AK27" s="369">
        <v>38</v>
      </c>
      <c r="AL27" s="369">
        <v>21</v>
      </c>
      <c r="AM27" s="369">
        <v>43</v>
      </c>
      <c r="AN27" s="369">
        <v>32</v>
      </c>
      <c r="AO27" s="369">
        <v>261</v>
      </c>
      <c r="AP27" s="369">
        <v>47</v>
      </c>
      <c r="AQ27" s="369">
        <v>31</v>
      </c>
      <c r="AR27" s="369">
        <v>52</v>
      </c>
      <c r="AS27" s="369">
        <v>32</v>
      </c>
      <c r="AT27" s="369">
        <v>31</v>
      </c>
      <c r="AU27" s="369">
        <v>20</v>
      </c>
      <c r="AV27" s="369">
        <v>36</v>
      </c>
      <c r="AW27" s="369">
        <v>249</v>
      </c>
      <c r="AX27" s="369">
        <v>52</v>
      </c>
      <c r="AY27" s="369">
        <v>40</v>
      </c>
      <c r="AZ27" s="369">
        <v>30</v>
      </c>
      <c r="BA27" s="369">
        <v>47</v>
      </c>
      <c r="BB27" s="369">
        <v>28</v>
      </c>
      <c r="BC27" s="369">
        <v>29</v>
      </c>
      <c r="BD27" s="369">
        <v>21</v>
      </c>
      <c r="BE27" s="369">
        <v>247</v>
      </c>
    </row>
    <row r="28" spans="1:57">
      <c r="A28" s="178" t="s">
        <v>28</v>
      </c>
      <c r="B28" s="367">
        <v>74</v>
      </c>
      <c r="C28" s="367">
        <v>60</v>
      </c>
      <c r="D28" s="367">
        <v>74</v>
      </c>
      <c r="E28" s="367">
        <v>69</v>
      </c>
      <c r="F28" s="367">
        <v>64</v>
      </c>
      <c r="G28" s="367">
        <v>65</v>
      </c>
      <c r="H28" s="367">
        <v>63</v>
      </c>
      <c r="I28" s="367">
        <v>469</v>
      </c>
      <c r="J28" s="367">
        <v>85</v>
      </c>
      <c r="K28" s="367">
        <v>75</v>
      </c>
      <c r="L28" s="367">
        <v>60</v>
      </c>
      <c r="M28" s="367">
        <v>69</v>
      </c>
      <c r="N28" s="367">
        <v>70</v>
      </c>
      <c r="O28" s="367">
        <v>65</v>
      </c>
      <c r="P28" s="367">
        <v>64</v>
      </c>
      <c r="Q28" s="369">
        <v>488</v>
      </c>
      <c r="R28" s="371">
        <v>75</v>
      </c>
      <c r="S28" s="371">
        <v>90</v>
      </c>
      <c r="T28" s="371">
        <v>78</v>
      </c>
      <c r="U28" s="371">
        <v>64</v>
      </c>
      <c r="V28" s="371">
        <v>71</v>
      </c>
      <c r="W28" s="371">
        <v>71</v>
      </c>
      <c r="X28" s="371">
        <v>60</v>
      </c>
      <c r="Y28" s="372">
        <v>509</v>
      </c>
      <c r="Z28" s="371">
        <v>82</v>
      </c>
      <c r="AA28" s="371">
        <v>77</v>
      </c>
      <c r="AB28" s="371">
        <v>90</v>
      </c>
      <c r="AC28" s="371">
        <v>81</v>
      </c>
      <c r="AD28" s="371">
        <v>65</v>
      </c>
      <c r="AE28" s="371">
        <v>75</v>
      </c>
      <c r="AF28" s="371">
        <v>73</v>
      </c>
      <c r="AG28" s="372">
        <v>543</v>
      </c>
      <c r="AH28" s="369">
        <v>66</v>
      </c>
      <c r="AI28" s="369">
        <v>87</v>
      </c>
      <c r="AJ28" s="369">
        <v>87</v>
      </c>
      <c r="AK28" s="369">
        <v>94</v>
      </c>
      <c r="AL28" s="369">
        <v>85</v>
      </c>
      <c r="AM28" s="369">
        <v>63</v>
      </c>
      <c r="AN28" s="369">
        <v>77</v>
      </c>
      <c r="AO28" s="369">
        <v>559</v>
      </c>
      <c r="AP28" s="369">
        <v>75</v>
      </c>
      <c r="AQ28" s="369">
        <v>67</v>
      </c>
      <c r="AR28" s="369">
        <v>87</v>
      </c>
      <c r="AS28" s="369">
        <v>87</v>
      </c>
      <c r="AT28" s="369">
        <v>91</v>
      </c>
      <c r="AU28" s="369">
        <v>86</v>
      </c>
      <c r="AV28" s="369">
        <v>64</v>
      </c>
      <c r="AW28" s="369">
        <v>557</v>
      </c>
      <c r="AX28" s="369">
        <v>73</v>
      </c>
      <c r="AY28" s="369">
        <v>74</v>
      </c>
      <c r="AZ28" s="369">
        <v>65</v>
      </c>
      <c r="BA28" s="369">
        <v>94</v>
      </c>
      <c r="BB28" s="369">
        <v>86</v>
      </c>
      <c r="BC28" s="369">
        <v>90</v>
      </c>
      <c r="BD28" s="369">
        <v>88</v>
      </c>
      <c r="BE28" s="369">
        <v>570</v>
      </c>
    </row>
    <row r="29" spans="1:57">
      <c r="A29" s="178" t="s">
        <v>29</v>
      </c>
      <c r="B29" s="367">
        <v>68</v>
      </c>
      <c r="C29" s="367">
        <v>64</v>
      </c>
      <c r="D29" s="367">
        <v>66</v>
      </c>
      <c r="E29" s="367">
        <v>77</v>
      </c>
      <c r="F29" s="367">
        <v>66</v>
      </c>
      <c r="G29" s="367">
        <v>57</v>
      </c>
      <c r="H29" s="367">
        <v>63</v>
      </c>
      <c r="I29" s="367">
        <v>461</v>
      </c>
      <c r="J29" s="367">
        <v>62</v>
      </c>
      <c r="K29" s="367">
        <v>71</v>
      </c>
      <c r="L29" s="367">
        <v>65</v>
      </c>
      <c r="M29" s="367">
        <v>66</v>
      </c>
      <c r="N29" s="367">
        <v>74</v>
      </c>
      <c r="O29" s="367">
        <v>68</v>
      </c>
      <c r="P29" s="367">
        <v>57</v>
      </c>
      <c r="Q29" s="369">
        <v>463</v>
      </c>
      <c r="R29" s="371">
        <v>60</v>
      </c>
      <c r="S29" s="371">
        <v>65</v>
      </c>
      <c r="T29" s="371">
        <v>69</v>
      </c>
      <c r="U29" s="371">
        <v>67</v>
      </c>
      <c r="V29" s="371">
        <v>65</v>
      </c>
      <c r="W29" s="371">
        <v>76</v>
      </c>
      <c r="X29" s="371">
        <v>70</v>
      </c>
      <c r="Y29" s="372">
        <v>472</v>
      </c>
      <c r="Z29" s="371">
        <v>57</v>
      </c>
      <c r="AA29" s="371">
        <v>64</v>
      </c>
      <c r="AB29" s="371">
        <v>67</v>
      </c>
      <c r="AC29" s="371">
        <v>69</v>
      </c>
      <c r="AD29" s="371">
        <v>67</v>
      </c>
      <c r="AE29" s="371">
        <v>65</v>
      </c>
      <c r="AF29" s="371">
        <v>77</v>
      </c>
      <c r="AG29" s="372">
        <v>466</v>
      </c>
      <c r="AH29" s="369">
        <v>73</v>
      </c>
      <c r="AI29" s="369">
        <v>60</v>
      </c>
      <c r="AJ29" s="369">
        <v>63</v>
      </c>
      <c r="AK29" s="369">
        <v>71</v>
      </c>
      <c r="AL29" s="369">
        <v>70</v>
      </c>
      <c r="AM29" s="369">
        <v>70</v>
      </c>
      <c r="AN29" s="369">
        <v>66</v>
      </c>
      <c r="AO29" s="369">
        <v>473</v>
      </c>
      <c r="AP29" s="369">
        <v>59</v>
      </c>
      <c r="AQ29" s="369">
        <v>71</v>
      </c>
      <c r="AR29" s="369">
        <v>59</v>
      </c>
      <c r="AS29" s="369">
        <v>65</v>
      </c>
      <c r="AT29" s="369">
        <v>72</v>
      </c>
      <c r="AU29" s="369">
        <v>72</v>
      </c>
      <c r="AV29" s="369">
        <v>69</v>
      </c>
      <c r="AW29" s="369">
        <v>467</v>
      </c>
      <c r="AX29" s="369">
        <v>51</v>
      </c>
      <c r="AY29" s="369">
        <v>65</v>
      </c>
      <c r="AZ29" s="369">
        <v>74</v>
      </c>
      <c r="BA29" s="369">
        <v>62</v>
      </c>
      <c r="BB29" s="369">
        <v>65</v>
      </c>
      <c r="BC29" s="369">
        <v>72</v>
      </c>
      <c r="BD29" s="369">
        <v>74</v>
      </c>
      <c r="BE29" s="369">
        <v>463</v>
      </c>
    </row>
    <row r="30" spans="1:57">
      <c r="A30" s="178" t="s">
        <v>30</v>
      </c>
      <c r="B30" s="367">
        <v>58</v>
      </c>
      <c r="C30" s="367">
        <v>47</v>
      </c>
      <c r="D30" s="367">
        <v>59</v>
      </c>
      <c r="E30" s="367">
        <v>54</v>
      </c>
      <c r="F30" s="367">
        <v>54</v>
      </c>
      <c r="G30" s="367">
        <v>52</v>
      </c>
      <c r="H30" s="367">
        <v>59</v>
      </c>
      <c r="I30" s="367">
        <v>383</v>
      </c>
      <c r="J30" s="367">
        <v>49</v>
      </c>
      <c r="K30" s="367">
        <v>59</v>
      </c>
      <c r="L30" s="367">
        <v>48</v>
      </c>
      <c r="M30" s="367">
        <v>62</v>
      </c>
      <c r="N30" s="367">
        <v>51</v>
      </c>
      <c r="O30" s="367">
        <v>54</v>
      </c>
      <c r="P30" s="367">
        <v>53</v>
      </c>
      <c r="Q30" s="369">
        <v>376</v>
      </c>
      <c r="R30" s="371">
        <v>48</v>
      </c>
      <c r="S30" s="371">
        <v>53</v>
      </c>
      <c r="T30" s="371">
        <v>59</v>
      </c>
      <c r="U30" s="371">
        <v>48</v>
      </c>
      <c r="V30" s="371">
        <v>64</v>
      </c>
      <c r="W30" s="371">
        <v>56</v>
      </c>
      <c r="X30" s="371">
        <v>56</v>
      </c>
      <c r="Y30" s="372">
        <v>384</v>
      </c>
      <c r="Z30" s="371">
        <v>49</v>
      </c>
      <c r="AA30" s="371">
        <v>51</v>
      </c>
      <c r="AB30" s="371">
        <v>60</v>
      </c>
      <c r="AC30" s="371">
        <v>64</v>
      </c>
      <c r="AD30" s="371">
        <v>50</v>
      </c>
      <c r="AE30" s="371">
        <v>63</v>
      </c>
      <c r="AF30" s="371">
        <v>53</v>
      </c>
      <c r="AG30" s="372">
        <v>390</v>
      </c>
      <c r="AH30" s="369">
        <v>54</v>
      </c>
      <c r="AI30" s="369">
        <v>48</v>
      </c>
      <c r="AJ30" s="369">
        <v>49</v>
      </c>
      <c r="AK30" s="369">
        <v>58</v>
      </c>
      <c r="AL30" s="369">
        <v>65</v>
      </c>
      <c r="AM30" s="369">
        <v>49</v>
      </c>
      <c r="AN30" s="369">
        <v>62</v>
      </c>
      <c r="AO30" s="369">
        <v>385</v>
      </c>
      <c r="AP30" s="369">
        <v>51</v>
      </c>
      <c r="AQ30" s="369">
        <v>58</v>
      </c>
      <c r="AR30" s="369">
        <v>49</v>
      </c>
      <c r="AS30" s="369">
        <v>47</v>
      </c>
      <c r="AT30" s="369">
        <v>62</v>
      </c>
      <c r="AU30" s="369">
        <v>63</v>
      </c>
      <c r="AV30" s="369">
        <v>51</v>
      </c>
      <c r="AW30" s="369">
        <v>381</v>
      </c>
      <c r="AX30" s="369">
        <v>57</v>
      </c>
      <c r="AY30" s="369">
        <v>57</v>
      </c>
      <c r="AZ30" s="369">
        <v>58</v>
      </c>
      <c r="BA30" s="369">
        <v>52</v>
      </c>
      <c r="BB30" s="369">
        <v>49</v>
      </c>
      <c r="BC30" s="369">
        <v>59</v>
      </c>
      <c r="BD30" s="369">
        <v>63</v>
      </c>
      <c r="BE30" s="369">
        <v>395</v>
      </c>
    </row>
    <row r="31" spans="1:57">
      <c r="A31" s="178" t="s">
        <v>31</v>
      </c>
      <c r="B31" s="367">
        <v>52</v>
      </c>
      <c r="C31" s="367">
        <v>59</v>
      </c>
      <c r="D31" s="367">
        <v>45</v>
      </c>
      <c r="E31" s="367">
        <v>57</v>
      </c>
      <c r="F31" s="367">
        <v>56</v>
      </c>
      <c r="G31" s="367">
        <v>44</v>
      </c>
      <c r="H31" s="367">
        <v>61</v>
      </c>
      <c r="I31" s="367">
        <v>374</v>
      </c>
      <c r="J31" s="367">
        <v>60</v>
      </c>
      <c r="K31" s="367">
        <v>53</v>
      </c>
      <c r="L31" s="367">
        <v>58</v>
      </c>
      <c r="M31" s="367">
        <v>49</v>
      </c>
      <c r="N31" s="367">
        <v>55</v>
      </c>
      <c r="O31" s="367">
        <v>54</v>
      </c>
      <c r="P31" s="367">
        <v>44</v>
      </c>
      <c r="Q31" s="369">
        <v>373</v>
      </c>
      <c r="R31" s="371">
        <v>62</v>
      </c>
      <c r="S31" s="371">
        <v>60</v>
      </c>
      <c r="T31" s="371">
        <v>57</v>
      </c>
      <c r="U31" s="371">
        <v>62</v>
      </c>
      <c r="V31" s="371">
        <v>47</v>
      </c>
      <c r="W31" s="371">
        <v>59</v>
      </c>
      <c r="X31" s="371">
        <v>54</v>
      </c>
      <c r="Y31" s="372">
        <v>401</v>
      </c>
      <c r="Z31" s="371">
        <v>65</v>
      </c>
      <c r="AA31" s="371">
        <v>65</v>
      </c>
      <c r="AB31" s="371">
        <v>63</v>
      </c>
      <c r="AC31" s="371">
        <v>57</v>
      </c>
      <c r="AD31" s="371">
        <v>66</v>
      </c>
      <c r="AE31" s="371">
        <v>44</v>
      </c>
      <c r="AF31" s="371">
        <v>55</v>
      </c>
      <c r="AG31" s="372">
        <v>415</v>
      </c>
      <c r="AH31" s="369">
        <v>66</v>
      </c>
      <c r="AI31" s="369">
        <v>66</v>
      </c>
      <c r="AJ31" s="369">
        <v>65</v>
      </c>
      <c r="AK31" s="369">
        <v>66</v>
      </c>
      <c r="AL31" s="369">
        <v>57</v>
      </c>
      <c r="AM31" s="369">
        <v>67</v>
      </c>
      <c r="AN31" s="369">
        <v>47</v>
      </c>
      <c r="AO31" s="369">
        <v>434</v>
      </c>
      <c r="AP31" s="369">
        <v>44</v>
      </c>
      <c r="AQ31" s="369">
        <v>65</v>
      </c>
      <c r="AR31" s="369">
        <v>67</v>
      </c>
      <c r="AS31" s="369">
        <v>63</v>
      </c>
      <c r="AT31" s="369">
        <v>65</v>
      </c>
      <c r="AU31" s="369">
        <v>58</v>
      </c>
      <c r="AV31" s="369">
        <v>65</v>
      </c>
      <c r="AW31" s="369">
        <v>427</v>
      </c>
      <c r="AX31" s="369">
        <v>59</v>
      </c>
      <c r="AY31" s="369">
        <v>47</v>
      </c>
      <c r="AZ31" s="369">
        <v>64</v>
      </c>
      <c r="BA31" s="369">
        <v>65</v>
      </c>
      <c r="BB31" s="369">
        <v>63</v>
      </c>
      <c r="BC31" s="369">
        <v>65</v>
      </c>
      <c r="BD31" s="369">
        <v>58</v>
      </c>
      <c r="BE31" s="369">
        <v>421</v>
      </c>
    </row>
    <row r="32" spans="1:57">
      <c r="A32" s="178" t="s">
        <v>32</v>
      </c>
      <c r="B32" s="367">
        <v>42</v>
      </c>
      <c r="C32" s="367">
        <v>39</v>
      </c>
      <c r="D32" s="367">
        <v>44</v>
      </c>
      <c r="E32" s="367">
        <v>30</v>
      </c>
      <c r="F32" s="367">
        <v>28</v>
      </c>
      <c r="G32" s="367">
        <v>31</v>
      </c>
      <c r="H32" s="367">
        <v>32</v>
      </c>
      <c r="I32" s="367">
        <v>246</v>
      </c>
      <c r="J32" s="367">
        <v>37</v>
      </c>
      <c r="K32" s="367">
        <v>42</v>
      </c>
      <c r="L32" s="367">
        <v>38</v>
      </c>
      <c r="M32" s="367">
        <v>44</v>
      </c>
      <c r="N32" s="367">
        <v>29</v>
      </c>
      <c r="O32" s="367">
        <v>26</v>
      </c>
      <c r="P32" s="367">
        <v>32</v>
      </c>
      <c r="Q32" s="369">
        <v>248</v>
      </c>
      <c r="R32" s="371">
        <v>46</v>
      </c>
      <c r="S32" s="371">
        <v>38</v>
      </c>
      <c r="T32" s="371">
        <v>42</v>
      </c>
      <c r="U32" s="371">
        <v>38</v>
      </c>
      <c r="V32" s="371">
        <v>46</v>
      </c>
      <c r="W32" s="371">
        <v>29</v>
      </c>
      <c r="X32" s="371">
        <v>27</v>
      </c>
      <c r="Y32" s="372">
        <v>266</v>
      </c>
      <c r="Z32" s="371">
        <v>33</v>
      </c>
      <c r="AA32" s="371">
        <v>45</v>
      </c>
      <c r="AB32" s="371">
        <v>36</v>
      </c>
      <c r="AC32" s="371">
        <v>44</v>
      </c>
      <c r="AD32" s="371">
        <v>41</v>
      </c>
      <c r="AE32" s="371">
        <v>46</v>
      </c>
      <c r="AF32" s="371">
        <v>30</v>
      </c>
      <c r="AG32" s="372">
        <v>275</v>
      </c>
      <c r="AH32" s="369">
        <v>49</v>
      </c>
      <c r="AI32" s="369">
        <v>33</v>
      </c>
      <c r="AJ32" s="369">
        <v>44</v>
      </c>
      <c r="AK32" s="369">
        <v>36</v>
      </c>
      <c r="AL32" s="369">
        <v>44</v>
      </c>
      <c r="AM32" s="369">
        <v>42</v>
      </c>
      <c r="AN32" s="369">
        <v>46</v>
      </c>
      <c r="AO32" s="369">
        <v>294</v>
      </c>
      <c r="AP32" s="369">
        <v>45</v>
      </c>
      <c r="AQ32" s="369">
        <v>47</v>
      </c>
      <c r="AR32" s="369">
        <v>33</v>
      </c>
      <c r="AS32" s="369">
        <v>40</v>
      </c>
      <c r="AT32" s="369">
        <v>36</v>
      </c>
      <c r="AU32" s="369">
        <v>45</v>
      </c>
      <c r="AV32" s="369">
        <v>40</v>
      </c>
      <c r="AW32" s="369">
        <v>286</v>
      </c>
      <c r="AX32" s="369">
        <v>36</v>
      </c>
      <c r="AY32" s="369">
        <v>49</v>
      </c>
      <c r="AZ32" s="369">
        <v>48</v>
      </c>
      <c r="BA32" s="369">
        <v>35</v>
      </c>
      <c r="BB32" s="369">
        <v>39</v>
      </c>
      <c r="BC32" s="369">
        <v>37</v>
      </c>
      <c r="BD32" s="369">
        <v>44</v>
      </c>
      <c r="BE32" s="369">
        <v>288</v>
      </c>
    </row>
    <row r="33" spans="1:57">
      <c r="A33" s="178" t="s">
        <v>33</v>
      </c>
      <c r="B33" s="367">
        <v>45</v>
      </c>
      <c r="C33" s="367">
        <v>38</v>
      </c>
      <c r="D33" s="367">
        <v>41</v>
      </c>
      <c r="E33" s="367">
        <v>26</v>
      </c>
      <c r="F33" s="367">
        <v>42</v>
      </c>
      <c r="G33" s="367">
        <v>51</v>
      </c>
      <c r="H33" s="367">
        <v>38</v>
      </c>
      <c r="I33" s="367">
        <v>281</v>
      </c>
      <c r="J33" s="367">
        <v>56</v>
      </c>
      <c r="K33" s="367">
        <v>46</v>
      </c>
      <c r="L33" s="367">
        <v>34</v>
      </c>
      <c r="M33" s="367">
        <v>43</v>
      </c>
      <c r="N33" s="367">
        <v>29</v>
      </c>
      <c r="O33" s="367">
        <v>40</v>
      </c>
      <c r="P33" s="367">
        <v>55</v>
      </c>
      <c r="Q33" s="369">
        <v>303</v>
      </c>
      <c r="R33" s="371">
        <v>52</v>
      </c>
      <c r="S33" s="371">
        <v>57</v>
      </c>
      <c r="T33" s="371">
        <v>46</v>
      </c>
      <c r="U33" s="371">
        <v>34</v>
      </c>
      <c r="V33" s="371">
        <v>41</v>
      </c>
      <c r="W33" s="371">
        <v>29</v>
      </c>
      <c r="X33" s="371">
        <v>40</v>
      </c>
      <c r="Y33" s="372">
        <v>299</v>
      </c>
      <c r="Z33" s="371">
        <v>52</v>
      </c>
      <c r="AA33" s="371">
        <v>52</v>
      </c>
      <c r="AB33" s="371">
        <v>58</v>
      </c>
      <c r="AC33" s="371">
        <v>47</v>
      </c>
      <c r="AD33" s="371">
        <v>36</v>
      </c>
      <c r="AE33" s="371">
        <v>44</v>
      </c>
      <c r="AF33" s="371">
        <v>29</v>
      </c>
      <c r="AG33" s="372">
        <v>318</v>
      </c>
      <c r="AH33" s="369">
        <v>50</v>
      </c>
      <c r="AI33" s="369">
        <v>50</v>
      </c>
      <c r="AJ33" s="369">
        <v>50</v>
      </c>
      <c r="AK33" s="369">
        <v>53</v>
      </c>
      <c r="AL33" s="369">
        <v>48</v>
      </c>
      <c r="AM33" s="369">
        <v>35</v>
      </c>
      <c r="AN33" s="369">
        <v>44</v>
      </c>
      <c r="AO33" s="369">
        <v>330</v>
      </c>
      <c r="AP33" s="369">
        <v>57</v>
      </c>
      <c r="AQ33" s="369">
        <v>55</v>
      </c>
      <c r="AR33" s="369">
        <v>52</v>
      </c>
      <c r="AS33" s="369">
        <v>54</v>
      </c>
      <c r="AT33" s="369">
        <v>54</v>
      </c>
      <c r="AU33" s="369">
        <v>48</v>
      </c>
      <c r="AV33" s="369">
        <v>35</v>
      </c>
      <c r="AW33" s="369">
        <v>355</v>
      </c>
      <c r="AX33" s="369">
        <v>49</v>
      </c>
      <c r="AY33" s="369">
        <v>57</v>
      </c>
      <c r="AZ33" s="369">
        <v>56</v>
      </c>
      <c r="BA33" s="369">
        <v>47</v>
      </c>
      <c r="BB33" s="369">
        <v>51</v>
      </c>
      <c r="BC33" s="369">
        <v>55</v>
      </c>
      <c r="BD33" s="369">
        <v>46</v>
      </c>
      <c r="BE33" s="369">
        <v>361</v>
      </c>
    </row>
    <row r="34" spans="1:57">
      <c r="A34" s="178" t="s">
        <v>78</v>
      </c>
      <c r="B34" s="367">
        <v>74</v>
      </c>
      <c r="C34" s="367">
        <v>90</v>
      </c>
      <c r="D34" s="367">
        <v>68</v>
      </c>
      <c r="E34" s="367">
        <v>74</v>
      </c>
      <c r="F34" s="367">
        <v>61</v>
      </c>
      <c r="G34" s="367">
        <v>60</v>
      </c>
      <c r="H34" s="367">
        <v>63</v>
      </c>
      <c r="I34" s="367">
        <v>490</v>
      </c>
      <c r="J34" s="367">
        <v>81</v>
      </c>
      <c r="K34" s="367">
        <v>77</v>
      </c>
      <c r="L34" s="367">
        <v>88</v>
      </c>
      <c r="M34" s="367">
        <v>67</v>
      </c>
      <c r="N34" s="367">
        <v>75</v>
      </c>
      <c r="O34" s="367">
        <v>59</v>
      </c>
      <c r="P34" s="367">
        <v>54</v>
      </c>
      <c r="Q34" s="369">
        <v>501</v>
      </c>
      <c r="R34" s="371">
        <v>89</v>
      </c>
      <c r="S34" s="371">
        <v>77</v>
      </c>
      <c r="T34" s="371">
        <v>75</v>
      </c>
      <c r="U34" s="371">
        <v>90</v>
      </c>
      <c r="V34" s="371">
        <v>63</v>
      </c>
      <c r="W34" s="371">
        <v>68</v>
      </c>
      <c r="X34" s="371">
        <v>58</v>
      </c>
      <c r="Y34" s="372">
        <v>520</v>
      </c>
      <c r="Z34" s="371">
        <v>86</v>
      </c>
      <c r="AA34" s="371">
        <v>85</v>
      </c>
      <c r="AB34" s="371">
        <v>73</v>
      </c>
      <c r="AC34" s="371">
        <v>74</v>
      </c>
      <c r="AD34" s="371">
        <v>88</v>
      </c>
      <c r="AE34" s="371">
        <v>58</v>
      </c>
      <c r="AF34" s="371">
        <v>73</v>
      </c>
      <c r="AG34" s="372">
        <v>537</v>
      </c>
      <c r="AH34" s="369">
        <v>87</v>
      </c>
      <c r="AI34" s="369">
        <v>78</v>
      </c>
      <c r="AJ34" s="369">
        <v>87</v>
      </c>
      <c r="AK34" s="369">
        <v>76</v>
      </c>
      <c r="AL34" s="369">
        <v>83</v>
      </c>
      <c r="AM34" s="369">
        <v>88</v>
      </c>
      <c r="AN34" s="369">
        <v>60</v>
      </c>
      <c r="AO34" s="369">
        <v>559</v>
      </c>
      <c r="AP34" s="369">
        <v>85</v>
      </c>
      <c r="AQ34" s="369">
        <v>90</v>
      </c>
      <c r="AR34" s="369">
        <v>86</v>
      </c>
      <c r="AS34" s="369">
        <v>92</v>
      </c>
      <c r="AT34" s="369">
        <v>82</v>
      </c>
      <c r="AU34" s="369">
        <v>84</v>
      </c>
      <c r="AV34" s="369">
        <v>88</v>
      </c>
      <c r="AW34" s="369">
        <v>607</v>
      </c>
      <c r="AX34" s="369">
        <v>89</v>
      </c>
      <c r="AY34" s="369">
        <v>80</v>
      </c>
      <c r="AZ34" s="369">
        <v>90</v>
      </c>
      <c r="BA34" s="369">
        <v>85</v>
      </c>
      <c r="BB34" s="369">
        <v>93</v>
      </c>
      <c r="BC34" s="369">
        <v>74</v>
      </c>
      <c r="BD34" s="369">
        <v>86</v>
      </c>
      <c r="BE34" s="369">
        <v>597</v>
      </c>
    </row>
    <row r="35" spans="1:57">
      <c r="A35" s="178" t="s">
        <v>34</v>
      </c>
      <c r="B35" s="367">
        <v>58</v>
      </c>
      <c r="C35" s="367">
        <v>50</v>
      </c>
      <c r="D35" s="367">
        <v>43</v>
      </c>
      <c r="E35" s="367">
        <v>54</v>
      </c>
      <c r="F35" s="367">
        <v>52</v>
      </c>
      <c r="G35" s="367">
        <v>56</v>
      </c>
      <c r="H35" s="367">
        <v>43</v>
      </c>
      <c r="I35" s="367">
        <v>356</v>
      </c>
      <c r="J35" s="367">
        <v>58</v>
      </c>
      <c r="K35" s="367">
        <v>56</v>
      </c>
      <c r="L35" s="367">
        <v>45</v>
      </c>
      <c r="M35" s="367">
        <v>45</v>
      </c>
      <c r="N35" s="367">
        <v>55</v>
      </c>
      <c r="O35" s="367">
        <v>51</v>
      </c>
      <c r="P35" s="367">
        <v>55</v>
      </c>
      <c r="Q35" s="369">
        <v>365</v>
      </c>
      <c r="R35" s="371">
        <v>53</v>
      </c>
      <c r="S35" s="371">
        <v>58</v>
      </c>
      <c r="T35" s="371">
        <v>58</v>
      </c>
      <c r="U35" s="371">
        <v>40</v>
      </c>
      <c r="V35" s="371">
        <v>48</v>
      </c>
      <c r="W35" s="371">
        <v>56</v>
      </c>
      <c r="X35" s="371">
        <v>51</v>
      </c>
      <c r="Y35" s="372">
        <v>364</v>
      </c>
      <c r="Z35" s="371">
        <v>48</v>
      </c>
      <c r="AA35" s="371">
        <v>53</v>
      </c>
      <c r="AB35" s="371">
        <v>56</v>
      </c>
      <c r="AC35" s="371">
        <v>60</v>
      </c>
      <c r="AD35" s="371">
        <v>40</v>
      </c>
      <c r="AE35" s="371">
        <v>48</v>
      </c>
      <c r="AF35" s="371">
        <v>58</v>
      </c>
      <c r="AG35" s="372">
        <v>363</v>
      </c>
      <c r="AH35" s="369">
        <v>54</v>
      </c>
      <c r="AI35" s="369">
        <v>52</v>
      </c>
      <c r="AJ35" s="369">
        <v>52</v>
      </c>
      <c r="AK35" s="369">
        <v>55</v>
      </c>
      <c r="AL35" s="369">
        <v>58</v>
      </c>
      <c r="AM35" s="369">
        <v>40</v>
      </c>
      <c r="AN35" s="369">
        <v>47</v>
      </c>
      <c r="AO35" s="369">
        <v>358</v>
      </c>
      <c r="AP35" s="369">
        <v>58</v>
      </c>
      <c r="AQ35" s="369">
        <v>59</v>
      </c>
      <c r="AR35" s="369">
        <v>55</v>
      </c>
      <c r="AS35" s="369">
        <v>55</v>
      </c>
      <c r="AT35" s="369">
        <v>58</v>
      </c>
      <c r="AU35" s="369">
        <v>62</v>
      </c>
      <c r="AV35" s="369">
        <v>47</v>
      </c>
      <c r="AW35" s="369">
        <v>394</v>
      </c>
      <c r="AX35" s="369">
        <v>59</v>
      </c>
      <c r="AY35" s="369">
        <v>56</v>
      </c>
      <c r="AZ35" s="369">
        <v>59</v>
      </c>
      <c r="BA35" s="369">
        <v>56</v>
      </c>
      <c r="BB35" s="369">
        <v>58</v>
      </c>
      <c r="BC35" s="369">
        <v>61</v>
      </c>
      <c r="BD35" s="369">
        <v>64</v>
      </c>
      <c r="BE35" s="369">
        <v>413</v>
      </c>
    </row>
    <row r="36" spans="1:57">
      <c r="A36" s="178" t="s">
        <v>83</v>
      </c>
      <c r="B36" s="367">
        <v>25</v>
      </c>
      <c r="C36" s="367">
        <v>29</v>
      </c>
      <c r="D36" s="367">
        <v>30</v>
      </c>
      <c r="E36" s="367">
        <v>30</v>
      </c>
      <c r="F36" s="367">
        <v>31</v>
      </c>
      <c r="G36" s="367">
        <v>28</v>
      </c>
      <c r="H36" s="367">
        <v>28</v>
      </c>
      <c r="I36" s="367">
        <v>201</v>
      </c>
      <c r="J36" s="367">
        <v>39</v>
      </c>
      <c r="K36" s="367">
        <v>26</v>
      </c>
      <c r="L36" s="367">
        <v>30</v>
      </c>
      <c r="M36" s="367">
        <v>28</v>
      </c>
      <c r="N36" s="367">
        <v>29</v>
      </c>
      <c r="O36" s="367">
        <v>33</v>
      </c>
      <c r="P36" s="367">
        <v>25</v>
      </c>
      <c r="Q36" s="369">
        <v>210</v>
      </c>
      <c r="R36" s="371">
        <v>37</v>
      </c>
      <c r="S36" s="371">
        <v>39</v>
      </c>
      <c r="T36" s="371">
        <v>29</v>
      </c>
      <c r="U36" s="371">
        <v>29</v>
      </c>
      <c r="V36" s="371">
        <v>29</v>
      </c>
      <c r="W36" s="371">
        <v>27</v>
      </c>
      <c r="X36" s="371">
        <v>33</v>
      </c>
      <c r="Y36" s="372">
        <v>223</v>
      </c>
      <c r="Z36" s="371">
        <v>30</v>
      </c>
      <c r="AA36" s="371">
        <v>37</v>
      </c>
      <c r="AB36" s="371">
        <v>40</v>
      </c>
      <c r="AC36" s="371">
        <v>31</v>
      </c>
      <c r="AD36" s="371">
        <v>30</v>
      </c>
      <c r="AE36" s="371">
        <v>26</v>
      </c>
      <c r="AF36" s="371">
        <v>26</v>
      </c>
      <c r="AG36" s="372">
        <v>220</v>
      </c>
      <c r="AH36" s="369">
        <v>49</v>
      </c>
      <c r="AI36" s="369">
        <v>29</v>
      </c>
      <c r="AJ36" s="369">
        <v>37</v>
      </c>
      <c r="AK36" s="369">
        <v>42</v>
      </c>
      <c r="AL36" s="369">
        <v>31</v>
      </c>
      <c r="AM36" s="369">
        <v>32</v>
      </c>
      <c r="AN36" s="369">
        <v>26</v>
      </c>
      <c r="AO36" s="369">
        <v>246</v>
      </c>
      <c r="AP36" s="369">
        <v>50</v>
      </c>
      <c r="AQ36" s="369">
        <v>49</v>
      </c>
      <c r="AR36" s="369">
        <v>30</v>
      </c>
      <c r="AS36" s="369">
        <v>37</v>
      </c>
      <c r="AT36" s="369">
        <v>45</v>
      </c>
      <c r="AU36" s="369">
        <v>30</v>
      </c>
      <c r="AV36" s="369">
        <v>32</v>
      </c>
      <c r="AW36" s="369">
        <v>273</v>
      </c>
      <c r="AX36" s="369">
        <v>43</v>
      </c>
      <c r="AY36" s="369">
        <v>48</v>
      </c>
      <c r="AZ36" s="369">
        <v>48</v>
      </c>
      <c r="BA36" s="369">
        <v>32</v>
      </c>
      <c r="BB36" s="369">
        <v>38</v>
      </c>
      <c r="BC36" s="369">
        <v>46</v>
      </c>
      <c r="BD36" s="369">
        <v>33</v>
      </c>
      <c r="BE36" s="369">
        <v>288</v>
      </c>
    </row>
    <row r="37" spans="1:57" s="365" customFormat="1">
      <c r="A37" s="204" t="s">
        <v>79</v>
      </c>
      <c r="B37" s="373">
        <v>28</v>
      </c>
      <c r="C37" s="373">
        <v>29</v>
      </c>
      <c r="D37" s="373">
        <v>18</v>
      </c>
      <c r="E37" s="373">
        <v>22</v>
      </c>
      <c r="F37" s="373">
        <v>22</v>
      </c>
      <c r="G37" s="373">
        <v>25</v>
      </c>
      <c r="H37" s="373">
        <v>22</v>
      </c>
      <c r="I37" s="373">
        <v>166</v>
      </c>
      <c r="J37" s="367">
        <v>29</v>
      </c>
      <c r="K37" s="367">
        <v>29</v>
      </c>
      <c r="L37" s="367">
        <v>29</v>
      </c>
      <c r="M37" s="367">
        <v>17</v>
      </c>
      <c r="N37" s="367">
        <v>22</v>
      </c>
      <c r="O37" s="367">
        <v>21</v>
      </c>
      <c r="P37" s="367">
        <v>27</v>
      </c>
      <c r="Q37" s="369">
        <v>174</v>
      </c>
      <c r="R37" s="371">
        <v>22</v>
      </c>
      <c r="S37" s="371">
        <v>30</v>
      </c>
      <c r="T37" s="371">
        <v>27</v>
      </c>
      <c r="U37" s="371">
        <v>28</v>
      </c>
      <c r="V37" s="371">
        <v>18</v>
      </c>
      <c r="W37" s="371">
        <v>18</v>
      </c>
      <c r="X37" s="371">
        <v>22</v>
      </c>
      <c r="Y37" s="372">
        <v>165</v>
      </c>
      <c r="Z37" s="371">
        <v>25</v>
      </c>
      <c r="AA37" s="371">
        <v>28</v>
      </c>
      <c r="AB37" s="371">
        <v>29</v>
      </c>
      <c r="AC37" s="371">
        <v>29</v>
      </c>
      <c r="AD37" s="371">
        <v>27</v>
      </c>
      <c r="AE37" s="371">
        <v>16</v>
      </c>
      <c r="AF37" s="371">
        <v>20</v>
      </c>
      <c r="AG37" s="372">
        <v>174</v>
      </c>
      <c r="AH37" s="369">
        <v>25</v>
      </c>
      <c r="AI37" s="369">
        <v>23</v>
      </c>
      <c r="AJ37" s="369">
        <v>30</v>
      </c>
      <c r="AK37" s="369">
        <v>27</v>
      </c>
      <c r="AL37" s="369">
        <v>22</v>
      </c>
      <c r="AM37" s="369">
        <v>25</v>
      </c>
      <c r="AN37" s="369">
        <v>19</v>
      </c>
      <c r="AO37" s="369">
        <v>171</v>
      </c>
      <c r="AP37" s="369">
        <v>24</v>
      </c>
      <c r="AQ37" s="369">
        <v>24</v>
      </c>
      <c r="AR37" s="369">
        <v>27</v>
      </c>
      <c r="AS37" s="369">
        <v>25</v>
      </c>
      <c r="AT37" s="369">
        <v>26</v>
      </c>
      <c r="AU37" s="369">
        <v>24</v>
      </c>
      <c r="AV37" s="369">
        <v>30</v>
      </c>
      <c r="AW37" s="369">
        <v>180</v>
      </c>
      <c r="AX37" s="369">
        <v>22</v>
      </c>
      <c r="AY37" s="369">
        <v>24</v>
      </c>
      <c r="AZ37" s="369">
        <v>22</v>
      </c>
      <c r="BA37" s="369">
        <v>24</v>
      </c>
      <c r="BB37" s="369">
        <v>21</v>
      </c>
      <c r="BC37" s="369">
        <v>26</v>
      </c>
      <c r="BD37" s="369">
        <v>23</v>
      </c>
      <c r="BE37" s="369">
        <v>162</v>
      </c>
    </row>
    <row r="38" spans="1:57">
      <c r="A38" s="178" t="s">
        <v>35</v>
      </c>
      <c r="B38" s="367">
        <v>66</v>
      </c>
      <c r="C38" s="367">
        <v>50</v>
      </c>
      <c r="D38" s="367">
        <v>58</v>
      </c>
      <c r="E38" s="367">
        <v>50</v>
      </c>
      <c r="F38" s="367">
        <v>47</v>
      </c>
      <c r="G38" s="367">
        <v>46</v>
      </c>
      <c r="H38" s="367">
        <v>50</v>
      </c>
      <c r="I38" s="367">
        <v>367</v>
      </c>
      <c r="J38" s="367">
        <v>84</v>
      </c>
      <c r="K38" s="367">
        <v>65</v>
      </c>
      <c r="L38" s="367">
        <v>52</v>
      </c>
      <c r="M38" s="367">
        <v>59</v>
      </c>
      <c r="N38" s="367">
        <v>48</v>
      </c>
      <c r="O38" s="367">
        <v>48</v>
      </c>
      <c r="P38" s="367">
        <v>44</v>
      </c>
      <c r="Q38" s="369">
        <v>400</v>
      </c>
      <c r="R38" s="371">
        <v>91</v>
      </c>
      <c r="S38" s="371">
        <v>76</v>
      </c>
      <c r="T38" s="371">
        <v>60</v>
      </c>
      <c r="U38" s="371">
        <v>50</v>
      </c>
      <c r="V38" s="371">
        <v>55</v>
      </c>
      <c r="W38" s="371">
        <v>49</v>
      </c>
      <c r="X38" s="371">
        <v>45</v>
      </c>
      <c r="Y38" s="372">
        <v>426</v>
      </c>
      <c r="Z38" s="371">
        <v>72</v>
      </c>
      <c r="AA38" s="371">
        <v>89</v>
      </c>
      <c r="AB38" s="371">
        <v>76</v>
      </c>
      <c r="AC38" s="371">
        <v>60</v>
      </c>
      <c r="AD38" s="371">
        <v>47</v>
      </c>
      <c r="AE38" s="371">
        <v>55</v>
      </c>
      <c r="AF38" s="371">
        <v>50</v>
      </c>
      <c r="AG38" s="372">
        <v>449</v>
      </c>
      <c r="AH38" s="369">
        <v>62</v>
      </c>
      <c r="AI38" s="369">
        <v>68</v>
      </c>
      <c r="AJ38" s="369">
        <v>81</v>
      </c>
      <c r="AK38" s="369">
        <v>75</v>
      </c>
      <c r="AL38" s="369">
        <v>53</v>
      </c>
      <c r="AM38" s="369">
        <v>42</v>
      </c>
      <c r="AN38" s="369">
        <v>56</v>
      </c>
      <c r="AO38" s="369">
        <v>437</v>
      </c>
      <c r="AP38" s="369">
        <v>63</v>
      </c>
      <c r="AQ38" s="369">
        <v>64</v>
      </c>
      <c r="AR38" s="369">
        <v>63</v>
      </c>
      <c r="AS38" s="369">
        <v>77</v>
      </c>
      <c r="AT38" s="369">
        <v>74</v>
      </c>
      <c r="AU38" s="369">
        <v>49</v>
      </c>
      <c r="AV38" s="369">
        <v>45</v>
      </c>
      <c r="AW38" s="369">
        <v>435</v>
      </c>
      <c r="AX38" s="369">
        <v>81</v>
      </c>
      <c r="AY38" s="369">
        <v>64</v>
      </c>
      <c r="AZ38" s="369">
        <v>59</v>
      </c>
      <c r="BA38" s="369">
        <v>60</v>
      </c>
      <c r="BB38" s="369">
        <v>75</v>
      </c>
      <c r="BC38" s="369">
        <v>69</v>
      </c>
      <c r="BD38" s="369">
        <v>50</v>
      </c>
      <c r="BE38" s="369">
        <v>458</v>
      </c>
    </row>
    <row r="39" spans="1:57">
      <c r="A39" s="178" t="s">
        <v>36</v>
      </c>
      <c r="B39" s="367">
        <v>75</v>
      </c>
      <c r="C39" s="367">
        <v>64</v>
      </c>
      <c r="D39" s="367">
        <v>56</v>
      </c>
      <c r="E39" s="367">
        <v>49</v>
      </c>
      <c r="F39" s="367">
        <v>68</v>
      </c>
      <c r="G39" s="367">
        <v>53</v>
      </c>
      <c r="H39" s="367">
        <v>54</v>
      </c>
      <c r="I39" s="367">
        <v>419</v>
      </c>
      <c r="J39" s="367">
        <v>79</v>
      </c>
      <c r="K39" s="367">
        <v>66</v>
      </c>
      <c r="L39" s="367">
        <v>67</v>
      </c>
      <c r="M39" s="367">
        <v>56</v>
      </c>
      <c r="N39" s="367">
        <v>50</v>
      </c>
      <c r="O39" s="367">
        <v>67</v>
      </c>
      <c r="P39" s="367">
        <v>48</v>
      </c>
      <c r="Q39" s="369">
        <v>433</v>
      </c>
      <c r="R39" s="371">
        <v>80</v>
      </c>
      <c r="S39" s="371">
        <v>82</v>
      </c>
      <c r="T39" s="371">
        <v>66</v>
      </c>
      <c r="U39" s="371">
        <v>65</v>
      </c>
      <c r="V39" s="371">
        <v>54</v>
      </c>
      <c r="W39" s="371">
        <v>52</v>
      </c>
      <c r="X39" s="371">
        <v>65</v>
      </c>
      <c r="Y39" s="372">
        <v>464</v>
      </c>
      <c r="Z39" s="371">
        <v>63</v>
      </c>
      <c r="AA39" s="371">
        <v>76</v>
      </c>
      <c r="AB39" s="371">
        <v>77</v>
      </c>
      <c r="AC39" s="371">
        <v>65</v>
      </c>
      <c r="AD39" s="371">
        <v>64</v>
      </c>
      <c r="AE39" s="371">
        <v>46</v>
      </c>
      <c r="AF39" s="371">
        <v>49</v>
      </c>
      <c r="AG39" s="372">
        <v>440</v>
      </c>
      <c r="AH39" s="369">
        <v>73</v>
      </c>
      <c r="AI39" s="369">
        <v>65</v>
      </c>
      <c r="AJ39" s="369">
        <v>75</v>
      </c>
      <c r="AK39" s="369">
        <v>81</v>
      </c>
      <c r="AL39" s="369">
        <v>62</v>
      </c>
      <c r="AM39" s="369">
        <v>66</v>
      </c>
      <c r="AN39" s="369">
        <v>50</v>
      </c>
      <c r="AO39" s="369">
        <v>472</v>
      </c>
      <c r="AP39" s="369">
        <v>85</v>
      </c>
      <c r="AQ39" s="369">
        <v>70</v>
      </c>
      <c r="AR39" s="369">
        <v>60</v>
      </c>
      <c r="AS39" s="369">
        <v>72</v>
      </c>
      <c r="AT39" s="369">
        <v>83</v>
      </c>
      <c r="AU39" s="369">
        <v>61</v>
      </c>
      <c r="AV39" s="369">
        <v>63</v>
      </c>
      <c r="AW39" s="369">
        <v>494</v>
      </c>
      <c r="AX39" s="369">
        <v>63</v>
      </c>
      <c r="AY39" s="369">
        <v>88</v>
      </c>
      <c r="AZ39" s="369">
        <v>70</v>
      </c>
      <c r="BA39" s="369">
        <v>60</v>
      </c>
      <c r="BB39" s="369">
        <v>76</v>
      </c>
      <c r="BC39" s="369">
        <v>78</v>
      </c>
      <c r="BD39" s="369">
        <v>67</v>
      </c>
      <c r="BE39" s="369">
        <v>502</v>
      </c>
    </row>
    <row r="40" spans="1:57">
      <c r="A40" s="178" t="s">
        <v>37</v>
      </c>
      <c r="B40" s="367">
        <v>68</v>
      </c>
      <c r="C40" s="367">
        <v>62</v>
      </c>
      <c r="D40" s="367">
        <v>56</v>
      </c>
      <c r="E40" s="367">
        <v>49</v>
      </c>
      <c r="F40" s="367">
        <v>34</v>
      </c>
      <c r="G40" s="367">
        <v>38</v>
      </c>
      <c r="H40" s="367">
        <v>37</v>
      </c>
      <c r="I40" s="367">
        <v>344</v>
      </c>
      <c r="J40" s="367">
        <v>73</v>
      </c>
      <c r="K40" s="367">
        <v>60</v>
      </c>
      <c r="L40" s="367">
        <v>61</v>
      </c>
      <c r="M40" s="367">
        <v>53</v>
      </c>
      <c r="N40" s="367">
        <v>44</v>
      </c>
      <c r="O40" s="367">
        <v>36</v>
      </c>
      <c r="P40" s="367">
        <v>38</v>
      </c>
      <c r="Q40" s="369">
        <v>365</v>
      </c>
      <c r="R40" s="371">
        <v>68</v>
      </c>
      <c r="S40" s="371">
        <v>77</v>
      </c>
      <c r="T40" s="371">
        <v>44</v>
      </c>
      <c r="U40" s="371">
        <v>59</v>
      </c>
      <c r="V40" s="371">
        <v>50</v>
      </c>
      <c r="W40" s="371">
        <v>44</v>
      </c>
      <c r="X40" s="371">
        <v>35</v>
      </c>
      <c r="Y40" s="372">
        <v>377</v>
      </c>
      <c r="Z40" s="371">
        <v>69</v>
      </c>
      <c r="AA40" s="371">
        <v>56</v>
      </c>
      <c r="AB40" s="371">
        <v>72</v>
      </c>
      <c r="AC40" s="371">
        <v>40</v>
      </c>
      <c r="AD40" s="371">
        <v>55</v>
      </c>
      <c r="AE40" s="371">
        <v>48</v>
      </c>
      <c r="AF40" s="371">
        <v>46</v>
      </c>
      <c r="AG40" s="372">
        <v>386</v>
      </c>
      <c r="AH40" s="369">
        <v>106</v>
      </c>
      <c r="AI40" s="369">
        <v>57</v>
      </c>
      <c r="AJ40" s="369">
        <v>52</v>
      </c>
      <c r="AK40" s="369">
        <v>69</v>
      </c>
      <c r="AL40" s="369">
        <v>38</v>
      </c>
      <c r="AM40" s="369">
        <v>52</v>
      </c>
      <c r="AN40" s="369">
        <v>46</v>
      </c>
      <c r="AO40" s="369">
        <v>420</v>
      </c>
      <c r="AP40" s="369">
        <v>83</v>
      </c>
      <c r="AQ40" s="369">
        <v>103</v>
      </c>
      <c r="AR40" s="369">
        <v>56</v>
      </c>
      <c r="AS40" s="369">
        <v>53</v>
      </c>
      <c r="AT40" s="369">
        <v>68</v>
      </c>
      <c r="AU40" s="369">
        <v>39</v>
      </c>
      <c r="AV40" s="369">
        <v>53</v>
      </c>
      <c r="AW40" s="369">
        <v>455</v>
      </c>
      <c r="AX40" s="369">
        <v>70</v>
      </c>
      <c r="AY40" s="369">
        <v>80</v>
      </c>
      <c r="AZ40" s="369">
        <v>102</v>
      </c>
      <c r="BA40" s="369">
        <v>54</v>
      </c>
      <c r="BB40" s="369">
        <v>50</v>
      </c>
      <c r="BC40" s="369">
        <v>66</v>
      </c>
      <c r="BD40" s="369">
        <v>39</v>
      </c>
      <c r="BE40" s="369">
        <v>461</v>
      </c>
    </row>
    <row r="41" spans="1:57">
      <c r="A41" s="178" t="s">
        <v>38</v>
      </c>
      <c r="B41" s="367">
        <v>71</v>
      </c>
      <c r="C41" s="367">
        <v>59</v>
      </c>
      <c r="D41" s="367">
        <v>72</v>
      </c>
      <c r="E41" s="367">
        <v>51</v>
      </c>
      <c r="F41" s="367">
        <v>54</v>
      </c>
      <c r="G41" s="367">
        <v>56</v>
      </c>
      <c r="H41" s="367">
        <v>48</v>
      </c>
      <c r="I41" s="367">
        <v>411</v>
      </c>
      <c r="J41" s="367">
        <v>83</v>
      </c>
      <c r="K41" s="367">
        <v>72</v>
      </c>
      <c r="L41" s="367">
        <v>60</v>
      </c>
      <c r="M41" s="367">
        <v>74</v>
      </c>
      <c r="N41" s="367">
        <v>48</v>
      </c>
      <c r="O41" s="367">
        <v>53</v>
      </c>
      <c r="P41" s="367">
        <v>59</v>
      </c>
      <c r="Q41" s="369">
        <v>449</v>
      </c>
      <c r="R41" s="371">
        <v>87</v>
      </c>
      <c r="S41" s="371">
        <v>81</v>
      </c>
      <c r="T41" s="371">
        <v>68</v>
      </c>
      <c r="U41" s="371">
        <v>59</v>
      </c>
      <c r="V41" s="371">
        <v>71</v>
      </c>
      <c r="W41" s="371">
        <v>48</v>
      </c>
      <c r="X41" s="371">
        <v>55</v>
      </c>
      <c r="Y41" s="372">
        <v>469</v>
      </c>
      <c r="Z41" s="371">
        <v>74</v>
      </c>
      <c r="AA41" s="371">
        <v>83</v>
      </c>
      <c r="AB41" s="371">
        <v>76</v>
      </c>
      <c r="AC41" s="371">
        <v>65</v>
      </c>
      <c r="AD41" s="371">
        <v>61</v>
      </c>
      <c r="AE41" s="371">
        <v>69</v>
      </c>
      <c r="AF41" s="371">
        <v>47</v>
      </c>
      <c r="AG41" s="372">
        <v>475</v>
      </c>
      <c r="AH41" s="369">
        <v>57</v>
      </c>
      <c r="AI41" s="369">
        <v>74</v>
      </c>
      <c r="AJ41" s="369">
        <v>80</v>
      </c>
      <c r="AK41" s="369">
        <v>75</v>
      </c>
      <c r="AL41" s="369">
        <v>65</v>
      </c>
      <c r="AM41" s="369">
        <v>62</v>
      </c>
      <c r="AN41" s="369">
        <v>69</v>
      </c>
      <c r="AO41" s="369">
        <v>482</v>
      </c>
      <c r="AP41" s="369">
        <v>75</v>
      </c>
      <c r="AQ41" s="369">
        <v>58</v>
      </c>
      <c r="AR41" s="369">
        <v>73</v>
      </c>
      <c r="AS41" s="369">
        <v>82</v>
      </c>
      <c r="AT41" s="369">
        <v>75</v>
      </c>
      <c r="AU41" s="369">
        <v>66</v>
      </c>
      <c r="AV41" s="369">
        <v>58</v>
      </c>
      <c r="AW41" s="369">
        <v>487</v>
      </c>
      <c r="AX41" s="369">
        <v>85</v>
      </c>
      <c r="AY41" s="369">
        <v>75</v>
      </c>
      <c r="AZ41" s="369">
        <v>59</v>
      </c>
      <c r="BA41" s="369">
        <v>73</v>
      </c>
      <c r="BB41" s="369">
        <v>79</v>
      </c>
      <c r="BC41" s="369">
        <v>74</v>
      </c>
      <c r="BD41" s="369">
        <v>62</v>
      </c>
      <c r="BE41" s="369">
        <v>507</v>
      </c>
    </row>
    <row r="42" spans="1:57">
      <c r="A42" s="178" t="s">
        <v>39</v>
      </c>
      <c r="B42" s="367">
        <v>51</v>
      </c>
      <c r="C42" s="367">
        <v>60</v>
      </c>
      <c r="D42" s="367">
        <v>48</v>
      </c>
      <c r="E42" s="367">
        <v>47</v>
      </c>
      <c r="F42" s="367">
        <v>54</v>
      </c>
      <c r="G42" s="367">
        <v>47</v>
      </c>
      <c r="H42" s="367">
        <v>55</v>
      </c>
      <c r="I42" s="367">
        <v>362</v>
      </c>
      <c r="J42" s="367">
        <v>55</v>
      </c>
      <c r="K42" s="367">
        <v>49</v>
      </c>
      <c r="L42" s="367">
        <v>60</v>
      </c>
      <c r="M42" s="367">
        <v>47</v>
      </c>
      <c r="N42" s="367">
        <v>45</v>
      </c>
      <c r="O42" s="367">
        <v>49</v>
      </c>
      <c r="P42" s="367">
        <v>47</v>
      </c>
      <c r="Q42" s="369">
        <v>352</v>
      </c>
      <c r="R42" s="371">
        <v>58</v>
      </c>
      <c r="S42" s="371">
        <v>56</v>
      </c>
      <c r="T42" s="371">
        <v>44</v>
      </c>
      <c r="U42" s="371">
        <v>52</v>
      </c>
      <c r="V42" s="371">
        <v>47</v>
      </c>
      <c r="W42" s="371">
        <v>38</v>
      </c>
      <c r="X42" s="371">
        <v>48</v>
      </c>
      <c r="Y42" s="372">
        <v>343</v>
      </c>
      <c r="Z42" s="371">
        <v>57</v>
      </c>
      <c r="AA42" s="371">
        <v>57</v>
      </c>
      <c r="AB42" s="371">
        <v>55</v>
      </c>
      <c r="AC42" s="371">
        <v>42</v>
      </c>
      <c r="AD42" s="371">
        <v>55</v>
      </c>
      <c r="AE42" s="371">
        <v>45</v>
      </c>
      <c r="AF42" s="371">
        <v>37</v>
      </c>
      <c r="AG42" s="372">
        <v>348</v>
      </c>
      <c r="AH42" s="369">
        <v>47</v>
      </c>
      <c r="AI42" s="369">
        <v>55</v>
      </c>
      <c r="AJ42" s="369">
        <v>54</v>
      </c>
      <c r="AK42" s="369">
        <v>49</v>
      </c>
      <c r="AL42" s="369">
        <v>44</v>
      </c>
      <c r="AM42" s="369">
        <v>54</v>
      </c>
      <c r="AN42" s="369">
        <v>48</v>
      </c>
      <c r="AO42" s="369">
        <v>351</v>
      </c>
      <c r="AP42" s="369">
        <v>52</v>
      </c>
      <c r="AQ42" s="369">
        <v>43</v>
      </c>
      <c r="AR42" s="369">
        <v>51</v>
      </c>
      <c r="AS42" s="369">
        <v>49</v>
      </c>
      <c r="AT42" s="369">
        <v>47</v>
      </c>
      <c r="AU42" s="369">
        <v>40</v>
      </c>
      <c r="AV42" s="369">
        <v>54</v>
      </c>
      <c r="AW42" s="369">
        <v>336</v>
      </c>
      <c r="AX42" s="369">
        <v>50</v>
      </c>
      <c r="AY42" s="369">
        <v>52</v>
      </c>
      <c r="AZ42" s="369">
        <v>41</v>
      </c>
      <c r="BA42" s="369">
        <v>48</v>
      </c>
      <c r="BB42" s="369">
        <v>47</v>
      </c>
      <c r="BC42" s="369">
        <v>44</v>
      </c>
      <c r="BD42" s="369">
        <v>40</v>
      </c>
      <c r="BE42" s="369">
        <v>322</v>
      </c>
    </row>
    <row r="43" spans="1:57">
      <c r="A43" s="178" t="s">
        <v>40</v>
      </c>
      <c r="B43" s="367">
        <v>8</v>
      </c>
      <c r="C43" s="367">
        <v>7</v>
      </c>
      <c r="D43" s="367">
        <v>11</v>
      </c>
      <c r="E43" s="367">
        <v>11</v>
      </c>
      <c r="F43" s="367">
        <v>7</v>
      </c>
      <c r="G43" s="367">
        <v>2</v>
      </c>
      <c r="H43" s="367">
        <v>10</v>
      </c>
      <c r="I43" s="367">
        <v>56</v>
      </c>
      <c r="J43" s="367">
        <v>7</v>
      </c>
      <c r="K43" s="367">
        <v>9</v>
      </c>
      <c r="L43" s="367">
        <v>8</v>
      </c>
      <c r="M43" s="367">
        <v>9</v>
      </c>
      <c r="N43" s="367">
        <v>11</v>
      </c>
      <c r="O43" s="367">
        <v>5</v>
      </c>
      <c r="P43" s="367"/>
      <c r="Q43" s="369">
        <v>49</v>
      </c>
      <c r="R43" s="371">
        <v>7</v>
      </c>
      <c r="S43" s="371">
        <v>8</v>
      </c>
      <c r="T43" s="371">
        <v>9</v>
      </c>
      <c r="U43" s="371">
        <v>7</v>
      </c>
      <c r="V43" s="371">
        <v>7</v>
      </c>
      <c r="W43" s="371">
        <v>11</v>
      </c>
      <c r="X43" s="371">
        <v>6</v>
      </c>
      <c r="Y43" s="372">
        <v>55</v>
      </c>
      <c r="Z43" s="371">
        <v>12</v>
      </c>
      <c r="AA43" s="371">
        <v>8</v>
      </c>
      <c r="AB43" s="371">
        <v>10</v>
      </c>
      <c r="AC43" s="371">
        <v>11</v>
      </c>
      <c r="AD43" s="371">
        <v>7</v>
      </c>
      <c r="AE43" s="371">
        <v>9</v>
      </c>
      <c r="AF43" s="371">
        <v>11</v>
      </c>
      <c r="AG43" s="372">
        <v>68</v>
      </c>
      <c r="AH43" s="369">
        <v>14</v>
      </c>
      <c r="AI43" s="369">
        <v>12</v>
      </c>
      <c r="AJ43" s="369">
        <v>7</v>
      </c>
      <c r="AK43" s="369">
        <v>7</v>
      </c>
      <c r="AL43" s="369">
        <v>8</v>
      </c>
      <c r="AM43" s="369">
        <v>6</v>
      </c>
      <c r="AN43" s="369">
        <v>7</v>
      </c>
      <c r="AO43" s="369">
        <v>61</v>
      </c>
      <c r="AP43" s="369">
        <v>12</v>
      </c>
      <c r="AQ43" s="369">
        <v>15</v>
      </c>
      <c r="AR43" s="369">
        <v>10</v>
      </c>
      <c r="AS43" s="369">
        <v>6</v>
      </c>
      <c r="AT43" s="369">
        <v>7</v>
      </c>
      <c r="AU43" s="369">
        <v>7</v>
      </c>
      <c r="AV43" s="369">
        <v>6</v>
      </c>
      <c r="AW43" s="369">
        <v>63</v>
      </c>
      <c r="AX43" s="369">
        <v>5</v>
      </c>
      <c r="AY43" s="369">
        <v>12</v>
      </c>
      <c r="AZ43" s="369">
        <v>16</v>
      </c>
      <c r="BA43" s="369">
        <v>10</v>
      </c>
      <c r="BB43" s="369">
        <v>6</v>
      </c>
      <c r="BC43" s="369">
        <v>6</v>
      </c>
      <c r="BD43" s="369">
        <v>7</v>
      </c>
      <c r="BE43" s="369">
        <v>62</v>
      </c>
    </row>
    <row r="44" spans="1:57" s="365" customFormat="1">
      <c r="A44" s="204" t="s">
        <v>84</v>
      </c>
      <c r="B44" s="373">
        <v>58</v>
      </c>
      <c r="C44" s="373">
        <v>58</v>
      </c>
      <c r="D44" s="373">
        <v>38</v>
      </c>
      <c r="E44" s="373">
        <v>28</v>
      </c>
      <c r="F44" s="373">
        <v>40</v>
      </c>
      <c r="G44" s="373">
        <v>27</v>
      </c>
      <c r="H44" s="373">
        <v>24</v>
      </c>
      <c r="I44" s="373">
        <v>273</v>
      </c>
      <c r="J44" s="367">
        <v>58</v>
      </c>
      <c r="K44" s="367">
        <v>49</v>
      </c>
      <c r="L44" s="367">
        <v>46</v>
      </c>
      <c r="M44" s="367">
        <v>39</v>
      </c>
      <c r="N44" s="367">
        <v>27</v>
      </c>
      <c r="O44" s="367">
        <v>37</v>
      </c>
      <c r="P44" s="367">
        <v>26</v>
      </c>
      <c r="Q44" s="369">
        <v>282</v>
      </c>
      <c r="R44" s="371">
        <v>48</v>
      </c>
      <c r="S44" s="371">
        <v>52</v>
      </c>
      <c r="T44" s="371">
        <v>45</v>
      </c>
      <c r="U44" s="371">
        <v>42</v>
      </c>
      <c r="V44" s="371">
        <v>32</v>
      </c>
      <c r="W44" s="371">
        <v>29</v>
      </c>
      <c r="X44" s="371">
        <v>33</v>
      </c>
      <c r="Y44" s="372">
        <v>281</v>
      </c>
      <c r="Z44" s="371">
        <v>57</v>
      </c>
      <c r="AA44" s="371">
        <v>43</v>
      </c>
      <c r="AB44" s="371">
        <v>51</v>
      </c>
      <c r="AC44" s="371">
        <v>39</v>
      </c>
      <c r="AD44" s="371">
        <v>43</v>
      </c>
      <c r="AE44" s="371">
        <v>31</v>
      </c>
      <c r="AF44" s="371">
        <v>27</v>
      </c>
      <c r="AG44" s="372">
        <v>291</v>
      </c>
      <c r="AH44" s="369">
        <v>48</v>
      </c>
      <c r="AI44" s="369">
        <v>54</v>
      </c>
      <c r="AJ44" s="369">
        <v>39</v>
      </c>
      <c r="AK44" s="369">
        <v>50</v>
      </c>
      <c r="AL44" s="369">
        <v>37</v>
      </c>
      <c r="AM44" s="369">
        <v>40</v>
      </c>
      <c r="AN44" s="369">
        <v>29</v>
      </c>
      <c r="AO44" s="369">
        <v>297</v>
      </c>
      <c r="AP44" s="369">
        <v>55</v>
      </c>
      <c r="AQ44" s="369">
        <v>50</v>
      </c>
      <c r="AR44" s="369">
        <v>51</v>
      </c>
      <c r="AS44" s="369">
        <v>37</v>
      </c>
      <c r="AT44" s="369">
        <v>48</v>
      </c>
      <c r="AU44" s="369">
        <v>37</v>
      </c>
      <c r="AV44" s="369">
        <v>41</v>
      </c>
      <c r="AW44" s="369">
        <v>319</v>
      </c>
      <c r="AX44" s="369">
        <v>47</v>
      </c>
      <c r="AY44" s="369">
        <v>54</v>
      </c>
      <c r="AZ44" s="369">
        <v>53</v>
      </c>
      <c r="BA44" s="369">
        <v>55</v>
      </c>
      <c r="BB44" s="369">
        <v>33</v>
      </c>
      <c r="BC44" s="369">
        <v>45</v>
      </c>
      <c r="BD44" s="369">
        <v>36</v>
      </c>
      <c r="BE44" s="369">
        <v>323</v>
      </c>
    </row>
    <row r="45" spans="1:57">
      <c r="A45" s="178" t="s">
        <v>41</v>
      </c>
      <c r="B45" s="367">
        <v>60</v>
      </c>
      <c r="C45" s="367">
        <v>59</v>
      </c>
      <c r="D45" s="367">
        <v>60</v>
      </c>
      <c r="E45" s="367">
        <v>62</v>
      </c>
      <c r="F45" s="367">
        <v>50</v>
      </c>
      <c r="G45" s="367">
        <v>60</v>
      </c>
      <c r="H45" s="367">
        <v>56</v>
      </c>
      <c r="I45" s="367">
        <v>407</v>
      </c>
      <c r="J45" s="367">
        <v>75</v>
      </c>
      <c r="K45" s="367">
        <v>61</v>
      </c>
      <c r="L45" s="367">
        <v>58</v>
      </c>
      <c r="M45" s="367">
        <v>59</v>
      </c>
      <c r="N45" s="367">
        <v>60</v>
      </c>
      <c r="O45" s="367">
        <v>49</v>
      </c>
      <c r="P45" s="367">
        <v>57</v>
      </c>
      <c r="Q45" s="369">
        <v>419</v>
      </c>
      <c r="R45" s="371">
        <v>85</v>
      </c>
      <c r="S45" s="371">
        <v>83</v>
      </c>
      <c r="T45" s="371">
        <v>60</v>
      </c>
      <c r="U45" s="371">
        <v>60</v>
      </c>
      <c r="V45" s="371">
        <v>55</v>
      </c>
      <c r="W45" s="371">
        <v>59</v>
      </c>
      <c r="X45" s="371">
        <v>49</v>
      </c>
      <c r="Y45" s="372">
        <v>451</v>
      </c>
      <c r="Z45" s="371">
        <v>88</v>
      </c>
      <c r="AA45" s="371">
        <v>85</v>
      </c>
      <c r="AB45" s="371">
        <v>87</v>
      </c>
      <c r="AC45" s="371">
        <v>59</v>
      </c>
      <c r="AD45" s="371">
        <v>60</v>
      </c>
      <c r="AE45" s="371">
        <v>57</v>
      </c>
      <c r="AF45" s="371">
        <v>59</v>
      </c>
      <c r="AG45" s="372">
        <v>495</v>
      </c>
      <c r="AH45" s="369">
        <v>81</v>
      </c>
      <c r="AI45" s="369">
        <v>90</v>
      </c>
      <c r="AJ45" s="369">
        <v>85</v>
      </c>
      <c r="AK45" s="369">
        <v>89</v>
      </c>
      <c r="AL45" s="369">
        <v>60</v>
      </c>
      <c r="AM45" s="369">
        <v>59</v>
      </c>
      <c r="AN45" s="369">
        <v>60</v>
      </c>
      <c r="AO45" s="369">
        <v>524</v>
      </c>
      <c r="AP45" s="369">
        <v>86</v>
      </c>
      <c r="AQ45" s="369">
        <v>82</v>
      </c>
      <c r="AR45" s="369">
        <v>90</v>
      </c>
      <c r="AS45" s="369">
        <v>83</v>
      </c>
      <c r="AT45" s="369">
        <v>89</v>
      </c>
      <c r="AU45" s="369">
        <v>65</v>
      </c>
      <c r="AV45" s="369">
        <v>62</v>
      </c>
      <c r="AW45" s="369">
        <v>557</v>
      </c>
      <c r="AX45" s="369">
        <v>88</v>
      </c>
      <c r="AY45" s="369">
        <v>87</v>
      </c>
      <c r="AZ45" s="369">
        <v>87</v>
      </c>
      <c r="BA45" s="369">
        <v>93</v>
      </c>
      <c r="BB45" s="369">
        <v>86</v>
      </c>
      <c r="BC45" s="369">
        <v>89</v>
      </c>
      <c r="BD45" s="369">
        <v>66</v>
      </c>
      <c r="BE45" s="369">
        <v>596</v>
      </c>
    </row>
    <row r="46" spans="1:57">
      <c r="A46" s="178" t="s">
        <v>42</v>
      </c>
      <c r="B46" s="367">
        <v>60</v>
      </c>
      <c r="C46" s="367">
        <v>58</v>
      </c>
      <c r="D46" s="367">
        <v>60</v>
      </c>
      <c r="E46" s="367">
        <v>50</v>
      </c>
      <c r="F46" s="367">
        <v>55</v>
      </c>
      <c r="G46" s="367">
        <v>59</v>
      </c>
      <c r="H46" s="367">
        <v>59</v>
      </c>
      <c r="I46" s="367">
        <v>401</v>
      </c>
      <c r="J46" s="367">
        <v>60</v>
      </c>
      <c r="K46" s="367">
        <v>60</v>
      </c>
      <c r="L46" s="367">
        <v>58</v>
      </c>
      <c r="M46" s="367">
        <v>63</v>
      </c>
      <c r="N46" s="367">
        <v>52</v>
      </c>
      <c r="O46" s="367">
        <v>52</v>
      </c>
      <c r="P46" s="367">
        <v>59</v>
      </c>
      <c r="Q46" s="369">
        <v>404</v>
      </c>
      <c r="R46" s="371">
        <v>60</v>
      </c>
      <c r="S46" s="371">
        <v>60</v>
      </c>
      <c r="T46" s="371">
        <v>60</v>
      </c>
      <c r="U46" s="371">
        <v>58</v>
      </c>
      <c r="V46" s="371">
        <v>60</v>
      </c>
      <c r="W46" s="371">
        <v>52</v>
      </c>
      <c r="X46" s="371">
        <v>52</v>
      </c>
      <c r="Y46" s="372">
        <v>402</v>
      </c>
      <c r="Z46" s="371">
        <v>63</v>
      </c>
      <c r="AA46" s="371">
        <v>58</v>
      </c>
      <c r="AB46" s="371">
        <v>61</v>
      </c>
      <c r="AC46" s="371">
        <v>65</v>
      </c>
      <c r="AD46" s="371">
        <v>58</v>
      </c>
      <c r="AE46" s="371">
        <v>59</v>
      </c>
      <c r="AF46" s="371">
        <v>56</v>
      </c>
      <c r="AG46" s="372">
        <v>420</v>
      </c>
      <c r="AH46" s="369">
        <v>57</v>
      </c>
      <c r="AI46" s="369">
        <v>64</v>
      </c>
      <c r="AJ46" s="369">
        <v>59</v>
      </c>
      <c r="AK46" s="369">
        <v>61</v>
      </c>
      <c r="AL46" s="369">
        <v>63</v>
      </c>
      <c r="AM46" s="369">
        <v>59</v>
      </c>
      <c r="AN46" s="369">
        <v>57</v>
      </c>
      <c r="AO46" s="369">
        <v>420</v>
      </c>
      <c r="AP46" s="369">
        <v>53</v>
      </c>
      <c r="AQ46" s="369">
        <v>54</v>
      </c>
      <c r="AR46" s="369">
        <v>63</v>
      </c>
      <c r="AS46" s="369">
        <v>61</v>
      </c>
      <c r="AT46" s="369">
        <v>61</v>
      </c>
      <c r="AU46" s="369">
        <v>57</v>
      </c>
      <c r="AV46" s="369">
        <v>53</v>
      </c>
      <c r="AW46" s="369">
        <v>402</v>
      </c>
      <c r="AX46" s="369">
        <v>47</v>
      </c>
      <c r="AY46" s="369">
        <v>54</v>
      </c>
      <c r="AZ46" s="369">
        <v>53</v>
      </c>
      <c r="BA46" s="369">
        <v>63</v>
      </c>
      <c r="BB46" s="369">
        <v>58</v>
      </c>
      <c r="BC46" s="369">
        <v>63</v>
      </c>
      <c r="BD46" s="369">
        <v>52</v>
      </c>
      <c r="BE46" s="369">
        <v>390</v>
      </c>
    </row>
    <row r="47" spans="1:57">
      <c r="A47" s="178" t="s">
        <v>43</v>
      </c>
      <c r="B47" s="367">
        <v>58</v>
      </c>
      <c r="C47" s="367">
        <v>46</v>
      </c>
      <c r="D47" s="367">
        <v>57</v>
      </c>
      <c r="E47" s="367">
        <v>44</v>
      </c>
      <c r="F47" s="367">
        <v>46</v>
      </c>
      <c r="G47" s="367">
        <v>43</v>
      </c>
      <c r="H47" s="367">
        <v>38</v>
      </c>
      <c r="I47" s="367">
        <v>332</v>
      </c>
      <c r="J47" s="367">
        <v>60</v>
      </c>
      <c r="K47" s="367">
        <v>59</v>
      </c>
      <c r="L47" s="367">
        <v>47</v>
      </c>
      <c r="M47" s="367">
        <v>61</v>
      </c>
      <c r="N47" s="367">
        <v>43</v>
      </c>
      <c r="O47" s="367">
        <v>49</v>
      </c>
      <c r="P47" s="367">
        <v>42</v>
      </c>
      <c r="Q47" s="369">
        <v>361</v>
      </c>
      <c r="R47" s="371">
        <v>80</v>
      </c>
      <c r="S47" s="371">
        <v>60</v>
      </c>
      <c r="T47" s="371">
        <v>60</v>
      </c>
      <c r="U47" s="371">
        <v>52</v>
      </c>
      <c r="V47" s="371">
        <v>61</v>
      </c>
      <c r="W47" s="371">
        <v>40</v>
      </c>
      <c r="X47" s="371">
        <v>50</v>
      </c>
      <c r="Y47" s="372">
        <v>403</v>
      </c>
      <c r="Z47" s="371">
        <v>67</v>
      </c>
      <c r="AA47" s="371">
        <v>84</v>
      </c>
      <c r="AB47" s="371">
        <v>67</v>
      </c>
      <c r="AC47" s="371">
        <v>63</v>
      </c>
      <c r="AD47" s="371">
        <v>55</v>
      </c>
      <c r="AE47" s="371">
        <v>59</v>
      </c>
      <c r="AF47" s="371">
        <v>42</v>
      </c>
      <c r="AG47" s="372">
        <v>437</v>
      </c>
      <c r="AH47" s="369">
        <v>95</v>
      </c>
      <c r="AI47" s="369">
        <v>69</v>
      </c>
      <c r="AJ47" s="369">
        <v>89</v>
      </c>
      <c r="AK47" s="369">
        <v>68</v>
      </c>
      <c r="AL47" s="369">
        <v>63</v>
      </c>
      <c r="AM47" s="369">
        <v>48</v>
      </c>
      <c r="AN47" s="369">
        <v>59</v>
      </c>
      <c r="AO47" s="369">
        <v>491</v>
      </c>
      <c r="AP47" s="369">
        <v>96</v>
      </c>
      <c r="AQ47" s="369">
        <v>99</v>
      </c>
      <c r="AR47" s="369">
        <v>66</v>
      </c>
      <c r="AS47" s="369">
        <v>88</v>
      </c>
      <c r="AT47" s="369">
        <v>70</v>
      </c>
      <c r="AU47" s="369">
        <v>62</v>
      </c>
      <c r="AV47" s="369">
        <v>48</v>
      </c>
      <c r="AW47" s="369">
        <v>529</v>
      </c>
      <c r="AX47" s="369">
        <v>107</v>
      </c>
      <c r="AY47" s="369">
        <v>102</v>
      </c>
      <c r="AZ47" s="369">
        <v>94</v>
      </c>
      <c r="BA47" s="369">
        <v>64</v>
      </c>
      <c r="BB47" s="369">
        <v>90</v>
      </c>
      <c r="BC47" s="369">
        <v>64</v>
      </c>
      <c r="BD47" s="369">
        <v>61</v>
      </c>
      <c r="BE47" s="369">
        <v>582</v>
      </c>
    </row>
    <row r="48" spans="1:57">
      <c r="A48" s="178" t="s">
        <v>44</v>
      </c>
      <c r="B48" s="367">
        <v>60</v>
      </c>
      <c r="C48" s="367">
        <v>55</v>
      </c>
      <c r="D48" s="367">
        <v>33</v>
      </c>
      <c r="E48" s="367">
        <v>33</v>
      </c>
      <c r="F48" s="367">
        <v>14</v>
      </c>
      <c r="G48" s="367">
        <v>38</v>
      </c>
      <c r="H48" s="367">
        <v>30</v>
      </c>
      <c r="I48" s="367">
        <v>263</v>
      </c>
      <c r="J48" s="367">
        <v>53</v>
      </c>
      <c r="K48" s="367">
        <v>64</v>
      </c>
      <c r="L48" s="367">
        <v>44</v>
      </c>
      <c r="M48" s="367">
        <v>30</v>
      </c>
      <c r="N48" s="367">
        <v>33</v>
      </c>
      <c r="O48" s="367">
        <v>16</v>
      </c>
      <c r="P48" s="367">
        <v>38</v>
      </c>
      <c r="Q48" s="369">
        <v>278</v>
      </c>
      <c r="R48" s="371">
        <v>76</v>
      </c>
      <c r="S48" s="371">
        <v>55</v>
      </c>
      <c r="T48" s="371">
        <v>64</v>
      </c>
      <c r="U48" s="371">
        <v>47</v>
      </c>
      <c r="V48" s="371">
        <v>33</v>
      </c>
      <c r="W48" s="371">
        <v>32</v>
      </c>
      <c r="X48" s="371">
        <v>17</v>
      </c>
      <c r="Y48" s="372">
        <v>324</v>
      </c>
      <c r="Z48" s="371">
        <v>67</v>
      </c>
      <c r="AA48" s="371">
        <v>78</v>
      </c>
      <c r="AB48" s="371">
        <v>53</v>
      </c>
      <c r="AC48" s="371">
        <v>64</v>
      </c>
      <c r="AD48" s="371">
        <v>42</v>
      </c>
      <c r="AE48" s="371">
        <v>31</v>
      </c>
      <c r="AF48" s="371">
        <v>32</v>
      </c>
      <c r="AG48" s="372">
        <v>367</v>
      </c>
      <c r="AH48" s="369">
        <v>46</v>
      </c>
      <c r="AI48" s="369">
        <v>70</v>
      </c>
      <c r="AJ48" s="369">
        <v>70</v>
      </c>
      <c r="AK48" s="369">
        <v>54</v>
      </c>
      <c r="AL48" s="369">
        <v>65</v>
      </c>
      <c r="AM48" s="369">
        <v>41</v>
      </c>
      <c r="AN48" s="369">
        <v>30</v>
      </c>
      <c r="AO48" s="369">
        <v>376</v>
      </c>
      <c r="AP48" s="369">
        <v>55</v>
      </c>
      <c r="AQ48" s="369">
        <v>42</v>
      </c>
      <c r="AR48" s="369">
        <v>62</v>
      </c>
      <c r="AS48" s="369">
        <v>66</v>
      </c>
      <c r="AT48" s="369">
        <v>51</v>
      </c>
      <c r="AU48" s="369">
        <v>65</v>
      </c>
      <c r="AV48" s="369">
        <v>40</v>
      </c>
      <c r="AW48" s="369">
        <v>381</v>
      </c>
      <c r="AX48" s="369">
        <v>56</v>
      </c>
      <c r="AY48" s="369">
        <v>52</v>
      </c>
      <c r="AZ48" s="369">
        <v>40</v>
      </c>
      <c r="BA48" s="369">
        <v>59</v>
      </c>
      <c r="BB48" s="369">
        <v>65</v>
      </c>
      <c r="BC48" s="369">
        <v>50</v>
      </c>
      <c r="BD48" s="369">
        <v>62</v>
      </c>
      <c r="BE48" s="369">
        <v>384</v>
      </c>
    </row>
    <row r="49" spans="1:57">
      <c r="A49" s="178" t="s">
        <v>45</v>
      </c>
      <c r="B49" s="367">
        <v>36</v>
      </c>
      <c r="C49" s="367">
        <v>36</v>
      </c>
      <c r="D49" s="367">
        <v>29</v>
      </c>
      <c r="E49" s="367">
        <v>21</v>
      </c>
      <c r="F49" s="367">
        <v>21</v>
      </c>
      <c r="G49" s="367">
        <v>26</v>
      </c>
      <c r="H49" s="367">
        <v>24</v>
      </c>
      <c r="I49" s="367">
        <v>193</v>
      </c>
      <c r="J49" s="367">
        <v>45</v>
      </c>
      <c r="K49" s="367">
        <v>38</v>
      </c>
      <c r="L49" s="367">
        <v>36</v>
      </c>
      <c r="M49" s="367">
        <v>29</v>
      </c>
      <c r="N49" s="367">
        <v>21</v>
      </c>
      <c r="O49" s="367">
        <v>22</v>
      </c>
      <c r="P49" s="367">
        <v>26</v>
      </c>
      <c r="Q49" s="369">
        <v>217</v>
      </c>
      <c r="R49" s="371">
        <v>58</v>
      </c>
      <c r="S49" s="371">
        <v>36</v>
      </c>
      <c r="T49" s="371">
        <v>31</v>
      </c>
      <c r="U49" s="371">
        <v>37</v>
      </c>
      <c r="V49" s="371">
        <v>21</v>
      </c>
      <c r="W49" s="371">
        <v>20</v>
      </c>
      <c r="X49" s="371">
        <v>25</v>
      </c>
      <c r="Y49" s="372">
        <v>228</v>
      </c>
      <c r="Z49" s="371">
        <v>40</v>
      </c>
      <c r="AA49" s="371">
        <v>57</v>
      </c>
      <c r="AB49" s="371">
        <v>35</v>
      </c>
      <c r="AC49" s="371">
        <v>28</v>
      </c>
      <c r="AD49" s="371">
        <v>34</v>
      </c>
      <c r="AE49" s="371">
        <v>21</v>
      </c>
      <c r="AF49" s="371">
        <v>20</v>
      </c>
      <c r="AG49" s="372">
        <v>235</v>
      </c>
      <c r="AH49" s="369">
        <v>44</v>
      </c>
      <c r="AI49" s="369">
        <v>40</v>
      </c>
      <c r="AJ49" s="369">
        <v>49</v>
      </c>
      <c r="AK49" s="369">
        <v>29</v>
      </c>
      <c r="AL49" s="369">
        <v>30</v>
      </c>
      <c r="AM49" s="369">
        <v>33</v>
      </c>
      <c r="AN49" s="369">
        <v>21</v>
      </c>
      <c r="AO49" s="369">
        <v>246</v>
      </c>
      <c r="AP49" s="369">
        <v>45</v>
      </c>
      <c r="AQ49" s="369">
        <v>37</v>
      </c>
      <c r="AR49" s="369">
        <v>35</v>
      </c>
      <c r="AS49" s="369">
        <v>46</v>
      </c>
      <c r="AT49" s="369">
        <v>28</v>
      </c>
      <c r="AU49" s="369">
        <v>27</v>
      </c>
      <c r="AV49" s="369">
        <v>30</v>
      </c>
      <c r="AW49" s="369">
        <v>248</v>
      </c>
      <c r="AX49" s="369">
        <v>33</v>
      </c>
      <c r="AY49" s="369">
        <v>39</v>
      </c>
      <c r="AZ49" s="369">
        <v>34</v>
      </c>
      <c r="BA49" s="369">
        <v>29</v>
      </c>
      <c r="BB49" s="369">
        <v>41</v>
      </c>
      <c r="BC49" s="369">
        <v>19</v>
      </c>
      <c r="BD49" s="369">
        <v>28</v>
      </c>
      <c r="BE49" s="369">
        <v>223</v>
      </c>
    </row>
    <row r="50" spans="1:57">
      <c r="A50" s="178" t="s">
        <v>46</v>
      </c>
      <c r="B50" s="367">
        <v>60</v>
      </c>
      <c r="C50" s="367">
        <v>58</v>
      </c>
      <c r="D50" s="367">
        <v>59</v>
      </c>
      <c r="E50" s="367">
        <v>50</v>
      </c>
      <c r="F50" s="367">
        <v>65</v>
      </c>
      <c r="G50" s="367">
        <v>48</v>
      </c>
      <c r="H50" s="367">
        <v>52</v>
      </c>
      <c r="I50" s="367">
        <v>392</v>
      </c>
      <c r="J50" s="367">
        <v>59</v>
      </c>
      <c r="K50" s="367">
        <v>59</v>
      </c>
      <c r="L50" s="367">
        <v>53</v>
      </c>
      <c r="M50" s="367">
        <v>59</v>
      </c>
      <c r="N50" s="367">
        <v>49</v>
      </c>
      <c r="O50" s="367">
        <v>63</v>
      </c>
      <c r="P50" s="367">
        <v>47</v>
      </c>
      <c r="Q50" s="369">
        <v>389</v>
      </c>
      <c r="R50" s="371">
        <v>60</v>
      </c>
      <c r="S50" s="371">
        <v>60</v>
      </c>
      <c r="T50" s="371">
        <v>60</v>
      </c>
      <c r="U50" s="371">
        <v>51</v>
      </c>
      <c r="V50" s="371">
        <v>59</v>
      </c>
      <c r="W50" s="371">
        <v>46</v>
      </c>
      <c r="X50" s="371">
        <v>60</v>
      </c>
      <c r="Y50" s="372">
        <v>396</v>
      </c>
      <c r="Z50" s="371">
        <v>87</v>
      </c>
      <c r="AA50" s="371">
        <v>60</v>
      </c>
      <c r="AB50" s="371">
        <v>60</v>
      </c>
      <c r="AC50" s="371">
        <v>58</v>
      </c>
      <c r="AD50" s="371">
        <v>52</v>
      </c>
      <c r="AE50" s="371">
        <v>60</v>
      </c>
      <c r="AF50" s="371">
        <v>40</v>
      </c>
      <c r="AG50" s="372">
        <v>417</v>
      </c>
      <c r="AH50" s="369">
        <v>72</v>
      </c>
      <c r="AI50" s="369">
        <v>81</v>
      </c>
      <c r="AJ50" s="369">
        <v>57</v>
      </c>
      <c r="AK50" s="369">
        <v>60</v>
      </c>
      <c r="AL50" s="369">
        <v>59</v>
      </c>
      <c r="AM50" s="369">
        <v>52</v>
      </c>
      <c r="AN50" s="369">
        <v>58</v>
      </c>
      <c r="AO50" s="369">
        <v>439</v>
      </c>
      <c r="AP50" s="369">
        <v>64</v>
      </c>
      <c r="AQ50" s="369">
        <v>79</v>
      </c>
      <c r="AR50" s="369">
        <v>79</v>
      </c>
      <c r="AS50" s="369">
        <v>54</v>
      </c>
      <c r="AT50" s="369">
        <v>62</v>
      </c>
      <c r="AU50" s="369">
        <v>56</v>
      </c>
      <c r="AV50" s="369">
        <v>52</v>
      </c>
      <c r="AW50" s="369">
        <v>446</v>
      </c>
      <c r="AX50" s="369">
        <v>62</v>
      </c>
      <c r="AY50" s="369">
        <v>63</v>
      </c>
      <c r="AZ50" s="369">
        <v>76</v>
      </c>
      <c r="BA50" s="369">
        <v>80</v>
      </c>
      <c r="BB50" s="369">
        <v>59</v>
      </c>
      <c r="BC50" s="369">
        <v>62</v>
      </c>
      <c r="BD50" s="369">
        <v>56</v>
      </c>
      <c r="BE50" s="369">
        <v>458</v>
      </c>
    </row>
    <row r="51" spans="1:57">
      <c r="A51" s="178" t="s">
        <v>47</v>
      </c>
      <c r="B51" s="367">
        <v>50</v>
      </c>
      <c r="C51" s="367">
        <v>45</v>
      </c>
      <c r="D51" s="367">
        <v>30</v>
      </c>
      <c r="E51" s="367">
        <v>30</v>
      </c>
      <c r="F51" s="367">
        <v>31</v>
      </c>
      <c r="G51" s="367">
        <v>31</v>
      </c>
      <c r="H51" s="367">
        <v>25</v>
      </c>
      <c r="I51" s="367">
        <v>242</v>
      </c>
      <c r="J51" s="367">
        <v>30</v>
      </c>
      <c r="K51" s="367">
        <v>54</v>
      </c>
      <c r="L51" s="367">
        <v>43</v>
      </c>
      <c r="M51" s="367">
        <v>27</v>
      </c>
      <c r="N51" s="367">
        <v>29</v>
      </c>
      <c r="O51" s="367">
        <v>33</v>
      </c>
      <c r="P51" s="367">
        <v>31</v>
      </c>
      <c r="Q51" s="369">
        <v>247</v>
      </c>
      <c r="R51" s="371">
        <v>41</v>
      </c>
      <c r="S51" s="371">
        <v>28</v>
      </c>
      <c r="T51" s="371">
        <v>56</v>
      </c>
      <c r="U51" s="371">
        <v>41</v>
      </c>
      <c r="V51" s="371">
        <v>28</v>
      </c>
      <c r="W51" s="371">
        <v>33</v>
      </c>
      <c r="X51" s="371">
        <v>32</v>
      </c>
      <c r="Y51" s="372">
        <v>259</v>
      </c>
      <c r="Z51" s="371">
        <v>36</v>
      </c>
      <c r="AA51" s="371">
        <v>42</v>
      </c>
      <c r="AB51" s="371">
        <v>29</v>
      </c>
      <c r="AC51" s="371">
        <v>50</v>
      </c>
      <c r="AD51" s="371">
        <v>41</v>
      </c>
      <c r="AE51" s="371">
        <v>24</v>
      </c>
      <c r="AF51" s="371">
        <v>28</v>
      </c>
      <c r="AG51" s="372">
        <v>250</v>
      </c>
      <c r="AH51" s="369">
        <v>48</v>
      </c>
      <c r="AI51" s="369">
        <v>38</v>
      </c>
      <c r="AJ51" s="369">
        <v>38</v>
      </c>
      <c r="AK51" s="369">
        <v>27</v>
      </c>
      <c r="AL51" s="369">
        <v>51</v>
      </c>
      <c r="AM51" s="369">
        <v>39</v>
      </c>
      <c r="AN51" s="369">
        <v>25</v>
      </c>
      <c r="AO51" s="369">
        <v>266</v>
      </c>
      <c r="AP51" s="369">
        <v>38</v>
      </c>
      <c r="AQ51" s="369">
        <v>45</v>
      </c>
      <c r="AR51" s="369">
        <v>40</v>
      </c>
      <c r="AS51" s="369">
        <v>36</v>
      </c>
      <c r="AT51" s="369">
        <v>27</v>
      </c>
      <c r="AU51" s="369">
        <v>51</v>
      </c>
      <c r="AV51" s="369">
        <v>38</v>
      </c>
      <c r="AW51" s="369">
        <v>275</v>
      </c>
      <c r="AX51" s="369">
        <v>35</v>
      </c>
      <c r="AY51" s="369">
        <v>37</v>
      </c>
      <c r="AZ51" s="369">
        <v>48</v>
      </c>
      <c r="BA51" s="369">
        <v>39</v>
      </c>
      <c r="BB51" s="369">
        <v>35</v>
      </c>
      <c r="BC51" s="369">
        <v>27</v>
      </c>
      <c r="BD51" s="369">
        <v>49</v>
      </c>
      <c r="BE51" s="369">
        <v>270</v>
      </c>
    </row>
    <row r="52" spans="1:57">
      <c r="A52" s="178" t="s">
        <v>48</v>
      </c>
      <c r="B52" s="367">
        <v>30</v>
      </c>
      <c r="C52" s="367">
        <v>48</v>
      </c>
      <c r="D52" s="367">
        <v>28</v>
      </c>
      <c r="E52" s="367">
        <v>34</v>
      </c>
      <c r="F52" s="367">
        <v>36</v>
      </c>
      <c r="G52" s="367">
        <v>27</v>
      </c>
      <c r="H52" s="367">
        <v>39</v>
      </c>
      <c r="I52" s="367">
        <v>242</v>
      </c>
      <c r="J52" s="367">
        <v>45</v>
      </c>
      <c r="K52" s="367">
        <v>30</v>
      </c>
      <c r="L52" s="367">
        <v>46</v>
      </c>
      <c r="M52" s="367">
        <v>25</v>
      </c>
      <c r="N52" s="367">
        <v>33</v>
      </c>
      <c r="O52" s="367">
        <v>40</v>
      </c>
      <c r="P52" s="367">
        <v>23</v>
      </c>
      <c r="Q52" s="369">
        <v>242</v>
      </c>
      <c r="R52" s="371">
        <v>31</v>
      </c>
      <c r="S52" s="371">
        <v>40</v>
      </c>
      <c r="T52" s="371">
        <v>28</v>
      </c>
      <c r="U52" s="371">
        <v>43</v>
      </c>
      <c r="V52" s="371">
        <v>22</v>
      </c>
      <c r="W52" s="371">
        <v>34</v>
      </c>
      <c r="X52" s="371">
        <v>39</v>
      </c>
      <c r="Y52" s="372">
        <v>237</v>
      </c>
      <c r="Z52" s="371">
        <v>40</v>
      </c>
      <c r="AA52" s="371">
        <v>28</v>
      </c>
      <c r="AB52" s="371">
        <v>40</v>
      </c>
      <c r="AC52" s="371">
        <v>29</v>
      </c>
      <c r="AD52" s="371">
        <v>42</v>
      </c>
      <c r="AE52" s="371">
        <v>21</v>
      </c>
      <c r="AF52" s="371">
        <v>34</v>
      </c>
      <c r="AG52" s="372">
        <v>234</v>
      </c>
      <c r="AH52" s="369">
        <v>36</v>
      </c>
      <c r="AI52" s="369">
        <v>35</v>
      </c>
      <c r="AJ52" s="369">
        <v>26</v>
      </c>
      <c r="AK52" s="369">
        <v>34</v>
      </c>
      <c r="AL52" s="369">
        <v>24</v>
      </c>
      <c r="AM52" s="369">
        <v>41</v>
      </c>
      <c r="AN52" s="369">
        <v>21</v>
      </c>
      <c r="AO52" s="369">
        <v>217</v>
      </c>
      <c r="AP52" s="369">
        <v>33</v>
      </c>
      <c r="AQ52" s="369">
        <v>37</v>
      </c>
      <c r="AR52" s="369">
        <v>40</v>
      </c>
      <c r="AS52" s="369">
        <v>25</v>
      </c>
      <c r="AT52" s="369">
        <v>35</v>
      </c>
      <c r="AU52" s="369">
        <v>27</v>
      </c>
      <c r="AV52" s="369">
        <v>40</v>
      </c>
      <c r="AW52" s="369">
        <v>237</v>
      </c>
      <c r="AX52" s="369">
        <v>44</v>
      </c>
      <c r="AY52" s="369">
        <v>32</v>
      </c>
      <c r="AZ52" s="369">
        <v>32</v>
      </c>
      <c r="BA52" s="369">
        <v>37</v>
      </c>
      <c r="BB52" s="369">
        <v>26</v>
      </c>
      <c r="BC52" s="369">
        <v>35</v>
      </c>
      <c r="BD52" s="369">
        <v>24</v>
      </c>
      <c r="BE52" s="369">
        <v>230</v>
      </c>
    </row>
    <row r="53" spans="1:57">
      <c r="A53" s="178" t="s">
        <v>49</v>
      </c>
      <c r="B53" s="367">
        <v>52</v>
      </c>
      <c r="C53" s="367">
        <v>59</v>
      </c>
      <c r="D53" s="367">
        <v>51</v>
      </c>
      <c r="E53" s="367">
        <v>51</v>
      </c>
      <c r="F53" s="367">
        <v>58</v>
      </c>
      <c r="G53" s="367">
        <v>47</v>
      </c>
      <c r="H53" s="367">
        <v>47</v>
      </c>
      <c r="I53" s="367">
        <v>365</v>
      </c>
      <c r="J53" s="367">
        <v>49</v>
      </c>
      <c r="K53" s="367">
        <v>53</v>
      </c>
      <c r="L53" s="367">
        <v>61</v>
      </c>
      <c r="M53" s="367">
        <v>54</v>
      </c>
      <c r="N53" s="367">
        <v>48</v>
      </c>
      <c r="O53" s="367">
        <v>55</v>
      </c>
      <c r="P53" s="367">
        <v>44</v>
      </c>
      <c r="Q53" s="369">
        <v>364</v>
      </c>
      <c r="R53" s="371">
        <v>58</v>
      </c>
      <c r="S53" s="371">
        <v>48</v>
      </c>
      <c r="T53" s="371">
        <v>51</v>
      </c>
      <c r="U53" s="371">
        <v>59</v>
      </c>
      <c r="V53" s="371">
        <v>55</v>
      </c>
      <c r="W53" s="371">
        <v>46</v>
      </c>
      <c r="X53" s="371">
        <v>53</v>
      </c>
      <c r="Y53" s="372">
        <v>370</v>
      </c>
      <c r="Z53" s="371">
        <v>48</v>
      </c>
      <c r="AA53" s="371">
        <v>62</v>
      </c>
      <c r="AB53" s="371">
        <v>53</v>
      </c>
      <c r="AC53" s="371">
        <v>47</v>
      </c>
      <c r="AD53" s="371">
        <v>57</v>
      </c>
      <c r="AE53" s="371">
        <v>58</v>
      </c>
      <c r="AF53" s="371">
        <v>49</v>
      </c>
      <c r="AG53" s="372">
        <v>374</v>
      </c>
      <c r="AH53" s="369">
        <v>57</v>
      </c>
      <c r="AI53" s="369">
        <v>45</v>
      </c>
      <c r="AJ53" s="369">
        <v>62</v>
      </c>
      <c r="AK53" s="369">
        <v>53</v>
      </c>
      <c r="AL53" s="369">
        <v>51</v>
      </c>
      <c r="AM53" s="369">
        <v>59</v>
      </c>
      <c r="AN53" s="369">
        <v>57</v>
      </c>
      <c r="AO53" s="369">
        <v>384</v>
      </c>
      <c r="AP53" s="369">
        <v>49</v>
      </c>
      <c r="AQ53" s="369">
        <v>60</v>
      </c>
      <c r="AR53" s="369">
        <v>45</v>
      </c>
      <c r="AS53" s="369">
        <v>65</v>
      </c>
      <c r="AT53" s="369">
        <v>51</v>
      </c>
      <c r="AU53" s="369">
        <v>54</v>
      </c>
      <c r="AV53" s="369">
        <v>61</v>
      </c>
      <c r="AW53" s="369">
        <v>385</v>
      </c>
      <c r="AX53" s="369">
        <v>48</v>
      </c>
      <c r="AY53" s="369">
        <v>48</v>
      </c>
      <c r="AZ53" s="369">
        <v>60</v>
      </c>
      <c r="BA53" s="369">
        <v>45</v>
      </c>
      <c r="BB53" s="369">
        <v>65</v>
      </c>
      <c r="BC53" s="369">
        <v>56</v>
      </c>
      <c r="BD53" s="369">
        <v>53</v>
      </c>
      <c r="BE53" s="369">
        <v>375</v>
      </c>
    </row>
    <row r="54" spans="1:57">
      <c r="A54" s="178" t="s">
        <v>50</v>
      </c>
      <c r="B54" s="367">
        <v>15</v>
      </c>
      <c r="C54" s="367">
        <v>28</v>
      </c>
      <c r="D54" s="367">
        <v>28</v>
      </c>
      <c r="E54" s="367">
        <v>14</v>
      </c>
      <c r="F54" s="367">
        <v>18</v>
      </c>
      <c r="G54" s="367">
        <v>30</v>
      </c>
      <c r="H54" s="367">
        <v>15</v>
      </c>
      <c r="I54" s="367">
        <v>148</v>
      </c>
      <c r="J54" s="367">
        <v>25</v>
      </c>
      <c r="K54" s="367">
        <v>16</v>
      </c>
      <c r="L54" s="367">
        <v>27</v>
      </c>
      <c r="M54" s="367">
        <v>28</v>
      </c>
      <c r="N54" s="367">
        <v>14</v>
      </c>
      <c r="O54" s="367">
        <v>19</v>
      </c>
      <c r="P54" s="367">
        <v>30</v>
      </c>
      <c r="Q54" s="369">
        <v>159</v>
      </c>
      <c r="R54" s="371">
        <v>28</v>
      </c>
      <c r="S54" s="371">
        <v>20</v>
      </c>
      <c r="T54" s="371">
        <v>16</v>
      </c>
      <c r="U54" s="371">
        <v>27</v>
      </c>
      <c r="V54" s="371">
        <v>29</v>
      </c>
      <c r="W54" s="371">
        <v>15</v>
      </c>
      <c r="X54" s="371">
        <v>14</v>
      </c>
      <c r="Y54" s="372">
        <v>149</v>
      </c>
      <c r="Z54" s="371">
        <v>20</v>
      </c>
      <c r="AA54" s="371">
        <v>29</v>
      </c>
      <c r="AB54" s="371">
        <v>19</v>
      </c>
      <c r="AC54" s="371">
        <v>17</v>
      </c>
      <c r="AD54" s="371">
        <v>27</v>
      </c>
      <c r="AE54" s="371">
        <v>29</v>
      </c>
      <c r="AF54" s="371">
        <v>9</v>
      </c>
      <c r="AG54" s="372">
        <v>150</v>
      </c>
      <c r="AH54" s="369">
        <v>24</v>
      </c>
      <c r="AI54" s="369">
        <v>20</v>
      </c>
      <c r="AJ54" s="369">
        <v>27</v>
      </c>
      <c r="AK54" s="369">
        <v>20</v>
      </c>
      <c r="AL54" s="369">
        <v>17</v>
      </c>
      <c r="AM54" s="369">
        <v>27</v>
      </c>
      <c r="AN54" s="369">
        <v>28</v>
      </c>
      <c r="AO54" s="369">
        <v>163</v>
      </c>
      <c r="AP54" s="369">
        <v>24</v>
      </c>
      <c r="AQ54" s="369">
        <v>24</v>
      </c>
      <c r="AR54" s="369">
        <v>19</v>
      </c>
      <c r="AS54" s="369">
        <v>28</v>
      </c>
      <c r="AT54" s="369">
        <v>20</v>
      </c>
      <c r="AU54" s="369">
        <v>15</v>
      </c>
      <c r="AV54" s="369">
        <v>26</v>
      </c>
      <c r="AW54" s="369">
        <v>156</v>
      </c>
      <c r="AX54" s="369">
        <v>23</v>
      </c>
      <c r="AY54" s="369">
        <v>25</v>
      </c>
      <c r="AZ54" s="369">
        <v>23</v>
      </c>
      <c r="BA54" s="369">
        <v>19</v>
      </c>
      <c r="BB54" s="369">
        <v>29</v>
      </c>
      <c r="BC54" s="369">
        <v>20</v>
      </c>
      <c r="BD54" s="369">
        <v>17</v>
      </c>
      <c r="BE54" s="369">
        <v>156</v>
      </c>
    </row>
    <row r="55" spans="1:57">
      <c r="A55" s="178" t="s">
        <v>51</v>
      </c>
      <c r="B55" s="367">
        <v>25</v>
      </c>
      <c r="C55" s="367">
        <v>14</v>
      </c>
      <c r="D55" s="367">
        <v>18</v>
      </c>
      <c r="E55" s="367">
        <v>11</v>
      </c>
      <c r="F55" s="367">
        <v>16</v>
      </c>
      <c r="G55" s="367">
        <v>23</v>
      </c>
      <c r="H55" s="367">
        <v>10</v>
      </c>
      <c r="I55" s="367">
        <v>117</v>
      </c>
      <c r="J55" s="367">
        <v>13</v>
      </c>
      <c r="K55" s="367">
        <v>25</v>
      </c>
      <c r="L55" s="367">
        <v>12</v>
      </c>
      <c r="M55" s="367">
        <v>14</v>
      </c>
      <c r="N55" s="367">
        <v>9</v>
      </c>
      <c r="O55" s="367">
        <v>14</v>
      </c>
      <c r="P55" s="367">
        <v>22</v>
      </c>
      <c r="Q55" s="369">
        <v>109</v>
      </c>
      <c r="R55" s="371">
        <v>27</v>
      </c>
      <c r="S55" s="371">
        <v>14</v>
      </c>
      <c r="T55" s="371">
        <v>26</v>
      </c>
      <c r="U55" s="371">
        <v>10</v>
      </c>
      <c r="V55" s="371">
        <v>13</v>
      </c>
      <c r="W55" s="371">
        <v>7</v>
      </c>
      <c r="X55" s="371">
        <v>13</v>
      </c>
      <c r="Y55" s="372">
        <v>110</v>
      </c>
      <c r="Z55" s="371">
        <v>24</v>
      </c>
      <c r="AA55" s="371">
        <v>24</v>
      </c>
      <c r="AB55" s="371">
        <v>16</v>
      </c>
      <c r="AC55" s="371">
        <v>25</v>
      </c>
      <c r="AD55" s="371">
        <v>10</v>
      </c>
      <c r="AE55" s="371">
        <v>12</v>
      </c>
      <c r="AF55" s="371">
        <v>5</v>
      </c>
      <c r="AG55" s="372">
        <v>116</v>
      </c>
      <c r="AH55" s="369">
        <v>24</v>
      </c>
      <c r="AI55" s="369">
        <v>24</v>
      </c>
      <c r="AJ55" s="369">
        <v>24</v>
      </c>
      <c r="AK55" s="369">
        <v>17</v>
      </c>
      <c r="AL55" s="369">
        <v>24</v>
      </c>
      <c r="AM55" s="369">
        <v>11</v>
      </c>
      <c r="AN55" s="369">
        <v>13</v>
      </c>
      <c r="AO55" s="369">
        <v>137</v>
      </c>
      <c r="AP55" s="369">
        <v>25</v>
      </c>
      <c r="AQ55" s="369">
        <v>26</v>
      </c>
      <c r="AR55" s="369">
        <v>24</v>
      </c>
      <c r="AS55" s="369">
        <v>26</v>
      </c>
      <c r="AT55" s="369">
        <v>17</v>
      </c>
      <c r="AU55" s="369">
        <v>23</v>
      </c>
      <c r="AV55" s="369">
        <v>10</v>
      </c>
      <c r="AW55" s="369">
        <v>151</v>
      </c>
      <c r="AX55" s="369">
        <v>22</v>
      </c>
      <c r="AY55" s="369">
        <v>28</v>
      </c>
      <c r="AZ55" s="369">
        <v>26</v>
      </c>
      <c r="BA55" s="369">
        <v>27</v>
      </c>
      <c r="BB55" s="369">
        <v>28</v>
      </c>
      <c r="BC55" s="369">
        <v>19</v>
      </c>
      <c r="BD55" s="369">
        <v>23</v>
      </c>
      <c r="BE55" s="369">
        <v>173</v>
      </c>
    </row>
    <row r="56" spans="1:57">
      <c r="A56" s="178" t="s">
        <v>52</v>
      </c>
      <c r="B56" s="367">
        <v>44</v>
      </c>
      <c r="C56" s="367">
        <v>50</v>
      </c>
      <c r="D56" s="367">
        <v>39</v>
      </c>
      <c r="E56" s="367">
        <v>38</v>
      </c>
      <c r="F56" s="367">
        <v>34</v>
      </c>
      <c r="G56" s="367">
        <v>29</v>
      </c>
      <c r="H56" s="367">
        <v>36</v>
      </c>
      <c r="I56" s="367">
        <v>270</v>
      </c>
      <c r="J56" s="367">
        <v>44</v>
      </c>
      <c r="K56" s="367">
        <v>39</v>
      </c>
      <c r="L56" s="367">
        <v>47</v>
      </c>
      <c r="M56" s="367">
        <v>39</v>
      </c>
      <c r="N56" s="367">
        <v>38</v>
      </c>
      <c r="O56" s="367">
        <v>34</v>
      </c>
      <c r="P56" s="367">
        <v>29</v>
      </c>
      <c r="Q56" s="369">
        <v>270</v>
      </c>
      <c r="R56" s="371">
        <v>53</v>
      </c>
      <c r="S56" s="371">
        <v>43</v>
      </c>
      <c r="T56" s="371">
        <v>39</v>
      </c>
      <c r="U56" s="371">
        <v>44</v>
      </c>
      <c r="V56" s="371">
        <v>36</v>
      </c>
      <c r="W56" s="371">
        <v>36</v>
      </c>
      <c r="X56" s="371">
        <v>30</v>
      </c>
      <c r="Y56" s="372">
        <v>281</v>
      </c>
      <c r="Z56" s="371">
        <v>42</v>
      </c>
      <c r="AA56" s="371">
        <v>50</v>
      </c>
      <c r="AB56" s="371">
        <v>45</v>
      </c>
      <c r="AC56" s="371">
        <v>39</v>
      </c>
      <c r="AD56" s="371">
        <v>42</v>
      </c>
      <c r="AE56" s="371">
        <v>32</v>
      </c>
      <c r="AF56" s="371">
        <v>34</v>
      </c>
      <c r="AG56" s="372">
        <v>284</v>
      </c>
      <c r="AH56" s="369">
        <v>52</v>
      </c>
      <c r="AI56" s="369">
        <v>44</v>
      </c>
      <c r="AJ56" s="369">
        <v>45</v>
      </c>
      <c r="AK56" s="369">
        <v>40</v>
      </c>
      <c r="AL56" s="369">
        <v>41</v>
      </c>
      <c r="AM56" s="369">
        <v>39</v>
      </c>
      <c r="AN56" s="369">
        <v>26</v>
      </c>
      <c r="AO56" s="369">
        <v>287</v>
      </c>
      <c r="AP56" s="369">
        <v>38</v>
      </c>
      <c r="AQ56" s="369">
        <v>46</v>
      </c>
      <c r="AR56" s="369">
        <v>42</v>
      </c>
      <c r="AS56" s="369">
        <v>48</v>
      </c>
      <c r="AT56" s="369">
        <v>39</v>
      </c>
      <c r="AU56" s="369">
        <v>39</v>
      </c>
      <c r="AV56" s="369">
        <v>39</v>
      </c>
      <c r="AW56" s="369">
        <v>291</v>
      </c>
      <c r="AX56" s="369">
        <v>50</v>
      </c>
      <c r="AY56" s="369">
        <v>42</v>
      </c>
      <c r="AZ56" s="369">
        <v>39</v>
      </c>
      <c r="BA56" s="369">
        <v>40</v>
      </c>
      <c r="BB56" s="369">
        <v>45</v>
      </c>
      <c r="BC56" s="369">
        <v>38</v>
      </c>
      <c r="BD56" s="369">
        <v>41</v>
      </c>
      <c r="BE56" s="369">
        <v>295</v>
      </c>
    </row>
    <row r="57" spans="1:57">
      <c r="A57" s="178" t="s">
        <v>53</v>
      </c>
      <c r="B57" s="367">
        <v>68</v>
      </c>
      <c r="C57" s="367">
        <v>62</v>
      </c>
      <c r="D57" s="367">
        <v>46</v>
      </c>
      <c r="E57" s="367">
        <v>51</v>
      </c>
      <c r="F57" s="367">
        <v>48</v>
      </c>
      <c r="G57" s="367">
        <v>44</v>
      </c>
      <c r="H57" s="367">
        <v>43</v>
      </c>
      <c r="I57" s="367">
        <v>362</v>
      </c>
      <c r="J57" s="367">
        <v>66</v>
      </c>
      <c r="K57" s="367">
        <v>63</v>
      </c>
      <c r="L57" s="367">
        <v>67</v>
      </c>
      <c r="M57" s="367">
        <v>45</v>
      </c>
      <c r="N57" s="367">
        <v>53</v>
      </c>
      <c r="O57" s="367">
        <v>52</v>
      </c>
      <c r="P57" s="367">
        <v>41</v>
      </c>
      <c r="Q57" s="369">
        <v>387</v>
      </c>
      <c r="R57" s="371">
        <v>55</v>
      </c>
      <c r="S57" s="371">
        <v>63</v>
      </c>
      <c r="T57" s="371">
        <v>67</v>
      </c>
      <c r="U57" s="371">
        <v>65</v>
      </c>
      <c r="V57" s="371">
        <v>44</v>
      </c>
      <c r="W57" s="371">
        <v>51</v>
      </c>
      <c r="X57" s="371">
        <v>48</v>
      </c>
      <c r="Y57" s="372">
        <v>393</v>
      </c>
      <c r="Z57" s="371">
        <v>60</v>
      </c>
      <c r="AA57" s="371">
        <v>59</v>
      </c>
      <c r="AB57" s="371">
        <v>62</v>
      </c>
      <c r="AC57" s="371">
        <v>67</v>
      </c>
      <c r="AD57" s="371">
        <v>66</v>
      </c>
      <c r="AE57" s="371">
        <v>45</v>
      </c>
      <c r="AF57" s="371">
        <v>51</v>
      </c>
      <c r="AG57" s="372">
        <v>410</v>
      </c>
      <c r="AH57" s="369">
        <v>57</v>
      </c>
      <c r="AI57" s="369">
        <v>60</v>
      </c>
      <c r="AJ57" s="369">
        <v>58</v>
      </c>
      <c r="AK57" s="369">
        <v>63</v>
      </c>
      <c r="AL57" s="369">
        <v>64</v>
      </c>
      <c r="AM57" s="369">
        <v>64</v>
      </c>
      <c r="AN57" s="369">
        <v>47</v>
      </c>
      <c r="AO57" s="369">
        <v>413</v>
      </c>
      <c r="AP57" s="369">
        <v>57</v>
      </c>
      <c r="AQ57" s="369">
        <v>55</v>
      </c>
      <c r="AR57" s="369">
        <v>57</v>
      </c>
      <c r="AS57" s="369">
        <v>56</v>
      </c>
      <c r="AT57" s="369">
        <v>56</v>
      </c>
      <c r="AU57" s="369">
        <v>67</v>
      </c>
      <c r="AV57" s="369">
        <v>60</v>
      </c>
      <c r="AW57" s="369">
        <v>408</v>
      </c>
      <c r="AX57" s="369">
        <v>57</v>
      </c>
      <c r="AY57" s="369">
        <v>55</v>
      </c>
      <c r="AZ57" s="369">
        <v>51</v>
      </c>
      <c r="BA57" s="369">
        <v>52</v>
      </c>
      <c r="BB57" s="369">
        <v>52</v>
      </c>
      <c r="BC57" s="369">
        <v>51</v>
      </c>
      <c r="BD57" s="369">
        <v>64</v>
      </c>
      <c r="BE57" s="369">
        <v>382</v>
      </c>
    </row>
    <row r="58" spans="1:57">
      <c r="A58" s="178" t="s">
        <v>54</v>
      </c>
      <c r="B58" s="367">
        <v>58</v>
      </c>
      <c r="C58" s="367">
        <v>38</v>
      </c>
      <c r="D58" s="367">
        <v>30</v>
      </c>
      <c r="E58" s="367">
        <v>46</v>
      </c>
      <c r="F58" s="367">
        <v>36</v>
      </c>
      <c r="G58" s="367">
        <v>34</v>
      </c>
      <c r="H58" s="367">
        <v>38</v>
      </c>
      <c r="I58" s="367">
        <v>280</v>
      </c>
      <c r="J58" s="367">
        <v>50</v>
      </c>
      <c r="K58" s="367">
        <v>63</v>
      </c>
      <c r="L58" s="367">
        <v>40</v>
      </c>
      <c r="M58" s="367">
        <v>30</v>
      </c>
      <c r="N58" s="367">
        <v>44</v>
      </c>
      <c r="O58" s="367">
        <v>32</v>
      </c>
      <c r="P58" s="367">
        <v>33</v>
      </c>
      <c r="Q58" s="369">
        <v>292</v>
      </c>
      <c r="R58" s="371">
        <v>54</v>
      </c>
      <c r="S58" s="371">
        <v>48</v>
      </c>
      <c r="T58" s="371">
        <v>60</v>
      </c>
      <c r="U58" s="371">
        <v>43</v>
      </c>
      <c r="V58" s="371">
        <v>29</v>
      </c>
      <c r="W58" s="371">
        <v>44</v>
      </c>
      <c r="X58" s="371">
        <v>33</v>
      </c>
      <c r="Y58" s="372">
        <v>311</v>
      </c>
      <c r="Z58" s="371">
        <v>58</v>
      </c>
      <c r="AA58" s="371">
        <v>55</v>
      </c>
      <c r="AB58" s="371">
        <v>50</v>
      </c>
      <c r="AC58" s="371">
        <v>63</v>
      </c>
      <c r="AD58" s="371">
        <v>40</v>
      </c>
      <c r="AE58" s="371">
        <v>29</v>
      </c>
      <c r="AF58" s="371">
        <v>43</v>
      </c>
      <c r="AG58" s="372">
        <v>338</v>
      </c>
      <c r="AH58" s="369">
        <v>50</v>
      </c>
      <c r="AI58" s="369">
        <v>57</v>
      </c>
      <c r="AJ58" s="369">
        <v>54</v>
      </c>
      <c r="AK58" s="369">
        <v>52</v>
      </c>
      <c r="AL58" s="369">
        <v>61</v>
      </c>
      <c r="AM58" s="369">
        <v>38</v>
      </c>
      <c r="AN58" s="369">
        <v>28</v>
      </c>
      <c r="AO58" s="369">
        <v>340</v>
      </c>
      <c r="AP58" s="369">
        <v>47</v>
      </c>
      <c r="AQ58" s="369">
        <v>51</v>
      </c>
      <c r="AR58" s="369">
        <v>54</v>
      </c>
      <c r="AS58" s="369">
        <v>53</v>
      </c>
      <c r="AT58" s="369">
        <v>49</v>
      </c>
      <c r="AU58" s="369">
        <v>63</v>
      </c>
      <c r="AV58" s="369">
        <v>39</v>
      </c>
      <c r="AW58" s="369">
        <v>356</v>
      </c>
      <c r="AX58" s="369">
        <v>43</v>
      </c>
      <c r="AY58" s="369">
        <v>48</v>
      </c>
      <c r="AZ58" s="369">
        <v>51</v>
      </c>
      <c r="BA58" s="369">
        <v>52</v>
      </c>
      <c r="BB58" s="369">
        <v>52</v>
      </c>
      <c r="BC58" s="369">
        <v>45</v>
      </c>
      <c r="BD58" s="369">
        <v>61</v>
      </c>
      <c r="BE58" s="369">
        <v>352</v>
      </c>
    </row>
    <row r="59" spans="1:57">
      <c r="A59" s="178" t="s">
        <v>80</v>
      </c>
      <c r="B59" s="367">
        <v>73</v>
      </c>
      <c r="C59" s="367">
        <v>68</v>
      </c>
      <c r="D59" s="367">
        <v>55</v>
      </c>
      <c r="E59" s="367">
        <v>52</v>
      </c>
      <c r="F59" s="367">
        <v>41</v>
      </c>
      <c r="G59" s="367">
        <v>47</v>
      </c>
      <c r="H59" s="367">
        <v>42</v>
      </c>
      <c r="I59" s="367">
        <v>378</v>
      </c>
      <c r="J59" s="367">
        <v>65</v>
      </c>
      <c r="K59" s="367">
        <v>74</v>
      </c>
      <c r="L59" s="367">
        <v>69</v>
      </c>
      <c r="M59" s="367">
        <v>55</v>
      </c>
      <c r="N59" s="367">
        <v>52</v>
      </c>
      <c r="O59" s="367">
        <v>42</v>
      </c>
      <c r="P59" s="367">
        <v>48</v>
      </c>
      <c r="Q59" s="369">
        <v>405</v>
      </c>
      <c r="R59" s="371">
        <v>66</v>
      </c>
      <c r="S59" s="371">
        <v>66</v>
      </c>
      <c r="T59" s="371">
        <v>73</v>
      </c>
      <c r="U59" s="371">
        <v>65</v>
      </c>
      <c r="V59" s="371">
        <v>52</v>
      </c>
      <c r="W59" s="371">
        <v>53</v>
      </c>
      <c r="X59" s="371">
        <v>41</v>
      </c>
      <c r="Y59" s="372">
        <v>416</v>
      </c>
      <c r="Z59" s="371">
        <v>72</v>
      </c>
      <c r="AA59" s="371">
        <v>66</v>
      </c>
      <c r="AB59" s="371">
        <v>64</v>
      </c>
      <c r="AC59" s="371">
        <v>73</v>
      </c>
      <c r="AD59" s="371">
        <v>64</v>
      </c>
      <c r="AE59" s="371">
        <v>51</v>
      </c>
      <c r="AF59" s="371">
        <v>47</v>
      </c>
      <c r="AG59" s="372">
        <v>437</v>
      </c>
      <c r="AH59" s="369">
        <v>63</v>
      </c>
      <c r="AI59" s="369">
        <v>70</v>
      </c>
      <c r="AJ59" s="369">
        <v>65</v>
      </c>
      <c r="AK59" s="369">
        <v>61</v>
      </c>
      <c r="AL59" s="369">
        <v>76</v>
      </c>
      <c r="AM59" s="369">
        <v>65</v>
      </c>
      <c r="AN59" s="369">
        <v>52</v>
      </c>
      <c r="AO59" s="369">
        <v>452</v>
      </c>
      <c r="AP59" s="369">
        <v>71</v>
      </c>
      <c r="AQ59" s="369">
        <v>63</v>
      </c>
      <c r="AR59" s="369">
        <v>66</v>
      </c>
      <c r="AS59" s="369">
        <v>66</v>
      </c>
      <c r="AT59" s="369">
        <v>61</v>
      </c>
      <c r="AU59" s="369">
        <v>71</v>
      </c>
      <c r="AV59" s="369">
        <v>64</v>
      </c>
      <c r="AW59" s="369">
        <v>462</v>
      </c>
      <c r="AX59" s="369">
        <v>67</v>
      </c>
      <c r="AY59" s="369">
        <v>73</v>
      </c>
      <c r="AZ59" s="369">
        <v>63</v>
      </c>
      <c r="BA59" s="369">
        <v>64</v>
      </c>
      <c r="BB59" s="369">
        <v>65</v>
      </c>
      <c r="BC59" s="369">
        <v>60</v>
      </c>
      <c r="BD59" s="369">
        <v>72</v>
      </c>
      <c r="BE59" s="369">
        <v>464</v>
      </c>
    </row>
    <row r="60" spans="1:57">
      <c r="A60" s="178" t="s">
        <v>55</v>
      </c>
      <c r="B60" s="367">
        <v>49</v>
      </c>
      <c r="C60" s="367">
        <v>35</v>
      </c>
      <c r="D60" s="367">
        <v>29</v>
      </c>
      <c r="E60" s="367">
        <v>31</v>
      </c>
      <c r="F60" s="367">
        <v>31</v>
      </c>
      <c r="G60" s="367">
        <v>39</v>
      </c>
      <c r="H60" s="367">
        <v>31</v>
      </c>
      <c r="I60" s="367">
        <v>245</v>
      </c>
      <c r="J60" s="367">
        <v>46</v>
      </c>
      <c r="K60" s="367">
        <v>54</v>
      </c>
      <c r="L60" s="367">
        <v>35</v>
      </c>
      <c r="M60" s="367">
        <v>29</v>
      </c>
      <c r="N60" s="367">
        <v>33</v>
      </c>
      <c r="O60" s="367">
        <v>29</v>
      </c>
      <c r="P60" s="367">
        <v>41</v>
      </c>
      <c r="Q60" s="369">
        <v>267</v>
      </c>
      <c r="R60" s="371">
        <v>37</v>
      </c>
      <c r="S60" s="371">
        <v>57</v>
      </c>
      <c r="T60" s="371">
        <v>49</v>
      </c>
      <c r="U60" s="371">
        <v>38</v>
      </c>
      <c r="V60" s="371">
        <v>32</v>
      </c>
      <c r="W60" s="371">
        <v>36</v>
      </c>
      <c r="X60" s="371">
        <v>30</v>
      </c>
      <c r="Y60" s="372">
        <v>279</v>
      </c>
      <c r="Z60" s="371">
        <v>43</v>
      </c>
      <c r="AA60" s="371">
        <v>42</v>
      </c>
      <c r="AB60" s="371">
        <v>51</v>
      </c>
      <c r="AC60" s="371">
        <v>49</v>
      </c>
      <c r="AD60" s="371">
        <v>34</v>
      </c>
      <c r="AE60" s="371">
        <v>33</v>
      </c>
      <c r="AF60" s="371">
        <v>37</v>
      </c>
      <c r="AG60" s="372">
        <v>289</v>
      </c>
      <c r="AH60" s="369">
        <v>51</v>
      </c>
      <c r="AI60" s="369">
        <v>44</v>
      </c>
      <c r="AJ60" s="369">
        <v>42</v>
      </c>
      <c r="AK60" s="369">
        <v>48</v>
      </c>
      <c r="AL60" s="369">
        <v>47</v>
      </c>
      <c r="AM60" s="369">
        <v>30</v>
      </c>
      <c r="AN60" s="369">
        <v>31</v>
      </c>
      <c r="AO60" s="369">
        <v>293</v>
      </c>
      <c r="AP60" s="369">
        <v>41</v>
      </c>
      <c r="AQ60" s="369">
        <v>39</v>
      </c>
      <c r="AR60" s="369">
        <v>35</v>
      </c>
      <c r="AS60" s="369">
        <v>30</v>
      </c>
      <c r="AT60" s="369">
        <v>43</v>
      </c>
      <c r="AU60" s="369">
        <v>41</v>
      </c>
      <c r="AV60" s="369">
        <v>31</v>
      </c>
      <c r="AW60" s="369">
        <v>260</v>
      </c>
      <c r="AX60" s="369">
        <v>56</v>
      </c>
      <c r="AY60" s="369">
        <v>41</v>
      </c>
      <c r="AZ60" s="369">
        <v>36</v>
      </c>
      <c r="BA60" s="369">
        <v>36</v>
      </c>
      <c r="BB60" s="369">
        <v>29</v>
      </c>
      <c r="BC60" s="369">
        <v>38</v>
      </c>
      <c r="BD60" s="369">
        <v>43</v>
      </c>
      <c r="BE60" s="369">
        <v>279</v>
      </c>
    </row>
    <row r="61" spans="1:57">
      <c r="A61" s="178" t="s">
        <v>56</v>
      </c>
      <c r="B61" s="367">
        <v>39</v>
      </c>
      <c r="C61" s="367">
        <v>46</v>
      </c>
      <c r="D61" s="367">
        <v>43</v>
      </c>
      <c r="E61" s="367">
        <v>42</v>
      </c>
      <c r="F61" s="367">
        <v>40</v>
      </c>
      <c r="G61" s="367">
        <v>25</v>
      </c>
      <c r="H61" s="367">
        <v>35</v>
      </c>
      <c r="I61" s="367">
        <v>270</v>
      </c>
      <c r="J61" s="367">
        <v>40</v>
      </c>
      <c r="K61" s="367">
        <v>39</v>
      </c>
      <c r="L61" s="367">
        <v>46</v>
      </c>
      <c r="M61" s="367">
        <v>40</v>
      </c>
      <c r="N61" s="367">
        <v>41</v>
      </c>
      <c r="O61" s="367">
        <v>40</v>
      </c>
      <c r="P61" s="367">
        <v>25</v>
      </c>
      <c r="Q61" s="369">
        <v>271</v>
      </c>
      <c r="R61" s="371">
        <v>51</v>
      </c>
      <c r="S61" s="371">
        <v>44</v>
      </c>
      <c r="T61" s="371">
        <v>40</v>
      </c>
      <c r="U61" s="371">
        <v>45</v>
      </c>
      <c r="V61" s="371">
        <v>39</v>
      </c>
      <c r="W61" s="371">
        <v>42</v>
      </c>
      <c r="X61" s="371">
        <v>35</v>
      </c>
      <c r="Y61" s="372">
        <v>296</v>
      </c>
      <c r="Z61" s="371">
        <v>43</v>
      </c>
      <c r="AA61" s="371">
        <v>45</v>
      </c>
      <c r="AB61" s="371">
        <v>39</v>
      </c>
      <c r="AC61" s="371">
        <v>36</v>
      </c>
      <c r="AD61" s="371">
        <v>41</v>
      </c>
      <c r="AE61" s="371">
        <v>32</v>
      </c>
      <c r="AF61" s="371">
        <v>35</v>
      </c>
      <c r="AG61" s="372">
        <v>271</v>
      </c>
      <c r="AH61" s="369">
        <v>32</v>
      </c>
      <c r="AI61" s="369">
        <v>41</v>
      </c>
      <c r="AJ61" s="369">
        <v>43</v>
      </c>
      <c r="AK61" s="369">
        <v>40</v>
      </c>
      <c r="AL61" s="369">
        <v>41</v>
      </c>
      <c r="AM61" s="369">
        <v>38</v>
      </c>
      <c r="AN61" s="369">
        <v>31</v>
      </c>
      <c r="AO61" s="369">
        <v>266</v>
      </c>
      <c r="AP61" s="369">
        <v>42</v>
      </c>
      <c r="AQ61" s="369">
        <v>32</v>
      </c>
      <c r="AR61" s="369">
        <v>39</v>
      </c>
      <c r="AS61" s="369">
        <v>41</v>
      </c>
      <c r="AT61" s="369">
        <v>39</v>
      </c>
      <c r="AU61" s="369">
        <v>38</v>
      </c>
      <c r="AV61" s="369">
        <v>36</v>
      </c>
      <c r="AW61" s="369">
        <v>267</v>
      </c>
      <c r="AX61" s="369">
        <v>47</v>
      </c>
      <c r="AY61" s="369">
        <v>44</v>
      </c>
      <c r="AZ61" s="369">
        <v>36</v>
      </c>
      <c r="BA61" s="369">
        <v>38</v>
      </c>
      <c r="BB61" s="369">
        <v>48</v>
      </c>
      <c r="BC61" s="369">
        <v>39</v>
      </c>
      <c r="BD61" s="369">
        <v>42</v>
      </c>
      <c r="BE61" s="369">
        <v>294</v>
      </c>
    </row>
    <row r="62" spans="1:57">
      <c r="A62" s="178" t="s">
        <v>57</v>
      </c>
      <c r="B62" s="367">
        <v>30</v>
      </c>
      <c r="C62" s="367">
        <v>30</v>
      </c>
      <c r="D62" s="367">
        <v>22</v>
      </c>
      <c r="E62" s="367">
        <v>22</v>
      </c>
      <c r="F62" s="367">
        <v>23</v>
      </c>
      <c r="G62" s="367">
        <v>21</v>
      </c>
      <c r="H62" s="367">
        <v>24</v>
      </c>
      <c r="I62" s="367">
        <v>172</v>
      </c>
      <c r="J62" s="367">
        <v>36</v>
      </c>
      <c r="K62" s="367">
        <v>36</v>
      </c>
      <c r="L62" s="367">
        <v>29</v>
      </c>
      <c r="M62" s="367">
        <v>21</v>
      </c>
      <c r="N62" s="367">
        <v>22</v>
      </c>
      <c r="O62" s="367">
        <v>20</v>
      </c>
      <c r="P62" s="367">
        <v>20</v>
      </c>
      <c r="Q62" s="369">
        <v>184</v>
      </c>
      <c r="R62" s="371">
        <v>25</v>
      </c>
      <c r="S62" s="371">
        <v>38</v>
      </c>
      <c r="T62" s="371">
        <v>39</v>
      </c>
      <c r="U62" s="371">
        <v>29</v>
      </c>
      <c r="V62" s="371">
        <v>20</v>
      </c>
      <c r="W62" s="371">
        <v>23</v>
      </c>
      <c r="X62" s="371">
        <v>20</v>
      </c>
      <c r="Y62" s="372">
        <v>194</v>
      </c>
      <c r="Z62" s="371">
        <v>25</v>
      </c>
      <c r="AA62" s="371">
        <v>30</v>
      </c>
      <c r="AB62" s="371">
        <v>38</v>
      </c>
      <c r="AC62" s="371">
        <v>39</v>
      </c>
      <c r="AD62" s="371">
        <v>32</v>
      </c>
      <c r="AE62" s="371">
        <v>19</v>
      </c>
      <c r="AF62" s="371">
        <v>26</v>
      </c>
      <c r="AG62" s="372">
        <v>209</v>
      </c>
      <c r="AH62" s="369">
        <v>25</v>
      </c>
      <c r="AI62" s="369">
        <v>26</v>
      </c>
      <c r="AJ62" s="369">
        <v>26</v>
      </c>
      <c r="AK62" s="369">
        <v>34</v>
      </c>
      <c r="AL62" s="369">
        <v>41</v>
      </c>
      <c r="AM62" s="369">
        <v>32</v>
      </c>
      <c r="AN62" s="369">
        <v>18</v>
      </c>
      <c r="AO62" s="369">
        <v>202</v>
      </c>
      <c r="AP62" s="369">
        <v>26</v>
      </c>
      <c r="AQ62" s="369">
        <v>27</v>
      </c>
      <c r="AR62" s="369">
        <v>27</v>
      </c>
      <c r="AS62" s="369">
        <v>32</v>
      </c>
      <c r="AT62" s="369">
        <v>31</v>
      </c>
      <c r="AU62" s="369">
        <v>39</v>
      </c>
      <c r="AV62" s="369">
        <v>32</v>
      </c>
      <c r="AW62" s="369">
        <v>214</v>
      </c>
      <c r="AX62" s="369">
        <v>24</v>
      </c>
      <c r="AY62" s="369">
        <v>28</v>
      </c>
      <c r="AZ62" s="369">
        <v>28</v>
      </c>
      <c r="BA62" s="369">
        <v>26</v>
      </c>
      <c r="BB62" s="369">
        <v>30</v>
      </c>
      <c r="BC62" s="369">
        <v>27</v>
      </c>
      <c r="BD62" s="369">
        <v>34</v>
      </c>
      <c r="BE62" s="369">
        <v>197</v>
      </c>
    </row>
    <row r="63" spans="1:57">
      <c r="A63" s="178" t="s">
        <v>58</v>
      </c>
      <c r="B63" s="367">
        <v>60</v>
      </c>
      <c r="C63" s="367">
        <v>52</v>
      </c>
      <c r="D63" s="367">
        <v>55</v>
      </c>
      <c r="E63" s="367">
        <v>57</v>
      </c>
      <c r="F63" s="367">
        <v>53</v>
      </c>
      <c r="G63" s="367">
        <v>49</v>
      </c>
      <c r="H63" s="367">
        <v>44</v>
      </c>
      <c r="I63" s="367">
        <v>370</v>
      </c>
      <c r="J63" s="367">
        <v>60</v>
      </c>
      <c r="K63" s="367">
        <v>60</v>
      </c>
      <c r="L63" s="367">
        <v>55</v>
      </c>
      <c r="M63" s="367">
        <v>55</v>
      </c>
      <c r="N63" s="367">
        <v>58</v>
      </c>
      <c r="O63" s="367">
        <v>56</v>
      </c>
      <c r="P63" s="367">
        <v>51</v>
      </c>
      <c r="Q63" s="369">
        <v>395</v>
      </c>
      <c r="R63" s="371">
        <v>57</v>
      </c>
      <c r="S63" s="371">
        <v>60</v>
      </c>
      <c r="T63" s="371">
        <v>59</v>
      </c>
      <c r="U63" s="371">
        <v>52</v>
      </c>
      <c r="V63" s="371">
        <v>57</v>
      </c>
      <c r="W63" s="371">
        <v>55</v>
      </c>
      <c r="X63" s="371">
        <v>58</v>
      </c>
      <c r="Y63" s="372">
        <v>398</v>
      </c>
      <c r="Z63" s="371">
        <v>57</v>
      </c>
      <c r="AA63" s="371">
        <v>57</v>
      </c>
      <c r="AB63" s="371">
        <v>60</v>
      </c>
      <c r="AC63" s="371">
        <v>58</v>
      </c>
      <c r="AD63" s="371">
        <v>54</v>
      </c>
      <c r="AE63" s="371">
        <v>52</v>
      </c>
      <c r="AF63" s="371">
        <v>52</v>
      </c>
      <c r="AG63" s="372">
        <v>390</v>
      </c>
      <c r="AH63" s="369">
        <v>59</v>
      </c>
      <c r="AI63" s="369">
        <v>58</v>
      </c>
      <c r="AJ63" s="369">
        <v>59</v>
      </c>
      <c r="AK63" s="369">
        <v>60</v>
      </c>
      <c r="AL63" s="369">
        <v>60</v>
      </c>
      <c r="AM63" s="369">
        <v>53</v>
      </c>
      <c r="AN63" s="369">
        <v>52</v>
      </c>
      <c r="AO63" s="369">
        <v>401</v>
      </c>
      <c r="AP63" s="369">
        <v>66</v>
      </c>
      <c r="AQ63" s="369">
        <v>63</v>
      </c>
      <c r="AR63" s="369">
        <v>59</v>
      </c>
      <c r="AS63" s="369">
        <v>63</v>
      </c>
      <c r="AT63" s="369">
        <v>63</v>
      </c>
      <c r="AU63" s="369">
        <v>65</v>
      </c>
      <c r="AV63" s="369">
        <v>55</v>
      </c>
      <c r="AW63" s="369">
        <v>434</v>
      </c>
      <c r="AX63" s="369">
        <v>68</v>
      </c>
      <c r="AY63" s="369">
        <v>68</v>
      </c>
      <c r="AZ63" s="369">
        <v>64</v>
      </c>
      <c r="BA63" s="369">
        <v>61</v>
      </c>
      <c r="BB63" s="369">
        <v>62</v>
      </c>
      <c r="BC63" s="369">
        <v>66</v>
      </c>
      <c r="BD63" s="369">
        <v>64</v>
      </c>
      <c r="BE63" s="369">
        <v>453</v>
      </c>
    </row>
    <row r="64" spans="1:57">
      <c r="A64" s="178" t="s">
        <v>59</v>
      </c>
      <c r="B64" s="367">
        <v>23</v>
      </c>
      <c r="C64" s="367">
        <v>17</v>
      </c>
      <c r="D64" s="367">
        <v>17</v>
      </c>
      <c r="E64" s="367">
        <v>18</v>
      </c>
      <c r="F64" s="367">
        <v>11</v>
      </c>
      <c r="G64" s="367">
        <v>19</v>
      </c>
      <c r="H64" s="367">
        <v>14</v>
      </c>
      <c r="I64" s="367">
        <v>119</v>
      </c>
      <c r="J64" s="367">
        <v>23</v>
      </c>
      <c r="K64" s="367">
        <v>24</v>
      </c>
      <c r="L64" s="367">
        <v>18</v>
      </c>
      <c r="M64" s="367">
        <v>18</v>
      </c>
      <c r="N64" s="367">
        <v>19</v>
      </c>
      <c r="O64" s="367">
        <v>14</v>
      </c>
      <c r="P64" s="367">
        <v>19</v>
      </c>
      <c r="Q64" s="369">
        <v>135</v>
      </c>
      <c r="R64" s="371">
        <v>42</v>
      </c>
      <c r="S64" s="371">
        <v>25</v>
      </c>
      <c r="T64" s="371">
        <v>25</v>
      </c>
      <c r="U64" s="371">
        <v>18</v>
      </c>
      <c r="V64" s="371">
        <v>18</v>
      </c>
      <c r="W64" s="371">
        <v>19</v>
      </c>
      <c r="X64" s="371">
        <v>17</v>
      </c>
      <c r="Y64" s="372">
        <v>164</v>
      </c>
      <c r="Z64" s="371">
        <v>30</v>
      </c>
      <c r="AA64" s="371">
        <v>41</v>
      </c>
      <c r="AB64" s="371">
        <v>24</v>
      </c>
      <c r="AC64" s="371">
        <v>29</v>
      </c>
      <c r="AD64" s="371">
        <v>20</v>
      </c>
      <c r="AE64" s="371">
        <v>20</v>
      </c>
      <c r="AF64" s="371">
        <v>19</v>
      </c>
      <c r="AG64" s="372">
        <v>183</v>
      </c>
      <c r="AH64" s="369">
        <v>40</v>
      </c>
      <c r="AI64" s="369">
        <v>35</v>
      </c>
      <c r="AJ64" s="369">
        <v>42</v>
      </c>
      <c r="AK64" s="369">
        <v>26</v>
      </c>
      <c r="AL64" s="369">
        <v>34</v>
      </c>
      <c r="AM64" s="369">
        <v>20</v>
      </c>
      <c r="AN64" s="369">
        <v>23</v>
      </c>
      <c r="AO64" s="369">
        <v>220</v>
      </c>
      <c r="AP64" s="369">
        <v>34</v>
      </c>
      <c r="AQ64" s="369">
        <v>39</v>
      </c>
      <c r="AR64" s="369">
        <v>35</v>
      </c>
      <c r="AS64" s="369">
        <v>45</v>
      </c>
      <c r="AT64" s="369">
        <v>25</v>
      </c>
      <c r="AU64" s="369">
        <v>31</v>
      </c>
      <c r="AV64" s="369">
        <v>21</v>
      </c>
      <c r="AW64" s="369">
        <v>230</v>
      </c>
      <c r="AX64" s="369">
        <v>42</v>
      </c>
      <c r="AY64" s="369">
        <v>38</v>
      </c>
      <c r="AZ64" s="369">
        <v>43</v>
      </c>
      <c r="BA64" s="369">
        <v>35</v>
      </c>
      <c r="BB64" s="369">
        <v>47</v>
      </c>
      <c r="BC64" s="369">
        <v>25</v>
      </c>
      <c r="BD64" s="369">
        <v>33</v>
      </c>
      <c r="BE64" s="369">
        <v>263</v>
      </c>
    </row>
    <row r="65" spans="1:57">
      <c r="A65" s="178" t="s">
        <v>60</v>
      </c>
      <c r="B65" s="367">
        <v>50</v>
      </c>
      <c r="C65" s="367">
        <v>32</v>
      </c>
      <c r="D65" s="367">
        <v>35</v>
      </c>
      <c r="E65" s="367">
        <v>21</v>
      </c>
      <c r="F65" s="367">
        <v>29</v>
      </c>
      <c r="G65" s="367">
        <v>30</v>
      </c>
      <c r="H65" s="367">
        <v>25</v>
      </c>
      <c r="I65" s="367">
        <v>222</v>
      </c>
      <c r="J65" s="367">
        <v>31</v>
      </c>
      <c r="K65" s="367">
        <v>48</v>
      </c>
      <c r="L65" s="367">
        <v>35</v>
      </c>
      <c r="M65" s="367">
        <v>35</v>
      </c>
      <c r="N65" s="367">
        <v>22</v>
      </c>
      <c r="O65" s="367">
        <v>30</v>
      </c>
      <c r="P65" s="367">
        <v>32</v>
      </c>
      <c r="Q65" s="369">
        <v>233</v>
      </c>
      <c r="R65" s="371">
        <v>47</v>
      </c>
      <c r="S65" s="371">
        <v>34</v>
      </c>
      <c r="T65" s="371">
        <v>49</v>
      </c>
      <c r="U65" s="371">
        <v>32</v>
      </c>
      <c r="V65" s="371">
        <v>39</v>
      </c>
      <c r="W65" s="371">
        <v>22</v>
      </c>
      <c r="X65" s="371">
        <v>29</v>
      </c>
      <c r="Y65" s="372">
        <v>252</v>
      </c>
      <c r="Z65" s="371">
        <v>46</v>
      </c>
      <c r="AA65" s="371">
        <v>46</v>
      </c>
      <c r="AB65" s="371">
        <v>31</v>
      </c>
      <c r="AC65" s="371">
        <v>48</v>
      </c>
      <c r="AD65" s="371">
        <v>29</v>
      </c>
      <c r="AE65" s="371">
        <v>35</v>
      </c>
      <c r="AF65" s="371">
        <v>17</v>
      </c>
      <c r="AG65" s="372">
        <v>252</v>
      </c>
      <c r="AH65" s="369">
        <v>33</v>
      </c>
      <c r="AI65" s="369">
        <v>46</v>
      </c>
      <c r="AJ65" s="369">
        <v>45</v>
      </c>
      <c r="AK65" s="369">
        <v>31</v>
      </c>
      <c r="AL65" s="369">
        <v>48</v>
      </c>
      <c r="AM65" s="369">
        <v>29</v>
      </c>
      <c r="AN65" s="369">
        <v>39</v>
      </c>
      <c r="AO65" s="369">
        <v>271</v>
      </c>
      <c r="AP65" s="369">
        <v>33</v>
      </c>
      <c r="AQ65" s="369">
        <v>35</v>
      </c>
      <c r="AR65" s="369">
        <v>46</v>
      </c>
      <c r="AS65" s="369">
        <v>44</v>
      </c>
      <c r="AT65" s="369">
        <v>29</v>
      </c>
      <c r="AU65" s="369">
        <v>47</v>
      </c>
      <c r="AV65" s="369">
        <v>27</v>
      </c>
      <c r="AW65" s="369">
        <v>261</v>
      </c>
      <c r="AX65" s="369">
        <v>37</v>
      </c>
      <c r="AY65" s="369">
        <v>35</v>
      </c>
      <c r="AZ65" s="369">
        <v>32</v>
      </c>
      <c r="BA65" s="369">
        <v>44</v>
      </c>
      <c r="BB65" s="369">
        <v>47</v>
      </c>
      <c r="BC65" s="369">
        <v>30</v>
      </c>
      <c r="BD65" s="369">
        <v>44</v>
      </c>
      <c r="BE65" s="369">
        <v>269</v>
      </c>
    </row>
    <row r="66" spans="1:57">
      <c r="A66" s="178" t="s">
        <v>61</v>
      </c>
      <c r="B66" s="367">
        <v>22</v>
      </c>
      <c r="C66" s="367">
        <v>28</v>
      </c>
      <c r="D66" s="367">
        <v>15</v>
      </c>
      <c r="E66" s="367">
        <v>16</v>
      </c>
      <c r="F66" s="367">
        <v>20</v>
      </c>
      <c r="G66" s="367">
        <v>13</v>
      </c>
      <c r="H66" s="367">
        <v>12</v>
      </c>
      <c r="I66" s="367">
        <v>126</v>
      </c>
      <c r="J66" s="367">
        <v>23</v>
      </c>
      <c r="K66" s="367">
        <v>22</v>
      </c>
      <c r="L66" s="367">
        <v>25</v>
      </c>
      <c r="M66" s="367">
        <v>12</v>
      </c>
      <c r="N66" s="367">
        <v>14</v>
      </c>
      <c r="O66" s="367">
        <v>16</v>
      </c>
      <c r="P66" s="367">
        <v>15</v>
      </c>
      <c r="Q66" s="369">
        <v>127</v>
      </c>
      <c r="R66" s="371">
        <v>22</v>
      </c>
      <c r="S66" s="371">
        <v>17</v>
      </c>
      <c r="T66" s="371">
        <v>24</v>
      </c>
      <c r="U66" s="371">
        <v>25</v>
      </c>
      <c r="V66" s="371">
        <v>14</v>
      </c>
      <c r="W66" s="371">
        <v>14</v>
      </c>
      <c r="X66" s="371">
        <v>13</v>
      </c>
      <c r="Y66" s="372">
        <v>129</v>
      </c>
      <c r="Z66" s="371">
        <v>23</v>
      </c>
      <c r="AA66" s="371">
        <v>26</v>
      </c>
      <c r="AB66" s="371">
        <v>17</v>
      </c>
      <c r="AC66" s="371">
        <v>22</v>
      </c>
      <c r="AD66" s="371">
        <v>23</v>
      </c>
      <c r="AE66" s="371">
        <v>12</v>
      </c>
      <c r="AF66" s="371">
        <v>12</v>
      </c>
      <c r="AG66" s="372">
        <v>135</v>
      </c>
      <c r="AH66" s="369">
        <v>19</v>
      </c>
      <c r="AI66" s="369">
        <v>22</v>
      </c>
      <c r="AJ66" s="369">
        <v>26</v>
      </c>
      <c r="AK66" s="369">
        <v>17</v>
      </c>
      <c r="AL66" s="369">
        <v>18</v>
      </c>
      <c r="AM66" s="369">
        <v>24</v>
      </c>
      <c r="AN66" s="369">
        <v>12</v>
      </c>
      <c r="AO66" s="369">
        <v>138</v>
      </c>
      <c r="AP66" s="369">
        <v>25</v>
      </c>
      <c r="AQ66" s="369">
        <v>18</v>
      </c>
      <c r="AR66" s="369">
        <v>21</v>
      </c>
      <c r="AS66" s="369">
        <v>22</v>
      </c>
      <c r="AT66" s="369">
        <v>15</v>
      </c>
      <c r="AU66" s="369">
        <v>15</v>
      </c>
      <c r="AV66" s="369">
        <v>25</v>
      </c>
      <c r="AW66" s="369">
        <v>141</v>
      </c>
      <c r="AX66" s="369">
        <v>22</v>
      </c>
      <c r="AY66" s="369">
        <v>26</v>
      </c>
      <c r="AZ66" s="369">
        <v>16</v>
      </c>
      <c r="BA66" s="369">
        <v>20</v>
      </c>
      <c r="BB66" s="369">
        <v>26</v>
      </c>
      <c r="BC66" s="369">
        <v>15</v>
      </c>
      <c r="BD66" s="369">
        <v>17</v>
      </c>
      <c r="BE66" s="369">
        <v>142</v>
      </c>
    </row>
    <row r="67" spans="1:57">
      <c r="A67" s="178" t="s">
        <v>62</v>
      </c>
      <c r="B67" s="367">
        <v>90</v>
      </c>
      <c r="C67" s="367">
        <v>90</v>
      </c>
      <c r="D67" s="367">
        <v>89</v>
      </c>
      <c r="E67" s="367">
        <v>99</v>
      </c>
      <c r="F67" s="367">
        <v>83</v>
      </c>
      <c r="G67" s="367">
        <v>94</v>
      </c>
      <c r="H67" s="367">
        <v>89</v>
      </c>
      <c r="I67" s="367">
        <v>634</v>
      </c>
      <c r="J67" s="367">
        <v>89</v>
      </c>
      <c r="K67" s="367">
        <v>90</v>
      </c>
      <c r="L67" s="367">
        <v>90</v>
      </c>
      <c r="M67" s="367">
        <v>91</v>
      </c>
      <c r="N67" s="367">
        <v>99</v>
      </c>
      <c r="O67" s="367">
        <v>83</v>
      </c>
      <c r="P67" s="367">
        <v>96</v>
      </c>
      <c r="Q67" s="369">
        <v>638</v>
      </c>
      <c r="R67" s="371">
        <v>90</v>
      </c>
      <c r="S67" s="371">
        <v>91</v>
      </c>
      <c r="T67" s="371">
        <v>88</v>
      </c>
      <c r="U67" s="371">
        <v>91</v>
      </c>
      <c r="V67" s="371">
        <v>97</v>
      </c>
      <c r="W67" s="371">
        <v>96</v>
      </c>
      <c r="X67" s="371">
        <v>86</v>
      </c>
      <c r="Y67" s="372">
        <v>639</v>
      </c>
      <c r="Z67" s="371">
        <v>84</v>
      </c>
      <c r="AA67" s="371">
        <v>87</v>
      </c>
      <c r="AB67" s="371">
        <v>91</v>
      </c>
      <c r="AC67" s="371">
        <v>96</v>
      </c>
      <c r="AD67" s="371">
        <v>98</v>
      </c>
      <c r="AE67" s="371">
        <v>99</v>
      </c>
      <c r="AF67" s="371">
        <v>91</v>
      </c>
      <c r="AG67" s="372">
        <v>646</v>
      </c>
      <c r="AH67" s="369">
        <v>86</v>
      </c>
      <c r="AI67" s="369">
        <v>89</v>
      </c>
      <c r="AJ67" s="369">
        <v>89</v>
      </c>
      <c r="AK67" s="369">
        <v>96</v>
      </c>
      <c r="AL67" s="369">
        <v>96</v>
      </c>
      <c r="AM67" s="369">
        <v>94</v>
      </c>
      <c r="AN67" s="369">
        <v>97</v>
      </c>
      <c r="AO67" s="369">
        <v>647</v>
      </c>
      <c r="AP67" s="369">
        <v>97</v>
      </c>
      <c r="AQ67" s="369">
        <v>88</v>
      </c>
      <c r="AR67" s="369">
        <v>89</v>
      </c>
      <c r="AS67" s="369">
        <v>97</v>
      </c>
      <c r="AT67" s="369">
        <v>99</v>
      </c>
      <c r="AU67" s="369">
        <v>94</v>
      </c>
      <c r="AV67" s="369">
        <v>98</v>
      </c>
      <c r="AW67" s="369">
        <v>662</v>
      </c>
      <c r="AX67" s="369">
        <v>86</v>
      </c>
      <c r="AY67" s="369">
        <v>100</v>
      </c>
      <c r="AZ67" s="369">
        <v>90</v>
      </c>
      <c r="BA67" s="369">
        <v>91</v>
      </c>
      <c r="BB67" s="369">
        <v>98</v>
      </c>
      <c r="BC67" s="369">
        <v>99</v>
      </c>
      <c r="BD67" s="369">
        <v>98</v>
      </c>
      <c r="BE67" s="369">
        <v>662</v>
      </c>
    </row>
    <row r="68" spans="1:57">
      <c r="A68" s="178" t="s">
        <v>63</v>
      </c>
      <c r="B68" s="367">
        <v>44</v>
      </c>
      <c r="C68" s="367">
        <v>22</v>
      </c>
      <c r="D68" s="367">
        <v>27</v>
      </c>
      <c r="E68" s="367">
        <v>18</v>
      </c>
      <c r="F68" s="367">
        <v>25</v>
      </c>
      <c r="G68" s="367">
        <v>15</v>
      </c>
      <c r="H68" s="367">
        <v>28</v>
      </c>
      <c r="I68" s="367">
        <v>179</v>
      </c>
      <c r="J68" s="367">
        <v>33</v>
      </c>
      <c r="K68" s="367">
        <v>39</v>
      </c>
      <c r="L68" s="367">
        <v>19</v>
      </c>
      <c r="M68" s="367">
        <v>29</v>
      </c>
      <c r="N68" s="367">
        <v>17</v>
      </c>
      <c r="O68" s="367">
        <v>21</v>
      </c>
      <c r="P68" s="367">
        <v>14</v>
      </c>
      <c r="Q68" s="369">
        <v>172</v>
      </c>
      <c r="R68" s="371">
        <v>48</v>
      </c>
      <c r="S68" s="371">
        <v>34</v>
      </c>
      <c r="T68" s="371">
        <v>41</v>
      </c>
      <c r="U68" s="371">
        <v>24</v>
      </c>
      <c r="V68" s="371">
        <v>28</v>
      </c>
      <c r="W68" s="371">
        <v>18</v>
      </c>
      <c r="X68" s="371">
        <v>20</v>
      </c>
      <c r="Y68" s="372">
        <v>213</v>
      </c>
      <c r="Z68" s="371">
        <v>44</v>
      </c>
      <c r="AA68" s="371">
        <v>47</v>
      </c>
      <c r="AB68" s="371">
        <v>33</v>
      </c>
      <c r="AC68" s="371">
        <v>34</v>
      </c>
      <c r="AD68" s="371">
        <v>24</v>
      </c>
      <c r="AE68" s="371">
        <v>30</v>
      </c>
      <c r="AF68" s="371">
        <v>14</v>
      </c>
      <c r="AG68" s="372">
        <v>226</v>
      </c>
      <c r="AH68" s="369">
        <v>38</v>
      </c>
      <c r="AI68" s="369">
        <v>35</v>
      </c>
      <c r="AJ68" s="369">
        <v>38</v>
      </c>
      <c r="AK68" s="369">
        <v>28</v>
      </c>
      <c r="AL68" s="369">
        <v>31</v>
      </c>
      <c r="AM68" s="369">
        <v>20</v>
      </c>
      <c r="AN68" s="369">
        <v>28</v>
      </c>
      <c r="AO68" s="369">
        <v>218</v>
      </c>
      <c r="AP68" s="369">
        <v>46</v>
      </c>
      <c r="AQ68" s="369">
        <v>44</v>
      </c>
      <c r="AR68" s="369">
        <v>36</v>
      </c>
      <c r="AS68" s="369">
        <v>35</v>
      </c>
      <c r="AT68" s="369">
        <v>26</v>
      </c>
      <c r="AU68" s="369">
        <v>33</v>
      </c>
      <c r="AV68" s="369">
        <v>23</v>
      </c>
      <c r="AW68" s="369">
        <v>243</v>
      </c>
      <c r="AX68" s="369">
        <v>42</v>
      </c>
      <c r="AY68" s="369">
        <v>44</v>
      </c>
      <c r="AZ68" s="369">
        <v>41</v>
      </c>
      <c r="BA68" s="369">
        <v>35</v>
      </c>
      <c r="BB68" s="369">
        <v>31</v>
      </c>
      <c r="BC68" s="369">
        <v>23</v>
      </c>
      <c r="BD68" s="369">
        <v>32</v>
      </c>
      <c r="BE68" s="369">
        <v>248</v>
      </c>
    </row>
    <row r="69" spans="1:57">
      <c r="A69" s="178" t="s">
        <v>64</v>
      </c>
      <c r="B69" s="367">
        <v>89</v>
      </c>
      <c r="C69" s="367">
        <v>97</v>
      </c>
      <c r="D69" s="367">
        <v>85</v>
      </c>
      <c r="E69" s="367">
        <v>85</v>
      </c>
      <c r="F69" s="367">
        <v>77</v>
      </c>
      <c r="G69" s="367">
        <v>74</v>
      </c>
      <c r="H69" s="367">
        <v>72</v>
      </c>
      <c r="I69" s="367">
        <v>579</v>
      </c>
      <c r="J69" s="367">
        <v>88</v>
      </c>
      <c r="K69" s="367">
        <v>89</v>
      </c>
      <c r="L69" s="367">
        <v>98</v>
      </c>
      <c r="M69" s="367">
        <v>91</v>
      </c>
      <c r="N69" s="367">
        <v>85</v>
      </c>
      <c r="O69" s="367">
        <v>80</v>
      </c>
      <c r="P69" s="367">
        <v>65</v>
      </c>
      <c r="Q69" s="369">
        <v>596</v>
      </c>
      <c r="R69" s="371">
        <v>98</v>
      </c>
      <c r="S69" s="371">
        <v>90</v>
      </c>
      <c r="T69" s="371">
        <v>90</v>
      </c>
      <c r="U69" s="371">
        <v>98</v>
      </c>
      <c r="V69" s="371">
        <v>91</v>
      </c>
      <c r="W69" s="371">
        <v>86</v>
      </c>
      <c r="X69" s="371">
        <v>77</v>
      </c>
      <c r="Y69" s="372">
        <v>630</v>
      </c>
      <c r="Z69" s="371">
        <v>93</v>
      </c>
      <c r="AA69" s="371">
        <v>99</v>
      </c>
      <c r="AB69" s="371">
        <v>89</v>
      </c>
      <c r="AC69" s="371">
        <v>90</v>
      </c>
      <c r="AD69" s="371">
        <v>98</v>
      </c>
      <c r="AE69" s="371">
        <v>89</v>
      </c>
      <c r="AF69" s="371">
        <v>87</v>
      </c>
      <c r="AG69" s="372">
        <v>645</v>
      </c>
      <c r="AH69" s="369">
        <v>86</v>
      </c>
      <c r="AI69" s="369">
        <v>94</v>
      </c>
      <c r="AJ69" s="369">
        <v>98</v>
      </c>
      <c r="AK69" s="369">
        <v>91</v>
      </c>
      <c r="AL69" s="369">
        <v>91</v>
      </c>
      <c r="AM69" s="369">
        <v>99</v>
      </c>
      <c r="AN69" s="369">
        <v>83</v>
      </c>
      <c r="AO69" s="369">
        <v>642</v>
      </c>
      <c r="AP69" s="369">
        <v>88</v>
      </c>
      <c r="AQ69" s="369">
        <v>90</v>
      </c>
      <c r="AR69" s="369">
        <v>95</v>
      </c>
      <c r="AS69" s="369">
        <v>96</v>
      </c>
      <c r="AT69" s="369">
        <v>93</v>
      </c>
      <c r="AU69" s="369">
        <v>87</v>
      </c>
      <c r="AV69" s="369">
        <v>99</v>
      </c>
      <c r="AW69" s="369">
        <v>648</v>
      </c>
      <c r="AX69" s="369">
        <v>103</v>
      </c>
      <c r="AY69" s="369">
        <v>88</v>
      </c>
      <c r="AZ69" s="369">
        <v>88</v>
      </c>
      <c r="BA69" s="369">
        <v>99</v>
      </c>
      <c r="BB69" s="369">
        <v>98</v>
      </c>
      <c r="BC69" s="369">
        <v>87</v>
      </c>
      <c r="BD69" s="369">
        <v>80</v>
      </c>
      <c r="BE69" s="369">
        <v>643</v>
      </c>
    </row>
    <row r="70" spans="1:57" s="365" customFormat="1">
      <c r="A70" s="204" t="s">
        <v>65</v>
      </c>
      <c r="B70" s="373">
        <v>30</v>
      </c>
      <c r="C70" s="373">
        <v>29</v>
      </c>
      <c r="D70" s="373">
        <v>33</v>
      </c>
      <c r="E70" s="373">
        <v>25</v>
      </c>
      <c r="F70" s="373">
        <v>26</v>
      </c>
      <c r="G70" s="373">
        <v>32</v>
      </c>
      <c r="H70" s="373">
        <v>29</v>
      </c>
      <c r="I70" s="373">
        <v>204</v>
      </c>
      <c r="J70" s="367">
        <v>35</v>
      </c>
      <c r="K70" s="367">
        <v>30</v>
      </c>
      <c r="L70" s="367">
        <v>29</v>
      </c>
      <c r="M70" s="367">
        <v>33</v>
      </c>
      <c r="N70" s="367">
        <v>27</v>
      </c>
      <c r="O70" s="367">
        <v>31</v>
      </c>
      <c r="P70" s="367">
        <v>32</v>
      </c>
      <c r="Q70" s="369">
        <v>217</v>
      </c>
      <c r="R70" s="371">
        <v>28</v>
      </c>
      <c r="S70" s="371">
        <v>34</v>
      </c>
      <c r="T70" s="371">
        <v>30</v>
      </c>
      <c r="U70" s="371">
        <v>31</v>
      </c>
      <c r="V70" s="371">
        <v>33</v>
      </c>
      <c r="W70" s="371">
        <v>30</v>
      </c>
      <c r="X70" s="371">
        <v>31</v>
      </c>
      <c r="Y70" s="372">
        <v>217</v>
      </c>
      <c r="Z70" s="371">
        <v>30</v>
      </c>
      <c r="AA70" s="371">
        <v>30</v>
      </c>
      <c r="AB70" s="371">
        <v>32</v>
      </c>
      <c r="AC70" s="371">
        <v>32</v>
      </c>
      <c r="AD70" s="371">
        <v>30</v>
      </c>
      <c r="AE70" s="371">
        <v>33</v>
      </c>
      <c r="AF70" s="371">
        <v>27</v>
      </c>
      <c r="AG70" s="372">
        <v>214</v>
      </c>
      <c r="AH70" s="369">
        <v>26</v>
      </c>
      <c r="AI70" s="369">
        <v>30</v>
      </c>
      <c r="AJ70" s="369">
        <v>30</v>
      </c>
      <c r="AK70" s="369">
        <v>31</v>
      </c>
      <c r="AL70" s="369">
        <v>33</v>
      </c>
      <c r="AM70" s="369">
        <v>29</v>
      </c>
      <c r="AN70" s="369">
        <v>31</v>
      </c>
      <c r="AO70" s="369">
        <v>210</v>
      </c>
      <c r="AP70" s="369">
        <v>27</v>
      </c>
      <c r="AQ70" s="369">
        <v>30</v>
      </c>
      <c r="AR70" s="369">
        <v>30</v>
      </c>
      <c r="AS70" s="369">
        <v>33</v>
      </c>
      <c r="AT70" s="369">
        <v>32</v>
      </c>
      <c r="AU70" s="369">
        <v>33</v>
      </c>
      <c r="AV70" s="369">
        <v>29</v>
      </c>
      <c r="AW70" s="369">
        <v>214</v>
      </c>
      <c r="AX70" s="369">
        <v>25</v>
      </c>
      <c r="AY70" s="369">
        <v>29</v>
      </c>
      <c r="AZ70" s="369">
        <v>29</v>
      </c>
      <c r="BA70" s="369">
        <v>33</v>
      </c>
      <c r="BB70" s="369">
        <v>33</v>
      </c>
      <c r="BC70" s="369">
        <v>33</v>
      </c>
      <c r="BD70" s="369">
        <v>32</v>
      </c>
      <c r="BE70" s="369">
        <v>214</v>
      </c>
    </row>
    <row r="71" spans="1:57" s="365" customFormat="1">
      <c r="A71" s="204" t="s">
        <v>85</v>
      </c>
      <c r="B71" s="373">
        <v>24</v>
      </c>
      <c r="C71" s="373">
        <v>25</v>
      </c>
      <c r="D71" s="373">
        <v>24</v>
      </c>
      <c r="E71" s="373">
        <v>21</v>
      </c>
      <c r="F71" s="373">
        <v>22</v>
      </c>
      <c r="G71" s="373">
        <v>23</v>
      </c>
      <c r="H71" s="373">
        <v>14</v>
      </c>
      <c r="I71" s="373">
        <v>153</v>
      </c>
      <c r="J71" s="367">
        <v>28</v>
      </c>
      <c r="K71" s="367">
        <v>25</v>
      </c>
      <c r="L71" s="367">
        <v>31</v>
      </c>
      <c r="M71" s="367">
        <v>26</v>
      </c>
      <c r="N71" s="367">
        <v>21</v>
      </c>
      <c r="O71" s="367">
        <v>25</v>
      </c>
      <c r="P71" s="367">
        <v>25</v>
      </c>
      <c r="Q71" s="369">
        <v>181</v>
      </c>
      <c r="R71" s="371">
        <v>25</v>
      </c>
      <c r="S71" s="371">
        <v>31</v>
      </c>
      <c r="T71" s="371">
        <v>30</v>
      </c>
      <c r="U71" s="371">
        <v>28</v>
      </c>
      <c r="V71" s="371">
        <v>28</v>
      </c>
      <c r="W71" s="371">
        <v>19</v>
      </c>
      <c r="X71" s="371">
        <v>24</v>
      </c>
      <c r="Y71" s="372">
        <v>185</v>
      </c>
      <c r="Z71" s="371">
        <v>25</v>
      </c>
      <c r="AA71" s="371">
        <v>23</v>
      </c>
      <c r="AB71" s="371">
        <v>33</v>
      </c>
      <c r="AC71" s="371">
        <v>34</v>
      </c>
      <c r="AD71" s="371">
        <v>29</v>
      </c>
      <c r="AE71" s="371">
        <v>25</v>
      </c>
      <c r="AF71" s="371">
        <v>17</v>
      </c>
      <c r="AG71" s="372">
        <v>186</v>
      </c>
      <c r="AH71" s="369">
        <v>29</v>
      </c>
      <c r="AI71" s="369">
        <v>30</v>
      </c>
      <c r="AJ71" s="369">
        <v>26</v>
      </c>
      <c r="AK71" s="369">
        <v>35</v>
      </c>
      <c r="AL71" s="369">
        <v>33</v>
      </c>
      <c r="AM71" s="369">
        <v>32</v>
      </c>
      <c r="AN71" s="369">
        <v>29</v>
      </c>
      <c r="AO71" s="369">
        <v>214</v>
      </c>
      <c r="AP71" s="369">
        <v>25</v>
      </c>
      <c r="AQ71" s="369">
        <v>29</v>
      </c>
      <c r="AR71" s="369">
        <v>32</v>
      </c>
      <c r="AS71" s="369">
        <v>27</v>
      </c>
      <c r="AT71" s="369">
        <v>37</v>
      </c>
      <c r="AU71" s="369">
        <v>31</v>
      </c>
      <c r="AV71" s="369">
        <v>31</v>
      </c>
      <c r="AW71" s="369">
        <v>212</v>
      </c>
      <c r="AX71" s="369">
        <v>30</v>
      </c>
      <c r="AY71" s="369">
        <v>24</v>
      </c>
      <c r="AZ71" s="369">
        <v>28</v>
      </c>
      <c r="BA71" s="369">
        <v>36</v>
      </c>
      <c r="BB71" s="369">
        <v>29</v>
      </c>
      <c r="BC71" s="369">
        <v>36</v>
      </c>
      <c r="BD71" s="369">
        <v>26</v>
      </c>
      <c r="BE71" s="369">
        <v>209</v>
      </c>
    </row>
    <row r="72" spans="1:57" s="365" customFormat="1">
      <c r="A72" s="204" t="s">
        <v>86</v>
      </c>
      <c r="B72" s="373">
        <v>33</v>
      </c>
      <c r="C72" s="373">
        <v>47</v>
      </c>
      <c r="D72" s="373">
        <v>33</v>
      </c>
      <c r="E72" s="373">
        <v>32</v>
      </c>
      <c r="F72" s="373">
        <v>38</v>
      </c>
      <c r="G72" s="373">
        <v>26</v>
      </c>
      <c r="H72" s="373">
        <v>33</v>
      </c>
      <c r="I72" s="373">
        <v>242</v>
      </c>
      <c r="J72" s="367">
        <v>48</v>
      </c>
      <c r="K72" s="367">
        <v>35</v>
      </c>
      <c r="L72" s="367">
        <v>48</v>
      </c>
      <c r="M72" s="367">
        <v>31</v>
      </c>
      <c r="N72" s="367">
        <v>33</v>
      </c>
      <c r="O72" s="367">
        <v>40</v>
      </c>
      <c r="P72" s="367">
        <v>25</v>
      </c>
      <c r="Q72" s="369">
        <v>260</v>
      </c>
      <c r="R72" s="371">
        <v>29</v>
      </c>
      <c r="S72" s="371">
        <v>50</v>
      </c>
      <c r="T72" s="371">
        <v>34</v>
      </c>
      <c r="U72" s="371">
        <v>47</v>
      </c>
      <c r="V72" s="371">
        <v>32</v>
      </c>
      <c r="W72" s="371">
        <v>30</v>
      </c>
      <c r="X72" s="371">
        <v>35</v>
      </c>
      <c r="Y72" s="372">
        <v>257</v>
      </c>
      <c r="Z72" s="371">
        <v>50</v>
      </c>
      <c r="AA72" s="371">
        <v>28</v>
      </c>
      <c r="AB72" s="371">
        <v>48</v>
      </c>
      <c r="AC72" s="371">
        <v>36</v>
      </c>
      <c r="AD72" s="371">
        <v>44</v>
      </c>
      <c r="AE72" s="371">
        <v>33</v>
      </c>
      <c r="AF72" s="371">
        <v>29</v>
      </c>
      <c r="AG72" s="372">
        <v>268</v>
      </c>
      <c r="AH72" s="369">
        <v>47</v>
      </c>
      <c r="AI72" s="369">
        <v>50</v>
      </c>
      <c r="AJ72" s="369">
        <v>27</v>
      </c>
      <c r="AK72" s="369">
        <v>46</v>
      </c>
      <c r="AL72" s="369">
        <v>37</v>
      </c>
      <c r="AM72" s="369">
        <v>41</v>
      </c>
      <c r="AN72" s="369">
        <v>32</v>
      </c>
      <c r="AO72" s="369">
        <v>280</v>
      </c>
      <c r="AP72" s="369">
        <v>57</v>
      </c>
      <c r="AQ72" s="369">
        <v>46</v>
      </c>
      <c r="AR72" s="369">
        <v>48</v>
      </c>
      <c r="AS72" s="369">
        <v>25</v>
      </c>
      <c r="AT72" s="369">
        <v>51</v>
      </c>
      <c r="AU72" s="369">
        <v>40</v>
      </c>
      <c r="AV72" s="369">
        <v>49</v>
      </c>
      <c r="AW72" s="369">
        <v>316</v>
      </c>
      <c r="AX72" s="369">
        <v>46</v>
      </c>
      <c r="AY72" s="369">
        <v>55</v>
      </c>
      <c r="AZ72" s="369">
        <v>42</v>
      </c>
      <c r="BA72" s="369">
        <v>46</v>
      </c>
      <c r="BB72" s="369">
        <v>30</v>
      </c>
      <c r="BC72" s="369">
        <v>47</v>
      </c>
      <c r="BD72" s="369">
        <v>37</v>
      </c>
      <c r="BE72" s="369">
        <v>303</v>
      </c>
    </row>
    <row r="73" spans="1:57" s="365" customFormat="1">
      <c r="A73" s="204" t="s">
        <v>87</v>
      </c>
      <c r="B73" s="373">
        <v>40</v>
      </c>
      <c r="C73" s="373">
        <v>28</v>
      </c>
      <c r="D73" s="373">
        <v>20</v>
      </c>
      <c r="E73" s="373">
        <v>25</v>
      </c>
      <c r="F73" s="373">
        <v>20</v>
      </c>
      <c r="G73" s="373">
        <v>18</v>
      </c>
      <c r="H73" s="373">
        <v>24</v>
      </c>
      <c r="I73" s="373">
        <v>175</v>
      </c>
      <c r="J73" s="367">
        <v>48</v>
      </c>
      <c r="K73" s="367">
        <v>35</v>
      </c>
      <c r="L73" s="367">
        <v>29</v>
      </c>
      <c r="M73" s="367">
        <v>21</v>
      </c>
      <c r="N73" s="367">
        <v>24</v>
      </c>
      <c r="O73" s="367">
        <v>24</v>
      </c>
      <c r="P73" s="367">
        <v>21</v>
      </c>
      <c r="Q73" s="369">
        <v>202</v>
      </c>
      <c r="R73" s="371">
        <v>33</v>
      </c>
      <c r="S73" s="371">
        <v>44</v>
      </c>
      <c r="T73" s="371">
        <v>27</v>
      </c>
      <c r="U73" s="371">
        <v>28</v>
      </c>
      <c r="V73" s="371">
        <v>20</v>
      </c>
      <c r="W73" s="371">
        <v>24</v>
      </c>
      <c r="X73" s="371">
        <v>23</v>
      </c>
      <c r="Y73" s="372">
        <v>199</v>
      </c>
      <c r="Z73" s="371">
        <v>22</v>
      </c>
      <c r="AA73" s="371">
        <v>35</v>
      </c>
      <c r="AB73" s="371">
        <v>43</v>
      </c>
      <c r="AC73" s="371">
        <v>27</v>
      </c>
      <c r="AD73" s="371">
        <v>29</v>
      </c>
      <c r="AE73" s="371">
        <v>19</v>
      </c>
      <c r="AF73" s="371">
        <v>23</v>
      </c>
      <c r="AG73" s="372">
        <v>198</v>
      </c>
      <c r="AH73" s="369">
        <v>27</v>
      </c>
      <c r="AI73" s="369">
        <v>23</v>
      </c>
      <c r="AJ73" s="369">
        <v>32</v>
      </c>
      <c r="AK73" s="369">
        <v>42</v>
      </c>
      <c r="AL73" s="369">
        <v>26</v>
      </c>
      <c r="AM73" s="369">
        <v>28</v>
      </c>
      <c r="AN73" s="369">
        <v>17</v>
      </c>
      <c r="AO73" s="369">
        <v>195</v>
      </c>
      <c r="AP73" s="369">
        <v>45</v>
      </c>
      <c r="AQ73" s="369">
        <v>26</v>
      </c>
      <c r="AR73" s="369">
        <v>22</v>
      </c>
      <c r="AS73" s="369">
        <v>29</v>
      </c>
      <c r="AT73" s="369">
        <v>41</v>
      </c>
      <c r="AU73" s="369">
        <v>26</v>
      </c>
      <c r="AV73" s="369">
        <v>26</v>
      </c>
      <c r="AW73" s="369">
        <v>215</v>
      </c>
      <c r="AX73" s="369">
        <v>47</v>
      </c>
      <c r="AY73" s="369">
        <v>47</v>
      </c>
      <c r="AZ73" s="369">
        <v>31</v>
      </c>
      <c r="BA73" s="369">
        <v>25</v>
      </c>
      <c r="BB73" s="369">
        <v>30</v>
      </c>
      <c r="BC73" s="369">
        <v>42</v>
      </c>
      <c r="BD73" s="369">
        <v>29</v>
      </c>
      <c r="BE73" s="369">
        <v>251</v>
      </c>
    </row>
    <row r="74" spans="1:57" s="365" customFormat="1">
      <c r="A74" s="204" t="s">
        <v>88</v>
      </c>
      <c r="B74" s="373">
        <v>53</v>
      </c>
      <c r="C74" s="373">
        <v>40</v>
      </c>
      <c r="D74" s="373">
        <v>51</v>
      </c>
      <c r="E74" s="373">
        <v>29</v>
      </c>
      <c r="F74" s="373">
        <v>31</v>
      </c>
      <c r="G74" s="373">
        <v>32</v>
      </c>
      <c r="H74" s="373">
        <v>32</v>
      </c>
      <c r="I74" s="373">
        <v>268</v>
      </c>
      <c r="J74" s="367">
        <v>48</v>
      </c>
      <c r="K74" s="367">
        <v>52</v>
      </c>
      <c r="L74" s="367">
        <v>36</v>
      </c>
      <c r="M74" s="367">
        <v>50</v>
      </c>
      <c r="N74" s="367">
        <v>31</v>
      </c>
      <c r="O74" s="367">
        <v>33</v>
      </c>
      <c r="P74" s="367">
        <v>33</v>
      </c>
      <c r="Q74" s="369">
        <v>283</v>
      </c>
      <c r="R74" s="371">
        <v>37</v>
      </c>
      <c r="S74" s="371">
        <v>48</v>
      </c>
      <c r="T74" s="371">
        <v>52</v>
      </c>
      <c r="U74" s="371">
        <v>37</v>
      </c>
      <c r="V74" s="371">
        <v>44</v>
      </c>
      <c r="W74" s="371">
        <v>27</v>
      </c>
      <c r="X74" s="371">
        <v>33</v>
      </c>
      <c r="Y74" s="372">
        <v>278</v>
      </c>
      <c r="Z74" s="371">
        <v>26</v>
      </c>
      <c r="AA74" s="371">
        <v>36</v>
      </c>
      <c r="AB74" s="371">
        <v>49</v>
      </c>
      <c r="AC74" s="371">
        <v>51</v>
      </c>
      <c r="AD74" s="371">
        <v>38</v>
      </c>
      <c r="AE74" s="371">
        <v>45</v>
      </c>
      <c r="AF74" s="371">
        <v>24</v>
      </c>
      <c r="AG74" s="372">
        <v>269</v>
      </c>
      <c r="AH74" s="369">
        <v>26</v>
      </c>
      <c r="AI74" s="369">
        <v>30</v>
      </c>
      <c r="AJ74" s="369">
        <v>33</v>
      </c>
      <c r="AK74" s="369">
        <v>47</v>
      </c>
      <c r="AL74" s="369">
        <v>51</v>
      </c>
      <c r="AM74" s="369">
        <v>38</v>
      </c>
      <c r="AN74" s="369">
        <v>45</v>
      </c>
      <c r="AO74" s="369">
        <v>270</v>
      </c>
      <c r="AP74" s="369">
        <v>29</v>
      </c>
      <c r="AQ74" s="369">
        <v>30</v>
      </c>
      <c r="AR74" s="369">
        <v>29</v>
      </c>
      <c r="AS74" s="369">
        <v>35</v>
      </c>
      <c r="AT74" s="369">
        <v>48</v>
      </c>
      <c r="AU74" s="369">
        <v>49</v>
      </c>
      <c r="AV74" s="369">
        <v>35</v>
      </c>
      <c r="AW74" s="369">
        <v>255</v>
      </c>
      <c r="AX74" s="369">
        <v>46</v>
      </c>
      <c r="AY74" s="369">
        <v>29</v>
      </c>
      <c r="AZ74" s="369">
        <v>30</v>
      </c>
      <c r="BA74" s="369">
        <v>30</v>
      </c>
      <c r="BB74" s="369">
        <v>37</v>
      </c>
      <c r="BC74" s="369">
        <v>53</v>
      </c>
      <c r="BD74" s="369">
        <v>47</v>
      </c>
      <c r="BE74" s="369">
        <v>272</v>
      </c>
    </row>
    <row r="75" spans="1:57" s="365" customFormat="1">
      <c r="A75" s="204" t="s">
        <v>89</v>
      </c>
      <c r="B75" s="373">
        <v>51</v>
      </c>
      <c r="C75" s="373">
        <v>59</v>
      </c>
      <c r="D75" s="373">
        <v>58</v>
      </c>
      <c r="E75" s="373">
        <v>55</v>
      </c>
      <c r="F75" s="373">
        <v>52</v>
      </c>
      <c r="G75" s="373">
        <v>55</v>
      </c>
      <c r="H75" s="373">
        <v>53</v>
      </c>
      <c r="I75" s="373">
        <v>383</v>
      </c>
      <c r="J75" s="367">
        <v>50</v>
      </c>
      <c r="K75" s="367">
        <v>57</v>
      </c>
      <c r="L75" s="367">
        <v>58</v>
      </c>
      <c r="M75" s="367">
        <v>57</v>
      </c>
      <c r="N75" s="367">
        <v>56</v>
      </c>
      <c r="O75" s="367">
        <v>49</v>
      </c>
      <c r="P75" s="367">
        <v>55</v>
      </c>
      <c r="Q75" s="369">
        <v>382</v>
      </c>
      <c r="R75" s="371">
        <v>50</v>
      </c>
      <c r="S75" s="371">
        <v>48</v>
      </c>
      <c r="T75" s="371">
        <v>57</v>
      </c>
      <c r="U75" s="371">
        <v>60</v>
      </c>
      <c r="V75" s="371">
        <v>56</v>
      </c>
      <c r="W75" s="371">
        <v>57</v>
      </c>
      <c r="X75" s="371">
        <v>48</v>
      </c>
      <c r="Y75" s="372">
        <v>376</v>
      </c>
      <c r="Z75" s="371">
        <v>58</v>
      </c>
      <c r="AA75" s="371">
        <v>45</v>
      </c>
      <c r="AB75" s="371">
        <v>43</v>
      </c>
      <c r="AC75" s="371">
        <v>58</v>
      </c>
      <c r="AD75" s="371">
        <v>57</v>
      </c>
      <c r="AE75" s="371">
        <v>57</v>
      </c>
      <c r="AF75" s="371">
        <v>54</v>
      </c>
      <c r="AG75" s="372">
        <v>372</v>
      </c>
      <c r="AH75" s="369">
        <v>50</v>
      </c>
      <c r="AI75" s="369">
        <v>58</v>
      </c>
      <c r="AJ75" s="369">
        <v>44</v>
      </c>
      <c r="AK75" s="369">
        <v>44</v>
      </c>
      <c r="AL75" s="369">
        <v>60</v>
      </c>
      <c r="AM75" s="369">
        <v>53</v>
      </c>
      <c r="AN75" s="369">
        <v>58</v>
      </c>
      <c r="AO75" s="369">
        <v>367</v>
      </c>
      <c r="AP75" s="369">
        <v>56</v>
      </c>
      <c r="AQ75" s="369">
        <v>49</v>
      </c>
      <c r="AR75" s="369">
        <v>58</v>
      </c>
      <c r="AS75" s="369">
        <v>46</v>
      </c>
      <c r="AT75" s="369">
        <v>40</v>
      </c>
      <c r="AU75" s="369">
        <v>58</v>
      </c>
      <c r="AV75" s="369">
        <v>47</v>
      </c>
      <c r="AW75" s="369">
        <v>354</v>
      </c>
      <c r="AX75" s="369">
        <v>49</v>
      </c>
      <c r="AY75" s="369">
        <v>59</v>
      </c>
      <c r="AZ75" s="369">
        <v>50</v>
      </c>
      <c r="BA75" s="369">
        <v>56</v>
      </c>
      <c r="BB75" s="369">
        <v>49</v>
      </c>
      <c r="BC75" s="369">
        <v>43</v>
      </c>
      <c r="BD75" s="369">
        <v>57</v>
      </c>
      <c r="BE75" s="369">
        <v>363</v>
      </c>
    </row>
    <row r="76" spans="1:57" s="365" customFormat="1">
      <c r="A76" s="204" t="s">
        <v>90</v>
      </c>
      <c r="B76" s="373">
        <v>45</v>
      </c>
      <c r="C76" s="373">
        <v>37</v>
      </c>
      <c r="D76" s="373">
        <v>43</v>
      </c>
      <c r="E76" s="373">
        <v>28</v>
      </c>
      <c r="F76" s="373">
        <v>28</v>
      </c>
      <c r="G76" s="373">
        <v>31</v>
      </c>
      <c r="H76" s="373">
        <v>18</v>
      </c>
      <c r="I76" s="373">
        <v>230</v>
      </c>
      <c r="J76" s="367">
        <v>48</v>
      </c>
      <c r="K76" s="367">
        <v>43</v>
      </c>
      <c r="L76" s="367">
        <v>33</v>
      </c>
      <c r="M76" s="367">
        <v>44</v>
      </c>
      <c r="N76" s="367">
        <v>32</v>
      </c>
      <c r="O76" s="367">
        <v>27</v>
      </c>
      <c r="P76" s="367">
        <v>31</v>
      </c>
      <c r="Q76" s="369">
        <v>258</v>
      </c>
      <c r="R76" s="371">
        <v>35</v>
      </c>
      <c r="S76" s="371">
        <v>47</v>
      </c>
      <c r="T76" s="371">
        <v>44</v>
      </c>
      <c r="U76" s="371">
        <v>31</v>
      </c>
      <c r="V76" s="371">
        <v>47</v>
      </c>
      <c r="W76" s="371">
        <v>31</v>
      </c>
      <c r="X76" s="371">
        <v>25</v>
      </c>
      <c r="Y76" s="372">
        <v>260</v>
      </c>
      <c r="Z76" s="371">
        <v>47</v>
      </c>
      <c r="AA76" s="371">
        <v>35</v>
      </c>
      <c r="AB76" s="371">
        <v>48</v>
      </c>
      <c r="AC76" s="371">
        <v>43</v>
      </c>
      <c r="AD76" s="371">
        <v>31</v>
      </c>
      <c r="AE76" s="371">
        <v>45</v>
      </c>
      <c r="AF76" s="371">
        <v>30</v>
      </c>
      <c r="AG76" s="372">
        <v>279</v>
      </c>
      <c r="AH76" s="369">
        <v>45</v>
      </c>
      <c r="AI76" s="369">
        <v>49</v>
      </c>
      <c r="AJ76" s="369">
        <v>37</v>
      </c>
      <c r="AK76" s="369">
        <v>50</v>
      </c>
      <c r="AL76" s="369">
        <v>43</v>
      </c>
      <c r="AM76" s="369">
        <v>30</v>
      </c>
      <c r="AN76" s="369">
        <v>45</v>
      </c>
      <c r="AO76" s="369">
        <v>299</v>
      </c>
      <c r="AP76" s="369">
        <v>55</v>
      </c>
      <c r="AQ76" s="369">
        <v>46</v>
      </c>
      <c r="AR76" s="369">
        <v>46</v>
      </c>
      <c r="AS76" s="369">
        <v>38</v>
      </c>
      <c r="AT76" s="369">
        <v>46</v>
      </c>
      <c r="AU76" s="369">
        <v>48</v>
      </c>
      <c r="AV76" s="369">
        <v>28</v>
      </c>
      <c r="AW76" s="369">
        <v>307</v>
      </c>
      <c r="AX76" s="369">
        <v>49</v>
      </c>
      <c r="AY76" s="369">
        <v>55</v>
      </c>
      <c r="AZ76" s="369">
        <v>46</v>
      </c>
      <c r="BA76" s="369">
        <v>47</v>
      </c>
      <c r="BB76" s="369">
        <v>34</v>
      </c>
      <c r="BC76" s="369">
        <v>41</v>
      </c>
      <c r="BD76" s="369">
        <v>52</v>
      </c>
      <c r="BE76" s="369">
        <v>324</v>
      </c>
    </row>
    <row r="77" spans="1:57" s="365" customFormat="1">
      <c r="A77" s="204" t="s">
        <v>81</v>
      </c>
      <c r="B77" s="373">
        <v>14</v>
      </c>
      <c r="C77" s="373">
        <v>17</v>
      </c>
      <c r="D77" s="373">
        <v>13</v>
      </c>
      <c r="E77" s="373">
        <v>14</v>
      </c>
      <c r="F77" s="373">
        <v>11</v>
      </c>
      <c r="G77" s="373">
        <v>17</v>
      </c>
      <c r="H77" s="373">
        <v>7</v>
      </c>
      <c r="I77" s="373">
        <v>93</v>
      </c>
      <c r="J77" s="367">
        <v>19</v>
      </c>
      <c r="K77" s="367">
        <v>15</v>
      </c>
      <c r="L77" s="367">
        <v>17</v>
      </c>
      <c r="M77" s="367">
        <v>12</v>
      </c>
      <c r="N77" s="367">
        <v>12</v>
      </c>
      <c r="O77" s="367">
        <v>12</v>
      </c>
      <c r="P77" s="367">
        <v>18</v>
      </c>
      <c r="Q77" s="369">
        <v>105</v>
      </c>
      <c r="R77" s="371">
        <v>13</v>
      </c>
      <c r="S77" s="371">
        <v>27</v>
      </c>
      <c r="T77" s="371">
        <v>18</v>
      </c>
      <c r="U77" s="371">
        <v>17</v>
      </c>
      <c r="V77" s="371">
        <v>13</v>
      </c>
      <c r="W77" s="371">
        <v>11</v>
      </c>
      <c r="X77" s="371">
        <v>11</v>
      </c>
      <c r="Y77" s="372">
        <v>110</v>
      </c>
      <c r="Z77" s="371">
        <v>12</v>
      </c>
      <c r="AA77" s="371">
        <v>12</v>
      </c>
      <c r="AB77" s="371">
        <v>28</v>
      </c>
      <c r="AC77" s="371">
        <v>17</v>
      </c>
      <c r="AD77" s="371">
        <v>17</v>
      </c>
      <c r="AE77" s="371">
        <v>13</v>
      </c>
      <c r="AF77" s="371">
        <v>11</v>
      </c>
      <c r="AG77" s="372">
        <v>110</v>
      </c>
      <c r="AH77" s="369">
        <v>15</v>
      </c>
      <c r="AI77" s="369">
        <v>10</v>
      </c>
      <c r="AJ77" s="369">
        <v>10</v>
      </c>
      <c r="AK77" s="369">
        <v>28</v>
      </c>
      <c r="AL77" s="369">
        <v>19</v>
      </c>
      <c r="AM77" s="369">
        <v>16</v>
      </c>
      <c r="AN77" s="369">
        <v>13</v>
      </c>
      <c r="AO77" s="369">
        <v>111</v>
      </c>
      <c r="AP77" s="369">
        <v>16</v>
      </c>
      <c r="AQ77" s="369">
        <v>18</v>
      </c>
      <c r="AR77" s="369">
        <v>11</v>
      </c>
      <c r="AS77" s="369">
        <v>12</v>
      </c>
      <c r="AT77" s="369">
        <v>28</v>
      </c>
      <c r="AU77" s="369">
        <v>16</v>
      </c>
      <c r="AV77" s="369">
        <v>17</v>
      </c>
      <c r="AW77" s="369">
        <v>118</v>
      </c>
      <c r="AX77" s="369">
        <v>17</v>
      </c>
      <c r="AY77" s="369">
        <v>19</v>
      </c>
      <c r="AZ77" s="369">
        <v>19</v>
      </c>
      <c r="BA77" s="369">
        <v>11</v>
      </c>
      <c r="BB77" s="369">
        <v>13</v>
      </c>
      <c r="BC77" s="369">
        <v>27</v>
      </c>
      <c r="BD77" s="369">
        <v>14</v>
      </c>
      <c r="BE77" s="369">
        <v>120</v>
      </c>
    </row>
    <row r="78" spans="1:57" s="365" customFormat="1">
      <c r="A78" s="204" t="s">
        <v>91</v>
      </c>
      <c r="B78" s="373">
        <v>26</v>
      </c>
      <c r="C78" s="373">
        <v>32</v>
      </c>
      <c r="D78" s="373">
        <v>26</v>
      </c>
      <c r="E78" s="373">
        <v>23</v>
      </c>
      <c r="F78" s="373">
        <v>16</v>
      </c>
      <c r="G78" s="373">
        <v>20</v>
      </c>
      <c r="H78" s="373">
        <v>14</v>
      </c>
      <c r="I78" s="373">
        <v>157</v>
      </c>
      <c r="J78" s="367">
        <v>24</v>
      </c>
      <c r="K78" s="367">
        <v>28</v>
      </c>
      <c r="L78" s="367">
        <v>28</v>
      </c>
      <c r="M78" s="367">
        <v>22</v>
      </c>
      <c r="N78" s="367">
        <v>19</v>
      </c>
      <c r="O78" s="367">
        <v>18</v>
      </c>
      <c r="P78" s="367">
        <v>17</v>
      </c>
      <c r="Q78" s="369">
        <v>156</v>
      </c>
      <c r="R78" s="371">
        <v>21</v>
      </c>
      <c r="S78" s="371">
        <v>20</v>
      </c>
      <c r="T78" s="371">
        <v>27</v>
      </c>
      <c r="U78" s="371">
        <v>19</v>
      </c>
      <c r="V78" s="371">
        <v>17</v>
      </c>
      <c r="W78" s="371">
        <v>16</v>
      </c>
      <c r="X78" s="371">
        <v>16</v>
      </c>
      <c r="Y78" s="372">
        <v>136</v>
      </c>
      <c r="Z78" s="371">
        <v>29</v>
      </c>
      <c r="AA78" s="371">
        <v>18</v>
      </c>
      <c r="AB78" s="371">
        <v>19</v>
      </c>
      <c r="AC78" s="371">
        <v>26</v>
      </c>
      <c r="AD78" s="371">
        <v>20</v>
      </c>
      <c r="AE78" s="371">
        <v>15</v>
      </c>
      <c r="AF78" s="371">
        <v>17</v>
      </c>
      <c r="AG78" s="372">
        <v>144</v>
      </c>
      <c r="AH78" s="369">
        <v>22</v>
      </c>
      <c r="AI78" s="369">
        <v>26</v>
      </c>
      <c r="AJ78" s="369">
        <v>21</v>
      </c>
      <c r="AK78" s="369">
        <v>23</v>
      </c>
      <c r="AL78" s="369">
        <v>27</v>
      </c>
      <c r="AM78" s="369">
        <v>24</v>
      </c>
      <c r="AN78" s="369">
        <v>16</v>
      </c>
      <c r="AO78" s="369">
        <v>159</v>
      </c>
      <c r="AP78" s="369">
        <v>21</v>
      </c>
      <c r="AQ78" s="369">
        <v>22</v>
      </c>
      <c r="AR78" s="369">
        <v>26</v>
      </c>
      <c r="AS78" s="369">
        <v>20</v>
      </c>
      <c r="AT78" s="369">
        <v>20</v>
      </c>
      <c r="AU78" s="369">
        <v>29</v>
      </c>
      <c r="AV78" s="369">
        <v>21</v>
      </c>
      <c r="AW78" s="369">
        <v>159</v>
      </c>
      <c r="AX78" s="369">
        <v>18</v>
      </c>
      <c r="AY78" s="369">
        <v>20</v>
      </c>
      <c r="AZ78" s="369">
        <v>19</v>
      </c>
      <c r="BA78" s="369">
        <v>27</v>
      </c>
      <c r="BB78" s="369">
        <v>19</v>
      </c>
      <c r="BC78" s="369">
        <v>21</v>
      </c>
      <c r="BD78" s="369">
        <v>24</v>
      </c>
      <c r="BE78" s="369">
        <v>148</v>
      </c>
    </row>
    <row r="79" spans="1:57" s="365" customFormat="1">
      <c r="A79" s="204" t="s">
        <v>92</v>
      </c>
      <c r="B79" s="373">
        <v>60</v>
      </c>
      <c r="C79" s="373">
        <v>60</v>
      </c>
      <c r="D79" s="373">
        <v>56</v>
      </c>
      <c r="E79" s="373">
        <v>53</v>
      </c>
      <c r="F79" s="373">
        <v>51</v>
      </c>
      <c r="G79" s="373">
        <v>37</v>
      </c>
      <c r="H79" s="373">
        <v>49</v>
      </c>
      <c r="I79" s="373">
        <v>366</v>
      </c>
      <c r="J79" s="367">
        <v>49</v>
      </c>
      <c r="K79" s="367">
        <v>57</v>
      </c>
      <c r="L79" s="367">
        <v>59</v>
      </c>
      <c r="M79" s="367">
        <v>54</v>
      </c>
      <c r="N79" s="367">
        <v>50</v>
      </c>
      <c r="O79" s="367">
        <v>55</v>
      </c>
      <c r="P79" s="367">
        <v>36</v>
      </c>
      <c r="Q79" s="369">
        <v>360</v>
      </c>
      <c r="R79" s="371">
        <v>50</v>
      </c>
      <c r="S79" s="371">
        <v>54</v>
      </c>
      <c r="T79" s="371">
        <v>57</v>
      </c>
      <c r="U79" s="371">
        <v>56</v>
      </c>
      <c r="V79" s="371">
        <v>56</v>
      </c>
      <c r="W79" s="371">
        <v>50</v>
      </c>
      <c r="X79" s="371">
        <v>55</v>
      </c>
      <c r="Y79" s="372">
        <v>378</v>
      </c>
      <c r="Z79" s="371">
        <v>55</v>
      </c>
      <c r="AA79" s="371">
        <v>49</v>
      </c>
      <c r="AB79" s="371">
        <v>60</v>
      </c>
      <c r="AC79" s="371">
        <v>55</v>
      </c>
      <c r="AD79" s="371">
        <v>60</v>
      </c>
      <c r="AE79" s="371">
        <v>48</v>
      </c>
      <c r="AF79" s="371">
        <v>47</v>
      </c>
      <c r="AG79" s="372">
        <v>374</v>
      </c>
      <c r="AH79" s="369">
        <v>48</v>
      </c>
      <c r="AI79" s="369">
        <v>60</v>
      </c>
      <c r="AJ79" s="369">
        <v>47</v>
      </c>
      <c r="AK79" s="369">
        <v>60</v>
      </c>
      <c r="AL79" s="369">
        <v>55</v>
      </c>
      <c r="AM79" s="369">
        <v>56</v>
      </c>
      <c r="AN79" s="369">
        <v>48</v>
      </c>
      <c r="AO79" s="369">
        <v>374</v>
      </c>
      <c r="AP79" s="369">
        <v>54</v>
      </c>
      <c r="AQ79" s="369">
        <v>46</v>
      </c>
      <c r="AR79" s="369">
        <v>59</v>
      </c>
      <c r="AS79" s="369">
        <v>47</v>
      </c>
      <c r="AT79" s="369">
        <v>54</v>
      </c>
      <c r="AU79" s="369">
        <v>52</v>
      </c>
      <c r="AV79" s="369">
        <v>57</v>
      </c>
      <c r="AW79" s="369">
        <v>369</v>
      </c>
      <c r="AX79" s="369">
        <v>42</v>
      </c>
      <c r="AY79" s="369">
        <v>55</v>
      </c>
      <c r="AZ79" s="369">
        <v>49</v>
      </c>
      <c r="BA79" s="369">
        <v>57</v>
      </c>
      <c r="BB79" s="369">
        <v>42</v>
      </c>
      <c r="BC79" s="369">
        <v>53</v>
      </c>
      <c r="BD79" s="369">
        <v>50</v>
      </c>
      <c r="BE79" s="369">
        <v>348</v>
      </c>
    </row>
    <row r="80" spans="1:57" s="365" customFormat="1">
      <c r="A80" s="204" t="s">
        <v>93</v>
      </c>
      <c r="B80" s="373">
        <v>45</v>
      </c>
      <c r="C80" s="373">
        <v>38</v>
      </c>
      <c r="D80" s="373">
        <v>44</v>
      </c>
      <c r="E80" s="373">
        <v>29</v>
      </c>
      <c r="F80" s="373">
        <v>45</v>
      </c>
      <c r="G80" s="373">
        <v>41</v>
      </c>
      <c r="H80" s="373">
        <v>39</v>
      </c>
      <c r="I80" s="373">
        <v>281</v>
      </c>
      <c r="J80" s="367">
        <v>55</v>
      </c>
      <c r="K80" s="367">
        <v>50</v>
      </c>
      <c r="L80" s="367">
        <v>36</v>
      </c>
      <c r="M80" s="367">
        <v>40</v>
      </c>
      <c r="N80" s="367">
        <v>28</v>
      </c>
      <c r="O80" s="367">
        <v>45</v>
      </c>
      <c r="P80" s="367">
        <v>41</v>
      </c>
      <c r="Q80" s="369">
        <v>295</v>
      </c>
      <c r="R80" s="371">
        <v>50</v>
      </c>
      <c r="S80" s="371">
        <v>53</v>
      </c>
      <c r="T80" s="371">
        <v>50</v>
      </c>
      <c r="U80" s="371">
        <v>38</v>
      </c>
      <c r="V80" s="371">
        <v>41</v>
      </c>
      <c r="W80" s="371">
        <v>28</v>
      </c>
      <c r="X80" s="371">
        <v>43</v>
      </c>
      <c r="Y80" s="372">
        <v>303</v>
      </c>
      <c r="Z80" s="371">
        <v>49</v>
      </c>
      <c r="AA80" s="371">
        <v>52</v>
      </c>
      <c r="AB80" s="371">
        <v>52</v>
      </c>
      <c r="AC80" s="371">
        <v>46</v>
      </c>
      <c r="AD80" s="371">
        <v>39</v>
      </c>
      <c r="AE80" s="371">
        <v>40</v>
      </c>
      <c r="AF80" s="371">
        <v>30</v>
      </c>
      <c r="AG80" s="372">
        <v>308</v>
      </c>
      <c r="AH80" s="369">
        <v>50</v>
      </c>
      <c r="AI80" s="369">
        <v>54</v>
      </c>
      <c r="AJ80" s="369">
        <v>49</v>
      </c>
      <c r="AK80" s="369">
        <v>49</v>
      </c>
      <c r="AL80" s="369">
        <v>51</v>
      </c>
      <c r="AM80" s="369">
        <v>40</v>
      </c>
      <c r="AN80" s="369">
        <v>42</v>
      </c>
      <c r="AO80" s="369">
        <v>335</v>
      </c>
      <c r="AP80" s="369">
        <v>48</v>
      </c>
      <c r="AQ80" s="369">
        <v>50</v>
      </c>
      <c r="AR80" s="369">
        <v>55</v>
      </c>
      <c r="AS80" s="369">
        <v>54</v>
      </c>
      <c r="AT80" s="369">
        <v>50</v>
      </c>
      <c r="AU80" s="369">
        <v>51</v>
      </c>
      <c r="AV80" s="369">
        <v>36</v>
      </c>
      <c r="AW80" s="369">
        <v>344</v>
      </c>
      <c r="AX80" s="369">
        <v>45</v>
      </c>
      <c r="AY80" s="369">
        <v>47</v>
      </c>
      <c r="AZ80" s="369">
        <v>52</v>
      </c>
      <c r="BA80" s="369">
        <v>48</v>
      </c>
      <c r="BB80" s="369">
        <v>52</v>
      </c>
      <c r="BC80" s="369">
        <v>55</v>
      </c>
      <c r="BD80" s="369">
        <v>54</v>
      </c>
      <c r="BE80" s="369">
        <v>353</v>
      </c>
    </row>
    <row r="81" spans="1:57" s="365" customFormat="1">
      <c r="A81" s="204" t="s">
        <v>94</v>
      </c>
      <c r="B81" s="373">
        <v>37</v>
      </c>
      <c r="C81" s="373">
        <v>42</v>
      </c>
      <c r="D81" s="373">
        <v>37</v>
      </c>
      <c r="E81" s="373">
        <v>16</v>
      </c>
      <c r="F81" s="373">
        <v>30</v>
      </c>
      <c r="G81" s="373">
        <v>29</v>
      </c>
      <c r="H81" s="373">
        <v>33</v>
      </c>
      <c r="I81" s="373">
        <v>224</v>
      </c>
      <c r="J81" s="367">
        <v>26</v>
      </c>
      <c r="K81" s="367">
        <v>37</v>
      </c>
      <c r="L81" s="367">
        <v>43</v>
      </c>
      <c r="M81" s="367">
        <v>40</v>
      </c>
      <c r="N81" s="367">
        <v>17</v>
      </c>
      <c r="O81" s="367">
        <v>27</v>
      </c>
      <c r="P81" s="367">
        <v>27</v>
      </c>
      <c r="Q81" s="369">
        <v>217</v>
      </c>
      <c r="R81" s="371">
        <v>45</v>
      </c>
      <c r="S81" s="371">
        <v>29</v>
      </c>
      <c r="T81" s="371">
        <v>40</v>
      </c>
      <c r="U81" s="371">
        <v>43</v>
      </c>
      <c r="V81" s="371">
        <v>37</v>
      </c>
      <c r="W81" s="371">
        <v>17</v>
      </c>
      <c r="X81" s="371">
        <v>27</v>
      </c>
      <c r="Y81" s="372">
        <v>238</v>
      </c>
      <c r="Z81" s="371">
        <v>50</v>
      </c>
      <c r="AA81" s="371">
        <v>44</v>
      </c>
      <c r="AB81" s="371">
        <v>30</v>
      </c>
      <c r="AC81" s="371">
        <v>38</v>
      </c>
      <c r="AD81" s="371">
        <v>40</v>
      </c>
      <c r="AE81" s="371">
        <v>38</v>
      </c>
      <c r="AF81" s="371">
        <v>17</v>
      </c>
      <c r="AG81" s="372">
        <v>257</v>
      </c>
      <c r="AH81" s="369">
        <v>49</v>
      </c>
      <c r="AI81" s="369">
        <v>53</v>
      </c>
      <c r="AJ81" s="369">
        <v>44</v>
      </c>
      <c r="AK81" s="369">
        <v>30</v>
      </c>
      <c r="AL81" s="369">
        <v>36</v>
      </c>
      <c r="AM81" s="369">
        <v>38</v>
      </c>
      <c r="AN81" s="369">
        <v>36</v>
      </c>
      <c r="AO81" s="369">
        <v>286</v>
      </c>
      <c r="AP81" s="369">
        <v>30</v>
      </c>
      <c r="AQ81" s="369">
        <v>44</v>
      </c>
      <c r="AR81" s="369">
        <v>47</v>
      </c>
      <c r="AS81" s="369">
        <v>40</v>
      </c>
      <c r="AT81" s="369">
        <v>27</v>
      </c>
      <c r="AU81" s="369">
        <v>32</v>
      </c>
      <c r="AV81" s="369">
        <v>38</v>
      </c>
      <c r="AW81" s="369">
        <v>258</v>
      </c>
      <c r="AX81" s="369">
        <v>41</v>
      </c>
      <c r="AY81" s="369">
        <v>27</v>
      </c>
      <c r="AZ81" s="369">
        <v>45</v>
      </c>
      <c r="BA81" s="369">
        <v>42</v>
      </c>
      <c r="BB81" s="369">
        <v>41</v>
      </c>
      <c r="BC81" s="369">
        <v>29</v>
      </c>
      <c r="BD81" s="369">
        <v>31</v>
      </c>
      <c r="BE81" s="369">
        <v>256</v>
      </c>
    </row>
    <row r="82" spans="1:57" s="365" customFormat="1">
      <c r="A82" s="204" t="s">
        <v>95</v>
      </c>
      <c r="B82" s="373">
        <v>61</v>
      </c>
      <c r="C82" s="373">
        <v>59</v>
      </c>
      <c r="D82" s="373">
        <v>61</v>
      </c>
      <c r="E82" s="373">
        <v>57</v>
      </c>
      <c r="F82" s="373">
        <v>64</v>
      </c>
      <c r="G82" s="373">
        <v>49</v>
      </c>
      <c r="H82" s="373">
        <v>57</v>
      </c>
      <c r="I82" s="373">
        <v>408</v>
      </c>
      <c r="J82" s="367">
        <v>60</v>
      </c>
      <c r="K82" s="367">
        <v>60</v>
      </c>
      <c r="L82" s="367">
        <v>60</v>
      </c>
      <c r="M82" s="367">
        <v>61</v>
      </c>
      <c r="N82" s="367">
        <v>58</v>
      </c>
      <c r="O82" s="367">
        <v>59</v>
      </c>
      <c r="P82" s="367">
        <v>43</v>
      </c>
      <c r="Q82" s="369">
        <v>401</v>
      </c>
      <c r="R82" s="371">
        <v>61</v>
      </c>
      <c r="S82" s="371">
        <v>60</v>
      </c>
      <c r="T82" s="371">
        <v>60</v>
      </c>
      <c r="U82" s="371">
        <v>58</v>
      </c>
      <c r="V82" s="371">
        <v>58</v>
      </c>
      <c r="W82" s="371">
        <v>56</v>
      </c>
      <c r="X82" s="371">
        <v>58</v>
      </c>
      <c r="Y82" s="372">
        <v>411</v>
      </c>
      <c r="Z82" s="371">
        <v>60</v>
      </c>
      <c r="AA82" s="371">
        <v>57</v>
      </c>
      <c r="AB82" s="371">
        <v>59</v>
      </c>
      <c r="AC82" s="371">
        <v>59</v>
      </c>
      <c r="AD82" s="371">
        <v>56</v>
      </c>
      <c r="AE82" s="371">
        <v>55</v>
      </c>
      <c r="AF82" s="371">
        <v>53</v>
      </c>
      <c r="AG82" s="372">
        <v>399</v>
      </c>
      <c r="AH82" s="369">
        <v>56</v>
      </c>
      <c r="AI82" s="369">
        <v>58</v>
      </c>
      <c r="AJ82" s="369">
        <v>58</v>
      </c>
      <c r="AK82" s="369">
        <v>57</v>
      </c>
      <c r="AL82" s="369">
        <v>62</v>
      </c>
      <c r="AM82" s="369">
        <v>56</v>
      </c>
      <c r="AN82" s="369">
        <v>53</v>
      </c>
      <c r="AO82" s="369">
        <v>400</v>
      </c>
      <c r="AP82" s="369">
        <v>59</v>
      </c>
      <c r="AQ82" s="369">
        <v>56</v>
      </c>
      <c r="AR82" s="369">
        <v>59</v>
      </c>
      <c r="AS82" s="369">
        <v>59</v>
      </c>
      <c r="AT82" s="369">
        <v>60</v>
      </c>
      <c r="AU82" s="369">
        <v>60</v>
      </c>
      <c r="AV82" s="369">
        <v>54</v>
      </c>
      <c r="AW82" s="369">
        <v>407</v>
      </c>
      <c r="AX82" s="369">
        <v>43</v>
      </c>
      <c r="AY82" s="369">
        <v>59</v>
      </c>
      <c r="AZ82" s="369">
        <v>56</v>
      </c>
      <c r="BA82" s="369">
        <v>57</v>
      </c>
      <c r="BB82" s="369">
        <v>58</v>
      </c>
      <c r="BC82" s="369">
        <v>54</v>
      </c>
      <c r="BD82" s="369">
        <v>62</v>
      </c>
      <c r="BE82" s="369">
        <v>389</v>
      </c>
    </row>
    <row r="83" spans="1:57">
      <c r="A83" s="178" t="s">
        <v>66</v>
      </c>
      <c r="B83" s="367">
        <v>54</v>
      </c>
      <c r="C83" s="367">
        <v>42</v>
      </c>
      <c r="D83" s="367">
        <v>39</v>
      </c>
      <c r="E83" s="367">
        <v>40</v>
      </c>
      <c r="F83" s="367">
        <v>33</v>
      </c>
      <c r="G83" s="367">
        <v>39</v>
      </c>
      <c r="H83" s="367">
        <v>39</v>
      </c>
      <c r="I83" s="367">
        <v>286</v>
      </c>
      <c r="J83" s="367">
        <v>49</v>
      </c>
      <c r="K83" s="367">
        <v>52</v>
      </c>
      <c r="L83" s="367">
        <v>45</v>
      </c>
      <c r="M83" s="367">
        <v>37</v>
      </c>
      <c r="N83" s="367">
        <v>40</v>
      </c>
      <c r="O83" s="367">
        <v>31</v>
      </c>
      <c r="P83" s="367">
        <v>40</v>
      </c>
      <c r="Q83" s="369">
        <v>294</v>
      </c>
      <c r="R83" s="371">
        <v>49</v>
      </c>
      <c r="S83" s="371">
        <v>48</v>
      </c>
      <c r="T83" s="371">
        <v>52</v>
      </c>
      <c r="U83" s="371">
        <v>42</v>
      </c>
      <c r="V83" s="371">
        <v>39</v>
      </c>
      <c r="W83" s="371">
        <v>42</v>
      </c>
      <c r="X83" s="371">
        <v>31</v>
      </c>
      <c r="Y83" s="372">
        <v>303</v>
      </c>
      <c r="Z83" s="371">
        <v>45</v>
      </c>
      <c r="AA83" s="371">
        <v>51</v>
      </c>
      <c r="AB83" s="371">
        <v>46</v>
      </c>
      <c r="AC83" s="371">
        <v>49</v>
      </c>
      <c r="AD83" s="371">
        <v>41</v>
      </c>
      <c r="AE83" s="371">
        <v>35</v>
      </c>
      <c r="AF83" s="371">
        <v>42</v>
      </c>
      <c r="AG83" s="372">
        <v>309</v>
      </c>
      <c r="AH83" s="369">
        <v>43</v>
      </c>
      <c r="AI83" s="369">
        <v>41</v>
      </c>
      <c r="AJ83" s="369">
        <v>52</v>
      </c>
      <c r="AK83" s="369">
        <v>48</v>
      </c>
      <c r="AL83" s="369">
        <v>52</v>
      </c>
      <c r="AM83" s="369">
        <v>43</v>
      </c>
      <c r="AN83" s="369">
        <v>34</v>
      </c>
      <c r="AO83" s="369">
        <v>313</v>
      </c>
      <c r="AP83" s="369">
        <v>58</v>
      </c>
      <c r="AQ83" s="369">
        <v>45</v>
      </c>
      <c r="AR83" s="369">
        <v>44</v>
      </c>
      <c r="AS83" s="369">
        <v>49</v>
      </c>
      <c r="AT83" s="369">
        <v>48</v>
      </c>
      <c r="AU83" s="369">
        <v>49</v>
      </c>
      <c r="AV83" s="369">
        <v>39</v>
      </c>
      <c r="AW83" s="369">
        <v>332</v>
      </c>
      <c r="AX83" s="369">
        <v>51</v>
      </c>
      <c r="AY83" s="369">
        <v>55</v>
      </c>
      <c r="AZ83" s="369">
        <v>50</v>
      </c>
      <c r="BA83" s="369">
        <v>52</v>
      </c>
      <c r="BB83" s="369">
        <v>47</v>
      </c>
      <c r="BC83" s="369">
        <v>50</v>
      </c>
      <c r="BD83" s="369">
        <v>45</v>
      </c>
      <c r="BE83" s="369">
        <v>350</v>
      </c>
    </row>
    <row r="84" spans="1:57">
      <c r="A84" s="178" t="s">
        <v>67</v>
      </c>
      <c r="B84" s="367">
        <v>33</v>
      </c>
      <c r="C84" s="367">
        <v>30</v>
      </c>
      <c r="D84" s="367">
        <v>28</v>
      </c>
      <c r="E84" s="367">
        <v>28</v>
      </c>
      <c r="F84" s="367">
        <v>27</v>
      </c>
      <c r="G84" s="367">
        <v>25</v>
      </c>
      <c r="H84" s="367">
        <v>24</v>
      </c>
      <c r="I84" s="367">
        <v>195</v>
      </c>
      <c r="J84" s="367">
        <v>46</v>
      </c>
      <c r="K84" s="367">
        <v>30</v>
      </c>
      <c r="L84" s="367">
        <v>29</v>
      </c>
      <c r="M84" s="367">
        <v>31</v>
      </c>
      <c r="N84" s="367">
        <v>27</v>
      </c>
      <c r="O84" s="367">
        <v>24</v>
      </c>
      <c r="P84" s="367">
        <v>23</v>
      </c>
      <c r="Q84" s="369">
        <v>210</v>
      </c>
      <c r="R84" s="371">
        <v>36</v>
      </c>
      <c r="S84" s="371">
        <v>44</v>
      </c>
      <c r="T84" s="371">
        <v>30</v>
      </c>
      <c r="U84" s="371">
        <v>29</v>
      </c>
      <c r="V84" s="371">
        <v>32</v>
      </c>
      <c r="W84" s="371">
        <v>26</v>
      </c>
      <c r="X84" s="371">
        <v>30</v>
      </c>
      <c r="Y84" s="372">
        <v>227</v>
      </c>
      <c r="Z84" s="371">
        <v>44</v>
      </c>
      <c r="AA84" s="371">
        <v>36</v>
      </c>
      <c r="AB84" s="371">
        <v>48</v>
      </c>
      <c r="AC84" s="371">
        <v>31</v>
      </c>
      <c r="AD84" s="371">
        <v>32</v>
      </c>
      <c r="AE84" s="371">
        <v>29</v>
      </c>
      <c r="AF84" s="371">
        <v>30</v>
      </c>
      <c r="AG84" s="372">
        <v>250</v>
      </c>
      <c r="AH84" s="369">
        <v>36</v>
      </c>
      <c r="AI84" s="369">
        <v>43</v>
      </c>
      <c r="AJ84" s="369">
        <v>33</v>
      </c>
      <c r="AK84" s="369">
        <v>49</v>
      </c>
      <c r="AL84" s="369">
        <v>30</v>
      </c>
      <c r="AM84" s="369">
        <v>29</v>
      </c>
      <c r="AN84" s="369">
        <v>24</v>
      </c>
      <c r="AO84" s="369">
        <v>244</v>
      </c>
      <c r="AP84" s="369">
        <v>43</v>
      </c>
      <c r="AQ84" s="369">
        <v>36</v>
      </c>
      <c r="AR84" s="369">
        <v>43</v>
      </c>
      <c r="AS84" s="369">
        <v>37</v>
      </c>
      <c r="AT84" s="369">
        <v>49</v>
      </c>
      <c r="AU84" s="369">
        <v>31</v>
      </c>
      <c r="AV84" s="369">
        <v>29</v>
      </c>
      <c r="AW84" s="369">
        <v>268</v>
      </c>
      <c r="AX84" s="369">
        <v>39</v>
      </c>
      <c r="AY84" s="369">
        <v>36</v>
      </c>
      <c r="AZ84" s="369">
        <v>31</v>
      </c>
      <c r="BA84" s="369">
        <v>40</v>
      </c>
      <c r="BB84" s="369">
        <v>34</v>
      </c>
      <c r="BC84" s="369">
        <v>46</v>
      </c>
      <c r="BD84" s="369">
        <v>28</v>
      </c>
      <c r="BE84" s="369">
        <v>254</v>
      </c>
    </row>
    <row r="85" spans="1:57">
      <c r="A85" s="178" t="s">
        <v>68</v>
      </c>
      <c r="B85" s="367">
        <v>33</v>
      </c>
      <c r="C85" s="367">
        <v>47</v>
      </c>
      <c r="D85" s="367">
        <v>59</v>
      </c>
      <c r="E85" s="367">
        <v>50</v>
      </c>
      <c r="F85" s="367">
        <v>56</v>
      </c>
      <c r="G85" s="367">
        <v>47</v>
      </c>
      <c r="H85" s="367">
        <v>52</v>
      </c>
      <c r="I85" s="367">
        <v>344</v>
      </c>
      <c r="J85" s="367">
        <v>49</v>
      </c>
      <c r="K85" s="367">
        <v>35</v>
      </c>
      <c r="L85" s="367">
        <v>47</v>
      </c>
      <c r="M85" s="367">
        <v>59</v>
      </c>
      <c r="N85" s="367">
        <v>52</v>
      </c>
      <c r="O85" s="367">
        <v>54</v>
      </c>
      <c r="P85" s="367">
        <v>42</v>
      </c>
      <c r="Q85" s="369">
        <v>338</v>
      </c>
      <c r="R85" s="371">
        <v>47</v>
      </c>
      <c r="S85" s="371">
        <v>52</v>
      </c>
      <c r="T85" s="371">
        <v>38</v>
      </c>
      <c r="U85" s="371">
        <v>47</v>
      </c>
      <c r="V85" s="371">
        <v>56</v>
      </c>
      <c r="W85" s="371">
        <v>49</v>
      </c>
      <c r="X85" s="371">
        <v>51</v>
      </c>
      <c r="Y85" s="372">
        <v>340</v>
      </c>
      <c r="Z85" s="371">
        <v>47</v>
      </c>
      <c r="AA85" s="371">
        <v>43</v>
      </c>
      <c r="AB85" s="371">
        <v>53</v>
      </c>
      <c r="AC85" s="371">
        <v>38</v>
      </c>
      <c r="AD85" s="371">
        <v>47</v>
      </c>
      <c r="AE85" s="371">
        <v>59</v>
      </c>
      <c r="AF85" s="371">
        <v>52</v>
      </c>
      <c r="AG85" s="372">
        <v>339</v>
      </c>
      <c r="AH85" s="369">
        <v>32</v>
      </c>
      <c r="AI85" s="369">
        <v>49</v>
      </c>
      <c r="AJ85" s="369">
        <v>46</v>
      </c>
      <c r="AK85" s="369">
        <v>54</v>
      </c>
      <c r="AL85" s="369">
        <v>41</v>
      </c>
      <c r="AM85" s="369">
        <v>49</v>
      </c>
      <c r="AN85" s="369">
        <v>58</v>
      </c>
      <c r="AO85" s="369">
        <v>329</v>
      </c>
      <c r="AP85" s="369">
        <v>48</v>
      </c>
      <c r="AQ85" s="369">
        <v>33</v>
      </c>
      <c r="AR85" s="369">
        <v>48</v>
      </c>
      <c r="AS85" s="369">
        <v>47</v>
      </c>
      <c r="AT85" s="369">
        <v>57</v>
      </c>
      <c r="AU85" s="369">
        <v>43</v>
      </c>
      <c r="AV85" s="369">
        <v>54</v>
      </c>
      <c r="AW85" s="369">
        <v>330</v>
      </c>
      <c r="AX85" s="369">
        <v>46</v>
      </c>
      <c r="AY85" s="369">
        <v>51</v>
      </c>
      <c r="AZ85" s="369">
        <v>31</v>
      </c>
      <c r="BA85" s="369">
        <v>49</v>
      </c>
      <c r="BB85" s="369">
        <v>47</v>
      </c>
      <c r="BC85" s="369">
        <v>59</v>
      </c>
      <c r="BD85" s="369">
        <v>46</v>
      </c>
      <c r="BE85" s="369">
        <v>329</v>
      </c>
    </row>
    <row r="86" spans="1:57">
      <c r="A86" s="178" t="s">
        <v>69</v>
      </c>
      <c r="B86" s="367">
        <v>64</v>
      </c>
      <c r="C86" s="367">
        <v>44</v>
      </c>
      <c r="D86" s="367">
        <v>54</v>
      </c>
      <c r="E86" s="367">
        <v>43</v>
      </c>
      <c r="F86" s="367">
        <v>41</v>
      </c>
      <c r="G86" s="367">
        <v>38</v>
      </c>
      <c r="H86" s="367">
        <v>39</v>
      </c>
      <c r="I86" s="367">
        <v>323</v>
      </c>
      <c r="J86" s="367">
        <v>25</v>
      </c>
      <c r="K86" s="367">
        <v>29</v>
      </c>
      <c r="L86" s="367">
        <v>26</v>
      </c>
      <c r="M86" s="367">
        <v>20</v>
      </c>
      <c r="N86" s="367">
        <v>18</v>
      </c>
      <c r="O86" s="367">
        <v>20</v>
      </c>
      <c r="P86" s="367">
        <v>19</v>
      </c>
      <c r="Q86" s="369">
        <v>157</v>
      </c>
      <c r="R86" s="371">
        <v>47</v>
      </c>
      <c r="S86" s="371">
        <v>28</v>
      </c>
      <c r="T86" s="371">
        <v>30</v>
      </c>
      <c r="U86" s="371">
        <v>18</v>
      </c>
      <c r="V86" s="371">
        <v>22</v>
      </c>
      <c r="W86" s="371">
        <v>24</v>
      </c>
      <c r="X86" s="371">
        <v>20</v>
      </c>
      <c r="Y86" s="372">
        <v>189</v>
      </c>
      <c r="Z86" s="371">
        <v>33</v>
      </c>
      <c r="AA86" s="371">
        <v>45</v>
      </c>
      <c r="AB86" s="371">
        <v>21</v>
      </c>
      <c r="AC86" s="371">
        <v>28</v>
      </c>
      <c r="AD86" s="371">
        <v>15</v>
      </c>
      <c r="AE86" s="371">
        <v>28</v>
      </c>
      <c r="AF86" s="371">
        <v>28</v>
      </c>
      <c r="AG86" s="372">
        <v>198</v>
      </c>
      <c r="AH86" s="369">
        <v>34</v>
      </c>
      <c r="AI86" s="369">
        <v>29</v>
      </c>
      <c r="AJ86" s="369">
        <v>47</v>
      </c>
      <c r="AK86" s="369">
        <v>24</v>
      </c>
      <c r="AL86" s="369">
        <v>27</v>
      </c>
      <c r="AM86" s="369">
        <v>20</v>
      </c>
      <c r="AN86" s="369">
        <v>29</v>
      </c>
      <c r="AO86" s="369">
        <v>210</v>
      </c>
      <c r="AP86" s="369">
        <v>34</v>
      </c>
      <c r="AQ86" s="369">
        <v>38</v>
      </c>
      <c r="AR86" s="369">
        <v>30</v>
      </c>
      <c r="AS86" s="369">
        <v>46</v>
      </c>
      <c r="AT86" s="369">
        <v>28</v>
      </c>
      <c r="AU86" s="369">
        <v>27</v>
      </c>
      <c r="AV86" s="369">
        <v>26</v>
      </c>
      <c r="AW86" s="369">
        <v>229</v>
      </c>
      <c r="AX86" s="369">
        <v>38</v>
      </c>
      <c r="AY86" s="369">
        <v>37</v>
      </c>
      <c r="AZ86" s="369">
        <v>34</v>
      </c>
      <c r="BA86" s="369">
        <v>31</v>
      </c>
      <c r="BB86" s="369">
        <v>41</v>
      </c>
      <c r="BC86" s="369">
        <v>29</v>
      </c>
      <c r="BD86" s="369">
        <v>28</v>
      </c>
      <c r="BE86" s="369">
        <v>238</v>
      </c>
    </row>
    <row r="87" spans="1:57">
      <c r="A87" s="178" t="s">
        <v>70</v>
      </c>
      <c r="B87" s="367">
        <v>89</v>
      </c>
      <c r="C87" s="367">
        <v>87</v>
      </c>
      <c r="D87" s="367">
        <v>88</v>
      </c>
      <c r="E87" s="367">
        <v>83</v>
      </c>
      <c r="F87" s="367">
        <v>68</v>
      </c>
      <c r="G87" s="367">
        <v>62</v>
      </c>
      <c r="H87" s="367">
        <v>80</v>
      </c>
      <c r="I87" s="367">
        <v>557</v>
      </c>
      <c r="J87" s="367">
        <v>90</v>
      </c>
      <c r="K87" s="367">
        <v>88</v>
      </c>
      <c r="L87" s="367">
        <v>90</v>
      </c>
      <c r="M87" s="367">
        <v>92</v>
      </c>
      <c r="N87" s="367">
        <v>87</v>
      </c>
      <c r="O87" s="367">
        <v>67</v>
      </c>
      <c r="P87" s="367">
        <v>61</v>
      </c>
      <c r="Q87" s="369">
        <v>575</v>
      </c>
      <c r="R87" s="371">
        <v>108</v>
      </c>
      <c r="S87" s="371">
        <v>89</v>
      </c>
      <c r="T87" s="371">
        <v>87</v>
      </c>
      <c r="U87" s="371">
        <v>89</v>
      </c>
      <c r="V87" s="371">
        <v>86</v>
      </c>
      <c r="W87" s="371">
        <v>83</v>
      </c>
      <c r="X87" s="371">
        <v>64</v>
      </c>
      <c r="Y87" s="372">
        <v>606</v>
      </c>
      <c r="Z87" s="371">
        <v>95</v>
      </c>
      <c r="AA87" s="371">
        <v>105</v>
      </c>
      <c r="AB87" s="371">
        <v>88</v>
      </c>
      <c r="AC87" s="371">
        <v>91</v>
      </c>
      <c r="AD87" s="371">
        <v>85</v>
      </c>
      <c r="AE87" s="371">
        <v>87</v>
      </c>
      <c r="AF87" s="371">
        <v>87</v>
      </c>
      <c r="AG87" s="372">
        <v>638</v>
      </c>
      <c r="AH87" s="369">
        <v>85</v>
      </c>
      <c r="AI87" s="369">
        <v>97</v>
      </c>
      <c r="AJ87" s="369">
        <v>107</v>
      </c>
      <c r="AK87" s="369">
        <v>85</v>
      </c>
      <c r="AL87" s="369">
        <v>94</v>
      </c>
      <c r="AM87" s="369">
        <v>89</v>
      </c>
      <c r="AN87" s="369">
        <v>86</v>
      </c>
      <c r="AO87" s="369">
        <v>643</v>
      </c>
      <c r="AP87" s="369">
        <v>75</v>
      </c>
      <c r="AQ87" s="369">
        <v>86</v>
      </c>
      <c r="AR87" s="369">
        <v>98</v>
      </c>
      <c r="AS87" s="369">
        <v>104</v>
      </c>
      <c r="AT87" s="369">
        <v>87</v>
      </c>
      <c r="AU87" s="369">
        <v>95</v>
      </c>
      <c r="AV87" s="369">
        <v>88</v>
      </c>
      <c r="AW87" s="369">
        <v>633</v>
      </c>
      <c r="AX87" s="369">
        <v>98</v>
      </c>
      <c r="AY87" s="369">
        <v>78</v>
      </c>
      <c r="AZ87" s="369">
        <v>89</v>
      </c>
      <c r="BA87" s="369">
        <v>96</v>
      </c>
      <c r="BB87" s="369">
        <v>101</v>
      </c>
      <c r="BC87" s="369">
        <v>81</v>
      </c>
      <c r="BD87" s="369">
        <v>93</v>
      </c>
      <c r="BE87" s="369">
        <v>636</v>
      </c>
    </row>
    <row r="88" spans="1:57">
      <c r="A88" s="178" t="s">
        <v>71</v>
      </c>
      <c r="B88" s="367">
        <v>80</v>
      </c>
      <c r="C88" s="367">
        <v>67</v>
      </c>
      <c r="D88" s="367">
        <v>73</v>
      </c>
      <c r="E88" s="367">
        <v>65</v>
      </c>
      <c r="F88" s="367">
        <v>60</v>
      </c>
      <c r="G88" s="367">
        <v>64</v>
      </c>
      <c r="H88" s="367">
        <v>56</v>
      </c>
      <c r="I88" s="367">
        <v>465</v>
      </c>
      <c r="J88" s="367">
        <v>80</v>
      </c>
      <c r="K88" s="367">
        <v>79</v>
      </c>
      <c r="L88" s="367">
        <v>69</v>
      </c>
      <c r="M88" s="367">
        <v>69</v>
      </c>
      <c r="N88" s="367">
        <v>65</v>
      </c>
      <c r="O88" s="367">
        <v>59</v>
      </c>
      <c r="P88" s="367">
        <v>63</v>
      </c>
      <c r="Q88" s="369">
        <v>484</v>
      </c>
      <c r="R88" s="371">
        <v>82</v>
      </c>
      <c r="S88" s="371">
        <v>79</v>
      </c>
      <c r="T88" s="371">
        <v>79</v>
      </c>
      <c r="U88" s="371">
        <v>72</v>
      </c>
      <c r="V88" s="371">
        <v>67</v>
      </c>
      <c r="W88" s="371">
        <v>64</v>
      </c>
      <c r="X88" s="371">
        <v>56</v>
      </c>
      <c r="Y88" s="372">
        <v>499</v>
      </c>
      <c r="Z88" s="371">
        <v>72</v>
      </c>
      <c r="AA88" s="371">
        <v>85</v>
      </c>
      <c r="AB88" s="371">
        <v>77</v>
      </c>
      <c r="AC88" s="371">
        <v>77</v>
      </c>
      <c r="AD88" s="371">
        <v>68</v>
      </c>
      <c r="AE88" s="371">
        <v>66</v>
      </c>
      <c r="AF88" s="371">
        <v>62</v>
      </c>
      <c r="AG88" s="372">
        <v>507</v>
      </c>
      <c r="AH88" s="369">
        <v>84</v>
      </c>
      <c r="AI88" s="369">
        <v>72</v>
      </c>
      <c r="AJ88" s="369">
        <v>89</v>
      </c>
      <c r="AK88" s="369">
        <v>76</v>
      </c>
      <c r="AL88" s="369">
        <v>78</v>
      </c>
      <c r="AM88" s="369">
        <v>64</v>
      </c>
      <c r="AN88" s="369">
        <v>64</v>
      </c>
      <c r="AO88" s="369">
        <v>527</v>
      </c>
      <c r="AP88" s="369">
        <v>90</v>
      </c>
      <c r="AQ88" s="369">
        <v>85</v>
      </c>
      <c r="AR88" s="369">
        <v>75</v>
      </c>
      <c r="AS88" s="369">
        <v>88</v>
      </c>
      <c r="AT88" s="369">
        <v>76</v>
      </c>
      <c r="AU88" s="369">
        <v>79</v>
      </c>
      <c r="AV88" s="369">
        <v>64</v>
      </c>
      <c r="AW88" s="369">
        <v>557</v>
      </c>
      <c r="AX88" s="369">
        <v>91</v>
      </c>
      <c r="AY88" s="369">
        <v>86</v>
      </c>
      <c r="AZ88" s="369">
        <v>89</v>
      </c>
      <c r="BA88" s="369">
        <v>77</v>
      </c>
      <c r="BB88" s="369">
        <v>88</v>
      </c>
      <c r="BC88" s="369">
        <v>74</v>
      </c>
      <c r="BD88" s="369">
        <v>73</v>
      </c>
      <c r="BE88" s="369">
        <v>578</v>
      </c>
    </row>
    <row r="89" spans="1:57">
      <c r="A89" s="178" t="s">
        <v>72</v>
      </c>
      <c r="B89" s="367">
        <v>38</v>
      </c>
      <c r="C89" s="367">
        <v>24</v>
      </c>
      <c r="D89" s="367">
        <v>16</v>
      </c>
      <c r="E89" s="367">
        <v>15</v>
      </c>
      <c r="F89" s="367">
        <v>20</v>
      </c>
      <c r="G89" s="367">
        <v>11</v>
      </c>
      <c r="H89" s="367">
        <v>28</v>
      </c>
      <c r="I89" s="367">
        <v>152</v>
      </c>
      <c r="J89" s="367">
        <v>36</v>
      </c>
      <c r="K89" s="367">
        <v>43</v>
      </c>
      <c r="L89" s="367">
        <v>24</v>
      </c>
      <c r="M89" s="367">
        <v>22</v>
      </c>
      <c r="N89" s="367">
        <v>14</v>
      </c>
      <c r="O89" s="367">
        <v>20</v>
      </c>
      <c r="P89" s="367">
        <v>11</v>
      </c>
      <c r="Q89" s="369">
        <v>170</v>
      </c>
      <c r="R89" s="371">
        <v>48</v>
      </c>
      <c r="S89" s="371">
        <v>32</v>
      </c>
      <c r="T89" s="371">
        <v>41</v>
      </c>
      <c r="U89" s="371">
        <v>26</v>
      </c>
      <c r="V89" s="371">
        <v>24</v>
      </c>
      <c r="W89" s="371">
        <v>15</v>
      </c>
      <c r="X89" s="371">
        <v>20</v>
      </c>
      <c r="Y89" s="372">
        <v>206</v>
      </c>
      <c r="Z89" s="371">
        <v>40</v>
      </c>
      <c r="AA89" s="371">
        <v>49</v>
      </c>
      <c r="AB89" s="371">
        <v>38</v>
      </c>
      <c r="AC89" s="371">
        <v>42</v>
      </c>
      <c r="AD89" s="371">
        <v>24</v>
      </c>
      <c r="AE89" s="371">
        <v>20</v>
      </c>
      <c r="AF89" s="371">
        <v>17</v>
      </c>
      <c r="AG89" s="372">
        <v>230</v>
      </c>
      <c r="AH89" s="369">
        <v>40</v>
      </c>
      <c r="AI89" s="369">
        <v>38</v>
      </c>
      <c r="AJ89" s="369">
        <v>53</v>
      </c>
      <c r="AK89" s="369">
        <v>38</v>
      </c>
      <c r="AL89" s="369">
        <v>44</v>
      </c>
      <c r="AM89" s="369">
        <v>23</v>
      </c>
      <c r="AN89" s="369">
        <v>18</v>
      </c>
      <c r="AO89" s="369">
        <v>254</v>
      </c>
      <c r="AP89" s="369">
        <v>39</v>
      </c>
      <c r="AQ89" s="369">
        <v>39</v>
      </c>
      <c r="AR89" s="369">
        <v>38</v>
      </c>
      <c r="AS89" s="369">
        <v>54</v>
      </c>
      <c r="AT89" s="369">
        <v>33</v>
      </c>
      <c r="AU89" s="369">
        <v>38</v>
      </c>
      <c r="AV89" s="369">
        <v>20</v>
      </c>
      <c r="AW89" s="369">
        <v>261</v>
      </c>
      <c r="AX89" s="369">
        <v>42</v>
      </c>
      <c r="AY89" s="369">
        <v>43</v>
      </c>
      <c r="AZ89" s="369">
        <v>35</v>
      </c>
      <c r="BA89" s="369">
        <v>35</v>
      </c>
      <c r="BB89" s="369">
        <v>56</v>
      </c>
      <c r="BC89" s="369">
        <v>34</v>
      </c>
      <c r="BD89" s="369">
        <v>37</v>
      </c>
      <c r="BE89" s="369">
        <v>282</v>
      </c>
    </row>
    <row r="90" spans="1:57">
      <c r="A90" s="178" t="s">
        <v>73</v>
      </c>
      <c r="B90" s="367">
        <v>75</v>
      </c>
      <c r="C90" s="367">
        <v>59</v>
      </c>
      <c r="D90" s="367">
        <v>57</v>
      </c>
      <c r="E90" s="367">
        <v>60</v>
      </c>
      <c r="F90" s="367">
        <v>58</v>
      </c>
      <c r="G90" s="367">
        <v>56</v>
      </c>
      <c r="H90" s="367">
        <v>52</v>
      </c>
      <c r="I90" s="367">
        <v>417</v>
      </c>
      <c r="J90" s="367">
        <v>80</v>
      </c>
      <c r="K90" s="367">
        <v>80</v>
      </c>
      <c r="L90" s="367">
        <v>59</v>
      </c>
      <c r="M90" s="367">
        <v>58</v>
      </c>
      <c r="N90" s="367">
        <v>59</v>
      </c>
      <c r="O90" s="367">
        <v>51</v>
      </c>
      <c r="P90" s="367">
        <v>48</v>
      </c>
      <c r="Q90" s="369">
        <v>435</v>
      </c>
      <c r="R90" s="371">
        <v>75</v>
      </c>
      <c r="S90" s="371">
        <v>85</v>
      </c>
      <c r="T90" s="371">
        <v>80</v>
      </c>
      <c r="U90" s="371">
        <v>60</v>
      </c>
      <c r="V90" s="371">
        <v>58</v>
      </c>
      <c r="W90" s="371">
        <v>59</v>
      </c>
      <c r="X90" s="371">
        <v>52</v>
      </c>
      <c r="Y90" s="372">
        <v>469</v>
      </c>
      <c r="Z90" s="371">
        <v>82</v>
      </c>
      <c r="AA90" s="371">
        <v>74</v>
      </c>
      <c r="AB90" s="371">
        <v>79</v>
      </c>
      <c r="AC90" s="371">
        <v>83</v>
      </c>
      <c r="AD90" s="371">
        <v>59</v>
      </c>
      <c r="AE90" s="371">
        <v>54</v>
      </c>
      <c r="AF90" s="371">
        <v>58</v>
      </c>
      <c r="AG90" s="372">
        <v>489</v>
      </c>
      <c r="AH90" s="369">
        <v>87</v>
      </c>
      <c r="AI90" s="369">
        <v>82</v>
      </c>
      <c r="AJ90" s="369">
        <v>67</v>
      </c>
      <c r="AK90" s="369">
        <v>83</v>
      </c>
      <c r="AL90" s="369">
        <v>79</v>
      </c>
      <c r="AM90" s="369">
        <v>52</v>
      </c>
      <c r="AN90" s="369">
        <v>49</v>
      </c>
      <c r="AO90" s="369">
        <v>499</v>
      </c>
      <c r="AP90" s="369">
        <v>73</v>
      </c>
      <c r="AQ90" s="369">
        <v>87</v>
      </c>
      <c r="AR90" s="369">
        <v>78</v>
      </c>
      <c r="AS90" s="369">
        <v>66</v>
      </c>
      <c r="AT90" s="369">
        <v>79</v>
      </c>
      <c r="AU90" s="369">
        <v>74</v>
      </c>
      <c r="AV90" s="369">
        <v>50</v>
      </c>
      <c r="AW90" s="369">
        <v>507</v>
      </c>
      <c r="AX90" s="369">
        <v>75</v>
      </c>
      <c r="AY90" s="369">
        <v>73</v>
      </c>
      <c r="AZ90" s="369">
        <v>84</v>
      </c>
      <c r="BA90" s="369">
        <v>78</v>
      </c>
      <c r="BB90" s="369">
        <v>65</v>
      </c>
      <c r="BC90" s="369">
        <v>77</v>
      </c>
      <c r="BD90" s="369">
        <v>67</v>
      </c>
      <c r="BE90" s="369">
        <v>519</v>
      </c>
    </row>
  </sheetData>
  <pageMargins left="0.7" right="0.7" top="0.75" bottom="0.75" header="0.3" footer="0.3"/>
  <pageSetup paperSize="9" orientation="landscape"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9"/>
  <dimension ref="A1:O91"/>
  <sheetViews>
    <sheetView zoomScale="84" zoomScaleNormal="84" workbookViewId="0"/>
  </sheetViews>
  <sheetFormatPr defaultRowHeight="12.75"/>
  <cols>
    <col min="1" max="1" width="22.5703125" bestFit="1" customWidth="1"/>
  </cols>
  <sheetData>
    <row r="1" spans="1:15">
      <c r="A1" s="348"/>
      <c r="B1" s="352">
        <v>2012</v>
      </c>
      <c r="C1" s="352">
        <v>2012</v>
      </c>
      <c r="D1" s="352">
        <v>2013</v>
      </c>
      <c r="E1" s="352">
        <v>2013</v>
      </c>
      <c r="F1" s="352">
        <v>2014</v>
      </c>
      <c r="G1" s="352">
        <v>2014</v>
      </c>
      <c r="H1" s="352">
        <v>2015</v>
      </c>
      <c r="I1" s="352">
        <v>2015</v>
      </c>
      <c r="J1" s="352">
        <v>2016</v>
      </c>
      <c r="K1" s="352">
        <v>2016</v>
      </c>
      <c r="L1" s="352">
        <v>2017</v>
      </c>
      <c r="M1" s="352">
        <v>2017</v>
      </c>
      <c r="N1" s="352">
        <v>2018</v>
      </c>
      <c r="O1" s="352">
        <v>2018</v>
      </c>
    </row>
    <row r="2" spans="1:15" ht="121.5">
      <c r="A2" s="349"/>
      <c r="B2" s="353" t="s">
        <v>391</v>
      </c>
      <c r="C2" s="383" t="s">
        <v>392</v>
      </c>
      <c r="D2" s="353" t="s">
        <v>391</v>
      </c>
      <c r="E2" s="353" t="s">
        <v>392</v>
      </c>
      <c r="F2" s="353" t="s">
        <v>391</v>
      </c>
      <c r="G2" s="353" t="s">
        <v>392</v>
      </c>
      <c r="H2" s="353" t="s">
        <v>391</v>
      </c>
      <c r="I2" s="353" t="s">
        <v>392</v>
      </c>
      <c r="J2" s="353" t="s">
        <v>391</v>
      </c>
      <c r="K2" s="353" t="s">
        <v>392</v>
      </c>
      <c r="L2" s="353" t="s">
        <v>391</v>
      </c>
      <c r="M2" s="353" t="s">
        <v>392</v>
      </c>
      <c r="N2" s="353" t="s">
        <v>391</v>
      </c>
      <c r="O2" s="353" t="s">
        <v>392</v>
      </c>
    </row>
    <row r="3" spans="1:15">
      <c r="A3" s="350" t="s">
        <v>304</v>
      </c>
      <c r="B3" s="354">
        <v>21</v>
      </c>
      <c r="C3" s="354">
        <v>28</v>
      </c>
      <c r="D3" s="227">
        <v>32</v>
      </c>
      <c r="E3" s="227">
        <v>35</v>
      </c>
      <c r="F3" s="227">
        <v>24</v>
      </c>
      <c r="G3" s="227">
        <v>27</v>
      </c>
      <c r="H3" s="227">
        <v>32</v>
      </c>
      <c r="I3" s="227">
        <v>36</v>
      </c>
      <c r="J3" s="227">
        <v>19</v>
      </c>
      <c r="K3" s="227">
        <v>24</v>
      </c>
      <c r="L3" s="227">
        <v>21</v>
      </c>
      <c r="M3" s="227">
        <v>22</v>
      </c>
      <c r="N3" s="227">
        <v>14</v>
      </c>
      <c r="O3" s="227">
        <v>18</v>
      </c>
    </row>
    <row r="4" spans="1:15">
      <c r="A4" s="350" t="s">
        <v>305</v>
      </c>
      <c r="B4" s="354">
        <v>60</v>
      </c>
      <c r="C4" s="354">
        <v>69</v>
      </c>
      <c r="D4" s="227">
        <v>56</v>
      </c>
      <c r="E4" s="227">
        <v>75</v>
      </c>
      <c r="F4" s="227">
        <v>73</v>
      </c>
      <c r="G4" s="227">
        <v>88</v>
      </c>
      <c r="H4" s="227">
        <v>70</v>
      </c>
      <c r="I4" s="227">
        <v>88</v>
      </c>
      <c r="J4" s="227">
        <v>67</v>
      </c>
      <c r="K4" s="227">
        <v>89</v>
      </c>
      <c r="L4" s="227">
        <v>64</v>
      </c>
      <c r="M4" s="227">
        <v>77</v>
      </c>
      <c r="N4" s="227">
        <v>67</v>
      </c>
      <c r="O4" s="227">
        <v>91</v>
      </c>
    </row>
    <row r="5" spans="1:15">
      <c r="A5" s="350" t="s">
        <v>306</v>
      </c>
      <c r="B5" s="354">
        <v>57</v>
      </c>
      <c r="C5" s="354">
        <v>57</v>
      </c>
      <c r="D5" s="227">
        <v>74</v>
      </c>
      <c r="E5" s="227">
        <v>75</v>
      </c>
      <c r="F5" s="227">
        <v>52</v>
      </c>
      <c r="G5" s="227">
        <v>52</v>
      </c>
      <c r="H5" s="227">
        <v>56</v>
      </c>
      <c r="I5" s="227">
        <v>57</v>
      </c>
      <c r="J5" s="227">
        <v>73</v>
      </c>
      <c r="K5" s="227">
        <v>73</v>
      </c>
      <c r="L5" s="227">
        <v>65</v>
      </c>
      <c r="M5" s="227">
        <v>65</v>
      </c>
      <c r="N5" s="227">
        <v>67</v>
      </c>
      <c r="O5" s="227">
        <v>67</v>
      </c>
    </row>
    <row r="6" spans="1:15">
      <c r="A6" s="350" t="s">
        <v>307</v>
      </c>
      <c r="B6" s="354">
        <v>53</v>
      </c>
      <c r="C6" s="354">
        <v>56</v>
      </c>
      <c r="D6" s="227">
        <v>52</v>
      </c>
      <c r="E6" s="227">
        <v>52</v>
      </c>
      <c r="F6" s="227">
        <v>54</v>
      </c>
      <c r="G6" s="227">
        <v>54</v>
      </c>
      <c r="H6" s="227">
        <v>56</v>
      </c>
      <c r="I6" s="227">
        <v>56</v>
      </c>
      <c r="J6" s="227">
        <v>64</v>
      </c>
      <c r="K6" s="227">
        <v>64</v>
      </c>
      <c r="L6" s="227">
        <v>65</v>
      </c>
      <c r="M6" s="227">
        <v>65</v>
      </c>
      <c r="N6" s="227">
        <v>77</v>
      </c>
      <c r="O6" s="227">
        <v>77</v>
      </c>
    </row>
    <row r="7" spans="1:15">
      <c r="A7" s="350" t="s">
        <v>308</v>
      </c>
      <c r="B7" s="354">
        <v>31</v>
      </c>
      <c r="C7" s="354">
        <v>45</v>
      </c>
      <c r="D7" s="227">
        <v>33</v>
      </c>
      <c r="E7" s="227">
        <v>49</v>
      </c>
      <c r="F7" s="227">
        <v>33</v>
      </c>
      <c r="G7" s="227">
        <v>44</v>
      </c>
      <c r="H7" s="227">
        <v>41</v>
      </c>
      <c r="I7" s="227">
        <v>57</v>
      </c>
      <c r="J7" s="227">
        <v>34</v>
      </c>
      <c r="K7" s="227">
        <v>48</v>
      </c>
      <c r="L7" s="227">
        <v>31</v>
      </c>
      <c r="M7" s="227">
        <v>46</v>
      </c>
      <c r="N7" s="227">
        <v>25</v>
      </c>
      <c r="O7" s="227">
        <v>36</v>
      </c>
    </row>
    <row r="8" spans="1:15">
      <c r="A8" s="350" t="s">
        <v>309</v>
      </c>
      <c r="B8" s="354">
        <v>54</v>
      </c>
      <c r="C8" s="354">
        <v>84</v>
      </c>
      <c r="D8" s="227">
        <v>74</v>
      </c>
      <c r="E8" s="227">
        <v>110</v>
      </c>
      <c r="F8" s="227">
        <v>75</v>
      </c>
      <c r="G8" s="227">
        <v>110</v>
      </c>
      <c r="H8" s="227">
        <v>54</v>
      </c>
      <c r="I8" s="227">
        <v>92</v>
      </c>
      <c r="J8" s="227">
        <v>65</v>
      </c>
      <c r="K8" s="227">
        <v>91</v>
      </c>
      <c r="L8" s="227">
        <v>62</v>
      </c>
      <c r="M8" s="227">
        <v>99</v>
      </c>
      <c r="N8" s="227">
        <v>58</v>
      </c>
      <c r="O8" s="227">
        <v>79</v>
      </c>
    </row>
    <row r="9" spans="1:15">
      <c r="A9" s="350" t="s">
        <v>310</v>
      </c>
      <c r="B9" s="354">
        <v>29</v>
      </c>
      <c r="C9" s="354">
        <v>45</v>
      </c>
      <c r="D9" s="227">
        <v>39</v>
      </c>
      <c r="E9" s="227">
        <v>60</v>
      </c>
      <c r="F9" s="227">
        <v>33</v>
      </c>
      <c r="G9" s="227">
        <v>45</v>
      </c>
      <c r="H9" s="227">
        <v>32</v>
      </c>
      <c r="I9" s="227">
        <v>49</v>
      </c>
      <c r="J9" s="227">
        <v>51</v>
      </c>
      <c r="K9" s="227">
        <v>69</v>
      </c>
      <c r="L9" s="227">
        <v>41</v>
      </c>
      <c r="M9" s="227">
        <v>68</v>
      </c>
      <c r="N9" s="227">
        <v>34</v>
      </c>
      <c r="O9" s="227">
        <v>54</v>
      </c>
    </row>
    <row r="10" spans="1:15">
      <c r="A10" s="350" t="s">
        <v>311</v>
      </c>
      <c r="B10" s="354">
        <v>98</v>
      </c>
      <c r="C10" s="354">
        <v>111</v>
      </c>
      <c r="D10" s="227">
        <v>73</v>
      </c>
      <c r="E10" s="227">
        <v>87</v>
      </c>
      <c r="F10" s="227">
        <v>90</v>
      </c>
      <c r="G10" s="227">
        <v>103</v>
      </c>
      <c r="H10" s="227">
        <v>67</v>
      </c>
      <c r="I10" s="227">
        <v>76</v>
      </c>
      <c r="J10" s="227">
        <v>90</v>
      </c>
      <c r="K10" s="227">
        <v>96</v>
      </c>
      <c r="L10" s="227">
        <v>82</v>
      </c>
      <c r="M10" s="227">
        <v>91</v>
      </c>
      <c r="N10" s="227">
        <v>69</v>
      </c>
      <c r="O10" s="227">
        <v>75</v>
      </c>
    </row>
    <row r="11" spans="1:15">
      <c r="A11" s="350" t="s">
        <v>312</v>
      </c>
      <c r="B11" s="354">
        <v>47</v>
      </c>
      <c r="C11" s="354">
        <v>48</v>
      </c>
      <c r="D11" s="227">
        <v>45</v>
      </c>
      <c r="E11" s="227">
        <v>45</v>
      </c>
      <c r="F11" s="227">
        <v>39</v>
      </c>
      <c r="G11" s="227">
        <v>39</v>
      </c>
      <c r="H11" s="227">
        <v>62</v>
      </c>
      <c r="I11" s="227">
        <v>67</v>
      </c>
      <c r="J11" s="227">
        <v>44</v>
      </c>
      <c r="K11" s="227">
        <v>51</v>
      </c>
      <c r="L11" s="227">
        <v>53</v>
      </c>
      <c r="M11" s="227">
        <v>58</v>
      </c>
      <c r="N11" s="227">
        <v>59</v>
      </c>
      <c r="O11" s="227">
        <v>64</v>
      </c>
    </row>
    <row r="12" spans="1:15">
      <c r="A12" s="350" t="s">
        <v>313</v>
      </c>
      <c r="B12" s="354">
        <v>58</v>
      </c>
      <c r="C12" s="354">
        <v>63</v>
      </c>
      <c r="D12" s="227">
        <v>65</v>
      </c>
      <c r="E12" s="227">
        <v>75</v>
      </c>
      <c r="F12" s="227">
        <v>61</v>
      </c>
      <c r="G12" s="227">
        <v>67</v>
      </c>
      <c r="H12" s="227">
        <v>61</v>
      </c>
      <c r="I12" s="227">
        <v>65</v>
      </c>
      <c r="J12" s="227">
        <v>56</v>
      </c>
      <c r="K12" s="227">
        <v>63</v>
      </c>
      <c r="L12" s="227">
        <v>67</v>
      </c>
      <c r="M12" s="227">
        <v>76</v>
      </c>
      <c r="N12" s="227">
        <v>49</v>
      </c>
      <c r="O12" s="227">
        <v>57</v>
      </c>
    </row>
    <row r="13" spans="1:15">
      <c r="A13" s="350" t="s">
        <v>314</v>
      </c>
      <c r="B13" s="354">
        <v>56</v>
      </c>
      <c r="C13" s="354">
        <v>56</v>
      </c>
      <c r="D13" s="227">
        <v>68</v>
      </c>
      <c r="E13" s="227">
        <v>71</v>
      </c>
      <c r="F13" s="227">
        <v>72</v>
      </c>
      <c r="G13" s="227">
        <v>73</v>
      </c>
      <c r="H13" s="227">
        <v>61</v>
      </c>
      <c r="I13" s="227">
        <v>62</v>
      </c>
      <c r="J13" s="227">
        <v>39</v>
      </c>
      <c r="K13" s="227">
        <v>42</v>
      </c>
      <c r="L13" s="227">
        <v>75</v>
      </c>
      <c r="M13" s="227">
        <v>78</v>
      </c>
      <c r="N13" s="227">
        <v>55</v>
      </c>
      <c r="O13" s="227">
        <v>57</v>
      </c>
    </row>
    <row r="14" spans="1:15">
      <c r="A14" s="350" t="s">
        <v>315</v>
      </c>
      <c r="B14" s="354">
        <v>35</v>
      </c>
      <c r="C14" s="354">
        <v>56</v>
      </c>
      <c r="D14" s="227">
        <v>53</v>
      </c>
      <c r="E14" s="227">
        <v>71</v>
      </c>
      <c r="F14" s="227">
        <v>56</v>
      </c>
      <c r="G14" s="227">
        <v>71</v>
      </c>
      <c r="H14" s="227">
        <v>52</v>
      </c>
      <c r="I14" s="227">
        <v>63</v>
      </c>
      <c r="J14" s="227">
        <v>68</v>
      </c>
      <c r="K14" s="227">
        <v>74</v>
      </c>
      <c r="L14" s="227">
        <v>53</v>
      </c>
      <c r="M14" s="227">
        <v>73</v>
      </c>
      <c r="N14" s="227">
        <v>61</v>
      </c>
      <c r="O14" s="227">
        <v>79</v>
      </c>
    </row>
    <row r="15" spans="1:15">
      <c r="A15" s="350" t="s">
        <v>316</v>
      </c>
      <c r="B15" s="354">
        <v>63</v>
      </c>
      <c r="C15" s="354">
        <v>78</v>
      </c>
      <c r="D15" s="227">
        <v>70</v>
      </c>
      <c r="E15" s="227">
        <v>79</v>
      </c>
      <c r="F15" s="227">
        <v>69</v>
      </c>
      <c r="G15" s="227">
        <v>77</v>
      </c>
      <c r="H15" s="227">
        <v>73</v>
      </c>
      <c r="I15" s="227">
        <v>83</v>
      </c>
      <c r="J15" s="227">
        <v>77</v>
      </c>
      <c r="K15" s="227">
        <v>90</v>
      </c>
      <c r="L15" s="227">
        <v>67</v>
      </c>
      <c r="M15" s="227">
        <v>79</v>
      </c>
      <c r="N15" s="227">
        <v>77</v>
      </c>
      <c r="O15" s="227">
        <v>90</v>
      </c>
    </row>
    <row r="16" spans="1:15">
      <c r="A16" s="350" t="s">
        <v>317</v>
      </c>
      <c r="B16" s="354">
        <v>37</v>
      </c>
      <c r="C16" s="354">
        <v>41</v>
      </c>
      <c r="D16" s="227">
        <v>42</v>
      </c>
      <c r="E16" s="227">
        <v>50</v>
      </c>
      <c r="F16" s="227">
        <v>49</v>
      </c>
      <c r="G16" s="227">
        <v>51</v>
      </c>
      <c r="H16" s="227">
        <v>42</v>
      </c>
      <c r="I16" s="227">
        <v>50</v>
      </c>
      <c r="J16" s="227">
        <v>42</v>
      </c>
      <c r="K16" s="227">
        <v>49</v>
      </c>
      <c r="L16" s="227">
        <v>41</v>
      </c>
      <c r="M16" s="227">
        <v>47</v>
      </c>
      <c r="N16" s="227">
        <v>39</v>
      </c>
      <c r="O16" s="227">
        <v>43</v>
      </c>
    </row>
    <row r="17" spans="1:15">
      <c r="A17" s="350" t="s">
        <v>318</v>
      </c>
      <c r="B17" s="354">
        <v>32</v>
      </c>
      <c r="C17" s="354">
        <v>35</v>
      </c>
      <c r="D17" s="227">
        <v>37</v>
      </c>
      <c r="E17" s="227">
        <v>41</v>
      </c>
      <c r="F17" s="227">
        <v>20</v>
      </c>
      <c r="G17" s="227">
        <v>21</v>
      </c>
      <c r="H17" s="227">
        <v>28</v>
      </c>
      <c r="I17" s="227">
        <v>33</v>
      </c>
      <c r="J17" s="227">
        <v>27</v>
      </c>
      <c r="K17" s="227">
        <v>30</v>
      </c>
      <c r="L17" s="227">
        <v>20</v>
      </c>
      <c r="M17" s="227">
        <v>21</v>
      </c>
      <c r="N17" s="227">
        <v>24</v>
      </c>
      <c r="O17" s="227">
        <v>27</v>
      </c>
    </row>
    <row r="18" spans="1:15">
      <c r="A18" s="350" t="s">
        <v>319</v>
      </c>
      <c r="B18" s="354">
        <v>82</v>
      </c>
      <c r="C18" s="354">
        <v>86</v>
      </c>
      <c r="D18" s="227">
        <v>71</v>
      </c>
      <c r="E18" s="227">
        <v>77</v>
      </c>
      <c r="F18" s="227">
        <v>64</v>
      </c>
      <c r="G18" s="227">
        <v>65</v>
      </c>
      <c r="H18" s="227">
        <v>84</v>
      </c>
      <c r="I18" s="227">
        <v>87</v>
      </c>
      <c r="J18" s="227">
        <v>76</v>
      </c>
      <c r="K18" s="227">
        <v>76</v>
      </c>
      <c r="L18" s="227">
        <v>57</v>
      </c>
      <c r="M18" s="227">
        <v>58</v>
      </c>
      <c r="N18" s="227">
        <v>82</v>
      </c>
      <c r="O18" s="227">
        <v>82</v>
      </c>
    </row>
    <row r="19" spans="1:15">
      <c r="A19" s="350" t="s">
        <v>320</v>
      </c>
      <c r="B19" s="354">
        <v>56</v>
      </c>
      <c r="C19" s="354">
        <v>80</v>
      </c>
      <c r="D19" s="227">
        <v>66</v>
      </c>
      <c r="E19" s="227">
        <v>76</v>
      </c>
      <c r="F19" s="227">
        <v>55</v>
      </c>
      <c r="G19" s="227">
        <v>76</v>
      </c>
      <c r="H19" s="227">
        <v>52</v>
      </c>
      <c r="I19" s="227">
        <v>80</v>
      </c>
      <c r="J19" s="227">
        <v>51</v>
      </c>
      <c r="K19" s="227">
        <v>75</v>
      </c>
      <c r="L19" s="227">
        <v>59</v>
      </c>
      <c r="M19" s="227">
        <v>72</v>
      </c>
      <c r="N19" s="227">
        <v>53</v>
      </c>
      <c r="O19" s="227">
        <v>76</v>
      </c>
    </row>
    <row r="20" spans="1:15">
      <c r="A20" s="350" t="s">
        <v>321</v>
      </c>
      <c r="B20" s="354">
        <v>53</v>
      </c>
      <c r="C20" s="354">
        <v>55</v>
      </c>
      <c r="D20" s="227">
        <v>57</v>
      </c>
      <c r="E20" s="227">
        <v>58</v>
      </c>
      <c r="F20" s="227">
        <v>45</v>
      </c>
      <c r="G20" s="227">
        <v>47</v>
      </c>
      <c r="H20" s="227">
        <v>46</v>
      </c>
      <c r="I20" s="227">
        <v>47</v>
      </c>
      <c r="J20" s="227">
        <v>60</v>
      </c>
      <c r="K20" s="227">
        <v>61</v>
      </c>
      <c r="L20" s="227">
        <v>53</v>
      </c>
      <c r="M20" s="227">
        <v>55</v>
      </c>
      <c r="N20" s="227">
        <v>43</v>
      </c>
      <c r="O20" s="227">
        <v>44</v>
      </c>
    </row>
    <row r="21" spans="1:15">
      <c r="A21" s="350" t="s">
        <v>322</v>
      </c>
      <c r="B21" s="354">
        <v>68</v>
      </c>
      <c r="C21" s="354">
        <v>94</v>
      </c>
      <c r="D21" s="227">
        <v>89</v>
      </c>
      <c r="E21" s="227">
        <v>102</v>
      </c>
      <c r="F21" s="227">
        <v>75</v>
      </c>
      <c r="G21" s="227">
        <v>90</v>
      </c>
      <c r="H21" s="227">
        <v>73</v>
      </c>
      <c r="I21" s="227">
        <v>85</v>
      </c>
      <c r="J21" s="227">
        <v>73</v>
      </c>
      <c r="K21" s="227">
        <v>79</v>
      </c>
      <c r="L21" s="227">
        <v>89</v>
      </c>
      <c r="M21" s="227">
        <v>99</v>
      </c>
      <c r="N21" s="227">
        <v>78</v>
      </c>
      <c r="O21" s="227">
        <v>90</v>
      </c>
    </row>
    <row r="22" spans="1:15">
      <c r="A22" s="350" t="s">
        <v>323</v>
      </c>
      <c r="B22" s="354">
        <v>58</v>
      </c>
      <c r="C22" s="354">
        <v>65</v>
      </c>
      <c r="D22" s="227">
        <v>65</v>
      </c>
      <c r="E22" s="227">
        <v>84</v>
      </c>
      <c r="F22" s="227">
        <v>62</v>
      </c>
      <c r="G22" s="227">
        <v>72</v>
      </c>
      <c r="H22" s="227">
        <v>60</v>
      </c>
      <c r="I22" s="227">
        <v>82</v>
      </c>
      <c r="J22" s="227">
        <v>62</v>
      </c>
      <c r="K22" s="227">
        <v>76</v>
      </c>
      <c r="L22" s="227">
        <v>61</v>
      </c>
      <c r="M22" s="227">
        <v>71</v>
      </c>
      <c r="N22" s="227">
        <v>77</v>
      </c>
      <c r="O22" s="227">
        <v>99</v>
      </c>
    </row>
    <row r="23" spans="1:15">
      <c r="A23" s="350" t="s">
        <v>324</v>
      </c>
      <c r="B23" s="354">
        <v>50</v>
      </c>
      <c r="C23" s="354">
        <v>50</v>
      </c>
      <c r="D23" s="227">
        <v>55</v>
      </c>
      <c r="E23" s="227">
        <v>55</v>
      </c>
      <c r="F23" s="227">
        <v>53</v>
      </c>
      <c r="G23" s="227">
        <v>54</v>
      </c>
      <c r="H23" s="227">
        <v>58</v>
      </c>
      <c r="I23" s="227">
        <v>59</v>
      </c>
      <c r="J23" s="227">
        <v>57</v>
      </c>
      <c r="K23" s="227">
        <v>57</v>
      </c>
      <c r="L23" s="227">
        <v>79</v>
      </c>
      <c r="M23" s="227">
        <v>79</v>
      </c>
      <c r="N23" s="227">
        <v>56</v>
      </c>
      <c r="O23" s="227">
        <v>56</v>
      </c>
    </row>
    <row r="24" spans="1:15">
      <c r="A24" s="350" t="s">
        <v>325</v>
      </c>
      <c r="B24" s="354">
        <v>59</v>
      </c>
      <c r="C24" s="354">
        <v>60</v>
      </c>
      <c r="D24" s="227">
        <v>65</v>
      </c>
      <c r="E24" s="227">
        <v>65</v>
      </c>
      <c r="F24" s="227">
        <v>58</v>
      </c>
      <c r="G24" s="227">
        <v>59</v>
      </c>
      <c r="H24" s="227">
        <v>67</v>
      </c>
      <c r="I24" s="227">
        <v>67</v>
      </c>
      <c r="J24" s="227">
        <v>57</v>
      </c>
      <c r="K24" s="227">
        <v>58</v>
      </c>
      <c r="L24" s="227">
        <v>71</v>
      </c>
      <c r="M24" s="227">
        <v>71</v>
      </c>
      <c r="N24" s="227">
        <v>87</v>
      </c>
      <c r="O24" s="227">
        <v>87</v>
      </c>
    </row>
    <row r="25" spans="1:15">
      <c r="A25" s="350" t="s">
        <v>326</v>
      </c>
      <c r="B25" s="354">
        <v>12</v>
      </c>
      <c r="C25" s="354">
        <v>12</v>
      </c>
      <c r="D25" s="227">
        <v>7</v>
      </c>
      <c r="E25" s="227">
        <v>7</v>
      </c>
      <c r="F25" s="227">
        <v>10</v>
      </c>
      <c r="G25" s="227">
        <v>11</v>
      </c>
      <c r="H25" s="227">
        <v>5</v>
      </c>
      <c r="I25" s="227">
        <v>5</v>
      </c>
      <c r="J25" s="227">
        <v>7</v>
      </c>
      <c r="K25" s="227">
        <v>7</v>
      </c>
      <c r="L25" s="227">
        <v>5</v>
      </c>
      <c r="M25" s="227">
        <v>6</v>
      </c>
      <c r="N25" s="227">
        <v>10</v>
      </c>
      <c r="O25" s="227">
        <v>10</v>
      </c>
    </row>
    <row r="26" spans="1:15">
      <c r="A26" s="350" t="s">
        <v>327</v>
      </c>
      <c r="B26" s="354">
        <v>41</v>
      </c>
      <c r="C26" s="354">
        <v>45</v>
      </c>
      <c r="D26" s="227">
        <v>32</v>
      </c>
      <c r="E26" s="227">
        <v>37</v>
      </c>
      <c r="F26" s="227">
        <v>45</v>
      </c>
      <c r="G26" s="227">
        <v>51</v>
      </c>
      <c r="H26" s="227">
        <v>43</v>
      </c>
      <c r="I26" s="227">
        <v>47</v>
      </c>
      <c r="J26" s="227">
        <v>51</v>
      </c>
      <c r="K26" s="227">
        <v>55</v>
      </c>
      <c r="L26" s="227">
        <v>51</v>
      </c>
      <c r="M26" s="227">
        <v>57</v>
      </c>
      <c r="N26" s="227">
        <v>49</v>
      </c>
      <c r="O26" s="227">
        <v>53</v>
      </c>
    </row>
    <row r="27" spans="1:15">
      <c r="A27" s="350" t="s">
        <v>328</v>
      </c>
      <c r="B27" s="354">
        <v>65</v>
      </c>
      <c r="C27" s="354">
        <v>66</v>
      </c>
      <c r="D27" s="227">
        <v>70</v>
      </c>
      <c r="E27" s="227">
        <v>70</v>
      </c>
      <c r="F27" s="227">
        <v>72</v>
      </c>
      <c r="G27" s="227">
        <v>72</v>
      </c>
      <c r="H27" s="227">
        <v>79</v>
      </c>
      <c r="I27" s="227">
        <v>81</v>
      </c>
      <c r="J27" s="227">
        <v>63</v>
      </c>
      <c r="K27" s="227">
        <v>63</v>
      </c>
      <c r="L27" s="227">
        <v>77</v>
      </c>
      <c r="M27" s="227">
        <v>77</v>
      </c>
      <c r="N27" s="227">
        <v>61</v>
      </c>
      <c r="O27" s="227">
        <v>61</v>
      </c>
    </row>
    <row r="28" spans="1:15">
      <c r="A28" s="350" t="s">
        <v>329</v>
      </c>
      <c r="B28" s="354">
        <v>60</v>
      </c>
      <c r="C28" s="354">
        <v>60</v>
      </c>
      <c r="D28" s="227">
        <v>57</v>
      </c>
      <c r="E28" s="227">
        <v>58</v>
      </c>
      <c r="F28" s="227">
        <v>54</v>
      </c>
      <c r="G28" s="227">
        <v>54</v>
      </c>
      <c r="H28" s="227">
        <v>54</v>
      </c>
      <c r="I28" s="227">
        <v>54</v>
      </c>
      <c r="J28" s="227">
        <v>67</v>
      </c>
      <c r="K28" s="227">
        <v>67</v>
      </c>
      <c r="L28" s="227">
        <v>58</v>
      </c>
      <c r="M28" s="227">
        <v>58</v>
      </c>
      <c r="N28" s="227">
        <v>49</v>
      </c>
      <c r="O28" s="227">
        <v>49</v>
      </c>
    </row>
    <row r="29" spans="1:15">
      <c r="A29" s="350" t="s">
        <v>330</v>
      </c>
      <c r="B29" s="354">
        <v>48</v>
      </c>
      <c r="C29" s="354">
        <v>54</v>
      </c>
      <c r="D29" s="227">
        <v>43</v>
      </c>
      <c r="E29" s="227">
        <v>55</v>
      </c>
      <c r="F29" s="227">
        <v>38</v>
      </c>
      <c r="G29" s="227">
        <v>46</v>
      </c>
      <c r="H29" s="227">
        <v>43</v>
      </c>
      <c r="I29" s="227">
        <v>51</v>
      </c>
      <c r="J29" s="227">
        <v>45</v>
      </c>
      <c r="K29" s="227">
        <v>57</v>
      </c>
      <c r="L29" s="227">
        <v>58</v>
      </c>
      <c r="M29" s="227">
        <v>68</v>
      </c>
      <c r="N29" s="227">
        <v>53</v>
      </c>
      <c r="O29" s="227">
        <v>60</v>
      </c>
    </row>
    <row r="30" spans="1:15">
      <c r="A30" s="350" t="s">
        <v>331</v>
      </c>
      <c r="B30" s="354">
        <v>51</v>
      </c>
      <c r="C30" s="354">
        <v>55</v>
      </c>
      <c r="D30" s="227">
        <v>65</v>
      </c>
      <c r="E30" s="227">
        <v>68</v>
      </c>
      <c r="F30" s="227">
        <v>68</v>
      </c>
      <c r="G30" s="227">
        <v>69</v>
      </c>
      <c r="H30" s="227">
        <v>70</v>
      </c>
      <c r="I30" s="227">
        <v>70</v>
      </c>
      <c r="J30" s="227">
        <v>72</v>
      </c>
      <c r="K30" s="227">
        <v>74</v>
      </c>
      <c r="L30" s="227">
        <v>44</v>
      </c>
      <c r="M30" s="227">
        <v>45</v>
      </c>
      <c r="N30" s="227">
        <v>57</v>
      </c>
      <c r="O30" s="227">
        <v>58</v>
      </c>
    </row>
    <row r="31" spans="1:15">
      <c r="A31" s="350" t="s">
        <v>332</v>
      </c>
      <c r="B31" s="354">
        <v>37</v>
      </c>
      <c r="C31" s="354">
        <v>43</v>
      </c>
      <c r="D31" s="227">
        <v>34</v>
      </c>
      <c r="E31" s="227">
        <v>39</v>
      </c>
      <c r="F31" s="227">
        <v>46</v>
      </c>
      <c r="G31" s="227">
        <v>47</v>
      </c>
      <c r="H31" s="227">
        <v>29</v>
      </c>
      <c r="I31" s="227">
        <v>29</v>
      </c>
      <c r="J31" s="227">
        <v>48</v>
      </c>
      <c r="K31" s="227">
        <v>50</v>
      </c>
      <c r="L31" s="227">
        <v>41</v>
      </c>
      <c r="M31" s="227">
        <v>42</v>
      </c>
      <c r="N31" s="227">
        <v>36</v>
      </c>
      <c r="O31" s="227">
        <v>39</v>
      </c>
    </row>
    <row r="32" spans="1:15">
      <c r="A32" s="350" t="s">
        <v>333</v>
      </c>
      <c r="B32" s="354">
        <v>51</v>
      </c>
      <c r="C32" s="354">
        <v>55</v>
      </c>
      <c r="D32" s="227">
        <v>53</v>
      </c>
      <c r="E32" s="227">
        <v>55</v>
      </c>
      <c r="F32" s="227">
        <v>63</v>
      </c>
      <c r="G32" s="227">
        <v>68</v>
      </c>
      <c r="H32" s="227">
        <v>54</v>
      </c>
      <c r="I32" s="227">
        <v>56</v>
      </c>
      <c r="J32" s="227">
        <v>58</v>
      </c>
      <c r="K32" s="227">
        <v>60</v>
      </c>
      <c r="L32" s="227">
        <v>62</v>
      </c>
      <c r="M32" s="227">
        <v>66</v>
      </c>
      <c r="N32" s="227">
        <v>54</v>
      </c>
      <c r="O32" s="227">
        <v>56</v>
      </c>
    </row>
    <row r="33" spans="1:15">
      <c r="A33" s="350" t="s">
        <v>334</v>
      </c>
      <c r="B33" s="354">
        <v>70</v>
      </c>
      <c r="C33" s="354">
        <v>70</v>
      </c>
      <c r="D33" s="227">
        <v>72</v>
      </c>
      <c r="E33" s="227">
        <v>74</v>
      </c>
      <c r="F33" s="227">
        <v>84</v>
      </c>
      <c r="G33" s="227">
        <v>89</v>
      </c>
      <c r="H33" s="227">
        <v>79</v>
      </c>
      <c r="I33" s="227">
        <v>80</v>
      </c>
      <c r="J33" s="227">
        <v>82</v>
      </c>
      <c r="K33" s="227">
        <v>84</v>
      </c>
      <c r="L33" s="227">
        <v>74</v>
      </c>
      <c r="M33" s="227">
        <v>76</v>
      </c>
      <c r="N33" s="227">
        <v>89</v>
      </c>
      <c r="O33" s="227">
        <v>92</v>
      </c>
    </row>
    <row r="34" spans="1:15">
      <c r="A34" s="350" t="s">
        <v>335</v>
      </c>
      <c r="B34" s="354">
        <v>67</v>
      </c>
      <c r="C34" s="354">
        <v>75</v>
      </c>
      <c r="D34" s="227">
        <v>71</v>
      </c>
      <c r="E34" s="227">
        <v>85</v>
      </c>
      <c r="F34" s="227">
        <v>66</v>
      </c>
      <c r="G34" s="227">
        <v>75</v>
      </c>
      <c r="H34" s="227">
        <v>63</v>
      </c>
      <c r="I34" s="227">
        <v>82</v>
      </c>
      <c r="J34" s="227">
        <v>68</v>
      </c>
      <c r="K34" s="227">
        <v>78</v>
      </c>
      <c r="L34" s="227">
        <v>67</v>
      </c>
      <c r="M34" s="227">
        <v>87</v>
      </c>
      <c r="N34" s="227">
        <v>69</v>
      </c>
      <c r="O34" s="227">
        <v>77</v>
      </c>
    </row>
    <row r="35" spans="1:15">
      <c r="A35" s="350" t="s">
        <v>336</v>
      </c>
      <c r="B35" s="354">
        <v>24</v>
      </c>
      <c r="C35" s="354">
        <v>28</v>
      </c>
      <c r="D35" s="227">
        <v>39</v>
      </c>
      <c r="E35" s="227">
        <v>44</v>
      </c>
      <c r="F35" s="227">
        <v>34</v>
      </c>
      <c r="G35" s="227">
        <v>40</v>
      </c>
      <c r="H35" s="227">
        <v>34</v>
      </c>
      <c r="I35" s="227">
        <v>41</v>
      </c>
      <c r="J35" s="227">
        <v>47</v>
      </c>
      <c r="K35" s="227">
        <v>54</v>
      </c>
      <c r="L35" s="227">
        <v>45</v>
      </c>
      <c r="M35" s="227">
        <v>53</v>
      </c>
      <c r="N35" s="227">
        <v>38</v>
      </c>
      <c r="O35" s="227">
        <v>41</v>
      </c>
    </row>
    <row r="36" spans="1:15">
      <c r="A36" s="351" t="s">
        <v>337</v>
      </c>
      <c r="B36" s="355">
        <v>28</v>
      </c>
      <c r="C36" s="355">
        <v>512</v>
      </c>
      <c r="D36" s="356">
        <v>27</v>
      </c>
      <c r="E36" s="356">
        <v>556</v>
      </c>
      <c r="F36" s="356">
        <v>19</v>
      </c>
      <c r="G36" s="356">
        <v>551</v>
      </c>
      <c r="H36" s="356">
        <v>27</v>
      </c>
      <c r="I36" s="356">
        <v>598</v>
      </c>
      <c r="J36" s="356">
        <v>26</v>
      </c>
      <c r="K36" s="356">
        <v>605</v>
      </c>
      <c r="L36" s="356">
        <v>24</v>
      </c>
      <c r="M36" s="356">
        <v>582</v>
      </c>
      <c r="N36" s="356">
        <v>22</v>
      </c>
      <c r="O36" s="356">
        <v>573</v>
      </c>
    </row>
    <row r="37" spans="1:15">
      <c r="A37" s="350" t="s">
        <v>338</v>
      </c>
      <c r="B37" s="354">
        <v>79</v>
      </c>
      <c r="C37" s="354">
        <v>94</v>
      </c>
      <c r="D37" s="227">
        <v>92</v>
      </c>
      <c r="E37" s="227">
        <v>104</v>
      </c>
      <c r="F37" s="227">
        <v>93</v>
      </c>
      <c r="G37" s="227">
        <v>103</v>
      </c>
      <c r="H37" s="227">
        <v>87</v>
      </c>
      <c r="I37" s="227">
        <v>95</v>
      </c>
      <c r="J37" s="227">
        <v>63</v>
      </c>
      <c r="K37" s="227">
        <v>75</v>
      </c>
      <c r="L37" s="354">
        <v>61</v>
      </c>
      <c r="M37" s="354">
        <v>71</v>
      </c>
      <c r="N37" s="354">
        <v>71</v>
      </c>
      <c r="O37" s="354">
        <v>81</v>
      </c>
    </row>
    <row r="38" spans="1:15">
      <c r="A38" s="350" t="s">
        <v>339</v>
      </c>
      <c r="B38" s="354">
        <v>77</v>
      </c>
      <c r="C38" s="354">
        <v>100</v>
      </c>
      <c r="D38" s="227">
        <v>80</v>
      </c>
      <c r="E38" s="227">
        <v>116</v>
      </c>
      <c r="F38" s="227">
        <v>83</v>
      </c>
      <c r="G38" s="227">
        <v>108</v>
      </c>
      <c r="H38" s="227">
        <v>65</v>
      </c>
      <c r="I38" s="227">
        <v>93</v>
      </c>
      <c r="J38" s="227">
        <v>81</v>
      </c>
      <c r="K38" s="227">
        <v>102</v>
      </c>
      <c r="L38" s="227">
        <v>94</v>
      </c>
      <c r="M38" s="227">
        <v>120</v>
      </c>
      <c r="N38" s="227">
        <v>64</v>
      </c>
      <c r="O38" s="227">
        <v>90</v>
      </c>
    </row>
    <row r="39" spans="1:15">
      <c r="A39" s="350" t="s">
        <v>340</v>
      </c>
      <c r="B39" s="354">
        <v>83</v>
      </c>
      <c r="C39" s="354">
        <v>110</v>
      </c>
      <c r="D39" s="227">
        <v>92</v>
      </c>
      <c r="E39" s="227">
        <v>110</v>
      </c>
      <c r="F39" s="227">
        <v>90</v>
      </c>
      <c r="G39" s="227">
        <v>112</v>
      </c>
      <c r="H39" s="227">
        <v>77</v>
      </c>
      <c r="I39" s="227">
        <v>104</v>
      </c>
      <c r="J39" s="227">
        <v>103</v>
      </c>
      <c r="K39" s="227">
        <v>130</v>
      </c>
      <c r="L39" s="227">
        <v>100</v>
      </c>
      <c r="M39" s="227">
        <v>126</v>
      </c>
      <c r="N39" s="227">
        <v>85</v>
      </c>
      <c r="O39" s="227">
        <v>109</v>
      </c>
    </row>
    <row r="40" spans="1:15">
      <c r="A40" s="350" t="s">
        <v>341</v>
      </c>
      <c r="B40" s="354">
        <v>66</v>
      </c>
      <c r="C40" s="354">
        <v>66</v>
      </c>
      <c r="D40" s="227">
        <v>76</v>
      </c>
      <c r="E40" s="227">
        <v>79</v>
      </c>
      <c r="F40" s="227">
        <v>79</v>
      </c>
      <c r="G40" s="227">
        <v>80</v>
      </c>
      <c r="H40" s="227">
        <v>71</v>
      </c>
      <c r="I40" s="227">
        <v>74</v>
      </c>
      <c r="J40" s="227">
        <v>51</v>
      </c>
      <c r="K40" s="227">
        <v>52</v>
      </c>
      <c r="L40" s="227">
        <v>71</v>
      </c>
      <c r="M40" s="227">
        <v>75</v>
      </c>
      <c r="N40" s="227">
        <v>86</v>
      </c>
      <c r="O40" s="227">
        <v>88</v>
      </c>
    </row>
    <row r="41" spans="1:15">
      <c r="A41" s="350" t="s">
        <v>342</v>
      </c>
      <c r="B41" s="354">
        <v>47</v>
      </c>
      <c r="C41" s="354">
        <v>61</v>
      </c>
      <c r="D41" s="227">
        <v>48</v>
      </c>
      <c r="E41" s="227">
        <v>62</v>
      </c>
      <c r="F41" s="227">
        <v>53</v>
      </c>
      <c r="G41" s="227">
        <v>71</v>
      </c>
      <c r="H41" s="227">
        <v>50</v>
      </c>
      <c r="I41" s="227">
        <v>70</v>
      </c>
      <c r="J41" s="227">
        <v>50</v>
      </c>
      <c r="K41" s="227">
        <v>68</v>
      </c>
      <c r="L41" s="227">
        <v>56</v>
      </c>
      <c r="M41" s="227">
        <v>65</v>
      </c>
      <c r="N41" s="227">
        <v>53</v>
      </c>
      <c r="O41" s="227">
        <v>68</v>
      </c>
    </row>
    <row r="42" spans="1:15">
      <c r="A42" s="350" t="s">
        <v>343</v>
      </c>
      <c r="B42" s="354">
        <v>8</v>
      </c>
      <c r="C42" s="354">
        <v>8</v>
      </c>
      <c r="D42" s="227">
        <v>6</v>
      </c>
      <c r="E42" s="227">
        <v>6</v>
      </c>
      <c r="F42" s="227">
        <v>6</v>
      </c>
      <c r="G42" s="227">
        <v>6</v>
      </c>
      <c r="H42" s="227">
        <v>15</v>
      </c>
      <c r="I42" s="227">
        <v>15</v>
      </c>
      <c r="J42" s="227">
        <v>15</v>
      </c>
      <c r="K42" s="227">
        <v>15</v>
      </c>
      <c r="L42" s="227">
        <v>12</v>
      </c>
      <c r="M42" s="227">
        <v>12</v>
      </c>
      <c r="N42" s="227">
        <v>7</v>
      </c>
      <c r="O42" s="227">
        <v>7</v>
      </c>
    </row>
    <row r="43" spans="1:15">
      <c r="A43" s="351" t="s">
        <v>344</v>
      </c>
      <c r="B43" s="355">
        <v>55</v>
      </c>
      <c r="C43" s="355">
        <v>299</v>
      </c>
      <c r="D43" s="356">
        <v>55</v>
      </c>
      <c r="E43" s="356">
        <v>292</v>
      </c>
      <c r="F43" s="356">
        <v>45</v>
      </c>
      <c r="G43" s="356">
        <v>304</v>
      </c>
      <c r="H43" s="356">
        <v>44</v>
      </c>
      <c r="I43" s="356">
        <v>279</v>
      </c>
      <c r="J43" s="356">
        <v>47</v>
      </c>
      <c r="K43" s="356">
        <v>323</v>
      </c>
      <c r="L43" s="356">
        <v>57</v>
      </c>
      <c r="M43" s="356">
        <v>325</v>
      </c>
      <c r="N43" s="356">
        <v>46</v>
      </c>
      <c r="O43" s="356">
        <v>303</v>
      </c>
    </row>
    <row r="44" spans="1:15">
      <c r="A44" s="350" t="s">
        <v>345</v>
      </c>
      <c r="B44" s="354">
        <v>66</v>
      </c>
      <c r="C44" s="354">
        <v>71</v>
      </c>
      <c r="D44" s="227">
        <v>78</v>
      </c>
      <c r="E44" s="227">
        <v>85</v>
      </c>
      <c r="F44" s="227">
        <v>85</v>
      </c>
      <c r="G44" s="227">
        <v>89</v>
      </c>
      <c r="H44" s="227">
        <v>93</v>
      </c>
      <c r="I44" s="227">
        <v>96</v>
      </c>
      <c r="J44" s="227">
        <v>70</v>
      </c>
      <c r="K44" s="227">
        <v>72</v>
      </c>
      <c r="L44" s="354">
        <v>89</v>
      </c>
      <c r="M44" s="354">
        <v>95</v>
      </c>
      <c r="N44" s="354">
        <v>86</v>
      </c>
      <c r="O44" s="354">
        <v>90</v>
      </c>
    </row>
    <row r="45" spans="1:15">
      <c r="A45" s="350" t="s">
        <v>346</v>
      </c>
      <c r="B45" s="354">
        <v>55</v>
      </c>
      <c r="C45" s="354">
        <v>56</v>
      </c>
      <c r="D45" s="227">
        <v>54</v>
      </c>
      <c r="E45" s="227">
        <v>55</v>
      </c>
      <c r="F45" s="227">
        <v>49</v>
      </c>
      <c r="G45" s="227">
        <v>49</v>
      </c>
      <c r="H45" s="227">
        <v>62</v>
      </c>
      <c r="I45" s="227">
        <v>64</v>
      </c>
      <c r="J45" s="227">
        <v>54</v>
      </c>
      <c r="K45" s="227">
        <v>54</v>
      </c>
      <c r="L45" s="227">
        <v>53</v>
      </c>
      <c r="M45" s="227">
        <v>54</v>
      </c>
      <c r="N45" s="227">
        <v>39</v>
      </c>
      <c r="O45" s="227">
        <v>40</v>
      </c>
    </row>
    <row r="46" spans="1:15">
      <c r="A46" s="350" t="s">
        <v>347</v>
      </c>
      <c r="B46" s="354">
        <v>59</v>
      </c>
      <c r="C46" s="354">
        <v>60</v>
      </c>
      <c r="D46" s="227">
        <v>64</v>
      </c>
      <c r="E46" s="227">
        <v>67</v>
      </c>
      <c r="F46" s="227">
        <v>86</v>
      </c>
      <c r="G46" s="227">
        <v>90</v>
      </c>
      <c r="H46" s="227">
        <v>67</v>
      </c>
      <c r="I46" s="227">
        <v>70</v>
      </c>
      <c r="J46" s="227">
        <v>96</v>
      </c>
      <c r="K46" s="227">
        <v>102</v>
      </c>
      <c r="L46" s="227">
        <v>98</v>
      </c>
      <c r="M46" s="227">
        <v>104</v>
      </c>
      <c r="N46" s="227">
        <v>106</v>
      </c>
      <c r="O46" s="227">
        <v>111</v>
      </c>
    </row>
    <row r="47" spans="1:15">
      <c r="A47" s="350" t="s">
        <v>348</v>
      </c>
      <c r="B47" s="354">
        <v>67</v>
      </c>
      <c r="C47" s="354">
        <v>101</v>
      </c>
      <c r="D47" s="227">
        <v>65</v>
      </c>
      <c r="E47" s="227">
        <v>108</v>
      </c>
      <c r="F47" s="227">
        <v>83</v>
      </c>
      <c r="G47" s="227">
        <v>119</v>
      </c>
      <c r="H47" s="227">
        <v>70</v>
      </c>
      <c r="I47" s="227">
        <v>108</v>
      </c>
      <c r="J47" s="227">
        <v>55</v>
      </c>
      <c r="K47" s="227">
        <v>97</v>
      </c>
      <c r="L47" s="227">
        <v>61</v>
      </c>
      <c r="M47" s="227">
        <v>100</v>
      </c>
      <c r="N47" s="227">
        <v>72</v>
      </c>
      <c r="O47" s="227">
        <v>106</v>
      </c>
    </row>
    <row r="48" spans="1:15">
      <c r="A48" s="350" t="s">
        <v>349</v>
      </c>
      <c r="B48" s="354">
        <v>32</v>
      </c>
      <c r="C48" s="354">
        <v>51</v>
      </c>
      <c r="D48" s="227">
        <v>54</v>
      </c>
      <c r="E48" s="227">
        <v>67</v>
      </c>
      <c r="F48" s="227">
        <v>48</v>
      </c>
      <c r="G48" s="227">
        <v>70</v>
      </c>
      <c r="H48" s="227">
        <v>43</v>
      </c>
      <c r="I48" s="227">
        <v>59</v>
      </c>
      <c r="J48" s="227">
        <v>33</v>
      </c>
      <c r="K48" s="227">
        <v>50</v>
      </c>
      <c r="L48" s="227">
        <v>47</v>
      </c>
      <c r="M48" s="227">
        <v>63</v>
      </c>
      <c r="N48" s="227">
        <v>41</v>
      </c>
      <c r="O48" s="227">
        <v>58</v>
      </c>
    </row>
    <row r="49" spans="1:15">
      <c r="A49" s="350" t="s">
        <v>350</v>
      </c>
      <c r="B49" s="354">
        <v>65</v>
      </c>
      <c r="C49" s="354">
        <v>87</v>
      </c>
      <c r="D49" s="227">
        <v>66</v>
      </c>
      <c r="E49" s="227">
        <v>86</v>
      </c>
      <c r="F49" s="227">
        <v>64</v>
      </c>
      <c r="G49" s="227">
        <v>80</v>
      </c>
      <c r="H49" s="227">
        <v>86</v>
      </c>
      <c r="I49" s="227">
        <v>96</v>
      </c>
      <c r="J49" s="227">
        <v>73</v>
      </c>
      <c r="K49" s="227">
        <v>87</v>
      </c>
      <c r="L49" s="227">
        <v>66</v>
      </c>
      <c r="M49" s="227">
        <v>77</v>
      </c>
      <c r="N49" s="227">
        <v>61</v>
      </c>
      <c r="O49" s="227">
        <v>89</v>
      </c>
    </row>
    <row r="50" spans="1:15">
      <c r="A50" s="350" t="s">
        <v>351</v>
      </c>
      <c r="B50" s="354">
        <v>48</v>
      </c>
      <c r="C50" s="354">
        <v>51</v>
      </c>
      <c r="D50" s="227">
        <v>32</v>
      </c>
      <c r="E50" s="227">
        <v>35</v>
      </c>
      <c r="F50" s="227">
        <v>34</v>
      </c>
      <c r="G50" s="227">
        <v>37</v>
      </c>
      <c r="H50" s="227">
        <v>37</v>
      </c>
      <c r="I50" s="227">
        <v>40</v>
      </c>
      <c r="J50" s="227">
        <v>51</v>
      </c>
      <c r="K50" s="227">
        <v>52</v>
      </c>
      <c r="L50" s="227">
        <v>33</v>
      </c>
      <c r="M50" s="227">
        <v>34</v>
      </c>
      <c r="N50" s="227">
        <v>28</v>
      </c>
      <c r="O50" s="227">
        <v>29</v>
      </c>
    </row>
    <row r="51" spans="1:15">
      <c r="A51" s="350" t="s">
        <v>352</v>
      </c>
      <c r="B51" s="354">
        <v>32</v>
      </c>
      <c r="C51" s="354">
        <v>38</v>
      </c>
      <c r="D51" s="227">
        <v>42</v>
      </c>
      <c r="E51" s="227">
        <v>52</v>
      </c>
      <c r="F51" s="227">
        <v>30</v>
      </c>
      <c r="G51" s="227">
        <v>39</v>
      </c>
      <c r="H51" s="227">
        <v>31</v>
      </c>
      <c r="I51" s="227">
        <v>37</v>
      </c>
      <c r="J51" s="227">
        <v>27</v>
      </c>
      <c r="K51" s="227">
        <v>29</v>
      </c>
      <c r="L51" s="227">
        <v>32</v>
      </c>
      <c r="M51" s="227">
        <v>38</v>
      </c>
      <c r="N51" s="227">
        <v>33</v>
      </c>
      <c r="O51" s="227">
        <v>37</v>
      </c>
    </row>
    <row r="52" spans="1:15">
      <c r="A52" s="350" t="s">
        <v>353</v>
      </c>
      <c r="B52" s="354">
        <v>48</v>
      </c>
      <c r="C52" s="354">
        <v>58</v>
      </c>
      <c r="D52" s="227">
        <v>45</v>
      </c>
      <c r="E52" s="227">
        <v>46</v>
      </c>
      <c r="F52" s="227">
        <v>56</v>
      </c>
      <c r="G52" s="227">
        <v>60</v>
      </c>
      <c r="H52" s="227">
        <v>38</v>
      </c>
      <c r="I52" s="227">
        <v>42</v>
      </c>
      <c r="J52" s="227">
        <v>45</v>
      </c>
      <c r="K52" s="227">
        <v>51</v>
      </c>
      <c r="L52" s="227">
        <v>41</v>
      </c>
      <c r="M52" s="227">
        <v>48</v>
      </c>
      <c r="N52" s="227">
        <v>45</v>
      </c>
      <c r="O52" s="227">
        <v>46</v>
      </c>
    </row>
    <row r="53" spans="1:15">
      <c r="A53" s="350" t="s">
        <v>354</v>
      </c>
      <c r="B53" s="354">
        <v>9</v>
      </c>
      <c r="C53" s="354">
        <v>9</v>
      </c>
      <c r="D53" s="227">
        <v>15</v>
      </c>
      <c r="E53" s="227">
        <v>15</v>
      </c>
      <c r="F53" s="227">
        <v>19</v>
      </c>
      <c r="G53" s="227">
        <v>19</v>
      </c>
      <c r="H53" s="227">
        <v>6</v>
      </c>
      <c r="I53" s="227">
        <v>6</v>
      </c>
      <c r="J53" s="227">
        <v>17</v>
      </c>
      <c r="K53" s="227">
        <v>17</v>
      </c>
      <c r="L53" s="227">
        <v>11</v>
      </c>
      <c r="M53" s="227">
        <v>11</v>
      </c>
      <c r="N53" s="227">
        <v>19</v>
      </c>
      <c r="O53" s="227">
        <v>19</v>
      </c>
    </row>
    <row r="54" spans="1:15">
      <c r="A54" s="350" t="s">
        <v>355</v>
      </c>
      <c r="B54" s="354">
        <v>13</v>
      </c>
      <c r="C54" s="354">
        <v>17</v>
      </c>
      <c r="D54" s="227">
        <v>4</v>
      </c>
      <c r="E54" s="227">
        <v>7</v>
      </c>
      <c r="F54" s="227">
        <v>15</v>
      </c>
      <c r="G54" s="227">
        <v>19</v>
      </c>
      <c r="H54" s="227">
        <v>13</v>
      </c>
      <c r="I54" s="227">
        <v>17</v>
      </c>
      <c r="J54" s="227">
        <v>8</v>
      </c>
      <c r="K54" s="227">
        <v>10</v>
      </c>
      <c r="L54" s="227">
        <v>15</v>
      </c>
      <c r="M54" s="227">
        <v>20</v>
      </c>
      <c r="N54" s="227">
        <v>14</v>
      </c>
      <c r="O54" s="227">
        <v>17</v>
      </c>
    </row>
    <row r="55" spans="1:15">
      <c r="A55" s="350" t="s">
        <v>356</v>
      </c>
      <c r="B55" s="354">
        <v>78</v>
      </c>
      <c r="C55" s="354">
        <v>101</v>
      </c>
      <c r="D55" s="227">
        <v>67</v>
      </c>
      <c r="E55" s="227">
        <v>98</v>
      </c>
      <c r="F55" s="227">
        <v>72</v>
      </c>
      <c r="G55" s="227">
        <v>100</v>
      </c>
      <c r="H55" s="227">
        <v>62</v>
      </c>
      <c r="I55" s="227">
        <v>85</v>
      </c>
      <c r="J55" s="227">
        <v>68</v>
      </c>
      <c r="K55" s="227">
        <v>94</v>
      </c>
      <c r="L55" s="227">
        <v>63</v>
      </c>
      <c r="M55" s="227">
        <v>96</v>
      </c>
      <c r="N55" s="227">
        <v>64</v>
      </c>
      <c r="O55" s="227">
        <v>108</v>
      </c>
    </row>
    <row r="56" spans="1:15">
      <c r="A56" s="350" t="s">
        <v>357</v>
      </c>
      <c r="B56" s="354">
        <v>67</v>
      </c>
      <c r="C56" s="354">
        <v>80</v>
      </c>
      <c r="D56" s="227">
        <v>53</v>
      </c>
      <c r="E56" s="227">
        <v>63</v>
      </c>
      <c r="F56" s="227">
        <v>64</v>
      </c>
      <c r="G56" s="227">
        <v>78</v>
      </c>
      <c r="H56" s="227">
        <v>65</v>
      </c>
      <c r="I56" s="227">
        <v>79</v>
      </c>
      <c r="J56" s="227">
        <v>59</v>
      </c>
      <c r="K56" s="227">
        <v>68</v>
      </c>
      <c r="L56" s="227">
        <v>60</v>
      </c>
      <c r="M56" s="227">
        <v>71</v>
      </c>
      <c r="N56" s="227">
        <v>56</v>
      </c>
      <c r="O56" s="227">
        <v>65</v>
      </c>
    </row>
    <row r="57" spans="1:15">
      <c r="A57" s="350" t="s">
        <v>358</v>
      </c>
      <c r="B57" s="354">
        <v>54</v>
      </c>
      <c r="C57" s="354">
        <v>58</v>
      </c>
      <c r="D57" s="227">
        <v>36</v>
      </c>
      <c r="E57" s="227">
        <v>37</v>
      </c>
      <c r="F57" s="227">
        <v>49</v>
      </c>
      <c r="G57" s="227">
        <v>52</v>
      </c>
      <c r="H57" s="227">
        <v>57</v>
      </c>
      <c r="I57" s="227">
        <v>61</v>
      </c>
      <c r="J57" s="227">
        <v>47</v>
      </c>
      <c r="K57" s="227">
        <v>51</v>
      </c>
      <c r="L57" s="227">
        <v>47</v>
      </c>
      <c r="M57" s="227">
        <v>49</v>
      </c>
      <c r="N57" s="227">
        <v>38</v>
      </c>
      <c r="O57" s="227">
        <v>40</v>
      </c>
    </row>
    <row r="58" spans="1:15">
      <c r="A58" s="350" t="s">
        <v>359</v>
      </c>
      <c r="B58" s="354">
        <v>88</v>
      </c>
      <c r="C58" s="354">
        <v>97</v>
      </c>
      <c r="D58" s="227">
        <v>68</v>
      </c>
      <c r="E58" s="227">
        <v>80</v>
      </c>
      <c r="F58" s="227">
        <v>75</v>
      </c>
      <c r="G58" s="227">
        <v>85</v>
      </c>
      <c r="H58" s="227">
        <v>74</v>
      </c>
      <c r="I58" s="227">
        <v>89</v>
      </c>
      <c r="J58" s="227">
        <v>66</v>
      </c>
      <c r="K58" s="227">
        <v>79</v>
      </c>
      <c r="L58" s="227">
        <v>67</v>
      </c>
      <c r="M58" s="227">
        <v>82</v>
      </c>
      <c r="N58" s="227">
        <v>65</v>
      </c>
      <c r="O58" s="227">
        <v>73</v>
      </c>
    </row>
    <row r="59" spans="1:15">
      <c r="A59" s="350" t="s">
        <v>360</v>
      </c>
      <c r="B59" s="354">
        <v>45</v>
      </c>
      <c r="C59" s="354">
        <v>62</v>
      </c>
      <c r="D59" s="227">
        <v>44</v>
      </c>
      <c r="E59" s="227">
        <v>57</v>
      </c>
      <c r="F59" s="227">
        <v>28</v>
      </c>
      <c r="G59" s="227">
        <v>36</v>
      </c>
      <c r="H59" s="227">
        <v>26</v>
      </c>
      <c r="I59" s="227">
        <v>38</v>
      </c>
      <c r="J59" s="227">
        <v>42</v>
      </c>
      <c r="K59" s="227">
        <v>60</v>
      </c>
      <c r="L59" s="227">
        <v>31</v>
      </c>
      <c r="M59" s="227">
        <v>47</v>
      </c>
      <c r="N59" s="227">
        <v>48</v>
      </c>
      <c r="O59" s="227">
        <v>59</v>
      </c>
    </row>
    <row r="60" spans="1:15">
      <c r="A60" s="350" t="s">
        <v>361</v>
      </c>
      <c r="B60" s="354">
        <v>44</v>
      </c>
      <c r="C60" s="354">
        <v>56</v>
      </c>
      <c r="D60" s="227">
        <v>40</v>
      </c>
      <c r="E60" s="227">
        <v>44</v>
      </c>
      <c r="F60" s="227">
        <v>46</v>
      </c>
      <c r="G60" s="227">
        <v>51</v>
      </c>
      <c r="H60" s="227">
        <v>41</v>
      </c>
      <c r="I60" s="227">
        <v>47</v>
      </c>
      <c r="J60" s="227">
        <v>30</v>
      </c>
      <c r="K60" s="227">
        <v>33</v>
      </c>
      <c r="L60" s="227">
        <v>35</v>
      </c>
      <c r="M60" s="227">
        <v>43</v>
      </c>
      <c r="N60" s="227">
        <v>34</v>
      </c>
      <c r="O60" s="227">
        <v>38</v>
      </c>
    </row>
    <row r="61" spans="1:15">
      <c r="A61" s="350" t="s">
        <v>362</v>
      </c>
      <c r="B61" s="354">
        <v>28</v>
      </c>
      <c r="C61" s="354">
        <v>30</v>
      </c>
      <c r="D61" s="227">
        <v>24</v>
      </c>
      <c r="E61" s="227">
        <v>26</v>
      </c>
      <c r="F61" s="227">
        <v>20</v>
      </c>
      <c r="G61" s="227">
        <v>25</v>
      </c>
      <c r="H61" s="227">
        <v>20</v>
      </c>
      <c r="I61" s="227">
        <v>21</v>
      </c>
      <c r="J61" s="227">
        <v>25</v>
      </c>
      <c r="K61" s="227">
        <v>30</v>
      </c>
      <c r="L61" s="227">
        <v>17</v>
      </c>
      <c r="M61" s="227">
        <v>18</v>
      </c>
      <c r="N61" s="227">
        <v>16</v>
      </c>
      <c r="O61" s="227">
        <v>18</v>
      </c>
    </row>
    <row r="62" spans="1:15">
      <c r="A62" s="350" t="s">
        <v>363</v>
      </c>
      <c r="B62" s="354">
        <v>67</v>
      </c>
      <c r="C62" s="354">
        <v>74</v>
      </c>
      <c r="D62" s="227">
        <v>69</v>
      </c>
      <c r="E62" s="227">
        <v>80</v>
      </c>
      <c r="F62" s="227">
        <v>62</v>
      </c>
      <c r="G62" s="227">
        <v>68</v>
      </c>
      <c r="H62" s="227">
        <v>67</v>
      </c>
      <c r="I62" s="227">
        <v>74</v>
      </c>
      <c r="J62" s="227">
        <v>61</v>
      </c>
      <c r="K62" s="227">
        <v>68</v>
      </c>
      <c r="L62" s="227">
        <v>68</v>
      </c>
      <c r="M62" s="227">
        <v>76</v>
      </c>
      <c r="N62" s="227">
        <v>80</v>
      </c>
      <c r="O62" s="227">
        <v>89</v>
      </c>
    </row>
    <row r="63" spans="1:15">
      <c r="A63" s="350" t="s">
        <v>364</v>
      </c>
      <c r="B63" s="354">
        <v>21</v>
      </c>
      <c r="C63" s="354">
        <v>21</v>
      </c>
      <c r="D63" s="227">
        <v>24</v>
      </c>
      <c r="E63" s="227">
        <v>24</v>
      </c>
      <c r="F63" s="227">
        <v>42</v>
      </c>
      <c r="G63" s="227">
        <v>42</v>
      </c>
      <c r="H63" s="227">
        <v>25</v>
      </c>
      <c r="I63" s="227">
        <v>25</v>
      </c>
      <c r="J63" s="227">
        <v>38</v>
      </c>
      <c r="K63" s="227">
        <v>38</v>
      </c>
      <c r="L63" s="227">
        <v>34</v>
      </c>
      <c r="M63" s="227">
        <v>34</v>
      </c>
      <c r="N63" s="227">
        <v>37</v>
      </c>
      <c r="O63" s="227">
        <v>37</v>
      </c>
    </row>
    <row r="64" spans="1:15">
      <c r="A64" s="350" t="s">
        <v>365</v>
      </c>
      <c r="B64" s="354">
        <v>37</v>
      </c>
      <c r="C64" s="354">
        <v>37</v>
      </c>
      <c r="D64" s="227">
        <v>30</v>
      </c>
      <c r="E64" s="227">
        <v>30</v>
      </c>
      <c r="F64" s="227">
        <v>34</v>
      </c>
      <c r="G64" s="227">
        <v>34</v>
      </c>
      <c r="H64" s="227">
        <v>39</v>
      </c>
      <c r="I64" s="227">
        <v>41</v>
      </c>
      <c r="J64" s="227">
        <v>33</v>
      </c>
      <c r="K64" s="227">
        <v>34</v>
      </c>
      <c r="L64" s="227">
        <v>28</v>
      </c>
      <c r="M64" s="227">
        <v>29</v>
      </c>
      <c r="N64" s="227">
        <v>33</v>
      </c>
      <c r="O64" s="227">
        <v>34</v>
      </c>
    </row>
    <row r="65" spans="1:15">
      <c r="A65" s="350" t="s">
        <v>366</v>
      </c>
      <c r="B65" s="354">
        <v>23</v>
      </c>
      <c r="C65" s="354">
        <v>26</v>
      </c>
      <c r="D65" s="227">
        <v>20</v>
      </c>
      <c r="E65" s="227">
        <v>23</v>
      </c>
      <c r="F65" s="227">
        <v>26</v>
      </c>
      <c r="G65" s="227">
        <v>26</v>
      </c>
      <c r="H65" s="227">
        <v>24</v>
      </c>
      <c r="I65" s="227">
        <v>26</v>
      </c>
      <c r="J65" s="227">
        <v>25</v>
      </c>
      <c r="K65" s="227">
        <v>25</v>
      </c>
      <c r="L65" s="227">
        <v>26</v>
      </c>
      <c r="M65" s="227">
        <v>27</v>
      </c>
      <c r="N65" s="227">
        <v>29</v>
      </c>
      <c r="O65" s="227">
        <v>31</v>
      </c>
    </row>
    <row r="66" spans="1:15">
      <c r="A66" s="350" t="s">
        <v>367</v>
      </c>
      <c r="B66" s="354">
        <v>85</v>
      </c>
      <c r="C66" s="354">
        <v>88</v>
      </c>
      <c r="D66" s="227">
        <v>82</v>
      </c>
      <c r="E66" s="227">
        <v>89</v>
      </c>
      <c r="F66" s="227">
        <v>76</v>
      </c>
      <c r="G66" s="227">
        <v>80</v>
      </c>
      <c r="H66" s="227">
        <v>74</v>
      </c>
      <c r="I66" s="227">
        <v>83</v>
      </c>
      <c r="J66" s="227">
        <v>75</v>
      </c>
      <c r="K66" s="227">
        <v>79</v>
      </c>
      <c r="L66" s="227">
        <v>93</v>
      </c>
      <c r="M66" s="227">
        <v>97</v>
      </c>
      <c r="N66" s="227">
        <v>79</v>
      </c>
      <c r="O66" s="227">
        <v>83</v>
      </c>
    </row>
    <row r="67" spans="1:15">
      <c r="A67" s="350" t="s">
        <v>368</v>
      </c>
      <c r="B67" s="354">
        <v>62</v>
      </c>
      <c r="C67" s="354">
        <v>71</v>
      </c>
      <c r="D67" s="227">
        <v>44</v>
      </c>
      <c r="E67" s="227">
        <v>49</v>
      </c>
      <c r="F67" s="227">
        <v>58</v>
      </c>
      <c r="G67" s="227">
        <v>61</v>
      </c>
      <c r="H67" s="227">
        <v>60</v>
      </c>
      <c r="I67" s="227">
        <v>67</v>
      </c>
      <c r="J67" s="227">
        <v>53</v>
      </c>
      <c r="K67" s="227">
        <v>57</v>
      </c>
      <c r="L67" s="227">
        <v>60</v>
      </c>
      <c r="M67" s="227">
        <v>66</v>
      </c>
      <c r="N67" s="227">
        <v>57</v>
      </c>
      <c r="O67" s="227">
        <v>70</v>
      </c>
    </row>
    <row r="68" spans="1:15">
      <c r="A68" s="350" t="s">
        <v>369</v>
      </c>
      <c r="B68" s="354">
        <v>73</v>
      </c>
      <c r="C68" s="354">
        <v>88</v>
      </c>
      <c r="D68" s="227">
        <v>87</v>
      </c>
      <c r="E68" s="227">
        <v>105</v>
      </c>
      <c r="F68" s="227">
        <v>96</v>
      </c>
      <c r="G68" s="227">
        <v>116</v>
      </c>
      <c r="H68" s="227">
        <v>95</v>
      </c>
      <c r="I68" s="227">
        <v>117</v>
      </c>
      <c r="J68" s="227">
        <v>85</v>
      </c>
      <c r="K68" s="227">
        <v>105</v>
      </c>
      <c r="L68" s="227">
        <v>86</v>
      </c>
      <c r="M68" s="227">
        <v>102</v>
      </c>
      <c r="N68" s="227">
        <v>105</v>
      </c>
      <c r="O68" s="227">
        <v>117</v>
      </c>
    </row>
    <row r="69" spans="1:15">
      <c r="A69" s="351" t="s">
        <v>370</v>
      </c>
      <c r="B69" s="355">
        <v>30</v>
      </c>
      <c r="C69" s="355">
        <v>143</v>
      </c>
      <c r="D69" s="356">
        <v>37</v>
      </c>
      <c r="E69" s="356">
        <v>153</v>
      </c>
      <c r="F69" s="356">
        <v>26</v>
      </c>
      <c r="G69" s="356">
        <v>137</v>
      </c>
      <c r="H69" s="356">
        <v>30</v>
      </c>
      <c r="I69" s="356">
        <v>128</v>
      </c>
      <c r="J69" s="356">
        <v>25</v>
      </c>
      <c r="K69" s="356">
        <v>137</v>
      </c>
      <c r="L69" s="356">
        <v>27</v>
      </c>
      <c r="M69" s="356">
        <v>150</v>
      </c>
      <c r="N69" s="356">
        <v>29</v>
      </c>
      <c r="O69" s="356">
        <v>118</v>
      </c>
    </row>
    <row r="70" spans="1:15">
      <c r="A70" s="351" t="s">
        <v>371</v>
      </c>
      <c r="B70" s="355">
        <v>22</v>
      </c>
      <c r="C70" s="355">
        <v>443</v>
      </c>
      <c r="D70" s="356">
        <v>28</v>
      </c>
      <c r="E70" s="356">
        <v>421</v>
      </c>
      <c r="F70" s="356">
        <v>26</v>
      </c>
      <c r="G70" s="356">
        <v>442</v>
      </c>
      <c r="H70" s="356">
        <v>28</v>
      </c>
      <c r="I70" s="356">
        <v>442</v>
      </c>
      <c r="J70" s="356">
        <v>32</v>
      </c>
      <c r="K70" s="356">
        <v>499</v>
      </c>
      <c r="L70" s="356">
        <v>24</v>
      </c>
      <c r="M70" s="356">
        <v>462</v>
      </c>
      <c r="N70" s="356">
        <v>29</v>
      </c>
      <c r="O70" s="356">
        <v>458</v>
      </c>
    </row>
    <row r="71" spans="1:15">
      <c r="A71" s="351" t="s">
        <v>372</v>
      </c>
      <c r="B71" s="355">
        <v>37</v>
      </c>
      <c r="C71" s="355">
        <v>321</v>
      </c>
      <c r="D71" s="356">
        <v>50</v>
      </c>
      <c r="E71" s="356">
        <v>340</v>
      </c>
      <c r="F71" s="356">
        <v>35</v>
      </c>
      <c r="G71" s="356">
        <v>305</v>
      </c>
      <c r="H71" s="356">
        <v>59</v>
      </c>
      <c r="I71" s="356">
        <v>313</v>
      </c>
      <c r="J71" s="356">
        <v>51</v>
      </c>
      <c r="K71" s="356">
        <v>342</v>
      </c>
      <c r="L71" s="356">
        <v>55</v>
      </c>
      <c r="M71" s="356">
        <v>325</v>
      </c>
      <c r="N71" s="356">
        <v>46</v>
      </c>
      <c r="O71" s="356">
        <v>347</v>
      </c>
    </row>
    <row r="72" spans="1:15">
      <c r="A72" s="351" t="s">
        <v>373</v>
      </c>
      <c r="B72" s="355">
        <v>38</v>
      </c>
      <c r="C72" s="355">
        <v>148</v>
      </c>
      <c r="D72" s="356">
        <v>46</v>
      </c>
      <c r="E72" s="356">
        <v>159</v>
      </c>
      <c r="F72" s="356">
        <v>37</v>
      </c>
      <c r="G72" s="356">
        <v>167</v>
      </c>
      <c r="H72" s="356">
        <v>27</v>
      </c>
      <c r="I72" s="356">
        <v>140</v>
      </c>
      <c r="J72" s="356">
        <v>28</v>
      </c>
      <c r="K72" s="356">
        <v>166</v>
      </c>
      <c r="L72" s="356">
        <v>47</v>
      </c>
      <c r="M72" s="356">
        <v>158</v>
      </c>
      <c r="N72" s="356">
        <v>54</v>
      </c>
      <c r="O72" s="356">
        <v>167</v>
      </c>
    </row>
    <row r="73" spans="1:15">
      <c r="A73" s="351" t="s">
        <v>374</v>
      </c>
      <c r="B73" s="355">
        <v>55</v>
      </c>
      <c r="C73" s="355">
        <v>229</v>
      </c>
      <c r="D73" s="356">
        <v>43</v>
      </c>
      <c r="E73" s="356">
        <v>256</v>
      </c>
      <c r="F73" s="356">
        <v>39</v>
      </c>
      <c r="G73" s="356">
        <v>240</v>
      </c>
      <c r="H73" s="356">
        <v>28</v>
      </c>
      <c r="I73" s="356">
        <v>243</v>
      </c>
      <c r="J73" s="356">
        <v>28</v>
      </c>
      <c r="K73" s="356">
        <v>210</v>
      </c>
      <c r="L73" s="356">
        <v>31</v>
      </c>
      <c r="M73" s="356">
        <v>222</v>
      </c>
      <c r="N73" s="356">
        <v>50</v>
      </c>
      <c r="O73" s="356">
        <v>253</v>
      </c>
    </row>
    <row r="74" spans="1:15">
      <c r="A74" s="351" t="s">
        <v>375</v>
      </c>
      <c r="B74" s="355">
        <v>50</v>
      </c>
      <c r="C74" s="355">
        <v>290</v>
      </c>
      <c r="D74" s="356">
        <v>52</v>
      </c>
      <c r="E74" s="356">
        <v>293</v>
      </c>
      <c r="F74" s="356">
        <v>45</v>
      </c>
      <c r="G74" s="356">
        <v>283</v>
      </c>
      <c r="H74" s="356">
        <v>51</v>
      </c>
      <c r="I74" s="356">
        <v>299</v>
      </c>
      <c r="J74" s="356">
        <v>49</v>
      </c>
      <c r="K74" s="356">
        <v>276</v>
      </c>
      <c r="L74" s="356">
        <v>55</v>
      </c>
      <c r="M74" s="356">
        <v>305</v>
      </c>
      <c r="N74" s="356">
        <v>41</v>
      </c>
      <c r="O74" s="356">
        <v>282</v>
      </c>
    </row>
    <row r="75" spans="1:15">
      <c r="A75" s="351" t="s">
        <v>376</v>
      </c>
      <c r="B75" s="355">
        <v>49</v>
      </c>
      <c r="C75" s="355">
        <v>427</v>
      </c>
      <c r="D75" s="356">
        <v>49</v>
      </c>
      <c r="E75" s="356">
        <v>431</v>
      </c>
      <c r="F75" s="356">
        <v>36</v>
      </c>
      <c r="G75" s="356">
        <v>459</v>
      </c>
      <c r="H75" s="356">
        <v>46</v>
      </c>
      <c r="I75" s="356">
        <v>411</v>
      </c>
      <c r="J75" s="356">
        <v>46</v>
      </c>
      <c r="K75" s="356">
        <v>377</v>
      </c>
      <c r="L75" s="356">
        <v>57</v>
      </c>
      <c r="M75" s="356">
        <v>440</v>
      </c>
      <c r="N75" s="356">
        <v>48</v>
      </c>
      <c r="O75" s="356">
        <v>413</v>
      </c>
    </row>
    <row r="76" spans="1:15">
      <c r="A76" s="351" t="s">
        <v>377</v>
      </c>
      <c r="B76" s="355">
        <v>14</v>
      </c>
      <c r="C76" s="355">
        <v>189</v>
      </c>
      <c r="D76" s="356">
        <v>19</v>
      </c>
      <c r="E76" s="356">
        <v>193</v>
      </c>
      <c r="F76" s="356">
        <v>12</v>
      </c>
      <c r="G76" s="356">
        <v>216</v>
      </c>
      <c r="H76" s="356">
        <v>10</v>
      </c>
      <c r="I76" s="356">
        <v>179</v>
      </c>
      <c r="J76" s="356">
        <v>15</v>
      </c>
      <c r="K76" s="356">
        <v>227</v>
      </c>
      <c r="L76" s="356">
        <v>16</v>
      </c>
      <c r="M76" s="356">
        <v>228</v>
      </c>
      <c r="N76" s="356">
        <v>17</v>
      </c>
      <c r="O76" s="356">
        <v>249</v>
      </c>
    </row>
    <row r="77" spans="1:15">
      <c r="A77" s="351" t="s">
        <v>378</v>
      </c>
      <c r="B77" s="355">
        <v>23</v>
      </c>
      <c r="C77" s="355">
        <v>226</v>
      </c>
      <c r="D77" s="356">
        <v>23</v>
      </c>
      <c r="E77" s="356">
        <v>200</v>
      </c>
      <c r="F77" s="356">
        <v>19</v>
      </c>
      <c r="G77" s="356">
        <v>196</v>
      </c>
      <c r="H77" s="356">
        <v>29</v>
      </c>
      <c r="I77" s="356">
        <v>225</v>
      </c>
      <c r="J77" s="356">
        <v>22</v>
      </c>
      <c r="K77" s="356">
        <v>208</v>
      </c>
      <c r="L77" s="356">
        <v>23</v>
      </c>
      <c r="M77" s="356">
        <v>208</v>
      </c>
      <c r="N77" s="356">
        <v>18</v>
      </c>
      <c r="O77" s="356">
        <v>211</v>
      </c>
    </row>
    <row r="78" spans="1:15">
      <c r="A78" s="351" t="s">
        <v>379</v>
      </c>
      <c r="B78" s="355">
        <v>52</v>
      </c>
      <c r="C78" s="355">
        <v>244</v>
      </c>
      <c r="D78" s="356">
        <v>48</v>
      </c>
      <c r="E78" s="356">
        <v>277</v>
      </c>
      <c r="F78" s="356">
        <v>46</v>
      </c>
      <c r="G78" s="356">
        <v>269</v>
      </c>
      <c r="H78" s="356">
        <v>53</v>
      </c>
      <c r="I78" s="356">
        <v>262</v>
      </c>
      <c r="J78" s="356">
        <v>45</v>
      </c>
      <c r="K78" s="356">
        <v>244</v>
      </c>
      <c r="L78" s="356">
        <v>52</v>
      </c>
      <c r="M78" s="356">
        <v>261</v>
      </c>
      <c r="N78" s="356">
        <v>40</v>
      </c>
      <c r="O78" s="356">
        <v>245</v>
      </c>
    </row>
    <row r="79" spans="1:15">
      <c r="A79" s="351" t="s">
        <v>380</v>
      </c>
      <c r="B79" s="355">
        <v>49</v>
      </c>
      <c r="C79" s="355">
        <v>184</v>
      </c>
      <c r="D79" s="356">
        <v>59</v>
      </c>
      <c r="E79" s="356">
        <v>214</v>
      </c>
      <c r="F79" s="356">
        <v>55</v>
      </c>
      <c r="G79" s="356">
        <v>228</v>
      </c>
      <c r="H79" s="356">
        <v>51</v>
      </c>
      <c r="I79" s="356">
        <v>200</v>
      </c>
      <c r="J79" s="356">
        <v>50</v>
      </c>
      <c r="K79" s="356">
        <v>176</v>
      </c>
      <c r="L79" s="356">
        <v>49</v>
      </c>
      <c r="M79" s="356">
        <v>191</v>
      </c>
      <c r="N79" s="356">
        <v>43</v>
      </c>
      <c r="O79" s="356">
        <v>186</v>
      </c>
    </row>
    <row r="80" spans="1:15">
      <c r="A80" s="351" t="s">
        <v>381</v>
      </c>
      <c r="B80" s="355">
        <v>43</v>
      </c>
      <c r="C80" s="355">
        <v>171</v>
      </c>
      <c r="D80" s="356">
        <v>27</v>
      </c>
      <c r="E80" s="356">
        <v>175</v>
      </c>
      <c r="F80" s="356">
        <v>44</v>
      </c>
      <c r="G80" s="356">
        <v>181</v>
      </c>
      <c r="H80" s="356">
        <v>51</v>
      </c>
      <c r="I80" s="356">
        <v>193</v>
      </c>
      <c r="J80" s="356">
        <v>50</v>
      </c>
      <c r="K80" s="356">
        <v>175</v>
      </c>
      <c r="L80" s="356">
        <v>26</v>
      </c>
      <c r="M80" s="356">
        <v>160</v>
      </c>
      <c r="N80" s="356">
        <v>43</v>
      </c>
      <c r="O80" s="356">
        <v>163</v>
      </c>
    </row>
    <row r="81" spans="1:15">
      <c r="A81" s="351" t="s">
        <v>382</v>
      </c>
      <c r="B81" s="355">
        <v>58</v>
      </c>
      <c r="C81" s="355">
        <v>510</v>
      </c>
      <c r="D81" s="356">
        <v>59</v>
      </c>
      <c r="E81" s="356">
        <v>501</v>
      </c>
      <c r="F81" s="356">
        <v>61</v>
      </c>
      <c r="G81" s="356">
        <v>526</v>
      </c>
      <c r="H81" s="356">
        <v>59</v>
      </c>
      <c r="I81" s="356">
        <v>519</v>
      </c>
      <c r="J81" s="356">
        <v>48</v>
      </c>
      <c r="K81" s="356">
        <v>468</v>
      </c>
      <c r="L81" s="356">
        <v>56</v>
      </c>
      <c r="M81" s="356">
        <v>508</v>
      </c>
      <c r="N81" s="356">
        <v>41</v>
      </c>
      <c r="O81" s="356">
        <v>494</v>
      </c>
    </row>
    <row r="82" spans="1:15">
      <c r="A82" s="350" t="s">
        <v>383</v>
      </c>
      <c r="B82" s="354">
        <v>63</v>
      </c>
      <c r="C82" s="354">
        <v>73</v>
      </c>
      <c r="D82" s="227">
        <v>54</v>
      </c>
      <c r="E82" s="227">
        <v>60</v>
      </c>
      <c r="F82" s="227">
        <v>67</v>
      </c>
      <c r="G82" s="227">
        <v>78</v>
      </c>
      <c r="H82" s="227">
        <v>44</v>
      </c>
      <c r="I82" s="227">
        <v>50</v>
      </c>
      <c r="J82" s="227">
        <v>46</v>
      </c>
      <c r="K82" s="227">
        <v>54</v>
      </c>
      <c r="L82" s="227">
        <v>53</v>
      </c>
      <c r="M82" s="227">
        <v>62</v>
      </c>
      <c r="N82" s="227">
        <v>58</v>
      </c>
      <c r="O82" s="227">
        <v>68</v>
      </c>
    </row>
    <row r="83" spans="1:15">
      <c r="A83" s="350" t="s">
        <v>384</v>
      </c>
      <c r="B83" s="354">
        <v>33</v>
      </c>
      <c r="C83" s="354">
        <v>39</v>
      </c>
      <c r="D83" s="227">
        <v>43</v>
      </c>
      <c r="E83" s="227">
        <v>43</v>
      </c>
      <c r="F83" s="227">
        <v>33</v>
      </c>
      <c r="G83" s="227">
        <v>33</v>
      </c>
      <c r="H83" s="227">
        <v>40</v>
      </c>
      <c r="I83" s="227">
        <v>41</v>
      </c>
      <c r="J83" s="227">
        <v>32</v>
      </c>
      <c r="K83" s="227">
        <v>37</v>
      </c>
      <c r="L83" s="227">
        <v>42</v>
      </c>
      <c r="M83" s="227">
        <v>44</v>
      </c>
      <c r="N83" s="227">
        <v>33</v>
      </c>
      <c r="O83" s="227">
        <v>36</v>
      </c>
    </row>
    <row r="84" spans="1:15">
      <c r="A84" s="350" t="s">
        <v>385</v>
      </c>
      <c r="B84" s="354">
        <v>28</v>
      </c>
      <c r="C84" s="354">
        <v>35</v>
      </c>
      <c r="D84" s="227">
        <v>35</v>
      </c>
      <c r="E84" s="227">
        <v>39</v>
      </c>
      <c r="F84" s="227">
        <v>31</v>
      </c>
      <c r="G84" s="227">
        <v>36</v>
      </c>
      <c r="H84" s="227">
        <v>36</v>
      </c>
      <c r="I84" s="227">
        <v>41</v>
      </c>
      <c r="J84" s="227">
        <v>33</v>
      </c>
      <c r="K84" s="227">
        <v>40</v>
      </c>
      <c r="L84" s="227">
        <v>40</v>
      </c>
      <c r="M84" s="227">
        <v>45</v>
      </c>
      <c r="N84" s="227">
        <v>31</v>
      </c>
      <c r="O84" s="227">
        <v>33</v>
      </c>
    </row>
    <row r="85" spans="1:15">
      <c r="A85" s="350" t="s">
        <v>386</v>
      </c>
      <c r="B85" s="354">
        <v>21</v>
      </c>
      <c r="C85" s="354">
        <v>23</v>
      </c>
      <c r="D85" s="227">
        <v>19</v>
      </c>
      <c r="E85" s="227">
        <v>21</v>
      </c>
      <c r="F85" s="227">
        <v>24</v>
      </c>
      <c r="G85" s="227">
        <v>25</v>
      </c>
      <c r="H85" s="227">
        <v>20</v>
      </c>
      <c r="I85" s="227">
        <v>20</v>
      </c>
      <c r="J85" s="227">
        <v>26</v>
      </c>
      <c r="K85" s="227">
        <v>27</v>
      </c>
      <c r="L85" s="227">
        <v>25</v>
      </c>
      <c r="M85" s="227">
        <v>28</v>
      </c>
      <c r="N85" s="227">
        <v>30</v>
      </c>
      <c r="O85" s="227">
        <v>32</v>
      </c>
    </row>
    <row r="86" spans="1:15">
      <c r="A86" s="350" t="s">
        <v>387</v>
      </c>
      <c r="B86" s="354">
        <v>91</v>
      </c>
      <c r="C86" s="354">
        <v>98</v>
      </c>
      <c r="D86" s="227">
        <v>91</v>
      </c>
      <c r="E86" s="227">
        <v>99</v>
      </c>
      <c r="F86" s="227">
        <v>103</v>
      </c>
      <c r="G86" s="227">
        <v>112</v>
      </c>
      <c r="H86" s="227">
        <v>94</v>
      </c>
      <c r="I86" s="227">
        <v>101</v>
      </c>
      <c r="J86" s="227">
        <v>70</v>
      </c>
      <c r="K86" s="227">
        <v>72</v>
      </c>
      <c r="L86" s="227">
        <v>64</v>
      </c>
      <c r="M86" s="227">
        <v>66</v>
      </c>
      <c r="N86" s="227">
        <v>91</v>
      </c>
      <c r="O86" s="227">
        <v>93</v>
      </c>
    </row>
    <row r="87" spans="1:15">
      <c r="A87" s="350" t="s">
        <v>388</v>
      </c>
      <c r="B87" s="354">
        <v>79</v>
      </c>
      <c r="C87" s="354">
        <v>96</v>
      </c>
      <c r="D87" s="227">
        <v>80</v>
      </c>
      <c r="E87" s="227">
        <v>106</v>
      </c>
      <c r="F87" s="227">
        <v>75</v>
      </c>
      <c r="G87" s="227">
        <v>89</v>
      </c>
      <c r="H87" s="227">
        <v>77</v>
      </c>
      <c r="I87" s="227">
        <v>81</v>
      </c>
      <c r="J87" s="227">
        <v>85</v>
      </c>
      <c r="K87" s="227">
        <v>101</v>
      </c>
      <c r="L87" s="227">
        <v>79</v>
      </c>
      <c r="M87" s="227">
        <v>98</v>
      </c>
      <c r="N87" s="227">
        <v>98</v>
      </c>
      <c r="O87" s="227">
        <v>112</v>
      </c>
    </row>
    <row r="88" spans="1:15">
      <c r="A88" s="350" t="s">
        <v>389</v>
      </c>
      <c r="B88" s="354">
        <v>38</v>
      </c>
      <c r="C88" s="354">
        <v>48</v>
      </c>
      <c r="D88" s="227">
        <v>29</v>
      </c>
      <c r="E88" s="227">
        <v>37</v>
      </c>
      <c r="F88" s="227">
        <v>44</v>
      </c>
      <c r="G88" s="227">
        <v>48</v>
      </c>
      <c r="H88" s="227">
        <v>28</v>
      </c>
      <c r="I88" s="227">
        <v>34</v>
      </c>
      <c r="J88" s="227">
        <v>36</v>
      </c>
      <c r="K88" s="227">
        <v>42</v>
      </c>
      <c r="L88" s="227">
        <v>42</v>
      </c>
      <c r="M88" s="227">
        <v>52</v>
      </c>
      <c r="N88" s="227">
        <v>33</v>
      </c>
      <c r="O88" s="227">
        <v>40</v>
      </c>
    </row>
    <row r="89" spans="1:15">
      <c r="A89" s="350" t="s">
        <v>390</v>
      </c>
      <c r="B89" s="354">
        <v>71</v>
      </c>
      <c r="C89" s="354">
        <v>73</v>
      </c>
      <c r="D89" s="227">
        <v>64</v>
      </c>
      <c r="E89" s="227">
        <v>68</v>
      </c>
      <c r="F89" s="227">
        <v>69</v>
      </c>
      <c r="G89" s="227">
        <v>71</v>
      </c>
      <c r="H89" s="227">
        <v>79</v>
      </c>
      <c r="I89" s="227">
        <v>87</v>
      </c>
      <c r="J89" s="227">
        <v>84</v>
      </c>
      <c r="K89" s="227">
        <v>92</v>
      </c>
      <c r="L89" s="227">
        <v>68</v>
      </c>
      <c r="M89" s="227">
        <v>75</v>
      </c>
      <c r="N89" s="227">
        <v>58</v>
      </c>
      <c r="O89" s="227">
        <v>62</v>
      </c>
    </row>
    <row r="91" spans="1:15">
      <c r="A91" s="357" t="s">
        <v>393</v>
      </c>
    </row>
  </sheetData>
  <pageMargins left="0.7" right="0.7" top="0.75" bottom="0.75" header="0.3" footer="0.3"/>
  <pageSetup paperSize="9" orientation="landscape"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2"/>
  <dimension ref="A1:H89"/>
  <sheetViews>
    <sheetView workbookViewId="0">
      <selection activeCell="K5" sqref="K5"/>
    </sheetView>
  </sheetViews>
  <sheetFormatPr defaultRowHeight="12.75"/>
  <cols>
    <col min="1" max="1" width="22.5703125" bestFit="1" customWidth="1"/>
  </cols>
  <sheetData>
    <row r="1" spans="1:8">
      <c r="A1" s="348"/>
    </row>
    <row r="2" spans="1:8">
      <c r="A2" s="349"/>
      <c r="B2" s="228">
        <v>2012</v>
      </c>
      <c r="C2" s="228">
        <v>2013</v>
      </c>
      <c r="D2" s="228">
        <v>2014</v>
      </c>
      <c r="E2" s="228">
        <v>2015</v>
      </c>
      <c r="F2" s="228">
        <v>2016</v>
      </c>
      <c r="G2" s="228">
        <v>2017</v>
      </c>
      <c r="H2" s="228">
        <v>2018</v>
      </c>
    </row>
    <row r="3" spans="1:8">
      <c r="A3" s="350" t="s">
        <v>304</v>
      </c>
      <c r="B3" s="354">
        <v>19</v>
      </c>
      <c r="C3" s="227">
        <v>27</v>
      </c>
      <c r="D3" s="227">
        <v>21</v>
      </c>
      <c r="E3" s="227">
        <v>27</v>
      </c>
      <c r="F3" s="227">
        <v>15</v>
      </c>
      <c r="G3" s="227">
        <v>19</v>
      </c>
      <c r="H3" s="227">
        <v>13</v>
      </c>
    </row>
    <row r="4" spans="1:8">
      <c r="A4" s="350" t="s">
        <v>305</v>
      </c>
      <c r="B4" s="354">
        <v>43</v>
      </c>
      <c r="C4" s="227">
        <v>44</v>
      </c>
      <c r="D4" s="227">
        <v>50</v>
      </c>
      <c r="E4" s="227">
        <v>55</v>
      </c>
      <c r="F4" s="227">
        <v>48</v>
      </c>
      <c r="G4" s="227">
        <v>49</v>
      </c>
      <c r="H4" s="227">
        <v>56</v>
      </c>
    </row>
    <row r="5" spans="1:8">
      <c r="A5" s="350" t="s">
        <v>306</v>
      </c>
      <c r="B5" s="354">
        <v>56</v>
      </c>
      <c r="C5" s="227">
        <v>73</v>
      </c>
      <c r="D5" s="227">
        <v>52</v>
      </c>
      <c r="E5" s="227">
        <v>56</v>
      </c>
      <c r="F5" s="227">
        <v>72</v>
      </c>
      <c r="G5" s="227">
        <v>64</v>
      </c>
      <c r="H5" s="227">
        <v>67</v>
      </c>
    </row>
    <row r="6" spans="1:8">
      <c r="A6" s="350" t="s">
        <v>307</v>
      </c>
      <c r="B6" s="354">
        <v>52</v>
      </c>
      <c r="C6" s="227">
        <v>51</v>
      </c>
      <c r="D6" s="227">
        <v>54</v>
      </c>
      <c r="E6" s="227">
        <v>55</v>
      </c>
      <c r="F6" s="227">
        <v>62</v>
      </c>
      <c r="G6" s="227">
        <v>63</v>
      </c>
      <c r="H6" s="227">
        <v>74</v>
      </c>
    </row>
    <row r="7" spans="1:8">
      <c r="A7" s="350" t="s">
        <v>308</v>
      </c>
      <c r="B7" s="354">
        <v>18</v>
      </c>
      <c r="C7" s="227">
        <v>24</v>
      </c>
      <c r="D7" s="227">
        <v>24</v>
      </c>
      <c r="E7" s="227">
        <v>30</v>
      </c>
      <c r="F7" s="227">
        <v>24</v>
      </c>
      <c r="G7" s="227">
        <v>25</v>
      </c>
      <c r="H7" s="227">
        <v>19</v>
      </c>
    </row>
    <row r="8" spans="1:8">
      <c r="A8" s="350" t="s">
        <v>309</v>
      </c>
      <c r="B8" s="354">
        <v>41</v>
      </c>
      <c r="C8" s="227">
        <v>62</v>
      </c>
      <c r="D8" s="227">
        <v>59</v>
      </c>
      <c r="E8" s="227">
        <v>42</v>
      </c>
      <c r="F8" s="227">
        <v>57</v>
      </c>
      <c r="G8" s="227">
        <v>50</v>
      </c>
      <c r="H8" s="227">
        <v>46</v>
      </c>
    </row>
    <row r="9" spans="1:8">
      <c r="A9" s="350" t="s">
        <v>310</v>
      </c>
      <c r="B9" s="354">
        <v>25</v>
      </c>
      <c r="C9" s="227">
        <v>27</v>
      </c>
      <c r="D9" s="227">
        <v>16</v>
      </c>
      <c r="E9" s="227">
        <v>21</v>
      </c>
      <c r="F9" s="227">
        <v>29</v>
      </c>
      <c r="G9" s="227">
        <v>30</v>
      </c>
      <c r="H9" s="227">
        <v>21</v>
      </c>
    </row>
    <row r="10" spans="1:8">
      <c r="A10" s="350" t="s">
        <v>311</v>
      </c>
      <c r="B10" s="354">
        <v>89</v>
      </c>
      <c r="C10" s="227">
        <v>64</v>
      </c>
      <c r="D10" s="227">
        <v>82</v>
      </c>
      <c r="E10" s="227">
        <v>61</v>
      </c>
      <c r="F10" s="227">
        <v>81</v>
      </c>
      <c r="G10" s="227">
        <v>79</v>
      </c>
      <c r="H10" s="227">
        <v>62</v>
      </c>
    </row>
    <row r="11" spans="1:8">
      <c r="A11" s="350" t="s">
        <v>312</v>
      </c>
      <c r="B11" s="354">
        <v>47</v>
      </c>
      <c r="C11" s="227">
        <v>45</v>
      </c>
      <c r="D11" s="227">
        <v>39</v>
      </c>
      <c r="E11" s="227">
        <v>62</v>
      </c>
      <c r="F11" s="227">
        <v>43</v>
      </c>
      <c r="G11" s="227">
        <v>52</v>
      </c>
      <c r="H11" s="227">
        <v>59</v>
      </c>
    </row>
    <row r="12" spans="1:8">
      <c r="A12" s="350" t="s">
        <v>313</v>
      </c>
      <c r="B12" s="354">
        <v>31</v>
      </c>
      <c r="C12" s="227">
        <v>37</v>
      </c>
      <c r="D12" s="227">
        <v>31</v>
      </c>
      <c r="E12" s="227">
        <v>34</v>
      </c>
      <c r="F12" s="227">
        <v>33</v>
      </c>
      <c r="G12" s="227">
        <v>43</v>
      </c>
      <c r="H12" s="227">
        <v>31</v>
      </c>
    </row>
    <row r="13" spans="1:8">
      <c r="A13" s="350" t="s">
        <v>314</v>
      </c>
      <c r="B13" s="354">
        <v>51</v>
      </c>
      <c r="C13" s="227">
        <v>63</v>
      </c>
      <c r="D13" s="227">
        <v>63</v>
      </c>
      <c r="E13" s="227">
        <v>51</v>
      </c>
      <c r="F13" s="227">
        <v>31</v>
      </c>
      <c r="G13" s="227">
        <v>59</v>
      </c>
      <c r="H13" s="227">
        <v>41</v>
      </c>
    </row>
    <row r="14" spans="1:8">
      <c r="A14" s="350" t="s">
        <v>315</v>
      </c>
      <c r="B14" s="354">
        <v>24</v>
      </c>
      <c r="C14" s="227">
        <v>36</v>
      </c>
      <c r="D14" s="227">
        <v>36</v>
      </c>
      <c r="E14" s="227">
        <v>32</v>
      </c>
      <c r="F14" s="227">
        <v>53</v>
      </c>
      <c r="G14" s="227">
        <v>43</v>
      </c>
      <c r="H14" s="227">
        <v>37</v>
      </c>
    </row>
    <row r="15" spans="1:8">
      <c r="A15" s="350" t="s">
        <v>316</v>
      </c>
      <c r="B15" s="354">
        <v>54</v>
      </c>
      <c r="C15" s="227">
        <v>58</v>
      </c>
      <c r="D15" s="227">
        <v>60</v>
      </c>
      <c r="E15" s="227">
        <v>70</v>
      </c>
      <c r="F15" s="227">
        <v>70</v>
      </c>
      <c r="G15" s="227">
        <v>58</v>
      </c>
      <c r="H15" s="227">
        <v>69</v>
      </c>
    </row>
    <row r="16" spans="1:8">
      <c r="A16" s="350" t="s">
        <v>317</v>
      </c>
      <c r="B16" s="354">
        <v>22</v>
      </c>
      <c r="C16" s="227">
        <v>21</v>
      </c>
      <c r="D16" s="227">
        <v>23</v>
      </c>
      <c r="E16" s="227">
        <v>30</v>
      </c>
      <c r="F16" s="227">
        <v>23</v>
      </c>
      <c r="G16" s="227">
        <v>28</v>
      </c>
      <c r="H16" s="227">
        <v>27</v>
      </c>
    </row>
    <row r="17" spans="1:8">
      <c r="A17" s="350" t="s">
        <v>318</v>
      </c>
      <c r="B17" s="354">
        <v>23</v>
      </c>
      <c r="C17" s="227">
        <v>24</v>
      </c>
      <c r="D17" s="227">
        <v>18</v>
      </c>
      <c r="E17" s="227">
        <v>26</v>
      </c>
      <c r="F17" s="227">
        <v>21</v>
      </c>
      <c r="G17" s="227">
        <v>18</v>
      </c>
      <c r="H17" s="227">
        <v>16</v>
      </c>
    </row>
    <row r="18" spans="1:8">
      <c r="A18" s="350" t="s">
        <v>319</v>
      </c>
      <c r="B18" s="354">
        <v>79</v>
      </c>
      <c r="C18" s="227">
        <v>67</v>
      </c>
      <c r="D18" s="227">
        <v>62</v>
      </c>
      <c r="E18" s="227">
        <v>83</v>
      </c>
      <c r="F18" s="227">
        <v>72</v>
      </c>
      <c r="G18" s="227">
        <v>54</v>
      </c>
      <c r="H18" s="227">
        <v>78</v>
      </c>
    </row>
    <row r="19" spans="1:8">
      <c r="A19" s="350" t="s">
        <v>320</v>
      </c>
      <c r="B19" s="354">
        <v>39</v>
      </c>
      <c r="C19" s="227">
        <v>39</v>
      </c>
      <c r="D19" s="227">
        <v>28</v>
      </c>
      <c r="E19" s="227">
        <v>33</v>
      </c>
      <c r="F19" s="227">
        <v>37</v>
      </c>
      <c r="G19" s="227">
        <v>49</v>
      </c>
      <c r="H19" s="227">
        <v>35</v>
      </c>
    </row>
    <row r="20" spans="1:8">
      <c r="A20" s="350" t="s">
        <v>321</v>
      </c>
      <c r="B20" s="354">
        <v>48</v>
      </c>
      <c r="C20" s="227">
        <v>54</v>
      </c>
      <c r="D20" s="227">
        <v>42</v>
      </c>
      <c r="E20" s="227">
        <v>43</v>
      </c>
      <c r="F20" s="227">
        <v>56</v>
      </c>
      <c r="G20" s="227">
        <v>52</v>
      </c>
      <c r="H20" s="227">
        <v>40</v>
      </c>
    </row>
    <row r="21" spans="1:8">
      <c r="A21" s="350" t="s">
        <v>322</v>
      </c>
      <c r="B21" s="354">
        <v>56</v>
      </c>
      <c r="C21" s="227">
        <v>82</v>
      </c>
      <c r="D21" s="227">
        <v>63</v>
      </c>
      <c r="E21" s="227">
        <v>68</v>
      </c>
      <c r="F21" s="227">
        <v>64</v>
      </c>
      <c r="G21" s="227">
        <v>79</v>
      </c>
      <c r="H21" s="227">
        <v>59</v>
      </c>
    </row>
    <row r="22" spans="1:8">
      <c r="A22" s="350" t="s">
        <v>323</v>
      </c>
      <c r="B22" s="354">
        <v>34</v>
      </c>
      <c r="C22" s="227">
        <v>29</v>
      </c>
      <c r="D22" s="227">
        <v>40</v>
      </c>
      <c r="E22" s="227">
        <v>39</v>
      </c>
      <c r="F22" s="227">
        <v>40</v>
      </c>
      <c r="G22" s="227">
        <v>42</v>
      </c>
      <c r="H22" s="227">
        <v>44</v>
      </c>
    </row>
    <row r="23" spans="1:8">
      <c r="A23" s="350" t="s">
        <v>324</v>
      </c>
      <c r="B23" s="354">
        <v>49</v>
      </c>
      <c r="C23" s="227">
        <v>55</v>
      </c>
      <c r="D23" s="227">
        <v>52</v>
      </c>
      <c r="E23" s="227">
        <v>57</v>
      </c>
      <c r="F23" s="227">
        <v>56</v>
      </c>
      <c r="G23" s="227">
        <v>77</v>
      </c>
      <c r="H23" s="227">
        <v>54</v>
      </c>
    </row>
    <row r="24" spans="1:8">
      <c r="A24" s="350" t="s">
        <v>325</v>
      </c>
      <c r="B24" s="354">
        <v>48</v>
      </c>
      <c r="C24" s="227">
        <v>53</v>
      </c>
      <c r="D24" s="227">
        <v>48</v>
      </c>
      <c r="E24" s="227">
        <v>61</v>
      </c>
      <c r="F24" s="227">
        <v>52</v>
      </c>
      <c r="G24" s="227">
        <v>67</v>
      </c>
      <c r="H24" s="227">
        <v>81</v>
      </c>
    </row>
    <row r="25" spans="1:8">
      <c r="A25" s="350" t="s">
        <v>326</v>
      </c>
      <c r="B25" s="354">
        <v>10</v>
      </c>
      <c r="C25" s="227">
        <v>7</v>
      </c>
      <c r="D25" s="227">
        <v>10</v>
      </c>
      <c r="E25" s="227">
        <v>3</v>
      </c>
      <c r="F25" s="227">
        <v>7</v>
      </c>
      <c r="G25" s="227">
        <v>4</v>
      </c>
      <c r="H25" s="227">
        <v>10</v>
      </c>
    </row>
    <row r="26" spans="1:8">
      <c r="A26" s="350" t="s">
        <v>327</v>
      </c>
      <c r="B26" s="354">
        <v>29</v>
      </c>
      <c r="C26" s="227">
        <v>28</v>
      </c>
      <c r="D26" s="227">
        <v>33</v>
      </c>
      <c r="E26" s="227">
        <v>35</v>
      </c>
      <c r="F26" s="227">
        <v>34</v>
      </c>
      <c r="G26" s="227">
        <v>41</v>
      </c>
      <c r="H26" s="227">
        <v>38</v>
      </c>
    </row>
    <row r="27" spans="1:8">
      <c r="A27" s="350" t="s">
        <v>328</v>
      </c>
      <c r="B27" s="354">
        <v>60</v>
      </c>
      <c r="C27" s="227">
        <v>68</v>
      </c>
      <c r="D27" s="227">
        <v>66</v>
      </c>
      <c r="E27" s="227">
        <v>79</v>
      </c>
      <c r="F27" s="227">
        <v>62</v>
      </c>
      <c r="G27" s="227">
        <v>74</v>
      </c>
      <c r="H27" s="227">
        <v>59</v>
      </c>
    </row>
    <row r="28" spans="1:8">
      <c r="A28" s="350" t="s">
        <v>329</v>
      </c>
      <c r="B28" s="354">
        <v>60</v>
      </c>
      <c r="C28" s="227">
        <v>57</v>
      </c>
      <c r="D28" s="227">
        <v>52</v>
      </c>
      <c r="E28" s="227">
        <v>53</v>
      </c>
      <c r="F28" s="227">
        <v>67</v>
      </c>
      <c r="G28" s="227">
        <v>57</v>
      </c>
      <c r="H28" s="227">
        <v>47</v>
      </c>
    </row>
    <row r="29" spans="1:8">
      <c r="A29" s="350" t="s">
        <v>330</v>
      </c>
      <c r="B29" s="354">
        <v>48</v>
      </c>
      <c r="C29" s="227">
        <v>39</v>
      </c>
      <c r="D29" s="227">
        <v>29</v>
      </c>
      <c r="E29" s="227">
        <v>37</v>
      </c>
      <c r="F29" s="227">
        <v>39</v>
      </c>
      <c r="G29" s="227">
        <v>49</v>
      </c>
      <c r="H29" s="227">
        <v>48</v>
      </c>
    </row>
    <row r="30" spans="1:8">
      <c r="A30" s="350" t="s">
        <v>331</v>
      </c>
      <c r="B30" s="354">
        <v>48</v>
      </c>
      <c r="C30" s="227">
        <v>59</v>
      </c>
      <c r="D30" s="227">
        <v>60</v>
      </c>
      <c r="E30" s="227">
        <v>65</v>
      </c>
      <c r="F30" s="227">
        <v>64</v>
      </c>
      <c r="G30" s="227">
        <v>41</v>
      </c>
      <c r="H30" s="227">
        <v>56</v>
      </c>
    </row>
    <row r="31" spans="1:8">
      <c r="A31" s="350" t="s">
        <v>332</v>
      </c>
      <c r="B31" s="354">
        <v>34</v>
      </c>
      <c r="C31" s="227">
        <v>32</v>
      </c>
      <c r="D31" s="227">
        <v>45</v>
      </c>
      <c r="E31" s="227">
        <v>28</v>
      </c>
      <c r="F31" s="227">
        <v>47</v>
      </c>
      <c r="G31" s="227">
        <v>41</v>
      </c>
      <c r="H31" s="227">
        <v>35</v>
      </c>
    </row>
    <row r="32" spans="1:8">
      <c r="A32" s="350" t="s">
        <v>333</v>
      </c>
      <c r="B32" s="354">
        <v>36</v>
      </c>
      <c r="C32" s="227">
        <v>40</v>
      </c>
      <c r="D32" s="227">
        <v>49</v>
      </c>
      <c r="E32" s="227">
        <v>48</v>
      </c>
      <c r="F32" s="227">
        <v>49</v>
      </c>
      <c r="G32" s="227">
        <v>54</v>
      </c>
      <c r="H32" s="227">
        <v>44</v>
      </c>
    </row>
    <row r="33" spans="1:8">
      <c r="A33" s="350" t="s">
        <v>334</v>
      </c>
      <c r="B33" s="354">
        <v>67</v>
      </c>
      <c r="C33" s="227">
        <v>64</v>
      </c>
      <c r="D33" s="227">
        <v>78</v>
      </c>
      <c r="E33" s="227">
        <v>75</v>
      </c>
      <c r="F33" s="227">
        <v>80</v>
      </c>
      <c r="G33" s="227">
        <v>73</v>
      </c>
      <c r="H33" s="227">
        <v>87</v>
      </c>
    </row>
    <row r="34" spans="1:8">
      <c r="A34" s="350" t="s">
        <v>335</v>
      </c>
      <c r="B34" s="354">
        <v>45</v>
      </c>
      <c r="C34" s="227">
        <v>47</v>
      </c>
      <c r="D34" s="227">
        <v>44</v>
      </c>
      <c r="E34" s="227">
        <v>42</v>
      </c>
      <c r="F34" s="227">
        <v>47</v>
      </c>
      <c r="G34" s="227">
        <v>49</v>
      </c>
      <c r="H34" s="227">
        <v>52</v>
      </c>
    </row>
    <row r="35" spans="1:8">
      <c r="A35" s="350" t="s">
        <v>336</v>
      </c>
      <c r="B35" s="354">
        <v>24</v>
      </c>
      <c r="C35" s="227">
        <v>36</v>
      </c>
      <c r="D35" s="227">
        <v>33</v>
      </c>
      <c r="E35" s="227">
        <v>29</v>
      </c>
      <c r="F35" s="227">
        <v>46</v>
      </c>
      <c r="G35" s="227">
        <v>43</v>
      </c>
      <c r="H35" s="227">
        <v>36</v>
      </c>
    </row>
    <row r="36" spans="1:8">
      <c r="A36" s="351" t="s">
        <v>337</v>
      </c>
      <c r="B36" s="355">
        <v>27</v>
      </c>
      <c r="C36" s="355">
        <v>26</v>
      </c>
      <c r="D36" s="355">
        <v>19</v>
      </c>
      <c r="E36" s="355">
        <v>25</v>
      </c>
      <c r="F36" s="355">
        <v>25</v>
      </c>
      <c r="G36" s="355">
        <v>21</v>
      </c>
      <c r="H36" s="355">
        <v>21</v>
      </c>
    </row>
    <row r="37" spans="1:8">
      <c r="A37" s="350" t="s">
        <v>338</v>
      </c>
      <c r="B37" s="354">
        <v>62</v>
      </c>
      <c r="C37" s="227">
        <v>76</v>
      </c>
      <c r="D37" s="227">
        <v>79</v>
      </c>
      <c r="E37" s="227">
        <v>69</v>
      </c>
      <c r="F37" s="227">
        <v>55</v>
      </c>
      <c r="G37" s="227">
        <v>52</v>
      </c>
      <c r="H37" s="227">
        <v>64</v>
      </c>
    </row>
    <row r="38" spans="1:8">
      <c r="A38" s="350" t="s">
        <v>339</v>
      </c>
      <c r="B38" s="354">
        <v>68</v>
      </c>
      <c r="C38" s="227">
        <v>69</v>
      </c>
      <c r="D38" s="227">
        <v>70</v>
      </c>
      <c r="E38" s="227">
        <v>56</v>
      </c>
      <c r="F38" s="227">
        <v>68</v>
      </c>
      <c r="G38" s="227">
        <v>83</v>
      </c>
      <c r="H38" s="227">
        <v>51</v>
      </c>
    </row>
    <row r="39" spans="1:8">
      <c r="A39" s="350" t="s">
        <v>340</v>
      </c>
      <c r="B39" s="354">
        <v>58</v>
      </c>
      <c r="C39" s="227">
        <v>64</v>
      </c>
      <c r="D39" s="227">
        <v>64</v>
      </c>
      <c r="E39" s="227">
        <v>62</v>
      </c>
      <c r="F39" s="227">
        <v>94</v>
      </c>
      <c r="G39" s="227">
        <v>80</v>
      </c>
      <c r="H39" s="227">
        <v>62</v>
      </c>
    </row>
    <row r="40" spans="1:8">
      <c r="A40" s="350" t="s">
        <v>341</v>
      </c>
      <c r="B40" s="354">
        <v>63</v>
      </c>
      <c r="C40" s="227">
        <v>71</v>
      </c>
      <c r="D40" s="227">
        <v>74</v>
      </c>
      <c r="E40" s="227">
        <v>68</v>
      </c>
      <c r="F40" s="227">
        <v>49</v>
      </c>
      <c r="G40" s="227">
        <v>67</v>
      </c>
      <c r="H40" s="227">
        <v>81</v>
      </c>
    </row>
    <row r="41" spans="1:8">
      <c r="A41" s="350" t="s">
        <v>342</v>
      </c>
      <c r="B41" s="354">
        <v>42</v>
      </c>
      <c r="C41" s="227">
        <v>40</v>
      </c>
      <c r="D41" s="227">
        <v>49</v>
      </c>
      <c r="E41" s="227">
        <v>43</v>
      </c>
      <c r="F41" s="227">
        <v>41</v>
      </c>
      <c r="G41" s="227">
        <v>39</v>
      </c>
      <c r="H41" s="227">
        <v>43</v>
      </c>
    </row>
    <row r="42" spans="1:8">
      <c r="A42" s="350" t="s">
        <v>343</v>
      </c>
      <c r="B42" s="354">
        <v>7</v>
      </c>
      <c r="C42" s="227">
        <v>4</v>
      </c>
      <c r="D42" s="227">
        <v>4</v>
      </c>
      <c r="E42" s="227">
        <v>11</v>
      </c>
      <c r="F42" s="227">
        <v>13</v>
      </c>
      <c r="G42" s="227">
        <v>11</v>
      </c>
      <c r="H42" s="227">
        <v>3</v>
      </c>
    </row>
    <row r="43" spans="1:8">
      <c r="A43" s="351" t="s">
        <v>344</v>
      </c>
      <c r="B43" s="355">
        <v>53</v>
      </c>
      <c r="C43" s="355">
        <v>53</v>
      </c>
      <c r="D43" s="355">
        <v>42</v>
      </c>
      <c r="E43" s="355">
        <v>43</v>
      </c>
      <c r="F43" s="355">
        <v>46</v>
      </c>
      <c r="G43" s="355">
        <v>55</v>
      </c>
      <c r="H43" s="355">
        <v>45</v>
      </c>
    </row>
    <row r="44" spans="1:8">
      <c r="A44" s="350" t="s">
        <v>345</v>
      </c>
      <c r="B44" s="354">
        <v>59</v>
      </c>
      <c r="C44" s="227">
        <v>70</v>
      </c>
      <c r="D44" s="227">
        <v>79</v>
      </c>
      <c r="E44" s="227">
        <v>84</v>
      </c>
      <c r="F44" s="227">
        <v>67</v>
      </c>
      <c r="G44" s="227">
        <v>83</v>
      </c>
      <c r="H44" s="227">
        <v>84</v>
      </c>
    </row>
    <row r="45" spans="1:8">
      <c r="A45" s="350" t="s">
        <v>346</v>
      </c>
      <c r="B45" s="354">
        <v>55</v>
      </c>
      <c r="C45" s="227">
        <v>51</v>
      </c>
      <c r="D45" s="227">
        <v>47</v>
      </c>
      <c r="E45" s="227">
        <v>61</v>
      </c>
      <c r="F45" s="227">
        <v>53</v>
      </c>
      <c r="G45" s="227">
        <v>50</v>
      </c>
      <c r="H45" s="227">
        <v>38</v>
      </c>
    </row>
    <row r="46" spans="1:8">
      <c r="A46" s="350" t="s">
        <v>347</v>
      </c>
      <c r="B46" s="354">
        <v>54</v>
      </c>
      <c r="C46" s="227">
        <v>59</v>
      </c>
      <c r="D46" s="227">
        <v>80</v>
      </c>
      <c r="E46" s="227">
        <v>63</v>
      </c>
      <c r="F46" s="227">
        <v>93</v>
      </c>
      <c r="G46" s="227">
        <v>95</v>
      </c>
      <c r="H46" s="227">
        <v>105</v>
      </c>
    </row>
    <row r="47" spans="1:8">
      <c r="A47" s="350" t="s">
        <v>348</v>
      </c>
      <c r="B47" s="354">
        <v>47</v>
      </c>
      <c r="C47" s="227">
        <v>45</v>
      </c>
      <c r="D47" s="227">
        <v>63</v>
      </c>
      <c r="E47" s="227">
        <v>59</v>
      </c>
      <c r="F47" s="227">
        <v>37</v>
      </c>
      <c r="G47" s="227">
        <v>40</v>
      </c>
      <c r="H47" s="227">
        <v>53</v>
      </c>
    </row>
    <row r="48" spans="1:8">
      <c r="A48" s="350" t="s">
        <v>349</v>
      </c>
      <c r="B48" s="354">
        <v>26</v>
      </c>
      <c r="C48" s="227">
        <v>34</v>
      </c>
      <c r="D48" s="227">
        <v>41</v>
      </c>
      <c r="E48" s="227">
        <v>29</v>
      </c>
      <c r="F48" s="227">
        <v>27</v>
      </c>
      <c r="G48" s="227">
        <v>30</v>
      </c>
      <c r="H48" s="227">
        <v>27</v>
      </c>
    </row>
    <row r="49" spans="1:8">
      <c r="A49" s="350" t="s">
        <v>350</v>
      </c>
      <c r="B49" s="354">
        <v>57</v>
      </c>
      <c r="C49" s="227">
        <v>57</v>
      </c>
      <c r="D49" s="227">
        <v>55</v>
      </c>
      <c r="E49" s="227">
        <v>81</v>
      </c>
      <c r="F49" s="227">
        <v>72</v>
      </c>
      <c r="G49" s="227">
        <v>61</v>
      </c>
      <c r="H49" s="227">
        <v>57</v>
      </c>
    </row>
    <row r="50" spans="1:8">
      <c r="A50" s="350" t="s">
        <v>351</v>
      </c>
      <c r="B50" s="354">
        <v>42</v>
      </c>
      <c r="C50" s="227">
        <v>26</v>
      </c>
      <c r="D50" s="227">
        <v>30</v>
      </c>
      <c r="E50" s="227">
        <v>30</v>
      </c>
      <c r="F50" s="227">
        <v>46</v>
      </c>
      <c r="G50" s="227">
        <v>31</v>
      </c>
      <c r="H50" s="227">
        <v>28</v>
      </c>
    </row>
    <row r="51" spans="1:8">
      <c r="A51" s="350" t="s">
        <v>352</v>
      </c>
      <c r="B51" s="354">
        <v>28</v>
      </c>
      <c r="C51" s="227">
        <v>33</v>
      </c>
      <c r="D51" s="227">
        <v>20</v>
      </c>
      <c r="E51" s="227">
        <v>26</v>
      </c>
      <c r="F51" s="227">
        <v>21</v>
      </c>
      <c r="G51" s="227">
        <v>22</v>
      </c>
      <c r="H51" s="227">
        <v>26</v>
      </c>
    </row>
    <row r="52" spans="1:8">
      <c r="A52" s="350" t="s">
        <v>353</v>
      </c>
      <c r="B52" s="354">
        <v>40</v>
      </c>
      <c r="C52" s="227">
        <v>38</v>
      </c>
      <c r="D52" s="227">
        <v>48</v>
      </c>
      <c r="E52" s="227">
        <v>33</v>
      </c>
      <c r="F52" s="227">
        <v>35</v>
      </c>
      <c r="G52" s="227">
        <v>37</v>
      </c>
      <c r="H52" s="227">
        <v>39</v>
      </c>
    </row>
    <row r="53" spans="1:8">
      <c r="A53" s="350" t="s">
        <v>354</v>
      </c>
      <c r="B53" s="354">
        <v>9</v>
      </c>
      <c r="C53" s="227">
        <v>14</v>
      </c>
      <c r="D53" s="227">
        <v>18</v>
      </c>
      <c r="E53" s="227">
        <v>6</v>
      </c>
      <c r="F53" s="227">
        <v>17</v>
      </c>
      <c r="G53" s="227">
        <v>11</v>
      </c>
      <c r="H53" s="227">
        <v>18</v>
      </c>
    </row>
    <row r="54" spans="1:8">
      <c r="A54" s="350" t="s">
        <v>355</v>
      </c>
      <c r="B54" s="354">
        <v>10</v>
      </c>
      <c r="C54" s="227">
        <v>1</v>
      </c>
      <c r="D54" s="227">
        <v>13</v>
      </c>
      <c r="E54" s="227">
        <v>10</v>
      </c>
      <c r="F54" s="227">
        <v>7</v>
      </c>
      <c r="G54" s="227">
        <v>15</v>
      </c>
      <c r="H54" s="227">
        <v>11</v>
      </c>
    </row>
    <row r="55" spans="1:8">
      <c r="A55" s="350" t="s">
        <v>356</v>
      </c>
      <c r="B55" s="354">
        <v>36</v>
      </c>
      <c r="C55" s="227">
        <v>35</v>
      </c>
      <c r="D55" s="227">
        <v>40</v>
      </c>
      <c r="E55" s="227">
        <v>30</v>
      </c>
      <c r="F55" s="227">
        <v>42</v>
      </c>
      <c r="G55" s="227">
        <v>33</v>
      </c>
      <c r="H55" s="227">
        <v>38</v>
      </c>
    </row>
    <row r="56" spans="1:8">
      <c r="A56" s="350" t="s">
        <v>357</v>
      </c>
      <c r="B56" s="354">
        <v>52</v>
      </c>
      <c r="C56" s="227">
        <v>45</v>
      </c>
      <c r="D56" s="227">
        <v>50</v>
      </c>
      <c r="E56" s="227">
        <v>55</v>
      </c>
      <c r="F56" s="227">
        <v>53</v>
      </c>
      <c r="G56" s="227">
        <v>50</v>
      </c>
      <c r="H56" s="227">
        <v>48</v>
      </c>
    </row>
    <row r="57" spans="1:8">
      <c r="A57" s="350" t="s">
        <v>358</v>
      </c>
      <c r="B57" s="354">
        <v>51</v>
      </c>
      <c r="C57" s="227">
        <v>34</v>
      </c>
      <c r="D57" s="227">
        <v>45</v>
      </c>
      <c r="E57" s="227">
        <v>54</v>
      </c>
      <c r="F57" s="227">
        <v>40</v>
      </c>
      <c r="G57" s="227">
        <v>43</v>
      </c>
      <c r="H57" s="227">
        <v>35</v>
      </c>
    </row>
    <row r="58" spans="1:8">
      <c r="A58" s="350" t="s">
        <v>359</v>
      </c>
      <c r="B58" s="354">
        <v>63</v>
      </c>
      <c r="C58" s="227">
        <v>58</v>
      </c>
      <c r="D58" s="227">
        <v>64</v>
      </c>
      <c r="E58" s="227">
        <v>66</v>
      </c>
      <c r="F58" s="227">
        <v>58</v>
      </c>
      <c r="G58" s="227">
        <v>63</v>
      </c>
      <c r="H58" s="227">
        <v>59</v>
      </c>
    </row>
    <row r="59" spans="1:8">
      <c r="A59" s="350" t="s">
        <v>360</v>
      </c>
      <c r="B59" s="354">
        <v>27</v>
      </c>
      <c r="C59" s="227">
        <v>24</v>
      </c>
      <c r="D59" s="227">
        <v>16</v>
      </c>
      <c r="E59" s="227">
        <v>20</v>
      </c>
      <c r="F59" s="227">
        <v>30</v>
      </c>
      <c r="G59" s="227">
        <v>23</v>
      </c>
      <c r="H59" s="227">
        <v>34</v>
      </c>
    </row>
    <row r="60" spans="1:8">
      <c r="A60" s="350" t="s">
        <v>361</v>
      </c>
      <c r="B60" s="354">
        <v>35</v>
      </c>
      <c r="C60" s="227">
        <v>37</v>
      </c>
      <c r="D60" s="227">
        <v>39</v>
      </c>
      <c r="E60" s="227">
        <v>39</v>
      </c>
      <c r="F60" s="227">
        <v>26</v>
      </c>
      <c r="G60" s="227">
        <v>34</v>
      </c>
      <c r="H60" s="227">
        <v>29</v>
      </c>
    </row>
    <row r="61" spans="1:8">
      <c r="A61" s="350" t="s">
        <v>362</v>
      </c>
      <c r="B61" s="360">
        <v>26</v>
      </c>
      <c r="C61" s="360">
        <v>22</v>
      </c>
      <c r="D61" s="360">
        <v>18</v>
      </c>
      <c r="E61" s="360">
        <v>15</v>
      </c>
      <c r="F61" s="360">
        <v>23</v>
      </c>
      <c r="G61" s="360">
        <v>17</v>
      </c>
      <c r="H61" s="360">
        <v>13</v>
      </c>
    </row>
    <row r="62" spans="1:8">
      <c r="A62" s="350" t="s">
        <v>363</v>
      </c>
      <c r="B62" s="354">
        <v>55</v>
      </c>
      <c r="C62" s="227">
        <v>59</v>
      </c>
      <c r="D62" s="227">
        <v>55</v>
      </c>
      <c r="E62" s="227">
        <v>54</v>
      </c>
      <c r="F62" s="227">
        <v>59</v>
      </c>
      <c r="G62" s="227">
        <v>64</v>
      </c>
      <c r="H62" s="227">
        <v>67</v>
      </c>
    </row>
    <row r="63" spans="1:8">
      <c r="A63" s="350" t="s">
        <v>364</v>
      </c>
      <c r="B63" s="354">
        <v>21</v>
      </c>
      <c r="C63" s="227">
        <v>22</v>
      </c>
      <c r="D63" s="227">
        <v>40</v>
      </c>
      <c r="E63" s="227">
        <v>25</v>
      </c>
      <c r="F63" s="227">
        <v>37</v>
      </c>
      <c r="G63" s="227">
        <v>34</v>
      </c>
      <c r="H63" s="227">
        <v>36</v>
      </c>
    </row>
    <row r="64" spans="1:8">
      <c r="A64" s="350" t="s">
        <v>365</v>
      </c>
      <c r="B64" s="354">
        <v>35</v>
      </c>
      <c r="C64" s="227">
        <v>28</v>
      </c>
      <c r="D64" s="227">
        <v>34</v>
      </c>
      <c r="E64" s="227">
        <v>36</v>
      </c>
      <c r="F64" s="227">
        <v>31</v>
      </c>
      <c r="G64" s="227">
        <v>26</v>
      </c>
      <c r="H64" s="227">
        <v>33</v>
      </c>
    </row>
    <row r="65" spans="1:8">
      <c r="A65" s="350" t="s">
        <v>366</v>
      </c>
      <c r="B65" s="354">
        <v>16</v>
      </c>
      <c r="C65" s="227">
        <v>16</v>
      </c>
      <c r="D65" s="227">
        <v>15</v>
      </c>
      <c r="E65" s="227">
        <v>20</v>
      </c>
      <c r="F65" s="227">
        <v>15</v>
      </c>
      <c r="G65" s="227">
        <v>21</v>
      </c>
      <c r="H65" s="227">
        <v>20</v>
      </c>
    </row>
    <row r="66" spans="1:8">
      <c r="A66" s="350" t="s">
        <v>367</v>
      </c>
      <c r="B66" s="354">
        <v>83</v>
      </c>
      <c r="C66" s="227">
        <v>80</v>
      </c>
      <c r="D66" s="227">
        <v>73</v>
      </c>
      <c r="E66" s="227">
        <v>73</v>
      </c>
      <c r="F66" s="227">
        <v>72</v>
      </c>
      <c r="G66" s="227">
        <v>93</v>
      </c>
      <c r="H66" s="227">
        <v>77</v>
      </c>
    </row>
    <row r="67" spans="1:8">
      <c r="A67" s="350" t="s">
        <v>368</v>
      </c>
      <c r="B67" s="354">
        <v>39</v>
      </c>
      <c r="C67" s="227">
        <v>29</v>
      </c>
      <c r="D67" s="227">
        <v>41</v>
      </c>
      <c r="E67" s="227">
        <v>41</v>
      </c>
      <c r="F67" s="227">
        <v>32</v>
      </c>
      <c r="G67" s="227">
        <v>42</v>
      </c>
      <c r="H67" s="227">
        <v>42</v>
      </c>
    </row>
    <row r="68" spans="1:8">
      <c r="A68" s="350" t="s">
        <v>369</v>
      </c>
      <c r="B68" s="354">
        <v>73</v>
      </c>
      <c r="C68" s="227">
        <v>86</v>
      </c>
      <c r="D68" s="227">
        <v>95</v>
      </c>
      <c r="E68" s="227">
        <v>91</v>
      </c>
      <c r="F68" s="227">
        <v>85</v>
      </c>
      <c r="G68" s="227">
        <v>85</v>
      </c>
      <c r="H68" s="227">
        <v>102</v>
      </c>
    </row>
    <row r="69" spans="1:8">
      <c r="A69" s="351" t="s">
        <v>370</v>
      </c>
      <c r="B69" s="355">
        <v>29</v>
      </c>
      <c r="C69" s="355">
        <v>32</v>
      </c>
      <c r="D69" s="355">
        <v>26</v>
      </c>
      <c r="E69" s="355">
        <v>29</v>
      </c>
      <c r="F69" s="355">
        <v>24</v>
      </c>
      <c r="G69" s="355">
        <v>26</v>
      </c>
      <c r="H69" s="355">
        <v>25</v>
      </c>
    </row>
    <row r="70" spans="1:8">
      <c r="A70" s="351" t="s">
        <v>371</v>
      </c>
      <c r="B70" s="355">
        <v>20</v>
      </c>
      <c r="C70" s="355">
        <v>25</v>
      </c>
      <c r="D70" s="355">
        <v>25</v>
      </c>
      <c r="E70" s="355">
        <v>23</v>
      </c>
      <c r="F70" s="355">
        <v>28</v>
      </c>
      <c r="G70" s="355">
        <v>24</v>
      </c>
      <c r="H70" s="355">
        <v>28</v>
      </c>
    </row>
    <row r="71" spans="1:8">
      <c r="A71" s="351" t="s">
        <v>372</v>
      </c>
      <c r="B71" s="355">
        <v>31</v>
      </c>
      <c r="C71" s="355">
        <v>48</v>
      </c>
      <c r="D71" s="355">
        <v>29</v>
      </c>
      <c r="E71" s="355">
        <v>50</v>
      </c>
      <c r="F71" s="355">
        <v>47</v>
      </c>
      <c r="G71" s="355">
        <v>55</v>
      </c>
      <c r="H71" s="355">
        <v>44</v>
      </c>
    </row>
    <row r="72" spans="1:8">
      <c r="A72" s="351" t="s">
        <v>373</v>
      </c>
      <c r="B72" s="355">
        <v>35</v>
      </c>
      <c r="C72" s="355">
        <v>44</v>
      </c>
      <c r="D72" s="355">
        <v>33</v>
      </c>
      <c r="E72" s="355">
        <v>22</v>
      </c>
      <c r="F72" s="355">
        <v>27</v>
      </c>
      <c r="G72" s="355">
        <v>43</v>
      </c>
      <c r="H72" s="355">
        <v>46</v>
      </c>
    </row>
    <row r="73" spans="1:8">
      <c r="A73" s="351" t="s">
        <v>374</v>
      </c>
      <c r="B73" s="355">
        <v>52</v>
      </c>
      <c r="C73" s="355">
        <v>39</v>
      </c>
      <c r="D73" s="355">
        <v>36</v>
      </c>
      <c r="E73" s="355">
        <v>26</v>
      </c>
      <c r="F73" s="355">
        <v>24</v>
      </c>
      <c r="G73" s="355">
        <v>29</v>
      </c>
      <c r="H73" s="355">
        <v>43</v>
      </c>
    </row>
    <row r="74" spans="1:8">
      <c r="A74" s="351" t="s">
        <v>375</v>
      </c>
      <c r="B74" s="355">
        <v>49</v>
      </c>
      <c r="C74" s="355">
        <v>47</v>
      </c>
      <c r="D74" s="355">
        <v>45</v>
      </c>
      <c r="E74" s="355">
        <v>51</v>
      </c>
      <c r="F74" s="355">
        <v>49</v>
      </c>
      <c r="G74" s="355">
        <v>51</v>
      </c>
      <c r="H74" s="355">
        <v>41</v>
      </c>
    </row>
    <row r="75" spans="1:8">
      <c r="A75" s="351" t="s">
        <v>376</v>
      </c>
      <c r="B75" s="355">
        <v>44</v>
      </c>
      <c r="C75" s="355">
        <v>44</v>
      </c>
      <c r="D75" s="355">
        <v>35</v>
      </c>
      <c r="E75" s="355">
        <v>46</v>
      </c>
      <c r="F75" s="355">
        <v>44</v>
      </c>
      <c r="G75" s="355">
        <v>54</v>
      </c>
      <c r="H75" s="355">
        <v>47</v>
      </c>
    </row>
    <row r="76" spans="1:8">
      <c r="A76" s="351" t="s">
        <v>377</v>
      </c>
      <c r="B76" s="355">
        <v>14</v>
      </c>
      <c r="C76" s="355">
        <v>19</v>
      </c>
      <c r="D76" s="355">
        <v>12</v>
      </c>
      <c r="E76" s="355">
        <v>10</v>
      </c>
      <c r="F76" s="355">
        <v>15</v>
      </c>
      <c r="G76" s="355">
        <v>16</v>
      </c>
      <c r="H76" s="355">
        <v>17</v>
      </c>
    </row>
    <row r="77" spans="1:8">
      <c r="A77" s="351" t="s">
        <v>378</v>
      </c>
      <c r="B77" s="355">
        <v>23</v>
      </c>
      <c r="C77" s="355">
        <v>22</v>
      </c>
      <c r="D77" s="355">
        <v>19</v>
      </c>
      <c r="E77" s="355">
        <v>28</v>
      </c>
      <c r="F77" s="355">
        <v>21</v>
      </c>
      <c r="G77" s="355">
        <v>20</v>
      </c>
      <c r="H77" s="355">
        <v>18</v>
      </c>
    </row>
    <row r="78" spans="1:8">
      <c r="A78" s="351" t="s">
        <v>379</v>
      </c>
      <c r="B78" s="355">
        <v>51</v>
      </c>
      <c r="C78" s="355">
        <v>46</v>
      </c>
      <c r="D78" s="355">
        <v>45</v>
      </c>
      <c r="E78" s="355">
        <v>52</v>
      </c>
      <c r="F78" s="355">
        <v>45</v>
      </c>
      <c r="G78" s="355">
        <v>52</v>
      </c>
      <c r="H78" s="355">
        <v>38</v>
      </c>
    </row>
    <row r="79" spans="1:8">
      <c r="A79" s="351" t="s">
        <v>380</v>
      </c>
      <c r="B79" s="355">
        <v>43</v>
      </c>
      <c r="C79" s="355">
        <v>54</v>
      </c>
      <c r="D79" s="355">
        <v>48</v>
      </c>
      <c r="E79" s="355">
        <v>49</v>
      </c>
      <c r="F79" s="355">
        <v>48</v>
      </c>
      <c r="G79" s="355">
        <v>47</v>
      </c>
      <c r="H79" s="355">
        <v>42</v>
      </c>
    </row>
    <row r="80" spans="1:8">
      <c r="A80" s="351" t="s">
        <v>381</v>
      </c>
      <c r="B80" s="355">
        <v>35</v>
      </c>
      <c r="C80" s="355">
        <v>24</v>
      </c>
      <c r="D80" s="355">
        <v>42</v>
      </c>
      <c r="E80" s="355">
        <v>50</v>
      </c>
      <c r="F80" s="355">
        <v>49</v>
      </c>
      <c r="G80" s="355">
        <v>26</v>
      </c>
      <c r="H80" s="355">
        <v>40</v>
      </c>
    </row>
    <row r="81" spans="1:8">
      <c r="A81" s="351" t="s">
        <v>382</v>
      </c>
      <c r="B81" s="355">
        <v>58</v>
      </c>
      <c r="C81" s="355">
        <v>59</v>
      </c>
      <c r="D81" s="355">
        <v>61</v>
      </c>
      <c r="E81" s="355">
        <v>59</v>
      </c>
      <c r="F81" s="355">
        <v>48</v>
      </c>
      <c r="G81" s="355">
        <v>56</v>
      </c>
      <c r="H81" s="355">
        <v>40</v>
      </c>
    </row>
    <row r="82" spans="1:8">
      <c r="A82" s="350" t="s">
        <v>383</v>
      </c>
      <c r="B82" s="354">
        <v>37</v>
      </c>
      <c r="C82" s="227">
        <v>41</v>
      </c>
      <c r="D82" s="227">
        <v>41</v>
      </c>
      <c r="E82" s="227">
        <v>32</v>
      </c>
      <c r="F82" s="227">
        <v>33</v>
      </c>
      <c r="G82" s="227">
        <v>42</v>
      </c>
      <c r="H82" s="227">
        <v>45</v>
      </c>
    </row>
    <row r="83" spans="1:8">
      <c r="A83" s="350" t="s">
        <v>384</v>
      </c>
      <c r="B83" s="354">
        <v>32</v>
      </c>
      <c r="C83" s="227">
        <v>41</v>
      </c>
      <c r="D83" s="227">
        <v>33</v>
      </c>
      <c r="E83" s="227">
        <v>40</v>
      </c>
      <c r="F83" s="227">
        <v>31</v>
      </c>
      <c r="G83" s="227">
        <v>41</v>
      </c>
      <c r="H83" s="227">
        <v>32</v>
      </c>
    </row>
    <row r="84" spans="1:8">
      <c r="A84" s="350" t="s">
        <v>385</v>
      </c>
      <c r="B84" s="354">
        <v>25</v>
      </c>
      <c r="C84" s="227">
        <v>28</v>
      </c>
      <c r="D84" s="227">
        <v>23</v>
      </c>
      <c r="E84" s="227">
        <v>33</v>
      </c>
      <c r="F84" s="227">
        <v>23</v>
      </c>
      <c r="G84" s="227">
        <v>36</v>
      </c>
      <c r="H84" s="227">
        <v>28</v>
      </c>
    </row>
    <row r="85" spans="1:8">
      <c r="A85" s="350" t="s">
        <v>386</v>
      </c>
      <c r="B85" s="354">
        <v>20</v>
      </c>
      <c r="C85" s="227">
        <v>18</v>
      </c>
      <c r="D85" s="227">
        <v>21</v>
      </c>
      <c r="E85" s="227">
        <v>18</v>
      </c>
      <c r="F85" s="227">
        <v>21</v>
      </c>
      <c r="G85" s="227">
        <v>22</v>
      </c>
      <c r="H85" s="227">
        <v>25</v>
      </c>
    </row>
    <row r="86" spans="1:8">
      <c r="A86" s="350" t="s">
        <v>387</v>
      </c>
      <c r="B86" s="354">
        <v>88</v>
      </c>
      <c r="C86" s="227">
        <v>87</v>
      </c>
      <c r="D86" s="227">
        <v>100</v>
      </c>
      <c r="E86" s="227">
        <v>94</v>
      </c>
      <c r="F86" s="227">
        <v>69</v>
      </c>
      <c r="G86" s="227">
        <v>63</v>
      </c>
      <c r="H86" s="227">
        <v>90</v>
      </c>
    </row>
    <row r="87" spans="1:8">
      <c r="A87" s="350" t="s">
        <v>388</v>
      </c>
      <c r="B87" s="354">
        <v>70</v>
      </c>
      <c r="C87" s="227">
        <v>73</v>
      </c>
      <c r="D87" s="227">
        <v>64</v>
      </c>
      <c r="E87" s="227">
        <v>64</v>
      </c>
      <c r="F87" s="227">
        <v>80</v>
      </c>
      <c r="G87" s="227">
        <v>78</v>
      </c>
      <c r="H87" s="227">
        <v>87</v>
      </c>
    </row>
    <row r="88" spans="1:8">
      <c r="A88" s="350" t="s">
        <v>389</v>
      </c>
      <c r="B88" s="354">
        <v>28</v>
      </c>
      <c r="C88" s="227">
        <v>26</v>
      </c>
      <c r="D88" s="227">
        <v>38</v>
      </c>
      <c r="E88" s="227">
        <v>24</v>
      </c>
      <c r="F88" s="227">
        <v>33</v>
      </c>
      <c r="G88" s="227">
        <v>35</v>
      </c>
      <c r="H88" s="227">
        <v>29</v>
      </c>
    </row>
    <row r="89" spans="1:8">
      <c r="A89" s="350" t="s">
        <v>390</v>
      </c>
      <c r="B89" s="354">
        <v>68</v>
      </c>
      <c r="C89" s="227">
        <v>63</v>
      </c>
      <c r="D89" s="227">
        <v>65</v>
      </c>
      <c r="E89" s="227">
        <v>79</v>
      </c>
      <c r="F89" s="227">
        <v>83</v>
      </c>
      <c r="G89" s="227">
        <v>65</v>
      </c>
      <c r="H89" s="227">
        <v>57</v>
      </c>
    </row>
  </sheetData>
  <pageMargins left="0.7" right="0.7" top="0.75" bottom="0.75" header="0.3" footer="0.3"/>
  <pageSetup paperSize="9" orientation="landscape"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0"/>
  <dimension ref="A1:Q11"/>
  <sheetViews>
    <sheetView workbookViewId="0">
      <selection activeCell="J32" sqref="J32"/>
    </sheetView>
  </sheetViews>
  <sheetFormatPr defaultRowHeight="12.75"/>
  <sheetData>
    <row r="1" spans="1:17">
      <c r="A1" s="267" t="s">
        <v>265</v>
      </c>
    </row>
    <row r="2" spans="1:17">
      <c r="A2" s="1"/>
    </row>
    <row r="3" spans="1:17">
      <c r="B3" s="265">
        <v>2016</v>
      </c>
      <c r="C3" s="265">
        <v>2017</v>
      </c>
      <c r="D3" s="265">
        <v>2018</v>
      </c>
      <c r="E3" s="265">
        <v>2019</v>
      </c>
      <c r="F3" s="265">
        <v>2020</v>
      </c>
      <c r="G3" s="265">
        <v>2021</v>
      </c>
      <c r="H3" s="265">
        <v>2022</v>
      </c>
      <c r="I3" s="265">
        <v>2023</v>
      </c>
      <c r="J3" s="265">
        <v>2024</v>
      </c>
      <c r="K3" s="265">
        <v>2025</v>
      </c>
      <c r="L3" s="265">
        <v>2026</v>
      </c>
      <c r="M3" s="265">
        <v>2027</v>
      </c>
      <c r="N3" s="265">
        <v>2028</v>
      </c>
      <c r="O3" s="265">
        <v>2029</v>
      </c>
      <c r="P3" s="265">
        <v>2030</v>
      </c>
      <c r="Q3" s="265"/>
    </row>
    <row r="4" spans="1:17">
      <c r="A4" s="1" t="s">
        <v>266</v>
      </c>
      <c r="B4" s="1">
        <v>5825</v>
      </c>
      <c r="C4" s="1">
        <v>5347</v>
      </c>
      <c r="D4">
        <v>5168</v>
      </c>
      <c r="E4">
        <v>5288</v>
      </c>
      <c r="F4">
        <v>5409</v>
      </c>
      <c r="G4">
        <v>5517</v>
      </c>
      <c r="H4">
        <v>5626</v>
      </c>
      <c r="I4">
        <v>5713</v>
      </c>
      <c r="J4">
        <v>5787</v>
      </c>
      <c r="K4" s="266">
        <v>5835</v>
      </c>
      <c r="L4" s="266">
        <v>5867</v>
      </c>
      <c r="M4" s="293">
        <v>5878</v>
      </c>
      <c r="N4" s="293">
        <v>5873</v>
      </c>
      <c r="O4" s="293">
        <v>5860</v>
      </c>
      <c r="P4" s="293">
        <v>5843</v>
      </c>
    </row>
    <row r="6" spans="1:17">
      <c r="C6" s="250">
        <f t="shared" ref="C6:D6" si="0">((C4-B4)/B4)</f>
        <v>-8.2060085836909866E-2</v>
      </c>
      <c r="D6" s="250">
        <f t="shared" si="0"/>
        <v>-3.3476715915466616E-2</v>
      </c>
      <c r="E6" s="250">
        <f>((E4-D4)/D4)</f>
        <v>2.3219814241486069E-2</v>
      </c>
      <c r="F6" s="250">
        <f t="shared" ref="F6:L6" si="1">((F4-E4)/E4)</f>
        <v>2.2881996974281393E-2</v>
      </c>
      <c r="G6" s="250">
        <f t="shared" si="1"/>
        <v>1.9966722129783693E-2</v>
      </c>
      <c r="H6" s="250">
        <f t="shared" si="1"/>
        <v>1.975711437375385E-2</v>
      </c>
      <c r="I6" s="250">
        <f t="shared" si="1"/>
        <v>1.5463917525773196E-2</v>
      </c>
      <c r="J6" s="250">
        <f t="shared" si="1"/>
        <v>1.2952914405741292E-2</v>
      </c>
      <c r="K6" s="250">
        <f t="shared" si="1"/>
        <v>8.2944530844997408E-3</v>
      </c>
      <c r="L6" s="250">
        <f t="shared" si="1"/>
        <v>5.4841473864610107E-3</v>
      </c>
      <c r="M6" s="250">
        <f t="shared" ref="M6" si="2">((M4-L4)/L4)</f>
        <v>1.8748934719618204E-3</v>
      </c>
      <c r="N6" s="250">
        <f t="shared" ref="N6" si="3">((N4-M4)/M4)</f>
        <v>-8.5062946580469548E-4</v>
      </c>
      <c r="O6" s="250">
        <f t="shared" ref="O6" si="4">((O4-N4)/N4)</f>
        <v>-2.2135194959986377E-3</v>
      </c>
      <c r="P6" s="250">
        <f t="shared" ref="P6" si="5">((P4-O4)/O4)</f>
        <v>-2.9010238907849831E-3</v>
      </c>
    </row>
    <row r="9" spans="1:17">
      <c r="A9" s="229" t="s">
        <v>187</v>
      </c>
    </row>
    <row r="10" spans="1:17" ht="15">
      <c r="A10" s="407" t="s">
        <v>122</v>
      </c>
      <c r="B10" s="408"/>
      <c r="C10" s="109">
        <v>2016</v>
      </c>
      <c r="D10" s="268">
        <v>2017</v>
      </c>
      <c r="E10" s="268">
        <v>2018</v>
      </c>
      <c r="F10" s="268">
        <v>2019</v>
      </c>
      <c r="G10" s="268">
        <v>2020</v>
      </c>
      <c r="H10" s="268">
        <v>2021</v>
      </c>
      <c r="I10" s="268">
        <v>2022</v>
      </c>
      <c r="J10" s="268">
        <v>2023</v>
      </c>
      <c r="K10" s="268">
        <v>2024</v>
      </c>
      <c r="L10" s="268">
        <v>2025</v>
      </c>
      <c r="M10" s="268">
        <v>2026</v>
      </c>
      <c r="N10" s="268">
        <v>2027</v>
      </c>
      <c r="O10" s="268">
        <v>2028</v>
      </c>
      <c r="P10" s="268">
        <v>2029</v>
      </c>
      <c r="Q10" s="268">
        <v>2030</v>
      </c>
    </row>
    <row r="11" spans="1:17" ht="15">
      <c r="A11" s="409" t="s">
        <v>264</v>
      </c>
      <c r="B11" s="408"/>
      <c r="C11" s="108">
        <v>58</v>
      </c>
      <c r="D11" s="133">
        <f>C11+(C11*C6)</f>
        <v>53.240515021459231</v>
      </c>
      <c r="E11" s="133">
        <f t="shared" ref="E11:M11" si="6">D11+(D11*D6)</f>
        <v>51.45819742489271</v>
      </c>
      <c r="F11" s="133">
        <f t="shared" si="6"/>
        <v>52.653047210300436</v>
      </c>
      <c r="G11" s="133">
        <f t="shared" si="6"/>
        <v>53.857854077253222</v>
      </c>
      <c r="H11" s="133">
        <f t="shared" si="6"/>
        <v>54.933218884120173</v>
      </c>
      <c r="I11" s="133">
        <f t="shared" si="6"/>
        <v>56.018540772532191</v>
      </c>
      <c r="J11" s="133">
        <f t="shared" si="6"/>
        <v>56.884806866952793</v>
      </c>
      <c r="K11" s="133">
        <f t="shared" si="6"/>
        <v>57.62163090128756</v>
      </c>
      <c r="L11" s="133">
        <f t="shared" si="6"/>
        <v>58.099570815450647</v>
      </c>
      <c r="M11" s="133">
        <f t="shared" si="6"/>
        <v>58.418197424892711</v>
      </c>
      <c r="N11" s="133">
        <f t="shared" ref="N11" si="7">M11+(M11*M6)</f>
        <v>58.527725321888418</v>
      </c>
      <c r="O11" s="133">
        <f t="shared" ref="O11" si="8">N11+(N11*N6)</f>
        <v>58.477939914163095</v>
      </c>
      <c r="P11" s="133">
        <f t="shared" ref="P11" si="9">O11+(O11*O6)</f>
        <v>58.348497854077259</v>
      </c>
      <c r="Q11" s="133">
        <f t="shared" ref="Q11" si="10">P11+(P11*P6)</f>
        <v>58.179227467811167</v>
      </c>
    </row>
  </sheetData>
  <mergeCells count="2">
    <mergeCell ref="A10:B10"/>
    <mergeCell ref="A11:B11"/>
  </mergeCells>
  <hyperlinks>
    <hyperlink ref="A1" r:id="rId1"/>
  </hyperlinks>
  <pageMargins left="0.7" right="0.7" top="0.75" bottom="0.75" header="0.3" footer="0.3"/>
  <pageSetup paperSize="9" orientation="portrait" r:id="rId2"/>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1"/>
  <dimension ref="A1:B89"/>
  <sheetViews>
    <sheetView topLeftCell="A48" workbookViewId="0">
      <selection activeCell="H25" sqref="H25"/>
    </sheetView>
  </sheetViews>
  <sheetFormatPr defaultRowHeight="12.75"/>
  <cols>
    <col min="1" max="1" width="32" bestFit="1" customWidth="1"/>
  </cols>
  <sheetData>
    <row r="1" spans="1:2">
      <c r="A1" s="185" t="s">
        <v>0</v>
      </c>
      <c r="B1" s="186">
        <v>2009</v>
      </c>
    </row>
    <row r="2" spans="1:2">
      <c r="A2" s="178" t="s">
        <v>9</v>
      </c>
      <c r="B2" s="190">
        <v>15</v>
      </c>
    </row>
    <row r="3" spans="1:2">
      <c r="A3" s="178" t="s">
        <v>10</v>
      </c>
      <c r="B3" s="190">
        <v>48</v>
      </c>
    </row>
    <row r="4" spans="1:2">
      <c r="A4" s="178" t="s">
        <v>11</v>
      </c>
      <c r="B4" s="190">
        <v>72</v>
      </c>
    </row>
    <row r="5" spans="1:2">
      <c r="A5" s="178" t="s">
        <v>12</v>
      </c>
      <c r="B5" s="190">
        <v>62</v>
      </c>
    </row>
    <row r="6" spans="1:2">
      <c r="A6" s="178" t="s">
        <v>13</v>
      </c>
      <c r="B6" s="190">
        <v>24</v>
      </c>
    </row>
    <row r="7" spans="1:2">
      <c r="A7" s="178" t="s">
        <v>14</v>
      </c>
      <c r="B7" s="190">
        <v>57</v>
      </c>
    </row>
    <row r="8" spans="1:2">
      <c r="A8" s="178" t="s">
        <v>15</v>
      </c>
      <c r="B8" s="190">
        <v>29</v>
      </c>
    </row>
    <row r="9" spans="1:2">
      <c r="A9" s="178" t="s">
        <v>16</v>
      </c>
      <c r="B9" s="190">
        <v>81</v>
      </c>
    </row>
    <row r="10" spans="1:2">
      <c r="A10" s="178" t="s">
        <v>17</v>
      </c>
      <c r="B10" s="190">
        <v>43</v>
      </c>
    </row>
    <row r="11" spans="1:2">
      <c r="A11" s="178" t="s">
        <v>74</v>
      </c>
      <c r="B11" s="190">
        <v>33</v>
      </c>
    </row>
    <row r="12" spans="1:2">
      <c r="A12" s="178" t="s">
        <v>18</v>
      </c>
      <c r="B12" s="190">
        <v>31</v>
      </c>
    </row>
    <row r="13" spans="1:2">
      <c r="A13" s="178" t="s">
        <v>75</v>
      </c>
      <c r="B13" s="190">
        <v>53</v>
      </c>
    </row>
    <row r="14" spans="1:2">
      <c r="A14" s="178" t="s">
        <v>19</v>
      </c>
      <c r="B14" s="190">
        <v>70</v>
      </c>
    </row>
    <row r="15" spans="1:2">
      <c r="A15" s="178" t="s">
        <v>20</v>
      </c>
      <c r="B15" s="190">
        <v>23</v>
      </c>
    </row>
    <row r="16" spans="1:2">
      <c r="A16" s="178" t="s">
        <v>21</v>
      </c>
      <c r="B16" s="190">
        <v>21</v>
      </c>
    </row>
    <row r="17" spans="1:2">
      <c r="A17" s="178" t="s">
        <v>22</v>
      </c>
      <c r="B17" s="190">
        <v>72</v>
      </c>
    </row>
    <row r="18" spans="1:2">
      <c r="A18" s="178" t="s">
        <v>23</v>
      </c>
      <c r="B18" s="190">
        <v>37</v>
      </c>
    </row>
    <row r="19" spans="1:2">
      <c r="A19" s="178" t="s">
        <v>24</v>
      </c>
      <c r="B19" s="190">
        <v>56</v>
      </c>
    </row>
    <row r="20" spans="1:2">
      <c r="A20" s="178" t="s">
        <v>82</v>
      </c>
      <c r="B20" s="190">
        <v>64</v>
      </c>
    </row>
    <row r="21" spans="1:2">
      <c r="A21" s="178" t="s">
        <v>76</v>
      </c>
      <c r="B21" s="190">
        <v>40</v>
      </c>
    </row>
    <row r="22" spans="1:2">
      <c r="A22" s="178" t="s">
        <v>25</v>
      </c>
      <c r="B22" s="190">
        <v>56</v>
      </c>
    </row>
    <row r="23" spans="1:2">
      <c r="A23" s="178" t="s">
        <v>77</v>
      </c>
      <c r="B23" s="190">
        <v>52</v>
      </c>
    </row>
    <row r="24" spans="1:2">
      <c r="A24" s="178" t="s">
        <v>26</v>
      </c>
      <c r="B24" s="190">
        <v>7</v>
      </c>
    </row>
    <row r="25" spans="1:2">
      <c r="A25" s="178" t="s">
        <v>27</v>
      </c>
      <c r="B25" s="190">
        <v>34</v>
      </c>
    </row>
    <row r="26" spans="1:2">
      <c r="A26" s="178" t="s">
        <v>28</v>
      </c>
      <c r="B26" s="190">
        <v>62</v>
      </c>
    </row>
    <row r="27" spans="1:2">
      <c r="A27" s="178" t="s">
        <v>29</v>
      </c>
      <c r="B27" s="190">
        <v>67</v>
      </c>
    </row>
    <row r="28" spans="1:2">
      <c r="A28" s="178" t="s">
        <v>30</v>
      </c>
      <c r="B28" s="190">
        <v>39</v>
      </c>
    </row>
    <row r="29" spans="1:2">
      <c r="A29" s="178" t="s">
        <v>31</v>
      </c>
      <c r="B29" s="190">
        <v>64</v>
      </c>
    </row>
    <row r="30" spans="1:2">
      <c r="A30" s="178" t="s">
        <v>32</v>
      </c>
      <c r="B30" s="190">
        <v>47</v>
      </c>
    </row>
    <row r="31" spans="1:2">
      <c r="A31" s="178" t="s">
        <v>33</v>
      </c>
      <c r="B31" s="190">
        <v>49</v>
      </c>
    </row>
    <row r="32" spans="1:2">
      <c r="A32" s="178" t="s">
        <v>78</v>
      </c>
      <c r="B32" s="190">
        <v>80</v>
      </c>
    </row>
    <row r="33" spans="1:2">
      <c r="A33" s="178" t="s">
        <v>34</v>
      </c>
      <c r="B33" s="190">
        <v>47</v>
      </c>
    </row>
    <row r="34" spans="1:2">
      <c r="A34" s="178" t="s">
        <v>83</v>
      </c>
      <c r="B34" s="190">
        <v>46</v>
      </c>
    </row>
    <row r="35" spans="1:2">
      <c r="A35" s="204" t="s">
        <v>79</v>
      </c>
      <c r="B35" s="205">
        <v>25</v>
      </c>
    </row>
    <row r="36" spans="1:2">
      <c r="A36" s="178" t="s">
        <v>35</v>
      </c>
      <c r="B36" s="190">
        <v>55</v>
      </c>
    </row>
    <row r="37" spans="1:2">
      <c r="A37" s="178" t="s">
        <v>36</v>
      </c>
      <c r="B37" s="190">
        <v>68</v>
      </c>
    </row>
    <row r="38" spans="1:2">
      <c r="A38" s="178" t="s">
        <v>37</v>
      </c>
      <c r="B38" s="190">
        <v>94</v>
      </c>
    </row>
    <row r="39" spans="1:2">
      <c r="A39" s="178" t="s">
        <v>38</v>
      </c>
      <c r="B39" s="190">
        <v>49</v>
      </c>
    </row>
    <row r="40" spans="1:2">
      <c r="A40" s="178" t="s">
        <v>39</v>
      </c>
      <c r="B40" s="190">
        <v>41</v>
      </c>
    </row>
    <row r="41" spans="1:2">
      <c r="A41" s="178" t="s">
        <v>40</v>
      </c>
      <c r="B41" s="190">
        <v>13</v>
      </c>
    </row>
    <row r="42" spans="1:2">
      <c r="A42" s="204" t="s">
        <v>84</v>
      </c>
      <c r="B42" s="205">
        <v>46</v>
      </c>
    </row>
    <row r="43" spans="1:2">
      <c r="A43" s="178" t="s">
        <v>41</v>
      </c>
      <c r="B43" s="190">
        <v>67</v>
      </c>
    </row>
    <row r="44" spans="1:2">
      <c r="A44" s="178" t="s">
        <v>42</v>
      </c>
      <c r="B44" s="190">
        <v>53</v>
      </c>
    </row>
    <row r="45" spans="1:2">
      <c r="A45" s="178" t="s">
        <v>43</v>
      </c>
      <c r="B45" s="190">
        <v>93</v>
      </c>
    </row>
    <row r="46" spans="1:2">
      <c r="A46" s="178" t="s">
        <v>44</v>
      </c>
      <c r="B46" s="190">
        <v>37</v>
      </c>
    </row>
    <row r="47" spans="1:2">
      <c r="A47" s="178" t="s">
        <v>45</v>
      </c>
      <c r="B47" s="190">
        <v>27</v>
      </c>
    </row>
    <row r="48" spans="1:2">
      <c r="A48" s="178" t="s">
        <v>46</v>
      </c>
      <c r="B48" s="190">
        <v>72</v>
      </c>
    </row>
    <row r="49" spans="1:2">
      <c r="A49" s="178" t="s">
        <v>47</v>
      </c>
      <c r="B49" s="190">
        <v>46</v>
      </c>
    </row>
    <row r="50" spans="1:2">
      <c r="A50" s="178" t="s">
        <v>48</v>
      </c>
      <c r="B50" s="190">
        <v>21</v>
      </c>
    </row>
    <row r="51" spans="1:2">
      <c r="A51" s="178" t="s">
        <v>49</v>
      </c>
      <c r="B51" s="190">
        <v>35</v>
      </c>
    </row>
    <row r="52" spans="1:2">
      <c r="A52" s="178" t="s">
        <v>50</v>
      </c>
      <c r="B52" s="190">
        <v>17</v>
      </c>
    </row>
    <row r="53" spans="1:2">
      <c r="A53" s="178" t="s">
        <v>51</v>
      </c>
      <c r="B53" s="190">
        <v>7</v>
      </c>
    </row>
    <row r="54" spans="1:2">
      <c r="A54" s="178" t="s">
        <v>52</v>
      </c>
      <c r="B54" s="190">
        <v>42</v>
      </c>
    </row>
    <row r="55" spans="1:2">
      <c r="A55" s="178" t="s">
        <v>53</v>
      </c>
      <c r="B55" s="190">
        <v>53</v>
      </c>
    </row>
    <row r="56" spans="1:2">
      <c r="A56" s="178" t="s">
        <v>54</v>
      </c>
      <c r="B56" s="190">
        <v>40</v>
      </c>
    </row>
    <row r="57" spans="1:2">
      <c r="A57" s="178" t="s">
        <v>80</v>
      </c>
      <c r="B57" s="190">
        <v>58</v>
      </c>
    </row>
    <row r="58" spans="1:2">
      <c r="A58" s="178" t="s">
        <v>55</v>
      </c>
      <c r="B58" s="190">
        <v>30</v>
      </c>
    </row>
    <row r="59" spans="1:2">
      <c r="A59" s="178" t="s">
        <v>56</v>
      </c>
      <c r="B59" s="190">
        <v>26</v>
      </c>
    </row>
    <row r="60" spans="1:2">
      <c r="A60" s="178" t="s">
        <v>57</v>
      </c>
      <c r="B60" s="190">
        <v>23</v>
      </c>
    </row>
    <row r="61" spans="1:2">
      <c r="A61" s="178" t="s">
        <v>58</v>
      </c>
      <c r="B61" s="190">
        <v>59</v>
      </c>
    </row>
    <row r="62" spans="1:2">
      <c r="A62" s="178" t="s">
        <v>59</v>
      </c>
      <c r="B62" s="190">
        <v>37</v>
      </c>
    </row>
    <row r="63" spans="1:2">
      <c r="A63" s="178" t="s">
        <v>60</v>
      </c>
      <c r="B63" s="190">
        <v>31</v>
      </c>
    </row>
    <row r="64" spans="1:2">
      <c r="A64" s="178" t="s">
        <v>61</v>
      </c>
      <c r="B64" s="190">
        <v>15</v>
      </c>
    </row>
    <row r="65" spans="1:2">
      <c r="A65" s="178" t="s">
        <v>62</v>
      </c>
      <c r="B65" s="190">
        <v>72</v>
      </c>
    </row>
    <row r="66" spans="1:2">
      <c r="A66" s="178" t="s">
        <v>63</v>
      </c>
      <c r="B66" s="190">
        <v>32</v>
      </c>
    </row>
    <row r="67" spans="1:2">
      <c r="A67" s="178" t="s">
        <v>64</v>
      </c>
      <c r="B67" s="190">
        <v>85</v>
      </c>
    </row>
    <row r="68" spans="1:2">
      <c r="A68" s="204" t="s">
        <v>65</v>
      </c>
      <c r="B68" s="205">
        <v>24</v>
      </c>
    </row>
    <row r="69" spans="1:2">
      <c r="A69" s="204" t="s">
        <v>85</v>
      </c>
      <c r="B69" s="205">
        <v>28</v>
      </c>
    </row>
    <row r="70" spans="1:2">
      <c r="A70" s="204" t="s">
        <v>86</v>
      </c>
      <c r="B70" s="205">
        <v>47</v>
      </c>
    </row>
    <row r="71" spans="1:2">
      <c r="A71" s="204" t="s">
        <v>87</v>
      </c>
      <c r="B71" s="205">
        <v>27</v>
      </c>
    </row>
    <row r="72" spans="1:2">
      <c r="A72" s="204" t="s">
        <v>88</v>
      </c>
      <c r="B72" s="205">
        <v>24</v>
      </c>
    </row>
    <row r="73" spans="1:2">
      <c r="A73" s="204" t="s">
        <v>89</v>
      </c>
      <c r="B73" s="205">
        <v>49</v>
      </c>
    </row>
    <row r="74" spans="1:2">
      <c r="A74" s="204" t="s">
        <v>90</v>
      </c>
      <c r="B74" s="205">
        <v>44</v>
      </c>
    </row>
    <row r="75" spans="1:2">
      <c r="A75" s="204" t="s">
        <v>81</v>
      </c>
      <c r="B75" s="205">
        <v>15</v>
      </c>
    </row>
    <row r="76" spans="1:2">
      <c r="A76" s="204" t="s">
        <v>91</v>
      </c>
      <c r="B76" s="205">
        <v>21</v>
      </c>
    </row>
    <row r="77" spans="1:2">
      <c r="A77" s="204" t="s">
        <v>92</v>
      </c>
      <c r="B77" s="205">
        <v>45</v>
      </c>
    </row>
    <row r="78" spans="1:2">
      <c r="A78" s="204" t="s">
        <v>93</v>
      </c>
      <c r="B78" s="205">
        <v>48</v>
      </c>
    </row>
    <row r="79" spans="1:2">
      <c r="A79" s="204" t="s">
        <v>94</v>
      </c>
      <c r="B79" s="205">
        <v>49</v>
      </c>
    </row>
    <row r="80" spans="1:2">
      <c r="A80" s="204" t="s">
        <v>95</v>
      </c>
      <c r="B80" s="205">
        <v>48</v>
      </c>
    </row>
    <row r="81" spans="1:2">
      <c r="A81" s="178" t="s">
        <v>66</v>
      </c>
      <c r="B81" s="190">
        <v>33</v>
      </c>
    </row>
    <row r="82" spans="1:2">
      <c r="A82" s="178" t="s">
        <v>67</v>
      </c>
      <c r="B82" s="190">
        <v>31</v>
      </c>
    </row>
    <row r="83" spans="1:2">
      <c r="A83" s="178" t="s">
        <v>68</v>
      </c>
      <c r="B83" s="190">
        <v>23</v>
      </c>
    </row>
    <row r="84" spans="1:2">
      <c r="A84" s="178" t="s">
        <v>69</v>
      </c>
      <c r="B84" s="190">
        <v>21</v>
      </c>
    </row>
    <row r="85" spans="1:2">
      <c r="A85" s="178" t="s">
        <v>70</v>
      </c>
      <c r="B85" s="190">
        <v>69</v>
      </c>
    </row>
    <row r="86" spans="1:2">
      <c r="A86" s="178" t="s">
        <v>71</v>
      </c>
      <c r="B86" s="190">
        <v>80</v>
      </c>
    </row>
    <row r="87" spans="1:2">
      <c r="A87" s="178" t="s">
        <v>72</v>
      </c>
      <c r="B87" s="190">
        <v>33</v>
      </c>
    </row>
    <row r="88" spans="1:2">
      <c r="A88" s="178" t="s">
        <v>73</v>
      </c>
      <c r="B88" s="190">
        <v>83</v>
      </c>
    </row>
    <row r="89" spans="1:2">
      <c r="A89" s="178"/>
      <c r="B89" s="263">
        <f t="shared" ref="B89" si="0">((SUM(B81:B88))+(SUM(B43:B67))+(SUM(B36:B41))+(SUM(B2:B34)))</f>
        <v>3352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103</vt:i4>
      </vt:variant>
      <vt:variant>
        <vt:lpstr>Named Ranges</vt:lpstr>
      </vt:variant>
      <vt:variant>
        <vt:i4>7</vt:i4>
      </vt:variant>
    </vt:vector>
  </HeadingPairs>
  <TitlesOfParts>
    <vt:vector size="110" baseType="lpstr">
      <vt:lpstr>METHODOLOGY</vt:lpstr>
      <vt:lpstr>Projection_Summary</vt:lpstr>
      <vt:lpstr>Graphs</vt:lpstr>
      <vt:lpstr>Abbeyhill</vt:lpstr>
      <vt:lpstr>Balgreen</vt:lpstr>
      <vt:lpstr>Blackhall</vt:lpstr>
      <vt:lpstr>Bonaly</vt:lpstr>
      <vt:lpstr>Broomhouse</vt:lpstr>
      <vt:lpstr>Broughton</vt:lpstr>
      <vt:lpstr>Brunstane</vt:lpstr>
      <vt:lpstr>Bruntsfield</vt:lpstr>
      <vt:lpstr>Buckstone</vt:lpstr>
      <vt:lpstr>Bun Sgoil Taobh na Pairce</vt:lpstr>
      <vt:lpstr>Canal View</vt:lpstr>
      <vt:lpstr>Carrick Knowe</vt:lpstr>
      <vt:lpstr>Castleview</vt:lpstr>
      <vt:lpstr>Clermiston</vt:lpstr>
      <vt:lpstr>Clovenstone</vt:lpstr>
      <vt:lpstr>Colinton</vt:lpstr>
      <vt:lpstr>Corstorphine</vt:lpstr>
      <vt:lpstr>Craigentinny</vt:lpstr>
      <vt:lpstr>Craiglockhart</vt:lpstr>
      <vt:lpstr>Craigour Park</vt:lpstr>
      <vt:lpstr>Craigroyston</vt:lpstr>
      <vt:lpstr>Cramond</vt:lpstr>
      <vt:lpstr>Currie</vt:lpstr>
      <vt:lpstr>Dalmeny</vt:lpstr>
      <vt:lpstr>Dalry</vt:lpstr>
      <vt:lpstr>Davidsons Mains</vt:lpstr>
      <vt:lpstr>Dean Park</vt:lpstr>
      <vt:lpstr>Duddingston</vt:lpstr>
      <vt:lpstr>East Craigs</vt:lpstr>
      <vt:lpstr>Echline</vt:lpstr>
      <vt:lpstr>Ferryhill</vt:lpstr>
      <vt:lpstr>Flora Stevenson</vt:lpstr>
      <vt:lpstr>Forthview</vt:lpstr>
      <vt:lpstr>Fox Covert ND</vt:lpstr>
      <vt:lpstr>Fox Covert RC</vt:lpstr>
      <vt:lpstr>Gilmerton</vt:lpstr>
      <vt:lpstr>Gracemount</vt:lpstr>
      <vt:lpstr>Granton</vt:lpstr>
      <vt:lpstr>Gylemuir</vt:lpstr>
      <vt:lpstr>Hermitage Park</vt:lpstr>
      <vt:lpstr>Hillwood</vt:lpstr>
      <vt:lpstr>Holy Cross RC</vt:lpstr>
      <vt:lpstr>James Gillespies</vt:lpstr>
      <vt:lpstr>Juniper Green</vt:lpstr>
      <vt:lpstr>Kirkliston</vt:lpstr>
      <vt:lpstr>Leith</vt:lpstr>
      <vt:lpstr>Leith Walk</vt:lpstr>
      <vt:lpstr>Liberton</vt:lpstr>
      <vt:lpstr>Longstone</vt:lpstr>
      <vt:lpstr>Lorne</vt:lpstr>
      <vt:lpstr>Murrayburn</vt:lpstr>
      <vt:lpstr>Nether Currie</vt:lpstr>
      <vt:lpstr>Newcraighall</vt:lpstr>
      <vt:lpstr>Niddrie Mill</vt:lpstr>
      <vt:lpstr>Oxgangs</vt:lpstr>
      <vt:lpstr>Parsons Green</vt:lpstr>
      <vt:lpstr>Pentland</vt:lpstr>
      <vt:lpstr>Pirniehall</vt:lpstr>
      <vt:lpstr>Preston Street</vt:lpstr>
      <vt:lpstr>Prestonfield</vt:lpstr>
      <vt:lpstr>Queensferry</vt:lpstr>
      <vt:lpstr>Ratho</vt:lpstr>
      <vt:lpstr>Roseburn</vt:lpstr>
      <vt:lpstr>Royal Mile</vt:lpstr>
      <vt:lpstr>Sciennes</vt:lpstr>
      <vt:lpstr>Sighthill</vt:lpstr>
      <vt:lpstr>South Morningside</vt:lpstr>
      <vt:lpstr>St Catherines RC</vt:lpstr>
      <vt:lpstr>St Cuthberts RC</vt:lpstr>
      <vt:lpstr>St Davids RC</vt:lpstr>
      <vt:lpstr>St Francis RC</vt:lpstr>
      <vt:lpstr>St John Vianney</vt:lpstr>
      <vt:lpstr>St Johns RC</vt:lpstr>
      <vt:lpstr>St Josephs RC</vt:lpstr>
      <vt:lpstr>St Margarets RC</vt:lpstr>
      <vt:lpstr>St Marks RC</vt:lpstr>
      <vt:lpstr>St Marys Edin</vt:lpstr>
      <vt:lpstr>St Marys Leith</vt:lpstr>
      <vt:lpstr>St Ninians RC</vt:lpstr>
      <vt:lpstr>St Peters RC</vt:lpstr>
      <vt:lpstr>Stenhouse</vt:lpstr>
      <vt:lpstr>Stockbridge</vt:lpstr>
      <vt:lpstr>The Royal High</vt:lpstr>
      <vt:lpstr>Tollcross</vt:lpstr>
      <vt:lpstr>Towerbank</vt:lpstr>
      <vt:lpstr>Trinity</vt:lpstr>
      <vt:lpstr>Victoria</vt:lpstr>
      <vt:lpstr>Wardie</vt:lpstr>
      <vt:lpstr>Capacity</vt:lpstr>
      <vt:lpstr>Catchment Births</vt:lpstr>
      <vt:lpstr>Housing Generation</vt:lpstr>
      <vt:lpstr>Cumulative pupils per year</vt:lpstr>
      <vt:lpstr>P1 Registration 2016</vt:lpstr>
      <vt:lpstr>Birth Estimate and NRS Data</vt:lpstr>
      <vt:lpstr>Catchment Projections</vt:lpstr>
      <vt:lpstr>Rolls</vt:lpstr>
      <vt:lpstr>All P1 In Catchment</vt:lpstr>
      <vt:lpstr>P1 Retained</vt:lpstr>
      <vt:lpstr>Adhoc Projections</vt:lpstr>
      <vt:lpstr>Sheet2</vt:lpstr>
      <vt:lpstr>Abbeyhill!Print_Area</vt:lpstr>
      <vt:lpstr>Balgreen!Print_Area</vt:lpstr>
      <vt:lpstr>Blackhall!Print_Area</vt:lpstr>
      <vt:lpstr>Bonaly!Print_Area</vt:lpstr>
      <vt:lpstr>Bruntsfield!Print_Area</vt:lpstr>
      <vt:lpstr>Dalry!Print_Area</vt:lpstr>
      <vt:lpstr>Projection_Summary!Print_Area</vt:lpstr>
    </vt:vector>
  </TitlesOfParts>
  <Company>City of Edinburgh Council</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 Crockatt</dc:creator>
  <cp:lastModifiedBy>AlexK</cp:lastModifiedBy>
  <cp:lastPrinted>2018-11-08T12:51:53Z</cp:lastPrinted>
  <dcterms:created xsi:type="dcterms:W3CDTF">2013-12-16T09:26:12Z</dcterms:created>
  <dcterms:modified xsi:type="dcterms:W3CDTF">2019-02-20T14:18:26Z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272476969</vt:i4>
  </property>
  <property fmtid="{D5CDD505-2E9C-101B-9397-08002B2CF9AE}" pid="3" name="_NewReviewCycle">
    <vt:lpwstr/>
  </property>
  <property fmtid="{D5CDD505-2E9C-101B-9397-08002B2CF9AE}" pid="4" name="_EmailSubject">
    <vt:lpwstr>projections</vt:lpwstr>
  </property>
  <property fmtid="{D5CDD505-2E9C-101B-9397-08002B2CF9AE}" pid="5" name="_AuthorEmail">
    <vt:lpwstr>Elaine.Watson@edinburgh.gov.uk</vt:lpwstr>
  </property>
  <property fmtid="{D5CDD505-2E9C-101B-9397-08002B2CF9AE}" pid="6" name="_AuthorEmailDisplayName">
    <vt:lpwstr>Elaine Watson</vt:lpwstr>
  </property>
  <property fmtid="{D5CDD505-2E9C-101B-9397-08002B2CF9AE}" pid="8" name="_PreviousAdHocReviewCycleID">
    <vt:i4>1728420578</vt:i4>
  </property>
</Properties>
</file>